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infocusmediagroup/Desktop/SECOND BRAIN/02-SHAWN/projects/Family Championships/"/>
    </mc:Choice>
  </mc:AlternateContent>
  <xr:revisionPtr revIDLastSave="0" documentId="13_ncr:1_{8180C8CD-8DB1-3D4B-AF8B-51E308DA9D22}" xr6:coauthVersionLast="47" xr6:coauthVersionMax="47" xr10:uidLastSave="{00000000-0000-0000-0000-000000000000}"/>
  <bookViews>
    <workbookView xWindow="0" yWindow="660" windowWidth="34560" windowHeight="20960" tabRatio="500" activeTab="9" xr2:uid="{00000000-000D-0000-FFFF-FFFF00000000}"/>
  </bookViews>
  <sheets>
    <sheet name="Guide &amp; Settings" sheetId="1" r:id="rId1"/>
    <sheet name="FWC Weekly" sheetId="2" state="hidden" r:id="rId2"/>
    <sheet name="Leaders" sheetId="3" r:id="rId3"/>
    <sheet name="Dashboard" sheetId="4" r:id="rId4"/>
    <sheet name="Player Card" sheetId="5" r:id="rId5"/>
    <sheet name="Head-to-Head" sheetId="6" r:id="rId6"/>
    <sheet name="Sport Records" sheetId="7" r:id="rId7"/>
    <sheet name="Records &amp; Awards" sheetId="8" r:id="rId8"/>
    <sheet name="Trends &amp; Stats" sheetId="9" r:id="rId9"/>
    <sheet name="Match Log" sheetId="10" r:id="rId10"/>
    <sheet name="Sport Voting" sheetId="11" r:id="rId11"/>
    <sheet name="Poker Stake Ledger" sheetId="12" r:id="rId12"/>
    <sheet name="Calcs" sheetId="13" state="hidden" r:id="rId13"/>
    <sheet name="Engine" sheetId="14" state="hidden" r:id="rId14"/>
    <sheet name="Lists" sheetId="15" state="hidden" r:id="rId15"/>
  </sheets>
  <definedNames>
    <definedName name="_xlnm._FilterDatabase" localSheetId="3" hidden="1">Dashboard!$A$4:$X$18</definedName>
    <definedName name="_xlnm._FilterDatabase" localSheetId="2" hidden="1">Leaders!$A$9:$E$27</definedName>
    <definedName name="_xlnm._FilterDatabase" localSheetId="6" hidden="1">'Sport Records'!$A$77:$G$93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9" l="1"/>
  <c r="A34" i="3"/>
  <c r="A33" i="3"/>
  <c r="A32" i="3"/>
  <c r="A31" i="3"/>
  <c r="A30" i="3"/>
  <c r="A29" i="3"/>
  <c r="F352" i="13"/>
  <c r="F353" i="13"/>
  <c r="F354" i="13"/>
  <c r="F355" i="13"/>
  <c r="F356" i="13"/>
  <c r="F357" i="13"/>
  <c r="F358" i="13"/>
  <c r="F359" i="13"/>
  <c r="F360" i="13"/>
  <c r="F361" i="13"/>
  <c r="F362" i="13"/>
  <c r="F363" i="13"/>
  <c r="F364" i="13"/>
  <c r="F365" i="13"/>
  <c r="F366" i="13"/>
  <c r="F367" i="13"/>
  <c r="F368" i="13"/>
  <c r="F369" i="13"/>
  <c r="F370" i="13"/>
  <c r="F371" i="13"/>
  <c r="F372" i="13"/>
  <c r="F373" i="13"/>
  <c r="F374" i="13"/>
  <c r="F375" i="13"/>
  <c r="F376" i="13"/>
  <c r="F377" i="13"/>
  <c r="F378" i="13"/>
  <c r="F379" i="13"/>
  <c r="F380" i="13"/>
  <c r="F381" i="13"/>
  <c r="F382" i="13"/>
  <c r="F383" i="13"/>
  <c r="F384" i="13"/>
  <c r="F385" i="13"/>
  <c r="F386" i="13"/>
  <c r="F387" i="13"/>
  <c r="F388" i="13"/>
  <c r="F389" i="13"/>
  <c r="F390" i="13"/>
  <c r="F391" i="13"/>
  <c r="F392" i="13"/>
  <c r="F393" i="13"/>
  <c r="F394" i="13"/>
  <c r="F395" i="13"/>
  <c r="F396" i="13"/>
  <c r="F397" i="13"/>
  <c r="F398" i="13"/>
  <c r="F399" i="13"/>
  <c r="F400" i="13"/>
  <c r="F401" i="13"/>
  <c r="F402" i="13"/>
  <c r="F403" i="13"/>
  <c r="F404" i="13"/>
  <c r="F405" i="13"/>
  <c r="F406" i="13"/>
  <c r="F407" i="13"/>
  <c r="F408" i="13"/>
  <c r="F409" i="13"/>
  <c r="F410" i="13"/>
  <c r="F411" i="13"/>
  <c r="F412" i="13"/>
  <c r="F413" i="13"/>
  <c r="F414" i="13"/>
  <c r="F415" i="13"/>
  <c r="F416" i="13"/>
  <c r="F417" i="13"/>
  <c r="F418" i="13"/>
  <c r="F419" i="13"/>
  <c r="F420" i="13"/>
  <c r="F421" i="13"/>
  <c r="F422" i="13"/>
  <c r="F423" i="13"/>
  <c r="F424" i="13"/>
  <c r="F425" i="13"/>
  <c r="F426" i="13"/>
  <c r="F427" i="13"/>
  <c r="F428" i="13"/>
  <c r="F429" i="13"/>
  <c r="F430" i="13"/>
  <c r="F431" i="13"/>
  <c r="F432" i="13"/>
  <c r="F433" i="13"/>
  <c r="F434" i="13"/>
  <c r="F435" i="13"/>
  <c r="F436" i="13"/>
  <c r="F437" i="13"/>
  <c r="F438" i="13"/>
  <c r="F439" i="13"/>
  <c r="F440" i="13"/>
  <c r="F441" i="13"/>
  <c r="F442" i="13"/>
  <c r="F443" i="13"/>
  <c r="F444" i="13"/>
  <c r="F445" i="13"/>
  <c r="F446" i="13"/>
  <c r="F447" i="13"/>
  <c r="F448" i="13"/>
  <c r="F449" i="13"/>
  <c r="F450" i="13"/>
  <c r="F451" i="13"/>
  <c r="F452" i="13"/>
  <c r="F453" i="13"/>
  <c r="F454" i="13"/>
  <c r="F455" i="13"/>
  <c r="F456" i="13"/>
  <c r="F457" i="13"/>
  <c r="F458" i="13"/>
  <c r="F459" i="13"/>
  <c r="F460" i="13"/>
  <c r="F461" i="13"/>
  <c r="F462" i="13"/>
  <c r="F463" i="13"/>
  <c r="F464" i="13"/>
  <c r="F465" i="13"/>
  <c r="F466" i="13"/>
  <c r="F467" i="13"/>
  <c r="F468" i="13"/>
  <c r="F469" i="13"/>
  <c r="F470" i="13"/>
  <c r="F471" i="13"/>
  <c r="F472" i="13"/>
  <c r="F473" i="13"/>
  <c r="F474" i="13"/>
  <c r="F475" i="13"/>
  <c r="F476" i="13"/>
  <c r="F477" i="13"/>
  <c r="F478" i="13"/>
  <c r="F479" i="13"/>
  <c r="F480" i="13"/>
  <c r="F481" i="13"/>
  <c r="F482" i="13"/>
  <c r="F483" i="13"/>
  <c r="F484" i="13"/>
  <c r="F485" i="13"/>
  <c r="F486" i="13"/>
  <c r="F487" i="13"/>
  <c r="F488" i="13"/>
  <c r="F489" i="13"/>
  <c r="F490" i="13"/>
  <c r="F491" i="13"/>
  <c r="F492" i="13"/>
  <c r="F493" i="13"/>
  <c r="F494" i="13"/>
  <c r="F495" i="13"/>
  <c r="F496" i="13"/>
  <c r="F497" i="13"/>
  <c r="F498" i="13"/>
  <c r="F499" i="13"/>
  <c r="F500" i="13"/>
  <c r="F501" i="13"/>
  <c r="F502" i="13"/>
  <c r="F503" i="13"/>
  <c r="F504" i="13"/>
  <c r="F505" i="13"/>
  <c r="F506" i="13"/>
  <c r="F507" i="13"/>
  <c r="F508" i="13"/>
  <c r="F509" i="13"/>
  <c r="F510" i="13"/>
  <c r="F511" i="13"/>
  <c r="F512" i="13"/>
  <c r="F513" i="13"/>
  <c r="F514" i="13"/>
  <c r="F515" i="13"/>
  <c r="F516" i="13"/>
  <c r="F517" i="13"/>
  <c r="F518" i="13"/>
  <c r="F519" i="13"/>
  <c r="F520" i="13"/>
  <c r="F521" i="13"/>
  <c r="F522" i="13"/>
  <c r="F523" i="13"/>
  <c r="F524" i="13"/>
  <c r="F525" i="13"/>
  <c r="F526" i="13"/>
  <c r="F527" i="13"/>
  <c r="F528" i="13"/>
  <c r="F529" i="13"/>
  <c r="F530" i="13"/>
  <c r="F531" i="13"/>
  <c r="F532" i="13"/>
  <c r="F533" i="13"/>
  <c r="F534" i="13"/>
  <c r="F535" i="13"/>
  <c r="F536" i="13"/>
  <c r="F537" i="13"/>
  <c r="F538" i="13"/>
  <c r="F539" i="13"/>
  <c r="F540" i="13"/>
  <c r="F541" i="13"/>
  <c r="F542" i="13"/>
  <c r="F543" i="13"/>
  <c r="F544" i="13"/>
  <c r="F545" i="13"/>
  <c r="F546" i="13"/>
  <c r="F547" i="13"/>
  <c r="F548" i="13"/>
  <c r="F549" i="13"/>
  <c r="F550" i="13"/>
  <c r="F551" i="13"/>
  <c r="F552" i="13"/>
  <c r="F553" i="13"/>
  <c r="F554" i="13"/>
  <c r="F555" i="13"/>
  <c r="F556" i="13"/>
  <c r="F557" i="13"/>
  <c r="F558" i="13"/>
  <c r="F559" i="13"/>
  <c r="F560" i="13"/>
  <c r="F561" i="13"/>
  <c r="F562" i="13"/>
  <c r="F563" i="13"/>
  <c r="F564" i="13"/>
  <c r="F565" i="13"/>
  <c r="F566" i="13"/>
  <c r="F567" i="13"/>
  <c r="F568" i="13"/>
  <c r="F569" i="13"/>
  <c r="F570" i="13"/>
  <c r="F571" i="13"/>
  <c r="F572" i="13"/>
  <c r="F573" i="13"/>
  <c r="F574" i="13"/>
  <c r="F575" i="13"/>
  <c r="F576" i="13"/>
  <c r="F577" i="13"/>
  <c r="F578" i="13"/>
  <c r="F579" i="13"/>
  <c r="F580" i="13"/>
  <c r="F581" i="13"/>
  <c r="F582" i="13"/>
  <c r="F583" i="13"/>
  <c r="F584" i="13"/>
  <c r="F585" i="13"/>
  <c r="F586" i="13"/>
  <c r="F587" i="13"/>
  <c r="F588" i="13"/>
  <c r="F589" i="13"/>
  <c r="F590" i="13"/>
  <c r="F591" i="13"/>
  <c r="F592" i="13"/>
  <c r="F593" i="13"/>
  <c r="F594" i="13"/>
  <c r="F595" i="13"/>
  <c r="F596" i="13"/>
  <c r="F597" i="13"/>
  <c r="F598" i="13"/>
  <c r="F599" i="13"/>
  <c r="F600" i="13"/>
  <c r="F601" i="13"/>
  <c r="F602" i="13"/>
  <c r="F603" i="13"/>
  <c r="F604" i="13"/>
  <c r="F605" i="13"/>
  <c r="F606" i="13"/>
  <c r="F607" i="13"/>
  <c r="F608" i="13"/>
  <c r="F609" i="13"/>
  <c r="F610" i="13"/>
  <c r="F611" i="13"/>
  <c r="F612" i="13"/>
  <c r="F613" i="13"/>
  <c r="F614" i="13"/>
  <c r="F615" i="13"/>
  <c r="F616" i="13"/>
  <c r="F617" i="13"/>
  <c r="F618" i="13"/>
  <c r="F619" i="13"/>
  <c r="F620" i="13"/>
  <c r="F621" i="13"/>
  <c r="F622" i="13"/>
  <c r="F623" i="13"/>
  <c r="F624" i="13"/>
  <c r="F625" i="13"/>
  <c r="F626" i="13"/>
  <c r="F627" i="13"/>
  <c r="F628" i="13"/>
  <c r="F629" i="13"/>
  <c r="F630" i="13"/>
  <c r="F631" i="13"/>
  <c r="F632" i="13"/>
  <c r="F633" i="13"/>
  <c r="F634" i="13"/>
  <c r="F635" i="13"/>
  <c r="F636" i="13"/>
  <c r="F637" i="13"/>
  <c r="F638" i="13"/>
  <c r="F639" i="13"/>
  <c r="F640" i="13"/>
  <c r="F641" i="13"/>
  <c r="F642" i="13"/>
  <c r="F643" i="13"/>
  <c r="F644" i="13"/>
  <c r="F645" i="13"/>
  <c r="F646" i="13"/>
  <c r="F647" i="13"/>
  <c r="F648" i="13"/>
  <c r="F649" i="13"/>
  <c r="F650" i="13"/>
  <c r="F651" i="13"/>
  <c r="F652" i="13"/>
  <c r="F653" i="13"/>
  <c r="F654" i="13"/>
  <c r="F655" i="13"/>
  <c r="F656" i="13"/>
  <c r="F657" i="13"/>
  <c r="F658" i="13"/>
  <c r="F659" i="13"/>
  <c r="F660" i="13"/>
  <c r="F661" i="13"/>
  <c r="F662" i="13"/>
  <c r="F663" i="13"/>
  <c r="F664" i="13"/>
  <c r="F665" i="13"/>
  <c r="F666" i="13"/>
  <c r="F667" i="13"/>
  <c r="F668" i="13"/>
  <c r="F669" i="13"/>
  <c r="F670" i="13"/>
  <c r="F671" i="13"/>
  <c r="F672" i="13"/>
  <c r="F673" i="13"/>
  <c r="F674" i="13"/>
  <c r="F675" i="13"/>
  <c r="F676" i="13"/>
  <c r="F677" i="13"/>
  <c r="F678" i="13"/>
  <c r="F679" i="13"/>
  <c r="F680" i="13"/>
  <c r="F681" i="13"/>
  <c r="F682" i="13"/>
  <c r="F683" i="13"/>
  <c r="F684" i="13"/>
  <c r="F685" i="13"/>
  <c r="F686" i="13"/>
  <c r="F687" i="13"/>
  <c r="F688" i="13"/>
  <c r="F689" i="13"/>
  <c r="F690" i="13"/>
  <c r="F691" i="13"/>
  <c r="F692" i="13"/>
  <c r="F693" i="13"/>
  <c r="F694" i="13"/>
  <c r="F695" i="13"/>
  <c r="F696" i="13"/>
  <c r="F697" i="13"/>
  <c r="F698" i="13"/>
  <c r="F699" i="13"/>
  <c r="F700" i="13"/>
  <c r="F701" i="13"/>
  <c r="F702" i="13"/>
  <c r="F703" i="13"/>
  <c r="F704" i="13"/>
  <c r="F705" i="13"/>
  <c r="F706" i="13"/>
  <c r="F707" i="13"/>
  <c r="F708" i="13"/>
  <c r="F709" i="13"/>
  <c r="F710" i="13"/>
  <c r="F711" i="13"/>
  <c r="F712" i="13"/>
  <c r="F713" i="13"/>
  <c r="F714" i="13"/>
  <c r="F715" i="13"/>
  <c r="F716" i="13"/>
  <c r="F717" i="13"/>
  <c r="F718" i="13"/>
  <c r="F719" i="13"/>
  <c r="F720" i="13"/>
  <c r="F721" i="13"/>
  <c r="F722" i="13"/>
  <c r="F723" i="13"/>
  <c r="F724" i="13"/>
  <c r="E352" i="13"/>
  <c r="H352" i="13" s="1" a="1"/>
  <c r="H352" i="13" s="1"/>
  <c r="E353" i="13"/>
  <c r="H353" i="13" s="1" a="1"/>
  <c r="H353" i="13" s="1"/>
  <c r="E354" i="13"/>
  <c r="H354" i="13" s="1" a="1"/>
  <c r="H354" i="13" s="1"/>
  <c r="E355" i="13"/>
  <c r="H355" i="13" s="1" a="1"/>
  <c r="H355" i="13" s="1"/>
  <c r="E356" i="13"/>
  <c r="H356" i="13" s="1" a="1"/>
  <c r="H356" i="13" s="1"/>
  <c r="E357" i="13"/>
  <c r="H357" i="13" s="1" a="1"/>
  <c r="H357" i="13" s="1"/>
  <c r="E358" i="13"/>
  <c r="H358" i="13" s="1" a="1"/>
  <c r="H358" i="13" s="1"/>
  <c r="E359" i="13"/>
  <c r="H359" i="13" s="1" a="1"/>
  <c r="H359" i="13" s="1"/>
  <c r="E360" i="13"/>
  <c r="H360" i="13" s="1" a="1"/>
  <c r="H360" i="13" s="1"/>
  <c r="E361" i="13"/>
  <c r="H361" i="13" s="1" a="1"/>
  <c r="H361" i="13" s="1"/>
  <c r="E362" i="13"/>
  <c r="H362" i="13" s="1" a="1"/>
  <c r="H362" i="13" s="1"/>
  <c r="E363" i="13"/>
  <c r="H363" i="13" s="1" a="1"/>
  <c r="H363" i="13" s="1"/>
  <c r="E364" i="13"/>
  <c r="H364" i="13" s="1" a="1"/>
  <c r="H364" i="13" s="1"/>
  <c r="E365" i="13"/>
  <c r="H365" i="13" s="1" a="1"/>
  <c r="H365" i="13" s="1"/>
  <c r="E366" i="13"/>
  <c r="H366" i="13" s="1" a="1"/>
  <c r="H366" i="13" s="1"/>
  <c r="E367" i="13"/>
  <c r="H367" i="13" s="1" a="1"/>
  <c r="H367" i="13" s="1"/>
  <c r="E368" i="13"/>
  <c r="H368" i="13" s="1" a="1"/>
  <c r="H368" i="13" s="1"/>
  <c r="E369" i="13"/>
  <c r="H369" i="13" s="1" a="1"/>
  <c r="H369" i="13" s="1"/>
  <c r="E370" i="13"/>
  <c r="H370" i="13" s="1" a="1"/>
  <c r="H370" i="13" s="1"/>
  <c r="E371" i="13"/>
  <c r="H371" i="13" s="1" a="1"/>
  <c r="H371" i="13" s="1"/>
  <c r="E372" i="13"/>
  <c r="H372" i="13" s="1" a="1"/>
  <c r="H372" i="13" s="1"/>
  <c r="E373" i="13"/>
  <c r="H373" i="13" s="1" a="1"/>
  <c r="H373" i="13" s="1"/>
  <c r="E374" i="13"/>
  <c r="H374" i="13" s="1" a="1"/>
  <c r="H374" i="13" s="1"/>
  <c r="E375" i="13"/>
  <c r="H375" i="13" s="1" a="1"/>
  <c r="H375" i="13" s="1"/>
  <c r="E376" i="13"/>
  <c r="H376" i="13" s="1" a="1"/>
  <c r="H376" i="13" s="1"/>
  <c r="E377" i="13"/>
  <c r="H377" i="13" s="1" a="1"/>
  <c r="H377" i="13" s="1"/>
  <c r="E378" i="13"/>
  <c r="H378" i="13" s="1" a="1"/>
  <c r="H378" i="13" s="1"/>
  <c r="E379" i="13"/>
  <c r="H379" i="13" s="1" a="1"/>
  <c r="H379" i="13" s="1"/>
  <c r="E380" i="13"/>
  <c r="H380" i="13" s="1" a="1"/>
  <c r="H380" i="13" s="1"/>
  <c r="E381" i="13"/>
  <c r="H381" i="13" s="1" a="1"/>
  <c r="H381" i="13" s="1"/>
  <c r="E382" i="13"/>
  <c r="H382" i="13" s="1" a="1"/>
  <c r="H382" i="13" s="1"/>
  <c r="E383" i="13"/>
  <c r="H383" i="13" s="1" a="1"/>
  <c r="H383" i="13" s="1"/>
  <c r="E384" i="13"/>
  <c r="H384" i="13" s="1" a="1"/>
  <c r="H384" i="13" s="1"/>
  <c r="E385" i="13"/>
  <c r="H385" i="13" s="1" a="1"/>
  <c r="H385" i="13" s="1"/>
  <c r="E386" i="13"/>
  <c r="H386" i="13" s="1" a="1"/>
  <c r="H386" i="13" s="1"/>
  <c r="E387" i="13"/>
  <c r="H387" i="13" s="1" a="1"/>
  <c r="H387" i="13" s="1"/>
  <c r="E388" i="13"/>
  <c r="H388" i="13" s="1" a="1"/>
  <c r="H388" i="13" s="1"/>
  <c r="E389" i="13"/>
  <c r="H389" i="13" s="1" a="1"/>
  <c r="H389" i="13" s="1"/>
  <c r="E390" i="13"/>
  <c r="H390" i="13" s="1" a="1"/>
  <c r="H390" i="13" s="1"/>
  <c r="E391" i="13"/>
  <c r="H391" i="13" s="1" a="1"/>
  <c r="H391" i="13" s="1"/>
  <c r="E392" i="13"/>
  <c r="H392" i="13" s="1" a="1"/>
  <c r="H392" i="13" s="1"/>
  <c r="E393" i="13"/>
  <c r="H393" i="13" s="1" a="1"/>
  <c r="H393" i="13" s="1"/>
  <c r="E394" i="13"/>
  <c r="H394" i="13" s="1" a="1"/>
  <c r="H394" i="13" s="1"/>
  <c r="E395" i="13"/>
  <c r="H395" i="13" s="1" a="1"/>
  <c r="H395" i="13" s="1"/>
  <c r="E396" i="13"/>
  <c r="H396" i="13" s="1" a="1"/>
  <c r="H396" i="13" s="1"/>
  <c r="E397" i="13"/>
  <c r="H397" i="13" s="1" a="1"/>
  <c r="H397" i="13" s="1"/>
  <c r="E398" i="13"/>
  <c r="H398" i="13" s="1" a="1"/>
  <c r="H398" i="13" s="1"/>
  <c r="E399" i="13"/>
  <c r="H399" i="13" s="1" a="1"/>
  <c r="H399" i="13" s="1"/>
  <c r="E400" i="13"/>
  <c r="H400" i="13" s="1" a="1"/>
  <c r="H400" i="13" s="1"/>
  <c r="E401" i="13"/>
  <c r="H401" i="13" s="1" a="1"/>
  <c r="H401" i="13" s="1"/>
  <c r="E402" i="13"/>
  <c r="H402" i="13" s="1" a="1"/>
  <c r="H402" i="13" s="1"/>
  <c r="E403" i="13"/>
  <c r="H403" i="13" s="1" a="1"/>
  <c r="H403" i="13" s="1"/>
  <c r="E404" i="13"/>
  <c r="H404" i="13" s="1" a="1"/>
  <c r="H404" i="13" s="1"/>
  <c r="E405" i="13"/>
  <c r="H405" i="13" s="1" a="1"/>
  <c r="H405" i="13" s="1"/>
  <c r="E406" i="13"/>
  <c r="H406" i="13" s="1" a="1"/>
  <c r="H406" i="13" s="1"/>
  <c r="E407" i="13"/>
  <c r="H407" i="13" s="1" a="1"/>
  <c r="H407" i="13" s="1"/>
  <c r="E408" i="13"/>
  <c r="H408" i="13" s="1" a="1"/>
  <c r="H408" i="13" s="1"/>
  <c r="E409" i="13"/>
  <c r="H409" i="13" s="1" a="1"/>
  <c r="H409" i="13" s="1"/>
  <c r="E410" i="13"/>
  <c r="H410" i="13" s="1" a="1"/>
  <c r="H410" i="13" s="1"/>
  <c r="E411" i="13"/>
  <c r="H411" i="13" s="1" a="1"/>
  <c r="H411" i="13" s="1"/>
  <c r="E412" i="13"/>
  <c r="H412" i="13" s="1" a="1"/>
  <c r="H412" i="13" s="1"/>
  <c r="E413" i="13"/>
  <c r="H413" i="13" s="1" a="1"/>
  <c r="H413" i="13" s="1"/>
  <c r="E414" i="13"/>
  <c r="H414" i="13" s="1" a="1"/>
  <c r="H414" i="13" s="1"/>
  <c r="E415" i="13"/>
  <c r="H415" i="13" s="1" a="1"/>
  <c r="H415" i="13" s="1"/>
  <c r="E416" i="13"/>
  <c r="H416" i="13" s="1" a="1"/>
  <c r="H416" i="13" s="1"/>
  <c r="E417" i="13"/>
  <c r="H417" i="13" s="1" a="1"/>
  <c r="H417" i="13" s="1"/>
  <c r="E418" i="13"/>
  <c r="H418" i="13" s="1" a="1"/>
  <c r="H418" i="13" s="1"/>
  <c r="E419" i="13"/>
  <c r="H419" i="13" s="1" a="1"/>
  <c r="H419" i="13" s="1"/>
  <c r="E420" i="13"/>
  <c r="H420" i="13" s="1" a="1"/>
  <c r="H420" i="13" s="1"/>
  <c r="E421" i="13"/>
  <c r="H421" i="13" s="1" a="1"/>
  <c r="H421" i="13" s="1"/>
  <c r="E422" i="13"/>
  <c r="H422" i="13" s="1" a="1"/>
  <c r="H422" i="13" s="1"/>
  <c r="E423" i="13"/>
  <c r="H423" i="13" s="1" a="1"/>
  <c r="H423" i="13" s="1"/>
  <c r="E424" i="13"/>
  <c r="H424" i="13" s="1" a="1"/>
  <c r="H424" i="13" s="1"/>
  <c r="E425" i="13"/>
  <c r="H425" i="13" s="1" a="1"/>
  <c r="H425" i="13" s="1"/>
  <c r="E426" i="13"/>
  <c r="H426" i="13" s="1" a="1"/>
  <c r="H426" i="13" s="1"/>
  <c r="E427" i="13"/>
  <c r="H427" i="13" s="1" a="1"/>
  <c r="H427" i="13" s="1"/>
  <c r="E428" i="13"/>
  <c r="H428" i="13" s="1" a="1"/>
  <c r="H428" i="13" s="1"/>
  <c r="E429" i="13"/>
  <c r="H429" i="13" s="1" a="1"/>
  <c r="H429" i="13" s="1"/>
  <c r="E430" i="13"/>
  <c r="H430" i="13" s="1" a="1"/>
  <c r="H430" i="13" s="1"/>
  <c r="E431" i="13"/>
  <c r="H431" i="13" s="1" a="1"/>
  <c r="H431" i="13" s="1"/>
  <c r="E432" i="13"/>
  <c r="H432" i="13" s="1" a="1"/>
  <c r="H432" i="13" s="1"/>
  <c r="E433" i="13"/>
  <c r="H433" i="13" s="1" a="1"/>
  <c r="H433" i="13" s="1"/>
  <c r="E434" i="13"/>
  <c r="H434" i="13" s="1" a="1"/>
  <c r="H434" i="13" s="1"/>
  <c r="E435" i="13"/>
  <c r="H435" i="13" s="1" a="1"/>
  <c r="H435" i="13" s="1"/>
  <c r="E436" i="13"/>
  <c r="H436" i="13" s="1" a="1"/>
  <c r="H436" i="13" s="1"/>
  <c r="E437" i="13"/>
  <c r="H437" i="13" s="1" a="1"/>
  <c r="H437" i="13" s="1"/>
  <c r="E438" i="13"/>
  <c r="H438" i="13" s="1" a="1"/>
  <c r="H438" i="13" s="1"/>
  <c r="E439" i="13"/>
  <c r="H439" i="13" s="1" a="1"/>
  <c r="H439" i="13" s="1"/>
  <c r="E440" i="13"/>
  <c r="H440" i="13" s="1" a="1"/>
  <c r="H440" i="13" s="1"/>
  <c r="E441" i="13"/>
  <c r="H441" i="13" s="1" a="1"/>
  <c r="H441" i="13" s="1"/>
  <c r="E442" i="13"/>
  <c r="H442" i="13" s="1" a="1"/>
  <c r="H442" i="13" s="1"/>
  <c r="E443" i="13"/>
  <c r="H443" i="13" s="1" a="1"/>
  <c r="H443" i="13" s="1"/>
  <c r="E444" i="13"/>
  <c r="H444" i="13" s="1" a="1"/>
  <c r="H444" i="13" s="1"/>
  <c r="E445" i="13"/>
  <c r="H445" i="13" s="1" a="1"/>
  <c r="H445" i="13" s="1"/>
  <c r="E446" i="13"/>
  <c r="H446" i="13" s="1" a="1"/>
  <c r="H446" i="13" s="1"/>
  <c r="E447" i="13"/>
  <c r="H447" i="13" s="1" a="1"/>
  <c r="H447" i="13" s="1"/>
  <c r="E448" i="13"/>
  <c r="H448" i="13" s="1" a="1"/>
  <c r="H448" i="13" s="1"/>
  <c r="E449" i="13"/>
  <c r="H449" i="13" s="1" a="1"/>
  <c r="H449" i="13" s="1"/>
  <c r="E450" i="13"/>
  <c r="H450" i="13" s="1" a="1"/>
  <c r="H450" i="13" s="1"/>
  <c r="E451" i="13"/>
  <c r="H451" i="13" s="1" a="1"/>
  <c r="H451" i="13" s="1"/>
  <c r="E452" i="13"/>
  <c r="H452" i="13" s="1" a="1"/>
  <c r="H452" i="13" s="1"/>
  <c r="E453" i="13"/>
  <c r="H453" i="13" s="1" a="1"/>
  <c r="H453" i="13" s="1"/>
  <c r="E454" i="13"/>
  <c r="H454" i="13" s="1" a="1"/>
  <c r="H454" i="13" s="1"/>
  <c r="E455" i="13"/>
  <c r="H455" i="13" s="1" a="1"/>
  <c r="H455" i="13" s="1"/>
  <c r="E456" i="13"/>
  <c r="H456" i="13" s="1" a="1"/>
  <c r="H456" i="13" s="1"/>
  <c r="E457" i="13"/>
  <c r="H457" i="13" s="1" a="1"/>
  <c r="H457" i="13" s="1"/>
  <c r="E458" i="13"/>
  <c r="H458" i="13" s="1" a="1"/>
  <c r="H458" i="13" s="1"/>
  <c r="E459" i="13"/>
  <c r="H459" i="13" s="1" a="1"/>
  <c r="H459" i="13" s="1"/>
  <c r="E460" i="13"/>
  <c r="H460" i="13" s="1" a="1"/>
  <c r="H460" i="13" s="1"/>
  <c r="E461" i="13"/>
  <c r="H461" i="13" s="1" a="1"/>
  <c r="H461" i="13" s="1"/>
  <c r="E462" i="13"/>
  <c r="H462" i="13" s="1" a="1"/>
  <c r="H462" i="13" s="1"/>
  <c r="E463" i="13"/>
  <c r="H463" i="13" s="1" a="1"/>
  <c r="H463" i="13" s="1"/>
  <c r="E464" i="13"/>
  <c r="H464" i="13" s="1" a="1"/>
  <c r="H464" i="13" s="1"/>
  <c r="E465" i="13"/>
  <c r="H465" i="13" s="1" a="1"/>
  <c r="H465" i="13" s="1"/>
  <c r="E466" i="13"/>
  <c r="H466" i="13" s="1" a="1"/>
  <c r="H466" i="13" s="1"/>
  <c r="E467" i="13"/>
  <c r="H467" i="13" s="1" a="1"/>
  <c r="H467" i="13" s="1"/>
  <c r="E468" i="13"/>
  <c r="H468" i="13" s="1" a="1"/>
  <c r="H468" i="13" s="1"/>
  <c r="E469" i="13"/>
  <c r="H469" i="13" s="1" a="1"/>
  <c r="H469" i="13" s="1"/>
  <c r="E470" i="13"/>
  <c r="H470" i="13" s="1" a="1"/>
  <c r="H470" i="13" s="1"/>
  <c r="E471" i="13"/>
  <c r="H471" i="13" s="1" a="1"/>
  <c r="H471" i="13" s="1"/>
  <c r="E472" i="13"/>
  <c r="H472" i="13" s="1" a="1"/>
  <c r="H472" i="13" s="1"/>
  <c r="E473" i="13"/>
  <c r="H473" i="13" s="1" a="1"/>
  <c r="H473" i="13" s="1"/>
  <c r="E474" i="13"/>
  <c r="H474" i="13" s="1" a="1"/>
  <c r="H474" i="13" s="1"/>
  <c r="E475" i="13"/>
  <c r="H475" i="13" s="1" a="1"/>
  <c r="H475" i="13" s="1"/>
  <c r="E476" i="13"/>
  <c r="H476" i="13" s="1" a="1"/>
  <c r="H476" i="13" s="1"/>
  <c r="E477" i="13"/>
  <c r="H477" i="13" s="1" a="1"/>
  <c r="H477" i="13" s="1"/>
  <c r="E478" i="13"/>
  <c r="H478" i="13" s="1" a="1"/>
  <c r="H478" i="13" s="1"/>
  <c r="E479" i="13"/>
  <c r="H479" i="13" s="1" a="1"/>
  <c r="H479" i="13" s="1"/>
  <c r="E480" i="13"/>
  <c r="H480" i="13" s="1" a="1"/>
  <c r="H480" i="13" s="1"/>
  <c r="E481" i="13"/>
  <c r="H481" i="13" s="1" a="1"/>
  <c r="H481" i="13" s="1"/>
  <c r="E482" i="13"/>
  <c r="H482" i="13" s="1" a="1"/>
  <c r="H482" i="13" s="1"/>
  <c r="E483" i="13"/>
  <c r="H483" i="13" s="1" a="1"/>
  <c r="H483" i="13" s="1"/>
  <c r="E484" i="13"/>
  <c r="H484" i="13" s="1" a="1"/>
  <c r="H484" i="13" s="1"/>
  <c r="E485" i="13"/>
  <c r="H485" i="13" s="1" a="1"/>
  <c r="H485" i="13" s="1"/>
  <c r="E486" i="13"/>
  <c r="H486" i="13" s="1" a="1"/>
  <c r="H486" i="13" s="1"/>
  <c r="E487" i="13"/>
  <c r="H487" i="13" s="1" a="1"/>
  <c r="H487" i="13" s="1"/>
  <c r="E488" i="13"/>
  <c r="H488" i="13" s="1" a="1"/>
  <c r="H488" i="13" s="1"/>
  <c r="E489" i="13"/>
  <c r="H489" i="13" s="1" a="1"/>
  <c r="H489" i="13" s="1"/>
  <c r="E490" i="13"/>
  <c r="H490" i="13" s="1" a="1"/>
  <c r="H490" i="13" s="1"/>
  <c r="E491" i="13"/>
  <c r="H491" i="13" s="1" a="1"/>
  <c r="H491" i="13" s="1"/>
  <c r="E492" i="13"/>
  <c r="H492" i="13" s="1" a="1"/>
  <c r="H492" i="13" s="1"/>
  <c r="E493" i="13"/>
  <c r="H493" i="13" s="1" a="1"/>
  <c r="H493" i="13" s="1"/>
  <c r="E494" i="13"/>
  <c r="H494" i="13" s="1" a="1"/>
  <c r="H494" i="13" s="1"/>
  <c r="E495" i="13"/>
  <c r="H495" i="13" s="1" a="1"/>
  <c r="H495" i="13" s="1"/>
  <c r="E496" i="13"/>
  <c r="H496" i="13" s="1" a="1"/>
  <c r="H496" i="13" s="1"/>
  <c r="E497" i="13"/>
  <c r="H497" i="13" s="1" a="1"/>
  <c r="H497" i="13" s="1"/>
  <c r="E498" i="13"/>
  <c r="H498" i="13" s="1" a="1"/>
  <c r="H498" i="13" s="1"/>
  <c r="E499" i="13"/>
  <c r="H499" i="13" s="1" a="1"/>
  <c r="H499" i="13" s="1"/>
  <c r="E500" i="13"/>
  <c r="H500" i="13" s="1" a="1"/>
  <c r="H500" i="13" s="1"/>
  <c r="E501" i="13"/>
  <c r="H501" i="13" s="1" a="1"/>
  <c r="H501" i="13" s="1"/>
  <c r="E502" i="13"/>
  <c r="H502" i="13" s="1" a="1"/>
  <c r="H502" i="13" s="1"/>
  <c r="E503" i="13"/>
  <c r="H503" i="13" s="1" a="1"/>
  <c r="H503" i="13" s="1"/>
  <c r="E504" i="13"/>
  <c r="H504" i="13" s="1" a="1"/>
  <c r="H504" i="13" s="1"/>
  <c r="E505" i="13"/>
  <c r="H505" i="13" s="1" a="1"/>
  <c r="H505" i="13" s="1"/>
  <c r="E506" i="13"/>
  <c r="H506" i="13" s="1" a="1"/>
  <c r="H506" i="13" s="1"/>
  <c r="E507" i="13"/>
  <c r="H507" i="13" s="1" a="1"/>
  <c r="H507" i="13" s="1"/>
  <c r="E508" i="13"/>
  <c r="H508" i="13" s="1" a="1"/>
  <c r="H508" i="13" s="1"/>
  <c r="E509" i="13"/>
  <c r="H509" i="13" s="1" a="1"/>
  <c r="H509" i="13" s="1"/>
  <c r="E510" i="13"/>
  <c r="H510" i="13" s="1" a="1"/>
  <c r="H510" i="13" s="1"/>
  <c r="E511" i="13"/>
  <c r="E512" i="13"/>
  <c r="H512" i="13" s="1" a="1"/>
  <c r="H512" i="13" s="1"/>
  <c r="E513" i="13"/>
  <c r="H513" i="13" s="1" a="1"/>
  <c r="H513" i="13" s="1"/>
  <c r="E514" i="13"/>
  <c r="H514" i="13" s="1" a="1"/>
  <c r="H514" i="13" s="1"/>
  <c r="E515" i="13"/>
  <c r="H515" i="13" s="1" a="1"/>
  <c r="H515" i="13" s="1"/>
  <c r="E516" i="13"/>
  <c r="H516" i="13" s="1" a="1"/>
  <c r="H516" i="13" s="1"/>
  <c r="E517" i="13"/>
  <c r="H517" i="13" s="1" a="1"/>
  <c r="H517" i="13" s="1"/>
  <c r="E518" i="13"/>
  <c r="H518" i="13" s="1" a="1"/>
  <c r="H518" i="13" s="1"/>
  <c r="E519" i="13"/>
  <c r="H519" i="13" s="1" a="1"/>
  <c r="H519" i="13" s="1"/>
  <c r="E520" i="13"/>
  <c r="H520" i="13" s="1" a="1"/>
  <c r="H520" i="13" s="1"/>
  <c r="E521" i="13"/>
  <c r="H521" i="13" s="1" a="1"/>
  <c r="H521" i="13" s="1"/>
  <c r="E522" i="13"/>
  <c r="H522" i="13" s="1" a="1"/>
  <c r="H522" i="13" s="1"/>
  <c r="E523" i="13"/>
  <c r="H523" i="13" s="1" a="1"/>
  <c r="H523" i="13" s="1"/>
  <c r="E524" i="13"/>
  <c r="E525" i="13"/>
  <c r="H525" i="13" s="1" a="1"/>
  <c r="H525" i="13" s="1"/>
  <c r="E526" i="13"/>
  <c r="H526" i="13" s="1" a="1"/>
  <c r="H526" i="13" s="1"/>
  <c r="E527" i="13"/>
  <c r="H527" i="13" s="1" a="1"/>
  <c r="H527" i="13" s="1"/>
  <c r="E528" i="13"/>
  <c r="H528" i="13" s="1" a="1"/>
  <c r="H528" i="13" s="1"/>
  <c r="E529" i="13"/>
  <c r="H529" i="13" s="1" a="1"/>
  <c r="H529" i="13" s="1"/>
  <c r="E530" i="13"/>
  <c r="H530" i="13" s="1" a="1"/>
  <c r="H530" i="13" s="1"/>
  <c r="E531" i="13"/>
  <c r="H531" i="13" s="1" a="1"/>
  <c r="H531" i="13" s="1"/>
  <c r="E532" i="13"/>
  <c r="H532" i="13" s="1" a="1"/>
  <c r="H532" i="13" s="1"/>
  <c r="E533" i="13"/>
  <c r="H533" i="13" s="1" a="1"/>
  <c r="H533" i="13" s="1"/>
  <c r="E534" i="13"/>
  <c r="H534" i="13" s="1" a="1"/>
  <c r="H534" i="13" s="1"/>
  <c r="E535" i="13"/>
  <c r="H535" i="13" s="1" a="1"/>
  <c r="H535" i="13" s="1"/>
  <c r="E536" i="13"/>
  <c r="H536" i="13" s="1" a="1"/>
  <c r="H536" i="13" s="1"/>
  <c r="E537" i="13"/>
  <c r="H537" i="13" s="1" a="1"/>
  <c r="H537" i="13" s="1"/>
  <c r="E538" i="13"/>
  <c r="H538" i="13" s="1" a="1"/>
  <c r="H538" i="13" s="1"/>
  <c r="E539" i="13"/>
  <c r="H539" i="13" s="1" a="1"/>
  <c r="H539" i="13" s="1"/>
  <c r="E540" i="13"/>
  <c r="H540" i="13" s="1" a="1"/>
  <c r="H540" i="13" s="1"/>
  <c r="E541" i="13"/>
  <c r="H541" i="13" s="1" a="1"/>
  <c r="H541" i="13" s="1"/>
  <c r="E542" i="13"/>
  <c r="H542" i="13" s="1" a="1"/>
  <c r="H542" i="13" s="1"/>
  <c r="E543" i="13"/>
  <c r="H543" i="13" s="1" a="1"/>
  <c r="H543" i="13" s="1"/>
  <c r="E544" i="13"/>
  <c r="H544" i="13" s="1" a="1"/>
  <c r="H544" i="13" s="1"/>
  <c r="E545" i="13"/>
  <c r="H545" i="13" s="1" a="1"/>
  <c r="H545" i="13" s="1"/>
  <c r="E546" i="13"/>
  <c r="H546" i="13" s="1" a="1"/>
  <c r="H546" i="13" s="1"/>
  <c r="E547" i="13"/>
  <c r="E548" i="13"/>
  <c r="E549" i="13"/>
  <c r="H549" i="13" s="1" a="1"/>
  <c r="H549" i="13" s="1"/>
  <c r="E550" i="13"/>
  <c r="E551" i="13"/>
  <c r="H551" i="13" s="1" a="1"/>
  <c r="H551" i="13" s="1"/>
  <c r="E552" i="13"/>
  <c r="H552" i="13" s="1" a="1"/>
  <c r="H552" i="13" s="1"/>
  <c r="E553" i="13"/>
  <c r="E554" i="13"/>
  <c r="E555" i="13"/>
  <c r="H555" i="13" s="1" a="1"/>
  <c r="H555" i="13" s="1"/>
  <c r="E556" i="13"/>
  <c r="H556" i="13" s="1" a="1"/>
  <c r="H556" i="13" s="1"/>
  <c r="E557" i="13"/>
  <c r="H557" i="13" s="1" a="1"/>
  <c r="H557" i="13" s="1"/>
  <c r="E558" i="13"/>
  <c r="H558" i="13" s="1" a="1"/>
  <c r="H558" i="13" s="1"/>
  <c r="E559" i="13"/>
  <c r="E560" i="13"/>
  <c r="E561" i="13"/>
  <c r="E562" i="13"/>
  <c r="H562" i="13" s="1" a="1"/>
  <c r="H562" i="13" s="1"/>
  <c r="E563" i="13"/>
  <c r="E564" i="13"/>
  <c r="H564" i="13" s="1" a="1"/>
  <c r="H564" i="13" s="1"/>
  <c r="E565" i="13"/>
  <c r="H565" i="13" s="1" a="1"/>
  <c r="H565" i="13" s="1"/>
  <c r="E566" i="13"/>
  <c r="H566" i="13" s="1" a="1"/>
  <c r="H566" i="13" s="1"/>
  <c r="E567" i="13"/>
  <c r="H567" i="13" s="1" a="1"/>
  <c r="H567" i="13" s="1"/>
  <c r="E568" i="13"/>
  <c r="H568" i="13" s="1" a="1"/>
  <c r="H568" i="13" s="1"/>
  <c r="E569" i="13"/>
  <c r="E570" i="13"/>
  <c r="E571" i="13"/>
  <c r="H571" i="13" s="1" a="1"/>
  <c r="H571" i="13" s="1"/>
  <c r="E572" i="13"/>
  <c r="E573" i="13"/>
  <c r="H573" i="13" s="1" a="1"/>
  <c r="H573" i="13" s="1"/>
  <c r="E574" i="13"/>
  <c r="E575" i="13"/>
  <c r="H575" i="13" s="1" a="1"/>
  <c r="H575" i="13" s="1"/>
  <c r="E576" i="13"/>
  <c r="H576" i="13" s="1" a="1"/>
  <c r="H576" i="13" s="1"/>
  <c r="E577" i="13"/>
  <c r="H577" i="13" s="1" a="1"/>
  <c r="H577" i="13" s="1"/>
  <c r="E578" i="13"/>
  <c r="H578" i="13" s="1" a="1"/>
  <c r="H578" i="13" s="1"/>
  <c r="E579" i="13"/>
  <c r="H579" i="13" s="1" a="1"/>
  <c r="H579" i="13" s="1"/>
  <c r="E580" i="13"/>
  <c r="H580" i="13" s="1" a="1"/>
  <c r="H580" i="13" s="1"/>
  <c r="E581" i="13"/>
  <c r="H581" i="13" s="1" a="1"/>
  <c r="H581" i="13" s="1"/>
  <c r="E582" i="13"/>
  <c r="H582" i="13" s="1" a="1"/>
  <c r="H582" i="13" s="1"/>
  <c r="E583" i="13"/>
  <c r="H583" i="13" s="1" a="1"/>
  <c r="H583" i="13" s="1"/>
  <c r="E584" i="13"/>
  <c r="H584" i="13" s="1" a="1"/>
  <c r="H584" i="13" s="1"/>
  <c r="E585" i="13"/>
  <c r="H585" i="13" s="1" a="1"/>
  <c r="H585" i="13" s="1"/>
  <c r="E586" i="13"/>
  <c r="H586" i="13" s="1" a="1"/>
  <c r="H586" i="13" s="1"/>
  <c r="E587" i="13"/>
  <c r="H587" i="13" s="1" a="1"/>
  <c r="H587" i="13" s="1"/>
  <c r="E588" i="13"/>
  <c r="H588" i="13" s="1" a="1"/>
  <c r="H588" i="13" s="1"/>
  <c r="E589" i="13"/>
  <c r="H589" i="13" s="1" a="1"/>
  <c r="H589" i="13" s="1"/>
  <c r="E590" i="13"/>
  <c r="H590" i="13" s="1" a="1"/>
  <c r="H590" i="13" s="1"/>
  <c r="E591" i="13"/>
  <c r="H591" i="13" s="1" a="1"/>
  <c r="H591" i="13" s="1"/>
  <c r="E592" i="13"/>
  <c r="H592" i="13" s="1" a="1"/>
  <c r="H592" i="13" s="1"/>
  <c r="E593" i="13"/>
  <c r="H593" i="13" s="1" a="1"/>
  <c r="H593" i="13" s="1"/>
  <c r="E594" i="13"/>
  <c r="H594" i="13" s="1" a="1"/>
  <c r="H594" i="13" s="1"/>
  <c r="E595" i="13"/>
  <c r="H595" i="13" s="1" a="1"/>
  <c r="H595" i="13" s="1"/>
  <c r="E596" i="13"/>
  <c r="H596" i="13" s="1" a="1"/>
  <c r="H596" i="13" s="1"/>
  <c r="E597" i="13"/>
  <c r="H597" i="13" s="1" a="1"/>
  <c r="H597" i="13" s="1"/>
  <c r="E598" i="13"/>
  <c r="H598" i="13" s="1" a="1"/>
  <c r="H598" i="13" s="1"/>
  <c r="E599" i="13"/>
  <c r="H599" i="13" s="1" a="1"/>
  <c r="H599" i="13" s="1"/>
  <c r="E600" i="13"/>
  <c r="H600" i="13" s="1" a="1"/>
  <c r="H600" i="13" s="1"/>
  <c r="E601" i="13"/>
  <c r="H601" i="13" s="1" a="1"/>
  <c r="H601" i="13" s="1"/>
  <c r="E602" i="13"/>
  <c r="H602" i="13" s="1" a="1"/>
  <c r="H602" i="13" s="1"/>
  <c r="E603" i="13"/>
  <c r="H603" i="13" s="1" a="1"/>
  <c r="H603" i="13" s="1"/>
  <c r="E604" i="13"/>
  <c r="H604" i="13" s="1" a="1"/>
  <c r="H604" i="13" s="1"/>
  <c r="E605" i="13"/>
  <c r="H605" i="13" s="1" a="1"/>
  <c r="H605" i="13" s="1"/>
  <c r="E606" i="13"/>
  <c r="H606" i="13" s="1" a="1"/>
  <c r="H606" i="13" s="1"/>
  <c r="E607" i="13"/>
  <c r="H607" i="13" s="1" a="1"/>
  <c r="H607" i="13" s="1"/>
  <c r="E608" i="13"/>
  <c r="H608" i="13" s="1" a="1"/>
  <c r="H608" i="13" s="1"/>
  <c r="E609" i="13"/>
  <c r="H609" i="13" s="1" a="1"/>
  <c r="H609" i="13" s="1"/>
  <c r="E610" i="13"/>
  <c r="H610" i="13" s="1" a="1"/>
  <c r="H610" i="13" s="1"/>
  <c r="E611" i="13"/>
  <c r="H611" i="13" s="1" a="1"/>
  <c r="H611" i="13" s="1"/>
  <c r="E612" i="13"/>
  <c r="H612" i="13" s="1" a="1"/>
  <c r="H612" i="13" s="1"/>
  <c r="E613" i="13"/>
  <c r="H613" i="13" s="1" a="1"/>
  <c r="H613" i="13" s="1"/>
  <c r="E614" i="13"/>
  <c r="H614" i="13" s="1" a="1"/>
  <c r="H614" i="13" s="1"/>
  <c r="E615" i="13"/>
  <c r="H615" i="13" s="1" a="1"/>
  <c r="H615" i="13" s="1"/>
  <c r="E616" i="13"/>
  <c r="H616" i="13" s="1" a="1"/>
  <c r="H616" i="13" s="1"/>
  <c r="E617" i="13"/>
  <c r="H617" i="13" s="1" a="1"/>
  <c r="H617" i="13" s="1"/>
  <c r="E618" i="13"/>
  <c r="H618" i="13" s="1" a="1"/>
  <c r="H618" i="13" s="1"/>
  <c r="E619" i="13"/>
  <c r="H619" i="13" s="1" a="1"/>
  <c r="H619" i="13" s="1"/>
  <c r="E620" i="13"/>
  <c r="H620" i="13" s="1" a="1"/>
  <c r="H620" i="13" s="1"/>
  <c r="E621" i="13"/>
  <c r="H621" i="13" s="1" a="1"/>
  <c r="H621" i="13" s="1"/>
  <c r="E622" i="13"/>
  <c r="H622" i="13" s="1" a="1"/>
  <c r="H622" i="13" s="1"/>
  <c r="E623" i="13"/>
  <c r="H623" i="13" s="1" a="1"/>
  <c r="H623" i="13" s="1"/>
  <c r="E624" i="13"/>
  <c r="H624" i="13" s="1" a="1"/>
  <c r="H624" i="13" s="1"/>
  <c r="E625" i="13"/>
  <c r="H625" i="13" s="1" a="1"/>
  <c r="H625" i="13" s="1"/>
  <c r="E626" i="13"/>
  <c r="H626" i="13" s="1" a="1"/>
  <c r="H626" i="13" s="1"/>
  <c r="E627" i="13"/>
  <c r="H627" i="13" s="1" a="1"/>
  <c r="H627" i="13" s="1"/>
  <c r="E628" i="13"/>
  <c r="H628" i="13" s="1" a="1"/>
  <c r="H628" i="13" s="1"/>
  <c r="E629" i="13"/>
  <c r="H629" i="13" s="1" a="1"/>
  <c r="H629" i="13" s="1"/>
  <c r="E630" i="13"/>
  <c r="E631" i="13"/>
  <c r="H631" i="13" s="1" a="1"/>
  <c r="H631" i="13" s="1"/>
  <c r="E632" i="13"/>
  <c r="E633" i="13"/>
  <c r="E634" i="13"/>
  <c r="E635" i="13"/>
  <c r="E636" i="13"/>
  <c r="E637" i="13"/>
  <c r="H637" i="13" s="1" a="1"/>
  <c r="H637" i="13" s="1"/>
  <c r="E638" i="13"/>
  <c r="H638" i="13" s="1" a="1"/>
  <c r="H638" i="13" s="1"/>
  <c r="E639" i="13"/>
  <c r="H639" i="13" s="1" a="1"/>
  <c r="H639" i="13" s="1"/>
  <c r="E640" i="13"/>
  <c r="H640" i="13" s="1" a="1"/>
  <c r="H640" i="13" s="1"/>
  <c r="E641" i="13"/>
  <c r="H641" i="13" s="1" a="1"/>
  <c r="H641" i="13" s="1"/>
  <c r="E642" i="13"/>
  <c r="H642" i="13" s="1" a="1"/>
  <c r="H642" i="13" s="1"/>
  <c r="E643" i="13"/>
  <c r="E644" i="13"/>
  <c r="H644" i="13" s="1" a="1"/>
  <c r="H644" i="13" s="1"/>
  <c r="E645" i="13"/>
  <c r="H645" i="13" s="1" a="1"/>
  <c r="H645" i="13" s="1"/>
  <c r="E646" i="13"/>
  <c r="E647" i="13"/>
  <c r="H647" i="13" s="1" a="1"/>
  <c r="H647" i="13" s="1"/>
  <c r="E648" i="13"/>
  <c r="H648" i="13" s="1" a="1"/>
  <c r="H648" i="13" s="1"/>
  <c r="E649" i="13"/>
  <c r="E650" i="13"/>
  <c r="E651" i="13"/>
  <c r="H651" i="13" s="1" a="1"/>
  <c r="H651" i="13" s="1"/>
  <c r="E652" i="13"/>
  <c r="E653" i="13"/>
  <c r="H653" i="13" s="1" a="1"/>
  <c r="H653" i="13" s="1"/>
  <c r="E654" i="13"/>
  <c r="E655" i="13"/>
  <c r="H655" i="13" s="1" a="1"/>
  <c r="H655" i="13" s="1"/>
  <c r="E656" i="13"/>
  <c r="E657" i="13"/>
  <c r="E658" i="13"/>
  <c r="H658" i="13" s="1" a="1"/>
  <c r="H658" i="13" s="1"/>
  <c r="E659" i="13"/>
  <c r="E660" i="13"/>
  <c r="H660" i="13" s="1" a="1"/>
  <c r="H660" i="13" s="1"/>
  <c r="E661" i="13"/>
  <c r="H661" i="13" s="1" a="1"/>
  <c r="H661" i="13" s="1"/>
  <c r="E662" i="13"/>
  <c r="H662" i="13" s="1" a="1"/>
  <c r="H662" i="13" s="1"/>
  <c r="E663" i="13"/>
  <c r="H663" i="13" s="1" a="1"/>
  <c r="H663" i="13" s="1"/>
  <c r="E664" i="13"/>
  <c r="H664" i="13" s="1" a="1"/>
  <c r="H664" i="13" s="1"/>
  <c r="E665" i="13"/>
  <c r="E666" i="13"/>
  <c r="E667" i="13"/>
  <c r="E668" i="13"/>
  <c r="E669" i="13"/>
  <c r="H669" i="13" s="1" a="1"/>
  <c r="H669" i="13" s="1"/>
  <c r="E670" i="13"/>
  <c r="E671" i="13"/>
  <c r="H671" i="13" s="1" a="1"/>
  <c r="H671" i="13" s="1"/>
  <c r="E672" i="13"/>
  <c r="E673" i="13"/>
  <c r="E674" i="13"/>
  <c r="H674" i="13" s="1" a="1"/>
  <c r="H674" i="13" s="1"/>
  <c r="E675" i="13"/>
  <c r="E676" i="13"/>
  <c r="H676" i="13" s="1" a="1"/>
  <c r="H676" i="13" s="1"/>
  <c r="E677" i="13"/>
  <c r="E678" i="13"/>
  <c r="E679" i="13"/>
  <c r="H679" i="13" s="1" a="1"/>
  <c r="H679" i="13" s="1"/>
  <c r="E680" i="13"/>
  <c r="H680" i="13" s="1" a="1"/>
  <c r="H680" i="13" s="1"/>
  <c r="E681" i="13"/>
  <c r="E682" i="13"/>
  <c r="E683" i="13"/>
  <c r="H683" i="13" s="1" a="1"/>
  <c r="H683" i="13" s="1"/>
  <c r="E684" i="13"/>
  <c r="E685" i="13"/>
  <c r="E686" i="13"/>
  <c r="H686" i="13" s="1" a="1"/>
  <c r="H686" i="13" s="1"/>
  <c r="E687" i="13"/>
  <c r="H687" i="13" s="1" a="1"/>
  <c r="H687" i="13" s="1"/>
  <c r="E688" i="13"/>
  <c r="E689" i="13"/>
  <c r="E690" i="13"/>
  <c r="H690" i="13" s="1" a="1"/>
  <c r="H690" i="13" s="1"/>
  <c r="E691" i="13"/>
  <c r="E692" i="13"/>
  <c r="H692" i="13" s="1" a="1"/>
  <c r="H692" i="13" s="1"/>
  <c r="E693" i="13"/>
  <c r="H693" i="13" s="1" a="1"/>
  <c r="H693" i="13" s="1"/>
  <c r="E694" i="13"/>
  <c r="E695" i="13"/>
  <c r="H695" i="13" s="1" a="1"/>
  <c r="H695" i="13" s="1"/>
  <c r="E696" i="13"/>
  <c r="H696" i="13" s="1" a="1"/>
  <c r="H696" i="13" s="1"/>
  <c r="E697" i="13"/>
  <c r="E698" i="13"/>
  <c r="E699" i="13"/>
  <c r="H699" i="13" s="1" a="1"/>
  <c r="H699" i="13" s="1"/>
  <c r="E700" i="13"/>
  <c r="E701" i="13"/>
  <c r="H701" i="13" s="1" a="1"/>
  <c r="H701" i="13" s="1"/>
  <c r="E702" i="13"/>
  <c r="E703" i="13"/>
  <c r="E704" i="13"/>
  <c r="E705" i="13"/>
  <c r="E706" i="13"/>
  <c r="H706" i="13" s="1" a="1"/>
  <c r="H706" i="13" s="1"/>
  <c r="E707" i="13"/>
  <c r="H707" i="13" s="1" a="1"/>
  <c r="H707" i="13" s="1"/>
  <c r="E708" i="13"/>
  <c r="H708" i="13" s="1" a="1"/>
  <c r="H708" i="13" s="1"/>
  <c r="E709" i="13"/>
  <c r="H709" i="13" s="1" a="1"/>
  <c r="H709" i="13" s="1"/>
  <c r="E710" i="13"/>
  <c r="H710" i="13" s="1" a="1"/>
  <c r="H710" i="13" s="1"/>
  <c r="E711" i="13"/>
  <c r="H711" i="13" s="1" a="1"/>
  <c r="H711" i="13" s="1"/>
  <c r="E712" i="13"/>
  <c r="H712" i="13" s="1" a="1"/>
  <c r="H712" i="13" s="1"/>
  <c r="E713" i="13"/>
  <c r="H713" i="13" s="1" a="1"/>
  <c r="H713" i="13" s="1"/>
  <c r="E714" i="13"/>
  <c r="H714" i="13" s="1" a="1"/>
  <c r="H714" i="13" s="1"/>
  <c r="E715" i="13"/>
  <c r="H715" i="13" s="1" a="1"/>
  <c r="H715" i="13" s="1"/>
  <c r="E716" i="13"/>
  <c r="H716" i="13" s="1" a="1"/>
  <c r="H716" i="13" s="1"/>
  <c r="E717" i="13"/>
  <c r="H717" i="13" s="1" a="1"/>
  <c r="H717" i="13" s="1"/>
  <c r="E718" i="13"/>
  <c r="H718" i="13" s="1" a="1"/>
  <c r="H718" i="13" s="1"/>
  <c r="E719" i="13"/>
  <c r="H719" i="13" s="1" a="1"/>
  <c r="H719" i="13" s="1"/>
  <c r="E720" i="13"/>
  <c r="H720" i="13" s="1" a="1"/>
  <c r="H720" i="13" s="1"/>
  <c r="E721" i="13"/>
  <c r="H721" i="13" s="1" a="1"/>
  <c r="H721" i="13" s="1"/>
  <c r="E722" i="13"/>
  <c r="H722" i="13" s="1" a="1"/>
  <c r="H722" i="13" s="1"/>
  <c r="E723" i="13"/>
  <c r="H723" i="13" s="1" a="1"/>
  <c r="H723" i="13" s="1"/>
  <c r="E724" i="13"/>
  <c r="H724" i="13" s="1" a="1"/>
  <c r="H724" i="13" s="1"/>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C235" i="13"/>
  <c r="C236" i="13"/>
  <c r="C237" i="13"/>
  <c r="C238" i="13"/>
  <c r="C239" i="13"/>
  <c r="C240" i="13"/>
  <c r="C241" i="13"/>
  <c r="C242" i="13"/>
  <c r="C243" i="13"/>
  <c r="C244" i="13"/>
  <c r="C245" i="13"/>
  <c r="C246" i="13"/>
  <c r="C247" i="13"/>
  <c r="C248" i="13"/>
  <c r="C249" i="13"/>
  <c r="C250" i="13"/>
  <c r="C251" i="13"/>
  <c r="C252" i="13"/>
  <c r="C253" i="13"/>
  <c r="C254" i="13"/>
  <c r="C255" i="13"/>
  <c r="C256" i="13"/>
  <c r="C257" i="13"/>
  <c r="C258" i="13"/>
  <c r="C259" i="13"/>
  <c r="C260" i="13"/>
  <c r="C261" i="13"/>
  <c r="C262" i="13"/>
  <c r="C263" i="13"/>
  <c r="C264" i="13"/>
  <c r="C265" i="13"/>
  <c r="C266" i="13"/>
  <c r="C267" i="13"/>
  <c r="C268" i="13"/>
  <c r="C269" i="13"/>
  <c r="C270" i="13"/>
  <c r="C271" i="13"/>
  <c r="C272" i="13"/>
  <c r="C273" i="13"/>
  <c r="C274" i="13"/>
  <c r="C275" i="13"/>
  <c r="C276" i="13"/>
  <c r="C277" i="13"/>
  <c r="C278" i="13"/>
  <c r="C279" i="13"/>
  <c r="C280" i="13"/>
  <c r="C281" i="13"/>
  <c r="C282" i="13"/>
  <c r="C283" i="13"/>
  <c r="C284" i="13"/>
  <c r="C285" i="13"/>
  <c r="C286" i="13"/>
  <c r="C287" i="13"/>
  <c r="C288" i="13"/>
  <c r="C289" i="13"/>
  <c r="C290" i="13"/>
  <c r="C291" i="13"/>
  <c r="C292" i="13"/>
  <c r="C293" i="13"/>
  <c r="C294" i="13"/>
  <c r="C295" i="13"/>
  <c r="C296" i="13"/>
  <c r="C297" i="13"/>
  <c r="C298" i="13"/>
  <c r="C299" i="13"/>
  <c r="C300" i="13"/>
  <c r="C301" i="13"/>
  <c r="C302" i="13"/>
  <c r="C303" i="13"/>
  <c r="C304" i="13"/>
  <c r="C305" i="13"/>
  <c r="C306" i="13"/>
  <c r="C307" i="13"/>
  <c r="C308" i="13"/>
  <c r="C309" i="13"/>
  <c r="C310" i="13"/>
  <c r="C311" i="13"/>
  <c r="C312" i="13"/>
  <c r="C313" i="13"/>
  <c r="C314" i="13"/>
  <c r="C315" i="13"/>
  <c r="C316" i="13"/>
  <c r="C317" i="13"/>
  <c r="C318" i="13"/>
  <c r="C319" i="13"/>
  <c r="C320" i="13"/>
  <c r="C321" i="13"/>
  <c r="C322" i="13"/>
  <c r="C323" i="13"/>
  <c r="C324" i="13"/>
  <c r="C325" i="13"/>
  <c r="C326" i="13"/>
  <c r="C327" i="13"/>
  <c r="C328" i="13"/>
  <c r="C329" i="13"/>
  <c r="C330" i="13"/>
  <c r="C331" i="13"/>
  <c r="C332" i="13"/>
  <c r="C333" i="13"/>
  <c r="C334" i="13"/>
  <c r="C335" i="13"/>
  <c r="C336" i="13"/>
  <c r="C337" i="13"/>
  <c r="C338" i="13"/>
  <c r="C339" i="13"/>
  <c r="C340" i="13"/>
  <c r="C341" i="13"/>
  <c r="C342" i="13"/>
  <c r="C343" i="13"/>
  <c r="C344" i="13"/>
  <c r="C345" i="13"/>
  <c r="C346" i="13"/>
  <c r="C347" i="13"/>
  <c r="C348" i="13"/>
  <c r="C349" i="13"/>
  <c r="C350" i="13"/>
  <c r="C351" i="13"/>
  <c r="C352" i="13"/>
  <c r="C353" i="13"/>
  <c r="C354" i="13"/>
  <c r="C355" i="13"/>
  <c r="C356" i="13"/>
  <c r="C357" i="13"/>
  <c r="C358" i="13"/>
  <c r="C359" i="13"/>
  <c r="C360" i="13"/>
  <c r="C361" i="13"/>
  <c r="C362" i="13"/>
  <c r="C363" i="13"/>
  <c r="C364" i="13"/>
  <c r="C365" i="13"/>
  <c r="C366" i="13"/>
  <c r="C367" i="13"/>
  <c r="C368" i="13"/>
  <c r="C369" i="13"/>
  <c r="C370" i="13"/>
  <c r="C371" i="13"/>
  <c r="C372" i="13"/>
  <c r="C373" i="13"/>
  <c r="C374" i="13"/>
  <c r="C375" i="13"/>
  <c r="C376" i="13"/>
  <c r="C377" i="13"/>
  <c r="C378" i="13"/>
  <c r="C379" i="13"/>
  <c r="C380" i="13"/>
  <c r="C381" i="13"/>
  <c r="C382" i="13"/>
  <c r="C383" i="13"/>
  <c r="C384" i="13"/>
  <c r="C385" i="13"/>
  <c r="C386" i="13"/>
  <c r="C387" i="13"/>
  <c r="C388" i="13"/>
  <c r="C389" i="13"/>
  <c r="C390" i="13"/>
  <c r="C391" i="13"/>
  <c r="C392" i="13"/>
  <c r="C393" i="13"/>
  <c r="C394" i="13"/>
  <c r="C395" i="13"/>
  <c r="C396" i="13"/>
  <c r="C397" i="13"/>
  <c r="C398" i="13"/>
  <c r="C399" i="13"/>
  <c r="C400" i="13"/>
  <c r="C401" i="13"/>
  <c r="C402" i="13"/>
  <c r="C403" i="13"/>
  <c r="C404" i="13"/>
  <c r="C405" i="13"/>
  <c r="C406" i="13"/>
  <c r="C407" i="13"/>
  <c r="C408" i="13"/>
  <c r="C409" i="13"/>
  <c r="C410" i="13"/>
  <c r="C411" i="13"/>
  <c r="C412" i="13"/>
  <c r="C413" i="13"/>
  <c r="C414" i="13"/>
  <c r="C415" i="13"/>
  <c r="C416" i="13"/>
  <c r="C417" i="13"/>
  <c r="C418" i="13"/>
  <c r="C419" i="13"/>
  <c r="C420" i="13"/>
  <c r="C421" i="13"/>
  <c r="C422" i="13"/>
  <c r="C423" i="13"/>
  <c r="C424" i="13"/>
  <c r="C425" i="13"/>
  <c r="C426" i="13"/>
  <c r="C427" i="13"/>
  <c r="C428" i="13"/>
  <c r="C429" i="13"/>
  <c r="C430" i="13"/>
  <c r="C431" i="13"/>
  <c r="C432" i="13"/>
  <c r="C433" i="13"/>
  <c r="C434" i="13"/>
  <c r="C435" i="13"/>
  <c r="C436" i="13"/>
  <c r="C437" i="13"/>
  <c r="C438" i="13"/>
  <c r="C439" i="13"/>
  <c r="C440" i="13"/>
  <c r="C441" i="13"/>
  <c r="C442" i="13"/>
  <c r="C443" i="13"/>
  <c r="C444" i="13"/>
  <c r="C445" i="13"/>
  <c r="C446" i="13"/>
  <c r="C447" i="13"/>
  <c r="C448" i="13"/>
  <c r="C449" i="13"/>
  <c r="C450" i="13"/>
  <c r="C451" i="13"/>
  <c r="C452" i="13"/>
  <c r="C453" i="13"/>
  <c r="C454" i="13"/>
  <c r="C455" i="13"/>
  <c r="C456" i="13"/>
  <c r="C457" i="13"/>
  <c r="C458" i="13"/>
  <c r="C459" i="13"/>
  <c r="C460" i="13"/>
  <c r="C461" i="13"/>
  <c r="C462" i="13"/>
  <c r="C463" i="13"/>
  <c r="C464" i="13"/>
  <c r="C465" i="13"/>
  <c r="C466" i="13"/>
  <c r="C467" i="13"/>
  <c r="C468" i="13"/>
  <c r="C469" i="13"/>
  <c r="C470" i="13"/>
  <c r="C471" i="13"/>
  <c r="C472" i="13"/>
  <c r="C473" i="13"/>
  <c r="C474" i="13"/>
  <c r="C475" i="13"/>
  <c r="C476" i="13"/>
  <c r="C477" i="13"/>
  <c r="C478" i="13"/>
  <c r="C479" i="13"/>
  <c r="C480" i="13"/>
  <c r="C481" i="13"/>
  <c r="C482" i="13"/>
  <c r="C483" i="13"/>
  <c r="C484" i="13"/>
  <c r="C485" i="13"/>
  <c r="C486" i="13"/>
  <c r="C487" i="13"/>
  <c r="C488" i="13"/>
  <c r="C489" i="13"/>
  <c r="C490" i="13"/>
  <c r="C491" i="13"/>
  <c r="C492" i="13"/>
  <c r="C493" i="13"/>
  <c r="C494" i="13"/>
  <c r="C495" i="13"/>
  <c r="C496" i="13"/>
  <c r="C497" i="13"/>
  <c r="C498" i="13"/>
  <c r="C499" i="13"/>
  <c r="C500" i="13"/>
  <c r="C501" i="13"/>
  <c r="C502" i="13"/>
  <c r="C503" i="13"/>
  <c r="C504" i="13"/>
  <c r="C505" i="13"/>
  <c r="C506" i="13"/>
  <c r="C507" i="13"/>
  <c r="C508" i="13"/>
  <c r="C509" i="13"/>
  <c r="C510" i="13"/>
  <c r="C511" i="13"/>
  <c r="C512" i="13"/>
  <c r="C513" i="13"/>
  <c r="C514" i="13"/>
  <c r="C515" i="13"/>
  <c r="C516" i="13"/>
  <c r="C517" i="13"/>
  <c r="C518" i="13"/>
  <c r="C519" i="13"/>
  <c r="C520" i="13"/>
  <c r="C521" i="13"/>
  <c r="C522" i="13"/>
  <c r="C523" i="13"/>
  <c r="C524" i="13"/>
  <c r="C525" i="13"/>
  <c r="C526" i="13"/>
  <c r="C527" i="13"/>
  <c r="C528" i="13"/>
  <c r="C529" i="13"/>
  <c r="C530" i="13"/>
  <c r="C531" i="13"/>
  <c r="C532" i="13"/>
  <c r="C533" i="13"/>
  <c r="C534" i="13"/>
  <c r="C535" i="13"/>
  <c r="C536" i="13"/>
  <c r="C537" i="13"/>
  <c r="C538" i="13"/>
  <c r="C539" i="13"/>
  <c r="C540" i="13"/>
  <c r="C541" i="13"/>
  <c r="C542" i="13"/>
  <c r="C543" i="13"/>
  <c r="C544" i="13"/>
  <c r="C545" i="13"/>
  <c r="C546" i="13"/>
  <c r="C547" i="13"/>
  <c r="C548" i="13"/>
  <c r="C549" i="13"/>
  <c r="C550" i="13"/>
  <c r="C551" i="13"/>
  <c r="C552" i="13"/>
  <c r="C553" i="13"/>
  <c r="C554" i="13"/>
  <c r="C555" i="13"/>
  <c r="C556" i="13"/>
  <c r="C557" i="13"/>
  <c r="C558" i="13"/>
  <c r="C559" i="13"/>
  <c r="C560" i="13"/>
  <c r="C561" i="13"/>
  <c r="C562" i="13"/>
  <c r="C563" i="13"/>
  <c r="C564" i="13"/>
  <c r="C565" i="13"/>
  <c r="C566" i="13"/>
  <c r="C567" i="13"/>
  <c r="C568" i="13"/>
  <c r="C569" i="13"/>
  <c r="C570" i="13"/>
  <c r="C571" i="13"/>
  <c r="C572" i="13"/>
  <c r="C573" i="13"/>
  <c r="C574" i="13"/>
  <c r="C575" i="13"/>
  <c r="C576" i="13"/>
  <c r="C577" i="13"/>
  <c r="C578" i="13"/>
  <c r="C579" i="13"/>
  <c r="C580" i="13"/>
  <c r="C581" i="13"/>
  <c r="C582" i="13"/>
  <c r="C583" i="13"/>
  <c r="C584" i="13"/>
  <c r="C585" i="13"/>
  <c r="C586" i="13"/>
  <c r="C587" i="13"/>
  <c r="C588" i="13"/>
  <c r="C589" i="13"/>
  <c r="C590" i="13"/>
  <c r="C591" i="13"/>
  <c r="C592" i="13"/>
  <c r="C593" i="13"/>
  <c r="C594" i="13"/>
  <c r="C595" i="13"/>
  <c r="C596" i="13"/>
  <c r="C597" i="13"/>
  <c r="C598" i="13"/>
  <c r="C599" i="13"/>
  <c r="C600" i="13"/>
  <c r="C601" i="13"/>
  <c r="C602" i="13"/>
  <c r="C603" i="13"/>
  <c r="C604" i="13"/>
  <c r="C605" i="13"/>
  <c r="C606" i="13"/>
  <c r="C607" i="13"/>
  <c r="C608" i="13"/>
  <c r="C609" i="13"/>
  <c r="C610" i="13"/>
  <c r="C611" i="13"/>
  <c r="C612" i="13"/>
  <c r="C613" i="13"/>
  <c r="C614" i="13"/>
  <c r="C615" i="13"/>
  <c r="C616" i="13"/>
  <c r="C617" i="13"/>
  <c r="C618" i="13"/>
  <c r="C619" i="13"/>
  <c r="C620" i="13"/>
  <c r="C621" i="13"/>
  <c r="C622" i="13"/>
  <c r="C623" i="13"/>
  <c r="C624" i="13"/>
  <c r="C625" i="13"/>
  <c r="C626" i="13"/>
  <c r="C627" i="13"/>
  <c r="C628" i="13"/>
  <c r="C629" i="13"/>
  <c r="C630" i="13"/>
  <c r="C631" i="13"/>
  <c r="C632" i="13"/>
  <c r="C633" i="13"/>
  <c r="C634" i="13"/>
  <c r="C635" i="13"/>
  <c r="C636" i="13"/>
  <c r="C637" i="13"/>
  <c r="C638" i="13"/>
  <c r="C639" i="13"/>
  <c r="C640" i="13"/>
  <c r="C641" i="13"/>
  <c r="C642" i="13"/>
  <c r="C643" i="13"/>
  <c r="C644" i="13"/>
  <c r="C645" i="13"/>
  <c r="C646" i="13"/>
  <c r="C647" i="13"/>
  <c r="C648" i="13"/>
  <c r="C649" i="13"/>
  <c r="C650" i="13"/>
  <c r="C651" i="13"/>
  <c r="C652" i="13"/>
  <c r="C653" i="13"/>
  <c r="C654" i="13"/>
  <c r="C655" i="13"/>
  <c r="C656" i="13"/>
  <c r="C657" i="13"/>
  <c r="C658" i="13"/>
  <c r="C659" i="13"/>
  <c r="C660" i="13"/>
  <c r="C661" i="13"/>
  <c r="C662" i="13"/>
  <c r="C663" i="13"/>
  <c r="C664" i="13"/>
  <c r="C665" i="13"/>
  <c r="C666" i="13"/>
  <c r="C667" i="13"/>
  <c r="C668" i="13"/>
  <c r="C669" i="13"/>
  <c r="C670" i="13"/>
  <c r="C671" i="13"/>
  <c r="C672" i="13"/>
  <c r="C673" i="13"/>
  <c r="C674" i="13"/>
  <c r="C675" i="13"/>
  <c r="C676" i="13"/>
  <c r="C677" i="13"/>
  <c r="C678" i="13"/>
  <c r="C679" i="13"/>
  <c r="C680" i="13"/>
  <c r="C681" i="13"/>
  <c r="C682" i="13"/>
  <c r="C683" i="13"/>
  <c r="C684" i="13"/>
  <c r="C685" i="13"/>
  <c r="C686" i="13"/>
  <c r="C687" i="13"/>
  <c r="C688" i="13"/>
  <c r="C689" i="13"/>
  <c r="C690" i="13"/>
  <c r="C691" i="13"/>
  <c r="C692" i="13"/>
  <c r="C693" i="13"/>
  <c r="C694" i="13"/>
  <c r="C695" i="13"/>
  <c r="C696" i="13"/>
  <c r="C697" i="13"/>
  <c r="C698" i="13"/>
  <c r="C699" i="13"/>
  <c r="C700" i="13"/>
  <c r="C701" i="13"/>
  <c r="C702" i="13"/>
  <c r="C703" i="13"/>
  <c r="C704" i="13"/>
  <c r="C705" i="13"/>
  <c r="C706" i="13"/>
  <c r="C707" i="13"/>
  <c r="C708" i="13"/>
  <c r="C709" i="13"/>
  <c r="C710" i="13"/>
  <c r="C711" i="13"/>
  <c r="C712" i="13"/>
  <c r="C713" i="13"/>
  <c r="C714" i="13"/>
  <c r="C715" i="13"/>
  <c r="C716" i="13"/>
  <c r="C717" i="13"/>
  <c r="C718" i="13"/>
  <c r="C719" i="13"/>
  <c r="C720" i="13"/>
  <c r="C721" i="13"/>
  <c r="C722" i="13"/>
  <c r="C723" i="13"/>
  <c r="C7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72" i="13"/>
  <c r="B73" i="13"/>
  <c r="B74" i="13"/>
  <c r="B75" i="13"/>
  <c r="B76" i="13"/>
  <c r="B77" i="13"/>
  <c r="B78" i="13"/>
  <c r="B79" i="13"/>
  <c r="B80" i="13"/>
  <c r="B81" i="13"/>
  <c r="B82" i="13"/>
  <c r="B83" i="13"/>
  <c r="B84" i="13"/>
  <c r="B85" i="13"/>
  <c r="B86" i="13"/>
  <c r="B87" i="13"/>
  <c r="B88" i="13"/>
  <c r="B89" i="13"/>
  <c r="B90" i="13"/>
  <c r="B91" i="13"/>
  <c r="B92" i="13"/>
  <c r="B93" i="13"/>
  <c r="B94" i="13"/>
  <c r="B95" i="13"/>
  <c r="B96" i="13"/>
  <c r="B97" i="13"/>
  <c r="B98" i="13"/>
  <c r="B99" i="13"/>
  <c r="B100" i="13"/>
  <c r="B101" i="13"/>
  <c r="B102" i="13"/>
  <c r="B103" i="13"/>
  <c r="B104" i="13"/>
  <c r="B105" i="13"/>
  <c r="B106" i="13"/>
  <c r="B107" i="13"/>
  <c r="B108" i="13"/>
  <c r="B109" i="13"/>
  <c r="B110" i="13"/>
  <c r="B111" i="13"/>
  <c r="B112" i="13"/>
  <c r="B113" i="13"/>
  <c r="B114" i="13"/>
  <c r="B115" i="13"/>
  <c r="B116" i="13"/>
  <c r="B117" i="13"/>
  <c r="B118" i="13"/>
  <c r="B119" i="13"/>
  <c r="B120" i="13"/>
  <c r="B121" i="13"/>
  <c r="B122" i="13"/>
  <c r="B123" i="13"/>
  <c r="B124" i="13"/>
  <c r="B125" i="13"/>
  <c r="B126" i="13"/>
  <c r="B127" i="13"/>
  <c r="B128" i="13"/>
  <c r="B129" i="13"/>
  <c r="B130" i="13"/>
  <c r="B131" i="13"/>
  <c r="B132" i="13"/>
  <c r="B133" i="13"/>
  <c r="B134" i="13"/>
  <c r="B135" i="13"/>
  <c r="B136" i="13"/>
  <c r="B137" i="13"/>
  <c r="B138" i="13"/>
  <c r="B139" i="13"/>
  <c r="B140" i="13"/>
  <c r="B141" i="13"/>
  <c r="B142" i="13"/>
  <c r="B143" i="13"/>
  <c r="B144" i="13"/>
  <c r="B145" i="13"/>
  <c r="B146" i="13"/>
  <c r="B147" i="13"/>
  <c r="B148" i="13"/>
  <c r="B149" i="13"/>
  <c r="B150" i="13"/>
  <c r="B151" i="13"/>
  <c r="B152" i="13"/>
  <c r="B153" i="13"/>
  <c r="B154" i="13"/>
  <c r="B155" i="13"/>
  <c r="B156" i="13"/>
  <c r="B157" i="13"/>
  <c r="B158" i="13"/>
  <c r="B159" i="13"/>
  <c r="B160" i="13"/>
  <c r="B161" i="13"/>
  <c r="B162" i="13"/>
  <c r="B163" i="13"/>
  <c r="B164" i="13"/>
  <c r="B165" i="13"/>
  <c r="B166" i="13"/>
  <c r="B167" i="13"/>
  <c r="B168" i="13"/>
  <c r="B169" i="13"/>
  <c r="B170" i="13"/>
  <c r="B171" i="13"/>
  <c r="B172" i="13"/>
  <c r="B173" i="13"/>
  <c r="B174" i="13"/>
  <c r="B175" i="13"/>
  <c r="B176" i="13"/>
  <c r="B177" i="13"/>
  <c r="B178" i="13"/>
  <c r="B179" i="13"/>
  <c r="B180" i="13"/>
  <c r="B181" i="13"/>
  <c r="B182" i="13"/>
  <c r="B183" i="13"/>
  <c r="B184" i="13"/>
  <c r="B185" i="13"/>
  <c r="B186" i="13"/>
  <c r="B187" i="13"/>
  <c r="B188" i="13"/>
  <c r="B189" i="13"/>
  <c r="B190" i="13"/>
  <c r="B191" i="13"/>
  <c r="B192" i="13"/>
  <c r="B193" i="13"/>
  <c r="B194" i="13"/>
  <c r="B195" i="13"/>
  <c r="B196" i="13"/>
  <c r="B197" i="13"/>
  <c r="B198" i="13"/>
  <c r="B199" i="13"/>
  <c r="B200" i="13"/>
  <c r="B201" i="13"/>
  <c r="B202" i="13"/>
  <c r="B203" i="13"/>
  <c r="B204" i="13"/>
  <c r="B205" i="13"/>
  <c r="B206" i="13"/>
  <c r="B207" i="13"/>
  <c r="B208" i="13"/>
  <c r="B209" i="13"/>
  <c r="B210" i="13"/>
  <c r="B211" i="13"/>
  <c r="B212" i="13"/>
  <c r="B213" i="13"/>
  <c r="B214" i="13"/>
  <c r="B215" i="13"/>
  <c r="B216" i="13"/>
  <c r="B217" i="13"/>
  <c r="B218" i="13"/>
  <c r="B219" i="13"/>
  <c r="B220" i="13"/>
  <c r="B221" i="13"/>
  <c r="B222" i="13"/>
  <c r="B223" i="13"/>
  <c r="B224" i="13"/>
  <c r="B225" i="13"/>
  <c r="B226" i="13"/>
  <c r="B227" i="13"/>
  <c r="B228" i="13"/>
  <c r="B229" i="13"/>
  <c r="B230" i="13"/>
  <c r="B231" i="13"/>
  <c r="B232" i="13"/>
  <c r="B233" i="13"/>
  <c r="B234" i="13"/>
  <c r="B235" i="13"/>
  <c r="B236" i="13"/>
  <c r="B237" i="13"/>
  <c r="B238" i="13"/>
  <c r="B239" i="13"/>
  <c r="B240" i="13"/>
  <c r="B241" i="13"/>
  <c r="B242" i="13"/>
  <c r="B243" i="13"/>
  <c r="B244" i="13"/>
  <c r="B245" i="13"/>
  <c r="B246" i="13"/>
  <c r="B247" i="13"/>
  <c r="B248" i="13"/>
  <c r="B249" i="13"/>
  <c r="B250" i="13"/>
  <c r="B251" i="13"/>
  <c r="B252" i="13"/>
  <c r="B253" i="13"/>
  <c r="B254" i="13"/>
  <c r="B255" i="13"/>
  <c r="B256" i="13"/>
  <c r="B257" i="13"/>
  <c r="B258" i="13"/>
  <c r="B259" i="13"/>
  <c r="B260" i="13"/>
  <c r="B261" i="13"/>
  <c r="B262" i="13"/>
  <c r="B263" i="13"/>
  <c r="B264" i="13"/>
  <c r="B265" i="13"/>
  <c r="B266" i="13"/>
  <c r="B267" i="13"/>
  <c r="B268" i="13"/>
  <c r="B269" i="13"/>
  <c r="B270" i="13"/>
  <c r="B271" i="13"/>
  <c r="B272" i="13"/>
  <c r="B273" i="13"/>
  <c r="B274" i="13"/>
  <c r="B275" i="13"/>
  <c r="B276" i="13"/>
  <c r="B277" i="13"/>
  <c r="B278" i="13"/>
  <c r="B279" i="13"/>
  <c r="B280" i="13"/>
  <c r="B281" i="13"/>
  <c r="B282" i="13"/>
  <c r="B283" i="13"/>
  <c r="B284" i="13"/>
  <c r="B285" i="13"/>
  <c r="B286" i="13"/>
  <c r="B287" i="13"/>
  <c r="B288" i="13"/>
  <c r="B289" i="13"/>
  <c r="B290" i="13"/>
  <c r="B291" i="13"/>
  <c r="B292" i="13"/>
  <c r="B293" i="13"/>
  <c r="B294" i="13"/>
  <c r="B295" i="13"/>
  <c r="B296" i="13"/>
  <c r="B297" i="13"/>
  <c r="B298" i="13"/>
  <c r="B299" i="13"/>
  <c r="B300" i="13"/>
  <c r="B301" i="13"/>
  <c r="B302" i="13"/>
  <c r="B303" i="13"/>
  <c r="B304" i="13"/>
  <c r="B305" i="13"/>
  <c r="B306" i="13"/>
  <c r="B307" i="13"/>
  <c r="B308" i="13"/>
  <c r="B309" i="13"/>
  <c r="B310" i="13"/>
  <c r="B311" i="13"/>
  <c r="B312" i="13"/>
  <c r="B313" i="13"/>
  <c r="B314" i="13"/>
  <c r="B315" i="13"/>
  <c r="B316" i="13"/>
  <c r="B317" i="13"/>
  <c r="B318" i="13"/>
  <c r="B319" i="13"/>
  <c r="B320" i="13"/>
  <c r="B321" i="13"/>
  <c r="B322" i="13"/>
  <c r="B323" i="13"/>
  <c r="B324" i="13"/>
  <c r="B325" i="13"/>
  <c r="B326" i="13"/>
  <c r="B327" i="13"/>
  <c r="B328" i="13"/>
  <c r="B329" i="13"/>
  <c r="B330" i="13"/>
  <c r="B331" i="13"/>
  <c r="B332" i="13"/>
  <c r="B333" i="13"/>
  <c r="B334" i="13"/>
  <c r="B335" i="13"/>
  <c r="B336" i="13"/>
  <c r="B337" i="13"/>
  <c r="B338" i="13"/>
  <c r="B339" i="13"/>
  <c r="B340" i="13"/>
  <c r="B341" i="13"/>
  <c r="B342" i="13"/>
  <c r="B343" i="13"/>
  <c r="B344" i="13"/>
  <c r="B345" i="13"/>
  <c r="B346" i="13"/>
  <c r="B347" i="13"/>
  <c r="B348" i="13"/>
  <c r="B349" i="13"/>
  <c r="B350" i="13"/>
  <c r="B351" i="13"/>
  <c r="B352" i="13"/>
  <c r="B353" i="13"/>
  <c r="B354" i="13"/>
  <c r="B355" i="13"/>
  <c r="B356" i="13"/>
  <c r="B357" i="13"/>
  <c r="B358" i="13"/>
  <c r="B359" i="13"/>
  <c r="B360" i="13"/>
  <c r="B361" i="13"/>
  <c r="B362" i="13"/>
  <c r="B363" i="13"/>
  <c r="B364" i="13"/>
  <c r="B365" i="13"/>
  <c r="B366" i="13"/>
  <c r="B367" i="13"/>
  <c r="B368" i="13"/>
  <c r="B369" i="13"/>
  <c r="B370" i="13"/>
  <c r="B371" i="13"/>
  <c r="B372" i="13"/>
  <c r="B373" i="13"/>
  <c r="B374" i="13"/>
  <c r="B375" i="13"/>
  <c r="B376" i="13"/>
  <c r="B377" i="13"/>
  <c r="B378" i="13"/>
  <c r="B379" i="13"/>
  <c r="B380" i="13"/>
  <c r="B381" i="13"/>
  <c r="B382" i="13"/>
  <c r="B383" i="13"/>
  <c r="B384" i="13"/>
  <c r="B385" i="13"/>
  <c r="B386" i="13"/>
  <c r="B387" i="13"/>
  <c r="B388" i="13"/>
  <c r="B389" i="13"/>
  <c r="B390" i="13"/>
  <c r="B391" i="13"/>
  <c r="B392" i="13"/>
  <c r="B393" i="13"/>
  <c r="B394" i="13"/>
  <c r="B395" i="13"/>
  <c r="B396" i="13"/>
  <c r="B397" i="13"/>
  <c r="B398" i="13"/>
  <c r="B399" i="13"/>
  <c r="B400" i="13"/>
  <c r="B401" i="13"/>
  <c r="B402" i="13"/>
  <c r="B403" i="13"/>
  <c r="B404" i="13"/>
  <c r="B405" i="13"/>
  <c r="B406" i="13"/>
  <c r="B407" i="13"/>
  <c r="B408" i="13"/>
  <c r="B409" i="13"/>
  <c r="B410" i="13"/>
  <c r="B411" i="13"/>
  <c r="B412" i="13"/>
  <c r="B413" i="13"/>
  <c r="B414" i="13"/>
  <c r="B415" i="13"/>
  <c r="B416" i="13"/>
  <c r="B417" i="13"/>
  <c r="B418" i="13"/>
  <c r="B419" i="13"/>
  <c r="B420" i="13"/>
  <c r="B421" i="13"/>
  <c r="B422" i="13"/>
  <c r="B423" i="13"/>
  <c r="B424" i="13"/>
  <c r="B425" i="13"/>
  <c r="B426" i="13"/>
  <c r="B427" i="13"/>
  <c r="B428" i="13"/>
  <c r="B429" i="13"/>
  <c r="B430" i="13"/>
  <c r="B431" i="13"/>
  <c r="B432" i="13"/>
  <c r="B433" i="13"/>
  <c r="B434" i="13"/>
  <c r="B435" i="13"/>
  <c r="B436" i="13"/>
  <c r="B437" i="13"/>
  <c r="B438" i="13"/>
  <c r="B439" i="13"/>
  <c r="B440" i="13"/>
  <c r="B441" i="13"/>
  <c r="B442" i="13"/>
  <c r="B443" i="13"/>
  <c r="B444" i="13"/>
  <c r="B445" i="13"/>
  <c r="B446" i="13"/>
  <c r="B447" i="13"/>
  <c r="B448" i="13"/>
  <c r="B449" i="13"/>
  <c r="B450" i="13"/>
  <c r="B451" i="13"/>
  <c r="B452" i="13"/>
  <c r="B453" i="13"/>
  <c r="B454" i="13"/>
  <c r="B455" i="13"/>
  <c r="B456" i="13"/>
  <c r="B457" i="13"/>
  <c r="B458" i="13"/>
  <c r="B459" i="13"/>
  <c r="B460" i="13"/>
  <c r="B461" i="13"/>
  <c r="B462" i="13"/>
  <c r="B463" i="13"/>
  <c r="B464" i="13"/>
  <c r="B465" i="13"/>
  <c r="B466" i="13"/>
  <c r="B467" i="13"/>
  <c r="B468" i="13"/>
  <c r="B469" i="13"/>
  <c r="B470" i="13"/>
  <c r="B471" i="13"/>
  <c r="B472" i="13"/>
  <c r="B473" i="13"/>
  <c r="B474" i="13"/>
  <c r="B475" i="13"/>
  <c r="B476" i="13"/>
  <c r="B477" i="13"/>
  <c r="B478" i="13"/>
  <c r="B479" i="13"/>
  <c r="B480" i="13"/>
  <c r="B481" i="13"/>
  <c r="B482" i="13"/>
  <c r="B483" i="13"/>
  <c r="B484" i="13"/>
  <c r="B485" i="13"/>
  <c r="B486" i="13"/>
  <c r="B487" i="13"/>
  <c r="B488" i="13"/>
  <c r="B489" i="13"/>
  <c r="B490" i="13"/>
  <c r="B491" i="13"/>
  <c r="B492" i="13"/>
  <c r="B493" i="13"/>
  <c r="B494" i="13"/>
  <c r="B495" i="13"/>
  <c r="B496" i="13"/>
  <c r="B497" i="13"/>
  <c r="B498" i="13"/>
  <c r="B499" i="13"/>
  <c r="B500" i="13"/>
  <c r="B501" i="13"/>
  <c r="B502" i="13"/>
  <c r="B503" i="13"/>
  <c r="B504" i="13"/>
  <c r="B505" i="13"/>
  <c r="B506" i="13"/>
  <c r="B507" i="13"/>
  <c r="B508" i="13"/>
  <c r="B509" i="13"/>
  <c r="B510" i="13"/>
  <c r="B511" i="13"/>
  <c r="B512" i="13"/>
  <c r="B513" i="13"/>
  <c r="B514" i="13"/>
  <c r="B515" i="13"/>
  <c r="B516" i="13"/>
  <c r="B517" i="13"/>
  <c r="B518" i="13"/>
  <c r="B519" i="13"/>
  <c r="B520" i="13"/>
  <c r="B521" i="13"/>
  <c r="B522" i="13"/>
  <c r="B523" i="13"/>
  <c r="B524" i="13"/>
  <c r="B525" i="13"/>
  <c r="B526" i="13"/>
  <c r="B527" i="13"/>
  <c r="B528" i="13"/>
  <c r="B529" i="13"/>
  <c r="B530" i="13"/>
  <c r="B531" i="13"/>
  <c r="B532" i="13"/>
  <c r="B533" i="13"/>
  <c r="B534" i="13"/>
  <c r="B535" i="13"/>
  <c r="B536" i="13"/>
  <c r="B537" i="13"/>
  <c r="B538" i="13"/>
  <c r="B539" i="13"/>
  <c r="B540" i="13"/>
  <c r="B541" i="13"/>
  <c r="B542" i="13"/>
  <c r="B543" i="13"/>
  <c r="B544" i="13"/>
  <c r="B545" i="13"/>
  <c r="B546" i="13"/>
  <c r="B547" i="13"/>
  <c r="B548" i="13"/>
  <c r="B549" i="13"/>
  <c r="B550" i="13"/>
  <c r="B551" i="13"/>
  <c r="B552" i="13"/>
  <c r="B553" i="13"/>
  <c r="B554" i="13"/>
  <c r="B555" i="13"/>
  <c r="B556" i="13"/>
  <c r="B557" i="13"/>
  <c r="B558" i="13"/>
  <c r="B559" i="13"/>
  <c r="B560" i="13"/>
  <c r="B561" i="13"/>
  <c r="B562" i="13"/>
  <c r="B563" i="13"/>
  <c r="B564" i="13"/>
  <c r="B565" i="13"/>
  <c r="B566" i="13"/>
  <c r="B567" i="13"/>
  <c r="B568" i="13"/>
  <c r="B569" i="13"/>
  <c r="B570" i="13"/>
  <c r="B571" i="13"/>
  <c r="B572" i="13"/>
  <c r="B573" i="13"/>
  <c r="B574" i="13"/>
  <c r="B575" i="13"/>
  <c r="B576" i="13"/>
  <c r="B577" i="13"/>
  <c r="B578" i="13"/>
  <c r="B579" i="13"/>
  <c r="B580" i="13"/>
  <c r="B581" i="13"/>
  <c r="B582" i="13"/>
  <c r="B583" i="13"/>
  <c r="B584" i="13"/>
  <c r="B585" i="13"/>
  <c r="B586" i="13"/>
  <c r="B587" i="13"/>
  <c r="B588" i="13"/>
  <c r="B589" i="13"/>
  <c r="B590" i="13"/>
  <c r="B591" i="13"/>
  <c r="B592" i="13"/>
  <c r="B593" i="13"/>
  <c r="B594" i="13"/>
  <c r="B595" i="13"/>
  <c r="B596" i="13"/>
  <c r="B597" i="13"/>
  <c r="B598" i="13"/>
  <c r="B599" i="13"/>
  <c r="B600" i="13"/>
  <c r="B601" i="13"/>
  <c r="B602" i="13"/>
  <c r="B603" i="13"/>
  <c r="B604" i="13"/>
  <c r="B605" i="13"/>
  <c r="B606" i="13"/>
  <c r="B607" i="13"/>
  <c r="B608" i="13"/>
  <c r="B609" i="13"/>
  <c r="B610" i="13"/>
  <c r="B611" i="13"/>
  <c r="B612" i="13"/>
  <c r="B613" i="13"/>
  <c r="B614" i="13"/>
  <c r="B615" i="13"/>
  <c r="B616" i="13"/>
  <c r="B617" i="13"/>
  <c r="B618" i="13"/>
  <c r="B619" i="13"/>
  <c r="B620" i="13"/>
  <c r="B621" i="13"/>
  <c r="B622" i="13"/>
  <c r="B623" i="13"/>
  <c r="B624" i="13"/>
  <c r="B625" i="13"/>
  <c r="B626" i="13"/>
  <c r="B627" i="13"/>
  <c r="B628" i="13"/>
  <c r="B629" i="13"/>
  <c r="B630" i="13"/>
  <c r="B631" i="13"/>
  <c r="B632" i="13"/>
  <c r="B633" i="13"/>
  <c r="B634" i="13"/>
  <c r="B635" i="13"/>
  <c r="B636" i="13"/>
  <c r="B637" i="13"/>
  <c r="B638" i="13"/>
  <c r="B639" i="13"/>
  <c r="B640" i="13"/>
  <c r="B641" i="13"/>
  <c r="B642" i="13"/>
  <c r="B643" i="13"/>
  <c r="B644" i="13"/>
  <c r="B645" i="13"/>
  <c r="B646" i="13"/>
  <c r="B647" i="13"/>
  <c r="B648" i="13"/>
  <c r="B649" i="13"/>
  <c r="B650" i="13"/>
  <c r="B651" i="13"/>
  <c r="B652" i="13"/>
  <c r="B653" i="13"/>
  <c r="B654" i="13"/>
  <c r="B655" i="13"/>
  <c r="B656" i="13"/>
  <c r="B657" i="13"/>
  <c r="B658" i="13"/>
  <c r="B659" i="13"/>
  <c r="B660" i="13"/>
  <c r="B661" i="13"/>
  <c r="B662" i="13"/>
  <c r="B663" i="13"/>
  <c r="B664" i="13"/>
  <c r="B665" i="13"/>
  <c r="B666" i="13"/>
  <c r="B667" i="13"/>
  <c r="B668" i="13"/>
  <c r="B669" i="13"/>
  <c r="B670" i="13"/>
  <c r="B671" i="13"/>
  <c r="B672" i="13"/>
  <c r="B673" i="13"/>
  <c r="B674" i="13"/>
  <c r="B675" i="13"/>
  <c r="B676" i="13"/>
  <c r="B677" i="13"/>
  <c r="B678" i="13"/>
  <c r="B679" i="13"/>
  <c r="B680" i="13"/>
  <c r="B681" i="13"/>
  <c r="B682" i="13"/>
  <c r="B683" i="13"/>
  <c r="B684" i="13"/>
  <c r="B685" i="13"/>
  <c r="B686" i="13"/>
  <c r="B687" i="13"/>
  <c r="B688" i="13"/>
  <c r="B689" i="13"/>
  <c r="B690" i="13"/>
  <c r="B691" i="13"/>
  <c r="B692" i="13"/>
  <c r="B693" i="13"/>
  <c r="B694" i="13"/>
  <c r="B695" i="13"/>
  <c r="B696" i="13"/>
  <c r="B697" i="13"/>
  <c r="B698" i="13"/>
  <c r="B699" i="13"/>
  <c r="B700" i="13"/>
  <c r="B701" i="13"/>
  <c r="B702" i="13"/>
  <c r="B703" i="13"/>
  <c r="B704" i="13"/>
  <c r="B705" i="13"/>
  <c r="B706" i="13"/>
  <c r="B707" i="13"/>
  <c r="B708" i="13"/>
  <c r="B709" i="13"/>
  <c r="B710" i="13"/>
  <c r="B711" i="13"/>
  <c r="B712" i="13"/>
  <c r="B713" i="13"/>
  <c r="B714" i="13"/>
  <c r="B715" i="13"/>
  <c r="B716" i="13"/>
  <c r="B717" i="13"/>
  <c r="B718" i="13"/>
  <c r="B719" i="13"/>
  <c r="B720" i="13"/>
  <c r="B721" i="13"/>
  <c r="B722" i="13"/>
  <c r="B723" i="13"/>
  <c r="B724" i="13"/>
  <c r="D445" i="13" a="1"/>
  <c r="D445" i="13" s="1"/>
  <c r="G445" i="13" s="1"/>
  <c r="I445" i="13" s="1"/>
  <c r="K445" i="13"/>
  <c r="L445" i="13"/>
  <c r="M445" i="13"/>
  <c r="N445" i="13"/>
  <c r="O445" i="13"/>
  <c r="P445" i="13"/>
  <c r="Q445" i="13"/>
  <c r="R445" i="13"/>
  <c r="S445" i="13"/>
  <c r="T445" i="13"/>
  <c r="U445" i="13"/>
  <c r="V445" i="13"/>
  <c r="W445" i="13"/>
  <c r="X445" i="13"/>
  <c r="D446" i="13" a="1"/>
  <c r="D446" i="13" s="1"/>
  <c r="G446" i="13" s="1"/>
  <c r="I446" i="13" s="1"/>
  <c r="K446" i="13"/>
  <c r="L446" i="13"/>
  <c r="M446" i="13"/>
  <c r="N446" i="13"/>
  <c r="O446" i="13"/>
  <c r="P446" i="13"/>
  <c r="Q446" i="13"/>
  <c r="R446" i="13"/>
  <c r="S446" i="13"/>
  <c r="T446" i="13"/>
  <c r="U446" i="13"/>
  <c r="V446" i="13"/>
  <c r="W446" i="13"/>
  <c r="X446" i="13"/>
  <c r="D447" i="13" a="1"/>
  <c r="D447" i="13" s="1"/>
  <c r="G447" i="13" s="1"/>
  <c r="I447" i="13" s="1"/>
  <c r="K447" i="13"/>
  <c r="L447" i="13"/>
  <c r="M447" i="13"/>
  <c r="N447" i="13"/>
  <c r="O447" i="13"/>
  <c r="P447" i="13"/>
  <c r="Q447" i="13"/>
  <c r="R447" i="13"/>
  <c r="S447" i="13"/>
  <c r="T447" i="13"/>
  <c r="U447" i="13"/>
  <c r="V447" i="13"/>
  <c r="W447" i="13"/>
  <c r="X447" i="13"/>
  <c r="D448" i="13" a="1"/>
  <c r="D448" i="13" s="1"/>
  <c r="G448" i="13" s="1"/>
  <c r="I448" i="13" s="1"/>
  <c r="K448" i="13"/>
  <c r="L448" i="13"/>
  <c r="M448" i="13"/>
  <c r="N448" i="13"/>
  <c r="O448" i="13"/>
  <c r="P448" i="13"/>
  <c r="Q448" i="13"/>
  <c r="R448" i="13"/>
  <c r="S448" i="13"/>
  <c r="T448" i="13"/>
  <c r="U448" i="13"/>
  <c r="V448" i="13"/>
  <c r="W448" i="13"/>
  <c r="X448" i="13"/>
  <c r="D449" i="13" a="1"/>
  <c r="D449" i="13" s="1"/>
  <c r="G449" i="13" s="1"/>
  <c r="I449" i="13" s="1"/>
  <c r="K449" i="13"/>
  <c r="L449" i="13"/>
  <c r="M449" i="13"/>
  <c r="N449" i="13"/>
  <c r="O449" i="13"/>
  <c r="P449" i="13"/>
  <c r="Q449" i="13"/>
  <c r="R449" i="13"/>
  <c r="S449" i="13"/>
  <c r="T449" i="13"/>
  <c r="U449" i="13"/>
  <c r="V449" i="13"/>
  <c r="W449" i="13"/>
  <c r="X449" i="13"/>
  <c r="D450" i="13" a="1"/>
  <c r="D450" i="13" s="1"/>
  <c r="G450" i="13" s="1"/>
  <c r="I450" i="13" s="1"/>
  <c r="K450" i="13"/>
  <c r="L450" i="13"/>
  <c r="M450" i="13"/>
  <c r="N450" i="13"/>
  <c r="O450" i="13"/>
  <c r="P450" i="13"/>
  <c r="Q450" i="13"/>
  <c r="R450" i="13"/>
  <c r="S450" i="13"/>
  <c r="T450" i="13"/>
  <c r="U450" i="13"/>
  <c r="V450" i="13"/>
  <c r="W450" i="13"/>
  <c r="X450" i="13"/>
  <c r="D451" i="13" a="1"/>
  <c r="D451" i="13" s="1"/>
  <c r="G451" i="13" s="1"/>
  <c r="I451" i="13" s="1"/>
  <c r="K451" i="13"/>
  <c r="L451" i="13"/>
  <c r="M451" i="13"/>
  <c r="N451" i="13"/>
  <c r="O451" i="13"/>
  <c r="P451" i="13"/>
  <c r="Q451" i="13"/>
  <c r="R451" i="13"/>
  <c r="S451" i="13"/>
  <c r="T451" i="13"/>
  <c r="U451" i="13"/>
  <c r="V451" i="13"/>
  <c r="W451" i="13"/>
  <c r="X451" i="13"/>
  <c r="D452" i="13" a="1"/>
  <c r="D452" i="13" s="1"/>
  <c r="G452" i="13" s="1"/>
  <c r="I452" i="13" s="1"/>
  <c r="K452" i="13"/>
  <c r="L452" i="13"/>
  <c r="M452" i="13"/>
  <c r="N452" i="13"/>
  <c r="O452" i="13"/>
  <c r="P452" i="13"/>
  <c r="Q452" i="13"/>
  <c r="R452" i="13"/>
  <c r="S452" i="13"/>
  <c r="T452" i="13"/>
  <c r="U452" i="13"/>
  <c r="V452" i="13"/>
  <c r="W452" i="13"/>
  <c r="X452" i="13"/>
  <c r="D453" i="13" a="1"/>
  <c r="D453" i="13" s="1"/>
  <c r="G453" i="13" s="1"/>
  <c r="I453" i="13" s="1"/>
  <c r="K453" i="13"/>
  <c r="L453" i="13"/>
  <c r="M453" i="13"/>
  <c r="N453" i="13"/>
  <c r="O453" i="13"/>
  <c r="P453" i="13"/>
  <c r="Q453" i="13"/>
  <c r="R453" i="13"/>
  <c r="S453" i="13"/>
  <c r="T453" i="13"/>
  <c r="U453" i="13"/>
  <c r="V453" i="13"/>
  <c r="W453" i="13"/>
  <c r="X453" i="13"/>
  <c r="D454" i="13" a="1"/>
  <c r="D454" i="13" s="1"/>
  <c r="G454" i="13" s="1"/>
  <c r="I454" i="13" s="1"/>
  <c r="K454" i="13"/>
  <c r="L454" i="13"/>
  <c r="M454" i="13"/>
  <c r="N454" i="13"/>
  <c r="O454" i="13"/>
  <c r="P454" i="13"/>
  <c r="Q454" i="13"/>
  <c r="R454" i="13"/>
  <c r="S454" i="13"/>
  <c r="T454" i="13"/>
  <c r="U454" i="13"/>
  <c r="V454" i="13"/>
  <c r="W454" i="13"/>
  <c r="X454" i="13"/>
  <c r="D455" i="13" a="1"/>
  <c r="D455" i="13" s="1"/>
  <c r="G455" i="13" s="1"/>
  <c r="I455" i="13" s="1"/>
  <c r="K455" i="13"/>
  <c r="L455" i="13"/>
  <c r="M455" i="13"/>
  <c r="N455" i="13"/>
  <c r="O455" i="13"/>
  <c r="P455" i="13"/>
  <c r="Q455" i="13"/>
  <c r="R455" i="13"/>
  <c r="S455" i="13"/>
  <c r="T455" i="13"/>
  <c r="U455" i="13"/>
  <c r="V455" i="13"/>
  <c r="W455" i="13"/>
  <c r="X455" i="13"/>
  <c r="D456" i="13" a="1"/>
  <c r="D456" i="13" s="1"/>
  <c r="G456" i="13" s="1"/>
  <c r="I456" i="13" s="1"/>
  <c r="K456" i="13"/>
  <c r="L456" i="13"/>
  <c r="M456" i="13"/>
  <c r="N456" i="13"/>
  <c r="O456" i="13"/>
  <c r="P456" i="13"/>
  <c r="Q456" i="13"/>
  <c r="R456" i="13"/>
  <c r="S456" i="13"/>
  <c r="T456" i="13"/>
  <c r="U456" i="13"/>
  <c r="V456" i="13"/>
  <c r="W456" i="13"/>
  <c r="X456" i="13"/>
  <c r="D457" i="13" a="1"/>
  <c r="D457" i="13" s="1"/>
  <c r="G457" i="13" s="1"/>
  <c r="I457" i="13" s="1"/>
  <c r="K457" i="13"/>
  <c r="L457" i="13"/>
  <c r="M457" i="13"/>
  <c r="N457" i="13"/>
  <c r="O457" i="13"/>
  <c r="P457" i="13"/>
  <c r="Q457" i="13"/>
  <c r="R457" i="13"/>
  <c r="S457" i="13"/>
  <c r="T457" i="13"/>
  <c r="U457" i="13"/>
  <c r="V457" i="13"/>
  <c r="W457" i="13"/>
  <c r="X457" i="13"/>
  <c r="D458" i="13" a="1"/>
  <c r="D458" i="13" s="1"/>
  <c r="G458" i="13" s="1"/>
  <c r="I458" i="13" s="1"/>
  <c r="K458" i="13"/>
  <c r="L458" i="13"/>
  <c r="M458" i="13"/>
  <c r="N458" i="13"/>
  <c r="O458" i="13"/>
  <c r="P458" i="13"/>
  <c r="Q458" i="13"/>
  <c r="R458" i="13"/>
  <c r="S458" i="13"/>
  <c r="T458" i="13"/>
  <c r="U458" i="13"/>
  <c r="V458" i="13"/>
  <c r="W458" i="13"/>
  <c r="X458" i="13"/>
  <c r="D459" i="13" a="1"/>
  <c r="D459" i="13" s="1"/>
  <c r="G459" i="13" s="1"/>
  <c r="I459" i="13" s="1"/>
  <c r="K459" i="13"/>
  <c r="L459" i="13"/>
  <c r="M459" i="13"/>
  <c r="N459" i="13"/>
  <c r="O459" i="13"/>
  <c r="P459" i="13"/>
  <c r="Q459" i="13"/>
  <c r="R459" i="13"/>
  <c r="S459" i="13"/>
  <c r="T459" i="13"/>
  <c r="U459" i="13"/>
  <c r="V459" i="13"/>
  <c r="W459" i="13"/>
  <c r="X459" i="13"/>
  <c r="D460" i="13" a="1"/>
  <c r="D460" i="13" s="1"/>
  <c r="G460" i="13" s="1"/>
  <c r="I460" i="13" s="1"/>
  <c r="K460" i="13"/>
  <c r="L460" i="13"/>
  <c r="M460" i="13"/>
  <c r="N460" i="13"/>
  <c r="O460" i="13"/>
  <c r="P460" i="13"/>
  <c r="Q460" i="13"/>
  <c r="R460" i="13"/>
  <c r="S460" i="13"/>
  <c r="T460" i="13"/>
  <c r="U460" i="13"/>
  <c r="V460" i="13"/>
  <c r="W460" i="13"/>
  <c r="X460" i="13"/>
  <c r="D461" i="13" a="1"/>
  <c r="D461" i="13" s="1"/>
  <c r="G461" i="13" s="1"/>
  <c r="I461" i="13" s="1"/>
  <c r="K461" i="13"/>
  <c r="L461" i="13"/>
  <c r="M461" i="13"/>
  <c r="N461" i="13"/>
  <c r="O461" i="13"/>
  <c r="P461" i="13"/>
  <c r="Q461" i="13"/>
  <c r="R461" i="13"/>
  <c r="S461" i="13"/>
  <c r="T461" i="13"/>
  <c r="U461" i="13"/>
  <c r="V461" i="13"/>
  <c r="W461" i="13"/>
  <c r="X461" i="13"/>
  <c r="D462" i="13" a="1"/>
  <c r="D462" i="13" s="1"/>
  <c r="G462" i="13" s="1"/>
  <c r="I462" i="13" s="1"/>
  <c r="K462" i="13"/>
  <c r="L462" i="13"/>
  <c r="M462" i="13"/>
  <c r="N462" i="13"/>
  <c r="O462" i="13"/>
  <c r="P462" i="13"/>
  <c r="Q462" i="13"/>
  <c r="R462" i="13"/>
  <c r="S462" i="13"/>
  <c r="T462" i="13"/>
  <c r="U462" i="13"/>
  <c r="V462" i="13"/>
  <c r="W462" i="13"/>
  <c r="X462" i="13"/>
  <c r="D463" i="13" a="1"/>
  <c r="D463" i="13" s="1"/>
  <c r="G463" i="13" s="1"/>
  <c r="I463" i="13" s="1"/>
  <c r="K463" i="13"/>
  <c r="L463" i="13"/>
  <c r="M463" i="13"/>
  <c r="N463" i="13"/>
  <c r="O463" i="13"/>
  <c r="P463" i="13"/>
  <c r="Q463" i="13"/>
  <c r="R463" i="13"/>
  <c r="S463" i="13"/>
  <c r="T463" i="13"/>
  <c r="U463" i="13"/>
  <c r="V463" i="13"/>
  <c r="W463" i="13"/>
  <c r="X463" i="13"/>
  <c r="D464" i="13" a="1"/>
  <c r="D464" i="13" s="1"/>
  <c r="G464" i="13" s="1"/>
  <c r="I464" i="13" s="1"/>
  <c r="K464" i="13"/>
  <c r="L464" i="13"/>
  <c r="M464" i="13"/>
  <c r="N464" i="13"/>
  <c r="O464" i="13"/>
  <c r="P464" i="13"/>
  <c r="Q464" i="13"/>
  <c r="R464" i="13"/>
  <c r="S464" i="13"/>
  <c r="T464" i="13"/>
  <c r="U464" i="13"/>
  <c r="V464" i="13"/>
  <c r="W464" i="13"/>
  <c r="X464" i="13"/>
  <c r="D465" i="13" a="1"/>
  <c r="D465" i="13" s="1"/>
  <c r="G465" i="13" s="1"/>
  <c r="I465" i="13" s="1"/>
  <c r="K465" i="13"/>
  <c r="L465" i="13"/>
  <c r="M465" i="13"/>
  <c r="N465" i="13"/>
  <c r="O465" i="13"/>
  <c r="P465" i="13"/>
  <c r="Q465" i="13"/>
  <c r="R465" i="13"/>
  <c r="S465" i="13"/>
  <c r="T465" i="13"/>
  <c r="U465" i="13"/>
  <c r="V465" i="13"/>
  <c r="W465" i="13"/>
  <c r="X465" i="13"/>
  <c r="D466" i="13" a="1"/>
  <c r="D466" i="13" s="1"/>
  <c r="G466" i="13" s="1"/>
  <c r="I466" i="13" s="1"/>
  <c r="K466" i="13"/>
  <c r="L466" i="13"/>
  <c r="M466" i="13"/>
  <c r="N466" i="13"/>
  <c r="O466" i="13"/>
  <c r="P466" i="13"/>
  <c r="Q466" i="13"/>
  <c r="R466" i="13"/>
  <c r="S466" i="13"/>
  <c r="T466" i="13"/>
  <c r="U466" i="13"/>
  <c r="V466" i="13"/>
  <c r="W466" i="13"/>
  <c r="X466" i="13"/>
  <c r="D467" i="13" a="1"/>
  <c r="D467" i="13" s="1"/>
  <c r="G467" i="13" s="1"/>
  <c r="I467" i="13" s="1"/>
  <c r="K467" i="13"/>
  <c r="L467" i="13"/>
  <c r="M467" i="13"/>
  <c r="N467" i="13"/>
  <c r="O467" i="13"/>
  <c r="P467" i="13"/>
  <c r="Q467" i="13"/>
  <c r="R467" i="13"/>
  <c r="S467" i="13"/>
  <c r="T467" i="13"/>
  <c r="U467" i="13"/>
  <c r="V467" i="13"/>
  <c r="W467" i="13"/>
  <c r="X467" i="13"/>
  <c r="D468" i="13" a="1"/>
  <c r="D468" i="13" s="1"/>
  <c r="G468" i="13" s="1"/>
  <c r="I468" i="13" s="1"/>
  <c r="K468" i="13"/>
  <c r="L468" i="13"/>
  <c r="M468" i="13"/>
  <c r="N468" i="13"/>
  <c r="O468" i="13"/>
  <c r="P468" i="13"/>
  <c r="Q468" i="13"/>
  <c r="R468" i="13"/>
  <c r="S468" i="13"/>
  <c r="T468" i="13"/>
  <c r="U468" i="13"/>
  <c r="V468" i="13"/>
  <c r="W468" i="13"/>
  <c r="X468" i="13"/>
  <c r="D469" i="13" a="1"/>
  <c r="D469" i="13" s="1"/>
  <c r="G469" i="13" s="1"/>
  <c r="I469" i="13" s="1"/>
  <c r="K469" i="13"/>
  <c r="L469" i="13"/>
  <c r="M469" i="13"/>
  <c r="N469" i="13"/>
  <c r="O469" i="13"/>
  <c r="P469" i="13"/>
  <c r="Q469" i="13"/>
  <c r="R469" i="13"/>
  <c r="S469" i="13"/>
  <c r="T469" i="13"/>
  <c r="U469" i="13"/>
  <c r="V469" i="13"/>
  <c r="W469" i="13"/>
  <c r="X469" i="13"/>
  <c r="D470" i="13" a="1"/>
  <c r="D470" i="13" s="1"/>
  <c r="G470" i="13" s="1"/>
  <c r="I470" i="13" s="1"/>
  <c r="K470" i="13"/>
  <c r="L470" i="13"/>
  <c r="M470" i="13"/>
  <c r="N470" i="13"/>
  <c r="O470" i="13"/>
  <c r="P470" i="13"/>
  <c r="Q470" i="13"/>
  <c r="R470" i="13"/>
  <c r="S470" i="13"/>
  <c r="T470" i="13"/>
  <c r="U470" i="13"/>
  <c r="V470" i="13"/>
  <c r="W470" i="13"/>
  <c r="X470" i="13"/>
  <c r="D471" i="13" a="1"/>
  <c r="D471" i="13" s="1"/>
  <c r="G471" i="13" s="1"/>
  <c r="I471" i="13" s="1"/>
  <c r="K471" i="13"/>
  <c r="L471" i="13"/>
  <c r="M471" i="13"/>
  <c r="N471" i="13"/>
  <c r="O471" i="13"/>
  <c r="P471" i="13"/>
  <c r="Q471" i="13"/>
  <c r="R471" i="13"/>
  <c r="S471" i="13"/>
  <c r="T471" i="13"/>
  <c r="U471" i="13"/>
  <c r="V471" i="13"/>
  <c r="W471" i="13"/>
  <c r="X471" i="13"/>
  <c r="D472" i="13" a="1"/>
  <c r="D472" i="13" s="1"/>
  <c r="G472" i="13" s="1"/>
  <c r="I472" i="13" s="1"/>
  <c r="K472" i="13"/>
  <c r="L472" i="13"/>
  <c r="M472" i="13"/>
  <c r="N472" i="13"/>
  <c r="O472" i="13"/>
  <c r="P472" i="13"/>
  <c r="Q472" i="13"/>
  <c r="R472" i="13"/>
  <c r="S472" i="13"/>
  <c r="T472" i="13"/>
  <c r="U472" i="13"/>
  <c r="V472" i="13"/>
  <c r="W472" i="13"/>
  <c r="X472" i="13"/>
  <c r="D473" i="13" a="1"/>
  <c r="D473" i="13" s="1"/>
  <c r="G473" i="13" s="1"/>
  <c r="I473" i="13" s="1"/>
  <c r="K473" i="13"/>
  <c r="L473" i="13"/>
  <c r="M473" i="13"/>
  <c r="N473" i="13"/>
  <c r="O473" i="13"/>
  <c r="P473" i="13"/>
  <c r="Q473" i="13"/>
  <c r="R473" i="13"/>
  <c r="S473" i="13"/>
  <c r="T473" i="13"/>
  <c r="U473" i="13"/>
  <c r="V473" i="13"/>
  <c r="W473" i="13"/>
  <c r="X473" i="13"/>
  <c r="D474" i="13" a="1"/>
  <c r="D474" i="13" s="1"/>
  <c r="G474" i="13" s="1"/>
  <c r="I474" i="13" s="1"/>
  <c r="K474" i="13"/>
  <c r="L474" i="13"/>
  <c r="M474" i="13"/>
  <c r="N474" i="13"/>
  <c r="O474" i="13"/>
  <c r="P474" i="13"/>
  <c r="Q474" i="13"/>
  <c r="R474" i="13"/>
  <c r="S474" i="13"/>
  <c r="T474" i="13"/>
  <c r="U474" i="13"/>
  <c r="V474" i="13"/>
  <c r="W474" i="13"/>
  <c r="X474" i="13"/>
  <c r="D475" i="13" a="1"/>
  <c r="D475" i="13" s="1"/>
  <c r="G475" i="13" s="1"/>
  <c r="I475" i="13" s="1"/>
  <c r="K475" i="13"/>
  <c r="L475" i="13"/>
  <c r="M475" i="13"/>
  <c r="N475" i="13"/>
  <c r="O475" i="13"/>
  <c r="P475" i="13"/>
  <c r="Q475" i="13"/>
  <c r="R475" i="13"/>
  <c r="S475" i="13"/>
  <c r="T475" i="13"/>
  <c r="U475" i="13"/>
  <c r="V475" i="13"/>
  <c r="W475" i="13"/>
  <c r="X475" i="13"/>
  <c r="D476" i="13" a="1"/>
  <c r="D476" i="13" s="1"/>
  <c r="G476" i="13" s="1"/>
  <c r="I476" i="13" s="1"/>
  <c r="K476" i="13"/>
  <c r="L476" i="13"/>
  <c r="M476" i="13"/>
  <c r="N476" i="13"/>
  <c r="O476" i="13"/>
  <c r="P476" i="13"/>
  <c r="Q476" i="13"/>
  <c r="R476" i="13"/>
  <c r="S476" i="13"/>
  <c r="T476" i="13"/>
  <c r="U476" i="13"/>
  <c r="V476" i="13"/>
  <c r="W476" i="13"/>
  <c r="X476" i="13"/>
  <c r="D477" i="13" a="1"/>
  <c r="D477" i="13" s="1"/>
  <c r="G477" i="13" s="1"/>
  <c r="I477" i="13" s="1"/>
  <c r="K477" i="13"/>
  <c r="L477" i="13"/>
  <c r="M477" i="13"/>
  <c r="N477" i="13"/>
  <c r="O477" i="13"/>
  <c r="P477" i="13"/>
  <c r="Q477" i="13"/>
  <c r="R477" i="13"/>
  <c r="S477" i="13"/>
  <c r="T477" i="13"/>
  <c r="U477" i="13"/>
  <c r="V477" i="13"/>
  <c r="W477" i="13"/>
  <c r="X477" i="13"/>
  <c r="D478" i="13" a="1"/>
  <c r="D478" i="13" s="1"/>
  <c r="G478" i="13" s="1"/>
  <c r="I478" i="13" s="1"/>
  <c r="K478" i="13"/>
  <c r="L478" i="13"/>
  <c r="M478" i="13"/>
  <c r="N478" i="13"/>
  <c r="O478" i="13"/>
  <c r="P478" i="13"/>
  <c r="Q478" i="13"/>
  <c r="R478" i="13"/>
  <c r="S478" i="13"/>
  <c r="T478" i="13"/>
  <c r="U478" i="13"/>
  <c r="V478" i="13"/>
  <c r="W478" i="13"/>
  <c r="X478" i="13"/>
  <c r="D479" i="13" a="1"/>
  <c r="D479" i="13" s="1"/>
  <c r="G479" i="13" s="1"/>
  <c r="I479" i="13" s="1"/>
  <c r="K479" i="13"/>
  <c r="L479" i="13"/>
  <c r="M479" i="13"/>
  <c r="N479" i="13"/>
  <c r="O479" i="13"/>
  <c r="P479" i="13"/>
  <c r="Q479" i="13"/>
  <c r="R479" i="13"/>
  <c r="S479" i="13"/>
  <c r="T479" i="13"/>
  <c r="U479" i="13"/>
  <c r="V479" i="13"/>
  <c r="W479" i="13"/>
  <c r="X479" i="13"/>
  <c r="D480" i="13" a="1"/>
  <c r="D480" i="13" s="1"/>
  <c r="G480" i="13" s="1"/>
  <c r="I480" i="13" s="1"/>
  <c r="K480" i="13"/>
  <c r="L480" i="13"/>
  <c r="M480" i="13"/>
  <c r="N480" i="13"/>
  <c r="O480" i="13"/>
  <c r="P480" i="13"/>
  <c r="Q480" i="13"/>
  <c r="R480" i="13"/>
  <c r="S480" i="13"/>
  <c r="T480" i="13"/>
  <c r="U480" i="13"/>
  <c r="V480" i="13"/>
  <c r="W480" i="13"/>
  <c r="X480" i="13"/>
  <c r="D481" i="13" a="1"/>
  <c r="D481" i="13" s="1"/>
  <c r="G481" i="13" s="1"/>
  <c r="I481" i="13" s="1"/>
  <c r="K481" i="13"/>
  <c r="L481" i="13"/>
  <c r="M481" i="13"/>
  <c r="N481" i="13"/>
  <c r="O481" i="13"/>
  <c r="P481" i="13"/>
  <c r="Q481" i="13"/>
  <c r="R481" i="13"/>
  <c r="S481" i="13"/>
  <c r="T481" i="13"/>
  <c r="U481" i="13"/>
  <c r="V481" i="13"/>
  <c r="W481" i="13"/>
  <c r="X481" i="13"/>
  <c r="D482" i="13" a="1"/>
  <c r="D482" i="13" s="1"/>
  <c r="G482" i="13" s="1"/>
  <c r="I482" i="13" s="1"/>
  <c r="K482" i="13"/>
  <c r="L482" i="13"/>
  <c r="M482" i="13"/>
  <c r="N482" i="13"/>
  <c r="O482" i="13"/>
  <c r="P482" i="13"/>
  <c r="Q482" i="13"/>
  <c r="R482" i="13"/>
  <c r="S482" i="13"/>
  <c r="T482" i="13"/>
  <c r="U482" i="13"/>
  <c r="V482" i="13"/>
  <c r="W482" i="13"/>
  <c r="X482" i="13"/>
  <c r="D483" i="13" a="1"/>
  <c r="D483" i="13" s="1"/>
  <c r="G483" i="13" s="1"/>
  <c r="I483" i="13" s="1"/>
  <c r="K483" i="13"/>
  <c r="L483" i="13"/>
  <c r="M483" i="13"/>
  <c r="N483" i="13"/>
  <c r="O483" i="13"/>
  <c r="P483" i="13"/>
  <c r="Q483" i="13"/>
  <c r="R483" i="13"/>
  <c r="S483" i="13"/>
  <c r="T483" i="13"/>
  <c r="U483" i="13"/>
  <c r="V483" i="13"/>
  <c r="W483" i="13"/>
  <c r="X483" i="13"/>
  <c r="D484" i="13" a="1"/>
  <c r="D484" i="13" s="1"/>
  <c r="G484" i="13" s="1"/>
  <c r="I484" i="13" s="1"/>
  <c r="K484" i="13"/>
  <c r="L484" i="13"/>
  <c r="M484" i="13"/>
  <c r="N484" i="13"/>
  <c r="O484" i="13"/>
  <c r="P484" i="13"/>
  <c r="Q484" i="13"/>
  <c r="R484" i="13"/>
  <c r="S484" i="13"/>
  <c r="T484" i="13"/>
  <c r="U484" i="13"/>
  <c r="V484" i="13"/>
  <c r="W484" i="13"/>
  <c r="X484" i="13"/>
  <c r="D485" i="13" a="1"/>
  <c r="D485" i="13" s="1"/>
  <c r="G485" i="13" s="1"/>
  <c r="I485" i="13" s="1"/>
  <c r="K485" i="13"/>
  <c r="L485" i="13"/>
  <c r="M485" i="13"/>
  <c r="N485" i="13"/>
  <c r="O485" i="13"/>
  <c r="P485" i="13"/>
  <c r="Q485" i="13"/>
  <c r="R485" i="13"/>
  <c r="S485" i="13"/>
  <c r="T485" i="13"/>
  <c r="U485" i="13"/>
  <c r="V485" i="13"/>
  <c r="W485" i="13"/>
  <c r="X485" i="13"/>
  <c r="D486" i="13" a="1"/>
  <c r="D486" i="13" s="1"/>
  <c r="G486" i="13" s="1"/>
  <c r="I486" i="13" s="1"/>
  <c r="K486" i="13"/>
  <c r="L486" i="13"/>
  <c r="M486" i="13"/>
  <c r="N486" i="13"/>
  <c r="O486" i="13"/>
  <c r="P486" i="13"/>
  <c r="Q486" i="13"/>
  <c r="R486" i="13"/>
  <c r="S486" i="13"/>
  <c r="T486" i="13"/>
  <c r="U486" i="13"/>
  <c r="V486" i="13"/>
  <c r="W486" i="13"/>
  <c r="X486" i="13"/>
  <c r="D487" i="13" a="1"/>
  <c r="D487" i="13" s="1"/>
  <c r="G487" i="13" s="1"/>
  <c r="I487" i="13" s="1"/>
  <c r="K487" i="13"/>
  <c r="L487" i="13"/>
  <c r="M487" i="13"/>
  <c r="N487" i="13"/>
  <c r="O487" i="13"/>
  <c r="P487" i="13"/>
  <c r="Q487" i="13"/>
  <c r="R487" i="13"/>
  <c r="S487" i="13"/>
  <c r="T487" i="13"/>
  <c r="U487" i="13"/>
  <c r="V487" i="13"/>
  <c r="W487" i="13"/>
  <c r="X487" i="13"/>
  <c r="D488" i="13" a="1"/>
  <c r="D488" i="13" s="1"/>
  <c r="G488" i="13" s="1"/>
  <c r="I488" i="13" s="1"/>
  <c r="K488" i="13"/>
  <c r="L488" i="13"/>
  <c r="M488" i="13"/>
  <c r="N488" i="13"/>
  <c r="O488" i="13"/>
  <c r="P488" i="13"/>
  <c r="Q488" i="13"/>
  <c r="R488" i="13"/>
  <c r="S488" i="13"/>
  <c r="T488" i="13"/>
  <c r="U488" i="13"/>
  <c r="V488" i="13"/>
  <c r="W488" i="13"/>
  <c r="X488" i="13"/>
  <c r="D489" i="13" a="1"/>
  <c r="D489" i="13" s="1"/>
  <c r="G489" i="13" s="1"/>
  <c r="I489" i="13" s="1"/>
  <c r="K489" i="13"/>
  <c r="L489" i="13"/>
  <c r="M489" i="13"/>
  <c r="N489" i="13"/>
  <c r="O489" i="13"/>
  <c r="P489" i="13"/>
  <c r="Q489" i="13"/>
  <c r="R489" i="13"/>
  <c r="S489" i="13"/>
  <c r="T489" i="13"/>
  <c r="U489" i="13"/>
  <c r="V489" i="13"/>
  <c r="W489" i="13"/>
  <c r="X489" i="13"/>
  <c r="D490" i="13" a="1"/>
  <c r="D490" i="13" s="1"/>
  <c r="G490" i="13" s="1"/>
  <c r="I490" i="13" s="1"/>
  <c r="K490" i="13"/>
  <c r="L490" i="13"/>
  <c r="M490" i="13"/>
  <c r="N490" i="13"/>
  <c r="O490" i="13"/>
  <c r="P490" i="13"/>
  <c r="Q490" i="13"/>
  <c r="R490" i="13"/>
  <c r="S490" i="13"/>
  <c r="T490" i="13"/>
  <c r="U490" i="13"/>
  <c r="V490" i="13"/>
  <c r="W490" i="13"/>
  <c r="X490" i="13"/>
  <c r="D491" i="13" a="1"/>
  <c r="D491" i="13" s="1"/>
  <c r="G491" i="13" s="1"/>
  <c r="I491" i="13" s="1"/>
  <c r="K491" i="13"/>
  <c r="L491" i="13"/>
  <c r="M491" i="13"/>
  <c r="N491" i="13"/>
  <c r="O491" i="13"/>
  <c r="P491" i="13"/>
  <c r="Q491" i="13"/>
  <c r="R491" i="13"/>
  <c r="S491" i="13"/>
  <c r="T491" i="13"/>
  <c r="U491" i="13"/>
  <c r="V491" i="13"/>
  <c r="W491" i="13"/>
  <c r="X491" i="13"/>
  <c r="D492" i="13" a="1"/>
  <c r="D492" i="13" s="1"/>
  <c r="G492" i="13" s="1"/>
  <c r="I492" i="13" s="1"/>
  <c r="K492" i="13"/>
  <c r="L492" i="13"/>
  <c r="M492" i="13"/>
  <c r="N492" i="13"/>
  <c r="O492" i="13"/>
  <c r="P492" i="13"/>
  <c r="Q492" i="13"/>
  <c r="R492" i="13"/>
  <c r="S492" i="13"/>
  <c r="T492" i="13"/>
  <c r="U492" i="13"/>
  <c r="V492" i="13"/>
  <c r="W492" i="13"/>
  <c r="X492" i="13"/>
  <c r="D493" i="13" a="1"/>
  <c r="D493" i="13" s="1"/>
  <c r="G493" i="13" s="1"/>
  <c r="I493" i="13" s="1"/>
  <c r="K493" i="13"/>
  <c r="L493" i="13"/>
  <c r="M493" i="13"/>
  <c r="N493" i="13"/>
  <c r="O493" i="13"/>
  <c r="P493" i="13"/>
  <c r="Q493" i="13"/>
  <c r="R493" i="13"/>
  <c r="S493" i="13"/>
  <c r="T493" i="13"/>
  <c r="U493" i="13"/>
  <c r="V493" i="13"/>
  <c r="W493" i="13"/>
  <c r="X493" i="13"/>
  <c r="D494" i="13" a="1"/>
  <c r="D494" i="13" s="1"/>
  <c r="G494" i="13" s="1"/>
  <c r="I494" i="13" s="1"/>
  <c r="K494" i="13"/>
  <c r="L494" i="13"/>
  <c r="M494" i="13"/>
  <c r="N494" i="13"/>
  <c r="O494" i="13"/>
  <c r="P494" i="13"/>
  <c r="Q494" i="13"/>
  <c r="R494" i="13"/>
  <c r="S494" i="13"/>
  <c r="T494" i="13"/>
  <c r="U494" i="13"/>
  <c r="V494" i="13"/>
  <c r="W494" i="13"/>
  <c r="X494" i="13"/>
  <c r="D495" i="13" a="1"/>
  <c r="D495" i="13" s="1"/>
  <c r="G495" i="13" s="1"/>
  <c r="I495" i="13" s="1"/>
  <c r="K495" i="13"/>
  <c r="L495" i="13"/>
  <c r="M495" i="13"/>
  <c r="N495" i="13"/>
  <c r="O495" i="13"/>
  <c r="P495" i="13"/>
  <c r="Q495" i="13"/>
  <c r="R495" i="13"/>
  <c r="S495" i="13"/>
  <c r="T495" i="13"/>
  <c r="U495" i="13"/>
  <c r="V495" i="13"/>
  <c r="W495" i="13"/>
  <c r="X495" i="13"/>
  <c r="D496" i="13" a="1"/>
  <c r="D496" i="13" s="1"/>
  <c r="G496" i="13" s="1"/>
  <c r="I496" i="13" s="1"/>
  <c r="K496" i="13"/>
  <c r="L496" i="13"/>
  <c r="M496" i="13"/>
  <c r="N496" i="13"/>
  <c r="O496" i="13"/>
  <c r="P496" i="13"/>
  <c r="Q496" i="13"/>
  <c r="R496" i="13"/>
  <c r="S496" i="13"/>
  <c r="T496" i="13"/>
  <c r="U496" i="13"/>
  <c r="V496" i="13"/>
  <c r="W496" i="13"/>
  <c r="X496" i="13"/>
  <c r="D497" i="13" a="1"/>
  <c r="D497" i="13" s="1"/>
  <c r="G497" i="13" s="1"/>
  <c r="I497" i="13" s="1"/>
  <c r="K497" i="13"/>
  <c r="L497" i="13"/>
  <c r="M497" i="13"/>
  <c r="N497" i="13"/>
  <c r="O497" i="13"/>
  <c r="P497" i="13"/>
  <c r="Q497" i="13"/>
  <c r="R497" i="13"/>
  <c r="S497" i="13"/>
  <c r="T497" i="13"/>
  <c r="U497" i="13"/>
  <c r="V497" i="13"/>
  <c r="W497" i="13"/>
  <c r="X497" i="13"/>
  <c r="D498" i="13" a="1"/>
  <c r="D498" i="13" s="1"/>
  <c r="G498" i="13" s="1"/>
  <c r="I498" i="13" s="1"/>
  <c r="K498" i="13"/>
  <c r="L498" i="13"/>
  <c r="M498" i="13"/>
  <c r="N498" i="13"/>
  <c r="O498" i="13"/>
  <c r="P498" i="13"/>
  <c r="Q498" i="13"/>
  <c r="R498" i="13"/>
  <c r="S498" i="13"/>
  <c r="T498" i="13"/>
  <c r="U498" i="13"/>
  <c r="V498" i="13"/>
  <c r="W498" i="13"/>
  <c r="X498" i="13"/>
  <c r="D499" i="13" a="1"/>
  <c r="D499" i="13" s="1"/>
  <c r="G499" i="13" s="1"/>
  <c r="I499" i="13" s="1"/>
  <c r="K499" i="13"/>
  <c r="L499" i="13"/>
  <c r="M499" i="13"/>
  <c r="N499" i="13"/>
  <c r="O499" i="13"/>
  <c r="P499" i="13"/>
  <c r="Q499" i="13"/>
  <c r="R499" i="13"/>
  <c r="S499" i="13"/>
  <c r="T499" i="13"/>
  <c r="U499" i="13"/>
  <c r="V499" i="13"/>
  <c r="W499" i="13"/>
  <c r="X499" i="13"/>
  <c r="D500" i="13" a="1"/>
  <c r="D500" i="13" s="1"/>
  <c r="G500" i="13" s="1"/>
  <c r="I500" i="13" s="1"/>
  <c r="K500" i="13"/>
  <c r="L500" i="13"/>
  <c r="M500" i="13"/>
  <c r="N500" i="13"/>
  <c r="O500" i="13"/>
  <c r="P500" i="13"/>
  <c r="Q500" i="13"/>
  <c r="R500" i="13"/>
  <c r="S500" i="13"/>
  <c r="T500" i="13"/>
  <c r="U500" i="13"/>
  <c r="V500" i="13"/>
  <c r="W500" i="13"/>
  <c r="X500" i="13"/>
  <c r="D501" i="13" a="1"/>
  <c r="D501" i="13" s="1"/>
  <c r="G501" i="13" s="1"/>
  <c r="I501" i="13" s="1"/>
  <c r="K501" i="13"/>
  <c r="L501" i="13"/>
  <c r="M501" i="13"/>
  <c r="N501" i="13"/>
  <c r="O501" i="13"/>
  <c r="P501" i="13"/>
  <c r="Q501" i="13"/>
  <c r="R501" i="13"/>
  <c r="S501" i="13"/>
  <c r="T501" i="13"/>
  <c r="U501" i="13"/>
  <c r="V501" i="13"/>
  <c r="W501" i="13"/>
  <c r="X501" i="13"/>
  <c r="D502" i="13" a="1"/>
  <c r="D502" i="13" s="1"/>
  <c r="G502" i="13" s="1"/>
  <c r="I502" i="13" s="1"/>
  <c r="K502" i="13"/>
  <c r="L502" i="13"/>
  <c r="M502" i="13"/>
  <c r="N502" i="13"/>
  <c r="O502" i="13"/>
  <c r="P502" i="13"/>
  <c r="Q502" i="13"/>
  <c r="R502" i="13"/>
  <c r="S502" i="13"/>
  <c r="T502" i="13"/>
  <c r="U502" i="13"/>
  <c r="V502" i="13"/>
  <c r="W502" i="13"/>
  <c r="X502" i="13"/>
  <c r="D503" i="13" a="1"/>
  <c r="D503" i="13" s="1"/>
  <c r="G503" i="13" s="1"/>
  <c r="I503" i="13" s="1"/>
  <c r="K503" i="13"/>
  <c r="L503" i="13"/>
  <c r="M503" i="13"/>
  <c r="N503" i="13"/>
  <c r="O503" i="13"/>
  <c r="P503" i="13"/>
  <c r="Q503" i="13"/>
  <c r="R503" i="13"/>
  <c r="S503" i="13"/>
  <c r="T503" i="13"/>
  <c r="U503" i="13"/>
  <c r="V503" i="13"/>
  <c r="W503" i="13"/>
  <c r="X503" i="13"/>
  <c r="D504" i="13" a="1"/>
  <c r="D504" i="13" s="1"/>
  <c r="G504" i="13" s="1"/>
  <c r="I504" i="13" s="1"/>
  <c r="K504" i="13"/>
  <c r="L504" i="13"/>
  <c r="M504" i="13"/>
  <c r="N504" i="13"/>
  <c r="O504" i="13"/>
  <c r="P504" i="13"/>
  <c r="Q504" i="13"/>
  <c r="R504" i="13"/>
  <c r="S504" i="13"/>
  <c r="T504" i="13"/>
  <c r="U504" i="13"/>
  <c r="V504" i="13"/>
  <c r="W504" i="13"/>
  <c r="X504" i="13"/>
  <c r="D505" i="13" a="1"/>
  <c r="D505" i="13" s="1"/>
  <c r="G505" i="13" s="1"/>
  <c r="I505" i="13" s="1"/>
  <c r="K505" i="13"/>
  <c r="L505" i="13"/>
  <c r="M505" i="13"/>
  <c r="N505" i="13"/>
  <c r="O505" i="13"/>
  <c r="P505" i="13"/>
  <c r="Q505" i="13"/>
  <c r="R505" i="13"/>
  <c r="S505" i="13"/>
  <c r="T505" i="13"/>
  <c r="U505" i="13"/>
  <c r="V505" i="13"/>
  <c r="W505" i="13"/>
  <c r="X505" i="13"/>
  <c r="D506" i="13" a="1"/>
  <c r="D506" i="13" s="1"/>
  <c r="G506" i="13" s="1"/>
  <c r="I506" i="13" s="1"/>
  <c r="K506" i="13"/>
  <c r="L506" i="13"/>
  <c r="M506" i="13"/>
  <c r="N506" i="13"/>
  <c r="O506" i="13"/>
  <c r="P506" i="13"/>
  <c r="Q506" i="13"/>
  <c r="R506" i="13"/>
  <c r="S506" i="13"/>
  <c r="T506" i="13"/>
  <c r="U506" i="13"/>
  <c r="V506" i="13"/>
  <c r="W506" i="13"/>
  <c r="X506" i="13"/>
  <c r="D507" i="13" a="1"/>
  <c r="D507" i="13" s="1"/>
  <c r="G507" i="13" s="1"/>
  <c r="I507" i="13" s="1"/>
  <c r="K507" i="13"/>
  <c r="L507" i="13"/>
  <c r="M507" i="13"/>
  <c r="N507" i="13"/>
  <c r="O507" i="13"/>
  <c r="P507" i="13"/>
  <c r="Q507" i="13"/>
  <c r="R507" i="13"/>
  <c r="S507" i="13"/>
  <c r="T507" i="13"/>
  <c r="U507" i="13"/>
  <c r="V507" i="13"/>
  <c r="W507" i="13"/>
  <c r="X507" i="13"/>
  <c r="D508" i="13" a="1"/>
  <c r="D508" i="13" s="1"/>
  <c r="G508" i="13" s="1"/>
  <c r="I508" i="13" s="1"/>
  <c r="K508" i="13"/>
  <c r="L508" i="13"/>
  <c r="M508" i="13"/>
  <c r="N508" i="13"/>
  <c r="O508" i="13"/>
  <c r="P508" i="13"/>
  <c r="Q508" i="13"/>
  <c r="R508" i="13"/>
  <c r="S508" i="13"/>
  <c r="T508" i="13"/>
  <c r="U508" i="13"/>
  <c r="V508" i="13"/>
  <c r="W508" i="13"/>
  <c r="X508" i="13"/>
  <c r="D509" i="13" a="1"/>
  <c r="D509" i="13" s="1"/>
  <c r="G509" i="13" s="1"/>
  <c r="I509" i="13" s="1"/>
  <c r="K509" i="13"/>
  <c r="L509" i="13"/>
  <c r="M509" i="13"/>
  <c r="N509" i="13"/>
  <c r="O509" i="13"/>
  <c r="P509" i="13"/>
  <c r="Q509" i="13"/>
  <c r="R509" i="13"/>
  <c r="S509" i="13"/>
  <c r="T509" i="13"/>
  <c r="U509" i="13"/>
  <c r="V509" i="13"/>
  <c r="W509" i="13"/>
  <c r="X509" i="13"/>
  <c r="D510" i="13" a="1"/>
  <c r="D510" i="13" s="1"/>
  <c r="G510" i="13" s="1"/>
  <c r="I510" i="13" s="1"/>
  <c r="K510" i="13"/>
  <c r="L510" i="13"/>
  <c r="M510" i="13"/>
  <c r="N510" i="13"/>
  <c r="O510" i="13"/>
  <c r="P510" i="13"/>
  <c r="Q510" i="13"/>
  <c r="R510" i="13"/>
  <c r="S510" i="13"/>
  <c r="T510" i="13"/>
  <c r="U510" i="13"/>
  <c r="V510" i="13"/>
  <c r="W510" i="13"/>
  <c r="X510" i="13"/>
  <c r="D511" i="13" a="1"/>
  <c r="D511" i="13" s="1"/>
  <c r="G511" i="13" s="1"/>
  <c r="I511" i="13" s="1"/>
  <c r="H511" i="13" a="1"/>
  <c r="H511" i="13" s="1"/>
  <c r="K511" i="13"/>
  <c r="L511" i="13"/>
  <c r="M511" i="13"/>
  <c r="N511" i="13"/>
  <c r="O511" i="13"/>
  <c r="P511" i="13"/>
  <c r="Q511" i="13"/>
  <c r="R511" i="13"/>
  <c r="S511" i="13"/>
  <c r="T511" i="13"/>
  <c r="U511" i="13"/>
  <c r="V511" i="13"/>
  <c r="W511" i="13"/>
  <c r="X511" i="13"/>
  <c r="D512" i="13" a="1"/>
  <c r="D512" i="13" s="1"/>
  <c r="G512" i="13" s="1"/>
  <c r="I512" i="13" s="1"/>
  <c r="K512" i="13"/>
  <c r="L512" i="13"/>
  <c r="M512" i="13"/>
  <c r="N512" i="13"/>
  <c r="O512" i="13"/>
  <c r="P512" i="13"/>
  <c r="Q512" i="13"/>
  <c r="R512" i="13"/>
  <c r="S512" i="13"/>
  <c r="T512" i="13"/>
  <c r="U512" i="13"/>
  <c r="V512" i="13"/>
  <c r="W512" i="13"/>
  <c r="X512" i="13"/>
  <c r="D513" i="13" a="1"/>
  <c r="D513" i="13" s="1"/>
  <c r="G513" i="13" s="1"/>
  <c r="I513" i="13" s="1"/>
  <c r="K513" i="13"/>
  <c r="L513" i="13"/>
  <c r="M513" i="13"/>
  <c r="N513" i="13"/>
  <c r="O513" i="13"/>
  <c r="P513" i="13"/>
  <c r="Q513" i="13"/>
  <c r="R513" i="13"/>
  <c r="S513" i="13"/>
  <c r="T513" i="13"/>
  <c r="U513" i="13"/>
  <c r="V513" i="13"/>
  <c r="W513" i="13"/>
  <c r="X513" i="13"/>
  <c r="D514" i="13" a="1"/>
  <c r="D514" i="13" s="1"/>
  <c r="G514" i="13" s="1"/>
  <c r="I514" i="13" s="1"/>
  <c r="K514" i="13"/>
  <c r="L514" i="13"/>
  <c r="M514" i="13"/>
  <c r="N514" i="13"/>
  <c r="O514" i="13"/>
  <c r="P514" i="13"/>
  <c r="Q514" i="13"/>
  <c r="R514" i="13"/>
  <c r="S514" i="13"/>
  <c r="T514" i="13"/>
  <c r="U514" i="13"/>
  <c r="V514" i="13"/>
  <c r="W514" i="13"/>
  <c r="X514" i="13"/>
  <c r="D515" i="13" a="1"/>
  <c r="D515" i="13" s="1"/>
  <c r="G515" i="13" s="1"/>
  <c r="I515" i="13" s="1"/>
  <c r="K515" i="13"/>
  <c r="L515" i="13"/>
  <c r="M515" i="13"/>
  <c r="N515" i="13"/>
  <c r="O515" i="13"/>
  <c r="P515" i="13"/>
  <c r="Q515" i="13"/>
  <c r="R515" i="13"/>
  <c r="S515" i="13"/>
  <c r="T515" i="13"/>
  <c r="U515" i="13"/>
  <c r="V515" i="13"/>
  <c r="W515" i="13"/>
  <c r="X515" i="13"/>
  <c r="D516" i="13" a="1"/>
  <c r="D516" i="13" s="1"/>
  <c r="G516" i="13" s="1"/>
  <c r="I516" i="13" s="1"/>
  <c r="K516" i="13"/>
  <c r="L516" i="13"/>
  <c r="M516" i="13"/>
  <c r="N516" i="13"/>
  <c r="O516" i="13"/>
  <c r="P516" i="13"/>
  <c r="Q516" i="13"/>
  <c r="R516" i="13"/>
  <c r="S516" i="13"/>
  <c r="T516" i="13"/>
  <c r="U516" i="13"/>
  <c r="V516" i="13"/>
  <c r="W516" i="13"/>
  <c r="X516" i="13"/>
  <c r="D517" i="13" a="1"/>
  <c r="D517" i="13" s="1"/>
  <c r="G517" i="13" s="1"/>
  <c r="I517" i="13" s="1"/>
  <c r="K517" i="13"/>
  <c r="L517" i="13"/>
  <c r="M517" i="13"/>
  <c r="N517" i="13"/>
  <c r="O517" i="13"/>
  <c r="P517" i="13"/>
  <c r="Q517" i="13"/>
  <c r="R517" i="13"/>
  <c r="S517" i="13"/>
  <c r="T517" i="13"/>
  <c r="U517" i="13"/>
  <c r="V517" i="13"/>
  <c r="W517" i="13"/>
  <c r="X517" i="13"/>
  <c r="D518" i="13" a="1"/>
  <c r="D518" i="13" s="1"/>
  <c r="G518" i="13" s="1"/>
  <c r="I518" i="13" s="1"/>
  <c r="K518" i="13"/>
  <c r="L518" i="13"/>
  <c r="M518" i="13"/>
  <c r="N518" i="13"/>
  <c r="O518" i="13"/>
  <c r="P518" i="13"/>
  <c r="Q518" i="13"/>
  <c r="R518" i="13"/>
  <c r="S518" i="13"/>
  <c r="T518" i="13"/>
  <c r="U518" i="13"/>
  <c r="V518" i="13"/>
  <c r="W518" i="13"/>
  <c r="X518" i="13"/>
  <c r="D519" i="13" a="1"/>
  <c r="D519" i="13" s="1"/>
  <c r="G519" i="13" s="1"/>
  <c r="I519" i="13" s="1"/>
  <c r="K519" i="13"/>
  <c r="L519" i="13"/>
  <c r="M519" i="13"/>
  <c r="N519" i="13"/>
  <c r="O519" i="13"/>
  <c r="P519" i="13"/>
  <c r="Q519" i="13"/>
  <c r="R519" i="13"/>
  <c r="S519" i="13"/>
  <c r="T519" i="13"/>
  <c r="U519" i="13"/>
  <c r="V519" i="13"/>
  <c r="W519" i="13"/>
  <c r="X519" i="13"/>
  <c r="D520" i="13" a="1"/>
  <c r="D520" i="13" s="1"/>
  <c r="G520" i="13" s="1"/>
  <c r="I520" i="13" s="1"/>
  <c r="K520" i="13"/>
  <c r="L520" i="13"/>
  <c r="M520" i="13"/>
  <c r="N520" i="13"/>
  <c r="O520" i="13"/>
  <c r="P520" i="13"/>
  <c r="Q520" i="13"/>
  <c r="R520" i="13"/>
  <c r="S520" i="13"/>
  <c r="T520" i="13"/>
  <c r="U520" i="13"/>
  <c r="V520" i="13"/>
  <c r="W520" i="13"/>
  <c r="X520" i="13"/>
  <c r="D521" i="13" a="1"/>
  <c r="D521" i="13" s="1"/>
  <c r="G521" i="13" s="1"/>
  <c r="I521" i="13" s="1"/>
  <c r="K521" i="13"/>
  <c r="L521" i="13"/>
  <c r="M521" i="13"/>
  <c r="N521" i="13"/>
  <c r="O521" i="13"/>
  <c r="P521" i="13"/>
  <c r="Q521" i="13"/>
  <c r="R521" i="13"/>
  <c r="S521" i="13"/>
  <c r="T521" i="13"/>
  <c r="U521" i="13"/>
  <c r="V521" i="13"/>
  <c r="W521" i="13"/>
  <c r="X521" i="13"/>
  <c r="D522" i="13" a="1"/>
  <c r="D522" i="13" s="1"/>
  <c r="G522" i="13" s="1"/>
  <c r="I522" i="13" s="1"/>
  <c r="K522" i="13"/>
  <c r="L522" i="13"/>
  <c r="M522" i="13"/>
  <c r="N522" i="13"/>
  <c r="O522" i="13"/>
  <c r="P522" i="13"/>
  <c r="Q522" i="13"/>
  <c r="R522" i="13"/>
  <c r="S522" i="13"/>
  <c r="T522" i="13"/>
  <c r="U522" i="13"/>
  <c r="V522" i="13"/>
  <c r="W522" i="13"/>
  <c r="X522" i="13"/>
  <c r="D523" i="13" a="1"/>
  <c r="D523" i="13" s="1"/>
  <c r="G523" i="13" s="1"/>
  <c r="I523" i="13" s="1"/>
  <c r="K523" i="13"/>
  <c r="L523" i="13"/>
  <c r="M523" i="13"/>
  <c r="N523" i="13"/>
  <c r="O523" i="13"/>
  <c r="P523" i="13"/>
  <c r="Q523" i="13"/>
  <c r="R523" i="13"/>
  <c r="S523" i="13"/>
  <c r="T523" i="13"/>
  <c r="U523" i="13"/>
  <c r="V523" i="13"/>
  <c r="W523" i="13"/>
  <c r="X523" i="13"/>
  <c r="D524" i="13" a="1"/>
  <c r="D524" i="13" s="1"/>
  <c r="G524" i="13" s="1"/>
  <c r="I524" i="13" s="1"/>
  <c r="H524" i="13" a="1"/>
  <c r="H524" i="13" s="1"/>
  <c r="K524" i="13"/>
  <c r="L524" i="13"/>
  <c r="M524" i="13"/>
  <c r="N524" i="13"/>
  <c r="O524" i="13"/>
  <c r="P524" i="13"/>
  <c r="Q524" i="13"/>
  <c r="R524" i="13"/>
  <c r="S524" i="13"/>
  <c r="T524" i="13"/>
  <c r="U524" i="13"/>
  <c r="V524" i="13"/>
  <c r="W524" i="13"/>
  <c r="X524" i="13"/>
  <c r="D525" i="13" a="1"/>
  <c r="D525" i="13" s="1"/>
  <c r="G525" i="13" s="1"/>
  <c r="I525" i="13" s="1"/>
  <c r="K525" i="13"/>
  <c r="L525" i="13"/>
  <c r="M525" i="13"/>
  <c r="N525" i="13"/>
  <c r="O525" i="13"/>
  <c r="P525" i="13"/>
  <c r="Q525" i="13"/>
  <c r="R525" i="13"/>
  <c r="S525" i="13"/>
  <c r="T525" i="13"/>
  <c r="U525" i="13"/>
  <c r="V525" i="13"/>
  <c r="W525" i="13"/>
  <c r="X525" i="13"/>
  <c r="D526" i="13" a="1"/>
  <c r="D526" i="13" s="1"/>
  <c r="G526" i="13" s="1"/>
  <c r="I526" i="13" s="1"/>
  <c r="K526" i="13"/>
  <c r="L526" i="13"/>
  <c r="M526" i="13"/>
  <c r="N526" i="13"/>
  <c r="O526" i="13"/>
  <c r="P526" i="13"/>
  <c r="Q526" i="13"/>
  <c r="R526" i="13"/>
  <c r="S526" i="13"/>
  <c r="T526" i="13"/>
  <c r="U526" i="13"/>
  <c r="V526" i="13"/>
  <c r="W526" i="13"/>
  <c r="X526" i="13"/>
  <c r="D527" i="13" a="1"/>
  <c r="D527" i="13" s="1"/>
  <c r="G527" i="13" s="1"/>
  <c r="I527" i="13" s="1"/>
  <c r="K527" i="13"/>
  <c r="L527" i="13"/>
  <c r="M527" i="13"/>
  <c r="N527" i="13"/>
  <c r="O527" i="13"/>
  <c r="P527" i="13"/>
  <c r="Q527" i="13"/>
  <c r="R527" i="13"/>
  <c r="S527" i="13"/>
  <c r="T527" i="13"/>
  <c r="U527" i="13"/>
  <c r="V527" i="13"/>
  <c r="W527" i="13"/>
  <c r="X527" i="13"/>
  <c r="D528" i="13" a="1"/>
  <c r="D528" i="13" s="1"/>
  <c r="G528" i="13" s="1"/>
  <c r="I528" i="13" s="1"/>
  <c r="K528" i="13"/>
  <c r="L528" i="13"/>
  <c r="M528" i="13"/>
  <c r="N528" i="13"/>
  <c r="O528" i="13"/>
  <c r="P528" i="13"/>
  <c r="Q528" i="13"/>
  <c r="R528" i="13"/>
  <c r="S528" i="13"/>
  <c r="T528" i="13"/>
  <c r="U528" i="13"/>
  <c r="V528" i="13"/>
  <c r="W528" i="13"/>
  <c r="X528" i="13"/>
  <c r="D529" i="13" a="1"/>
  <c r="D529" i="13" s="1"/>
  <c r="G529" i="13" s="1"/>
  <c r="I529" i="13" s="1"/>
  <c r="K529" i="13"/>
  <c r="L529" i="13"/>
  <c r="M529" i="13"/>
  <c r="N529" i="13"/>
  <c r="O529" i="13"/>
  <c r="P529" i="13"/>
  <c r="Q529" i="13"/>
  <c r="R529" i="13"/>
  <c r="S529" i="13"/>
  <c r="T529" i="13"/>
  <c r="U529" i="13"/>
  <c r="V529" i="13"/>
  <c r="W529" i="13"/>
  <c r="X529" i="13"/>
  <c r="D530" i="13" a="1"/>
  <c r="D530" i="13" s="1"/>
  <c r="G530" i="13" s="1"/>
  <c r="I530" i="13" s="1"/>
  <c r="K530" i="13"/>
  <c r="L530" i="13"/>
  <c r="M530" i="13"/>
  <c r="N530" i="13"/>
  <c r="O530" i="13"/>
  <c r="P530" i="13"/>
  <c r="Q530" i="13"/>
  <c r="R530" i="13"/>
  <c r="S530" i="13"/>
  <c r="T530" i="13"/>
  <c r="U530" i="13"/>
  <c r="V530" i="13"/>
  <c r="W530" i="13"/>
  <c r="X530" i="13"/>
  <c r="D531" i="13" a="1"/>
  <c r="D531" i="13" s="1"/>
  <c r="G531" i="13" s="1"/>
  <c r="I531" i="13" s="1"/>
  <c r="K531" i="13"/>
  <c r="L531" i="13"/>
  <c r="M531" i="13"/>
  <c r="N531" i="13"/>
  <c r="O531" i="13"/>
  <c r="P531" i="13"/>
  <c r="Q531" i="13"/>
  <c r="R531" i="13"/>
  <c r="S531" i="13"/>
  <c r="T531" i="13"/>
  <c r="U531" i="13"/>
  <c r="V531" i="13"/>
  <c r="W531" i="13"/>
  <c r="X531" i="13"/>
  <c r="D532" i="13" a="1"/>
  <c r="D532" i="13" s="1"/>
  <c r="G532" i="13" s="1"/>
  <c r="I532" i="13" s="1"/>
  <c r="K532" i="13"/>
  <c r="L532" i="13"/>
  <c r="M532" i="13"/>
  <c r="N532" i="13"/>
  <c r="O532" i="13"/>
  <c r="P532" i="13"/>
  <c r="Q532" i="13"/>
  <c r="R532" i="13"/>
  <c r="S532" i="13"/>
  <c r="T532" i="13"/>
  <c r="U532" i="13"/>
  <c r="V532" i="13"/>
  <c r="W532" i="13"/>
  <c r="X532" i="13"/>
  <c r="D533" i="13" a="1"/>
  <c r="D533" i="13" s="1"/>
  <c r="G533" i="13" s="1"/>
  <c r="I533" i="13" s="1"/>
  <c r="K533" i="13"/>
  <c r="L533" i="13"/>
  <c r="M533" i="13"/>
  <c r="N533" i="13"/>
  <c r="O533" i="13"/>
  <c r="P533" i="13"/>
  <c r="Q533" i="13"/>
  <c r="R533" i="13"/>
  <c r="S533" i="13"/>
  <c r="T533" i="13"/>
  <c r="U533" i="13"/>
  <c r="V533" i="13"/>
  <c r="W533" i="13"/>
  <c r="X533" i="13"/>
  <c r="D534" i="13" a="1"/>
  <c r="D534" i="13" s="1"/>
  <c r="G534" i="13" s="1"/>
  <c r="I534" i="13" s="1"/>
  <c r="K534" i="13"/>
  <c r="L534" i="13"/>
  <c r="M534" i="13"/>
  <c r="N534" i="13"/>
  <c r="O534" i="13"/>
  <c r="P534" i="13"/>
  <c r="Q534" i="13"/>
  <c r="R534" i="13"/>
  <c r="S534" i="13"/>
  <c r="T534" i="13"/>
  <c r="U534" i="13"/>
  <c r="V534" i="13"/>
  <c r="W534" i="13"/>
  <c r="X534" i="13"/>
  <c r="D535" i="13" a="1"/>
  <c r="D535" i="13" s="1"/>
  <c r="G535" i="13" s="1"/>
  <c r="I535" i="13" s="1"/>
  <c r="K535" i="13"/>
  <c r="L535" i="13"/>
  <c r="M535" i="13"/>
  <c r="N535" i="13"/>
  <c r="O535" i="13"/>
  <c r="P535" i="13"/>
  <c r="Q535" i="13"/>
  <c r="R535" i="13"/>
  <c r="S535" i="13"/>
  <c r="T535" i="13"/>
  <c r="U535" i="13"/>
  <c r="V535" i="13"/>
  <c r="W535" i="13"/>
  <c r="X535" i="13"/>
  <c r="D536" i="13" a="1"/>
  <c r="D536" i="13" s="1"/>
  <c r="G536" i="13" s="1"/>
  <c r="I536" i="13" s="1"/>
  <c r="K536" i="13"/>
  <c r="L536" i="13"/>
  <c r="M536" i="13"/>
  <c r="N536" i="13"/>
  <c r="O536" i="13"/>
  <c r="P536" i="13"/>
  <c r="Q536" i="13"/>
  <c r="R536" i="13"/>
  <c r="S536" i="13"/>
  <c r="T536" i="13"/>
  <c r="U536" i="13"/>
  <c r="V536" i="13"/>
  <c r="W536" i="13"/>
  <c r="X536" i="13"/>
  <c r="D537" i="13" a="1"/>
  <c r="D537" i="13" s="1"/>
  <c r="G537" i="13" s="1"/>
  <c r="I537" i="13" s="1"/>
  <c r="K537" i="13"/>
  <c r="L537" i="13"/>
  <c r="M537" i="13"/>
  <c r="N537" i="13"/>
  <c r="O537" i="13"/>
  <c r="P537" i="13"/>
  <c r="Q537" i="13"/>
  <c r="R537" i="13"/>
  <c r="S537" i="13"/>
  <c r="T537" i="13"/>
  <c r="U537" i="13"/>
  <c r="V537" i="13"/>
  <c r="W537" i="13"/>
  <c r="X537" i="13"/>
  <c r="D538" i="13" a="1"/>
  <c r="D538" i="13" s="1"/>
  <c r="G538" i="13" s="1"/>
  <c r="I538" i="13" s="1"/>
  <c r="K538" i="13"/>
  <c r="L538" i="13"/>
  <c r="M538" i="13"/>
  <c r="N538" i="13"/>
  <c r="O538" i="13"/>
  <c r="P538" i="13"/>
  <c r="Q538" i="13"/>
  <c r="R538" i="13"/>
  <c r="S538" i="13"/>
  <c r="T538" i="13"/>
  <c r="U538" i="13"/>
  <c r="V538" i="13"/>
  <c r="W538" i="13"/>
  <c r="X538" i="13"/>
  <c r="D539" i="13" a="1"/>
  <c r="D539" i="13" s="1"/>
  <c r="G539" i="13" s="1"/>
  <c r="I539" i="13" s="1"/>
  <c r="K539" i="13"/>
  <c r="L539" i="13"/>
  <c r="M539" i="13"/>
  <c r="N539" i="13"/>
  <c r="O539" i="13"/>
  <c r="P539" i="13"/>
  <c r="Q539" i="13"/>
  <c r="R539" i="13"/>
  <c r="S539" i="13"/>
  <c r="T539" i="13"/>
  <c r="U539" i="13"/>
  <c r="V539" i="13"/>
  <c r="W539" i="13"/>
  <c r="X539" i="13"/>
  <c r="D540" i="13" a="1"/>
  <c r="D540" i="13" s="1"/>
  <c r="G540" i="13" s="1"/>
  <c r="I540" i="13" s="1"/>
  <c r="K540" i="13"/>
  <c r="L540" i="13"/>
  <c r="M540" i="13"/>
  <c r="N540" i="13"/>
  <c r="O540" i="13"/>
  <c r="P540" i="13"/>
  <c r="Q540" i="13"/>
  <c r="R540" i="13"/>
  <c r="S540" i="13"/>
  <c r="T540" i="13"/>
  <c r="U540" i="13"/>
  <c r="V540" i="13"/>
  <c r="W540" i="13"/>
  <c r="X540" i="13"/>
  <c r="D541" i="13" a="1"/>
  <c r="D541" i="13" s="1"/>
  <c r="G541" i="13" s="1"/>
  <c r="I541" i="13" s="1"/>
  <c r="K541" i="13"/>
  <c r="L541" i="13"/>
  <c r="M541" i="13"/>
  <c r="N541" i="13"/>
  <c r="O541" i="13"/>
  <c r="P541" i="13"/>
  <c r="Q541" i="13"/>
  <c r="R541" i="13"/>
  <c r="S541" i="13"/>
  <c r="T541" i="13"/>
  <c r="U541" i="13"/>
  <c r="V541" i="13"/>
  <c r="W541" i="13"/>
  <c r="X541" i="13"/>
  <c r="D542" i="13" a="1"/>
  <c r="D542" i="13" s="1"/>
  <c r="G542" i="13" s="1"/>
  <c r="I542" i="13" s="1"/>
  <c r="K542" i="13"/>
  <c r="L542" i="13"/>
  <c r="M542" i="13"/>
  <c r="N542" i="13"/>
  <c r="O542" i="13"/>
  <c r="P542" i="13"/>
  <c r="Q542" i="13"/>
  <c r="R542" i="13"/>
  <c r="S542" i="13"/>
  <c r="T542" i="13"/>
  <c r="U542" i="13"/>
  <c r="V542" i="13"/>
  <c r="W542" i="13"/>
  <c r="X542" i="13"/>
  <c r="D543" i="13" a="1"/>
  <c r="D543" i="13" s="1"/>
  <c r="G543" i="13" s="1"/>
  <c r="I543" i="13" s="1"/>
  <c r="K543" i="13"/>
  <c r="L543" i="13"/>
  <c r="M543" i="13"/>
  <c r="N543" i="13"/>
  <c r="O543" i="13"/>
  <c r="P543" i="13"/>
  <c r="Q543" i="13"/>
  <c r="R543" i="13"/>
  <c r="S543" i="13"/>
  <c r="T543" i="13"/>
  <c r="U543" i="13"/>
  <c r="V543" i="13"/>
  <c r="W543" i="13"/>
  <c r="X543" i="13"/>
  <c r="D544" i="13" a="1"/>
  <c r="D544" i="13" s="1"/>
  <c r="G544" i="13" s="1"/>
  <c r="I544" i="13" s="1"/>
  <c r="K544" i="13"/>
  <c r="L544" i="13"/>
  <c r="M544" i="13"/>
  <c r="N544" i="13"/>
  <c r="O544" i="13"/>
  <c r="P544" i="13"/>
  <c r="Q544" i="13"/>
  <c r="R544" i="13"/>
  <c r="S544" i="13"/>
  <c r="T544" i="13"/>
  <c r="U544" i="13"/>
  <c r="V544" i="13"/>
  <c r="W544" i="13"/>
  <c r="X544" i="13"/>
  <c r="D545" i="13" a="1"/>
  <c r="D545" i="13" s="1"/>
  <c r="G545" i="13" s="1"/>
  <c r="I545" i="13" s="1"/>
  <c r="K545" i="13"/>
  <c r="L545" i="13"/>
  <c r="M545" i="13"/>
  <c r="N545" i="13"/>
  <c r="O545" i="13"/>
  <c r="P545" i="13"/>
  <c r="Q545" i="13"/>
  <c r="R545" i="13"/>
  <c r="S545" i="13"/>
  <c r="T545" i="13"/>
  <c r="U545" i="13"/>
  <c r="V545" i="13"/>
  <c r="W545" i="13"/>
  <c r="X545" i="13"/>
  <c r="D546" i="13" a="1"/>
  <c r="D546" i="13" s="1"/>
  <c r="G546" i="13" s="1"/>
  <c r="I546" i="13" s="1"/>
  <c r="K546" i="13"/>
  <c r="L546" i="13"/>
  <c r="M546" i="13"/>
  <c r="N546" i="13"/>
  <c r="O546" i="13"/>
  <c r="P546" i="13"/>
  <c r="Q546" i="13"/>
  <c r="R546" i="13"/>
  <c r="S546" i="13"/>
  <c r="T546" i="13"/>
  <c r="U546" i="13"/>
  <c r="V546" i="13"/>
  <c r="W546" i="13"/>
  <c r="X546" i="13"/>
  <c r="D547" i="13" a="1"/>
  <c r="D547" i="13" s="1"/>
  <c r="G547" i="13" s="1"/>
  <c r="I547" i="13" s="1"/>
  <c r="H547" i="13" a="1"/>
  <c r="H547" i="13" s="1"/>
  <c r="K547" i="13"/>
  <c r="L547" i="13"/>
  <c r="M547" i="13"/>
  <c r="N547" i="13"/>
  <c r="O547" i="13"/>
  <c r="P547" i="13"/>
  <c r="Q547" i="13"/>
  <c r="R547" i="13"/>
  <c r="S547" i="13"/>
  <c r="T547" i="13"/>
  <c r="U547" i="13"/>
  <c r="V547" i="13"/>
  <c r="W547" i="13"/>
  <c r="X547" i="13"/>
  <c r="D548" i="13" a="1"/>
  <c r="D548" i="13" s="1"/>
  <c r="G548" i="13" s="1"/>
  <c r="I548" i="13" s="1"/>
  <c r="H548" i="13" a="1"/>
  <c r="H548" i="13" s="1"/>
  <c r="K548" i="13"/>
  <c r="L548" i="13"/>
  <c r="M548" i="13"/>
  <c r="N548" i="13"/>
  <c r="O548" i="13"/>
  <c r="P548" i="13"/>
  <c r="Q548" i="13"/>
  <c r="R548" i="13"/>
  <c r="S548" i="13"/>
  <c r="T548" i="13"/>
  <c r="U548" i="13"/>
  <c r="V548" i="13"/>
  <c r="W548" i="13"/>
  <c r="X548" i="13"/>
  <c r="D549" i="13" a="1"/>
  <c r="D549" i="13" s="1"/>
  <c r="G549" i="13" s="1"/>
  <c r="I549" i="13" s="1"/>
  <c r="K549" i="13"/>
  <c r="L549" i="13"/>
  <c r="M549" i="13"/>
  <c r="N549" i="13"/>
  <c r="O549" i="13"/>
  <c r="P549" i="13"/>
  <c r="Q549" i="13"/>
  <c r="R549" i="13"/>
  <c r="S549" i="13"/>
  <c r="T549" i="13"/>
  <c r="U549" i="13"/>
  <c r="V549" i="13"/>
  <c r="W549" i="13"/>
  <c r="X549" i="13"/>
  <c r="D550" i="13" a="1"/>
  <c r="D550" i="13" s="1"/>
  <c r="G550" i="13" s="1"/>
  <c r="I550" i="13" s="1"/>
  <c r="H550" i="13" a="1"/>
  <c r="H550" i="13" s="1"/>
  <c r="K550" i="13"/>
  <c r="L550" i="13"/>
  <c r="M550" i="13"/>
  <c r="N550" i="13"/>
  <c r="O550" i="13"/>
  <c r="P550" i="13"/>
  <c r="Q550" i="13"/>
  <c r="R550" i="13"/>
  <c r="S550" i="13"/>
  <c r="T550" i="13"/>
  <c r="U550" i="13"/>
  <c r="V550" i="13"/>
  <c r="W550" i="13"/>
  <c r="X550" i="13"/>
  <c r="D551" i="13" a="1"/>
  <c r="D551" i="13" s="1"/>
  <c r="G551" i="13" s="1"/>
  <c r="I551" i="13" s="1"/>
  <c r="K551" i="13"/>
  <c r="L551" i="13"/>
  <c r="M551" i="13"/>
  <c r="N551" i="13"/>
  <c r="O551" i="13"/>
  <c r="P551" i="13"/>
  <c r="Q551" i="13"/>
  <c r="R551" i="13"/>
  <c r="S551" i="13"/>
  <c r="T551" i="13"/>
  <c r="U551" i="13"/>
  <c r="V551" i="13"/>
  <c r="W551" i="13"/>
  <c r="X551" i="13"/>
  <c r="D552" i="13" a="1"/>
  <c r="D552" i="13" s="1"/>
  <c r="G552" i="13" s="1"/>
  <c r="I552" i="13" s="1"/>
  <c r="K552" i="13"/>
  <c r="L552" i="13"/>
  <c r="M552" i="13"/>
  <c r="N552" i="13"/>
  <c r="O552" i="13"/>
  <c r="P552" i="13"/>
  <c r="Q552" i="13"/>
  <c r="R552" i="13"/>
  <c r="S552" i="13"/>
  <c r="T552" i="13"/>
  <c r="U552" i="13"/>
  <c r="V552" i="13"/>
  <c r="W552" i="13"/>
  <c r="X552" i="13"/>
  <c r="D553" i="13" a="1"/>
  <c r="D553" i="13" s="1"/>
  <c r="G553" i="13" s="1"/>
  <c r="I553" i="13" s="1"/>
  <c r="H553" i="13" a="1"/>
  <c r="H553" i="13" s="1"/>
  <c r="K553" i="13"/>
  <c r="L553" i="13"/>
  <c r="M553" i="13"/>
  <c r="N553" i="13"/>
  <c r="O553" i="13"/>
  <c r="P553" i="13"/>
  <c r="Q553" i="13"/>
  <c r="R553" i="13"/>
  <c r="S553" i="13"/>
  <c r="T553" i="13"/>
  <c r="U553" i="13"/>
  <c r="V553" i="13"/>
  <c r="W553" i="13"/>
  <c r="X553" i="13"/>
  <c r="D554" i="13" a="1"/>
  <c r="D554" i="13" s="1"/>
  <c r="G554" i="13" s="1"/>
  <c r="I554" i="13" s="1"/>
  <c r="H554" i="13" a="1"/>
  <c r="H554" i="13" s="1"/>
  <c r="K554" i="13"/>
  <c r="L554" i="13"/>
  <c r="M554" i="13"/>
  <c r="N554" i="13"/>
  <c r="O554" i="13"/>
  <c r="P554" i="13"/>
  <c r="Q554" i="13"/>
  <c r="R554" i="13"/>
  <c r="S554" i="13"/>
  <c r="T554" i="13"/>
  <c r="U554" i="13"/>
  <c r="V554" i="13"/>
  <c r="W554" i="13"/>
  <c r="X554" i="13"/>
  <c r="D555" i="13" a="1"/>
  <c r="D555" i="13" s="1"/>
  <c r="G555" i="13" s="1"/>
  <c r="I555" i="13" s="1"/>
  <c r="K555" i="13"/>
  <c r="L555" i="13"/>
  <c r="M555" i="13"/>
  <c r="N555" i="13"/>
  <c r="O555" i="13"/>
  <c r="P555" i="13"/>
  <c r="Q555" i="13"/>
  <c r="R555" i="13"/>
  <c r="S555" i="13"/>
  <c r="T555" i="13"/>
  <c r="U555" i="13"/>
  <c r="V555" i="13"/>
  <c r="W555" i="13"/>
  <c r="X555" i="13"/>
  <c r="D556" i="13" a="1"/>
  <c r="D556" i="13" s="1"/>
  <c r="G556" i="13" s="1"/>
  <c r="I556" i="13" s="1"/>
  <c r="K556" i="13"/>
  <c r="L556" i="13"/>
  <c r="M556" i="13"/>
  <c r="N556" i="13"/>
  <c r="O556" i="13"/>
  <c r="P556" i="13"/>
  <c r="Q556" i="13"/>
  <c r="R556" i="13"/>
  <c r="S556" i="13"/>
  <c r="T556" i="13"/>
  <c r="U556" i="13"/>
  <c r="V556" i="13"/>
  <c r="W556" i="13"/>
  <c r="X556" i="13"/>
  <c r="D557" i="13" a="1"/>
  <c r="D557" i="13" s="1"/>
  <c r="G557" i="13" s="1"/>
  <c r="I557" i="13" s="1"/>
  <c r="K557" i="13"/>
  <c r="L557" i="13"/>
  <c r="M557" i="13"/>
  <c r="N557" i="13"/>
  <c r="O557" i="13"/>
  <c r="P557" i="13"/>
  <c r="Q557" i="13"/>
  <c r="R557" i="13"/>
  <c r="S557" i="13"/>
  <c r="T557" i="13"/>
  <c r="U557" i="13"/>
  <c r="V557" i="13"/>
  <c r="W557" i="13"/>
  <c r="X557" i="13"/>
  <c r="D558" i="13" a="1"/>
  <c r="D558" i="13" s="1"/>
  <c r="G558" i="13" s="1"/>
  <c r="I558" i="13" s="1"/>
  <c r="K558" i="13"/>
  <c r="L558" i="13"/>
  <c r="M558" i="13"/>
  <c r="N558" i="13"/>
  <c r="O558" i="13"/>
  <c r="P558" i="13"/>
  <c r="Q558" i="13"/>
  <c r="R558" i="13"/>
  <c r="S558" i="13"/>
  <c r="T558" i="13"/>
  <c r="U558" i="13"/>
  <c r="V558" i="13"/>
  <c r="W558" i="13"/>
  <c r="X558" i="13"/>
  <c r="D559" i="13" a="1"/>
  <c r="D559" i="13" s="1"/>
  <c r="G559" i="13" s="1"/>
  <c r="I559" i="13" s="1"/>
  <c r="H559" i="13" a="1"/>
  <c r="H559" i="13" s="1"/>
  <c r="K559" i="13"/>
  <c r="L559" i="13"/>
  <c r="M559" i="13"/>
  <c r="N559" i="13"/>
  <c r="O559" i="13"/>
  <c r="P559" i="13"/>
  <c r="Q559" i="13"/>
  <c r="R559" i="13"/>
  <c r="S559" i="13"/>
  <c r="T559" i="13"/>
  <c r="U559" i="13"/>
  <c r="V559" i="13"/>
  <c r="W559" i="13"/>
  <c r="X559" i="13"/>
  <c r="D560" i="13" a="1"/>
  <c r="D560" i="13" s="1"/>
  <c r="G560" i="13" s="1"/>
  <c r="I560" i="13" s="1"/>
  <c r="H560" i="13" a="1"/>
  <c r="H560" i="13" s="1"/>
  <c r="K560" i="13"/>
  <c r="L560" i="13"/>
  <c r="M560" i="13"/>
  <c r="N560" i="13"/>
  <c r="O560" i="13"/>
  <c r="P560" i="13"/>
  <c r="Q560" i="13"/>
  <c r="R560" i="13"/>
  <c r="S560" i="13"/>
  <c r="T560" i="13"/>
  <c r="U560" i="13"/>
  <c r="V560" i="13"/>
  <c r="W560" i="13"/>
  <c r="X560" i="13"/>
  <c r="D561" i="13" a="1"/>
  <c r="D561" i="13" s="1"/>
  <c r="G561" i="13" s="1"/>
  <c r="I561" i="13" s="1"/>
  <c r="H561" i="13" a="1"/>
  <c r="H561" i="13" s="1"/>
  <c r="K561" i="13"/>
  <c r="L561" i="13"/>
  <c r="M561" i="13"/>
  <c r="N561" i="13"/>
  <c r="O561" i="13"/>
  <c r="P561" i="13"/>
  <c r="Q561" i="13"/>
  <c r="R561" i="13"/>
  <c r="S561" i="13"/>
  <c r="T561" i="13"/>
  <c r="U561" i="13"/>
  <c r="V561" i="13"/>
  <c r="W561" i="13"/>
  <c r="X561" i="13"/>
  <c r="D562" i="13" a="1"/>
  <c r="D562" i="13" s="1"/>
  <c r="G562" i="13" s="1"/>
  <c r="I562" i="13" s="1"/>
  <c r="K562" i="13"/>
  <c r="L562" i="13"/>
  <c r="M562" i="13"/>
  <c r="N562" i="13"/>
  <c r="O562" i="13"/>
  <c r="P562" i="13"/>
  <c r="Q562" i="13"/>
  <c r="R562" i="13"/>
  <c r="S562" i="13"/>
  <c r="T562" i="13"/>
  <c r="U562" i="13"/>
  <c r="V562" i="13"/>
  <c r="W562" i="13"/>
  <c r="X562" i="13"/>
  <c r="D563" i="13" a="1"/>
  <c r="D563" i="13" s="1"/>
  <c r="G563" i="13" s="1"/>
  <c r="I563" i="13" s="1"/>
  <c r="H563" i="13" a="1"/>
  <c r="H563" i="13" s="1"/>
  <c r="K563" i="13"/>
  <c r="L563" i="13"/>
  <c r="M563" i="13"/>
  <c r="N563" i="13"/>
  <c r="O563" i="13"/>
  <c r="P563" i="13"/>
  <c r="Q563" i="13"/>
  <c r="R563" i="13"/>
  <c r="S563" i="13"/>
  <c r="T563" i="13"/>
  <c r="U563" i="13"/>
  <c r="V563" i="13"/>
  <c r="W563" i="13"/>
  <c r="X563" i="13"/>
  <c r="D564" i="13" a="1"/>
  <c r="D564" i="13" s="1"/>
  <c r="G564" i="13" s="1"/>
  <c r="I564" i="13" s="1"/>
  <c r="K564" i="13"/>
  <c r="L564" i="13"/>
  <c r="M564" i="13"/>
  <c r="N564" i="13"/>
  <c r="O564" i="13"/>
  <c r="P564" i="13"/>
  <c r="Q564" i="13"/>
  <c r="R564" i="13"/>
  <c r="S564" i="13"/>
  <c r="T564" i="13"/>
  <c r="U564" i="13"/>
  <c r="V564" i="13"/>
  <c r="W564" i="13"/>
  <c r="X564" i="13"/>
  <c r="D565" i="13" a="1"/>
  <c r="D565" i="13" s="1"/>
  <c r="G565" i="13" s="1"/>
  <c r="I565" i="13" s="1"/>
  <c r="K565" i="13"/>
  <c r="L565" i="13"/>
  <c r="M565" i="13"/>
  <c r="N565" i="13"/>
  <c r="O565" i="13"/>
  <c r="P565" i="13"/>
  <c r="Q565" i="13"/>
  <c r="R565" i="13"/>
  <c r="S565" i="13"/>
  <c r="T565" i="13"/>
  <c r="U565" i="13"/>
  <c r="V565" i="13"/>
  <c r="W565" i="13"/>
  <c r="X565" i="13"/>
  <c r="D566" i="13" a="1"/>
  <c r="D566" i="13" s="1"/>
  <c r="G566" i="13" s="1"/>
  <c r="I566" i="13" s="1"/>
  <c r="K566" i="13"/>
  <c r="L566" i="13"/>
  <c r="M566" i="13"/>
  <c r="N566" i="13"/>
  <c r="O566" i="13"/>
  <c r="P566" i="13"/>
  <c r="Q566" i="13"/>
  <c r="R566" i="13"/>
  <c r="S566" i="13"/>
  <c r="T566" i="13"/>
  <c r="U566" i="13"/>
  <c r="V566" i="13"/>
  <c r="W566" i="13"/>
  <c r="X566" i="13"/>
  <c r="D567" i="13" a="1"/>
  <c r="D567" i="13" s="1"/>
  <c r="G567" i="13" s="1"/>
  <c r="I567" i="13" s="1"/>
  <c r="K567" i="13"/>
  <c r="L567" i="13"/>
  <c r="M567" i="13"/>
  <c r="N567" i="13"/>
  <c r="O567" i="13"/>
  <c r="P567" i="13"/>
  <c r="Q567" i="13"/>
  <c r="R567" i="13"/>
  <c r="S567" i="13"/>
  <c r="T567" i="13"/>
  <c r="U567" i="13"/>
  <c r="V567" i="13"/>
  <c r="W567" i="13"/>
  <c r="X567" i="13"/>
  <c r="D568" i="13" a="1"/>
  <c r="D568" i="13" s="1"/>
  <c r="G568" i="13" s="1"/>
  <c r="I568" i="13" s="1"/>
  <c r="K568" i="13"/>
  <c r="L568" i="13"/>
  <c r="M568" i="13"/>
  <c r="N568" i="13"/>
  <c r="O568" i="13"/>
  <c r="P568" i="13"/>
  <c r="Q568" i="13"/>
  <c r="R568" i="13"/>
  <c r="S568" i="13"/>
  <c r="T568" i="13"/>
  <c r="U568" i="13"/>
  <c r="V568" i="13"/>
  <c r="W568" i="13"/>
  <c r="X568" i="13"/>
  <c r="D569" i="13" a="1"/>
  <c r="D569" i="13" s="1"/>
  <c r="G569" i="13" s="1"/>
  <c r="I569" i="13" s="1"/>
  <c r="H569" i="13" a="1"/>
  <c r="H569" i="13" s="1"/>
  <c r="K569" i="13"/>
  <c r="L569" i="13"/>
  <c r="M569" i="13"/>
  <c r="N569" i="13"/>
  <c r="O569" i="13"/>
  <c r="P569" i="13"/>
  <c r="Q569" i="13"/>
  <c r="R569" i="13"/>
  <c r="S569" i="13"/>
  <c r="T569" i="13"/>
  <c r="U569" i="13"/>
  <c r="V569" i="13"/>
  <c r="W569" i="13"/>
  <c r="X569" i="13"/>
  <c r="D570" i="13" a="1"/>
  <c r="D570" i="13" s="1"/>
  <c r="G570" i="13" s="1"/>
  <c r="I570" i="13" s="1"/>
  <c r="H570" i="13" a="1"/>
  <c r="H570" i="13" s="1"/>
  <c r="K570" i="13"/>
  <c r="L570" i="13"/>
  <c r="M570" i="13"/>
  <c r="N570" i="13"/>
  <c r="O570" i="13"/>
  <c r="P570" i="13"/>
  <c r="Q570" i="13"/>
  <c r="R570" i="13"/>
  <c r="S570" i="13"/>
  <c r="T570" i="13"/>
  <c r="U570" i="13"/>
  <c r="V570" i="13"/>
  <c r="W570" i="13"/>
  <c r="X570" i="13"/>
  <c r="D571" i="13" a="1"/>
  <c r="D571" i="13" s="1"/>
  <c r="G571" i="13" s="1"/>
  <c r="I571" i="13" s="1"/>
  <c r="K571" i="13"/>
  <c r="L571" i="13"/>
  <c r="M571" i="13"/>
  <c r="N571" i="13"/>
  <c r="O571" i="13"/>
  <c r="P571" i="13"/>
  <c r="Q571" i="13"/>
  <c r="R571" i="13"/>
  <c r="S571" i="13"/>
  <c r="T571" i="13"/>
  <c r="U571" i="13"/>
  <c r="V571" i="13"/>
  <c r="W571" i="13"/>
  <c r="X571" i="13"/>
  <c r="D572" i="13" a="1"/>
  <c r="D572" i="13" s="1"/>
  <c r="G572" i="13" s="1"/>
  <c r="I572" i="13" s="1"/>
  <c r="H572" i="13" a="1"/>
  <c r="H572" i="13" s="1"/>
  <c r="K572" i="13"/>
  <c r="L572" i="13"/>
  <c r="M572" i="13"/>
  <c r="N572" i="13"/>
  <c r="O572" i="13"/>
  <c r="P572" i="13"/>
  <c r="Q572" i="13"/>
  <c r="R572" i="13"/>
  <c r="S572" i="13"/>
  <c r="T572" i="13"/>
  <c r="U572" i="13"/>
  <c r="V572" i="13"/>
  <c r="W572" i="13"/>
  <c r="X572" i="13"/>
  <c r="D573" i="13" a="1"/>
  <c r="D573" i="13" s="1"/>
  <c r="G573" i="13" s="1"/>
  <c r="I573" i="13" s="1"/>
  <c r="K573" i="13"/>
  <c r="L573" i="13"/>
  <c r="M573" i="13"/>
  <c r="N573" i="13"/>
  <c r="O573" i="13"/>
  <c r="P573" i="13"/>
  <c r="Q573" i="13"/>
  <c r="R573" i="13"/>
  <c r="S573" i="13"/>
  <c r="T573" i="13"/>
  <c r="U573" i="13"/>
  <c r="V573" i="13"/>
  <c r="W573" i="13"/>
  <c r="X573" i="13"/>
  <c r="D574" i="13" a="1"/>
  <c r="D574" i="13" s="1"/>
  <c r="G574" i="13" s="1"/>
  <c r="I574" i="13" s="1"/>
  <c r="H574" i="13" a="1"/>
  <c r="H574" i="13" s="1"/>
  <c r="K574" i="13"/>
  <c r="L574" i="13"/>
  <c r="M574" i="13"/>
  <c r="N574" i="13"/>
  <c r="O574" i="13"/>
  <c r="P574" i="13"/>
  <c r="Q574" i="13"/>
  <c r="R574" i="13"/>
  <c r="S574" i="13"/>
  <c r="T574" i="13"/>
  <c r="U574" i="13"/>
  <c r="V574" i="13"/>
  <c r="W574" i="13"/>
  <c r="X574" i="13"/>
  <c r="D575" i="13" a="1"/>
  <c r="D575" i="13" s="1"/>
  <c r="G575" i="13" s="1"/>
  <c r="I575" i="13" s="1"/>
  <c r="K575" i="13"/>
  <c r="L575" i="13"/>
  <c r="M575" i="13"/>
  <c r="N575" i="13"/>
  <c r="O575" i="13"/>
  <c r="P575" i="13"/>
  <c r="Q575" i="13"/>
  <c r="R575" i="13"/>
  <c r="S575" i="13"/>
  <c r="T575" i="13"/>
  <c r="U575" i="13"/>
  <c r="V575" i="13"/>
  <c r="W575" i="13"/>
  <c r="X575" i="13"/>
  <c r="D576" i="13" a="1"/>
  <c r="D576" i="13" s="1"/>
  <c r="G576" i="13" s="1"/>
  <c r="I576" i="13" s="1"/>
  <c r="K576" i="13"/>
  <c r="L576" i="13"/>
  <c r="M576" i="13"/>
  <c r="N576" i="13"/>
  <c r="O576" i="13"/>
  <c r="P576" i="13"/>
  <c r="Q576" i="13"/>
  <c r="R576" i="13"/>
  <c r="S576" i="13"/>
  <c r="T576" i="13"/>
  <c r="U576" i="13"/>
  <c r="V576" i="13"/>
  <c r="W576" i="13"/>
  <c r="X576" i="13"/>
  <c r="D577" i="13" a="1"/>
  <c r="D577" i="13" s="1"/>
  <c r="G577" i="13" s="1"/>
  <c r="I577" i="13" s="1"/>
  <c r="K577" i="13"/>
  <c r="L577" i="13"/>
  <c r="M577" i="13"/>
  <c r="N577" i="13"/>
  <c r="O577" i="13"/>
  <c r="P577" i="13"/>
  <c r="Q577" i="13"/>
  <c r="R577" i="13"/>
  <c r="S577" i="13"/>
  <c r="T577" i="13"/>
  <c r="U577" i="13"/>
  <c r="V577" i="13"/>
  <c r="W577" i="13"/>
  <c r="X577" i="13"/>
  <c r="D578" i="13" a="1"/>
  <c r="D578" i="13" s="1"/>
  <c r="G578" i="13" s="1"/>
  <c r="I578" i="13" s="1"/>
  <c r="K578" i="13"/>
  <c r="L578" i="13"/>
  <c r="M578" i="13"/>
  <c r="N578" i="13"/>
  <c r="O578" i="13"/>
  <c r="P578" i="13"/>
  <c r="Q578" i="13"/>
  <c r="R578" i="13"/>
  <c r="S578" i="13"/>
  <c r="T578" i="13"/>
  <c r="U578" i="13"/>
  <c r="V578" i="13"/>
  <c r="W578" i="13"/>
  <c r="X578" i="13"/>
  <c r="D579" i="13" a="1"/>
  <c r="D579" i="13" s="1"/>
  <c r="G579" i="13" s="1"/>
  <c r="I579" i="13" s="1"/>
  <c r="K579" i="13"/>
  <c r="L579" i="13"/>
  <c r="M579" i="13"/>
  <c r="N579" i="13"/>
  <c r="O579" i="13"/>
  <c r="P579" i="13"/>
  <c r="Q579" i="13"/>
  <c r="R579" i="13"/>
  <c r="S579" i="13"/>
  <c r="T579" i="13"/>
  <c r="U579" i="13"/>
  <c r="V579" i="13"/>
  <c r="W579" i="13"/>
  <c r="X579" i="13"/>
  <c r="D580" i="13" a="1"/>
  <c r="D580" i="13" s="1"/>
  <c r="G580" i="13" s="1"/>
  <c r="I580" i="13" s="1"/>
  <c r="K580" i="13"/>
  <c r="L580" i="13"/>
  <c r="M580" i="13"/>
  <c r="N580" i="13"/>
  <c r="O580" i="13"/>
  <c r="P580" i="13"/>
  <c r="Q580" i="13"/>
  <c r="R580" i="13"/>
  <c r="S580" i="13"/>
  <c r="T580" i="13"/>
  <c r="U580" i="13"/>
  <c r="V580" i="13"/>
  <c r="W580" i="13"/>
  <c r="X580" i="13"/>
  <c r="D581" i="13" a="1"/>
  <c r="D581" i="13" s="1"/>
  <c r="G581" i="13" s="1"/>
  <c r="I581" i="13" s="1"/>
  <c r="K581" i="13"/>
  <c r="L581" i="13"/>
  <c r="M581" i="13"/>
  <c r="N581" i="13"/>
  <c r="O581" i="13"/>
  <c r="P581" i="13"/>
  <c r="Q581" i="13"/>
  <c r="R581" i="13"/>
  <c r="S581" i="13"/>
  <c r="T581" i="13"/>
  <c r="U581" i="13"/>
  <c r="V581" i="13"/>
  <c r="W581" i="13"/>
  <c r="X581" i="13"/>
  <c r="D582" i="13" a="1"/>
  <c r="D582" i="13" s="1"/>
  <c r="G582" i="13" s="1"/>
  <c r="I582" i="13" s="1"/>
  <c r="K582" i="13"/>
  <c r="L582" i="13"/>
  <c r="M582" i="13"/>
  <c r="N582" i="13"/>
  <c r="O582" i="13"/>
  <c r="P582" i="13"/>
  <c r="Q582" i="13"/>
  <c r="R582" i="13"/>
  <c r="S582" i="13"/>
  <c r="T582" i="13"/>
  <c r="U582" i="13"/>
  <c r="V582" i="13"/>
  <c r="W582" i="13"/>
  <c r="X582" i="13"/>
  <c r="D583" i="13" a="1"/>
  <c r="D583" i="13" s="1"/>
  <c r="G583" i="13" s="1"/>
  <c r="I583" i="13" s="1"/>
  <c r="K583" i="13"/>
  <c r="L583" i="13"/>
  <c r="M583" i="13"/>
  <c r="N583" i="13"/>
  <c r="O583" i="13"/>
  <c r="P583" i="13"/>
  <c r="Q583" i="13"/>
  <c r="R583" i="13"/>
  <c r="S583" i="13"/>
  <c r="T583" i="13"/>
  <c r="U583" i="13"/>
  <c r="V583" i="13"/>
  <c r="W583" i="13"/>
  <c r="X583" i="13"/>
  <c r="D584" i="13" a="1"/>
  <c r="D584" i="13" s="1"/>
  <c r="G584" i="13" s="1"/>
  <c r="I584" i="13" s="1"/>
  <c r="K584" i="13"/>
  <c r="L584" i="13"/>
  <c r="M584" i="13"/>
  <c r="N584" i="13"/>
  <c r="O584" i="13"/>
  <c r="P584" i="13"/>
  <c r="Q584" i="13"/>
  <c r="R584" i="13"/>
  <c r="S584" i="13"/>
  <c r="T584" i="13"/>
  <c r="U584" i="13"/>
  <c r="V584" i="13"/>
  <c r="W584" i="13"/>
  <c r="X584" i="13"/>
  <c r="D585" i="13" a="1"/>
  <c r="D585" i="13" s="1"/>
  <c r="G585" i="13" s="1"/>
  <c r="I585" i="13" s="1"/>
  <c r="K585" i="13"/>
  <c r="L585" i="13"/>
  <c r="M585" i="13"/>
  <c r="N585" i="13"/>
  <c r="O585" i="13"/>
  <c r="P585" i="13"/>
  <c r="Q585" i="13"/>
  <c r="R585" i="13"/>
  <c r="S585" i="13"/>
  <c r="T585" i="13"/>
  <c r="U585" i="13"/>
  <c r="V585" i="13"/>
  <c r="W585" i="13"/>
  <c r="X585" i="13"/>
  <c r="D586" i="13" a="1"/>
  <c r="D586" i="13" s="1"/>
  <c r="G586" i="13" s="1"/>
  <c r="I586" i="13" s="1"/>
  <c r="K586" i="13"/>
  <c r="L586" i="13"/>
  <c r="M586" i="13"/>
  <c r="N586" i="13"/>
  <c r="O586" i="13"/>
  <c r="P586" i="13"/>
  <c r="Q586" i="13"/>
  <c r="R586" i="13"/>
  <c r="S586" i="13"/>
  <c r="T586" i="13"/>
  <c r="U586" i="13"/>
  <c r="V586" i="13"/>
  <c r="W586" i="13"/>
  <c r="X586" i="13"/>
  <c r="D587" i="13" a="1"/>
  <c r="D587" i="13" s="1"/>
  <c r="G587" i="13" s="1"/>
  <c r="I587" i="13" s="1"/>
  <c r="K587" i="13"/>
  <c r="L587" i="13"/>
  <c r="M587" i="13"/>
  <c r="N587" i="13"/>
  <c r="O587" i="13"/>
  <c r="P587" i="13"/>
  <c r="Q587" i="13"/>
  <c r="R587" i="13"/>
  <c r="S587" i="13"/>
  <c r="T587" i="13"/>
  <c r="U587" i="13"/>
  <c r="V587" i="13"/>
  <c r="W587" i="13"/>
  <c r="X587" i="13"/>
  <c r="D588" i="13" a="1"/>
  <c r="D588" i="13" s="1"/>
  <c r="G588" i="13" s="1"/>
  <c r="I588" i="13" s="1"/>
  <c r="K588" i="13"/>
  <c r="L588" i="13"/>
  <c r="M588" i="13"/>
  <c r="N588" i="13"/>
  <c r="O588" i="13"/>
  <c r="P588" i="13"/>
  <c r="Q588" i="13"/>
  <c r="R588" i="13"/>
  <c r="S588" i="13"/>
  <c r="T588" i="13"/>
  <c r="U588" i="13"/>
  <c r="V588" i="13"/>
  <c r="W588" i="13"/>
  <c r="X588" i="13"/>
  <c r="D589" i="13" a="1"/>
  <c r="D589" i="13" s="1"/>
  <c r="G589" i="13" s="1"/>
  <c r="I589" i="13" s="1"/>
  <c r="K589" i="13"/>
  <c r="L589" i="13"/>
  <c r="M589" i="13"/>
  <c r="N589" i="13"/>
  <c r="O589" i="13"/>
  <c r="P589" i="13"/>
  <c r="Q589" i="13"/>
  <c r="R589" i="13"/>
  <c r="S589" i="13"/>
  <c r="T589" i="13"/>
  <c r="U589" i="13"/>
  <c r="V589" i="13"/>
  <c r="W589" i="13"/>
  <c r="X589" i="13"/>
  <c r="D590" i="13" a="1"/>
  <c r="D590" i="13" s="1"/>
  <c r="G590" i="13" s="1"/>
  <c r="I590" i="13" s="1"/>
  <c r="K590" i="13"/>
  <c r="L590" i="13"/>
  <c r="M590" i="13"/>
  <c r="N590" i="13"/>
  <c r="O590" i="13"/>
  <c r="P590" i="13"/>
  <c r="Q590" i="13"/>
  <c r="R590" i="13"/>
  <c r="S590" i="13"/>
  <c r="T590" i="13"/>
  <c r="U590" i="13"/>
  <c r="V590" i="13"/>
  <c r="W590" i="13"/>
  <c r="X590" i="13"/>
  <c r="D591" i="13" a="1"/>
  <c r="D591" i="13" s="1"/>
  <c r="G591" i="13" s="1"/>
  <c r="I591" i="13" s="1"/>
  <c r="K591" i="13"/>
  <c r="L591" i="13"/>
  <c r="M591" i="13"/>
  <c r="N591" i="13"/>
  <c r="O591" i="13"/>
  <c r="P591" i="13"/>
  <c r="Q591" i="13"/>
  <c r="R591" i="13"/>
  <c r="S591" i="13"/>
  <c r="T591" i="13"/>
  <c r="U591" i="13"/>
  <c r="V591" i="13"/>
  <c r="W591" i="13"/>
  <c r="X591" i="13"/>
  <c r="D592" i="13" a="1"/>
  <c r="D592" i="13" s="1"/>
  <c r="G592" i="13" s="1"/>
  <c r="I592" i="13" s="1"/>
  <c r="K592" i="13"/>
  <c r="L592" i="13"/>
  <c r="M592" i="13"/>
  <c r="N592" i="13"/>
  <c r="O592" i="13"/>
  <c r="P592" i="13"/>
  <c r="Q592" i="13"/>
  <c r="R592" i="13"/>
  <c r="S592" i="13"/>
  <c r="T592" i="13"/>
  <c r="U592" i="13"/>
  <c r="V592" i="13"/>
  <c r="W592" i="13"/>
  <c r="X592" i="13"/>
  <c r="D593" i="13" a="1"/>
  <c r="D593" i="13" s="1"/>
  <c r="G593" i="13" s="1"/>
  <c r="I593" i="13" s="1"/>
  <c r="K593" i="13"/>
  <c r="L593" i="13"/>
  <c r="M593" i="13"/>
  <c r="N593" i="13"/>
  <c r="O593" i="13"/>
  <c r="P593" i="13"/>
  <c r="Q593" i="13"/>
  <c r="R593" i="13"/>
  <c r="S593" i="13"/>
  <c r="T593" i="13"/>
  <c r="U593" i="13"/>
  <c r="V593" i="13"/>
  <c r="W593" i="13"/>
  <c r="X593" i="13"/>
  <c r="D594" i="13" a="1"/>
  <c r="D594" i="13" s="1"/>
  <c r="G594" i="13" s="1"/>
  <c r="I594" i="13" s="1"/>
  <c r="K594" i="13"/>
  <c r="L594" i="13"/>
  <c r="M594" i="13"/>
  <c r="N594" i="13"/>
  <c r="O594" i="13"/>
  <c r="P594" i="13"/>
  <c r="Q594" i="13"/>
  <c r="R594" i="13"/>
  <c r="S594" i="13"/>
  <c r="T594" i="13"/>
  <c r="U594" i="13"/>
  <c r="V594" i="13"/>
  <c r="W594" i="13"/>
  <c r="X594" i="13"/>
  <c r="D595" i="13" a="1"/>
  <c r="D595" i="13" s="1"/>
  <c r="G595" i="13" s="1"/>
  <c r="I595" i="13" s="1"/>
  <c r="K595" i="13"/>
  <c r="L595" i="13"/>
  <c r="M595" i="13"/>
  <c r="N595" i="13"/>
  <c r="O595" i="13"/>
  <c r="P595" i="13"/>
  <c r="Q595" i="13"/>
  <c r="R595" i="13"/>
  <c r="S595" i="13"/>
  <c r="T595" i="13"/>
  <c r="U595" i="13"/>
  <c r="V595" i="13"/>
  <c r="W595" i="13"/>
  <c r="X595" i="13"/>
  <c r="D596" i="13" a="1"/>
  <c r="D596" i="13" s="1"/>
  <c r="G596" i="13" s="1"/>
  <c r="I596" i="13" s="1"/>
  <c r="K596" i="13"/>
  <c r="L596" i="13"/>
  <c r="M596" i="13"/>
  <c r="N596" i="13"/>
  <c r="O596" i="13"/>
  <c r="P596" i="13"/>
  <c r="Q596" i="13"/>
  <c r="R596" i="13"/>
  <c r="S596" i="13"/>
  <c r="T596" i="13"/>
  <c r="U596" i="13"/>
  <c r="V596" i="13"/>
  <c r="W596" i="13"/>
  <c r="X596" i="13"/>
  <c r="D597" i="13" a="1"/>
  <c r="D597" i="13" s="1"/>
  <c r="G597" i="13" s="1"/>
  <c r="I597" i="13" s="1"/>
  <c r="K597" i="13"/>
  <c r="L597" i="13"/>
  <c r="M597" i="13"/>
  <c r="N597" i="13"/>
  <c r="O597" i="13"/>
  <c r="P597" i="13"/>
  <c r="Q597" i="13"/>
  <c r="R597" i="13"/>
  <c r="S597" i="13"/>
  <c r="T597" i="13"/>
  <c r="U597" i="13"/>
  <c r="V597" i="13"/>
  <c r="W597" i="13"/>
  <c r="X597" i="13"/>
  <c r="D598" i="13" a="1"/>
  <c r="D598" i="13" s="1"/>
  <c r="G598" i="13" s="1"/>
  <c r="I598" i="13" s="1"/>
  <c r="K598" i="13"/>
  <c r="L598" i="13"/>
  <c r="M598" i="13"/>
  <c r="N598" i="13"/>
  <c r="O598" i="13"/>
  <c r="P598" i="13"/>
  <c r="Q598" i="13"/>
  <c r="R598" i="13"/>
  <c r="S598" i="13"/>
  <c r="T598" i="13"/>
  <c r="U598" i="13"/>
  <c r="V598" i="13"/>
  <c r="W598" i="13"/>
  <c r="X598" i="13"/>
  <c r="D599" i="13" a="1"/>
  <c r="D599" i="13" s="1"/>
  <c r="G599" i="13" s="1"/>
  <c r="I599" i="13" s="1"/>
  <c r="K599" i="13"/>
  <c r="L599" i="13"/>
  <c r="M599" i="13"/>
  <c r="N599" i="13"/>
  <c r="O599" i="13"/>
  <c r="P599" i="13"/>
  <c r="Q599" i="13"/>
  <c r="R599" i="13"/>
  <c r="S599" i="13"/>
  <c r="T599" i="13"/>
  <c r="U599" i="13"/>
  <c r="V599" i="13"/>
  <c r="W599" i="13"/>
  <c r="X599" i="13"/>
  <c r="D600" i="13" a="1"/>
  <c r="D600" i="13" s="1"/>
  <c r="G600" i="13" s="1"/>
  <c r="I600" i="13" s="1"/>
  <c r="K600" i="13"/>
  <c r="L600" i="13"/>
  <c r="M600" i="13"/>
  <c r="N600" i="13"/>
  <c r="O600" i="13"/>
  <c r="P600" i="13"/>
  <c r="Q600" i="13"/>
  <c r="R600" i="13"/>
  <c r="S600" i="13"/>
  <c r="T600" i="13"/>
  <c r="U600" i="13"/>
  <c r="V600" i="13"/>
  <c r="W600" i="13"/>
  <c r="X600" i="13"/>
  <c r="D601" i="13" a="1"/>
  <c r="D601" i="13" s="1"/>
  <c r="G601" i="13" s="1"/>
  <c r="I601" i="13" s="1"/>
  <c r="K601" i="13"/>
  <c r="L601" i="13"/>
  <c r="M601" i="13"/>
  <c r="N601" i="13"/>
  <c r="O601" i="13"/>
  <c r="P601" i="13"/>
  <c r="Q601" i="13"/>
  <c r="R601" i="13"/>
  <c r="S601" i="13"/>
  <c r="T601" i="13"/>
  <c r="U601" i="13"/>
  <c r="V601" i="13"/>
  <c r="W601" i="13"/>
  <c r="X601" i="13"/>
  <c r="D602" i="13" a="1"/>
  <c r="D602" i="13" s="1"/>
  <c r="G602" i="13" s="1"/>
  <c r="I602" i="13" s="1"/>
  <c r="K602" i="13"/>
  <c r="L602" i="13"/>
  <c r="M602" i="13"/>
  <c r="N602" i="13"/>
  <c r="O602" i="13"/>
  <c r="P602" i="13"/>
  <c r="Q602" i="13"/>
  <c r="R602" i="13"/>
  <c r="S602" i="13"/>
  <c r="T602" i="13"/>
  <c r="U602" i="13"/>
  <c r="V602" i="13"/>
  <c r="W602" i="13"/>
  <c r="X602" i="13"/>
  <c r="D603" i="13" a="1"/>
  <c r="D603" i="13" s="1"/>
  <c r="G603" i="13" s="1"/>
  <c r="I603" i="13" s="1"/>
  <c r="K603" i="13"/>
  <c r="L603" i="13"/>
  <c r="M603" i="13"/>
  <c r="N603" i="13"/>
  <c r="O603" i="13"/>
  <c r="P603" i="13"/>
  <c r="Q603" i="13"/>
  <c r="R603" i="13"/>
  <c r="S603" i="13"/>
  <c r="T603" i="13"/>
  <c r="U603" i="13"/>
  <c r="V603" i="13"/>
  <c r="W603" i="13"/>
  <c r="X603" i="13"/>
  <c r="D604" i="13" a="1"/>
  <c r="D604" i="13" s="1"/>
  <c r="G604" i="13" s="1"/>
  <c r="I604" i="13" s="1"/>
  <c r="K604" i="13"/>
  <c r="L604" i="13"/>
  <c r="M604" i="13"/>
  <c r="N604" i="13"/>
  <c r="O604" i="13"/>
  <c r="P604" i="13"/>
  <c r="Q604" i="13"/>
  <c r="R604" i="13"/>
  <c r="S604" i="13"/>
  <c r="T604" i="13"/>
  <c r="U604" i="13"/>
  <c r="V604" i="13"/>
  <c r="W604" i="13"/>
  <c r="X604" i="13"/>
  <c r="D605" i="13" a="1"/>
  <c r="D605" i="13" s="1"/>
  <c r="G605" i="13" s="1"/>
  <c r="I605" i="13" s="1"/>
  <c r="K605" i="13"/>
  <c r="L605" i="13"/>
  <c r="M605" i="13"/>
  <c r="N605" i="13"/>
  <c r="O605" i="13"/>
  <c r="P605" i="13"/>
  <c r="Q605" i="13"/>
  <c r="R605" i="13"/>
  <c r="S605" i="13"/>
  <c r="T605" i="13"/>
  <c r="U605" i="13"/>
  <c r="V605" i="13"/>
  <c r="W605" i="13"/>
  <c r="X605" i="13"/>
  <c r="D606" i="13" a="1"/>
  <c r="D606" i="13" s="1"/>
  <c r="G606" i="13" s="1"/>
  <c r="I606" i="13" s="1"/>
  <c r="K606" i="13"/>
  <c r="L606" i="13"/>
  <c r="M606" i="13"/>
  <c r="N606" i="13"/>
  <c r="O606" i="13"/>
  <c r="P606" i="13"/>
  <c r="Q606" i="13"/>
  <c r="R606" i="13"/>
  <c r="S606" i="13"/>
  <c r="T606" i="13"/>
  <c r="U606" i="13"/>
  <c r="V606" i="13"/>
  <c r="W606" i="13"/>
  <c r="X606" i="13"/>
  <c r="D607" i="13" a="1"/>
  <c r="D607" i="13" s="1"/>
  <c r="G607" i="13" s="1"/>
  <c r="I607" i="13" s="1"/>
  <c r="K607" i="13"/>
  <c r="L607" i="13"/>
  <c r="M607" i="13"/>
  <c r="N607" i="13"/>
  <c r="O607" i="13"/>
  <c r="P607" i="13"/>
  <c r="Q607" i="13"/>
  <c r="R607" i="13"/>
  <c r="S607" i="13"/>
  <c r="T607" i="13"/>
  <c r="U607" i="13"/>
  <c r="V607" i="13"/>
  <c r="W607" i="13"/>
  <c r="X607" i="13"/>
  <c r="D608" i="13" a="1"/>
  <c r="D608" i="13" s="1"/>
  <c r="G608" i="13" s="1"/>
  <c r="I608" i="13" s="1"/>
  <c r="K608" i="13"/>
  <c r="L608" i="13"/>
  <c r="M608" i="13"/>
  <c r="N608" i="13"/>
  <c r="O608" i="13"/>
  <c r="P608" i="13"/>
  <c r="Q608" i="13"/>
  <c r="R608" i="13"/>
  <c r="S608" i="13"/>
  <c r="T608" i="13"/>
  <c r="U608" i="13"/>
  <c r="V608" i="13"/>
  <c r="W608" i="13"/>
  <c r="X608" i="13"/>
  <c r="D609" i="13" a="1"/>
  <c r="D609" i="13" s="1"/>
  <c r="G609" i="13" s="1"/>
  <c r="I609" i="13" s="1"/>
  <c r="K609" i="13"/>
  <c r="L609" i="13"/>
  <c r="M609" i="13"/>
  <c r="N609" i="13"/>
  <c r="O609" i="13"/>
  <c r="P609" i="13"/>
  <c r="Q609" i="13"/>
  <c r="R609" i="13"/>
  <c r="S609" i="13"/>
  <c r="T609" i="13"/>
  <c r="U609" i="13"/>
  <c r="V609" i="13"/>
  <c r="W609" i="13"/>
  <c r="X609" i="13"/>
  <c r="D610" i="13" a="1"/>
  <c r="D610" i="13" s="1"/>
  <c r="G610" i="13" s="1"/>
  <c r="I610" i="13" s="1"/>
  <c r="K610" i="13"/>
  <c r="L610" i="13"/>
  <c r="M610" i="13"/>
  <c r="N610" i="13"/>
  <c r="O610" i="13"/>
  <c r="P610" i="13"/>
  <c r="Q610" i="13"/>
  <c r="R610" i="13"/>
  <c r="S610" i="13"/>
  <c r="T610" i="13"/>
  <c r="U610" i="13"/>
  <c r="V610" i="13"/>
  <c r="W610" i="13"/>
  <c r="X610" i="13"/>
  <c r="D611" i="13" a="1"/>
  <c r="D611" i="13" s="1"/>
  <c r="G611" i="13" s="1"/>
  <c r="I611" i="13" s="1"/>
  <c r="K611" i="13"/>
  <c r="L611" i="13"/>
  <c r="M611" i="13"/>
  <c r="N611" i="13"/>
  <c r="O611" i="13"/>
  <c r="P611" i="13"/>
  <c r="Q611" i="13"/>
  <c r="R611" i="13"/>
  <c r="S611" i="13"/>
  <c r="T611" i="13"/>
  <c r="U611" i="13"/>
  <c r="V611" i="13"/>
  <c r="W611" i="13"/>
  <c r="X611" i="13"/>
  <c r="D612" i="13" a="1"/>
  <c r="D612" i="13" s="1"/>
  <c r="G612" i="13" s="1"/>
  <c r="I612" i="13" s="1"/>
  <c r="K612" i="13"/>
  <c r="L612" i="13"/>
  <c r="M612" i="13"/>
  <c r="N612" i="13"/>
  <c r="O612" i="13"/>
  <c r="P612" i="13"/>
  <c r="Q612" i="13"/>
  <c r="R612" i="13"/>
  <c r="S612" i="13"/>
  <c r="T612" i="13"/>
  <c r="U612" i="13"/>
  <c r="V612" i="13"/>
  <c r="W612" i="13"/>
  <c r="X612" i="13"/>
  <c r="D613" i="13" a="1"/>
  <c r="D613" i="13" s="1"/>
  <c r="G613" i="13" s="1"/>
  <c r="I613" i="13" s="1"/>
  <c r="K613" i="13"/>
  <c r="L613" i="13"/>
  <c r="M613" i="13"/>
  <c r="N613" i="13"/>
  <c r="O613" i="13"/>
  <c r="P613" i="13"/>
  <c r="Q613" i="13"/>
  <c r="R613" i="13"/>
  <c r="S613" i="13"/>
  <c r="T613" i="13"/>
  <c r="U613" i="13"/>
  <c r="V613" i="13"/>
  <c r="W613" i="13"/>
  <c r="X613" i="13"/>
  <c r="D614" i="13" a="1"/>
  <c r="D614" i="13" s="1"/>
  <c r="G614" i="13" s="1"/>
  <c r="I614" i="13" s="1"/>
  <c r="K614" i="13"/>
  <c r="L614" i="13"/>
  <c r="M614" i="13"/>
  <c r="N614" i="13"/>
  <c r="O614" i="13"/>
  <c r="P614" i="13"/>
  <c r="Q614" i="13"/>
  <c r="R614" i="13"/>
  <c r="S614" i="13"/>
  <c r="T614" i="13"/>
  <c r="U614" i="13"/>
  <c r="V614" i="13"/>
  <c r="W614" i="13"/>
  <c r="X614" i="13"/>
  <c r="D615" i="13" a="1"/>
  <c r="D615" i="13" s="1"/>
  <c r="G615" i="13" s="1"/>
  <c r="I615" i="13" s="1"/>
  <c r="K615" i="13"/>
  <c r="L615" i="13"/>
  <c r="M615" i="13"/>
  <c r="N615" i="13"/>
  <c r="O615" i="13"/>
  <c r="P615" i="13"/>
  <c r="Q615" i="13"/>
  <c r="R615" i="13"/>
  <c r="S615" i="13"/>
  <c r="T615" i="13"/>
  <c r="U615" i="13"/>
  <c r="V615" i="13"/>
  <c r="W615" i="13"/>
  <c r="X615" i="13"/>
  <c r="D616" i="13" a="1"/>
  <c r="D616" i="13" s="1"/>
  <c r="G616" i="13" s="1"/>
  <c r="I616" i="13" s="1"/>
  <c r="K616" i="13"/>
  <c r="L616" i="13"/>
  <c r="M616" i="13"/>
  <c r="N616" i="13"/>
  <c r="O616" i="13"/>
  <c r="P616" i="13"/>
  <c r="Q616" i="13"/>
  <c r="R616" i="13"/>
  <c r="S616" i="13"/>
  <c r="T616" i="13"/>
  <c r="U616" i="13"/>
  <c r="V616" i="13"/>
  <c r="W616" i="13"/>
  <c r="X616" i="13"/>
  <c r="D617" i="13" a="1"/>
  <c r="D617" i="13" s="1"/>
  <c r="G617" i="13" s="1"/>
  <c r="I617" i="13" s="1"/>
  <c r="K617" i="13"/>
  <c r="L617" i="13"/>
  <c r="M617" i="13"/>
  <c r="N617" i="13"/>
  <c r="O617" i="13"/>
  <c r="P617" i="13"/>
  <c r="Q617" i="13"/>
  <c r="R617" i="13"/>
  <c r="S617" i="13"/>
  <c r="T617" i="13"/>
  <c r="U617" i="13"/>
  <c r="V617" i="13"/>
  <c r="W617" i="13"/>
  <c r="X617" i="13"/>
  <c r="D618" i="13" a="1"/>
  <c r="D618" i="13" s="1"/>
  <c r="G618" i="13" s="1"/>
  <c r="I618" i="13" s="1"/>
  <c r="K618" i="13"/>
  <c r="L618" i="13"/>
  <c r="M618" i="13"/>
  <c r="N618" i="13"/>
  <c r="O618" i="13"/>
  <c r="P618" i="13"/>
  <c r="Q618" i="13"/>
  <c r="R618" i="13"/>
  <c r="S618" i="13"/>
  <c r="T618" i="13"/>
  <c r="U618" i="13"/>
  <c r="V618" i="13"/>
  <c r="W618" i="13"/>
  <c r="X618" i="13"/>
  <c r="D619" i="13" a="1"/>
  <c r="D619" i="13" s="1"/>
  <c r="G619" i="13" s="1"/>
  <c r="I619" i="13" s="1"/>
  <c r="K619" i="13"/>
  <c r="L619" i="13"/>
  <c r="M619" i="13"/>
  <c r="N619" i="13"/>
  <c r="O619" i="13"/>
  <c r="P619" i="13"/>
  <c r="Q619" i="13"/>
  <c r="R619" i="13"/>
  <c r="S619" i="13"/>
  <c r="T619" i="13"/>
  <c r="U619" i="13"/>
  <c r="V619" i="13"/>
  <c r="W619" i="13"/>
  <c r="X619" i="13"/>
  <c r="D620" i="13" a="1"/>
  <c r="D620" i="13" s="1"/>
  <c r="G620" i="13" s="1"/>
  <c r="I620" i="13" s="1"/>
  <c r="K620" i="13"/>
  <c r="L620" i="13"/>
  <c r="M620" i="13"/>
  <c r="N620" i="13"/>
  <c r="O620" i="13"/>
  <c r="P620" i="13"/>
  <c r="Q620" i="13"/>
  <c r="R620" i="13"/>
  <c r="S620" i="13"/>
  <c r="T620" i="13"/>
  <c r="U620" i="13"/>
  <c r="V620" i="13"/>
  <c r="W620" i="13"/>
  <c r="X620" i="13"/>
  <c r="D621" i="13" a="1"/>
  <c r="D621" i="13" s="1"/>
  <c r="G621" i="13" s="1"/>
  <c r="I621" i="13" s="1"/>
  <c r="K621" i="13"/>
  <c r="L621" i="13"/>
  <c r="M621" i="13"/>
  <c r="N621" i="13"/>
  <c r="O621" i="13"/>
  <c r="P621" i="13"/>
  <c r="Q621" i="13"/>
  <c r="R621" i="13"/>
  <c r="S621" i="13"/>
  <c r="T621" i="13"/>
  <c r="U621" i="13"/>
  <c r="V621" i="13"/>
  <c r="W621" i="13"/>
  <c r="X621" i="13"/>
  <c r="D622" i="13" a="1"/>
  <c r="D622" i="13" s="1"/>
  <c r="G622" i="13" s="1"/>
  <c r="I622" i="13" s="1"/>
  <c r="K622" i="13"/>
  <c r="L622" i="13"/>
  <c r="M622" i="13"/>
  <c r="N622" i="13"/>
  <c r="O622" i="13"/>
  <c r="P622" i="13"/>
  <c r="Q622" i="13"/>
  <c r="R622" i="13"/>
  <c r="S622" i="13"/>
  <c r="T622" i="13"/>
  <c r="U622" i="13"/>
  <c r="V622" i="13"/>
  <c r="W622" i="13"/>
  <c r="X622" i="13"/>
  <c r="D623" i="13" a="1"/>
  <c r="D623" i="13" s="1"/>
  <c r="G623" i="13" s="1"/>
  <c r="I623" i="13" s="1"/>
  <c r="K623" i="13"/>
  <c r="L623" i="13"/>
  <c r="M623" i="13"/>
  <c r="N623" i="13"/>
  <c r="O623" i="13"/>
  <c r="P623" i="13"/>
  <c r="Q623" i="13"/>
  <c r="R623" i="13"/>
  <c r="S623" i="13"/>
  <c r="T623" i="13"/>
  <c r="U623" i="13"/>
  <c r="V623" i="13"/>
  <c r="W623" i="13"/>
  <c r="X623" i="13"/>
  <c r="D624" i="13" a="1"/>
  <c r="D624" i="13" s="1"/>
  <c r="G624" i="13" s="1"/>
  <c r="I624" i="13" s="1"/>
  <c r="K624" i="13"/>
  <c r="L624" i="13"/>
  <c r="M624" i="13"/>
  <c r="N624" i="13"/>
  <c r="O624" i="13"/>
  <c r="P624" i="13"/>
  <c r="Q624" i="13"/>
  <c r="R624" i="13"/>
  <c r="S624" i="13"/>
  <c r="T624" i="13"/>
  <c r="U624" i="13"/>
  <c r="V624" i="13"/>
  <c r="W624" i="13"/>
  <c r="X624" i="13"/>
  <c r="D625" i="13" a="1"/>
  <c r="D625" i="13" s="1"/>
  <c r="G625" i="13" s="1"/>
  <c r="I625" i="13" s="1"/>
  <c r="K625" i="13"/>
  <c r="L625" i="13"/>
  <c r="M625" i="13"/>
  <c r="N625" i="13"/>
  <c r="O625" i="13"/>
  <c r="P625" i="13"/>
  <c r="Q625" i="13"/>
  <c r="R625" i="13"/>
  <c r="S625" i="13"/>
  <c r="T625" i="13"/>
  <c r="U625" i="13"/>
  <c r="V625" i="13"/>
  <c r="W625" i="13"/>
  <c r="X625" i="13"/>
  <c r="D626" i="13" a="1"/>
  <c r="D626" i="13" s="1"/>
  <c r="G626" i="13" s="1"/>
  <c r="I626" i="13" s="1"/>
  <c r="K626" i="13"/>
  <c r="L626" i="13"/>
  <c r="M626" i="13"/>
  <c r="N626" i="13"/>
  <c r="O626" i="13"/>
  <c r="P626" i="13"/>
  <c r="Q626" i="13"/>
  <c r="R626" i="13"/>
  <c r="S626" i="13"/>
  <c r="T626" i="13"/>
  <c r="U626" i="13"/>
  <c r="V626" i="13"/>
  <c r="W626" i="13"/>
  <c r="X626" i="13"/>
  <c r="D627" i="13" a="1"/>
  <c r="D627" i="13" s="1"/>
  <c r="G627" i="13" s="1"/>
  <c r="I627" i="13" s="1"/>
  <c r="K627" i="13"/>
  <c r="L627" i="13"/>
  <c r="M627" i="13"/>
  <c r="N627" i="13"/>
  <c r="O627" i="13"/>
  <c r="P627" i="13"/>
  <c r="Q627" i="13"/>
  <c r="R627" i="13"/>
  <c r="S627" i="13"/>
  <c r="T627" i="13"/>
  <c r="U627" i="13"/>
  <c r="V627" i="13"/>
  <c r="W627" i="13"/>
  <c r="X627" i="13"/>
  <c r="D628" i="13" a="1"/>
  <c r="D628" i="13" s="1"/>
  <c r="G628" i="13" s="1"/>
  <c r="I628" i="13" s="1"/>
  <c r="K628" i="13"/>
  <c r="L628" i="13"/>
  <c r="M628" i="13"/>
  <c r="N628" i="13"/>
  <c r="O628" i="13"/>
  <c r="P628" i="13"/>
  <c r="Q628" i="13"/>
  <c r="R628" i="13"/>
  <c r="S628" i="13"/>
  <c r="T628" i="13"/>
  <c r="U628" i="13"/>
  <c r="V628" i="13"/>
  <c r="W628" i="13"/>
  <c r="X628" i="13"/>
  <c r="D629" i="13" a="1"/>
  <c r="D629" i="13" s="1"/>
  <c r="G629" i="13" s="1"/>
  <c r="I629" i="13" s="1"/>
  <c r="K629" i="13"/>
  <c r="L629" i="13"/>
  <c r="M629" i="13"/>
  <c r="N629" i="13"/>
  <c r="O629" i="13"/>
  <c r="P629" i="13"/>
  <c r="Q629" i="13"/>
  <c r="R629" i="13"/>
  <c r="S629" i="13"/>
  <c r="T629" i="13"/>
  <c r="U629" i="13"/>
  <c r="V629" i="13"/>
  <c r="W629" i="13"/>
  <c r="X629" i="13"/>
  <c r="D630" i="13" a="1"/>
  <c r="D630" i="13" s="1"/>
  <c r="G630" i="13" s="1"/>
  <c r="I630" i="13" s="1"/>
  <c r="H630" i="13" a="1"/>
  <c r="H630" i="13" s="1"/>
  <c r="K630" i="13"/>
  <c r="L630" i="13"/>
  <c r="M630" i="13"/>
  <c r="N630" i="13"/>
  <c r="O630" i="13"/>
  <c r="P630" i="13"/>
  <c r="Q630" i="13"/>
  <c r="R630" i="13"/>
  <c r="S630" i="13"/>
  <c r="T630" i="13"/>
  <c r="U630" i="13"/>
  <c r="V630" i="13"/>
  <c r="W630" i="13"/>
  <c r="X630" i="13"/>
  <c r="D631" i="13" a="1"/>
  <c r="D631" i="13" s="1"/>
  <c r="G631" i="13" s="1"/>
  <c r="I631" i="13" s="1"/>
  <c r="K631" i="13"/>
  <c r="L631" i="13"/>
  <c r="M631" i="13"/>
  <c r="N631" i="13"/>
  <c r="O631" i="13"/>
  <c r="P631" i="13"/>
  <c r="Q631" i="13"/>
  <c r="R631" i="13"/>
  <c r="S631" i="13"/>
  <c r="T631" i="13"/>
  <c r="U631" i="13"/>
  <c r="V631" i="13"/>
  <c r="W631" i="13"/>
  <c r="X631" i="13"/>
  <c r="D632" i="13" a="1"/>
  <c r="D632" i="13" s="1"/>
  <c r="G632" i="13" s="1"/>
  <c r="I632" i="13" s="1"/>
  <c r="H632" i="13" a="1"/>
  <c r="H632" i="13" s="1"/>
  <c r="K632" i="13"/>
  <c r="L632" i="13"/>
  <c r="M632" i="13"/>
  <c r="N632" i="13"/>
  <c r="O632" i="13"/>
  <c r="P632" i="13"/>
  <c r="Q632" i="13"/>
  <c r="R632" i="13"/>
  <c r="S632" i="13"/>
  <c r="T632" i="13"/>
  <c r="U632" i="13"/>
  <c r="V632" i="13"/>
  <c r="W632" i="13"/>
  <c r="X632" i="13"/>
  <c r="D633" i="13" a="1"/>
  <c r="D633" i="13" s="1"/>
  <c r="G633" i="13" s="1"/>
  <c r="I633" i="13" s="1"/>
  <c r="H633" i="13" a="1"/>
  <c r="H633" i="13" s="1"/>
  <c r="K633" i="13"/>
  <c r="L633" i="13"/>
  <c r="M633" i="13"/>
  <c r="N633" i="13"/>
  <c r="O633" i="13"/>
  <c r="P633" i="13"/>
  <c r="Q633" i="13"/>
  <c r="R633" i="13"/>
  <c r="S633" i="13"/>
  <c r="T633" i="13"/>
  <c r="U633" i="13"/>
  <c r="V633" i="13"/>
  <c r="W633" i="13"/>
  <c r="X633" i="13"/>
  <c r="D634" i="13" a="1"/>
  <c r="D634" i="13" s="1"/>
  <c r="G634" i="13" s="1"/>
  <c r="I634" i="13" s="1"/>
  <c r="H634" i="13" a="1"/>
  <c r="H634" i="13" s="1"/>
  <c r="K634" i="13"/>
  <c r="L634" i="13"/>
  <c r="M634" i="13"/>
  <c r="N634" i="13"/>
  <c r="O634" i="13"/>
  <c r="P634" i="13"/>
  <c r="Q634" i="13"/>
  <c r="R634" i="13"/>
  <c r="S634" i="13"/>
  <c r="T634" i="13"/>
  <c r="U634" i="13"/>
  <c r="V634" i="13"/>
  <c r="W634" i="13"/>
  <c r="X634" i="13"/>
  <c r="D635" i="13" a="1"/>
  <c r="D635" i="13" s="1"/>
  <c r="G635" i="13" s="1"/>
  <c r="I635" i="13" s="1"/>
  <c r="H635" i="13" a="1"/>
  <c r="H635" i="13" s="1"/>
  <c r="K635" i="13"/>
  <c r="L635" i="13"/>
  <c r="M635" i="13"/>
  <c r="N635" i="13"/>
  <c r="O635" i="13"/>
  <c r="P635" i="13"/>
  <c r="Q635" i="13"/>
  <c r="R635" i="13"/>
  <c r="S635" i="13"/>
  <c r="T635" i="13"/>
  <c r="U635" i="13"/>
  <c r="V635" i="13"/>
  <c r="W635" i="13"/>
  <c r="X635" i="13"/>
  <c r="D636" i="13" a="1"/>
  <c r="D636" i="13" s="1"/>
  <c r="G636" i="13" s="1"/>
  <c r="I636" i="13" s="1"/>
  <c r="H636" i="13" a="1"/>
  <c r="H636" i="13" s="1"/>
  <c r="K636" i="13"/>
  <c r="L636" i="13"/>
  <c r="M636" i="13"/>
  <c r="N636" i="13"/>
  <c r="O636" i="13"/>
  <c r="P636" i="13"/>
  <c r="Q636" i="13"/>
  <c r="R636" i="13"/>
  <c r="S636" i="13"/>
  <c r="T636" i="13"/>
  <c r="U636" i="13"/>
  <c r="V636" i="13"/>
  <c r="W636" i="13"/>
  <c r="X636" i="13"/>
  <c r="D637" i="13" a="1"/>
  <c r="D637" i="13" s="1"/>
  <c r="G637" i="13" s="1"/>
  <c r="I637" i="13" s="1"/>
  <c r="K637" i="13"/>
  <c r="L637" i="13"/>
  <c r="M637" i="13"/>
  <c r="N637" i="13"/>
  <c r="O637" i="13"/>
  <c r="P637" i="13"/>
  <c r="Q637" i="13"/>
  <c r="R637" i="13"/>
  <c r="S637" i="13"/>
  <c r="T637" i="13"/>
  <c r="U637" i="13"/>
  <c r="V637" i="13"/>
  <c r="W637" i="13"/>
  <c r="X637" i="13"/>
  <c r="D638" i="13" a="1"/>
  <c r="D638" i="13" s="1"/>
  <c r="G638" i="13" s="1"/>
  <c r="I638" i="13" s="1"/>
  <c r="K638" i="13"/>
  <c r="L638" i="13"/>
  <c r="M638" i="13"/>
  <c r="N638" i="13"/>
  <c r="O638" i="13"/>
  <c r="P638" i="13"/>
  <c r="Q638" i="13"/>
  <c r="R638" i="13"/>
  <c r="S638" i="13"/>
  <c r="T638" i="13"/>
  <c r="U638" i="13"/>
  <c r="V638" i="13"/>
  <c r="W638" i="13"/>
  <c r="X638" i="13"/>
  <c r="D639" i="13" a="1"/>
  <c r="D639" i="13" s="1"/>
  <c r="G639" i="13" s="1"/>
  <c r="I639" i="13" s="1"/>
  <c r="K639" i="13"/>
  <c r="L639" i="13"/>
  <c r="M639" i="13"/>
  <c r="N639" i="13"/>
  <c r="O639" i="13"/>
  <c r="P639" i="13"/>
  <c r="Q639" i="13"/>
  <c r="R639" i="13"/>
  <c r="S639" i="13"/>
  <c r="T639" i="13"/>
  <c r="U639" i="13"/>
  <c r="V639" i="13"/>
  <c r="W639" i="13"/>
  <c r="X639" i="13"/>
  <c r="D640" i="13" a="1"/>
  <c r="D640" i="13" s="1"/>
  <c r="G640" i="13" s="1"/>
  <c r="I640" i="13" s="1"/>
  <c r="K640" i="13"/>
  <c r="L640" i="13"/>
  <c r="M640" i="13"/>
  <c r="N640" i="13"/>
  <c r="O640" i="13"/>
  <c r="P640" i="13"/>
  <c r="Q640" i="13"/>
  <c r="R640" i="13"/>
  <c r="S640" i="13"/>
  <c r="T640" i="13"/>
  <c r="U640" i="13"/>
  <c r="V640" i="13"/>
  <c r="W640" i="13"/>
  <c r="X640" i="13"/>
  <c r="D641" i="13" a="1"/>
  <c r="D641" i="13" s="1"/>
  <c r="G641" i="13" s="1"/>
  <c r="I641" i="13" s="1"/>
  <c r="K641" i="13"/>
  <c r="L641" i="13"/>
  <c r="M641" i="13"/>
  <c r="N641" i="13"/>
  <c r="O641" i="13"/>
  <c r="P641" i="13"/>
  <c r="Q641" i="13"/>
  <c r="R641" i="13"/>
  <c r="S641" i="13"/>
  <c r="T641" i="13"/>
  <c r="U641" i="13"/>
  <c r="V641" i="13"/>
  <c r="W641" i="13"/>
  <c r="X641" i="13"/>
  <c r="D642" i="13" a="1"/>
  <c r="D642" i="13" s="1"/>
  <c r="G642" i="13" s="1"/>
  <c r="I642" i="13" s="1"/>
  <c r="K642" i="13"/>
  <c r="L642" i="13"/>
  <c r="M642" i="13"/>
  <c r="N642" i="13"/>
  <c r="O642" i="13"/>
  <c r="P642" i="13"/>
  <c r="Q642" i="13"/>
  <c r="R642" i="13"/>
  <c r="S642" i="13"/>
  <c r="T642" i="13"/>
  <c r="U642" i="13"/>
  <c r="V642" i="13"/>
  <c r="W642" i="13"/>
  <c r="X642" i="13"/>
  <c r="D643" i="13" a="1"/>
  <c r="D643" i="13" s="1"/>
  <c r="G643" i="13" s="1"/>
  <c r="I643" i="13" s="1"/>
  <c r="H643" i="13" a="1"/>
  <c r="H643" i="13" s="1"/>
  <c r="K643" i="13"/>
  <c r="L643" i="13"/>
  <c r="M643" i="13"/>
  <c r="N643" i="13"/>
  <c r="O643" i="13"/>
  <c r="P643" i="13"/>
  <c r="Q643" i="13"/>
  <c r="R643" i="13"/>
  <c r="S643" i="13"/>
  <c r="T643" i="13"/>
  <c r="U643" i="13"/>
  <c r="V643" i="13"/>
  <c r="W643" i="13"/>
  <c r="X643" i="13"/>
  <c r="D644" i="13" a="1"/>
  <c r="D644" i="13" s="1"/>
  <c r="G644" i="13" s="1"/>
  <c r="I644" i="13" s="1"/>
  <c r="K644" i="13"/>
  <c r="L644" i="13"/>
  <c r="M644" i="13"/>
  <c r="N644" i="13"/>
  <c r="O644" i="13"/>
  <c r="P644" i="13"/>
  <c r="Q644" i="13"/>
  <c r="R644" i="13"/>
  <c r="S644" i="13"/>
  <c r="T644" i="13"/>
  <c r="U644" i="13"/>
  <c r="V644" i="13"/>
  <c r="W644" i="13"/>
  <c r="X644" i="13"/>
  <c r="D645" i="13" a="1"/>
  <c r="D645" i="13" s="1"/>
  <c r="G645" i="13" s="1"/>
  <c r="I645" i="13" s="1"/>
  <c r="K645" i="13"/>
  <c r="L645" i="13"/>
  <c r="M645" i="13"/>
  <c r="N645" i="13"/>
  <c r="O645" i="13"/>
  <c r="P645" i="13"/>
  <c r="Q645" i="13"/>
  <c r="R645" i="13"/>
  <c r="S645" i="13"/>
  <c r="T645" i="13"/>
  <c r="U645" i="13"/>
  <c r="V645" i="13"/>
  <c r="W645" i="13"/>
  <c r="X645" i="13"/>
  <c r="D646" i="13" a="1"/>
  <c r="D646" i="13" s="1"/>
  <c r="G646" i="13" s="1"/>
  <c r="I646" i="13" s="1"/>
  <c r="H646" i="13" a="1"/>
  <c r="H646" i="13" s="1"/>
  <c r="K646" i="13"/>
  <c r="L646" i="13"/>
  <c r="M646" i="13"/>
  <c r="N646" i="13"/>
  <c r="O646" i="13"/>
  <c r="P646" i="13"/>
  <c r="Q646" i="13"/>
  <c r="R646" i="13"/>
  <c r="S646" i="13"/>
  <c r="T646" i="13"/>
  <c r="U646" i="13"/>
  <c r="V646" i="13"/>
  <c r="W646" i="13"/>
  <c r="X646" i="13"/>
  <c r="D647" i="13" a="1"/>
  <c r="D647" i="13" s="1"/>
  <c r="G647" i="13" s="1"/>
  <c r="I647" i="13" s="1"/>
  <c r="K647" i="13"/>
  <c r="L647" i="13"/>
  <c r="M647" i="13"/>
  <c r="N647" i="13"/>
  <c r="O647" i="13"/>
  <c r="P647" i="13"/>
  <c r="Q647" i="13"/>
  <c r="R647" i="13"/>
  <c r="S647" i="13"/>
  <c r="T647" i="13"/>
  <c r="U647" i="13"/>
  <c r="V647" i="13"/>
  <c r="W647" i="13"/>
  <c r="X647" i="13"/>
  <c r="D648" i="13" a="1"/>
  <c r="D648" i="13" s="1"/>
  <c r="G648" i="13" s="1"/>
  <c r="I648" i="13" s="1"/>
  <c r="K648" i="13"/>
  <c r="L648" i="13"/>
  <c r="M648" i="13"/>
  <c r="N648" i="13"/>
  <c r="O648" i="13"/>
  <c r="P648" i="13"/>
  <c r="Q648" i="13"/>
  <c r="R648" i="13"/>
  <c r="S648" i="13"/>
  <c r="T648" i="13"/>
  <c r="U648" i="13"/>
  <c r="V648" i="13"/>
  <c r="W648" i="13"/>
  <c r="X648" i="13"/>
  <c r="D649" i="13" a="1"/>
  <c r="D649" i="13" s="1"/>
  <c r="G649" i="13" s="1"/>
  <c r="I649" i="13" s="1"/>
  <c r="H649" i="13" a="1"/>
  <c r="H649" i="13" s="1"/>
  <c r="K649" i="13"/>
  <c r="L649" i="13"/>
  <c r="M649" i="13"/>
  <c r="N649" i="13"/>
  <c r="O649" i="13"/>
  <c r="P649" i="13"/>
  <c r="Q649" i="13"/>
  <c r="R649" i="13"/>
  <c r="S649" i="13"/>
  <c r="T649" i="13"/>
  <c r="U649" i="13"/>
  <c r="V649" i="13"/>
  <c r="W649" i="13"/>
  <c r="X649" i="13"/>
  <c r="D650" i="13" a="1"/>
  <c r="D650" i="13" s="1"/>
  <c r="G650" i="13" s="1"/>
  <c r="I650" i="13" s="1"/>
  <c r="H650" i="13" a="1"/>
  <c r="H650" i="13" s="1"/>
  <c r="K650" i="13"/>
  <c r="L650" i="13"/>
  <c r="M650" i="13"/>
  <c r="N650" i="13"/>
  <c r="O650" i="13"/>
  <c r="P650" i="13"/>
  <c r="Q650" i="13"/>
  <c r="R650" i="13"/>
  <c r="S650" i="13"/>
  <c r="T650" i="13"/>
  <c r="U650" i="13"/>
  <c r="V650" i="13"/>
  <c r="W650" i="13"/>
  <c r="X650" i="13"/>
  <c r="D651" i="13" a="1"/>
  <c r="D651" i="13" s="1"/>
  <c r="G651" i="13" s="1"/>
  <c r="I651" i="13" s="1"/>
  <c r="K651" i="13"/>
  <c r="L651" i="13"/>
  <c r="M651" i="13"/>
  <c r="N651" i="13"/>
  <c r="O651" i="13"/>
  <c r="P651" i="13"/>
  <c r="Q651" i="13"/>
  <c r="R651" i="13"/>
  <c r="S651" i="13"/>
  <c r="T651" i="13"/>
  <c r="U651" i="13"/>
  <c r="V651" i="13"/>
  <c r="W651" i="13"/>
  <c r="X651" i="13"/>
  <c r="D652" i="13" a="1"/>
  <c r="D652" i="13" s="1"/>
  <c r="G652" i="13" s="1"/>
  <c r="I652" i="13" s="1"/>
  <c r="H652" i="13" a="1"/>
  <c r="H652" i="13" s="1"/>
  <c r="K652" i="13"/>
  <c r="L652" i="13"/>
  <c r="M652" i="13"/>
  <c r="N652" i="13"/>
  <c r="O652" i="13"/>
  <c r="P652" i="13"/>
  <c r="Q652" i="13"/>
  <c r="R652" i="13"/>
  <c r="S652" i="13"/>
  <c r="T652" i="13"/>
  <c r="U652" i="13"/>
  <c r="V652" i="13"/>
  <c r="W652" i="13"/>
  <c r="X652" i="13"/>
  <c r="D653" i="13" a="1"/>
  <c r="D653" i="13" s="1"/>
  <c r="G653" i="13" s="1"/>
  <c r="I653" i="13" s="1"/>
  <c r="K653" i="13"/>
  <c r="L653" i="13"/>
  <c r="M653" i="13"/>
  <c r="N653" i="13"/>
  <c r="O653" i="13"/>
  <c r="P653" i="13"/>
  <c r="Q653" i="13"/>
  <c r="R653" i="13"/>
  <c r="S653" i="13"/>
  <c r="T653" i="13"/>
  <c r="U653" i="13"/>
  <c r="V653" i="13"/>
  <c r="W653" i="13"/>
  <c r="X653" i="13"/>
  <c r="D654" i="13" a="1"/>
  <c r="D654" i="13" s="1"/>
  <c r="G654" i="13" s="1"/>
  <c r="I654" i="13" s="1"/>
  <c r="H654" i="13" a="1"/>
  <c r="H654" i="13" s="1"/>
  <c r="K654" i="13"/>
  <c r="L654" i="13"/>
  <c r="M654" i="13"/>
  <c r="N654" i="13"/>
  <c r="O654" i="13"/>
  <c r="P654" i="13"/>
  <c r="Q654" i="13"/>
  <c r="R654" i="13"/>
  <c r="S654" i="13"/>
  <c r="T654" i="13"/>
  <c r="U654" i="13"/>
  <c r="V654" i="13"/>
  <c r="W654" i="13"/>
  <c r="X654" i="13"/>
  <c r="D655" i="13" a="1"/>
  <c r="D655" i="13" s="1"/>
  <c r="G655" i="13" s="1"/>
  <c r="I655" i="13" s="1"/>
  <c r="K655" i="13"/>
  <c r="L655" i="13"/>
  <c r="M655" i="13"/>
  <c r="N655" i="13"/>
  <c r="O655" i="13"/>
  <c r="P655" i="13"/>
  <c r="Q655" i="13"/>
  <c r="R655" i="13"/>
  <c r="S655" i="13"/>
  <c r="T655" i="13"/>
  <c r="U655" i="13"/>
  <c r="V655" i="13"/>
  <c r="W655" i="13"/>
  <c r="X655" i="13"/>
  <c r="D656" i="13" a="1"/>
  <c r="D656" i="13" s="1"/>
  <c r="G656" i="13" s="1"/>
  <c r="I656" i="13" s="1"/>
  <c r="H656" i="13" a="1"/>
  <c r="H656" i="13" s="1"/>
  <c r="K656" i="13"/>
  <c r="L656" i="13"/>
  <c r="M656" i="13"/>
  <c r="N656" i="13"/>
  <c r="O656" i="13"/>
  <c r="P656" i="13"/>
  <c r="Q656" i="13"/>
  <c r="R656" i="13"/>
  <c r="S656" i="13"/>
  <c r="T656" i="13"/>
  <c r="U656" i="13"/>
  <c r="V656" i="13"/>
  <c r="W656" i="13"/>
  <c r="X656" i="13"/>
  <c r="D657" i="13" a="1"/>
  <c r="D657" i="13" s="1"/>
  <c r="G657" i="13" s="1"/>
  <c r="I657" i="13" s="1"/>
  <c r="H657" i="13" a="1"/>
  <c r="H657" i="13" s="1"/>
  <c r="K657" i="13"/>
  <c r="L657" i="13"/>
  <c r="M657" i="13"/>
  <c r="N657" i="13"/>
  <c r="O657" i="13"/>
  <c r="P657" i="13"/>
  <c r="Q657" i="13"/>
  <c r="R657" i="13"/>
  <c r="S657" i="13"/>
  <c r="T657" i="13"/>
  <c r="U657" i="13"/>
  <c r="V657" i="13"/>
  <c r="W657" i="13"/>
  <c r="X657" i="13"/>
  <c r="D658" i="13" a="1"/>
  <c r="D658" i="13" s="1"/>
  <c r="G658" i="13" s="1"/>
  <c r="I658" i="13" s="1"/>
  <c r="K658" i="13"/>
  <c r="L658" i="13"/>
  <c r="M658" i="13"/>
  <c r="N658" i="13"/>
  <c r="O658" i="13"/>
  <c r="P658" i="13"/>
  <c r="Q658" i="13"/>
  <c r="R658" i="13"/>
  <c r="S658" i="13"/>
  <c r="T658" i="13"/>
  <c r="U658" i="13"/>
  <c r="V658" i="13"/>
  <c r="W658" i="13"/>
  <c r="X658" i="13"/>
  <c r="D659" i="13" a="1"/>
  <c r="D659" i="13" s="1"/>
  <c r="G659" i="13" s="1"/>
  <c r="I659" i="13" s="1"/>
  <c r="H659" i="13" a="1"/>
  <c r="H659" i="13" s="1"/>
  <c r="K659" i="13"/>
  <c r="L659" i="13"/>
  <c r="M659" i="13"/>
  <c r="N659" i="13"/>
  <c r="O659" i="13"/>
  <c r="P659" i="13"/>
  <c r="Q659" i="13"/>
  <c r="R659" i="13"/>
  <c r="S659" i="13"/>
  <c r="T659" i="13"/>
  <c r="U659" i="13"/>
  <c r="V659" i="13"/>
  <c r="W659" i="13"/>
  <c r="X659" i="13"/>
  <c r="D660" i="13" a="1"/>
  <c r="D660" i="13" s="1"/>
  <c r="G660" i="13" s="1"/>
  <c r="I660" i="13" s="1"/>
  <c r="K660" i="13"/>
  <c r="L660" i="13"/>
  <c r="M660" i="13"/>
  <c r="N660" i="13"/>
  <c r="O660" i="13"/>
  <c r="P660" i="13"/>
  <c r="Q660" i="13"/>
  <c r="R660" i="13"/>
  <c r="S660" i="13"/>
  <c r="T660" i="13"/>
  <c r="U660" i="13"/>
  <c r="V660" i="13"/>
  <c r="W660" i="13"/>
  <c r="X660" i="13"/>
  <c r="D661" i="13" a="1"/>
  <c r="D661" i="13" s="1"/>
  <c r="G661" i="13" s="1"/>
  <c r="I661" i="13" s="1"/>
  <c r="K661" i="13"/>
  <c r="L661" i="13"/>
  <c r="M661" i="13"/>
  <c r="N661" i="13"/>
  <c r="O661" i="13"/>
  <c r="P661" i="13"/>
  <c r="Q661" i="13"/>
  <c r="R661" i="13"/>
  <c r="S661" i="13"/>
  <c r="T661" i="13"/>
  <c r="U661" i="13"/>
  <c r="V661" i="13"/>
  <c r="W661" i="13"/>
  <c r="X661" i="13"/>
  <c r="D662" i="13" a="1"/>
  <c r="D662" i="13" s="1"/>
  <c r="G662" i="13" s="1"/>
  <c r="I662" i="13" s="1"/>
  <c r="K662" i="13"/>
  <c r="L662" i="13"/>
  <c r="M662" i="13"/>
  <c r="N662" i="13"/>
  <c r="O662" i="13"/>
  <c r="P662" i="13"/>
  <c r="Q662" i="13"/>
  <c r="R662" i="13"/>
  <c r="S662" i="13"/>
  <c r="T662" i="13"/>
  <c r="U662" i="13"/>
  <c r="V662" i="13"/>
  <c r="W662" i="13"/>
  <c r="X662" i="13"/>
  <c r="D663" i="13" a="1"/>
  <c r="D663" i="13" s="1"/>
  <c r="G663" i="13" s="1"/>
  <c r="I663" i="13" s="1"/>
  <c r="K663" i="13"/>
  <c r="L663" i="13"/>
  <c r="M663" i="13"/>
  <c r="N663" i="13"/>
  <c r="O663" i="13"/>
  <c r="P663" i="13"/>
  <c r="Q663" i="13"/>
  <c r="R663" i="13"/>
  <c r="S663" i="13"/>
  <c r="T663" i="13"/>
  <c r="U663" i="13"/>
  <c r="V663" i="13"/>
  <c r="W663" i="13"/>
  <c r="X663" i="13"/>
  <c r="D664" i="13" a="1"/>
  <c r="D664" i="13" s="1"/>
  <c r="G664" i="13" s="1"/>
  <c r="I664" i="13" s="1"/>
  <c r="K664" i="13"/>
  <c r="L664" i="13"/>
  <c r="M664" i="13"/>
  <c r="N664" i="13"/>
  <c r="O664" i="13"/>
  <c r="P664" i="13"/>
  <c r="Q664" i="13"/>
  <c r="R664" i="13"/>
  <c r="S664" i="13"/>
  <c r="T664" i="13"/>
  <c r="U664" i="13"/>
  <c r="V664" i="13"/>
  <c r="W664" i="13"/>
  <c r="X664" i="13"/>
  <c r="D665" i="13" a="1"/>
  <c r="D665" i="13" s="1"/>
  <c r="G665" i="13" s="1"/>
  <c r="I665" i="13" s="1"/>
  <c r="H665" i="13" a="1"/>
  <c r="H665" i="13" s="1"/>
  <c r="K665" i="13"/>
  <c r="L665" i="13"/>
  <c r="M665" i="13"/>
  <c r="N665" i="13"/>
  <c r="O665" i="13"/>
  <c r="P665" i="13"/>
  <c r="Q665" i="13"/>
  <c r="R665" i="13"/>
  <c r="S665" i="13"/>
  <c r="T665" i="13"/>
  <c r="U665" i="13"/>
  <c r="V665" i="13"/>
  <c r="W665" i="13"/>
  <c r="X665" i="13"/>
  <c r="D666" i="13" a="1"/>
  <c r="D666" i="13" s="1"/>
  <c r="G666" i="13" s="1"/>
  <c r="I666" i="13" s="1"/>
  <c r="H666" i="13" a="1"/>
  <c r="H666" i="13" s="1"/>
  <c r="K666" i="13"/>
  <c r="L666" i="13"/>
  <c r="M666" i="13"/>
  <c r="N666" i="13"/>
  <c r="O666" i="13"/>
  <c r="P666" i="13"/>
  <c r="Q666" i="13"/>
  <c r="R666" i="13"/>
  <c r="S666" i="13"/>
  <c r="T666" i="13"/>
  <c r="U666" i="13"/>
  <c r="V666" i="13"/>
  <c r="W666" i="13"/>
  <c r="X666" i="13"/>
  <c r="D667" i="13" a="1"/>
  <c r="D667" i="13" s="1"/>
  <c r="G667" i="13" s="1"/>
  <c r="I667" i="13" s="1"/>
  <c r="H667" i="13" a="1"/>
  <c r="H667" i="13" s="1"/>
  <c r="K667" i="13"/>
  <c r="L667" i="13"/>
  <c r="M667" i="13"/>
  <c r="N667" i="13"/>
  <c r="O667" i="13"/>
  <c r="P667" i="13"/>
  <c r="Q667" i="13"/>
  <c r="R667" i="13"/>
  <c r="S667" i="13"/>
  <c r="T667" i="13"/>
  <c r="U667" i="13"/>
  <c r="V667" i="13"/>
  <c r="W667" i="13"/>
  <c r="X667" i="13"/>
  <c r="D668" i="13" a="1"/>
  <c r="D668" i="13" s="1"/>
  <c r="G668" i="13" s="1"/>
  <c r="I668" i="13" s="1"/>
  <c r="H668" i="13" a="1"/>
  <c r="H668" i="13" s="1"/>
  <c r="K668" i="13"/>
  <c r="L668" i="13"/>
  <c r="M668" i="13"/>
  <c r="N668" i="13"/>
  <c r="O668" i="13"/>
  <c r="P668" i="13"/>
  <c r="Q668" i="13"/>
  <c r="R668" i="13"/>
  <c r="S668" i="13"/>
  <c r="T668" i="13"/>
  <c r="U668" i="13"/>
  <c r="V668" i="13"/>
  <c r="W668" i="13"/>
  <c r="X668" i="13"/>
  <c r="D669" i="13" a="1"/>
  <c r="D669" i="13" s="1"/>
  <c r="G669" i="13" s="1"/>
  <c r="I669" i="13" s="1"/>
  <c r="K669" i="13"/>
  <c r="L669" i="13"/>
  <c r="M669" i="13"/>
  <c r="N669" i="13"/>
  <c r="O669" i="13"/>
  <c r="P669" i="13"/>
  <c r="Q669" i="13"/>
  <c r="R669" i="13"/>
  <c r="S669" i="13"/>
  <c r="T669" i="13"/>
  <c r="U669" i="13"/>
  <c r="V669" i="13"/>
  <c r="W669" i="13"/>
  <c r="X669" i="13"/>
  <c r="D670" i="13" a="1"/>
  <c r="D670" i="13" s="1"/>
  <c r="G670" i="13" s="1"/>
  <c r="I670" i="13" s="1"/>
  <c r="H670" i="13" a="1"/>
  <c r="H670" i="13" s="1"/>
  <c r="K670" i="13"/>
  <c r="L670" i="13"/>
  <c r="M670" i="13"/>
  <c r="N670" i="13"/>
  <c r="O670" i="13"/>
  <c r="P670" i="13"/>
  <c r="Q670" i="13"/>
  <c r="R670" i="13"/>
  <c r="S670" i="13"/>
  <c r="T670" i="13"/>
  <c r="U670" i="13"/>
  <c r="V670" i="13"/>
  <c r="W670" i="13"/>
  <c r="X670" i="13"/>
  <c r="D671" i="13" a="1"/>
  <c r="D671" i="13" s="1"/>
  <c r="G671" i="13" s="1"/>
  <c r="I671" i="13" s="1"/>
  <c r="K671" i="13"/>
  <c r="L671" i="13"/>
  <c r="M671" i="13"/>
  <c r="N671" i="13"/>
  <c r="O671" i="13"/>
  <c r="P671" i="13"/>
  <c r="Q671" i="13"/>
  <c r="R671" i="13"/>
  <c r="S671" i="13"/>
  <c r="T671" i="13"/>
  <c r="U671" i="13"/>
  <c r="V671" i="13"/>
  <c r="W671" i="13"/>
  <c r="X671" i="13"/>
  <c r="D672" i="13" a="1"/>
  <c r="D672" i="13" s="1"/>
  <c r="G672" i="13" s="1"/>
  <c r="I672" i="13" s="1"/>
  <c r="H672" i="13" a="1"/>
  <c r="H672" i="13" s="1"/>
  <c r="K672" i="13"/>
  <c r="L672" i="13"/>
  <c r="M672" i="13"/>
  <c r="N672" i="13"/>
  <c r="O672" i="13"/>
  <c r="P672" i="13"/>
  <c r="Q672" i="13"/>
  <c r="R672" i="13"/>
  <c r="S672" i="13"/>
  <c r="T672" i="13"/>
  <c r="U672" i="13"/>
  <c r="V672" i="13"/>
  <c r="W672" i="13"/>
  <c r="X672" i="13"/>
  <c r="D673" i="13" a="1"/>
  <c r="D673" i="13" s="1"/>
  <c r="G673" i="13" s="1"/>
  <c r="I673" i="13" s="1"/>
  <c r="H673" i="13" a="1"/>
  <c r="H673" i="13" s="1"/>
  <c r="K673" i="13"/>
  <c r="L673" i="13"/>
  <c r="M673" i="13"/>
  <c r="N673" i="13"/>
  <c r="O673" i="13"/>
  <c r="P673" i="13"/>
  <c r="Q673" i="13"/>
  <c r="R673" i="13"/>
  <c r="S673" i="13"/>
  <c r="T673" i="13"/>
  <c r="U673" i="13"/>
  <c r="V673" i="13"/>
  <c r="W673" i="13"/>
  <c r="X673" i="13"/>
  <c r="D674" i="13" a="1"/>
  <c r="D674" i="13" s="1"/>
  <c r="G674" i="13" s="1"/>
  <c r="I674" i="13" s="1"/>
  <c r="K674" i="13"/>
  <c r="L674" i="13"/>
  <c r="M674" i="13"/>
  <c r="N674" i="13"/>
  <c r="O674" i="13"/>
  <c r="P674" i="13"/>
  <c r="Q674" i="13"/>
  <c r="R674" i="13"/>
  <c r="S674" i="13"/>
  <c r="T674" i="13"/>
  <c r="U674" i="13"/>
  <c r="V674" i="13"/>
  <c r="W674" i="13"/>
  <c r="X674" i="13"/>
  <c r="D675" i="13" a="1"/>
  <c r="D675" i="13" s="1"/>
  <c r="G675" i="13" s="1"/>
  <c r="I675" i="13" s="1"/>
  <c r="H675" i="13" a="1"/>
  <c r="H675" i="13" s="1"/>
  <c r="K675" i="13"/>
  <c r="L675" i="13"/>
  <c r="M675" i="13"/>
  <c r="N675" i="13"/>
  <c r="O675" i="13"/>
  <c r="P675" i="13"/>
  <c r="Q675" i="13"/>
  <c r="R675" i="13"/>
  <c r="S675" i="13"/>
  <c r="T675" i="13"/>
  <c r="U675" i="13"/>
  <c r="V675" i="13"/>
  <c r="W675" i="13"/>
  <c r="X675" i="13"/>
  <c r="D676" i="13" a="1"/>
  <c r="D676" i="13" s="1"/>
  <c r="G676" i="13" s="1"/>
  <c r="I676" i="13" s="1"/>
  <c r="K676" i="13"/>
  <c r="L676" i="13"/>
  <c r="M676" i="13"/>
  <c r="N676" i="13"/>
  <c r="O676" i="13"/>
  <c r="P676" i="13"/>
  <c r="Q676" i="13"/>
  <c r="R676" i="13"/>
  <c r="S676" i="13"/>
  <c r="T676" i="13"/>
  <c r="U676" i="13"/>
  <c r="V676" i="13"/>
  <c r="W676" i="13"/>
  <c r="X676" i="13"/>
  <c r="D677" i="13" a="1"/>
  <c r="D677" i="13" s="1"/>
  <c r="G677" i="13" s="1"/>
  <c r="I677" i="13" s="1"/>
  <c r="H677" i="13" a="1"/>
  <c r="H677" i="13" s="1"/>
  <c r="K677" i="13"/>
  <c r="L677" i="13"/>
  <c r="M677" i="13"/>
  <c r="N677" i="13"/>
  <c r="O677" i="13"/>
  <c r="P677" i="13"/>
  <c r="Q677" i="13"/>
  <c r="R677" i="13"/>
  <c r="S677" i="13"/>
  <c r="T677" i="13"/>
  <c r="U677" i="13"/>
  <c r="V677" i="13"/>
  <c r="W677" i="13"/>
  <c r="X677" i="13"/>
  <c r="D678" i="13" a="1"/>
  <c r="D678" i="13" s="1"/>
  <c r="G678" i="13" s="1"/>
  <c r="I678" i="13" s="1"/>
  <c r="H678" i="13" a="1"/>
  <c r="H678" i="13" s="1"/>
  <c r="K678" i="13"/>
  <c r="L678" i="13"/>
  <c r="M678" i="13"/>
  <c r="N678" i="13"/>
  <c r="O678" i="13"/>
  <c r="P678" i="13"/>
  <c r="Q678" i="13"/>
  <c r="R678" i="13"/>
  <c r="S678" i="13"/>
  <c r="T678" i="13"/>
  <c r="U678" i="13"/>
  <c r="V678" i="13"/>
  <c r="W678" i="13"/>
  <c r="X678" i="13"/>
  <c r="D679" i="13" a="1"/>
  <c r="D679" i="13" s="1"/>
  <c r="G679" i="13" s="1"/>
  <c r="I679" i="13" s="1"/>
  <c r="K679" i="13"/>
  <c r="L679" i="13"/>
  <c r="M679" i="13"/>
  <c r="N679" i="13"/>
  <c r="O679" i="13"/>
  <c r="P679" i="13"/>
  <c r="Q679" i="13"/>
  <c r="R679" i="13"/>
  <c r="S679" i="13"/>
  <c r="T679" i="13"/>
  <c r="U679" i="13"/>
  <c r="V679" i="13"/>
  <c r="W679" i="13"/>
  <c r="X679" i="13"/>
  <c r="D680" i="13" a="1"/>
  <c r="D680" i="13" s="1"/>
  <c r="G680" i="13" s="1"/>
  <c r="I680" i="13" s="1"/>
  <c r="K680" i="13"/>
  <c r="L680" i="13"/>
  <c r="M680" i="13"/>
  <c r="N680" i="13"/>
  <c r="O680" i="13"/>
  <c r="P680" i="13"/>
  <c r="Q680" i="13"/>
  <c r="R680" i="13"/>
  <c r="S680" i="13"/>
  <c r="T680" i="13"/>
  <c r="U680" i="13"/>
  <c r="V680" i="13"/>
  <c r="W680" i="13"/>
  <c r="X680" i="13"/>
  <c r="D681" i="13" a="1"/>
  <c r="D681" i="13" s="1"/>
  <c r="G681" i="13" s="1"/>
  <c r="I681" i="13" s="1"/>
  <c r="H681" i="13" a="1"/>
  <c r="H681" i="13" s="1"/>
  <c r="K681" i="13"/>
  <c r="L681" i="13"/>
  <c r="M681" i="13"/>
  <c r="N681" i="13"/>
  <c r="O681" i="13"/>
  <c r="P681" i="13"/>
  <c r="Q681" i="13"/>
  <c r="R681" i="13"/>
  <c r="S681" i="13"/>
  <c r="T681" i="13"/>
  <c r="U681" i="13"/>
  <c r="V681" i="13"/>
  <c r="W681" i="13"/>
  <c r="X681" i="13"/>
  <c r="D682" i="13" a="1"/>
  <c r="D682" i="13" s="1"/>
  <c r="G682" i="13" s="1"/>
  <c r="I682" i="13" s="1"/>
  <c r="H682" i="13" a="1"/>
  <c r="H682" i="13" s="1"/>
  <c r="K682" i="13"/>
  <c r="L682" i="13"/>
  <c r="M682" i="13"/>
  <c r="N682" i="13"/>
  <c r="O682" i="13"/>
  <c r="P682" i="13"/>
  <c r="Q682" i="13"/>
  <c r="R682" i="13"/>
  <c r="S682" i="13"/>
  <c r="T682" i="13"/>
  <c r="U682" i="13"/>
  <c r="V682" i="13"/>
  <c r="W682" i="13"/>
  <c r="X682" i="13"/>
  <c r="D683" i="13" a="1"/>
  <c r="D683" i="13" s="1"/>
  <c r="G683" i="13" s="1"/>
  <c r="I683" i="13" s="1"/>
  <c r="K683" i="13"/>
  <c r="L683" i="13"/>
  <c r="M683" i="13"/>
  <c r="N683" i="13"/>
  <c r="O683" i="13"/>
  <c r="P683" i="13"/>
  <c r="Q683" i="13"/>
  <c r="R683" i="13"/>
  <c r="S683" i="13"/>
  <c r="T683" i="13"/>
  <c r="U683" i="13"/>
  <c r="V683" i="13"/>
  <c r="W683" i="13"/>
  <c r="X683" i="13"/>
  <c r="D684" i="13" a="1"/>
  <c r="D684" i="13" s="1"/>
  <c r="G684" i="13" s="1"/>
  <c r="I684" i="13" s="1"/>
  <c r="H684" i="13" a="1"/>
  <c r="H684" i="13" s="1"/>
  <c r="K684" i="13"/>
  <c r="L684" i="13"/>
  <c r="M684" i="13"/>
  <c r="N684" i="13"/>
  <c r="O684" i="13"/>
  <c r="P684" i="13"/>
  <c r="Q684" i="13"/>
  <c r="R684" i="13"/>
  <c r="S684" i="13"/>
  <c r="T684" i="13"/>
  <c r="U684" i="13"/>
  <c r="V684" i="13"/>
  <c r="W684" i="13"/>
  <c r="X684" i="13"/>
  <c r="D685" i="13" a="1"/>
  <c r="D685" i="13" s="1"/>
  <c r="G685" i="13" s="1"/>
  <c r="I685" i="13" s="1"/>
  <c r="H685" i="13" a="1"/>
  <c r="H685" i="13" s="1"/>
  <c r="K685" i="13"/>
  <c r="L685" i="13"/>
  <c r="M685" i="13"/>
  <c r="N685" i="13"/>
  <c r="O685" i="13"/>
  <c r="P685" i="13"/>
  <c r="Q685" i="13"/>
  <c r="R685" i="13"/>
  <c r="S685" i="13"/>
  <c r="T685" i="13"/>
  <c r="U685" i="13"/>
  <c r="V685" i="13"/>
  <c r="W685" i="13"/>
  <c r="X685" i="13"/>
  <c r="D686" i="13" a="1"/>
  <c r="D686" i="13" s="1"/>
  <c r="G686" i="13" s="1"/>
  <c r="I686" i="13" s="1"/>
  <c r="K686" i="13"/>
  <c r="L686" i="13"/>
  <c r="M686" i="13"/>
  <c r="N686" i="13"/>
  <c r="O686" i="13"/>
  <c r="P686" i="13"/>
  <c r="Q686" i="13"/>
  <c r="R686" i="13"/>
  <c r="S686" i="13"/>
  <c r="T686" i="13"/>
  <c r="U686" i="13"/>
  <c r="V686" i="13"/>
  <c r="W686" i="13"/>
  <c r="X686" i="13"/>
  <c r="D687" i="13" a="1"/>
  <c r="D687" i="13" s="1"/>
  <c r="G687" i="13" s="1"/>
  <c r="I687" i="13" s="1"/>
  <c r="K687" i="13"/>
  <c r="L687" i="13"/>
  <c r="M687" i="13"/>
  <c r="N687" i="13"/>
  <c r="O687" i="13"/>
  <c r="P687" i="13"/>
  <c r="Q687" i="13"/>
  <c r="R687" i="13"/>
  <c r="S687" i="13"/>
  <c r="T687" i="13"/>
  <c r="U687" i="13"/>
  <c r="V687" i="13"/>
  <c r="W687" i="13"/>
  <c r="X687" i="13"/>
  <c r="D688" i="13" a="1"/>
  <c r="D688" i="13" s="1"/>
  <c r="G688" i="13" s="1"/>
  <c r="I688" i="13" s="1"/>
  <c r="H688" i="13" a="1"/>
  <c r="H688" i="13" s="1"/>
  <c r="K688" i="13"/>
  <c r="L688" i="13"/>
  <c r="M688" i="13"/>
  <c r="N688" i="13"/>
  <c r="O688" i="13"/>
  <c r="P688" i="13"/>
  <c r="Q688" i="13"/>
  <c r="R688" i="13"/>
  <c r="S688" i="13"/>
  <c r="T688" i="13"/>
  <c r="U688" i="13"/>
  <c r="V688" i="13"/>
  <c r="W688" i="13"/>
  <c r="X688" i="13"/>
  <c r="D689" i="13" a="1"/>
  <c r="D689" i="13" s="1"/>
  <c r="G689" i="13" s="1"/>
  <c r="I689" i="13" s="1"/>
  <c r="H689" i="13" a="1"/>
  <c r="H689" i="13" s="1"/>
  <c r="K689" i="13"/>
  <c r="L689" i="13"/>
  <c r="M689" i="13"/>
  <c r="N689" i="13"/>
  <c r="O689" i="13"/>
  <c r="P689" i="13"/>
  <c r="Q689" i="13"/>
  <c r="R689" i="13"/>
  <c r="S689" i="13"/>
  <c r="T689" i="13"/>
  <c r="U689" i="13"/>
  <c r="V689" i="13"/>
  <c r="W689" i="13"/>
  <c r="X689" i="13"/>
  <c r="D690" i="13" a="1"/>
  <c r="D690" i="13" s="1"/>
  <c r="G690" i="13" s="1"/>
  <c r="I690" i="13" s="1"/>
  <c r="K690" i="13"/>
  <c r="L690" i="13"/>
  <c r="M690" i="13"/>
  <c r="N690" i="13"/>
  <c r="O690" i="13"/>
  <c r="P690" i="13"/>
  <c r="Q690" i="13"/>
  <c r="R690" i="13"/>
  <c r="S690" i="13"/>
  <c r="T690" i="13"/>
  <c r="U690" i="13"/>
  <c r="V690" i="13"/>
  <c r="W690" i="13"/>
  <c r="X690" i="13"/>
  <c r="D691" i="13" a="1"/>
  <c r="D691" i="13" s="1"/>
  <c r="G691" i="13" s="1"/>
  <c r="I691" i="13" s="1"/>
  <c r="H691" i="13" a="1"/>
  <c r="H691" i="13" s="1"/>
  <c r="K691" i="13"/>
  <c r="L691" i="13"/>
  <c r="M691" i="13"/>
  <c r="N691" i="13"/>
  <c r="O691" i="13"/>
  <c r="P691" i="13"/>
  <c r="Q691" i="13"/>
  <c r="R691" i="13"/>
  <c r="S691" i="13"/>
  <c r="T691" i="13"/>
  <c r="U691" i="13"/>
  <c r="V691" i="13"/>
  <c r="W691" i="13"/>
  <c r="X691" i="13"/>
  <c r="D692" i="13" a="1"/>
  <c r="D692" i="13" s="1"/>
  <c r="G692" i="13" s="1"/>
  <c r="I692" i="13" s="1"/>
  <c r="K692" i="13"/>
  <c r="L692" i="13"/>
  <c r="M692" i="13"/>
  <c r="N692" i="13"/>
  <c r="O692" i="13"/>
  <c r="P692" i="13"/>
  <c r="Q692" i="13"/>
  <c r="R692" i="13"/>
  <c r="S692" i="13"/>
  <c r="T692" i="13"/>
  <c r="U692" i="13"/>
  <c r="V692" i="13"/>
  <c r="W692" i="13"/>
  <c r="X692" i="13"/>
  <c r="D693" i="13" a="1"/>
  <c r="D693" i="13" s="1"/>
  <c r="G693" i="13" s="1"/>
  <c r="I693" i="13" s="1"/>
  <c r="K693" i="13"/>
  <c r="L693" i="13"/>
  <c r="M693" i="13"/>
  <c r="N693" i="13"/>
  <c r="O693" i="13"/>
  <c r="P693" i="13"/>
  <c r="Q693" i="13"/>
  <c r="R693" i="13"/>
  <c r="S693" i="13"/>
  <c r="T693" i="13"/>
  <c r="U693" i="13"/>
  <c r="V693" i="13"/>
  <c r="W693" i="13"/>
  <c r="X693" i="13"/>
  <c r="D694" i="13" a="1"/>
  <c r="D694" i="13" s="1"/>
  <c r="G694" i="13" s="1"/>
  <c r="I694" i="13" s="1"/>
  <c r="H694" i="13" a="1"/>
  <c r="H694" i="13" s="1"/>
  <c r="K694" i="13"/>
  <c r="L694" i="13"/>
  <c r="M694" i="13"/>
  <c r="N694" i="13"/>
  <c r="O694" i="13"/>
  <c r="P694" i="13"/>
  <c r="Q694" i="13"/>
  <c r="R694" i="13"/>
  <c r="S694" i="13"/>
  <c r="T694" i="13"/>
  <c r="U694" i="13"/>
  <c r="V694" i="13"/>
  <c r="W694" i="13"/>
  <c r="X694" i="13"/>
  <c r="D695" i="13" a="1"/>
  <c r="D695" i="13" s="1"/>
  <c r="G695" i="13" s="1"/>
  <c r="I695" i="13" s="1"/>
  <c r="K695" i="13"/>
  <c r="L695" i="13"/>
  <c r="M695" i="13"/>
  <c r="N695" i="13"/>
  <c r="O695" i="13"/>
  <c r="P695" i="13"/>
  <c r="Q695" i="13"/>
  <c r="R695" i="13"/>
  <c r="S695" i="13"/>
  <c r="T695" i="13"/>
  <c r="U695" i="13"/>
  <c r="V695" i="13"/>
  <c r="W695" i="13"/>
  <c r="X695" i="13"/>
  <c r="D696" i="13" a="1"/>
  <c r="D696" i="13" s="1"/>
  <c r="G696" i="13" s="1"/>
  <c r="I696" i="13" s="1"/>
  <c r="K696" i="13"/>
  <c r="L696" i="13"/>
  <c r="M696" i="13"/>
  <c r="N696" i="13"/>
  <c r="O696" i="13"/>
  <c r="P696" i="13"/>
  <c r="Q696" i="13"/>
  <c r="R696" i="13"/>
  <c r="S696" i="13"/>
  <c r="T696" i="13"/>
  <c r="U696" i="13"/>
  <c r="V696" i="13"/>
  <c r="W696" i="13"/>
  <c r="X696" i="13"/>
  <c r="D697" i="13" a="1"/>
  <c r="D697" i="13" s="1"/>
  <c r="G697" i="13" s="1"/>
  <c r="I697" i="13" s="1"/>
  <c r="H697" i="13" a="1"/>
  <c r="H697" i="13" s="1"/>
  <c r="K697" i="13"/>
  <c r="L697" i="13"/>
  <c r="M697" i="13"/>
  <c r="N697" i="13"/>
  <c r="O697" i="13"/>
  <c r="P697" i="13"/>
  <c r="Q697" i="13"/>
  <c r="R697" i="13"/>
  <c r="S697" i="13"/>
  <c r="T697" i="13"/>
  <c r="U697" i="13"/>
  <c r="V697" i="13"/>
  <c r="W697" i="13"/>
  <c r="X697" i="13"/>
  <c r="D698" i="13" a="1"/>
  <c r="D698" i="13" s="1"/>
  <c r="G698" i="13" s="1"/>
  <c r="I698" i="13" s="1"/>
  <c r="H698" i="13" a="1"/>
  <c r="H698" i="13" s="1"/>
  <c r="K698" i="13"/>
  <c r="L698" i="13"/>
  <c r="M698" i="13"/>
  <c r="N698" i="13"/>
  <c r="O698" i="13"/>
  <c r="P698" i="13"/>
  <c r="Q698" i="13"/>
  <c r="R698" i="13"/>
  <c r="S698" i="13"/>
  <c r="T698" i="13"/>
  <c r="U698" i="13"/>
  <c r="V698" i="13"/>
  <c r="W698" i="13"/>
  <c r="X698" i="13"/>
  <c r="D699" i="13" a="1"/>
  <c r="D699" i="13" s="1"/>
  <c r="G699" i="13" s="1"/>
  <c r="I699" i="13" s="1"/>
  <c r="K699" i="13"/>
  <c r="L699" i="13"/>
  <c r="M699" i="13"/>
  <c r="N699" i="13"/>
  <c r="O699" i="13"/>
  <c r="P699" i="13"/>
  <c r="Q699" i="13"/>
  <c r="R699" i="13"/>
  <c r="S699" i="13"/>
  <c r="T699" i="13"/>
  <c r="U699" i="13"/>
  <c r="V699" i="13"/>
  <c r="W699" i="13"/>
  <c r="X699" i="13"/>
  <c r="D700" i="13" a="1"/>
  <c r="D700" i="13" s="1"/>
  <c r="G700" i="13" s="1"/>
  <c r="I700" i="13" s="1"/>
  <c r="H700" i="13" a="1"/>
  <c r="H700" i="13" s="1"/>
  <c r="K700" i="13"/>
  <c r="L700" i="13"/>
  <c r="M700" i="13"/>
  <c r="N700" i="13"/>
  <c r="O700" i="13"/>
  <c r="P700" i="13"/>
  <c r="Q700" i="13"/>
  <c r="R700" i="13"/>
  <c r="S700" i="13"/>
  <c r="T700" i="13"/>
  <c r="U700" i="13"/>
  <c r="V700" i="13"/>
  <c r="W700" i="13"/>
  <c r="X700" i="13"/>
  <c r="D701" i="13" a="1"/>
  <c r="D701" i="13" s="1"/>
  <c r="G701" i="13" s="1"/>
  <c r="I701" i="13" s="1"/>
  <c r="K701" i="13"/>
  <c r="L701" i="13"/>
  <c r="M701" i="13"/>
  <c r="N701" i="13"/>
  <c r="O701" i="13"/>
  <c r="P701" i="13"/>
  <c r="Q701" i="13"/>
  <c r="R701" i="13"/>
  <c r="S701" i="13"/>
  <c r="T701" i="13"/>
  <c r="U701" i="13"/>
  <c r="V701" i="13"/>
  <c r="W701" i="13"/>
  <c r="X701" i="13"/>
  <c r="D702" i="13" a="1"/>
  <c r="D702" i="13" s="1"/>
  <c r="G702" i="13" s="1"/>
  <c r="I702" i="13" s="1"/>
  <c r="H702" i="13" a="1"/>
  <c r="H702" i="13" s="1"/>
  <c r="K702" i="13"/>
  <c r="L702" i="13"/>
  <c r="M702" i="13"/>
  <c r="N702" i="13"/>
  <c r="O702" i="13"/>
  <c r="P702" i="13"/>
  <c r="Q702" i="13"/>
  <c r="R702" i="13"/>
  <c r="S702" i="13"/>
  <c r="T702" i="13"/>
  <c r="U702" i="13"/>
  <c r="V702" i="13"/>
  <c r="W702" i="13"/>
  <c r="X702" i="13"/>
  <c r="D703" i="13" a="1"/>
  <c r="D703" i="13" s="1"/>
  <c r="G703" i="13" s="1"/>
  <c r="I703" i="13" s="1"/>
  <c r="H703" i="13" a="1"/>
  <c r="H703" i="13" s="1"/>
  <c r="K703" i="13"/>
  <c r="L703" i="13"/>
  <c r="M703" i="13"/>
  <c r="N703" i="13"/>
  <c r="O703" i="13"/>
  <c r="P703" i="13"/>
  <c r="Q703" i="13"/>
  <c r="R703" i="13"/>
  <c r="S703" i="13"/>
  <c r="T703" i="13"/>
  <c r="U703" i="13"/>
  <c r="V703" i="13"/>
  <c r="W703" i="13"/>
  <c r="X703" i="13"/>
  <c r="D704" i="13" a="1"/>
  <c r="D704" i="13" s="1"/>
  <c r="G704" i="13" s="1"/>
  <c r="I704" i="13" s="1"/>
  <c r="H704" i="13" a="1"/>
  <c r="H704" i="13" s="1"/>
  <c r="K704" i="13"/>
  <c r="L704" i="13"/>
  <c r="M704" i="13"/>
  <c r="N704" i="13"/>
  <c r="O704" i="13"/>
  <c r="P704" i="13"/>
  <c r="Q704" i="13"/>
  <c r="R704" i="13"/>
  <c r="S704" i="13"/>
  <c r="T704" i="13"/>
  <c r="U704" i="13"/>
  <c r="V704" i="13"/>
  <c r="W704" i="13"/>
  <c r="X704" i="13"/>
  <c r="D705" i="13" a="1"/>
  <c r="D705" i="13" s="1"/>
  <c r="G705" i="13" s="1"/>
  <c r="I705" i="13" s="1"/>
  <c r="H705" i="13" a="1"/>
  <c r="H705" i="13" s="1"/>
  <c r="K705" i="13"/>
  <c r="L705" i="13"/>
  <c r="M705" i="13"/>
  <c r="N705" i="13"/>
  <c r="O705" i="13"/>
  <c r="P705" i="13"/>
  <c r="Q705" i="13"/>
  <c r="R705" i="13"/>
  <c r="S705" i="13"/>
  <c r="T705" i="13"/>
  <c r="U705" i="13"/>
  <c r="V705" i="13"/>
  <c r="W705" i="13"/>
  <c r="X705" i="13"/>
  <c r="D706" i="13" a="1"/>
  <c r="D706" i="13" s="1"/>
  <c r="G706" i="13" s="1"/>
  <c r="I706" i="13" s="1"/>
  <c r="K706" i="13"/>
  <c r="L706" i="13"/>
  <c r="M706" i="13"/>
  <c r="N706" i="13"/>
  <c r="O706" i="13"/>
  <c r="P706" i="13"/>
  <c r="Q706" i="13"/>
  <c r="R706" i="13"/>
  <c r="S706" i="13"/>
  <c r="T706" i="13"/>
  <c r="U706" i="13"/>
  <c r="V706" i="13"/>
  <c r="W706" i="13"/>
  <c r="X706" i="13"/>
  <c r="D707" i="13" a="1"/>
  <c r="D707" i="13" s="1"/>
  <c r="G707" i="13" s="1"/>
  <c r="I707" i="13" s="1"/>
  <c r="K707" i="13"/>
  <c r="L707" i="13"/>
  <c r="M707" i="13"/>
  <c r="N707" i="13"/>
  <c r="O707" i="13"/>
  <c r="P707" i="13"/>
  <c r="Q707" i="13"/>
  <c r="R707" i="13"/>
  <c r="S707" i="13"/>
  <c r="T707" i="13"/>
  <c r="U707" i="13"/>
  <c r="V707" i="13"/>
  <c r="W707" i="13"/>
  <c r="X707" i="13"/>
  <c r="D708" i="13" a="1"/>
  <c r="D708" i="13" s="1"/>
  <c r="G708" i="13" s="1"/>
  <c r="I708" i="13" s="1"/>
  <c r="K708" i="13"/>
  <c r="L708" i="13"/>
  <c r="M708" i="13"/>
  <c r="N708" i="13"/>
  <c r="O708" i="13"/>
  <c r="P708" i="13"/>
  <c r="Q708" i="13"/>
  <c r="R708" i="13"/>
  <c r="S708" i="13"/>
  <c r="T708" i="13"/>
  <c r="U708" i="13"/>
  <c r="V708" i="13"/>
  <c r="W708" i="13"/>
  <c r="X708" i="13"/>
  <c r="D709" i="13" a="1"/>
  <c r="D709" i="13" s="1"/>
  <c r="G709" i="13" s="1"/>
  <c r="I709" i="13" s="1"/>
  <c r="K709" i="13"/>
  <c r="L709" i="13"/>
  <c r="M709" i="13"/>
  <c r="N709" i="13"/>
  <c r="O709" i="13"/>
  <c r="P709" i="13"/>
  <c r="Q709" i="13"/>
  <c r="R709" i="13"/>
  <c r="S709" i="13"/>
  <c r="T709" i="13"/>
  <c r="U709" i="13"/>
  <c r="V709" i="13"/>
  <c r="W709" i="13"/>
  <c r="X709" i="13"/>
  <c r="D710" i="13" a="1"/>
  <c r="D710" i="13" s="1"/>
  <c r="G710" i="13" s="1"/>
  <c r="I710" i="13" s="1"/>
  <c r="K710" i="13"/>
  <c r="L710" i="13"/>
  <c r="M710" i="13"/>
  <c r="N710" i="13"/>
  <c r="O710" i="13"/>
  <c r="P710" i="13"/>
  <c r="Q710" i="13"/>
  <c r="R710" i="13"/>
  <c r="S710" i="13"/>
  <c r="T710" i="13"/>
  <c r="U710" i="13"/>
  <c r="V710" i="13"/>
  <c r="W710" i="13"/>
  <c r="X710" i="13"/>
  <c r="D711" i="13" a="1"/>
  <c r="D711" i="13" s="1"/>
  <c r="G711" i="13" s="1"/>
  <c r="I711" i="13" s="1"/>
  <c r="K711" i="13"/>
  <c r="L711" i="13"/>
  <c r="M711" i="13"/>
  <c r="N711" i="13"/>
  <c r="O711" i="13"/>
  <c r="P711" i="13"/>
  <c r="Q711" i="13"/>
  <c r="R711" i="13"/>
  <c r="S711" i="13"/>
  <c r="T711" i="13"/>
  <c r="U711" i="13"/>
  <c r="V711" i="13"/>
  <c r="W711" i="13"/>
  <c r="X711" i="13"/>
  <c r="D712" i="13" a="1"/>
  <c r="D712" i="13" s="1"/>
  <c r="G712" i="13" s="1"/>
  <c r="I712" i="13" s="1"/>
  <c r="K712" i="13"/>
  <c r="L712" i="13"/>
  <c r="M712" i="13"/>
  <c r="N712" i="13"/>
  <c r="O712" i="13"/>
  <c r="P712" i="13"/>
  <c r="Q712" i="13"/>
  <c r="R712" i="13"/>
  <c r="S712" i="13"/>
  <c r="T712" i="13"/>
  <c r="U712" i="13"/>
  <c r="V712" i="13"/>
  <c r="W712" i="13"/>
  <c r="X712" i="13"/>
  <c r="D713" i="13" a="1"/>
  <c r="D713" i="13" s="1"/>
  <c r="G713" i="13" s="1"/>
  <c r="I713" i="13" s="1"/>
  <c r="K713" i="13"/>
  <c r="L713" i="13"/>
  <c r="M713" i="13"/>
  <c r="N713" i="13"/>
  <c r="O713" i="13"/>
  <c r="P713" i="13"/>
  <c r="Q713" i="13"/>
  <c r="R713" i="13"/>
  <c r="S713" i="13"/>
  <c r="T713" i="13"/>
  <c r="U713" i="13"/>
  <c r="V713" i="13"/>
  <c r="W713" i="13"/>
  <c r="X713" i="13"/>
  <c r="D714" i="13" a="1"/>
  <c r="D714" i="13" s="1"/>
  <c r="G714" i="13" s="1"/>
  <c r="I714" i="13" s="1"/>
  <c r="K714" i="13"/>
  <c r="L714" i="13"/>
  <c r="M714" i="13"/>
  <c r="N714" i="13"/>
  <c r="O714" i="13"/>
  <c r="P714" i="13"/>
  <c r="Q714" i="13"/>
  <c r="R714" i="13"/>
  <c r="S714" i="13"/>
  <c r="T714" i="13"/>
  <c r="U714" i="13"/>
  <c r="V714" i="13"/>
  <c r="W714" i="13"/>
  <c r="X714" i="13"/>
  <c r="D715" i="13" a="1"/>
  <c r="D715" i="13" s="1"/>
  <c r="G715" i="13" s="1"/>
  <c r="I715" i="13" s="1"/>
  <c r="K715" i="13"/>
  <c r="L715" i="13"/>
  <c r="M715" i="13"/>
  <c r="N715" i="13"/>
  <c r="O715" i="13"/>
  <c r="P715" i="13"/>
  <c r="Q715" i="13"/>
  <c r="R715" i="13"/>
  <c r="S715" i="13"/>
  <c r="T715" i="13"/>
  <c r="U715" i="13"/>
  <c r="V715" i="13"/>
  <c r="W715" i="13"/>
  <c r="X715" i="13"/>
  <c r="D716" i="13" a="1"/>
  <c r="D716" i="13" s="1"/>
  <c r="G716" i="13" s="1"/>
  <c r="I716" i="13" s="1"/>
  <c r="K716" i="13"/>
  <c r="L716" i="13"/>
  <c r="M716" i="13"/>
  <c r="N716" i="13"/>
  <c r="O716" i="13"/>
  <c r="P716" i="13"/>
  <c r="Q716" i="13"/>
  <c r="R716" i="13"/>
  <c r="S716" i="13"/>
  <c r="T716" i="13"/>
  <c r="U716" i="13"/>
  <c r="V716" i="13"/>
  <c r="W716" i="13"/>
  <c r="X716" i="13"/>
  <c r="D717" i="13" a="1"/>
  <c r="D717" i="13" s="1"/>
  <c r="G717" i="13" s="1"/>
  <c r="I717" i="13" s="1"/>
  <c r="K717" i="13"/>
  <c r="L717" i="13"/>
  <c r="M717" i="13"/>
  <c r="N717" i="13"/>
  <c r="O717" i="13"/>
  <c r="P717" i="13"/>
  <c r="Q717" i="13"/>
  <c r="R717" i="13"/>
  <c r="S717" i="13"/>
  <c r="T717" i="13"/>
  <c r="U717" i="13"/>
  <c r="V717" i="13"/>
  <c r="W717" i="13"/>
  <c r="X717" i="13"/>
  <c r="D718" i="13" a="1"/>
  <c r="D718" i="13" s="1"/>
  <c r="G718" i="13" s="1"/>
  <c r="I718" i="13" s="1"/>
  <c r="K718" i="13"/>
  <c r="L718" i="13"/>
  <c r="M718" i="13"/>
  <c r="N718" i="13"/>
  <c r="O718" i="13"/>
  <c r="P718" i="13"/>
  <c r="Q718" i="13"/>
  <c r="R718" i="13"/>
  <c r="S718" i="13"/>
  <c r="T718" i="13"/>
  <c r="U718" i="13"/>
  <c r="V718" i="13"/>
  <c r="W718" i="13"/>
  <c r="X718" i="13"/>
  <c r="D719" i="13" a="1"/>
  <c r="D719" i="13" s="1"/>
  <c r="G719" i="13" s="1"/>
  <c r="I719" i="13" s="1"/>
  <c r="K719" i="13"/>
  <c r="L719" i="13"/>
  <c r="M719" i="13"/>
  <c r="N719" i="13"/>
  <c r="O719" i="13"/>
  <c r="P719" i="13"/>
  <c r="Q719" i="13"/>
  <c r="R719" i="13"/>
  <c r="S719" i="13"/>
  <c r="T719" i="13"/>
  <c r="U719" i="13"/>
  <c r="V719" i="13"/>
  <c r="W719" i="13"/>
  <c r="X719" i="13"/>
  <c r="D720" i="13" a="1"/>
  <c r="D720" i="13" s="1"/>
  <c r="G720" i="13" s="1"/>
  <c r="I720" i="13" s="1"/>
  <c r="K720" i="13"/>
  <c r="L720" i="13"/>
  <c r="M720" i="13"/>
  <c r="N720" i="13"/>
  <c r="O720" i="13"/>
  <c r="P720" i="13"/>
  <c r="Q720" i="13"/>
  <c r="R720" i="13"/>
  <c r="S720" i="13"/>
  <c r="T720" i="13"/>
  <c r="U720" i="13"/>
  <c r="V720" i="13"/>
  <c r="W720" i="13"/>
  <c r="X720" i="13"/>
  <c r="D721" i="13" a="1"/>
  <c r="D721" i="13" s="1"/>
  <c r="G721" i="13" s="1"/>
  <c r="I721" i="13" s="1"/>
  <c r="K721" i="13"/>
  <c r="L721" i="13"/>
  <c r="M721" i="13"/>
  <c r="N721" i="13"/>
  <c r="O721" i="13"/>
  <c r="P721" i="13"/>
  <c r="Q721" i="13"/>
  <c r="R721" i="13"/>
  <c r="S721" i="13"/>
  <c r="T721" i="13"/>
  <c r="U721" i="13"/>
  <c r="V721" i="13"/>
  <c r="W721" i="13"/>
  <c r="X721" i="13"/>
  <c r="D722" i="13" a="1"/>
  <c r="D722" i="13" s="1"/>
  <c r="G722" i="13" s="1"/>
  <c r="I722" i="13" s="1"/>
  <c r="K722" i="13"/>
  <c r="L722" i="13"/>
  <c r="M722" i="13"/>
  <c r="N722" i="13"/>
  <c r="O722" i="13"/>
  <c r="P722" i="13"/>
  <c r="Q722" i="13"/>
  <c r="R722" i="13"/>
  <c r="S722" i="13"/>
  <c r="T722" i="13"/>
  <c r="U722" i="13"/>
  <c r="V722" i="13"/>
  <c r="W722" i="13"/>
  <c r="X722" i="13"/>
  <c r="D723" i="13" a="1"/>
  <c r="D723" i="13" s="1"/>
  <c r="G723" i="13" s="1"/>
  <c r="I723" i="13" s="1"/>
  <c r="K723" i="13"/>
  <c r="L723" i="13"/>
  <c r="M723" i="13"/>
  <c r="N723" i="13"/>
  <c r="O723" i="13"/>
  <c r="P723" i="13"/>
  <c r="Q723" i="13"/>
  <c r="R723" i="13"/>
  <c r="S723" i="13"/>
  <c r="T723" i="13"/>
  <c r="U723" i="13"/>
  <c r="V723" i="13"/>
  <c r="W723" i="13"/>
  <c r="X723" i="13"/>
  <c r="D724" i="13" a="1"/>
  <c r="D724" i="13" s="1"/>
  <c r="G724" i="13" s="1"/>
  <c r="I724" i="13" s="1"/>
  <c r="K724" i="13"/>
  <c r="L724" i="13"/>
  <c r="M724" i="13"/>
  <c r="N724" i="13"/>
  <c r="O724" i="13"/>
  <c r="P724" i="13"/>
  <c r="Q724" i="13"/>
  <c r="R724" i="13"/>
  <c r="S724" i="13"/>
  <c r="T724" i="13"/>
  <c r="U724" i="13"/>
  <c r="V724" i="13"/>
  <c r="W724" i="13"/>
  <c r="X724" i="13"/>
  <c r="O774" i="10"/>
  <c r="O775" i="10"/>
  <c r="O776" i="10"/>
  <c r="O777" i="10"/>
  <c r="O778" i="10"/>
  <c r="O779" i="10"/>
  <c r="O780" i="10"/>
  <c r="O781" i="10"/>
  <c r="O782" i="10"/>
  <c r="O783" i="10"/>
  <c r="O784" i="10"/>
  <c r="O785" i="10"/>
  <c r="O786" i="10"/>
  <c r="O787" i="10"/>
  <c r="O788" i="10"/>
  <c r="O789" i="10"/>
  <c r="O790" i="10"/>
  <c r="O791" i="10"/>
  <c r="O792" i="10"/>
  <c r="O793" i="10"/>
  <c r="O794" i="10"/>
  <c r="O795" i="10"/>
  <c r="O796" i="10"/>
  <c r="O797" i="10"/>
  <c r="O798" i="10"/>
  <c r="O799" i="10"/>
  <c r="O800" i="10"/>
  <c r="O801" i="10"/>
  <c r="O802" i="10"/>
  <c r="O803" i="10"/>
  <c r="O804" i="10"/>
  <c r="O805" i="10"/>
  <c r="O806" i="10"/>
  <c r="O807" i="10"/>
  <c r="O808" i="10"/>
  <c r="O809" i="10"/>
  <c r="O810" i="10"/>
  <c r="O811" i="10"/>
  <c r="O812" i="10"/>
  <c r="O813" i="10"/>
  <c r="O814" i="10"/>
  <c r="O815" i="10"/>
  <c r="O816" i="10"/>
  <c r="O817" i="10"/>
  <c r="O818" i="10"/>
  <c r="O819" i="10"/>
  <c r="O820" i="10"/>
  <c r="O821" i="10"/>
  <c r="O822" i="10"/>
  <c r="O823" i="10"/>
  <c r="O824" i="10"/>
  <c r="O825" i="10"/>
  <c r="O826" i="10"/>
  <c r="O827" i="10"/>
  <c r="O828" i="10"/>
  <c r="O829" i="10"/>
  <c r="O830" i="10"/>
  <c r="O831" i="10"/>
  <c r="O832" i="10"/>
  <c r="O833" i="10"/>
  <c r="O834" i="10"/>
  <c r="O835" i="10"/>
  <c r="O836" i="10"/>
  <c r="O837" i="10"/>
  <c r="O838" i="10"/>
  <c r="O839" i="10"/>
  <c r="O840" i="10"/>
  <c r="O841" i="10"/>
  <c r="O842" i="10"/>
  <c r="O843" i="10"/>
  <c r="O844" i="10"/>
  <c r="O845" i="10"/>
  <c r="O846" i="10"/>
  <c r="O847" i="10"/>
  <c r="O848" i="10"/>
  <c r="O849" i="10"/>
  <c r="O850" i="10"/>
  <c r="O851" i="10"/>
  <c r="O852" i="10"/>
  <c r="O853" i="10"/>
  <c r="O854" i="10"/>
  <c r="O855" i="10"/>
  <c r="O856" i="10"/>
  <c r="O857" i="10"/>
  <c r="O858" i="10"/>
  <c r="O859" i="10"/>
  <c r="O860" i="10"/>
  <c r="O861" i="10"/>
  <c r="O862" i="10"/>
  <c r="O863" i="10"/>
  <c r="O864" i="10"/>
  <c r="O865" i="10"/>
  <c r="O866" i="10"/>
  <c r="O867" i="10"/>
  <c r="O868" i="10"/>
  <c r="O869" i="10"/>
  <c r="O870" i="10"/>
  <c r="O871" i="10"/>
  <c r="O872" i="10"/>
  <c r="O873" i="10"/>
  <c r="O874" i="10"/>
  <c r="O875" i="10"/>
  <c r="O876" i="10"/>
  <c r="O877" i="10"/>
  <c r="O878" i="10"/>
  <c r="O879" i="10"/>
  <c r="O880" i="10"/>
  <c r="O881" i="10"/>
  <c r="O882" i="10"/>
  <c r="O883" i="10"/>
  <c r="O884" i="10"/>
  <c r="O885" i="10"/>
  <c r="O886" i="10"/>
  <c r="O887" i="10"/>
  <c r="O888" i="10"/>
  <c r="O889" i="10"/>
  <c r="O890" i="10"/>
  <c r="O891" i="10"/>
  <c r="O892" i="10"/>
  <c r="O893" i="10"/>
  <c r="O894" i="10"/>
  <c r="O895" i="10"/>
  <c r="O896" i="10"/>
  <c r="O897" i="10"/>
  <c r="O898" i="10"/>
  <c r="O899" i="10"/>
  <c r="O900" i="10"/>
  <c r="O901" i="10"/>
  <c r="O902" i="10"/>
  <c r="O903" i="10"/>
  <c r="O904" i="10"/>
  <c r="O905" i="10"/>
  <c r="O906" i="10"/>
  <c r="O907" i="10"/>
  <c r="O908" i="10"/>
  <c r="O909" i="10"/>
  <c r="O910" i="10"/>
  <c r="O911" i="10"/>
  <c r="O912" i="10"/>
  <c r="O913" i="10"/>
  <c r="O914" i="10"/>
  <c r="O915" i="10"/>
  <c r="O916" i="10"/>
  <c r="O917" i="10"/>
  <c r="O918" i="10"/>
  <c r="O919" i="10"/>
  <c r="O920" i="10"/>
  <c r="O921" i="10"/>
  <c r="O922" i="10"/>
  <c r="O923" i="10"/>
  <c r="O924" i="10"/>
  <c r="O925" i="10"/>
  <c r="O926" i="10"/>
  <c r="O927" i="10"/>
  <c r="O928" i="10"/>
  <c r="O929" i="10"/>
  <c r="O930" i="10"/>
  <c r="O931" i="10"/>
  <c r="O932" i="10"/>
  <c r="O933" i="10"/>
  <c r="O934" i="10"/>
  <c r="O935" i="10"/>
  <c r="O936" i="10"/>
  <c r="O937" i="10"/>
  <c r="O938" i="10"/>
  <c r="O939" i="10"/>
  <c r="O940" i="10"/>
  <c r="O941" i="10"/>
  <c r="O942" i="10"/>
  <c r="O943" i="10"/>
  <c r="O944" i="10"/>
  <c r="O945" i="10"/>
  <c r="O946" i="10"/>
  <c r="O947" i="10"/>
  <c r="O948" i="10"/>
  <c r="O949" i="10"/>
  <c r="O950" i="10"/>
  <c r="O951" i="10"/>
  <c r="O952" i="10"/>
  <c r="O953" i="10"/>
  <c r="O954" i="10"/>
  <c r="O955" i="10"/>
  <c r="O956" i="10"/>
  <c r="O957" i="10"/>
  <c r="O958" i="10"/>
  <c r="O959" i="10"/>
  <c r="O960" i="10"/>
  <c r="O961" i="10"/>
  <c r="O962" i="10"/>
  <c r="O963" i="10"/>
  <c r="O964" i="10"/>
  <c r="O965" i="10"/>
  <c r="O966" i="10"/>
  <c r="O967" i="10"/>
  <c r="O968" i="10"/>
  <c r="O969" i="10"/>
  <c r="O970" i="10"/>
  <c r="O971" i="10"/>
  <c r="O972" i="10"/>
  <c r="O973" i="10"/>
  <c r="O974" i="10"/>
  <c r="O975" i="10"/>
  <c r="O976" i="10"/>
  <c r="O977" i="10"/>
  <c r="O978" i="10"/>
  <c r="O979" i="10"/>
  <c r="O980" i="10"/>
  <c r="O981" i="10"/>
  <c r="O982" i="10"/>
  <c r="O983" i="10"/>
  <c r="O984" i="10"/>
  <c r="O985" i="10"/>
  <c r="O986" i="10"/>
  <c r="O987" i="10"/>
  <c r="O988" i="10"/>
  <c r="O989" i="10"/>
  <c r="O990" i="10"/>
  <c r="O991" i="10"/>
  <c r="O992" i="10"/>
  <c r="O993" i="10"/>
  <c r="O994" i="10"/>
  <c r="O995" i="10"/>
  <c r="O996" i="10"/>
  <c r="O997" i="10"/>
  <c r="O998" i="10"/>
  <c r="O999" i="10"/>
  <c r="O1000" i="10"/>
  <c r="O1001" i="10"/>
  <c r="O1002" i="10"/>
  <c r="O1003" i="10"/>
  <c r="O1004" i="10"/>
  <c r="O1005" i="10"/>
  <c r="O1006" i="10"/>
  <c r="O1007" i="10"/>
  <c r="O1008" i="10"/>
  <c r="O1009" i="10"/>
  <c r="O1010" i="10"/>
  <c r="O1011" i="10"/>
  <c r="O1012" i="10"/>
  <c r="O1013" i="10"/>
  <c r="O1014" i="10"/>
  <c r="O1015" i="10"/>
  <c r="O1016" i="10"/>
  <c r="O1017" i="10"/>
  <c r="O1018" i="10"/>
  <c r="O1019" i="10"/>
  <c r="O1020" i="10"/>
  <c r="O1021" i="10"/>
  <c r="O1022" i="10"/>
  <c r="O1023" i="10"/>
  <c r="O1024" i="10"/>
  <c r="O1025" i="10"/>
  <c r="O1026" i="10"/>
  <c r="O1027" i="10"/>
  <c r="O1028" i="10"/>
  <c r="O1029" i="10"/>
  <c r="O1030" i="10"/>
  <c r="O1031" i="10"/>
  <c r="O1032" i="10"/>
  <c r="O1033" i="10"/>
  <c r="O1034" i="10"/>
  <c r="O1035" i="10"/>
  <c r="O1036" i="10"/>
  <c r="O1037" i="10"/>
  <c r="O1038" i="10"/>
  <c r="O1039" i="10"/>
  <c r="O1040" i="10"/>
  <c r="O1041" i="10"/>
  <c r="O1042" i="10"/>
  <c r="O1043" i="10"/>
  <c r="O1044" i="10"/>
  <c r="O1045" i="10"/>
  <c r="O1046" i="10"/>
  <c r="O1047" i="10"/>
  <c r="O1048" i="10"/>
  <c r="O1049" i="10"/>
  <c r="O1050" i="10"/>
  <c r="O1051" i="10"/>
  <c r="O1052" i="10"/>
  <c r="O1053" i="10"/>
  <c r="O1054" i="10"/>
  <c r="O1055" i="10"/>
  <c r="O1056" i="10"/>
  <c r="O1057" i="10"/>
  <c r="O1058" i="10"/>
  <c r="O1059" i="10"/>
  <c r="O1060" i="10"/>
  <c r="O1061" i="10"/>
  <c r="O1062" i="10"/>
  <c r="O1063" i="10"/>
  <c r="O1064" i="10"/>
  <c r="O1065" i="10"/>
  <c r="O1066" i="10"/>
  <c r="O1067" i="10"/>
  <c r="O1068" i="10"/>
  <c r="O1069" i="10"/>
  <c r="O1070" i="10"/>
  <c r="O1071" i="10"/>
  <c r="O1072" i="10"/>
  <c r="O1073" i="10"/>
  <c r="O1074" i="10"/>
  <c r="O1075" i="10"/>
  <c r="O1076" i="10"/>
  <c r="O1077" i="10"/>
  <c r="O1078" i="10"/>
  <c r="O1079" i="10"/>
  <c r="O1080" i="10"/>
  <c r="O1081" i="10"/>
  <c r="O1082" i="10"/>
  <c r="O1083" i="10"/>
  <c r="O1084" i="10"/>
  <c r="O1085" i="10"/>
  <c r="O1086" i="10"/>
  <c r="O1087" i="10"/>
  <c r="O1088" i="10"/>
  <c r="O1089" i="10"/>
  <c r="O1090" i="10"/>
  <c r="O1091" i="10"/>
  <c r="O1092" i="10"/>
  <c r="O1093" i="10"/>
  <c r="O1094" i="10"/>
  <c r="O1095" i="10"/>
  <c r="O1096" i="10"/>
  <c r="O1097" i="10"/>
  <c r="O1098" i="10"/>
  <c r="O1099" i="10"/>
  <c r="O1100" i="10"/>
  <c r="O1101" i="10"/>
  <c r="O1102" i="10"/>
  <c r="O1103" i="10"/>
  <c r="O1104" i="10"/>
  <c r="O1105" i="10"/>
  <c r="O1106" i="10"/>
  <c r="O1107" i="10"/>
  <c r="O1108" i="10"/>
  <c r="O1109" i="10"/>
  <c r="O1110" i="10"/>
  <c r="O1111" i="10"/>
  <c r="O1112" i="10"/>
  <c r="O1113" i="10"/>
  <c r="O1114" i="10"/>
  <c r="O1115" i="10"/>
  <c r="O1116" i="10"/>
  <c r="O1117" i="10"/>
  <c r="O1118" i="10"/>
  <c r="O1119" i="10"/>
  <c r="O1120" i="10"/>
  <c r="O1121" i="10"/>
  <c r="O1122" i="10"/>
  <c r="O1123" i="10"/>
  <c r="O1124" i="10"/>
  <c r="O1125" i="10"/>
  <c r="O1126" i="10"/>
  <c r="O1127" i="10"/>
  <c r="O1128" i="10"/>
  <c r="O1129" i="10"/>
  <c r="O1130" i="10"/>
  <c r="O1131" i="10"/>
  <c r="O1132" i="10"/>
  <c r="O1133" i="10"/>
  <c r="O1134" i="10"/>
  <c r="O1135" i="10"/>
  <c r="O1136" i="10"/>
  <c r="O1137" i="10"/>
  <c r="O1138" i="10"/>
  <c r="O1139" i="10"/>
  <c r="O1140" i="10"/>
  <c r="O1141" i="10"/>
  <c r="O1142" i="10"/>
  <c r="O1143" i="10"/>
  <c r="O1144" i="10"/>
  <c r="O1145" i="10"/>
  <c r="O1146" i="10"/>
  <c r="O1147" i="10"/>
  <c r="O1148" i="10"/>
  <c r="O1149" i="10"/>
  <c r="O1150" i="10"/>
  <c r="O1151" i="10"/>
  <c r="O1152" i="10"/>
  <c r="O1153" i="10"/>
  <c r="O1154" i="10"/>
  <c r="O1155" i="10"/>
  <c r="O1156" i="10"/>
  <c r="O1157" i="10"/>
  <c r="O1158" i="10"/>
  <c r="O1159" i="10"/>
  <c r="O1160" i="10"/>
  <c r="O1161" i="10"/>
  <c r="O1162" i="10"/>
  <c r="O1163" i="10"/>
  <c r="O1164" i="10"/>
  <c r="O1165" i="10"/>
  <c r="O1166" i="10"/>
  <c r="O1167" i="10"/>
  <c r="O1168" i="10"/>
  <c r="O1169" i="10"/>
  <c r="O1170" i="10"/>
  <c r="O1171" i="10"/>
  <c r="O1172" i="10"/>
  <c r="O1173" i="10"/>
  <c r="O1174" i="10"/>
  <c r="O1175" i="10"/>
  <c r="O1176" i="10"/>
  <c r="O1177" i="10"/>
  <c r="O1178" i="10"/>
  <c r="O1179" i="10"/>
  <c r="O1180" i="10"/>
  <c r="O1181" i="10"/>
  <c r="O1182" i="10"/>
  <c r="O1183" i="10"/>
  <c r="O1184" i="10"/>
  <c r="O1185" i="10"/>
  <c r="O1186" i="10"/>
  <c r="O1187" i="10"/>
  <c r="O1188" i="10"/>
  <c r="O1189" i="10"/>
  <c r="O1190" i="10"/>
  <c r="O1191" i="10"/>
  <c r="O1192" i="10"/>
  <c r="O1193" i="10"/>
  <c r="O1194" i="10"/>
  <c r="O1195" i="10"/>
  <c r="O1196" i="10"/>
  <c r="O1197" i="10"/>
  <c r="O1198" i="10"/>
  <c r="O1199" i="10"/>
  <c r="O1200" i="10"/>
  <c r="O1201" i="10"/>
  <c r="O1202" i="10"/>
  <c r="O1203" i="10"/>
  <c r="O1204" i="10"/>
  <c r="O1205" i="10"/>
  <c r="O1206" i="10"/>
  <c r="O1207" i="10"/>
  <c r="O1208" i="10"/>
  <c r="O1209" i="10"/>
  <c r="O1210" i="10"/>
  <c r="O1211" i="10"/>
  <c r="O1212" i="10"/>
  <c r="O1213" i="10"/>
  <c r="O1214" i="10"/>
  <c r="O1215" i="10"/>
  <c r="O1216" i="10"/>
  <c r="O1217" i="10"/>
  <c r="O1218" i="10"/>
  <c r="O1219" i="10"/>
  <c r="O1220" i="10"/>
  <c r="O1221" i="10"/>
  <c r="O1222" i="10"/>
  <c r="O1223" i="10"/>
  <c r="O1224" i="10"/>
  <c r="O1225" i="10"/>
  <c r="O1226" i="10"/>
  <c r="O1227" i="10"/>
  <c r="O1228" i="10"/>
  <c r="O1229" i="10"/>
  <c r="O1230" i="10"/>
  <c r="O1231" i="10"/>
  <c r="O1232" i="10"/>
  <c r="O1233" i="10"/>
  <c r="O1234" i="10"/>
  <c r="O1235" i="10"/>
  <c r="O1236" i="10"/>
  <c r="O1237" i="10"/>
  <c r="O1238" i="10"/>
  <c r="O1239" i="10"/>
  <c r="O1240" i="10"/>
  <c r="O1241" i="10"/>
  <c r="O1242" i="10"/>
  <c r="O1243" i="10"/>
  <c r="O1244" i="10"/>
  <c r="O1245" i="10"/>
  <c r="O1246" i="10"/>
  <c r="O1247" i="10"/>
  <c r="O1248" i="10"/>
  <c r="O1249" i="10"/>
  <c r="O1250" i="10"/>
  <c r="O1251" i="10"/>
  <c r="O1252" i="10"/>
  <c r="O1253" i="10"/>
  <c r="O1254" i="10"/>
  <c r="O1255" i="10"/>
  <c r="O1256" i="10"/>
  <c r="O1257" i="10"/>
  <c r="O1258" i="10"/>
  <c r="O1259" i="10"/>
  <c r="O1260" i="10"/>
  <c r="O1261" i="10"/>
  <c r="O1262" i="10"/>
  <c r="O1263" i="10"/>
  <c r="O1264" i="10"/>
  <c r="O1265" i="10"/>
  <c r="O1266" i="10"/>
  <c r="O1267" i="10"/>
  <c r="O1268" i="10"/>
  <c r="O1269" i="10"/>
  <c r="O1270" i="10"/>
  <c r="O1271" i="10"/>
  <c r="O1272" i="10"/>
  <c r="O1273" i="10"/>
  <c r="O1274" i="10"/>
  <c r="O1275" i="10"/>
  <c r="O1276" i="10"/>
  <c r="O1277" i="10"/>
  <c r="O1278" i="10"/>
  <c r="O1279" i="10"/>
  <c r="O1280" i="10"/>
  <c r="O1281" i="10"/>
  <c r="O1282" i="10"/>
  <c r="O1283" i="10"/>
  <c r="O1284" i="10"/>
  <c r="O1285" i="10"/>
  <c r="O1286" i="10"/>
  <c r="O1287" i="10"/>
  <c r="O1288" i="10"/>
  <c r="O1289" i="10"/>
  <c r="O1290" i="10"/>
  <c r="O1291" i="10"/>
  <c r="O1292" i="10"/>
  <c r="O1293" i="10"/>
  <c r="O1294" i="10"/>
  <c r="O1295" i="10"/>
  <c r="O1296" i="10"/>
  <c r="O1297" i="10"/>
  <c r="O1298" i="10"/>
  <c r="O1299" i="10"/>
  <c r="O1300" i="10"/>
  <c r="O1301" i="10"/>
  <c r="O1302" i="10"/>
  <c r="O1303" i="10"/>
  <c r="O1304" i="10"/>
  <c r="O1305" i="10"/>
  <c r="O1306" i="10"/>
  <c r="O1307" i="10"/>
  <c r="O1308" i="10"/>
  <c r="O1309" i="10"/>
  <c r="O1310" i="10"/>
  <c r="O1311" i="10"/>
  <c r="O1312" i="10"/>
  <c r="O1313" i="10"/>
  <c r="O1314" i="10"/>
  <c r="O1315" i="10"/>
  <c r="O1316" i="10"/>
  <c r="O1317" i="10"/>
  <c r="O1318" i="10"/>
  <c r="O1319" i="10"/>
  <c r="O1320" i="10"/>
  <c r="O1321" i="10"/>
  <c r="O1322" i="10"/>
  <c r="O1323" i="10"/>
  <c r="O1324" i="10"/>
  <c r="O1325" i="10"/>
  <c r="O1326" i="10"/>
  <c r="O1327" i="10"/>
  <c r="O1328" i="10"/>
  <c r="O1329" i="10"/>
  <c r="O1330" i="10"/>
  <c r="O1331" i="10"/>
  <c r="O1332" i="10"/>
  <c r="O1333" i="10"/>
  <c r="O1334" i="10"/>
  <c r="O1335" i="10"/>
  <c r="O1336" i="10"/>
  <c r="O1337" i="10"/>
  <c r="O1338" i="10"/>
  <c r="O1339" i="10"/>
  <c r="O1340" i="10"/>
  <c r="O1341" i="10"/>
  <c r="O1342" i="10"/>
  <c r="O1343" i="10"/>
  <c r="O1344" i="10"/>
  <c r="O1345" i="10"/>
  <c r="O1346" i="10"/>
  <c r="O1347" i="10"/>
  <c r="O1348" i="10"/>
  <c r="O1349" i="10"/>
  <c r="O1350" i="10"/>
  <c r="O1351" i="10"/>
  <c r="O1352" i="10"/>
  <c r="O1353" i="10"/>
  <c r="O1354" i="10"/>
  <c r="O1355" i="10"/>
  <c r="O1356" i="10"/>
  <c r="O1357" i="10"/>
  <c r="O1358" i="10"/>
  <c r="O1359" i="10"/>
  <c r="O1360" i="10"/>
  <c r="O1361" i="10"/>
  <c r="O1362" i="10"/>
  <c r="O1363" i="10"/>
  <c r="O1364" i="10"/>
  <c r="O1365" i="10"/>
  <c r="O1366" i="10"/>
  <c r="O1367" i="10"/>
  <c r="O1368" i="10"/>
  <c r="O1369" i="10"/>
  <c r="O1370" i="10"/>
  <c r="O1371" i="10"/>
  <c r="O1372" i="10"/>
  <c r="O1373" i="10"/>
  <c r="O1374" i="10"/>
  <c r="O1375" i="10"/>
  <c r="O1376" i="10"/>
  <c r="O1377" i="10"/>
  <c r="O1378" i="10"/>
  <c r="O1379" i="10"/>
  <c r="O1380" i="10"/>
  <c r="O1381" i="10"/>
  <c r="O1382" i="10"/>
  <c r="O1383" i="10"/>
  <c r="O1384" i="10"/>
  <c r="O1385" i="10"/>
  <c r="O1386" i="10"/>
  <c r="O1387" i="10"/>
  <c r="O1388" i="10"/>
  <c r="O1389" i="10"/>
  <c r="O1390" i="10"/>
  <c r="O1391" i="10"/>
  <c r="O1392" i="10"/>
  <c r="O1393" i="10"/>
  <c r="O1394" i="10"/>
  <c r="O1395" i="10"/>
  <c r="O1396" i="10"/>
  <c r="O1397" i="10"/>
  <c r="O1398" i="10"/>
  <c r="O1399" i="10"/>
  <c r="O1400" i="10"/>
  <c r="O1401" i="10"/>
  <c r="O1402" i="10"/>
  <c r="O1403" i="10"/>
  <c r="O1404" i="10"/>
  <c r="O1405" i="10"/>
  <c r="O1406" i="10"/>
  <c r="O1407" i="10"/>
  <c r="O1408" i="10"/>
  <c r="O1409" i="10"/>
  <c r="O1410" i="10"/>
  <c r="O1411" i="10"/>
  <c r="O1412" i="10"/>
  <c r="O1413" i="10"/>
  <c r="O1414" i="10"/>
  <c r="O1415" i="10"/>
  <c r="O1416" i="10"/>
  <c r="O1417" i="10"/>
  <c r="O1418" i="10"/>
  <c r="O1419" i="10"/>
  <c r="O1420" i="10"/>
  <c r="O1421" i="10"/>
  <c r="O1422" i="10"/>
  <c r="O1423" i="10"/>
  <c r="O1424" i="10"/>
  <c r="O1425" i="10"/>
  <c r="O1426" i="10"/>
  <c r="O1427" i="10"/>
  <c r="O1428" i="10"/>
  <c r="O1429" i="10"/>
  <c r="O1430" i="10"/>
  <c r="O1431" i="10"/>
  <c r="O1432" i="10"/>
  <c r="O1433" i="10"/>
  <c r="O1434" i="10"/>
  <c r="O1435" i="10"/>
  <c r="O1436" i="10"/>
  <c r="O1437" i="10"/>
  <c r="O1438" i="10"/>
  <c r="O1439" i="10"/>
  <c r="O1440" i="10"/>
  <c r="O1441" i="10"/>
  <c r="O1442" i="10"/>
  <c r="O1443" i="10"/>
  <c r="O1444" i="10"/>
  <c r="O1445" i="10"/>
  <c r="O1446" i="10"/>
  <c r="O1447" i="10"/>
  <c r="O1448" i="10"/>
  <c r="O1449" i="10"/>
  <c r="O1450" i="10"/>
  <c r="O1451" i="10"/>
  <c r="O1452" i="10"/>
  <c r="O1453" i="10"/>
  <c r="O1454" i="10"/>
  <c r="O1455" i="10"/>
  <c r="O1456" i="10"/>
  <c r="O1457" i="10"/>
  <c r="O1458" i="10"/>
  <c r="O1459" i="10"/>
  <c r="O1460" i="10"/>
  <c r="O1461" i="10"/>
  <c r="O1462" i="10"/>
  <c r="O1463" i="10"/>
  <c r="O1464" i="10"/>
  <c r="O1465" i="10"/>
  <c r="O1466" i="10"/>
  <c r="O1467" i="10"/>
  <c r="O1468" i="10"/>
  <c r="O1469" i="10"/>
  <c r="O1470" i="10"/>
  <c r="O1471" i="10"/>
  <c r="O1472" i="10"/>
  <c r="O1473" i="10"/>
  <c r="O1474" i="10"/>
  <c r="O1475" i="10"/>
  <c r="O1476" i="10"/>
  <c r="O1477" i="10"/>
  <c r="O1478" i="10"/>
  <c r="O1479" i="10"/>
  <c r="O1480" i="10"/>
  <c r="O1481" i="10"/>
  <c r="O1482" i="10"/>
  <c r="O1483" i="10"/>
  <c r="O1484" i="10"/>
  <c r="O1485" i="10"/>
  <c r="O1486" i="10"/>
  <c r="O1487" i="10"/>
  <c r="O1488" i="10"/>
  <c r="O1489" i="10"/>
  <c r="O1490" i="10"/>
  <c r="O1491" i="10"/>
  <c r="O1492" i="10"/>
  <c r="O1493" i="10"/>
  <c r="O1494" i="10"/>
  <c r="O1495" i="10"/>
  <c r="O1496" i="10"/>
  <c r="O1497" i="10"/>
  <c r="O1498" i="10"/>
  <c r="O1499" i="10"/>
  <c r="O1500" i="10"/>
  <c r="O1501" i="10"/>
  <c r="O1502" i="10"/>
  <c r="O1503" i="10"/>
  <c r="O1504" i="10"/>
  <c r="O1505" i="10"/>
  <c r="O1506" i="10"/>
  <c r="O1507" i="10"/>
  <c r="O1508" i="10"/>
  <c r="O1509" i="10"/>
  <c r="O1510" i="10"/>
  <c r="AF4" i="10"/>
  <c r="AF5" i="10"/>
  <c r="AF6" i="10"/>
  <c r="AF7" i="10"/>
  <c r="AF8" i="10"/>
  <c r="AF9" i="10"/>
  <c r="AF10" i="10"/>
  <c r="AF11" i="10"/>
  <c r="AF12" i="10"/>
  <c r="AF13" i="10"/>
  <c r="AF14" i="10"/>
  <c r="AF15" i="10"/>
  <c r="AF16" i="10"/>
  <c r="AF17" i="10"/>
  <c r="AF18" i="10"/>
  <c r="AF19" i="10"/>
  <c r="AF20" i="10"/>
  <c r="AF21" i="10"/>
  <c r="AF22" i="10"/>
  <c r="AF23" i="10"/>
  <c r="AF24" i="10"/>
  <c r="AF25" i="10"/>
  <c r="AF26" i="10"/>
  <c r="AF27" i="10"/>
  <c r="AF28" i="10"/>
  <c r="AF29" i="10"/>
  <c r="AF30" i="10"/>
  <c r="AF31" i="10"/>
  <c r="AF32" i="10"/>
  <c r="AF33" i="10"/>
  <c r="AF34" i="10"/>
  <c r="AF35" i="10"/>
  <c r="AF36" i="10"/>
  <c r="AF37" i="10"/>
  <c r="AF38" i="10"/>
  <c r="AF39" i="10"/>
  <c r="AF40" i="10"/>
  <c r="AF41" i="10"/>
  <c r="AF42" i="10"/>
  <c r="AF43" i="10"/>
  <c r="AF44" i="10"/>
  <c r="AF45" i="10"/>
  <c r="AF46" i="10"/>
  <c r="AF47" i="10"/>
  <c r="AF48" i="10"/>
  <c r="AF49" i="10"/>
  <c r="AF50" i="10"/>
  <c r="AF51" i="10"/>
  <c r="AF52" i="10"/>
  <c r="AF53" i="10"/>
  <c r="AF54" i="10"/>
  <c r="AF55" i="10"/>
  <c r="AF56" i="10"/>
  <c r="AF57" i="10"/>
  <c r="AF58" i="10"/>
  <c r="AF59" i="10"/>
  <c r="AF60" i="10"/>
  <c r="AF61" i="10"/>
  <c r="AF62" i="10"/>
  <c r="AF63" i="10"/>
  <c r="AF64" i="10"/>
  <c r="AF65" i="10"/>
  <c r="AF66" i="10"/>
  <c r="AF67" i="10"/>
  <c r="AF68" i="10"/>
  <c r="AF69" i="10"/>
  <c r="AF70" i="10"/>
  <c r="AF71" i="10"/>
  <c r="AF72" i="10"/>
  <c r="AF73" i="10"/>
  <c r="AF74" i="10"/>
  <c r="AF75" i="10"/>
  <c r="AF76" i="10"/>
  <c r="AF77" i="10"/>
  <c r="AF78" i="10"/>
  <c r="AF79" i="10"/>
  <c r="AF80" i="10"/>
  <c r="AF81" i="10"/>
  <c r="AF82" i="10"/>
  <c r="AF83" i="10"/>
  <c r="AF84" i="10"/>
  <c r="AF85" i="10"/>
  <c r="AF86" i="10"/>
  <c r="AF87" i="10"/>
  <c r="AF88" i="10"/>
  <c r="AF89" i="10"/>
  <c r="AF90" i="10"/>
  <c r="AF91" i="10"/>
  <c r="AF92" i="10"/>
  <c r="AF93" i="10"/>
  <c r="AF94" i="10"/>
  <c r="AF95" i="10"/>
  <c r="AF96" i="10"/>
  <c r="AF97" i="10"/>
  <c r="AF98" i="10"/>
  <c r="AF99" i="10"/>
  <c r="AF100" i="10"/>
  <c r="AF101" i="10"/>
  <c r="AF102" i="10"/>
  <c r="AF103" i="10"/>
  <c r="AF104" i="10"/>
  <c r="AF105" i="10"/>
  <c r="AF106" i="10"/>
  <c r="AF107" i="10"/>
  <c r="AF108" i="10"/>
  <c r="AF109" i="10"/>
  <c r="AF110" i="10"/>
  <c r="AF111" i="10"/>
  <c r="AF112" i="10"/>
  <c r="AF113" i="10"/>
  <c r="AF114" i="10"/>
  <c r="AF115" i="10"/>
  <c r="AF116" i="10"/>
  <c r="AF117" i="10"/>
  <c r="AF118" i="10"/>
  <c r="AF119" i="10"/>
  <c r="AF120" i="10"/>
  <c r="AF121" i="10"/>
  <c r="AF122" i="10"/>
  <c r="AF123" i="10"/>
  <c r="AF124" i="10"/>
  <c r="AF125" i="10"/>
  <c r="AF126" i="10"/>
  <c r="AF127" i="10"/>
  <c r="AF128" i="10"/>
  <c r="AF129" i="10"/>
  <c r="AF130" i="10"/>
  <c r="AF131" i="10"/>
  <c r="AF132" i="10"/>
  <c r="AF133" i="10"/>
  <c r="AF134" i="10"/>
  <c r="AF135" i="10"/>
  <c r="AF136" i="10"/>
  <c r="AF137" i="10"/>
  <c r="AF138" i="10"/>
  <c r="AF139" i="10"/>
  <c r="AF140" i="10"/>
  <c r="AF141" i="10"/>
  <c r="AF142" i="10"/>
  <c r="AF143" i="10"/>
  <c r="AF144" i="10"/>
  <c r="AF145" i="10"/>
  <c r="AF146" i="10"/>
  <c r="AF147" i="10"/>
  <c r="AF148" i="10"/>
  <c r="AF149" i="10"/>
  <c r="AF150" i="10"/>
  <c r="AF151" i="10"/>
  <c r="AF152" i="10"/>
  <c r="AF153" i="10"/>
  <c r="AF154" i="10"/>
  <c r="AF155" i="10"/>
  <c r="AF156" i="10"/>
  <c r="AF157" i="10"/>
  <c r="AF158" i="10"/>
  <c r="AF159" i="10"/>
  <c r="AF160" i="10"/>
  <c r="AF161" i="10"/>
  <c r="AF162" i="10"/>
  <c r="AF163" i="10"/>
  <c r="AF164" i="10"/>
  <c r="AF165" i="10"/>
  <c r="AF166" i="10"/>
  <c r="AF167" i="10"/>
  <c r="AF168" i="10"/>
  <c r="AF169" i="10"/>
  <c r="AF170" i="10"/>
  <c r="AF171" i="10"/>
  <c r="AF172" i="10"/>
  <c r="AF173" i="10"/>
  <c r="AF174" i="10"/>
  <c r="AF175" i="10"/>
  <c r="AF176" i="10"/>
  <c r="AF177" i="10"/>
  <c r="AF178" i="10"/>
  <c r="AF179" i="10"/>
  <c r="AF180" i="10"/>
  <c r="AF181" i="10"/>
  <c r="AF182" i="10"/>
  <c r="AF183" i="10"/>
  <c r="AF184" i="10"/>
  <c r="AF185" i="10"/>
  <c r="AF186" i="10"/>
  <c r="AF187" i="10"/>
  <c r="AF188" i="10"/>
  <c r="AF189" i="10"/>
  <c r="AF190" i="10"/>
  <c r="AF191" i="10"/>
  <c r="AF192" i="10"/>
  <c r="AF193" i="10"/>
  <c r="AF194" i="10"/>
  <c r="AF195" i="10"/>
  <c r="AF196" i="10"/>
  <c r="AF197" i="10"/>
  <c r="AF198" i="10"/>
  <c r="AF199" i="10"/>
  <c r="AF200" i="10"/>
  <c r="AF201" i="10"/>
  <c r="AF202" i="10"/>
  <c r="AF203" i="10"/>
  <c r="AF204" i="10"/>
  <c r="AF205" i="10"/>
  <c r="AF206" i="10"/>
  <c r="AF207" i="10"/>
  <c r="AF208" i="10"/>
  <c r="AF209" i="10"/>
  <c r="AF210" i="10"/>
  <c r="AF211" i="10"/>
  <c r="AF212" i="10"/>
  <c r="AF213" i="10"/>
  <c r="AF214" i="10"/>
  <c r="AF215" i="10"/>
  <c r="AF216" i="10"/>
  <c r="AF217" i="10"/>
  <c r="AF218" i="10"/>
  <c r="AF219" i="10"/>
  <c r="AF220" i="10"/>
  <c r="AF221" i="10"/>
  <c r="AF222" i="10"/>
  <c r="AF223" i="10"/>
  <c r="AF224" i="10"/>
  <c r="AF225" i="10"/>
  <c r="AF226" i="10"/>
  <c r="AF227" i="10"/>
  <c r="AF228" i="10"/>
  <c r="AF229" i="10"/>
  <c r="AF230" i="10"/>
  <c r="AF231" i="10"/>
  <c r="AF232" i="10"/>
  <c r="AF233" i="10"/>
  <c r="AF234" i="10"/>
  <c r="AF235" i="10"/>
  <c r="AF236" i="10"/>
  <c r="AF237" i="10"/>
  <c r="AF238" i="10"/>
  <c r="AF239" i="10"/>
  <c r="AF240" i="10"/>
  <c r="AF241" i="10"/>
  <c r="AF242" i="10"/>
  <c r="AF243" i="10"/>
  <c r="AF244" i="10"/>
  <c r="AF245" i="10"/>
  <c r="AF246" i="10"/>
  <c r="AF247" i="10"/>
  <c r="AF248" i="10"/>
  <c r="AF249" i="10"/>
  <c r="AF250" i="10"/>
  <c r="AF251" i="10"/>
  <c r="AF252" i="10"/>
  <c r="AF253" i="10"/>
  <c r="AF254" i="10"/>
  <c r="AF255" i="10"/>
  <c r="AF256" i="10"/>
  <c r="AF257" i="10"/>
  <c r="AF258" i="10"/>
  <c r="AF259" i="10"/>
  <c r="AF260" i="10"/>
  <c r="AF261" i="10"/>
  <c r="AF262" i="10"/>
  <c r="AF263" i="10"/>
  <c r="AF264" i="10"/>
  <c r="AF265" i="10"/>
  <c r="AF266" i="10"/>
  <c r="AF267" i="10"/>
  <c r="AF268" i="10"/>
  <c r="AF269" i="10"/>
  <c r="AF270" i="10"/>
  <c r="AF271" i="10"/>
  <c r="AF272" i="10"/>
  <c r="AF273" i="10"/>
  <c r="AF274" i="10"/>
  <c r="AF275" i="10"/>
  <c r="AF276" i="10"/>
  <c r="AF277" i="10"/>
  <c r="AF278" i="10"/>
  <c r="AF279" i="10"/>
  <c r="AF280" i="10"/>
  <c r="AF281" i="10"/>
  <c r="AF282" i="10"/>
  <c r="AF283" i="10"/>
  <c r="AF284" i="10"/>
  <c r="AF285" i="10"/>
  <c r="AF286" i="10"/>
  <c r="AF287" i="10"/>
  <c r="AF288" i="10"/>
  <c r="AF289" i="10"/>
  <c r="AF290" i="10"/>
  <c r="AF291" i="10"/>
  <c r="AF292" i="10"/>
  <c r="AF293" i="10"/>
  <c r="AF294" i="10"/>
  <c r="AF295" i="10"/>
  <c r="AF296" i="10"/>
  <c r="AF297" i="10"/>
  <c r="AF298" i="10"/>
  <c r="AF299" i="10"/>
  <c r="AF300" i="10"/>
  <c r="AF301" i="10"/>
  <c r="AF302" i="10"/>
  <c r="AF303" i="10"/>
  <c r="AF304" i="10"/>
  <c r="AF305" i="10"/>
  <c r="AF306" i="10"/>
  <c r="AF307" i="10"/>
  <c r="AF308" i="10"/>
  <c r="AF309" i="10"/>
  <c r="AF310" i="10"/>
  <c r="AF311" i="10"/>
  <c r="AF312" i="10"/>
  <c r="AF313" i="10"/>
  <c r="AF314" i="10"/>
  <c r="AF315" i="10"/>
  <c r="AF316" i="10"/>
  <c r="AF317" i="10"/>
  <c r="AF318" i="10"/>
  <c r="AF319" i="10"/>
  <c r="AF320" i="10"/>
  <c r="AF321" i="10"/>
  <c r="AF322" i="10"/>
  <c r="AF323" i="10"/>
  <c r="AF324" i="10"/>
  <c r="AF325" i="10"/>
  <c r="AF326" i="10"/>
  <c r="AF327" i="10"/>
  <c r="AF328" i="10"/>
  <c r="AF329" i="10"/>
  <c r="AF330" i="10"/>
  <c r="AF331" i="10"/>
  <c r="AF332" i="10"/>
  <c r="AF333" i="10"/>
  <c r="AF334" i="10"/>
  <c r="AF335" i="10"/>
  <c r="AF336" i="10"/>
  <c r="AF337" i="10"/>
  <c r="AF338" i="10"/>
  <c r="AF339" i="10"/>
  <c r="AF340" i="10"/>
  <c r="AF341" i="10"/>
  <c r="AF342" i="10"/>
  <c r="AF343" i="10"/>
  <c r="AF344" i="10"/>
  <c r="AF345" i="10"/>
  <c r="AF346" i="10"/>
  <c r="AF347" i="10"/>
  <c r="AF348" i="10"/>
  <c r="AF349" i="10"/>
  <c r="AF350" i="10"/>
  <c r="AF351" i="10"/>
  <c r="AF352" i="10"/>
  <c r="AF353" i="10"/>
  <c r="AF354" i="10"/>
  <c r="AF355" i="10"/>
  <c r="AF356" i="10"/>
  <c r="AF357" i="10"/>
  <c r="AF358" i="10"/>
  <c r="AF359" i="10"/>
  <c r="AF360" i="10"/>
  <c r="AF361" i="10"/>
  <c r="AF362" i="10"/>
  <c r="AF363" i="10"/>
  <c r="AF364" i="10"/>
  <c r="AF365" i="10"/>
  <c r="AF366" i="10"/>
  <c r="AF367" i="10"/>
  <c r="AF368" i="10"/>
  <c r="AF369" i="10"/>
  <c r="AF370" i="10"/>
  <c r="AF371" i="10"/>
  <c r="AF372" i="10"/>
  <c r="AF373" i="10"/>
  <c r="AF374" i="10"/>
  <c r="AF375" i="10"/>
  <c r="AF376" i="10"/>
  <c r="AF377" i="10"/>
  <c r="AF378" i="10"/>
  <c r="AF379" i="10"/>
  <c r="AF380" i="10"/>
  <c r="AF381" i="10"/>
  <c r="AF382" i="10"/>
  <c r="AF383" i="10"/>
  <c r="AF384" i="10"/>
  <c r="AF385" i="10"/>
  <c r="AF386" i="10"/>
  <c r="AF387" i="10"/>
  <c r="AF388" i="10"/>
  <c r="AF389" i="10"/>
  <c r="AF390" i="10"/>
  <c r="AF391" i="10"/>
  <c r="AF392" i="10"/>
  <c r="AF393" i="10"/>
  <c r="AF394" i="10"/>
  <c r="AF395" i="10"/>
  <c r="AF396" i="10"/>
  <c r="AF397" i="10"/>
  <c r="AF398" i="10"/>
  <c r="AF399" i="10"/>
  <c r="AF400" i="10"/>
  <c r="AF401" i="10"/>
  <c r="AF402" i="10"/>
  <c r="AF403" i="10"/>
  <c r="AF404" i="10"/>
  <c r="AF405" i="10"/>
  <c r="AF406" i="10"/>
  <c r="AF407" i="10"/>
  <c r="AF408" i="10"/>
  <c r="AF409" i="10"/>
  <c r="AF410" i="10"/>
  <c r="AF411" i="10"/>
  <c r="AF412" i="10"/>
  <c r="AF413" i="10"/>
  <c r="AF414" i="10"/>
  <c r="AF415" i="10"/>
  <c r="AF416" i="10"/>
  <c r="AF417" i="10"/>
  <c r="AF418" i="10"/>
  <c r="AF419" i="10"/>
  <c r="AF420" i="10"/>
  <c r="AF421" i="10"/>
  <c r="AF422" i="10"/>
  <c r="AF423" i="10"/>
  <c r="AF424" i="10"/>
  <c r="AF425" i="10"/>
  <c r="AF426" i="10"/>
  <c r="AF427" i="10"/>
  <c r="AF428" i="10"/>
  <c r="AF429" i="10"/>
  <c r="AF430" i="10"/>
  <c r="AF431" i="10"/>
  <c r="AF432" i="10"/>
  <c r="AF433" i="10"/>
  <c r="AF434" i="10"/>
  <c r="AF435" i="10"/>
  <c r="AF436" i="10"/>
  <c r="AF437" i="10"/>
  <c r="AF438" i="10"/>
  <c r="AF439" i="10"/>
  <c r="AF440" i="10"/>
  <c r="AF441" i="10"/>
  <c r="AF442" i="10"/>
  <c r="AF443" i="10"/>
  <c r="AF444" i="10"/>
  <c r="AF445" i="10"/>
  <c r="AF446" i="10"/>
  <c r="AF447" i="10"/>
  <c r="AF448" i="10"/>
  <c r="AF449" i="10"/>
  <c r="AF450" i="10"/>
  <c r="AF451" i="10"/>
  <c r="AF452" i="10"/>
  <c r="AF453" i="10"/>
  <c r="AF454" i="10"/>
  <c r="AF455" i="10"/>
  <c r="AF456" i="10"/>
  <c r="AF457" i="10"/>
  <c r="AF458" i="10"/>
  <c r="AF459" i="10"/>
  <c r="AF460" i="10"/>
  <c r="AF461" i="10"/>
  <c r="AF462" i="10"/>
  <c r="AF463" i="10"/>
  <c r="AF464" i="10"/>
  <c r="AF465" i="10"/>
  <c r="AF466" i="10"/>
  <c r="AF467" i="10"/>
  <c r="AF468" i="10"/>
  <c r="AF469" i="10"/>
  <c r="AF470" i="10"/>
  <c r="AF471" i="10"/>
  <c r="AF472" i="10"/>
  <c r="AF473" i="10"/>
  <c r="AF474" i="10"/>
  <c r="AF475" i="10"/>
  <c r="AF476" i="10"/>
  <c r="AF477" i="10"/>
  <c r="AF478" i="10"/>
  <c r="AF479" i="10"/>
  <c r="AF480" i="10"/>
  <c r="AF481" i="10"/>
  <c r="AF482" i="10"/>
  <c r="AF483" i="10"/>
  <c r="AF484" i="10"/>
  <c r="AF485" i="10"/>
  <c r="AF486" i="10"/>
  <c r="AF487" i="10"/>
  <c r="AF488" i="10"/>
  <c r="AF489" i="10"/>
  <c r="AF490" i="10"/>
  <c r="AF491" i="10"/>
  <c r="AF492" i="10"/>
  <c r="AF493" i="10"/>
  <c r="AF494" i="10"/>
  <c r="AF495" i="10"/>
  <c r="AF496" i="10"/>
  <c r="AF497" i="10"/>
  <c r="AF498" i="10"/>
  <c r="AF499" i="10"/>
  <c r="AF500" i="10"/>
  <c r="AF501" i="10"/>
  <c r="AF502" i="10"/>
  <c r="AF503" i="10"/>
  <c r="AF504" i="10"/>
  <c r="AF505" i="10"/>
  <c r="AF506" i="10"/>
  <c r="AF507" i="10"/>
  <c r="AF508" i="10"/>
  <c r="AF509" i="10"/>
  <c r="AF510" i="10"/>
  <c r="AF511" i="10"/>
  <c r="AF512" i="10"/>
  <c r="AF513" i="10"/>
  <c r="AF514" i="10"/>
  <c r="AF515" i="10"/>
  <c r="AF516" i="10"/>
  <c r="AF517" i="10"/>
  <c r="AF518" i="10"/>
  <c r="AF519" i="10"/>
  <c r="AF520" i="10"/>
  <c r="AF521" i="10"/>
  <c r="AF522" i="10"/>
  <c r="AF523" i="10"/>
  <c r="AF524" i="10"/>
  <c r="AF525" i="10"/>
  <c r="AF526" i="10"/>
  <c r="AF527" i="10"/>
  <c r="AF528" i="10"/>
  <c r="AF529" i="10"/>
  <c r="AF530" i="10"/>
  <c r="AF531" i="10"/>
  <c r="AF532" i="10"/>
  <c r="AF533" i="10"/>
  <c r="AF534" i="10"/>
  <c r="AF535" i="10"/>
  <c r="AF536" i="10"/>
  <c r="AF537" i="10"/>
  <c r="AF538" i="10"/>
  <c r="AF539" i="10"/>
  <c r="AF540" i="10"/>
  <c r="AF541" i="10"/>
  <c r="AF542" i="10"/>
  <c r="AF543" i="10"/>
  <c r="AF544" i="10"/>
  <c r="AF545" i="10"/>
  <c r="AF546" i="10"/>
  <c r="AF547" i="10"/>
  <c r="AF548" i="10"/>
  <c r="AF549" i="10"/>
  <c r="AF550" i="10"/>
  <c r="AF551" i="10"/>
  <c r="AF552" i="10"/>
  <c r="AF553" i="10"/>
  <c r="AF554" i="10"/>
  <c r="AF555" i="10"/>
  <c r="AF556" i="10"/>
  <c r="AF557" i="10"/>
  <c r="AF558" i="10"/>
  <c r="AF559" i="10"/>
  <c r="AF560" i="10"/>
  <c r="AF561" i="10"/>
  <c r="AF562" i="10"/>
  <c r="AF563" i="10"/>
  <c r="AF564" i="10"/>
  <c r="AF565" i="10"/>
  <c r="AF566" i="10"/>
  <c r="AF567" i="10"/>
  <c r="AF568" i="10"/>
  <c r="AF569" i="10"/>
  <c r="AF570" i="10"/>
  <c r="AF571" i="10"/>
  <c r="AF572" i="10"/>
  <c r="AF573" i="10"/>
  <c r="AF574" i="10"/>
  <c r="AF575" i="10"/>
  <c r="AF576" i="10"/>
  <c r="AF577" i="10"/>
  <c r="AF578" i="10"/>
  <c r="AF579" i="10"/>
  <c r="AF580" i="10"/>
  <c r="AF581" i="10"/>
  <c r="AF582" i="10"/>
  <c r="AF583" i="10"/>
  <c r="AF584" i="10"/>
  <c r="AF585" i="10"/>
  <c r="AF586" i="10"/>
  <c r="AF587" i="10"/>
  <c r="AF588" i="10"/>
  <c r="AF589" i="10"/>
  <c r="AF590" i="10"/>
  <c r="AF591" i="10"/>
  <c r="AF592" i="10"/>
  <c r="AF593" i="10"/>
  <c r="AF594" i="10"/>
  <c r="AF595" i="10"/>
  <c r="AF596" i="10"/>
  <c r="AF597" i="10"/>
  <c r="AF598" i="10"/>
  <c r="AF599" i="10"/>
  <c r="AF600" i="10"/>
  <c r="AF601" i="10"/>
  <c r="AF602" i="10"/>
  <c r="AF603" i="10"/>
  <c r="AF604" i="10"/>
  <c r="AF605" i="10"/>
  <c r="AF606" i="10"/>
  <c r="AF607" i="10"/>
  <c r="AF608" i="10"/>
  <c r="AF609" i="10"/>
  <c r="AF610" i="10"/>
  <c r="AF611" i="10"/>
  <c r="AF612" i="10"/>
  <c r="AF613" i="10"/>
  <c r="AF614" i="10"/>
  <c r="AF615" i="10"/>
  <c r="AF616" i="10"/>
  <c r="AF617" i="10"/>
  <c r="AF618" i="10"/>
  <c r="AF619" i="10"/>
  <c r="AF620" i="10"/>
  <c r="AF621" i="10"/>
  <c r="AF622" i="10"/>
  <c r="AF623" i="10"/>
  <c r="AF624" i="10"/>
  <c r="AF625" i="10"/>
  <c r="AF626" i="10"/>
  <c r="AF627" i="10"/>
  <c r="AF628" i="10"/>
  <c r="AF629" i="10"/>
  <c r="AF630" i="10"/>
  <c r="AF631" i="10"/>
  <c r="AF632" i="10"/>
  <c r="AF633" i="10"/>
  <c r="AF634" i="10"/>
  <c r="AF635" i="10"/>
  <c r="AF636" i="10"/>
  <c r="AF637" i="10"/>
  <c r="AF638" i="10"/>
  <c r="AF639" i="10"/>
  <c r="AF640" i="10"/>
  <c r="AF641" i="10"/>
  <c r="AF642" i="10"/>
  <c r="AF643" i="10"/>
  <c r="AF644" i="10"/>
  <c r="AF645" i="10"/>
  <c r="AF646" i="10"/>
  <c r="AF647" i="10"/>
  <c r="AF648" i="10"/>
  <c r="AF649" i="10"/>
  <c r="AF650" i="10"/>
  <c r="AF651" i="10"/>
  <c r="AF652" i="10"/>
  <c r="AF653" i="10"/>
  <c r="AF654" i="10"/>
  <c r="AF655" i="10"/>
  <c r="AF656" i="10"/>
  <c r="AF657" i="10"/>
  <c r="AF658" i="10"/>
  <c r="AF659" i="10"/>
  <c r="AF660" i="10"/>
  <c r="AF661" i="10"/>
  <c r="AF662" i="10"/>
  <c r="AF663" i="10"/>
  <c r="AF664" i="10"/>
  <c r="AF665" i="10"/>
  <c r="AF666" i="10"/>
  <c r="AF667" i="10"/>
  <c r="AF668" i="10"/>
  <c r="AF669" i="10"/>
  <c r="AF670" i="10"/>
  <c r="AF671" i="10"/>
  <c r="AF672" i="10"/>
  <c r="AF673" i="10"/>
  <c r="AF674" i="10"/>
  <c r="AF675" i="10"/>
  <c r="AF676" i="10"/>
  <c r="AF677" i="10"/>
  <c r="AF678" i="10"/>
  <c r="AF679" i="10"/>
  <c r="AF680" i="10"/>
  <c r="AF681" i="10"/>
  <c r="AF682" i="10"/>
  <c r="AF683" i="10"/>
  <c r="AF684" i="10"/>
  <c r="AF685" i="10"/>
  <c r="AF686" i="10"/>
  <c r="AF687" i="10"/>
  <c r="AF688" i="10"/>
  <c r="AF689" i="10"/>
  <c r="AF690" i="10"/>
  <c r="AF691" i="10"/>
  <c r="AF692" i="10"/>
  <c r="AF693" i="10"/>
  <c r="AF694" i="10"/>
  <c r="AF695" i="10"/>
  <c r="AF696" i="10"/>
  <c r="AF697" i="10"/>
  <c r="AF698" i="10"/>
  <c r="AF699" i="10"/>
  <c r="AF700" i="10"/>
  <c r="AF701" i="10"/>
  <c r="AF702" i="10"/>
  <c r="AF703" i="10"/>
  <c r="AF704" i="10"/>
  <c r="AF705" i="10"/>
  <c r="AF706" i="10"/>
  <c r="AF707" i="10"/>
  <c r="AF708" i="10"/>
  <c r="AF709" i="10"/>
  <c r="AF710" i="10"/>
  <c r="AF711" i="10"/>
  <c r="AF712" i="10"/>
  <c r="AF713" i="10"/>
  <c r="AF714" i="10"/>
  <c r="AF715" i="10"/>
  <c r="AF716" i="10"/>
  <c r="AF717" i="10"/>
  <c r="AF718" i="10"/>
  <c r="AF719" i="10"/>
  <c r="AF720" i="10"/>
  <c r="AF721" i="10"/>
  <c r="AF722" i="10"/>
  <c r="AF723" i="10"/>
  <c r="AF724" i="10"/>
  <c r="AF725" i="10"/>
  <c r="AF726" i="10"/>
  <c r="AF727" i="10"/>
  <c r="AF728" i="10"/>
  <c r="AF729" i="10"/>
  <c r="AF730" i="10"/>
  <c r="AF731" i="10"/>
  <c r="AF732" i="10"/>
  <c r="AF733" i="10"/>
  <c r="AF734" i="10"/>
  <c r="AF735" i="10"/>
  <c r="AF736" i="10"/>
  <c r="AF737" i="10"/>
  <c r="AF738" i="10"/>
  <c r="AF739" i="10"/>
  <c r="AF740" i="10"/>
  <c r="AF741" i="10"/>
  <c r="AF742" i="10"/>
  <c r="AF743" i="10"/>
  <c r="AF744" i="10"/>
  <c r="AF745" i="10"/>
  <c r="AF746" i="10"/>
  <c r="AF747" i="10"/>
  <c r="AF748" i="10"/>
  <c r="AF749" i="10"/>
  <c r="AF750" i="10"/>
  <c r="AF751" i="10"/>
  <c r="AF752" i="10"/>
  <c r="AF753" i="10"/>
  <c r="AF754" i="10"/>
  <c r="AF755" i="10"/>
  <c r="AF756" i="10"/>
  <c r="AF757" i="10"/>
  <c r="AF758" i="10"/>
  <c r="AF759" i="10"/>
  <c r="AF760" i="10"/>
  <c r="AF761" i="10"/>
  <c r="AF762" i="10"/>
  <c r="AF763" i="10"/>
  <c r="AF764" i="10"/>
  <c r="AF765" i="10"/>
  <c r="AF766" i="10"/>
  <c r="AF767" i="10"/>
  <c r="AF768" i="10"/>
  <c r="AF769" i="10"/>
  <c r="AF770" i="10"/>
  <c r="AF771" i="10"/>
  <c r="AF772" i="10"/>
  <c r="AF773" i="10"/>
  <c r="AF774" i="10"/>
  <c r="AF775" i="10"/>
  <c r="AF776" i="10"/>
  <c r="AF777" i="10"/>
  <c r="AF778" i="10"/>
  <c r="AF779" i="10"/>
  <c r="AF780" i="10"/>
  <c r="AF781" i="10"/>
  <c r="AF782" i="10"/>
  <c r="AF783" i="10"/>
  <c r="AF784" i="10"/>
  <c r="AF785" i="10"/>
  <c r="AF786" i="10"/>
  <c r="AF787" i="10"/>
  <c r="AF788" i="10"/>
  <c r="AF789" i="10"/>
  <c r="AF790" i="10"/>
  <c r="AF791" i="10"/>
  <c r="AF792" i="10"/>
  <c r="AF793" i="10"/>
  <c r="AF794" i="10"/>
  <c r="AF795" i="10"/>
  <c r="AF796" i="10"/>
  <c r="AF797" i="10"/>
  <c r="AF798" i="10"/>
  <c r="AF799" i="10"/>
  <c r="AF800" i="10"/>
  <c r="AF801" i="10"/>
  <c r="AF802" i="10"/>
  <c r="AF803" i="10"/>
  <c r="AF804" i="10"/>
  <c r="AF805" i="10"/>
  <c r="AF806" i="10"/>
  <c r="AF807" i="10"/>
  <c r="AF808" i="10"/>
  <c r="AF809" i="10"/>
  <c r="AF810" i="10"/>
  <c r="AF811" i="10"/>
  <c r="AF812" i="10"/>
  <c r="AF813" i="10"/>
  <c r="AF814" i="10"/>
  <c r="AF815" i="10"/>
  <c r="AF816" i="10"/>
  <c r="AF817" i="10"/>
  <c r="AF818" i="10"/>
  <c r="AF819" i="10"/>
  <c r="AF820" i="10"/>
  <c r="AF821" i="10"/>
  <c r="AF822" i="10"/>
  <c r="AF823" i="10"/>
  <c r="AF824" i="10"/>
  <c r="AF825" i="10"/>
  <c r="AF826" i="10"/>
  <c r="AF827" i="10"/>
  <c r="AF828" i="10"/>
  <c r="AF829" i="10"/>
  <c r="AF830" i="10"/>
  <c r="AF831" i="10"/>
  <c r="AF832" i="10"/>
  <c r="AF833" i="10"/>
  <c r="AF834" i="10"/>
  <c r="AF835" i="10"/>
  <c r="AF836" i="10"/>
  <c r="AF837" i="10"/>
  <c r="AF838" i="10"/>
  <c r="AF839" i="10"/>
  <c r="AF840" i="10"/>
  <c r="AF841" i="10"/>
  <c r="AF842" i="10"/>
  <c r="AF843" i="10"/>
  <c r="AF844" i="10"/>
  <c r="AF845" i="10"/>
  <c r="AF846" i="10"/>
  <c r="AF847" i="10"/>
  <c r="AF848" i="10"/>
  <c r="AF849" i="10"/>
  <c r="AF850" i="10"/>
  <c r="AF851" i="10"/>
  <c r="AF852" i="10"/>
  <c r="AF853" i="10"/>
  <c r="AF854" i="10"/>
  <c r="AF855" i="10"/>
  <c r="AF856" i="10"/>
  <c r="AF857" i="10"/>
  <c r="AF858" i="10"/>
  <c r="AF859" i="10"/>
  <c r="AF860" i="10"/>
  <c r="AF861" i="10"/>
  <c r="AF862" i="10"/>
  <c r="AF863" i="10"/>
  <c r="AF864" i="10"/>
  <c r="AF865" i="10"/>
  <c r="AF866" i="10"/>
  <c r="AF867" i="10"/>
  <c r="AF868" i="10"/>
  <c r="AF869" i="10"/>
  <c r="AF870" i="10"/>
  <c r="AF871" i="10"/>
  <c r="AF872" i="10"/>
  <c r="AF873" i="10"/>
  <c r="AF874" i="10"/>
  <c r="AF875" i="10"/>
  <c r="AF876" i="10"/>
  <c r="AF877" i="10"/>
  <c r="AF878" i="10"/>
  <c r="AF879" i="10"/>
  <c r="AF880" i="10"/>
  <c r="AF881" i="10"/>
  <c r="AF882" i="10"/>
  <c r="AF883" i="10"/>
  <c r="AF884" i="10"/>
  <c r="AF885" i="10"/>
  <c r="AF886" i="10"/>
  <c r="AF887" i="10"/>
  <c r="AF888" i="10"/>
  <c r="AF889" i="10"/>
  <c r="AF890" i="10"/>
  <c r="AF891" i="10"/>
  <c r="AF892" i="10"/>
  <c r="AF893" i="10"/>
  <c r="AF894" i="10"/>
  <c r="AF895" i="10"/>
  <c r="AF896" i="10"/>
  <c r="AF897" i="10"/>
  <c r="AF898" i="10"/>
  <c r="AF899" i="10"/>
  <c r="AF900" i="10"/>
  <c r="AF901" i="10"/>
  <c r="AF902" i="10"/>
  <c r="AF903" i="10"/>
  <c r="AF904" i="10"/>
  <c r="AF905" i="10"/>
  <c r="AF906" i="10"/>
  <c r="AF907" i="10"/>
  <c r="AF908" i="10"/>
  <c r="AF909" i="10"/>
  <c r="AF910" i="10"/>
  <c r="AF911" i="10"/>
  <c r="AF912" i="10"/>
  <c r="AF913" i="10"/>
  <c r="AF914" i="10"/>
  <c r="AF915" i="10"/>
  <c r="AF916" i="10"/>
  <c r="AF917" i="10"/>
  <c r="AF918" i="10"/>
  <c r="AF919" i="10"/>
  <c r="AF920" i="10"/>
  <c r="AF921" i="10"/>
  <c r="AF922" i="10"/>
  <c r="AF923" i="10"/>
  <c r="AF924" i="10"/>
  <c r="AF925" i="10"/>
  <c r="AF926" i="10"/>
  <c r="AF927" i="10"/>
  <c r="AF928" i="10"/>
  <c r="AF929" i="10"/>
  <c r="AF930" i="10"/>
  <c r="AF931" i="10"/>
  <c r="AF932" i="10"/>
  <c r="AF933" i="10"/>
  <c r="AF934" i="10"/>
  <c r="AF935" i="10"/>
  <c r="AF936" i="10"/>
  <c r="AF937" i="10"/>
  <c r="AF938" i="10"/>
  <c r="AF939" i="10"/>
  <c r="AF940" i="10"/>
  <c r="AF941" i="10"/>
  <c r="AF942" i="10"/>
  <c r="AF943" i="10"/>
  <c r="AF944" i="10"/>
  <c r="AF945" i="10"/>
  <c r="AF946" i="10"/>
  <c r="AF947" i="10"/>
  <c r="AF948" i="10"/>
  <c r="AF949" i="10"/>
  <c r="AF950" i="10"/>
  <c r="AF951" i="10"/>
  <c r="AF952" i="10"/>
  <c r="AF953" i="10"/>
  <c r="AF954" i="10"/>
  <c r="AF955" i="10"/>
  <c r="AF956" i="10"/>
  <c r="AF957" i="10"/>
  <c r="AF958" i="10"/>
  <c r="AF959" i="10"/>
  <c r="AF960" i="10"/>
  <c r="AF961" i="10"/>
  <c r="AF962" i="10"/>
  <c r="AF963" i="10"/>
  <c r="AF964" i="10"/>
  <c r="AF965" i="10"/>
  <c r="AF966" i="10"/>
  <c r="AF967" i="10"/>
  <c r="AF968" i="10"/>
  <c r="AF969" i="10"/>
  <c r="AF970" i="10"/>
  <c r="AF971" i="10"/>
  <c r="AF972" i="10"/>
  <c r="AF973" i="10"/>
  <c r="AF974" i="10"/>
  <c r="AF975" i="10"/>
  <c r="AF976" i="10"/>
  <c r="AF977" i="10"/>
  <c r="AF978" i="10"/>
  <c r="AF979" i="10"/>
  <c r="AF980" i="10"/>
  <c r="AF981" i="10"/>
  <c r="AF982" i="10"/>
  <c r="AF983" i="10"/>
  <c r="AF984" i="10"/>
  <c r="AF985" i="10"/>
  <c r="AF986" i="10"/>
  <c r="AF987" i="10"/>
  <c r="AF988" i="10"/>
  <c r="AF989" i="10"/>
  <c r="AF990" i="10"/>
  <c r="AF991" i="10"/>
  <c r="AF992" i="10"/>
  <c r="AF993" i="10"/>
  <c r="AF994" i="10"/>
  <c r="AF995" i="10"/>
  <c r="AF996" i="10"/>
  <c r="AF997" i="10"/>
  <c r="AF998" i="10"/>
  <c r="AF999" i="10"/>
  <c r="AF1000" i="10"/>
  <c r="AF1001" i="10"/>
  <c r="AF1002" i="10"/>
  <c r="AF1003" i="10"/>
  <c r="AF1004" i="10"/>
  <c r="AF1005" i="10"/>
  <c r="AF1006" i="10"/>
  <c r="AF1007" i="10"/>
  <c r="AF1008" i="10"/>
  <c r="AF1009" i="10"/>
  <c r="AF1010" i="10"/>
  <c r="AF1011" i="10"/>
  <c r="AF1012" i="10"/>
  <c r="AF1013" i="10"/>
  <c r="AF1014" i="10"/>
  <c r="AF1015" i="10"/>
  <c r="AF1016" i="10"/>
  <c r="AF1017" i="10"/>
  <c r="AF1018" i="10"/>
  <c r="AF1019" i="10"/>
  <c r="AF1020" i="10"/>
  <c r="AF1021" i="10"/>
  <c r="AF1022" i="10"/>
  <c r="AF1023" i="10"/>
  <c r="AF1024" i="10"/>
  <c r="AF1025" i="10"/>
  <c r="AF1026" i="10"/>
  <c r="AF1027" i="10"/>
  <c r="AF1028" i="10"/>
  <c r="AF1029" i="10"/>
  <c r="AF1030" i="10"/>
  <c r="AF1031" i="10"/>
  <c r="AF1032" i="10"/>
  <c r="AF1033" i="10"/>
  <c r="AF1034" i="10"/>
  <c r="AF1035" i="10"/>
  <c r="AF1036" i="10"/>
  <c r="AF1037" i="10"/>
  <c r="AF1038" i="10"/>
  <c r="AF1039" i="10"/>
  <c r="AF1040" i="10"/>
  <c r="AF1041" i="10"/>
  <c r="AF1042" i="10"/>
  <c r="AF1043" i="10"/>
  <c r="AF1044" i="10"/>
  <c r="AF1045" i="10"/>
  <c r="AF1046" i="10"/>
  <c r="AF1047" i="10"/>
  <c r="AF1048" i="10"/>
  <c r="AF1049" i="10"/>
  <c r="AF1050" i="10"/>
  <c r="AF1051" i="10"/>
  <c r="AF1052" i="10"/>
  <c r="AF1053" i="10"/>
  <c r="AF1054" i="10"/>
  <c r="AF1055" i="10"/>
  <c r="AF1056" i="10"/>
  <c r="AF1057" i="10"/>
  <c r="AF1058" i="10"/>
  <c r="AF1059" i="10"/>
  <c r="AF1060" i="10"/>
  <c r="AF1061" i="10"/>
  <c r="AF1062" i="10"/>
  <c r="AF1063" i="10"/>
  <c r="AF1064" i="10"/>
  <c r="AF1065" i="10"/>
  <c r="AF1066" i="10"/>
  <c r="AF1067" i="10"/>
  <c r="AF1068" i="10"/>
  <c r="AF1069" i="10"/>
  <c r="AF1070" i="10"/>
  <c r="AF1071" i="10"/>
  <c r="AF1072" i="10"/>
  <c r="AF1073" i="10"/>
  <c r="AF1074" i="10"/>
  <c r="AF1075" i="10"/>
  <c r="AF1076" i="10"/>
  <c r="AF1077" i="10"/>
  <c r="AF1078" i="10"/>
  <c r="AF1079" i="10"/>
  <c r="AF1080" i="10"/>
  <c r="AF1081" i="10"/>
  <c r="AF1082" i="10"/>
  <c r="AF1083" i="10"/>
  <c r="AF1084" i="10"/>
  <c r="AF1085" i="10"/>
  <c r="AF1086" i="10"/>
  <c r="AF1087" i="10"/>
  <c r="AF1088" i="10"/>
  <c r="AF1089" i="10"/>
  <c r="AF1090" i="10"/>
  <c r="AF1091" i="10"/>
  <c r="AF1092" i="10"/>
  <c r="AF1093" i="10"/>
  <c r="AF1094" i="10"/>
  <c r="AF1095" i="10"/>
  <c r="AF1096" i="10"/>
  <c r="AF1097" i="10"/>
  <c r="AF1098" i="10"/>
  <c r="AF1099" i="10"/>
  <c r="AF1100" i="10"/>
  <c r="AF1101" i="10"/>
  <c r="AF1102" i="10"/>
  <c r="AF1103" i="10"/>
  <c r="AF1104" i="10"/>
  <c r="AF1105" i="10"/>
  <c r="AF1106" i="10"/>
  <c r="AF1107" i="10"/>
  <c r="AF1108" i="10"/>
  <c r="AF1109" i="10"/>
  <c r="AF1110" i="10"/>
  <c r="AF1111" i="10"/>
  <c r="AF1112" i="10"/>
  <c r="AF1113" i="10"/>
  <c r="AF1114" i="10"/>
  <c r="AF1115" i="10"/>
  <c r="AF1116" i="10"/>
  <c r="AF1117" i="10"/>
  <c r="AF1118" i="10"/>
  <c r="AF1119" i="10"/>
  <c r="AF1120" i="10"/>
  <c r="AF1121" i="10"/>
  <c r="AF1122" i="10"/>
  <c r="AF1123" i="10"/>
  <c r="AF1124" i="10"/>
  <c r="AF1125" i="10"/>
  <c r="AF1126" i="10"/>
  <c r="AF1127" i="10"/>
  <c r="AF1128" i="10"/>
  <c r="AF1129" i="10"/>
  <c r="AF1130" i="10"/>
  <c r="AF1131" i="10"/>
  <c r="AF1132" i="10"/>
  <c r="AF1133" i="10"/>
  <c r="AF1134" i="10"/>
  <c r="AF1135" i="10"/>
  <c r="AF1136" i="10"/>
  <c r="AF1137" i="10"/>
  <c r="AF1138" i="10"/>
  <c r="AF1139" i="10"/>
  <c r="AF1140" i="10"/>
  <c r="AF1141" i="10"/>
  <c r="AF1142" i="10"/>
  <c r="AF1143" i="10"/>
  <c r="AF1144" i="10"/>
  <c r="AF1145" i="10"/>
  <c r="AF1146" i="10"/>
  <c r="AF1147" i="10"/>
  <c r="AF1148" i="10"/>
  <c r="AF1149" i="10"/>
  <c r="AF1150" i="10"/>
  <c r="AF1151" i="10"/>
  <c r="AF1152" i="10"/>
  <c r="AF1153" i="10"/>
  <c r="AF1154" i="10"/>
  <c r="AF1155" i="10"/>
  <c r="AF1156" i="10"/>
  <c r="AF1157" i="10"/>
  <c r="AF1158" i="10"/>
  <c r="AF1159" i="10"/>
  <c r="AF1160" i="10"/>
  <c r="AF1161" i="10"/>
  <c r="AF1162" i="10"/>
  <c r="AF1163" i="10"/>
  <c r="AF1164" i="10"/>
  <c r="AF1165" i="10"/>
  <c r="AF1166" i="10"/>
  <c r="AF1167" i="10"/>
  <c r="AF1168" i="10"/>
  <c r="AF1169" i="10"/>
  <c r="AF1170" i="10"/>
  <c r="AF1171" i="10"/>
  <c r="AF1172" i="10"/>
  <c r="AF1173" i="10"/>
  <c r="AF1174" i="10"/>
  <c r="AF1175" i="10"/>
  <c r="AF1176" i="10"/>
  <c r="AF1177" i="10"/>
  <c r="AF1178" i="10"/>
  <c r="AF1179" i="10"/>
  <c r="AF1180" i="10"/>
  <c r="AF1181" i="10"/>
  <c r="AF1182" i="10"/>
  <c r="AF1183" i="10"/>
  <c r="AF1184" i="10"/>
  <c r="AF1185" i="10"/>
  <c r="AF1186" i="10"/>
  <c r="AF1187" i="10"/>
  <c r="AF1188" i="10"/>
  <c r="AF1189" i="10"/>
  <c r="AF1190" i="10"/>
  <c r="AF1191" i="10"/>
  <c r="AF1192" i="10"/>
  <c r="AF1193" i="10"/>
  <c r="AF1194" i="10"/>
  <c r="AF1195" i="10"/>
  <c r="AF1196" i="10"/>
  <c r="AF1197" i="10"/>
  <c r="AF1198" i="10"/>
  <c r="AF1199" i="10"/>
  <c r="AF1200" i="10"/>
  <c r="AF1201" i="10"/>
  <c r="AF1202" i="10"/>
  <c r="AF1203" i="10"/>
  <c r="AF1204" i="10"/>
  <c r="AF1205" i="10"/>
  <c r="AF1206" i="10"/>
  <c r="AF1207" i="10"/>
  <c r="AF1208" i="10"/>
  <c r="AF1209" i="10"/>
  <c r="AF1210" i="10"/>
  <c r="AF1211" i="10"/>
  <c r="AF1212" i="10"/>
  <c r="AF1213" i="10"/>
  <c r="AF1214" i="10"/>
  <c r="AF1215" i="10"/>
  <c r="AF1216" i="10"/>
  <c r="AF1217" i="10"/>
  <c r="AF1218" i="10"/>
  <c r="AF1219" i="10"/>
  <c r="AF1220" i="10"/>
  <c r="AF1221" i="10"/>
  <c r="AF1222" i="10"/>
  <c r="AF1223" i="10"/>
  <c r="AF1224" i="10"/>
  <c r="AF1225" i="10"/>
  <c r="AF1226" i="10"/>
  <c r="AF1227" i="10"/>
  <c r="AF1228" i="10"/>
  <c r="AF1229" i="10"/>
  <c r="AF1230" i="10"/>
  <c r="AF1231" i="10"/>
  <c r="AF1232" i="10"/>
  <c r="AF1233" i="10"/>
  <c r="AF1234" i="10"/>
  <c r="AF1235" i="10"/>
  <c r="AF1236" i="10"/>
  <c r="AF1237" i="10"/>
  <c r="AF1238" i="10"/>
  <c r="AF1239" i="10"/>
  <c r="AF1240" i="10"/>
  <c r="AF1241" i="10"/>
  <c r="AF1242" i="10"/>
  <c r="AF1243" i="10"/>
  <c r="AF1244" i="10"/>
  <c r="AF1245" i="10"/>
  <c r="AF1246" i="10"/>
  <c r="AF1247" i="10"/>
  <c r="AF1248" i="10"/>
  <c r="AF1249" i="10"/>
  <c r="AF1250" i="10"/>
  <c r="AF1251" i="10"/>
  <c r="AF1252" i="10"/>
  <c r="AF1253" i="10"/>
  <c r="AF1254" i="10"/>
  <c r="AF1255" i="10"/>
  <c r="AF1256" i="10"/>
  <c r="AF1257" i="10"/>
  <c r="AF1258" i="10"/>
  <c r="AF1259" i="10"/>
  <c r="AF1260" i="10"/>
  <c r="AF1261" i="10"/>
  <c r="AF1262" i="10"/>
  <c r="AF1263" i="10"/>
  <c r="AF1264" i="10"/>
  <c r="AF1265" i="10"/>
  <c r="AF1266" i="10"/>
  <c r="AF1267" i="10"/>
  <c r="AF1268" i="10"/>
  <c r="AF1269" i="10"/>
  <c r="AF1270" i="10"/>
  <c r="AF1271" i="10"/>
  <c r="AF1272" i="10"/>
  <c r="AF1273" i="10"/>
  <c r="AF1274" i="10"/>
  <c r="AF1275" i="10"/>
  <c r="AF1276" i="10"/>
  <c r="AF1277" i="10"/>
  <c r="AF1278" i="10"/>
  <c r="AF1279" i="10"/>
  <c r="AF1280" i="10"/>
  <c r="AF1281" i="10"/>
  <c r="AF1282" i="10"/>
  <c r="AF1283" i="10"/>
  <c r="AF1284" i="10"/>
  <c r="AF1285" i="10"/>
  <c r="AF1286" i="10"/>
  <c r="AF1287" i="10"/>
  <c r="AF1288" i="10"/>
  <c r="AF1289" i="10"/>
  <c r="AF1290" i="10"/>
  <c r="AF1291" i="10"/>
  <c r="AF1292" i="10"/>
  <c r="AF1293" i="10"/>
  <c r="AF1294" i="10"/>
  <c r="AF1295" i="10"/>
  <c r="AF1296" i="10"/>
  <c r="AF1297" i="10"/>
  <c r="AF1298" i="10"/>
  <c r="AF1299" i="10"/>
  <c r="AF1300" i="10"/>
  <c r="AF1301" i="10"/>
  <c r="AF1302" i="10"/>
  <c r="AF1303" i="10"/>
  <c r="AF1304" i="10"/>
  <c r="AF1305" i="10"/>
  <c r="AF1306" i="10"/>
  <c r="AF1307" i="10"/>
  <c r="AF1308" i="10"/>
  <c r="AF1309" i="10"/>
  <c r="AF1310" i="10"/>
  <c r="AF1311" i="10"/>
  <c r="AF1312" i="10"/>
  <c r="AF1313" i="10"/>
  <c r="AF1314" i="10"/>
  <c r="AF1315" i="10"/>
  <c r="AF1316" i="10"/>
  <c r="AF1317" i="10"/>
  <c r="AF1318" i="10"/>
  <c r="AF1319" i="10"/>
  <c r="AF1320" i="10"/>
  <c r="AF1321" i="10"/>
  <c r="AF1322" i="10"/>
  <c r="AF1323" i="10"/>
  <c r="AF1324" i="10"/>
  <c r="AF1325" i="10"/>
  <c r="AF1326" i="10"/>
  <c r="AF1327" i="10"/>
  <c r="AF1328" i="10"/>
  <c r="AF1329" i="10"/>
  <c r="AF1330" i="10"/>
  <c r="AF1331" i="10"/>
  <c r="AF1332" i="10"/>
  <c r="AF1333" i="10"/>
  <c r="AF1334" i="10"/>
  <c r="AF1335" i="10"/>
  <c r="AF1336" i="10"/>
  <c r="AF1337" i="10"/>
  <c r="AF1338" i="10"/>
  <c r="AF1339" i="10"/>
  <c r="AF1340" i="10"/>
  <c r="AF1341" i="10"/>
  <c r="AF1342" i="10"/>
  <c r="AF1343" i="10"/>
  <c r="AF1344" i="10"/>
  <c r="AF1345" i="10"/>
  <c r="AF1346" i="10"/>
  <c r="AF1347" i="10"/>
  <c r="AF1348" i="10"/>
  <c r="AF1349" i="10"/>
  <c r="AF1350" i="10"/>
  <c r="AF1351" i="10"/>
  <c r="AF1352" i="10"/>
  <c r="AF1353" i="10"/>
  <c r="AF1354" i="10"/>
  <c r="AF1355" i="10"/>
  <c r="AF1356" i="10"/>
  <c r="AF1357" i="10"/>
  <c r="AF1358" i="10"/>
  <c r="AF1359" i="10"/>
  <c r="AF1360" i="10"/>
  <c r="AF1361" i="10"/>
  <c r="AF1362" i="10"/>
  <c r="AF1363" i="10"/>
  <c r="AF1364" i="10"/>
  <c r="AF1365" i="10"/>
  <c r="AF1366" i="10"/>
  <c r="AF1367" i="10"/>
  <c r="AF1368" i="10"/>
  <c r="AF1369" i="10"/>
  <c r="AF1370" i="10"/>
  <c r="AF1371" i="10"/>
  <c r="AF1372" i="10"/>
  <c r="AF1373" i="10"/>
  <c r="AF1374" i="10"/>
  <c r="AF1375" i="10"/>
  <c r="AF1376" i="10"/>
  <c r="AF1377" i="10"/>
  <c r="AF1378" i="10"/>
  <c r="AF1379" i="10"/>
  <c r="AF1380" i="10"/>
  <c r="AF1381" i="10"/>
  <c r="AF1382" i="10"/>
  <c r="AF1383" i="10"/>
  <c r="AF1384" i="10"/>
  <c r="AF1385" i="10"/>
  <c r="AF1386" i="10"/>
  <c r="AF1387" i="10"/>
  <c r="AF1388" i="10"/>
  <c r="AF1389" i="10"/>
  <c r="AF1390" i="10"/>
  <c r="AF1391" i="10"/>
  <c r="AF1392" i="10"/>
  <c r="AF1393" i="10"/>
  <c r="AF1394" i="10"/>
  <c r="AF1395" i="10"/>
  <c r="AF1396" i="10"/>
  <c r="AF1397" i="10"/>
  <c r="AF1398" i="10"/>
  <c r="AF1399" i="10"/>
  <c r="AF1400" i="10"/>
  <c r="AF1401" i="10"/>
  <c r="AF1402" i="10"/>
  <c r="AF1403" i="10"/>
  <c r="AF1404" i="10"/>
  <c r="AF1405" i="10"/>
  <c r="AF1406" i="10"/>
  <c r="AF1407" i="10"/>
  <c r="AF1408" i="10"/>
  <c r="AF1409" i="10"/>
  <c r="AF1410" i="10"/>
  <c r="AF1411" i="10"/>
  <c r="AF1412" i="10"/>
  <c r="AF1413" i="10"/>
  <c r="AF1414" i="10"/>
  <c r="AF1415" i="10"/>
  <c r="AF1416" i="10"/>
  <c r="AF1417" i="10"/>
  <c r="AF1418" i="10"/>
  <c r="AF1419" i="10"/>
  <c r="AF1420" i="10"/>
  <c r="AF1421" i="10"/>
  <c r="AF1422" i="10"/>
  <c r="AF1423" i="10"/>
  <c r="AF1424" i="10"/>
  <c r="AF1425" i="10"/>
  <c r="AF1426" i="10"/>
  <c r="AF1427" i="10"/>
  <c r="AF1428" i="10"/>
  <c r="AF1429" i="10"/>
  <c r="AF1430" i="10"/>
  <c r="AF1431" i="10"/>
  <c r="AF1432" i="10"/>
  <c r="AF1433" i="10"/>
  <c r="AF1434" i="10"/>
  <c r="AF1435" i="10"/>
  <c r="AF1436" i="10"/>
  <c r="AF1437" i="10"/>
  <c r="AF1438" i="10"/>
  <c r="AF1439" i="10"/>
  <c r="AF1440" i="10"/>
  <c r="AF1441" i="10"/>
  <c r="AF1442" i="10"/>
  <c r="AF1443" i="10"/>
  <c r="AF1444" i="10"/>
  <c r="AF1445" i="10"/>
  <c r="AF1446" i="10"/>
  <c r="AF1447" i="10"/>
  <c r="AF1448" i="10"/>
  <c r="AF1449" i="10"/>
  <c r="AF1450" i="10"/>
  <c r="AF1451" i="10"/>
  <c r="AF1452" i="10"/>
  <c r="AF1453" i="10"/>
  <c r="AF1454" i="10"/>
  <c r="AF1455" i="10"/>
  <c r="AF1456" i="10"/>
  <c r="AF1457" i="10"/>
  <c r="AF1458" i="10"/>
  <c r="AF1459" i="10"/>
  <c r="AF1460" i="10"/>
  <c r="AF1461" i="10"/>
  <c r="AF1462" i="10"/>
  <c r="AF1463" i="10"/>
  <c r="AF1464" i="10"/>
  <c r="AF1465" i="10"/>
  <c r="AF1466" i="10"/>
  <c r="AF1467" i="10"/>
  <c r="AF1468" i="10"/>
  <c r="AF1469" i="10"/>
  <c r="AF1470" i="10"/>
  <c r="AF1471" i="10"/>
  <c r="AF1472" i="10"/>
  <c r="AF1473" i="10"/>
  <c r="AF1474" i="10"/>
  <c r="AF1475" i="10"/>
  <c r="AF1476" i="10"/>
  <c r="AF1477" i="10"/>
  <c r="AF1478" i="10"/>
  <c r="AF1479" i="10"/>
  <c r="AF1480" i="10"/>
  <c r="AF1481" i="10"/>
  <c r="AF1482" i="10"/>
  <c r="AF1483" i="10"/>
  <c r="AF1484" i="10"/>
  <c r="AF1485" i="10"/>
  <c r="AF1486" i="10"/>
  <c r="AF1487" i="10"/>
  <c r="AF1488" i="10"/>
  <c r="AF1489" i="10"/>
  <c r="AF1490" i="10"/>
  <c r="AF1491" i="10"/>
  <c r="AF1492" i="10"/>
  <c r="AF1493" i="10"/>
  <c r="AF1494" i="10"/>
  <c r="AF1495" i="10"/>
  <c r="AF1496" i="10"/>
  <c r="AF1497" i="10"/>
  <c r="AF1498" i="10"/>
  <c r="AF1499" i="10"/>
  <c r="AF1500" i="10"/>
  <c r="AF1501" i="10"/>
  <c r="AF1502" i="10"/>
  <c r="AF1503" i="10"/>
  <c r="AF1504" i="10"/>
  <c r="AF1505" i="10"/>
  <c r="AF1506" i="10"/>
  <c r="AF1507" i="10"/>
  <c r="AF1508" i="10"/>
  <c r="AF1509" i="10"/>
  <c r="AF1510" i="10"/>
  <c r="AE4" i="10"/>
  <c r="AE5" i="10"/>
  <c r="AE6" i="10"/>
  <c r="AE7" i="10"/>
  <c r="AE8" i="10"/>
  <c r="AE9" i="10"/>
  <c r="AE10" i="10"/>
  <c r="AE11" i="10"/>
  <c r="AE12" i="10"/>
  <c r="AE13" i="10"/>
  <c r="AE14" i="10"/>
  <c r="AE15" i="10"/>
  <c r="AE16" i="10"/>
  <c r="AE17" i="10"/>
  <c r="AE18" i="10"/>
  <c r="AE19" i="10"/>
  <c r="AE20" i="10"/>
  <c r="AE21" i="10"/>
  <c r="AE22" i="10"/>
  <c r="AE23" i="10"/>
  <c r="AE24" i="10"/>
  <c r="AE25" i="10"/>
  <c r="AE26" i="10"/>
  <c r="AE27" i="10"/>
  <c r="AE28" i="10"/>
  <c r="AE29" i="10"/>
  <c r="AE30" i="10"/>
  <c r="AE31" i="10"/>
  <c r="AE32" i="10"/>
  <c r="AE33" i="10"/>
  <c r="AE34" i="10"/>
  <c r="AE35" i="10"/>
  <c r="AE36" i="10"/>
  <c r="AE37" i="10"/>
  <c r="AE38" i="10"/>
  <c r="AE39" i="10"/>
  <c r="AE40" i="10"/>
  <c r="AE41" i="10"/>
  <c r="AE42" i="10"/>
  <c r="AE43" i="10"/>
  <c r="AE44" i="10"/>
  <c r="AE45" i="10"/>
  <c r="AE46" i="10"/>
  <c r="AE47" i="10"/>
  <c r="AE48" i="10"/>
  <c r="AE49" i="10"/>
  <c r="AE50" i="10"/>
  <c r="AE51" i="10"/>
  <c r="AE52" i="10"/>
  <c r="AE53" i="10"/>
  <c r="AE54" i="10"/>
  <c r="AE55" i="10"/>
  <c r="AE56" i="10"/>
  <c r="AE57" i="10"/>
  <c r="AE58" i="10"/>
  <c r="AE59" i="10"/>
  <c r="AE60" i="10"/>
  <c r="AE61" i="10"/>
  <c r="AE62" i="10"/>
  <c r="AE63" i="10"/>
  <c r="AE64" i="10"/>
  <c r="AE65" i="10"/>
  <c r="AE66"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5" i="10"/>
  <c r="AE96" i="10"/>
  <c r="AE97" i="10"/>
  <c r="AE98" i="10"/>
  <c r="AE99" i="10"/>
  <c r="AE100" i="10"/>
  <c r="AE101" i="10"/>
  <c r="AE102" i="10"/>
  <c r="AE103" i="10"/>
  <c r="AE104" i="10"/>
  <c r="AE105" i="10"/>
  <c r="AE106" i="10"/>
  <c r="AE107" i="10"/>
  <c r="AE108" i="10"/>
  <c r="AE109" i="10"/>
  <c r="AE110" i="10"/>
  <c r="AE111" i="10"/>
  <c r="AE112" i="10"/>
  <c r="AE113" i="10"/>
  <c r="AE114" i="10"/>
  <c r="AE115" i="10"/>
  <c r="AE116" i="10"/>
  <c r="AE117" i="10"/>
  <c r="AE118" i="10"/>
  <c r="AE119" i="10"/>
  <c r="AE120" i="10"/>
  <c r="AE121" i="10"/>
  <c r="AE122" i="10"/>
  <c r="AE123" i="10"/>
  <c r="AE124" i="10"/>
  <c r="AE125" i="10"/>
  <c r="AE126" i="10"/>
  <c r="AE127" i="10"/>
  <c r="AE128" i="10"/>
  <c r="AE129" i="10"/>
  <c r="AE130" i="10"/>
  <c r="AE131" i="10"/>
  <c r="AE132" i="10"/>
  <c r="AE133" i="10"/>
  <c r="AE134" i="10"/>
  <c r="AE135" i="10"/>
  <c r="AE136" i="10"/>
  <c r="AE137" i="10"/>
  <c r="AE138" i="10"/>
  <c r="AE139" i="10"/>
  <c r="AE140" i="10"/>
  <c r="AE141" i="10"/>
  <c r="AE142" i="10"/>
  <c r="AE143" i="10"/>
  <c r="AE144" i="10"/>
  <c r="AE145" i="10"/>
  <c r="AE146" i="10"/>
  <c r="AE147" i="10"/>
  <c r="AE148" i="10"/>
  <c r="AE149" i="10"/>
  <c r="AE150" i="10"/>
  <c r="AE151" i="10"/>
  <c r="AE152" i="10"/>
  <c r="AE153" i="10"/>
  <c r="AE154" i="10"/>
  <c r="AE155" i="10"/>
  <c r="AE156" i="10"/>
  <c r="AE157" i="10"/>
  <c r="AE158" i="10"/>
  <c r="AE159" i="10"/>
  <c r="AE160" i="10"/>
  <c r="AE161" i="10"/>
  <c r="AE162" i="10"/>
  <c r="AE163" i="10"/>
  <c r="AE164" i="10"/>
  <c r="AE165" i="10"/>
  <c r="AE166" i="10"/>
  <c r="AE167" i="10"/>
  <c r="AE168" i="10"/>
  <c r="AE169" i="10"/>
  <c r="AE170" i="10"/>
  <c r="AE171" i="10"/>
  <c r="AE172" i="10"/>
  <c r="AE173" i="10"/>
  <c r="AE174" i="10"/>
  <c r="AE175" i="10"/>
  <c r="AE176" i="10"/>
  <c r="AE177" i="10"/>
  <c r="AE178" i="10"/>
  <c r="AE179" i="10"/>
  <c r="AE180" i="10"/>
  <c r="AE181" i="10"/>
  <c r="AE182" i="10"/>
  <c r="AE183" i="10"/>
  <c r="AE184" i="10"/>
  <c r="AE185" i="10"/>
  <c r="AE186" i="10"/>
  <c r="AE187" i="10"/>
  <c r="AE188" i="10"/>
  <c r="AE189" i="10"/>
  <c r="AE190" i="10"/>
  <c r="AE191" i="10"/>
  <c r="AE192" i="10"/>
  <c r="AE193" i="10"/>
  <c r="AE194" i="10"/>
  <c r="AE195" i="10"/>
  <c r="AE196" i="10"/>
  <c r="AE197" i="10"/>
  <c r="AE198" i="10"/>
  <c r="AE199" i="10"/>
  <c r="AE200" i="10"/>
  <c r="AE201" i="10"/>
  <c r="AE202" i="10"/>
  <c r="AE203" i="10"/>
  <c r="AE204" i="10"/>
  <c r="AE205" i="10"/>
  <c r="AE206" i="10"/>
  <c r="AE207" i="10"/>
  <c r="AE208" i="10"/>
  <c r="AE209" i="10"/>
  <c r="AE210" i="10"/>
  <c r="AE211" i="10"/>
  <c r="AE212" i="10"/>
  <c r="AE213" i="10"/>
  <c r="AE214" i="10"/>
  <c r="AE215" i="10"/>
  <c r="AE216" i="10"/>
  <c r="AE217" i="10"/>
  <c r="AE218" i="10"/>
  <c r="AE219" i="10"/>
  <c r="AE220" i="10"/>
  <c r="AE221" i="10"/>
  <c r="AE222" i="10"/>
  <c r="AE223" i="10"/>
  <c r="AE224" i="10"/>
  <c r="AE225" i="10"/>
  <c r="AE226" i="10"/>
  <c r="AE227" i="10"/>
  <c r="AE228" i="10"/>
  <c r="AE229" i="10"/>
  <c r="AE230" i="10"/>
  <c r="AE231" i="10"/>
  <c r="AE232" i="10"/>
  <c r="AE233" i="10"/>
  <c r="AE234" i="10"/>
  <c r="AE235" i="10"/>
  <c r="AE236" i="10"/>
  <c r="AE237" i="10"/>
  <c r="AE238" i="10"/>
  <c r="AE239" i="10"/>
  <c r="AE240" i="10"/>
  <c r="AE241" i="10"/>
  <c r="AE242" i="10"/>
  <c r="AE243" i="10"/>
  <c r="AE244" i="10"/>
  <c r="AE245" i="10"/>
  <c r="AE246" i="10"/>
  <c r="AE247" i="10"/>
  <c r="AE248" i="10"/>
  <c r="AE249" i="10"/>
  <c r="AE250" i="10"/>
  <c r="AE251" i="10"/>
  <c r="AE252" i="10"/>
  <c r="AE253" i="10"/>
  <c r="AE254" i="10"/>
  <c r="AE255" i="10"/>
  <c r="AE256" i="10"/>
  <c r="AE257" i="10"/>
  <c r="AE258" i="10"/>
  <c r="AE259" i="10"/>
  <c r="AE260" i="10"/>
  <c r="AE261" i="10"/>
  <c r="AE262" i="10"/>
  <c r="AE263" i="10"/>
  <c r="AE264" i="10"/>
  <c r="AE265" i="10"/>
  <c r="AE266" i="10"/>
  <c r="AE267" i="10"/>
  <c r="AE268" i="10"/>
  <c r="AE269" i="10"/>
  <c r="AE270" i="10"/>
  <c r="AE271" i="10"/>
  <c r="AE272" i="10"/>
  <c r="AE273" i="10"/>
  <c r="AE274" i="10"/>
  <c r="AE275" i="10"/>
  <c r="AE276" i="10"/>
  <c r="AE277" i="10"/>
  <c r="AE278" i="10"/>
  <c r="AE279" i="10"/>
  <c r="AE280" i="10"/>
  <c r="AE281" i="10"/>
  <c r="AE282" i="10"/>
  <c r="AE283" i="10"/>
  <c r="AE284" i="10"/>
  <c r="AE285" i="10"/>
  <c r="AE286" i="10"/>
  <c r="AE287" i="10"/>
  <c r="AE288" i="10"/>
  <c r="AE289" i="10"/>
  <c r="AE290" i="10"/>
  <c r="AE291" i="10"/>
  <c r="AE292" i="10"/>
  <c r="AE293" i="10"/>
  <c r="AE294" i="10"/>
  <c r="AE295" i="10"/>
  <c r="AE296" i="10"/>
  <c r="AE297" i="10"/>
  <c r="AE298" i="10"/>
  <c r="AE299" i="10"/>
  <c r="AE300" i="10"/>
  <c r="AE301" i="10"/>
  <c r="AE302" i="10"/>
  <c r="AE303" i="10"/>
  <c r="AE304" i="10"/>
  <c r="AE305" i="10"/>
  <c r="AE306" i="10"/>
  <c r="AE307" i="10"/>
  <c r="AE308" i="10"/>
  <c r="AE309" i="10"/>
  <c r="AE310" i="10"/>
  <c r="AE311" i="10"/>
  <c r="AE312" i="10"/>
  <c r="AE313" i="10"/>
  <c r="AE314" i="10"/>
  <c r="AE315" i="10"/>
  <c r="AE316" i="10"/>
  <c r="AE317" i="10"/>
  <c r="AE318" i="10"/>
  <c r="AE319" i="10"/>
  <c r="AE320" i="10"/>
  <c r="AE321" i="10"/>
  <c r="AE322" i="10"/>
  <c r="AE323" i="10"/>
  <c r="AE324" i="10"/>
  <c r="AE325" i="10"/>
  <c r="AE326" i="10"/>
  <c r="AE327" i="10"/>
  <c r="AE328" i="10"/>
  <c r="AE329" i="10"/>
  <c r="AE330" i="10"/>
  <c r="AE331" i="10"/>
  <c r="AE332" i="10"/>
  <c r="AE333" i="10"/>
  <c r="AE334" i="10"/>
  <c r="AE335" i="10"/>
  <c r="AE336" i="10"/>
  <c r="AE337" i="10"/>
  <c r="AE338" i="10"/>
  <c r="AE339" i="10"/>
  <c r="AE340" i="10"/>
  <c r="AE341" i="10"/>
  <c r="AE342" i="10"/>
  <c r="AE343" i="10"/>
  <c r="AE344" i="10"/>
  <c r="AE345" i="10"/>
  <c r="AE346" i="10"/>
  <c r="AE347" i="10"/>
  <c r="AE348" i="10"/>
  <c r="AE349" i="10"/>
  <c r="AE350" i="10"/>
  <c r="AE351" i="10"/>
  <c r="AE352" i="10"/>
  <c r="AE353" i="10"/>
  <c r="AE354" i="10"/>
  <c r="AE355" i="10"/>
  <c r="AE356" i="10"/>
  <c r="AE357" i="10"/>
  <c r="AE358" i="10"/>
  <c r="AE359" i="10"/>
  <c r="AE360" i="10"/>
  <c r="AE361" i="10"/>
  <c r="AE362" i="10"/>
  <c r="AE363" i="10"/>
  <c r="AE364" i="10"/>
  <c r="AE365" i="10"/>
  <c r="AE366" i="10"/>
  <c r="AE367" i="10"/>
  <c r="AE368" i="10"/>
  <c r="AE369" i="10"/>
  <c r="AE370" i="10"/>
  <c r="AE371" i="10"/>
  <c r="AE372" i="10"/>
  <c r="AE373" i="10"/>
  <c r="AE374" i="10"/>
  <c r="AE375" i="10"/>
  <c r="AE376" i="10"/>
  <c r="AE377" i="10"/>
  <c r="AE378" i="10"/>
  <c r="AE379" i="10"/>
  <c r="AE380" i="10"/>
  <c r="AE381" i="10"/>
  <c r="AE382" i="10"/>
  <c r="AE383" i="10"/>
  <c r="AE384" i="10"/>
  <c r="AE385" i="10"/>
  <c r="AE386" i="10"/>
  <c r="AE387" i="10"/>
  <c r="AE388" i="10"/>
  <c r="AE389" i="10"/>
  <c r="AE390" i="10"/>
  <c r="AE391" i="10"/>
  <c r="AE392" i="10"/>
  <c r="AE393" i="10"/>
  <c r="AE394" i="10"/>
  <c r="AE395" i="10"/>
  <c r="AE396" i="10"/>
  <c r="AE397" i="10"/>
  <c r="AE398" i="10"/>
  <c r="AE399" i="10"/>
  <c r="AE400" i="10"/>
  <c r="AE401" i="10"/>
  <c r="AE402" i="10"/>
  <c r="AE403" i="10"/>
  <c r="AE404" i="10"/>
  <c r="AE405" i="10"/>
  <c r="AE406" i="10"/>
  <c r="AE407" i="10"/>
  <c r="AE408" i="10"/>
  <c r="AE409" i="10"/>
  <c r="AE410" i="10"/>
  <c r="AE411" i="10"/>
  <c r="AE412" i="10"/>
  <c r="AE413" i="10"/>
  <c r="AE414" i="10"/>
  <c r="AE415" i="10"/>
  <c r="AE416" i="10"/>
  <c r="AE417" i="10"/>
  <c r="AE418" i="10"/>
  <c r="AE419" i="10"/>
  <c r="AE420" i="10"/>
  <c r="AE421" i="10"/>
  <c r="AE422" i="10"/>
  <c r="AE423" i="10"/>
  <c r="AE424" i="10"/>
  <c r="AE425" i="10"/>
  <c r="AE426" i="10"/>
  <c r="AE427" i="10"/>
  <c r="AE428" i="10"/>
  <c r="AE429" i="10"/>
  <c r="AE430" i="10"/>
  <c r="AE431" i="10"/>
  <c r="AE432" i="10"/>
  <c r="AE433" i="10"/>
  <c r="AE434" i="10"/>
  <c r="AE435" i="10"/>
  <c r="AE436" i="10"/>
  <c r="AE437" i="10"/>
  <c r="AE438" i="10"/>
  <c r="AE439" i="10"/>
  <c r="AE440" i="10"/>
  <c r="AE441" i="10"/>
  <c r="AE442" i="10"/>
  <c r="AE443" i="10"/>
  <c r="AE444" i="10"/>
  <c r="AE445" i="10"/>
  <c r="AE446" i="10"/>
  <c r="AE447" i="10"/>
  <c r="AE448" i="10"/>
  <c r="AE449" i="10"/>
  <c r="AE450" i="10"/>
  <c r="AE451" i="10"/>
  <c r="AE452" i="10"/>
  <c r="AE453" i="10"/>
  <c r="AE454" i="10"/>
  <c r="AE455" i="10"/>
  <c r="AE456" i="10"/>
  <c r="AE457" i="10"/>
  <c r="AE458" i="10"/>
  <c r="AE459" i="10"/>
  <c r="AE460" i="10"/>
  <c r="AE461" i="10"/>
  <c r="AE462" i="10"/>
  <c r="AE463" i="10"/>
  <c r="AE464" i="10"/>
  <c r="AE465" i="10"/>
  <c r="AE466" i="10"/>
  <c r="AE467" i="10"/>
  <c r="AE468" i="10"/>
  <c r="AE469" i="10"/>
  <c r="AE470" i="10"/>
  <c r="AE471" i="10"/>
  <c r="AE472" i="10"/>
  <c r="AE473" i="10"/>
  <c r="AE474" i="10"/>
  <c r="AE475" i="10"/>
  <c r="AE476" i="10"/>
  <c r="AE477" i="10"/>
  <c r="AE478" i="10"/>
  <c r="AE479" i="10"/>
  <c r="AE480" i="10"/>
  <c r="AE481" i="10"/>
  <c r="AE482" i="10"/>
  <c r="AE483" i="10"/>
  <c r="AE484" i="10"/>
  <c r="AE485" i="10"/>
  <c r="AE486" i="10"/>
  <c r="AE487" i="10"/>
  <c r="AE488" i="10"/>
  <c r="AE489" i="10"/>
  <c r="AE490" i="10"/>
  <c r="AE491" i="10"/>
  <c r="AE492" i="10"/>
  <c r="AE493" i="10"/>
  <c r="AE494" i="10"/>
  <c r="AE495" i="10"/>
  <c r="AE496" i="10"/>
  <c r="AE497" i="10"/>
  <c r="AE498" i="10"/>
  <c r="AE499" i="10"/>
  <c r="AE500" i="10"/>
  <c r="AE501" i="10"/>
  <c r="AE502" i="10"/>
  <c r="AE503" i="10"/>
  <c r="AE504" i="10"/>
  <c r="AE505" i="10"/>
  <c r="AE506" i="10"/>
  <c r="AE507" i="10"/>
  <c r="AE508" i="10"/>
  <c r="AE509" i="10"/>
  <c r="AE510" i="10"/>
  <c r="AE511" i="10"/>
  <c r="AE512" i="10"/>
  <c r="AE513" i="10"/>
  <c r="AE514" i="10"/>
  <c r="AE515" i="10"/>
  <c r="AE516" i="10"/>
  <c r="AE517" i="10"/>
  <c r="AE518" i="10"/>
  <c r="AE519" i="10"/>
  <c r="AE520" i="10"/>
  <c r="AE521" i="10"/>
  <c r="AE522" i="10"/>
  <c r="AE523" i="10"/>
  <c r="AE524" i="10"/>
  <c r="AE525" i="10"/>
  <c r="AE526" i="10"/>
  <c r="AE527" i="10"/>
  <c r="AE528" i="10"/>
  <c r="AE529" i="10"/>
  <c r="AE530" i="10"/>
  <c r="AE531" i="10"/>
  <c r="AE532" i="10"/>
  <c r="AE533" i="10"/>
  <c r="AE534" i="10"/>
  <c r="AE535" i="10"/>
  <c r="AE536" i="10"/>
  <c r="AE537" i="10"/>
  <c r="AE538" i="10"/>
  <c r="AE539" i="10"/>
  <c r="AE540" i="10"/>
  <c r="AE541" i="10"/>
  <c r="AE542" i="10"/>
  <c r="AE543" i="10"/>
  <c r="AE544" i="10"/>
  <c r="AE545" i="10"/>
  <c r="AE546" i="10"/>
  <c r="AE547" i="10"/>
  <c r="AE548" i="10"/>
  <c r="AE549" i="10"/>
  <c r="AE550" i="10"/>
  <c r="AE551" i="10"/>
  <c r="AE552" i="10"/>
  <c r="AE553" i="10"/>
  <c r="AE554" i="10"/>
  <c r="AE555" i="10"/>
  <c r="AE556" i="10"/>
  <c r="AE557" i="10"/>
  <c r="AE558" i="10"/>
  <c r="AE559" i="10"/>
  <c r="AE560" i="10"/>
  <c r="AE561" i="10"/>
  <c r="AE562" i="10"/>
  <c r="AE563" i="10"/>
  <c r="AE564" i="10"/>
  <c r="AE565" i="10"/>
  <c r="AE566" i="10"/>
  <c r="AE567" i="10"/>
  <c r="AE568" i="10"/>
  <c r="AE569" i="10"/>
  <c r="AE570" i="10"/>
  <c r="AE571" i="10"/>
  <c r="AE572" i="10"/>
  <c r="AE573" i="10"/>
  <c r="AE574" i="10"/>
  <c r="AE575" i="10"/>
  <c r="AE576" i="10"/>
  <c r="AE577" i="10"/>
  <c r="AE578" i="10"/>
  <c r="AE579" i="10"/>
  <c r="AE580" i="10"/>
  <c r="AE581" i="10"/>
  <c r="AE582" i="10"/>
  <c r="AE583" i="10"/>
  <c r="AE584" i="10"/>
  <c r="AE585" i="10"/>
  <c r="AE586" i="10"/>
  <c r="AE587" i="10"/>
  <c r="AE588" i="10"/>
  <c r="AE589" i="10"/>
  <c r="AE590" i="10"/>
  <c r="AE591" i="10"/>
  <c r="AE592" i="10"/>
  <c r="AE593" i="10"/>
  <c r="AE594" i="10"/>
  <c r="AE595" i="10"/>
  <c r="AE596" i="10"/>
  <c r="AE597" i="10"/>
  <c r="AE598" i="10"/>
  <c r="AE599" i="10"/>
  <c r="AE600" i="10"/>
  <c r="AE601" i="10"/>
  <c r="AE602" i="10"/>
  <c r="AE603" i="10"/>
  <c r="AE604" i="10"/>
  <c r="AE605" i="10"/>
  <c r="AE606" i="10"/>
  <c r="AE607" i="10"/>
  <c r="AE608" i="10"/>
  <c r="AE609" i="10"/>
  <c r="AE610" i="10"/>
  <c r="AE611" i="10"/>
  <c r="AE612" i="10"/>
  <c r="AE613" i="10"/>
  <c r="AE614" i="10"/>
  <c r="AE615" i="10"/>
  <c r="AE616" i="10"/>
  <c r="AE617" i="10"/>
  <c r="AE618" i="10"/>
  <c r="AE619" i="10"/>
  <c r="AE620" i="10"/>
  <c r="AE621" i="10"/>
  <c r="AE622" i="10"/>
  <c r="AE623" i="10"/>
  <c r="AE624" i="10"/>
  <c r="AE625" i="10"/>
  <c r="AE626" i="10"/>
  <c r="AE627" i="10"/>
  <c r="AE628" i="10"/>
  <c r="AE629" i="10"/>
  <c r="AE630" i="10"/>
  <c r="AE631" i="10"/>
  <c r="AE632" i="10"/>
  <c r="AE633" i="10"/>
  <c r="AE634" i="10"/>
  <c r="AE635" i="10"/>
  <c r="AE636" i="10"/>
  <c r="AE637" i="10"/>
  <c r="AE638" i="10"/>
  <c r="AE639" i="10"/>
  <c r="AE640" i="10"/>
  <c r="AE641" i="10"/>
  <c r="AE642" i="10"/>
  <c r="AE643" i="10"/>
  <c r="AE644" i="10"/>
  <c r="AE645" i="10"/>
  <c r="AE646" i="10"/>
  <c r="AE647" i="10"/>
  <c r="AE648" i="10"/>
  <c r="AE649" i="10"/>
  <c r="AE650" i="10"/>
  <c r="AE651" i="10"/>
  <c r="AE652" i="10"/>
  <c r="AE653" i="10"/>
  <c r="AE654" i="10"/>
  <c r="AE655" i="10"/>
  <c r="AE656" i="10"/>
  <c r="AE657" i="10"/>
  <c r="AE658" i="10"/>
  <c r="AE659" i="10"/>
  <c r="AE660" i="10"/>
  <c r="AE661" i="10"/>
  <c r="AE662" i="10"/>
  <c r="AE663" i="10"/>
  <c r="AE664" i="10"/>
  <c r="AE665" i="10"/>
  <c r="AE666" i="10"/>
  <c r="AE667" i="10"/>
  <c r="AE668" i="10"/>
  <c r="AE669" i="10"/>
  <c r="AE670" i="10"/>
  <c r="AE671" i="10"/>
  <c r="AE672" i="10"/>
  <c r="AE673" i="10"/>
  <c r="AE674" i="10"/>
  <c r="AE675" i="10"/>
  <c r="AE676" i="10"/>
  <c r="AE677" i="10"/>
  <c r="AE678" i="10"/>
  <c r="AE679" i="10"/>
  <c r="AE680" i="10"/>
  <c r="AE681" i="10"/>
  <c r="AE682" i="10"/>
  <c r="AE683" i="10"/>
  <c r="AE684" i="10"/>
  <c r="AE685" i="10"/>
  <c r="AE686" i="10"/>
  <c r="AE687" i="10"/>
  <c r="AE688" i="10"/>
  <c r="AE689" i="10"/>
  <c r="AE690" i="10"/>
  <c r="AE691" i="10"/>
  <c r="AE692" i="10"/>
  <c r="AE693" i="10"/>
  <c r="AE694" i="10"/>
  <c r="AE695" i="10"/>
  <c r="AE696" i="10"/>
  <c r="AE697" i="10"/>
  <c r="AE698" i="10"/>
  <c r="AE699" i="10"/>
  <c r="AE700" i="10"/>
  <c r="AE701" i="10"/>
  <c r="AE702" i="10"/>
  <c r="AE703" i="10"/>
  <c r="AE704" i="10"/>
  <c r="AE705" i="10"/>
  <c r="AE706" i="10"/>
  <c r="AE707" i="10"/>
  <c r="AE708" i="10"/>
  <c r="AE709" i="10"/>
  <c r="AE710" i="10"/>
  <c r="AE711" i="10"/>
  <c r="AE712" i="10"/>
  <c r="AE713" i="10"/>
  <c r="AE714" i="10"/>
  <c r="AE715" i="10"/>
  <c r="AE716" i="10"/>
  <c r="AE717" i="10"/>
  <c r="AE718" i="10"/>
  <c r="AE719" i="10"/>
  <c r="AE720" i="10"/>
  <c r="AE721" i="10"/>
  <c r="AE722" i="10"/>
  <c r="AE723" i="10"/>
  <c r="AE724" i="10"/>
  <c r="AE725" i="10"/>
  <c r="AE726" i="10"/>
  <c r="AE727" i="10"/>
  <c r="AE728" i="10"/>
  <c r="AE729" i="10"/>
  <c r="AE730" i="10"/>
  <c r="AE731" i="10"/>
  <c r="AE732" i="10"/>
  <c r="AE733" i="10"/>
  <c r="AE734" i="10"/>
  <c r="AE735" i="10"/>
  <c r="AE736" i="10"/>
  <c r="AE737" i="10"/>
  <c r="AE738" i="10"/>
  <c r="AE739" i="10"/>
  <c r="AE740" i="10"/>
  <c r="AE741" i="10"/>
  <c r="AE742" i="10"/>
  <c r="AE743" i="10"/>
  <c r="AE744" i="10"/>
  <c r="AE745" i="10"/>
  <c r="AE746" i="10"/>
  <c r="AE747" i="10"/>
  <c r="AE748" i="10"/>
  <c r="AE749" i="10"/>
  <c r="AE750" i="10"/>
  <c r="AE751" i="10"/>
  <c r="AE752" i="10"/>
  <c r="AE753" i="10"/>
  <c r="AE754" i="10"/>
  <c r="AE755" i="10"/>
  <c r="AE756" i="10"/>
  <c r="AE757" i="10"/>
  <c r="AE758" i="10"/>
  <c r="AE759" i="10"/>
  <c r="AE760" i="10"/>
  <c r="AE761" i="10"/>
  <c r="AE762" i="10"/>
  <c r="AE763" i="10"/>
  <c r="AE764" i="10"/>
  <c r="AE765" i="10"/>
  <c r="AE766" i="10"/>
  <c r="AE767" i="10"/>
  <c r="AE768" i="10"/>
  <c r="AE769" i="10"/>
  <c r="AE770" i="10"/>
  <c r="AE771" i="10"/>
  <c r="AE772" i="10"/>
  <c r="O772" i="10" s="1"/>
  <c r="AE773" i="10"/>
  <c r="O773" i="10" s="1"/>
  <c r="AE774" i="10"/>
  <c r="AE775" i="10"/>
  <c r="AE776" i="10"/>
  <c r="AE777" i="10"/>
  <c r="AE778" i="10"/>
  <c r="AE779" i="10"/>
  <c r="AE780" i="10"/>
  <c r="AE781" i="10"/>
  <c r="AE782" i="10"/>
  <c r="AE783" i="10"/>
  <c r="AE784" i="10"/>
  <c r="AE785" i="10"/>
  <c r="AE786" i="10"/>
  <c r="AE787" i="10"/>
  <c r="AE788" i="10"/>
  <c r="AE789" i="10"/>
  <c r="AE790" i="10"/>
  <c r="AE791" i="10"/>
  <c r="AE792" i="10"/>
  <c r="AE793" i="10"/>
  <c r="AE794" i="10"/>
  <c r="AE795" i="10"/>
  <c r="AE796" i="10"/>
  <c r="AE797" i="10"/>
  <c r="AE798" i="10"/>
  <c r="AE799" i="10"/>
  <c r="AE800" i="10"/>
  <c r="AE801" i="10"/>
  <c r="AE802" i="10"/>
  <c r="AE803" i="10"/>
  <c r="AE804" i="10"/>
  <c r="AE805" i="10"/>
  <c r="AE806" i="10"/>
  <c r="AE807" i="10"/>
  <c r="AE808" i="10"/>
  <c r="AE809" i="10"/>
  <c r="AE810" i="10"/>
  <c r="AE811" i="10"/>
  <c r="AE812" i="10"/>
  <c r="AE813" i="10"/>
  <c r="AE814" i="10"/>
  <c r="AE815" i="10"/>
  <c r="AE816" i="10"/>
  <c r="AE817" i="10"/>
  <c r="AE818" i="10"/>
  <c r="AE819" i="10"/>
  <c r="AE820" i="10"/>
  <c r="AE821" i="10"/>
  <c r="AE822" i="10"/>
  <c r="AE823" i="10"/>
  <c r="AE824" i="10"/>
  <c r="AE825" i="10"/>
  <c r="AE826" i="10"/>
  <c r="AE827" i="10"/>
  <c r="AE828" i="10"/>
  <c r="AE829" i="10"/>
  <c r="AE830" i="10"/>
  <c r="AE831" i="10"/>
  <c r="AE832" i="10"/>
  <c r="AE833" i="10"/>
  <c r="AE834" i="10"/>
  <c r="AE835" i="10"/>
  <c r="AE836" i="10"/>
  <c r="AE837" i="10"/>
  <c r="AE838" i="10"/>
  <c r="AE839" i="10"/>
  <c r="AE840" i="10"/>
  <c r="AE841" i="10"/>
  <c r="AE842" i="10"/>
  <c r="AE843" i="10"/>
  <c r="AE844" i="10"/>
  <c r="AE845" i="10"/>
  <c r="AE846" i="10"/>
  <c r="AE847" i="10"/>
  <c r="AE848" i="10"/>
  <c r="AE849" i="10"/>
  <c r="AE850" i="10"/>
  <c r="AE851" i="10"/>
  <c r="AE852" i="10"/>
  <c r="AE853" i="10"/>
  <c r="AE854" i="10"/>
  <c r="AE855" i="10"/>
  <c r="AE856" i="10"/>
  <c r="AE857" i="10"/>
  <c r="AE858" i="10"/>
  <c r="AE859" i="10"/>
  <c r="AE860" i="10"/>
  <c r="AE861" i="10"/>
  <c r="AE862" i="10"/>
  <c r="AE863" i="10"/>
  <c r="AE864" i="10"/>
  <c r="AE865" i="10"/>
  <c r="AE866" i="10"/>
  <c r="AE867" i="10"/>
  <c r="AE868" i="10"/>
  <c r="AE869" i="10"/>
  <c r="AE870" i="10"/>
  <c r="AE871" i="10"/>
  <c r="AE872" i="10"/>
  <c r="AE873" i="10"/>
  <c r="AE874" i="10"/>
  <c r="AE875" i="10"/>
  <c r="AE876" i="10"/>
  <c r="AE877" i="10"/>
  <c r="AE878" i="10"/>
  <c r="AE879" i="10"/>
  <c r="AE880" i="10"/>
  <c r="AE881" i="10"/>
  <c r="AE882" i="10"/>
  <c r="AE883" i="10"/>
  <c r="AE884" i="10"/>
  <c r="AE885" i="10"/>
  <c r="AE886" i="10"/>
  <c r="AE887" i="10"/>
  <c r="AE888" i="10"/>
  <c r="AE889" i="10"/>
  <c r="AE890" i="10"/>
  <c r="AE891" i="10"/>
  <c r="AE892" i="10"/>
  <c r="AE893" i="10"/>
  <c r="AE894" i="10"/>
  <c r="AE895" i="10"/>
  <c r="AE896" i="10"/>
  <c r="AE897" i="10"/>
  <c r="AE898" i="10"/>
  <c r="AE899" i="10"/>
  <c r="AE900" i="10"/>
  <c r="AE901" i="10"/>
  <c r="AE902" i="10"/>
  <c r="AE903" i="10"/>
  <c r="AE904" i="10"/>
  <c r="AE905" i="10"/>
  <c r="AE906" i="10"/>
  <c r="AE907" i="10"/>
  <c r="AE908" i="10"/>
  <c r="AE909" i="10"/>
  <c r="AE910" i="10"/>
  <c r="AE911" i="10"/>
  <c r="AE912" i="10"/>
  <c r="AE913" i="10"/>
  <c r="AE914" i="10"/>
  <c r="AE915" i="10"/>
  <c r="AE916" i="10"/>
  <c r="AE917" i="10"/>
  <c r="AE918" i="10"/>
  <c r="AE919" i="10"/>
  <c r="AE920" i="10"/>
  <c r="AE921" i="10"/>
  <c r="AE922" i="10"/>
  <c r="AE923" i="10"/>
  <c r="AE924" i="10"/>
  <c r="AE925" i="10"/>
  <c r="AE926" i="10"/>
  <c r="AE927" i="10"/>
  <c r="AE928" i="10"/>
  <c r="AE929" i="10"/>
  <c r="AE930" i="10"/>
  <c r="AE931" i="10"/>
  <c r="AE932" i="10"/>
  <c r="AE933" i="10"/>
  <c r="AE934" i="10"/>
  <c r="AE935" i="10"/>
  <c r="AE936" i="10"/>
  <c r="AE937" i="10"/>
  <c r="AE938" i="10"/>
  <c r="AE939" i="10"/>
  <c r="AE940" i="10"/>
  <c r="AE941" i="10"/>
  <c r="AE942" i="10"/>
  <c r="AE943" i="10"/>
  <c r="AE944" i="10"/>
  <c r="AE945" i="10"/>
  <c r="AE946" i="10"/>
  <c r="AE947" i="10"/>
  <c r="AE948" i="10"/>
  <c r="AE949" i="10"/>
  <c r="AE950" i="10"/>
  <c r="AE951" i="10"/>
  <c r="AE952" i="10"/>
  <c r="AE953" i="10"/>
  <c r="AE954" i="10"/>
  <c r="AE955" i="10"/>
  <c r="AE956" i="10"/>
  <c r="AE957" i="10"/>
  <c r="AE958" i="10"/>
  <c r="AE959" i="10"/>
  <c r="AE960" i="10"/>
  <c r="AE961" i="10"/>
  <c r="AE962" i="10"/>
  <c r="AE963" i="10"/>
  <c r="AE964" i="10"/>
  <c r="AE965" i="10"/>
  <c r="AE966" i="10"/>
  <c r="AE967" i="10"/>
  <c r="AE968" i="10"/>
  <c r="AE969" i="10"/>
  <c r="AE970" i="10"/>
  <c r="AE971" i="10"/>
  <c r="AE972" i="10"/>
  <c r="AE973" i="10"/>
  <c r="AE974" i="10"/>
  <c r="AE975" i="10"/>
  <c r="AE976" i="10"/>
  <c r="AE977" i="10"/>
  <c r="AE978" i="10"/>
  <c r="AE979" i="10"/>
  <c r="AE980" i="10"/>
  <c r="AE981" i="10"/>
  <c r="AE982" i="10"/>
  <c r="AE983" i="10"/>
  <c r="AE984" i="10"/>
  <c r="AE985" i="10"/>
  <c r="AE986" i="10"/>
  <c r="AE987" i="10"/>
  <c r="AE988" i="10"/>
  <c r="AE989" i="10"/>
  <c r="AE990" i="10"/>
  <c r="AE991" i="10"/>
  <c r="AE992" i="10"/>
  <c r="AE993" i="10"/>
  <c r="AE994" i="10"/>
  <c r="AE995" i="10"/>
  <c r="AE996" i="10"/>
  <c r="AE997" i="10"/>
  <c r="AE998" i="10"/>
  <c r="AE999" i="10"/>
  <c r="AE1000" i="10"/>
  <c r="AE1001" i="10"/>
  <c r="AE1002" i="10"/>
  <c r="AE1003" i="10"/>
  <c r="AE1004" i="10"/>
  <c r="AE1005" i="10"/>
  <c r="AE1006" i="10"/>
  <c r="AE1007" i="10"/>
  <c r="AE1008" i="10"/>
  <c r="AE1009" i="10"/>
  <c r="AE1010" i="10"/>
  <c r="AE1011" i="10"/>
  <c r="AE1012" i="10"/>
  <c r="AE1013" i="10"/>
  <c r="AE1014" i="10"/>
  <c r="AE1015" i="10"/>
  <c r="AE1016" i="10"/>
  <c r="AE1017" i="10"/>
  <c r="AE1018" i="10"/>
  <c r="AE1019" i="10"/>
  <c r="AE1020" i="10"/>
  <c r="AE1021" i="10"/>
  <c r="AE1022" i="10"/>
  <c r="AE1023" i="10"/>
  <c r="AE1024" i="10"/>
  <c r="AE1025" i="10"/>
  <c r="AE1026" i="10"/>
  <c r="AE1027" i="10"/>
  <c r="AE1028" i="10"/>
  <c r="AE1029" i="10"/>
  <c r="AE1030" i="10"/>
  <c r="AE1031" i="10"/>
  <c r="AE1032" i="10"/>
  <c r="AE1033" i="10"/>
  <c r="AE1034" i="10"/>
  <c r="AE1035" i="10"/>
  <c r="AE1036" i="10"/>
  <c r="AE1037" i="10"/>
  <c r="AE1038" i="10"/>
  <c r="AE1039" i="10"/>
  <c r="AE1040" i="10"/>
  <c r="AE1041" i="10"/>
  <c r="AE1042" i="10"/>
  <c r="AE1043" i="10"/>
  <c r="AE1044" i="10"/>
  <c r="AE1045" i="10"/>
  <c r="AE1046" i="10"/>
  <c r="AE1047" i="10"/>
  <c r="AE1048" i="10"/>
  <c r="AE1049" i="10"/>
  <c r="AE1050" i="10"/>
  <c r="AE1051" i="10"/>
  <c r="AE1052" i="10"/>
  <c r="AE1053" i="10"/>
  <c r="AE1054" i="10"/>
  <c r="AE1055" i="10"/>
  <c r="AE1056" i="10"/>
  <c r="AE1057" i="10"/>
  <c r="AE1058" i="10"/>
  <c r="AE1059" i="10"/>
  <c r="AE1060" i="10"/>
  <c r="AE1061" i="10"/>
  <c r="AE1062" i="10"/>
  <c r="AE1063" i="10"/>
  <c r="AE1064" i="10"/>
  <c r="AE1065" i="10"/>
  <c r="AE1066" i="10"/>
  <c r="AE1067" i="10"/>
  <c r="AE1068" i="10"/>
  <c r="AE1069" i="10"/>
  <c r="AE1070" i="10"/>
  <c r="AE1071" i="10"/>
  <c r="AE1072" i="10"/>
  <c r="AE1073" i="10"/>
  <c r="AE1074" i="10"/>
  <c r="AE1075" i="10"/>
  <c r="AE1076" i="10"/>
  <c r="AE1077" i="10"/>
  <c r="AE1078" i="10"/>
  <c r="AE1079" i="10"/>
  <c r="AE1080" i="10"/>
  <c r="AE1081" i="10"/>
  <c r="AE1082" i="10"/>
  <c r="AE1083" i="10"/>
  <c r="AE1084" i="10"/>
  <c r="AE1085" i="10"/>
  <c r="AE1086" i="10"/>
  <c r="AE1087" i="10"/>
  <c r="AE1088" i="10"/>
  <c r="AE1089" i="10"/>
  <c r="AE1090" i="10"/>
  <c r="AE1091" i="10"/>
  <c r="AE1092" i="10"/>
  <c r="AE1093" i="10"/>
  <c r="AE1094" i="10"/>
  <c r="AE1095" i="10"/>
  <c r="AE1096" i="10"/>
  <c r="AE1097" i="10"/>
  <c r="AE1098" i="10"/>
  <c r="AE1099" i="10"/>
  <c r="AE1100" i="10"/>
  <c r="AE1101" i="10"/>
  <c r="AE1102" i="10"/>
  <c r="AE1103" i="10"/>
  <c r="AE1104" i="10"/>
  <c r="AE1105" i="10"/>
  <c r="AE1106" i="10"/>
  <c r="AE1107" i="10"/>
  <c r="AE1108" i="10"/>
  <c r="AE1109" i="10"/>
  <c r="AE1110" i="10"/>
  <c r="AE1111" i="10"/>
  <c r="AE1112" i="10"/>
  <c r="AE1113" i="10"/>
  <c r="AE1114" i="10"/>
  <c r="AE1115" i="10"/>
  <c r="AE1116" i="10"/>
  <c r="AE1117" i="10"/>
  <c r="AE1118" i="10"/>
  <c r="AE1119" i="10"/>
  <c r="AE1120" i="10"/>
  <c r="AE1121" i="10"/>
  <c r="AE1122" i="10"/>
  <c r="AE1123" i="10"/>
  <c r="AE1124" i="10"/>
  <c r="AE1125" i="10"/>
  <c r="AE1126" i="10"/>
  <c r="AE1127" i="10"/>
  <c r="AE1128" i="10"/>
  <c r="AE1129" i="10"/>
  <c r="AE1130" i="10"/>
  <c r="AE1131" i="10"/>
  <c r="AE1132" i="10"/>
  <c r="AE1133" i="10"/>
  <c r="AE1134" i="10"/>
  <c r="AE1135" i="10"/>
  <c r="AE1136" i="10"/>
  <c r="AE1137" i="10"/>
  <c r="AE1138" i="10"/>
  <c r="AE1139" i="10"/>
  <c r="AE1140" i="10"/>
  <c r="AE1141" i="10"/>
  <c r="AE1142" i="10"/>
  <c r="AE1143" i="10"/>
  <c r="AE1144" i="10"/>
  <c r="AE1145" i="10"/>
  <c r="AE1146" i="10"/>
  <c r="AE1147" i="10"/>
  <c r="AE1148" i="10"/>
  <c r="AE1149" i="10"/>
  <c r="AE1150" i="10"/>
  <c r="AE1151" i="10"/>
  <c r="AE1152" i="10"/>
  <c r="AE1153" i="10"/>
  <c r="AE1154" i="10"/>
  <c r="AE1155" i="10"/>
  <c r="AE1156" i="10"/>
  <c r="AE1157" i="10"/>
  <c r="AE1158" i="10"/>
  <c r="AE1159" i="10"/>
  <c r="AE1160" i="10"/>
  <c r="AE1161" i="10"/>
  <c r="AE1162" i="10"/>
  <c r="AE1163" i="10"/>
  <c r="AE1164" i="10"/>
  <c r="AE1165" i="10"/>
  <c r="AE1166" i="10"/>
  <c r="AE1167" i="10"/>
  <c r="AE1168" i="10"/>
  <c r="AE1169" i="10"/>
  <c r="AE1170" i="10"/>
  <c r="AE1171" i="10"/>
  <c r="AE1172" i="10"/>
  <c r="AE1173" i="10"/>
  <c r="AE1174" i="10"/>
  <c r="AE1175" i="10"/>
  <c r="AE1176" i="10"/>
  <c r="AE1177" i="10"/>
  <c r="AE1178" i="10"/>
  <c r="AE1179" i="10"/>
  <c r="AE1180" i="10"/>
  <c r="AE1181" i="10"/>
  <c r="AE1182" i="10"/>
  <c r="AE1183" i="10"/>
  <c r="AE1184" i="10"/>
  <c r="AE1185" i="10"/>
  <c r="AE1186" i="10"/>
  <c r="AE1187" i="10"/>
  <c r="AE1188" i="10"/>
  <c r="AE1189" i="10"/>
  <c r="AE1190" i="10"/>
  <c r="AE1191" i="10"/>
  <c r="AE1192" i="10"/>
  <c r="AE1193" i="10"/>
  <c r="AE1194" i="10"/>
  <c r="AE1195" i="10"/>
  <c r="AE1196" i="10"/>
  <c r="AE1197" i="10"/>
  <c r="AE1198" i="10"/>
  <c r="AE1199" i="10"/>
  <c r="AE1200" i="10"/>
  <c r="AE1201" i="10"/>
  <c r="AE1202" i="10"/>
  <c r="AE1203" i="10"/>
  <c r="AE1204" i="10"/>
  <c r="AE1205" i="10"/>
  <c r="AE1206" i="10"/>
  <c r="AE1207" i="10"/>
  <c r="AE1208" i="10"/>
  <c r="AE1209" i="10"/>
  <c r="AE1210" i="10"/>
  <c r="AE1211" i="10"/>
  <c r="AE1212" i="10"/>
  <c r="AE1213" i="10"/>
  <c r="AE1214" i="10"/>
  <c r="AE1215" i="10"/>
  <c r="AE1216" i="10"/>
  <c r="AE1217" i="10"/>
  <c r="AE1218" i="10"/>
  <c r="AE1219" i="10"/>
  <c r="AE1220" i="10"/>
  <c r="AE1221" i="10"/>
  <c r="AE1222" i="10"/>
  <c r="AE1223" i="10"/>
  <c r="AE1224" i="10"/>
  <c r="AE1225" i="10"/>
  <c r="AE1226" i="10"/>
  <c r="AE1227" i="10"/>
  <c r="AE1228" i="10"/>
  <c r="AE1229" i="10"/>
  <c r="AE1230" i="10"/>
  <c r="AE1231" i="10"/>
  <c r="AE1232" i="10"/>
  <c r="AE1233" i="10"/>
  <c r="AE1234" i="10"/>
  <c r="AE1235" i="10"/>
  <c r="AE1236" i="10"/>
  <c r="AE1237" i="10"/>
  <c r="AE1238" i="10"/>
  <c r="AE1239" i="10"/>
  <c r="AE1240" i="10"/>
  <c r="AE1241" i="10"/>
  <c r="AE1242" i="10"/>
  <c r="AE1243" i="10"/>
  <c r="AE1244" i="10"/>
  <c r="AE1245" i="10"/>
  <c r="AE1246" i="10"/>
  <c r="AE1247" i="10"/>
  <c r="AE1248" i="10"/>
  <c r="AE1249" i="10"/>
  <c r="AE1250" i="10"/>
  <c r="AE1251" i="10"/>
  <c r="AE1252" i="10"/>
  <c r="AE1253" i="10"/>
  <c r="AE1254" i="10"/>
  <c r="AE1255" i="10"/>
  <c r="AE1256" i="10"/>
  <c r="AE1257" i="10"/>
  <c r="AE1258" i="10"/>
  <c r="AE1259" i="10"/>
  <c r="AE1260" i="10"/>
  <c r="AE1261" i="10"/>
  <c r="AE1262" i="10"/>
  <c r="AE1263" i="10"/>
  <c r="AE1264" i="10"/>
  <c r="AE1265" i="10"/>
  <c r="AE1266" i="10"/>
  <c r="AE1267" i="10"/>
  <c r="AE1268" i="10"/>
  <c r="AE1269" i="10"/>
  <c r="AE1270" i="10"/>
  <c r="AE1271" i="10"/>
  <c r="AE1272" i="10"/>
  <c r="AE1273" i="10"/>
  <c r="AE1274" i="10"/>
  <c r="AE1275" i="10"/>
  <c r="AE1276" i="10"/>
  <c r="AE1277" i="10"/>
  <c r="AE1278" i="10"/>
  <c r="AE1279" i="10"/>
  <c r="AE1280" i="10"/>
  <c r="AE1281" i="10"/>
  <c r="AE1282" i="10"/>
  <c r="AE1283" i="10"/>
  <c r="AE1284" i="10"/>
  <c r="AE1285" i="10"/>
  <c r="AE1286" i="10"/>
  <c r="AE1287" i="10"/>
  <c r="AE1288" i="10"/>
  <c r="AE1289" i="10"/>
  <c r="AE1290" i="10"/>
  <c r="AE1291" i="10"/>
  <c r="AE1292" i="10"/>
  <c r="AE1293" i="10"/>
  <c r="AE1294" i="10"/>
  <c r="AE1295" i="10"/>
  <c r="AE1296" i="10"/>
  <c r="AE1297" i="10"/>
  <c r="AE1298" i="10"/>
  <c r="AE1299" i="10"/>
  <c r="AE1300" i="10"/>
  <c r="AE1301" i="10"/>
  <c r="AE1302" i="10"/>
  <c r="AE1303" i="10"/>
  <c r="AE1304" i="10"/>
  <c r="AE1305" i="10"/>
  <c r="AE1306" i="10"/>
  <c r="AE1307" i="10"/>
  <c r="AE1308" i="10"/>
  <c r="AE1309" i="10"/>
  <c r="AE1310" i="10"/>
  <c r="AE1311" i="10"/>
  <c r="AE1312" i="10"/>
  <c r="AE1313" i="10"/>
  <c r="AE1314" i="10"/>
  <c r="AE1315" i="10"/>
  <c r="AE1316" i="10"/>
  <c r="AE1317" i="10"/>
  <c r="AE1318" i="10"/>
  <c r="AE1319" i="10"/>
  <c r="AE1320" i="10"/>
  <c r="AE1321" i="10"/>
  <c r="AE1322" i="10"/>
  <c r="AE1323" i="10"/>
  <c r="AE1324" i="10"/>
  <c r="AE1325" i="10"/>
  <c r="AE1326" i="10"/>
  <c r="AE1327" i="10"/>
  <c r="AE1328" i="10"/>
  <c r="AE1329" i="10"/>
  <c r="AE1330" i="10"/>
  <c r="AE1331" i="10"/>
  <c r="AE1332" i="10"/>
  <c r="AE1333" i="10"/>
  <c r="AE1334" i="10"/>
  <c r="AE1335" i="10"/>
  <c r="AE1336" i="10"/>
  <c r="AE1337" i="10"/>
  <c r="AE1338" i="10"/>
  <c r="AE1339" i="10"/>
  <c r="AE1340" i="10"/>
  <c r="AE1341" i="10"/>
  <c r="AE1342" i="10"/>
  <c r="AE1343" i="10"/>
  <c r="AE1344" i="10"/>
  <c r="AE1345" i="10"/>
  <c r="AE1346" i="10"/>
  <c r="AE1347" i="10"/>
  <c r="AE1348" i="10"/>
  <c r="AE1349" i="10"/>
  <c r="AE1350" i="10"/>
  <c r="AE1351" i="10"/>
  <c r="AE1352" i="10"/>
  <c r="AE1353" i="10"/>
  <c r="AE1354" i="10"/>
  <c r="AE1355" i="10"/>
  <c r="AE1356" i="10"/>
  <c r="AE1357" i="10"/>
  <c r="AE1358" i="10"/>
  <c r="AE1359" i="10"/>
  <c r="AE1360" i="10"/>
  <c r="AE1361" i="10"/>
  <c r="AE1362" i="10"/>
  <c r="AE1363" i="10"/>
  <c r="AE1364" i="10"/>
  <c r="AE1365" i="10"/>
  <c r="AE1366" i="10"/>
  <c r="AE1367" i="10"/>
  <c r="AE1368" i="10"/>
  <c r="AE1369" i="10"/>
  <c r="AE1370" i="10"/>
  <c r="AE1371" i="10"/>
  <c r="AE1372" i="10"/>
  <c r="AE1373" i="10"/>
  <c r="AE1374" i="10"/>
  <c r="AE1375" i="10"/>
  <c r="AE1376" i="10"/>
  <c r="AE1377" i="10"/>
  <c r="AE1378" i="10"/>
  <c r="AE1379" i="10"/>
  <c r="AE1380" i="10"/>
  <c r="AE1381" i="10"/>
  <c r="AE1382" i="10"/>
  <c r="AE1383" i="10"/>
  <c r="AE1384" i="10"/>
  <c r="AE1385" i="10"/>
  <c r="AE1386" i="10"/>
  <c r="AE1387" i="10"/>
  <c r="AE1388" i="10"/>
  <c r="AE1389" i="10"/>
  <c r="AE1390" i="10"/>
  <c r="AE1391" i="10"/>
  <c r="AE1392" i="10"/>
  <c r="AE1393" i="10"/>
  <c r="AE1394" i="10"/>
  <c r="AE1395" i="10"/>
  <c r="AE1396" i="10"/>
  <c r="AE1397" i="10"/>
  <c r="AE1398" i="10"/>
  <c r="AE1399" i="10"/>
  <c r="AE1400" i="10"/>
  <c r="AE1401" i="10"/>
  <c r="AE1402" i="10"/>
  <c r="AE1403" i="10"/>
  <c r="AE1404" i="10"/>
  <c r="AE1405" i="10"/>
  <c r="AE1406" i="10"/>
  <c r="AE1407" i="10"/>
  <c r="AE1408" i="10"/>
  <c r="AE1409" i="10"/>
  <c r="AE1410" i="10"/>
  <c r="AE1411" i="10"/>
  <c r="AE1412" i="10"/>
  <c r="AE1413" i="10"/>
  <c r="AE1414" i="10"/>
  <c r="AE1415" i="10"/>
  <c r="AE1416" i="10"/>
  <c r="AE1417" i="10"/>
  <c r="AE1418" i="10"/>
  <c r="AE1419" i="10"/>
  <c r="AE1420" i="10"/>
  <c r="AE1421" i="10"/>
  <c r="AE1422" i="10"/>
  <c r="AE1423" i="10"/>
  <c r="AE1424" i="10"/>
  <c r="AE1425" i="10"/>
  <c r="AE1426" i="10"/>
  <c r="AE1427" i="10"/>
  <c r="AE1428" i="10"/>
  <c r="AE1429" i="10"/>
  <c r="AE1430" i="10"/>
  <c r="AE1431" i="10"/>
  <c r="AE1432" i="10"/>
  <c r="AE1433" i="10"/>
  <c r="AE1434" i="10"/>
  <c r="AE1435" i="10"/>
  <c r="AE1436" i="10"/>
  <c r="AE1437" i="10"/>
  <c r="AE1438" i="10"/>
  <c r="AE1439" i="10"/>
  <c r="AE1440" i="10"/>
  <c r="AE1441" i="10"/>
  <c r="AE1442" i="10"/>
  <c r="AE1443" i="10"/>
  <c r="AE1444" i="10"/>
  <c r="AE1445" i="10"/>
  <c r="AE1446" i="10"/>
  <c r="AE1447" i="10"/>
  <c r="AE1448" i="10"/>
  <c r="AE1449" i="10"/>
  <c r="AE1450" i="10"/>
  <c r="AE1451" i="10"/>
  <c r="AE1452" i="10"/>
  <c r="AE1453" i="10"/>
  <c r="AE1454" i="10"/>
  <c r="AE1455" i="10"/>
  <c r="AE1456" i="10"/>
  <c r="AE1457" i="10"/>
  <c r="AE1458" i="10"/>
  <c r="AE1459" i="10"/>
  <c r="AE1460" i="10"/>
  <c r="AE1461" i="10"/>
  <c r="AE1462" i="10"/>
  <c r="AE1463" i="10"/>
  <c r="AE1464" i="10"/>
  <c r="AE1465" i="10"/>
  <c r="AE1466" i="10"/>
  <c r="AE1467" i="10"/>
  <c r="AE1468" i="10"/>
  <c r="AE1469" i="10"/>
  <c r="AE1470" i="10"/>
  <c r="AE1471" i="10"/>
  <c r="AE1472" i="10"/>
  <c r="AE1473" i="10"/>
  <c r="AE1474" i="10"/>
  <c r="AE1475" i="10"/>
  <c r="AE1476" i="10"/>
  <c r="AE1477" i="10"/>
  <c r="AE1478" i="10"/>
  <c r="AE1479" i="10"/>
  <c r="AE1480" i="10"/>
  <c r="AE1481" i="10"/>
  <c r="AE1482" i="10"/>
  <c r="AE1483" i="10"/>
  <c r="AE1484" i="10"/>
  <c r="AE1485" i="10"/>
  <c r="AE1486" i="10"/>
  <c r="AE1487" i="10"/>
  <c r="AE1488" i="10"/>
  <c r="AE1489" i="10"/>
  <c r="AE1490" i="10"/>
  <c r="AE1491" i="10"/>
  <c r="AE1492" i="10"/>
  <c r="AE1493" i="10"/>
  <c r="AE1494" i="10"/>
  <c r="AE1495" i="10"/>
  <c r="AE1496" i="10"/>
  <c r="AE1497" i="10"/>
  <c r="AE1498" i="10"/>
  <c r="AE1499" i="10"/>
  <c r="AE1500" i="10"/>
  <c r="AE1501" i="10"/>
  <c r="AE1502" i="10"/>
  <c r="AE1503" i="10"/>
  <c r="AE1504" i="10"/>
  <c r="AE1505" i="10"/>
  <c r="AE1506" i="10"/>
  <c r="AE1507" i="10"/>
  <c r="AE1508" i="10"/>
  <c r="AE1509" i="10"/>
  <c r="AE1510" i="10"/>
  <c r="F811" i="10"/>
  <c r="G811" i="10"/>
  <c r="H811" i="10"/>
  <c r="I811" i="10"/>
  <c r="J811" i="10"/>
  <c r="K811" i="10"/>
  <c r="L811" i="10"/>
  <c r="M811" i="10"/>
  <c r="N811" i="10"/>
  <c r="P811" i="10"/>
  <c r="Q811" i="10"/>
  <c r="R811" i="10"/>
  <c r="S811" i="10"/>
  <c r="T811" i="10"/>
  <c r="U811" i="10"/>
  <c r="V811" i="10"/>
  <c r="W811" i="10"/>
  <c r="X811" i="10"/>
  <c r="Y811" i="10"/>
  <c r="Z811" i="10"/>
  <c r="AA811" i="10"/>
  <c r="AB811" i="10"/>
  <c r="F812" i="10"/>
  <c r="G812" i="10"/>
  <c r="H812" i="10"/>
  <c r="I812" i="10"/>
  <c r="J812" i="10"/>
  <c r="K812" i="10"/>
  <c r="L812" i="10"/>
  <c r="M812" i="10"/>
  <c r="N812" i="10"/>
  <c r="P812" i="10"/>
  <c r="Q812" i="10"/>
  <c r="R812" i="10"/>
  <c r="S812" i="10"/>
  <c r="T812" i="10"/>
  <c r="U812" i="10"/>
  <c r="V812" i="10"/>
  <c r="W812" i="10"/>
  <c r="X812" i="10"/>
  <c r="Y812" i="10"/>
  <c r="Z812" i="10"/>
  <c r="AA812" i="10"/>
  <c r="AB812" i="10"/>
  <c r="F813" i="10"/>
  <c r="G813" i="10"/>
  <c r="H813" i="10"/>
  <c r="I813" i="10"/>
  <c r="J813" i="10"/>
  <c r="K813" i="10"/>
  <c r="L813" i="10"/>
  <c r="M813" i="10"/>
  <c r="N813" i="10"/>
  <c r="P813" i="10"/>
  <c r="Q813" i="10"/>
  <c r="R813" i="10"/>
  <c r="S813" i="10"/>
  <c r="T813" i="10"/>
  <c r="U813" i="10"/>
  <c r="V813" i="10"/>
  <c r="W813" i="10"/>
  <c r="X813" i="10"/>
  <c r="Y813" i="10"/>
  <c r="Z813" i="10"/>
  <c r="AA813" i="10"/>
  <c r="AB813" i="10"/>
  <c r="F814" i="10"/>
  <c r="G814" i="10"/>
  <c r="H814" i="10"/>
  <c r="I814" i="10"/>
  <c r="J814" i="10"/>
  <c r="K814" i="10"/>
  <c r="L814" i="10"/>
  <c r="M814" i="10"/>
  <c r="N814" i="10"/>
  <c r="P814" i="10"/>
  <c r="Q814" i="10"/>
  <c r="R814" i="10"/>
  <c r="S814" i="10"/>
  <c r="T814" i="10"/>
  <c r="U814" i="10"/>
  <c r="V814" i="10"/>
  <c r="W814" i="10"/>
  <c r="X814" i="10"/>
  <c r="Y814" i="10"/>
  <c r="Z814" i="10"/>
  <c r="AA814" i="10"/>
  <c r="AB814" i="10"/>
  <c r="F815" i="10"/>
  <c r="G815" i="10"/>
  <c r="H815" i="10"/>
  <c r="I815" i="10"/>
  <c r="J815" i="10"/>
  <c r="K815" i="10"/>
  <c r="L815" i="10"/>
  <c r="M815" i="10"/>
  <c r="N815" i="10"/>
  <c r="P815" i="10"/>
  <c r="Q815" i="10"/>
  <c r="R815" i="10"/>
  <c r="S815" i="10"/>
  <c r="T815" i="10"/>
  <c r="U815" i="10"/>
  <c r="V815" i="10"/>
  <c r="W815" i="10"/>
  <c r="X815" i="10"/>
  <c r="Y815" i="10"/>
  <c r="Z815" i="10"/>
  <c r="AA815" i="10"/>
  <c r="AB815" i="10"/>
  <c r="F816" i="10"/>
  <c r="G816" i="10"/>
  <c r="H816" i="10"/>
  <c r="I816" i="10"/>
  <c r="J816" i="10"/>
  <c r="K816" i="10"/>
  <c r="L816" i="10"/>
  <c r="M816" i="10"/>
  <c r="N816" i="10"/>
  <c r="P816" i="10"/>
  <c r="Q816" i="10"/>
  <c r="R816" i="10"/>
  <c r="S816" i="10"/>
  <c r="T816" i="10"/>
  <c r="U816" i="10"/>
  <c r="V816" i="10"/>
  <c r="W816" i="10"/>
  <c r="X816" i="10"/>
  <c r="Y816" i="10"/>
  <c r="Z816" i="10"/>
  <c r="AA816" i="10"/>
  <c r="AB816" i="10"/>
  <c r="F817" i="10"/>
  <c r="G817" i="10"/>
  <c r="H817" i="10"/>
  <c r="I817" i="10"/>
  <c r="J817" i="10"/>
  <c r="K817" i="10"/>
  <c r="L817" i="10"/>
  <c r="M817" i="10"/>
  <c r="N817" i="10"/>
  <c r="P817" i="10"/>
  <c r="Q817" i="10"/>
  <c r="R817" i="10"/>
  <c r="S817" i="10"/>
  <c r="T817" i="10"/>
  <c r="U817" i="10"/>
  <c r="V817" i="10"/>
  <c r="W817" i="10"/>
  <c r="X817" i="10"/>
  <c r="Y817" i="10"/>
  <c r="Z817" i="10"/>
  <c r="AA817" i="10"/>
  <c r="AB817" i="10"/>
  <c r="F818" i="10"/>
  <c r="G818" i="10"/>
  <c r="H818" i="10"/>
  <c r="I818" i="10"/>
  <c r="J818" i="10"/>
  <c r="K818" i="10"/>
  <c r="L818" i="10"/>
  <c r="M818" i="10"/>
  <c r="N818" i="10"/>
  <c r="P818" i="10"/>
  <c r="Q818" i="10"/>
  <c r="R818" i="10"/>
  <c r="S818" i="10"/>
  <c r="T818" i="10"/>
  <c r="U818" i="10"/>
  <c r="V818" i="10"/>
  <c r="W818" i="10"/>
  <c r="X818" i="10"/>
  <c r="Y818" i="10"/>
  <c r="Z818" i="10"/>
  <c r="AA818" i="10"/>
  <c r="AB818" i="10"/>
  <c r="F819" i="10"/>
  <c r="G819" i="10"/>
  <c r="H819" i="10"/>
  <c r="I819" i="10"/>
  <c r="J819" i="10"/>
  <c r="K819" i="10"/>
  <c r="L819" i="10"/>
  <c r="M819" i="10"/>
  <c r="N819" i="10"/>
  <c r="P819" i="10"/>
  <c r="Q819" i="10"/>
  <c r="R819" i="10"/>
  <c r="S819" i="10"/>
  <c r="T819" i="10"/>
  <c r="U819" i="10"/>
  <c r="V819" i="10"/>
  <c r="W819" i="10"/>
  <c r="X819" i="10"/>
  <c r="Y819" i="10"/>
  <c r="Z819" i="10"/>
  <c r="AA819" i="10"/>
  <c r="AB819" i="10"/>
  <c r="F820" i="10"/>
  <c r="G820" i="10"/>
  <c r="H820" i="10"/>
  <c r="I820" i="10"/>
  <c r="J820" i="10"/>
  <c r="K820" i="10"/>
  <c r="L820" i="10"/>
  <c r="M820" i="10"/>
  <c r="N820" i="10"/>
  <c r="P820" i="10"/>
  <c r="Q820" i="10"/>
  <c r="R820" i="10"/>
  <c r="S820" i="10"/>
  <c r="T820" i="10"/>
  <c r="U820" i="10"/>
  <c r="V820" i="10"/>
  <c r="W820" i="10"/>
  <c r="X820" i="10"/>
  <c r="Y820" i="10"/>
  <c r="Z820" i="10"/>
  <c r="AA820" i="10"/>
  <c r="AB820" i="10"/>
  <c r="F821" i="10"/>
  <c r="G821" i="10"/>
  <c r="H821" i="10"/>
  <c r="I821" i="10"/>
  <c r="J821" i="10"/>
  <c r="K821" i="10"/>
  <c r="L821" i="10"/>
  <c r="M821" i="10"/>
  <c r="N821" i="10"/>
  <c r="P821" i="10"/>
  <c r="Q821" i="10"/>
  <c r="R821" i="10"/>
  <c r="S821" i="10"/>
  <c r="T821" i="10"/>
  <c r="U821" i="10"/>
  <c r="V821" i="10"/>
  <c r="W821" i="10"/>
  <c r="X821" i="10"/>
  <c r="Y821" i="10"/>
  <c r="Z821" i="10"/>
  <c r="AA821" i="10"/>
  <c r="AB821" i="10"/>
  <c r="F822" i="10"/>
  <c r="G822" i="10"/>
  <c r="H822" i="10"/>
  <c r="I822" i="10"/>
  <c r="J822" i="10"/>
  <c r="K822" i="10"/>
  <c r="L822" i="10"/>
  <c r="M822" i="10"/>
  <c r="N822" i="10"/>
  <c r="P822" i="10"/>
  <c r="Q822" i="10"/>
  <c r="R822" i="10"/>
  <c r="S822" i="10"/>
  <c r="T822" i="10"/>
  <c r="U822" i="10"/>
  <c r="V822" i="10"/>
  <c r="W822" i="10"/>
  <c r="X822" i="10"/>
  <c r="Y822" i="10"/>
  <c r="Z822" i="10"/>
  <c r="AA822" i="10"/>
  <c r="AB822" i="10"/>
  <c r="F823" i="10"/>
  <c r="G823" i="10"/>
  <c r="H823" i="10"/>
  <c r="I823" i="10"/>
  <c r="J823" i="10"/>
  <c r="K823" i="10"/>
  <c r="L823" i="10"/>
  <c r="M823" i="10"/>
  <c r="N823" i="10"/>
  <c r="P823" i="10"/>
  <c r="Q823" i="10"/>
  <c r="R823" i="10"/>
  <c r="S823" i="10"/>
  <c r="T823" i="10"/>
  <c r="U823" i="10"/>
  <c r="V823" i="10"/>
  <c r="W823" i="10"/>
  <c r="X823" i="10"/>
  <c r="Y823" i="10"/>
  <c r="Z823" i="10"/>
  <c r="AA823" i="10"/>
  <c r="AB823" i="10"/>
  <c r="F824" i="10"/>
  <c r="G824" i="10"/>
  <c r="H824" i="10"/>
  <c r="I824" i="10"/>
  <c r="J824" i="10"/>
  <c r="K824" i="10"/>
  <c r="L824" i="10"/>
  <c r="M824" i="10"/>
  <c r="N824" i="10"/>
  <c r="P824" i="10"/>
  <c r="Q824" i="10"/>
  <c r="R824" i="10"/>
  <c r="S824" i="10"/>
  <c r="T824" i="10"/>
  <c r="U824" i="10"/>
  <c r="V824" i="10"/>
  <c r="W824" i="10"/>
  <c r="X824" i="10"/>
  <c r="Y824" i="10"/>
  <c r="Z824" i="10"/>
  <c r="AA824" i="10"/>
  <c r="AB824" i="10"/>
  <c r="F825" i="10"/>
  <c r="G825" i="10"/>
  <c r="H825" i="10"/>
  <c r="I825" i="10"/>
  <c r="J825" i="10"/>
  <c r="K825" i="10"/>
  <c r="L825" i="10"/>
  <c r="M825" i="10"/>
  <c r="N825" i="10"/>
  <c r="P825" i="10"/>
  <c r="Q825" i="10"/>
  <c r="R825" i="10"/>
  <c r="S825" i="10"/>
  <c r="T825" i="10"/>
  <c r="U825" i="10"/>
  <c r="V825" i="10"/>
  <c r="W825" i="10"/>
  <c r="X825" i="10"/>
  <c r="Y825" i="10"/>
  <c r="Z825" i="10"/>
  <c r="AA825" i="10"/>
  <c r="AB825" i="10"/>
  <c r="F826" i="10"/>
  <c r="G826" i="10"/>
  <c r="H826" i="10"/>
  <c r="I826" i="10"/>
  <c r="J826" i="10"/>
  <c r="K826" i="10"/>
  <c r="L826" i="10"/>
  <c r="M826" i="10"/>
  <c r="N826" i="10"/>
  <c r="P826" i="10"/>
  <c r="Q826" i="10"/>
  <c r="R826" i="10"/>
  <c r="S826" i="10"/>
  <c r="T826" i="10"/>
  <c r="U826" i="10"/>
  <c r="V826" i="10"/>
  <c r="W826" i="10"/>
  <c r="X826" i="10"/>
  <c r="Y826" i="10"/>
  <c r="Z826" i="10"/>
  <c r="AA826" i="10"/>
  <c r="AB826" i="10"/>
  <c r="F827" i="10"/>
  <c r="G827" i="10"/>
  <c r="H827" i="10"/>
  <c r="I827" i="10"/>
  <c r="J827" i="10"/>
  <c r="K827" i="10"/>
  <c r="L827" i="10"/>
  <c r="M827" i="10"/>
  <c r="N827" i="10"/>
  <c r="P827" i="10"/>
  <c r="Q827" i="10"/>
  <c r="R827" i="10"/>
  <c r="S827" i="10"/>
  <c r="T827" i="10"/>
  <c r="U827" i="10"/>
  <c r="V827" i="10"/>
  <c r="W827" i="10"/>
  <c r="X827" i="10"/>
  <c r="Y827" i="10"/>
  <c r="Z827" i="10"/>
  <c r="AA827" i="10"/>
  <c r="AB827" i="10"/>
  <c r="F828" i="10"/>
  <c r="G828" i="10"/>
  <c r="H828" i="10"/>
  <c r="I828" i="10"/>
  <c r="J828" i="10"/>
  <c r="K828" i="10"/>
  <c r="L828" i="10"/>
  <c r="M828" i="10"/>
  <c r="N828" i="10"/>
  <c r="P828" i="10"/>
  <c r="Q828" i="10"/>
  <c r="R828" i="10"/>
  <c r="S828" i="10"/>
  <c r="T828" i="10"/>
  <c r="U828" i="10"/>
  <c r="V828" i="10"/>
  <c r="W828" i="10"/>
  <c r="X828" i="10"/>
  <c r="Y828" i="10"/>
  <c r="Z828" i="10"/>
  <c r="AA828" i="10"/>
  <c r="AB828" i="10"/>
  <c r="F829" i="10"/>
  <c r="G829" i="10"/>
  <c r="H829" i="10"/>
  <c r="I829" i="10"/>
  <c r="J829" i="10"/>
  <c r="K829" i="10"/>
  <c r="L829" i="10"/>
  <c r="M829" i="10"/>
  <c r="N829" i="10"/>
  <c r="P829" i="10"/>
  <c r="Q829" i="10"/>
  <c r="R829" i="10"/>
  <c r="S829" i="10"/>
  <c r="T829" i="10"/>
  <c r="U829" i="10"/>
  <c r="V829" i="10"/>
  <c r="W829" i="10"/>
  <c r="X829" i="10"/>
  <c r="Y829" i="10"/>
  <c r="Z829" i="10"/>
  <c r="AA829" i="10"/>
  <c r="AB829" i="10"/>
  <c r="F830" i="10"/>
  <c r="G830" i="10"/>
  <c r="H830" i="10"/>
  <c r="I830" i="10"/>
  <c r="J830" i="10"/>
  <c r="K830" i="10"/>
  <c r="L830" i="10"/>
  <c r="M830" i="10"/>
  <c r="N830" i="10"/>
  <c r="P830" i="10"/>
  <c r="Q830" i="10"/>
  <c r="R830" i="10"/>
  <c r="S830" i="10"/>
  <c r="T830" i="10"/>
  <c r="U830" i="10"/>
  <c r="V830" i="10"/>
  <c r="W830" i="10"/>
  <c r="X830" i="10"/>
  <c r="Y830" i="10"/>
  <c r="Z830" i="10"/>
  <c r="AA830" i="10"/>
  <c r="AB830" i="10"/>
  <c r="F831" i="10"/>
  <c r="G831" i="10"/>
  <c r="H831" i="10"/>
  <c r="I831" i="10"/>
  <c r="J831" i="10"/>
  <c r="K831" i="10"/>
  <c r="L831" i="10"/>
  <c r="M831" i="10"/>
  <c r="N831" i="10"/>
  <c r="P831" i="10"/>
  <c r="Q831" i="10"/>
  <c r="R831" i="10"/>
  <c r="S831" i="10"/>
  <c r="T831" i="10"/>
  <c r="U831" i="10"/>
  <c r="V831" i="10"/>
  <c r="W831" i="10"/>
  <c r="X831" i="10"/>
  <c r="Y831" i="10"/>
  <c r="Z831" i="10"/>
  <c r="AA831" i="10"/>
  <c r="AB831" i="10"/>
  <c r="F832" i="10"/>
  <c r="G832" i="10"/>
  <c r="H832" i="10"/>
  <c r="I832" i="10"/>
  <c r="J832" i="10"/>
  <c r="K832" i="10"/>
  <c r="L832" i="10"/>
  <c r="M832" i="10"/>
  <c r="N832" i="10"/>
  <c r="P832" i="10"/>
  <c r="Q832" i="10"/>
  <c r="R832" i="10"/>
  <c r="S832" i="10"/>
  <c r="T832" i="10"/>
  <c r="U832" i="10"/>
  <c r="V832" i="10"/>
  <c r="W832" i="10"/>
  <c r="X832" i="10"/>
  <c r="Y832" i="10"/>
  <c r="Z832" i="10"/>
  <c r="AA832" i="10"/>
  <c r="AB832" i="10"/>
  <c r="F833" i="10"/>
  <c r="G833" i="10"/>
  <c r="H833" i="10"/>
  <c r="I833" i="10"/>
  <c r="J833" i="10"/>
  <c r="K833" i="10"/>
  <c r="L833" i="10"/>
  <c r="M833" i="10"/>
  <c r="N833" i="10"/>
  <c r="P833" i="10"/>
  <c r="Q833" i="10"/>
  <c r="R833" i="10"/>
  <c r="S833" i="10"/>
  <c r="T833" i="10"/>
  <c r="U833" i="10"/>
  <c r="V833" i="10"/>
  <c r="W833" i="10"/>
  <c r="X833" i="10"/>
  <c r="Y833" i="10"/>
  <c r="Z833" i="10"/>
  <c r="AA833" i="10"/>
  <c r="AB833" i="10"/>
  <c r="F834" i="10"/>
  <c r="G834" i="10"/>
  <c r="H834" i="10"/>
  <c r="I834" i="10"/>
  <c r="J834" i="10"/>
  <c r="K834" i="10"/>
  <c r="L834" i="10"/>
  <c r="M834" i="10"/>
  <c r="N834" i="10"/>
  <c r="P834" i="10"/>
  <c r="Q834" i="10"/>
  <c r="R834" i="10"/>
  <c r="S834" i="10"/>
  <c r="T834" i="10"/>
  <c r="U834" i="10"/>
  <c r="V834" i="10"/>
  <c r="W834" i="10"/>
  <c r="X834" i="10"/>
  <c r="Y834" i="10"/>
  <c r="Z834" i="10"/>
  <c r="AA834" i="10"/>
  <c r="AB834" i="10"/>
  <c r="F835" i="10"/>
  <c r="G835" i="10"/>
  <c r="H835" i="10"/>
  <c r="I835" i="10"/>
  <c r="J835" i="10"/>
  <c r="K835" i="10"/>
  <c r="L835" i="10"/>
  <c r="M835" i="10"/>
  <c r="N835" i="10"/>
  <c r="P835" i="10"/>
  <c r="Q835" i="10"/>
  <c r="R835" i="10"/>
  <c r="S835" i="10"/>
  <c r="T835" i="10"/>
  <c r="U835" i="10"/>
  <c r="V835" i="10"/>
  <c r="W835" i="10"/>
  <c r="X835" i="10"/>
  <c r="Y835" i="10"/>
  <c r="Z835" i="10"/>
  <c r="AA835" i="10"/>
  <c r="AB835" i="10"/>
  <c r="F836" i="10"/>
  <c r="G836" i="10"/>
  <c r="H836" i="10"/>
  <c r="I836" i="10"/>
  <c r="J836" i="10"/>
  <c r="K836" i="10"/>
  <c r="L836" i="10"/>
  <c r="M836" i="10"/>
  <c r="N836" i="10"/>
  <c r="P836" i="10"/>
  <c r="Q836" i="10"/>
  <c r="R836" i="10"/>
  <c r="S836" i="10"/>
  <c r="T836" i="10"/>
  <c r="U836" i="10"/>
  <c r="V836" i="10"/>
  <c r="W836" i="10"/>
  <c r="X836" i="10"/>
  <c r="Y836" i="10"/>
  <c r="Z836" i="10"/>
  <c r="AA836" i="10"/>
  <c r="AB836" i="10"/>
  <c r="F837" i="10"/>
  <c r="G837" i="10"/>
  <c r="H837" i="10"/>
  <c r="I837" i="10"/>
  <c r="J837" i="10"/>
  <c r="K837" i="10"/>
  <c r="L837" i="10"/>
  <c r="M837" i="10"/>
  <c r="N837" i="10"/>
  <c r="P837" i="10"/>
  <c r="Q837" i="10"/>
  <c r="R837" i="10"/>
  <c r="S837" i="10"/>
  <c r="T837" i="10"/>
  <c r="U837" i="10"/>
  <c r="V837" i="10"/>
  <c r="W837" i="10"/>
  <c r="X837" i="10"/>
  <c r="Y837" i="10"/>
  <c r="Z837" i="10"/>
  <c r="AA837" i="10"/>
  <c r="AB837" i="10"/>
  <c r="F838" i="10"/>
  <c r="G838" i="10"/>
  <c r="H838" i="10"/>
  <c r="I838" i="10"/>
  <c r="J838" i="10"/>
  <c r="K838" i="10"/>
  <c r="L838" i="10"/>
  <c r="M838" i="10"/>
  <c r="N838" i="10"/>
  <c r="P838" i="10"/>
  <c r="Q838" i="10"/>
  <c r="R838" i="10"/>
  <c r="S838" i="10"/>
  <c r="T838" i="10"/>
  <c r="U838" i="10"/>
  <c r="V838" i="10"/>
  <c r="W838" i="10"/>
  <c r="X838" i="10"/>
  <c r="Y838" i="10"/>
  <c r="Z838" i="10"/>
  <c r="AA838" i="10"/>
  <c r="AB838" i="10"/>
  <c r="F839" i="10"/>
  <c r="G839" i="10"/>
  <c r="H839" i="10"/>
  <c r="I839" i="10"/>
  <c r="J839" i="10"/>
  <c r="K839" i="10"/>
  <c r="L839" i="10"/>
  <c r="M839" i="10"/>
  <c r="N839" i="10"/>
  <c r="P839" i="10"/>
  <c r="Q839" i="10"/>
  <c r="R839" i="10"/>
  <c r="S839" i="10"/>
  <c r="T839" i="10"/>
  <c r="U839" i="10"/>
  <c r="V839" i="10"/>
  <c r="W839" i="10"/>
  <c r="X839" i="10"/>
  <c r="Y839" i="10"/>
  <c r="Z839" i="10"/>
  <c r="AA839" i="10"/>
  <c r="AB839" i="10"/>
  <c r="F840" i="10"/>
  <c r="G840" i="10"/>
  <c r="H840" i="10"/>
  <c r="I840" i="10"/>
  <c r="J840" i="10"/>
  <c r="K840" i="10"/>
  <c r="L840" i="10"/>
  <c r="M840" i="10"/>
  <c r="N840" i="10"/>
  <c r="P840" i="10"/>
  <c r="Q840" i="10"/>
  <c r="R840" i="10"/>
  <c r="S840" i="10"/>
  <c r="T840" i="10"/>
  <c r="U840" i="10"/>
  <c r="V840" i="10"/>
  <c r="W840" i="10"/>
  <c r="X840" i="10"/>
  <c r="Y840" i="10"/>
  <c r="Z840" i="10"/>
  <c r="AA840" i="10"/>
  <c r="AB840" i="10"/>
  <c r="F841" i="10"/>
  <c r="G841" i="10"/>
  <c r="H841" i="10"/>
  <c r="I841" i="10"/>
  <c r="J841" i="10"/>
  <c r="K841" i="10"/>
  <c r="L841" i="10"/>
  <c r="M841" i="10"/>
  <c r="N841" i="10"/>
  <c r="P841" i="10"/>
  <c r="Q841" i="10"/>
  <c r="R841" i="10"/>
  <c r="S841" i="10"/>
  <c r="T841" i="10"/>
  <c r="U841" i="10"/>
  <c r="V841" i="10"/>
  <c r="W841" i="10"/>
  <c r="X841" i="10"/>
  <c r="Y841" i="10"/>
  <c r="Z841" i="10"/>
  <c r="AA841" i="10"/>
  <c r="AB841" i="10"/>
  <c r="F842" i="10"/>
  <c r="G842" i="10"/>
  <c r="H842" i="10"/>
  <c r="I842" i="10"/>
  <c r="J842" i="10"/>
  <c r="K842" i="10"/>
  <c r="L842" i="10"/>
  <c r="M842" i="10"/>
  <c r="N842" i="10"/>
  <c r="P842" i="10"/>
  <c r="Q842" i="10"/>
  <c r="R842" i="10"/>
  <c r="S842" i="10"/>
  <c r="T842" i="10"/>
  <c r="U842" i="10"/>
  <c r="V842" i="10"/>
  <c r="W842" i="10"/>
  <c r="X842" i="10"/>
  <c r="Y842" i="10"/>
  <c r="Z842" i="10"/>
  <c r="AA842" i="10"/>
  <c r="AB842" i="10"/>
  <c r="F843" i="10"/>
  <c r="G843" i="10"/>
  <c r="H843" i="10"/>
  <c r="I843" i="10"/>
  <c r="J843" i="10"/>
  <c r="K843" i="10"/>
  <c r="L843" i="10"/>
  <c r="M843" i="10"/>
  <c r="N843" i="10"/>
  <c r="P843" i="10"/>
  <c r="Q843" i="10"/>
  <c r="R843" i="10"/>
  <c r="S843" i="10"/>
  <c r="T843" i="10"/>
  <c r="U843" i="10"/>
  <c r="V843" i="10"/>
  <c r="W843" i="10"/>
  <c r="X843" i="10"/>
  <c r="Y843" i="10"/>
  <c r="Z843" i="10"/>
  <c r="AA843" i="10"/>
  <c r="AB843" i="10"/>
  <c r="F844" i="10"/>
  <c r="G844" i="10"/>
  <c r="H844" i="10"/>
  <c r="I844" i="10"/>
  <c r="J844" i="10"/>
  <c r="K844" i="10"/>
  <c r="L844" i="10"/>
  <c r="M844" i="10"/>
  <c r="N844" i="10"/>
  <c r="P844" i="10"/>
  <c r="Q844" i="10"/>
  <c r="R844" i="10"/>
  <c r="S844" i="10"/>
  <c r="T844" i="10"/>
  <c r="U844" i="10"/>
  <c r="V844" i="10"/>
  <c r="W844" i="10"/>
  <c r="X844" i="10"/>
  <c r="Y844" i="10"/>
  <c r="Z844" i="10"/>
  <c r="AA844" i="10"/>
  <c r="AB844" i="10"/>
  <c r="F845" i="10"/>
  <c r="G845" i="10"/>
  <c r="H845" i="10"/>
  <c r="I845" i="10"/>
  <c r="J845" i="10"/>
  <c r="K845" i="10"/>
  <c r="L845" i="10"/>
  <c r="M845" i="10"/>
  <c r="N845" i="10"/>
  <c r="P845" i="10"/>
  <c r="Q845" i="10"/>
  <c r="R845" i="10"/>
  <c r="S845" i="10"/>
  <c r="T845" i="10"/>
  <c r="U845" i="10"/>
  <c r="V845" i="10"/>
  <c r="W845" i="10"/>
  <c r="X845" i="10"/>
  <c r="Y845" i="10"/>
  <c r="Z845" i="10"/>
  <c r="AA845" i="10"/>
  <c r="AB845" i="10"/>
  <c r="F846" i="10"/>
  <c r="G846" i="10"/>
  <c r="H846" i="10"/>
  <c r="I846" i="10"/>
  <c r="J846" i="10"/>
  <c r="K846" i="10"/>
  <c r="L846" i="10"/>
  <c r="M846" i="10"/>
  <c r="N846" i="10"/>
  <c r="P846" i="10"/>
  <c r="Q846" i="10"/>
  <c r="R846" i="10"/>
  <c r="S846" i="10"/>
  <c r="T846" i="10"/>
  <c r="U846" i="10"/>
  <c r="V846" i="10"/>
  <c r="W846" i="10"/>
  <c r="X846" i="10"/>
  <c r="Y846" i="10"/>
  <c r="Z846" i="10"/>
  <c r="AA846" i="10"/>
  <c r="AB846" i="10"/>
  <c r="F847" i="10"/>
  <c r="G847" i="10"/>
  <c r="H847" i="10"/>
  <c r="I847" i="10"/>
  <c r="J847" i="10"/>
  <c r="K847" i="10"/>
  <c r="L847" i="10"/>
  <c r="M847" i="10"/>
  <c r="N847" i="10"/>
  <c r="P847" i="10"/>
  <c r="Q847" i="10"/>
  <c r="R847" i="10"/>
  <c r="S847" i="10"/>
  <c r="T847" i="10"/>
  <c r="U847" i="10"/>
  <c r="V847" i="10"/>
  <c r="W847" i="10"/>
  <c r="X847" i="10"/>
  <c r="Y847" i="10"/>
  <c r="Z847" i="10"/>
  <c r="AA847" i="10"/>
  <c r="AB847" i="10"/>
  <c r="F848" i="10"/>
  <c r="G848" i="10"/>
  <c r="H848" i="10"/>
  <c r="I848" i="10"/>
  <c r="J848" i="10"/>
  <c r="K848" i="10"/>
  <c r="L848" i="10"/>
  <c r="M848" i="10"/>
  <c r="N848" i="10"/>
  <c r="P848" i="10"/>
  <c r="Q848" i="10"/>
  <c r="R848" i="10"/>
  <c r="S848" i="10"/>
  <c r="T848" i="10"/>
  <c r="U848" i="10"/>
  <c r="V848" i="10"/>
  <c r="W848" i="10"/>
  <c r="X848" i="10"/>
  <c r="Y848" i="10"/>
  <c r="Z848" i="10"/>
  <c r="AA848" i="10"/>
  <c r="AB848" i="10"/>
  <c r="F849" i="10"/>
  <c r="G849" i="10"/>
  <c r="H849" i="10"/>
  <c r="I849" i="10"/>
  <c r="J849" i="10"/>
  <c r="K849" i="10"/>
  <c r="L849" i="10"/>
  <c r="M849" i="10"/>
  <c r="N849" i="10"/>
  <c r="P849" i="10"/>
  <c r="Q849" i="10"/>
  <c r="R849" i="10"/>
  <c r="S849" i="10"/>
  <c r="T849" i="10"/>
  <c r="U849" i="10"/>
  <c r="V849" i="10"/>
  <c r="W849" i="10"/>
  <c r="X849" i="10"/>
  <c r="Y849" i="10"/>
  <c r="Z849" i="10"/>
  <c r="AA849" i="10"/>
  <c r="AB849" i="10"/>
  <c r="F850" i="10"/>
  <c r="G850" i="10"/>
  <c r="H850" i="10"/>
  <c r="I850" i="10"/>
  <c r="J850" i="10"/>
  <c r="K850" i="10"/>
  <c r="L850" i="10"/>
  <c r="M850" i="10"/>
  <c r="N850" i="10"/>
  <c r="P850" i="10"/>
  <c r="Q850" i="10"/>
  <c r="R850" i="10"/>
  <c r="S850" i="10"/>
  <c r="T850" i="10"/>
  <c r="U850" i="10"/>
  <c r="V850" i="10"/>
  <c r="W850" i="10"/>
  <c r="X850" i="10"/>
  <c r="Y850" i="10"/>
  <c r="Z850" i="10"/>
  <c r="AA850" i="10"/>
  <c r="AB850" i="10"/>
  <c r="F851" i="10"/>
  <c r="G851" i="10"/>
  <c r="H851" i="10"/>
  <c r="I851" i="10"/>
  <c r="J851" i="10"/>
  <c r="K851" i="10"/>
  <c r="L851" i="10"/>
  <c r="M851" i="10"/>
  <c r="N851" i="10"/>
  <c r="P851" i="10"/>
  <c r="Q851" i="10"/>
  <c r="R851" i="10"/>
  <c r="S851" i="10"/>
  <c r="T851" i="10"/>
  <c r="U851" i="10"/>
  <c r="V851" i="10"/>
  <c r="W851" i="10"/>
  <c r="X851" i="10"/>
  <c r="Y851" i="10"/>
  <c r="Z851" i="10"/>
  <c r="AA851" i="10"/>
  <c r="AB851" i="10"/>
  <c r="F852" i="10"/>
  <c r="G852" i="10"/>
  <c r="H852" i="10"/>
  <c r="I852" i="10"/>
  <c r="J852" i="10"/>
  <c r="K852" i="10"/>
  <c r="L852" i="10"/>
  <c r="M852" i="10"/>
  <c r="N852" i="10"/>
  <c r="P852" i="10"/>
  <c r="Q852" i="10"/>
  <c r="R852" i="10"/>
  <c r="S852" i="10"/>
  <c r="T852" i="10"/>
  <c r="U852" i="10"/>
  <c r="V852" i="10"/>
  <c r="W852" i="10"/>
  <c r="X852" i="10"/>
  <c r="Y852" i="10"/>
  <c r="Z852" i="10"/>
  <c r="AA852" i="10"/>
  <c r="AB852" i="10"/>
  <c r="F853" i="10"/>
  <c r="G853" i="10"/>
  <c r="H853" i="10"/>
  <c r="I853" i="10"/>
  <c r="J853" i="10"/>
  <c r="K853" i="10"/>
  <c r="L853" i="10"/>
  <c r="M853" i="10"/>
  <c r="N853" i="10"/>
  <c r="P853" i="10"/>
  <c r="Q853" i="10"/>
  <c r="R853" i="10"/>
  <c r="S853" i="10"/>
  <c r="T853" i="10"/>
  <c r="U853" i="10"/>
  <c r="V853" i="10"/>
  <c r="W853" i="10"/>
  <c r="X853" i="10"/>
  <c r="Y853" i="10"/>
  <c r="Z853" i="10"/>
  <c r="AA853" i="10"/>
  <c r="AB853" i="10"/>
  <c r="F854" i="10"/>
  <c r="G854" i="10"/>
  <c r="H854" i="10"/>
  <c r="I854" i="10"/>
  <c r="J854" i="10"/>
  <c r="K854" i="10"/>
  <c r="L854" i="10"/>
  <c r="M854" i="10"/>
  <c r="N854" i="10"/>
  <c r="P854" i="10"/>
  <c r="Q854" i="10"/>
  <c r="R854" i="10"/>
  <c r="S854" i="10"/>
  <c r="T854" i="10"/>
  <c r="U854" i="10"/>
  <c r="V854" i="10"/>
  <c r="W854" i="10"/>
  <c r="X854" i="10"/>
  <c r="Y854" i="10"/>
  <c r="Z854" i="10"/>
  <c r="AA854" i="10"/>
  <c r="AB854" i="10"/>
  <c r="F855" i="10"/>
  <c r="G855" i="10"/>
  <c r="H855" i="10"/>
  <c r="I855" i="10"/>
  <c r="J855" i="10"/>
  <c r="K855" i="10"/>
  <c r="L855" i="10"/>
  <c r="M855" i="10"/>
  <c r="N855" i="10"/>
  <c r="P855" i="10"/>
  <c r="Q855" i="10"/>
  <c r="R855" i="10"/>
  <c r="S855" i="10"/>
  <c r="T855" i="10"/>
  <c r="U855" i="10"/>
  <c r="V855" i="10"/>
  <c r="W855" i="10"/>
  <c r="X855" i="10"/>
  <c r="Y855" i="10"/>
  <c r="Z855" i="10"/>
  <c r="AA855" i="10"/>
  <c r="AB855" i="10"/>
  <c r="F856" i="10"/>
  <c r="G856" i="10"/>
  <c r="H856" i="10"/>
  <c r="I856" i="10"/>
  <c r="J856" i="10"/>
  <c r="K856" i="10"/>
  <c r="L856" i="10"/>
  <c r="M856" i="10"/>
  <c r="N856" i="10"/>
  <c r="P856" i="10"/>
  <c r="Q856" i="10"/>
  <c r="R856" i="10"/>
  <c r="S856" i="10"/>
  <c r="T856" i="10"/>
  <c r="U856" i="10"/>
  <c r="V856" i="10"/>
  <c r="W856" i="10"/>
  <c r="X856" i="10"/>
  <c r="Y856" i="10"/>
  <c r="Z856" i="10"/>
  <c r="AA856" i="10"/>
  <c r="AB856" i="10"/>
  <c r="F857" i="10"/>
  <c r="G857" i="10"/>
  <c r="H857" i="10"/>
  <c r="I857" i="10"/>
  <c r="J857" i="10"/>
  <c r="K857" i="10"/>
  <c r="L857" i="10"/>
  <c r="M857" i="10"/>
  <c r="N857" i="10"/>
  <c r="P857" i="10"/>
  <c r="Q857" i="10"/>
  <c r="R857" i="10"/>
  <c r="S857" i="10"/>
  <c r="T857" i="10"/>
  <c r="U857" i="10"/>
  <c r="V857" i="10"/>
  <c r="W857" i="10"/>
  <c r="X857" i="10"/>
  <c r="Y857" i="10"/>
  <c r="Z857" i="10"/>
  <c r="AA857" i="10"/>
  <c r="AB857" i="10"/>
  <c r="F858" i="10"/>
  <c r="G858" i="10"/>
  <c r="H858" i="10"/>
  <c r="I858" i="10"/>
  <c r="J858" i="10"/>
  <c r="K858" i="10"/>
  <c r="L858" i="10"/>
  <c r="M858" i="10"/>
  <c r="N858" i="10"/>
  <c r="P858" i="10"/>
  <c r="Q858" i="10"/>
  <c r="R858" i="10"/>
  <c r="S858" i="10"/>
  <c r="T858" i="10"/>
  <c r="U858" i="10"/>
  <c r="V858" i="10"/>
  <c r="W858" i="10"/>
  <c r="X858" i="10"/>
  <c r="Y858" i="10"/>
  <c r="Z858" i="10"/>
  <c r="AA858" i="10"/>
  <c r="AB858" i="10"/>
  <c r="F859" i="10"/>
  <c r="G859" i="10"/>
  <c r="H859" i="10"/>
  <c r="I859" i="10"/>
  <c r="J859" i="10"/>
  <c r="K859" i="10"/>
  <c r="L859" i="10"/>
  <c r="M859" i="10"/>
  <c r="N859" i="10"/>
  <c r="P859" i="10"/>
  <c r="Q859" i="10"/>
  <c r="R859" i="10"/>
  <c r="S859" i="10"/>
  <c r="T859" i="10"/>
  <c r="U859" i="10"/>
  <c r="V859" i="10"/>
  <c r="W859" i="10"/>
  <c r="X859" i="10"/>
  <c r="Y859" i="10"/>
  <c r="Z859" i="10"/>
  <c r="AA859" i="10"/>
  <c r="AB859" i="10"/>
  <c r="F860" i="10"/>
  <c r="G860" i="10"/>
  <c r="H860" i="10"/>
  <c r="I860" i="10"/>
  <c r="J860" i="10"/>
  <c r="K860" i="10"/>
  <c r="L860" i="10"/>
  <c r="M860" i="10"/>
  <c r="N860" i="10"/>
  <c r="P860" i="10"/>
  <c r="Q860" i="10"/>
  <c r="R860" i="10"/>
  <c r="S860" i="10"/>
  <c r="T860" i="10"/>
  <c r="U860" i="10"/>
  <c r="V860" i="10"/>
  <c r="W860" i="10"/>
  <c r="X860" i="10"/>
  <c r="Y860" i="10"/>
  <c r="Z860" i="10"/>
  <c r="AA860" i="10"/>
  <c r="AB860" i="10"/>
  <c r="F861" i="10"/>
  <c r="G861" i="10"/>
  <c r="H861" i="10"/>
  <c r="I861" i="10"/>
  <c r="J861" i="10"/>
  <c r="K861" i="10"/>
  <c r="L861" i="10"/>
  <c r="M861" i="10"/>
  <c r="N861" i="10"/>
  <c r="P861" i="10"/>
  <c r="Q861" i="10"/>
  <c r="R861" i="10"/>
  <c r="S861" i="10"/>
  <c r="T861" i="10"/>
  <c r="U861" i="10"/>
  <c r="V861" i="10"/>
  <c r="W861" i="10"/>
  <c r="X861" i="10"/>
  <c r="Y861" i="10"/>
  <c r="Z861" i="10"/>
  <c r="AA861" i="10"/>
  <c r="AB861" i="10"/>
  <c r="F862" i="10"/>
  <c r="G862" i="10"/>
  <c r="H862" i="10"/>
  <c r="I862" i="10"/>
  <c r="J862" i="10"/>
  <c r="K862" i="10"/>
  <c r="L862" i="10"/>
  <c r="M862" i="10"/>
  <c r="N862" i="10"/>
  <c r="P862" i="10"/>
  <c r="Q862" i="10"/>
  <c r="R862" i="10"/>
  <c r="S862" i="10"/>
  <c r="T862" i="10"/>
  <c r="U862" i="10"/>
  <c r="V862" i="10"/>
  <c r="W862" i="10"/>
  <c r="X862" i="10"/>
  <c r="Y862" i="10"/>
  <c r="Z862" i="10"/>
  <c r="AA862" i="10"/>
  <c r="AB862" i="10"/>
  <c r="F863" i="10"/>
  <c r="G863" i="10"/>
  <c r="H863" i="10"/>
  <c r="I863" i="10"/>
  <c r="J863" i="10"/>
  <c r="K863" i="10"/>
  <c r="L863" i="10"/>
  <c r="M863" i="10"/>
  <c r="N863" i="10"/>
  <c r="P863" i="10"/>
  <c r="Q863" i="10"/>
  <c r="R863" i="10"/>
  <c r="S863" i="10"/>
  <c r="T863" i="10"/>
  <c r="U863" i="10"/>
  <c r="V863" i="10"/>
  <c r="W863" i="10"/>
  <c r="X863" i="10"/>
  <c r="Y863" i="10"/>
  <c r="Z863" i="10"/>
  <c r="AA863" i="10"/>
  <c r="AB863" i="10"/>
  <c r="F864" i="10"/>
  <c r="G864" i="10"/>
  <c r="H864" i="10"/>
  <c r="I864" i="10"/>
  <c r="J864" i="10"/>
  <c r="K864" i="10"/>
  <c r="L864" i="10"/>
  <c r="M864" i="10"/>
  <c r="N864" i="10"/>
  <c r="P864" i="10"/>
  <c r="Q864" i="10"/>
  <c r="R864" i="10"/>
  <c r="S864" i="10"/>
  <c r="T864" i="10"/>
  <c r="U864" i="10"/>
  <c r="V864" i="10"/>
  <c r="W864" i="10"/>
  <c r="X864" i="10"/>
  <c r="Y864" i="10"/>
  <c r="Z864" i="10"/>
  <c r="AA864" i="10"/>
  <c r="AB864" i="10"/>
  <c r="F865" i="10"/>
  <c r="G865" i="10"/>
  <c r="H865" i="10"/>
  <c r="I865" i="10"/>
  <c r="J865" i="10"/>
  <c r="K865" i="10"/>
  <c r="L865" i="10"/>
  <c r="M865" i="10"/>
  <c r="N865" i="10"/>
  <c r="P865" i="10"/>
  <c r="Q865" i="10"/>
  <c r="R865" i="10"/>
  <c r="S865" i="10"/>
  <c r="T865" i="10"/>
  <c r="U865" i="10"/>
  <c r="V865" i="10"/>
  <c r="W865" i="10"/>
  <c r="X865" i="10"/>
  <c r="Y865" i="10"/>
  <c r="Z865" i="10"/>
  <c r="AA865" i="10"/>
  <c r="AB865" i="10"/>
  <c r="F866" i="10"/>
  <c r="G866" i="10"/>
  <c r="H866" i="10"/>
  <c r="I866" i="10"/>
  <c r="J866" i="10"/>
  <c r="K866" i="10"/>
  <c r="L866" i="10"/>
  <c r="M866" i="10"/>
  <c r="N866" i="10"/>
  <c r="P866" i="10"/>
  <c r="Q866" i="10"/>
  <c r="R866" i="10"/>
  <c r="S866" i="10"/>
  <c r="T866" i="10"/>
  <c r="U866" i="10"/>
  <c r="V866" i="10"/>
  <c r="W866" i="10"/>
  <c r="X866" i="10"/>
  <c r="Y866" i="10"/>
  <c r="Z866" i="10"/>
  <c r="AA866" i="10"/>
  <c r="AB866" i="10"/>
  <c r="F867" i="10"/>
  <c r="G867" i="10"/>
  <c r="H867" i="10"/>
  <c r="I867" i="10"/>
  <c r="J867" i="10"/>
  <c r="K867" i="10"/>
  <c r="L867" i="10"/>
  <c r="M867" i="10"/>
  <c r="N867" i="10"/>
  <c r="P867" i="10"/>
  <c r="Q867" i="10"/>
  <c r="R867" i="10"/>
  <c r="S867" i="10"/>
  <c r="T867" i="10"/>
  <c r="U867" i="10"/>
  <c r="V867" i="10"/>
  <c r="W867" i="10"/>
  <c r="X867" i="10"/>
  <c r="Y867" i="10"/>
  <c r="Z867" i="10"/>
  <c r="AA867" i="10"/>
  <c r="AB867" i="10"/>
  <c r="F868" i="10"/>
  <c r="G868" i="10"/>
  <c r="H868" i="10"/>
  <c r="I868" i="10"/>
  <c r="J868" i="10"/>
  <c r="K868" i="10"/>
  <c r="L868" i="10"/>
  <c r="M868" i="10"/>
  <c r="N868" i="10"/>
  <c r="P868" i="10"/>
  <c r="Q868" i="10"/>
  <c r="R868" i="10"/>
  <c r="S868" i="10"/>
  <c r="T868" i="10"/>
  <c r="U868" i="10"/>
  <c r="V868" i="10"/>
  <c r="W868" i="10"/>
  <c r="X868" i="10"/>
  <c r="Y868" i="10"/>
  <c r="Z868" i="10"/>
  <c r="AA868" i="10"/>
  <c r="AB868" i="10"/>
  <c r="F869" i="10"/>
  <c r="G869" i="10"/>
  <c r="H869" i="10"/>
  <c r="I869" i="10"/>
  <c r="J869" i="10"/>
  <c r="K869" i="10"/>
  <c r="L869" i="10"/>
  <c r="M869" i="10"/>
  <c r="N869" i="10"/>
  <c r="P869" i="10"/>
  <c r="Q869" i="10"/>
  <c r="R869" i="10"/>
  <c r="S869" i="10"/>
  <c r="T869" i="10"/>
  <c r="U869" i="10"/>
  <c r="V869" i="10"/>
  <c r="W869" i="10"/>
  <c r="X869" i="10"/>
  <c r="Y869" i="10"/>
  <c r="Z869" i="10"/>
  <c r="AA869" i="10"/>
  <c r="AB869" i="10"/>
  <c r="F870" i="10"/>
  <c r="G870" i="10"/>
  <c r="H870" i="10"/>
  <c r="I870" i="10"/>
  <c r="J870" i="10"/>
  <c r="K870" i="10"/>
  <c r="L870" i="10"/>
  <c r="M870" i="10"/>
  <c r="N870" i="10"/>
  <c r="P870" i="10"/>
  <c r="Q870" i="10"/>
  <c r="R870" i="10"/>
  <c r="S870" i="10"/>
  <c r="T870" i="10"/>
  <c r="U870" i="10"/>
  <c r="V870" i="10"/>
  <c r="W870" i="10"/>
  <c r="X870" i="10"/>
  <c r="Y870" i="10"/>
  <c r="Z870" i="10"/>
  <c r="AA870" i="10"/>
  <c r="AB870" i="10"/>
  <c r="F871" i="10"/>
  <c r="G871" i="10"/>
  <c r="H871" i="10"/>
  <c r="I871" i="10"/>
  <c r="J871" i="10"/>
  <c r="K871" i="10"/>
  <c r="L871" i="10"/>
  <c r="M871" i="10"/>
  <c r="N871" i="10"/>
  <c r="P871" i="10"/>
  <c r="Q871" i="10"/>
  <c r="R871" i="10"/>
  <c r="S871" i="10"/>
  <c r="T871" i="10"/>
  <c r="U871" i="10"/>
  <c r="V871" i="10"/>
  <c r="W871" i="10"/>
  <c r="X871" i="10"/>
  <c r="Y871" i="10"/>
  <c r="Z871" i="10"/>
  <c r="AA871" i="10"/>
  <c r="AB871" i="10"/>
  <c r="F872" i="10"/>
  <c r="G872" i="10"/>
  <c r="H872" i="10"/>
  <c r="I872" i="10"/>
  <c r="J872" i="10"/>
  <c r="K872" i="10"/>
  <c r="L872" i="10"/>
  <c r="M872" i="10"/>
  <c r="N872" i="10"/>
  <c r="P872" i="10"/>
  <c r="Q872" i="10"/>
  <c r="R872" i="10"/>
  <c r="S872" i="10"/>
  <c r="T872" i="10"/>
  <c r="U872" i="10"/>
  <c r="V872" i="10"/>
  <c r="W872" i="10"/>
  <c r="X872" i="10"/>
  <c r="Y872" i="10"/>
  <c r="Z872" i="10"/>
  <c r="AA872" i="10"/>
  <c r="AB872" i="10"/>
  <c r="F873" i="10"/>
  <c r="G873" i="10"/>
  <c r="H873" i="10"/>
  <c r="I873" i="10"/>
  <c r="J873" i="10"/>
  <c r="K873" i="10"/>
  <c r="L873" i="10"/>
  <c r="M873" i="10"/>
  <c r="N873" i="10"/>
  <c r="P873" i="10"/>
  <c r="Q873" i="10"/>
  <c r="R873" i="10"/>
  <c r="S873" i="10"/>
  <c r="T873" i="10"/>
  <c r="U873" i="10"/>
  <c r="V873" i="10"/>
  <c r="W873" i="10"/>
  <c r="X873" i="10"/>
  <c r="Y873" i="10"/>
  <c r="Z873" i="10"/>
  <c r="AA873" i="10"/>
  <c r="AB873" i="10"/>
  <c r="F874" i="10"/>
  <c r="G874" i="10"/>
  <c r="H874" i="10"/>
  <c r="I874" i="10"/>
  <c r="J874" i="10"/>
  <c r="K874" i="10"/>
  <c r="L874" i="10"/>
  <c r="M874" i="10"/>
  <c r="N874" i="10"/>
  <c r="P874" i="10"/>
  <c r="Q874" i="10"/>
  <c r="R874" i="10"/>
  <c r="S874" i="10"/>
  <c r="T874" i="10"/>
  <c r="U874" i="10"/>
  <c r="V874" i="10"/>
  <c r="W874" i="10"/>
  <c r="X874" i="10"/>
  <c r="Y874" i="10"/>
  <c r="Z874" i="10"/>
  <c r="AA874" i="10"/>
  <c r="AB874" i="10"/>
  <c r="F875" i="10"/>
  <c r="G875" i="10"/>
  <c r="H875" i="10"/>
  <c r="I875" i="10"/>
  <c r="J875" i="10"/>
  <c r="K875" i="10"/>
  <c r="L875" i="10"/>
  <c r="M875" i="10"/>
  <c r="N875" i="10"/>
  <c r="P875" i="10"/>
  <c r="Q875" i="10"/>
  <c r="R875" i="10"/>
  <c r="S875" i="10"/>
  <c r="T875" i="10"/>
  <c r="U875" i="10"/>
  <c r="V875" i="10"/>
  <c r="W875" i="10"/>
  <c r="X875" i="10"/>
  <c r="Y875" i="10"/>
  <c r="Z875" i="10"/>
  <c r="AA875" i="10"/>
  <c r="AB875" i="10"/>
  <c r="F876" i="10"/>
  <c r="G876" i="10"/>
  <c r="H876" i="10"/>
  <c r="I876" i="10"/>
  <c r="J876" i="10"/>
  <c r="K876" i="10"/>
  <c r="L876" i="10"/>
  <c r="M876" i="10"/>
  <c r="N876" i="10"/>
  <c r="P876" i="10"/>
  <c r="Q876" i="10"/>
  <c r="R876" i="10"/>
  <c r="S876" i="10"/>
  <c r="T876" i="10"/>
  <c r="U876" i="10"/>
  <c r="V876" i="10"/>
  <c r="W876" i="10"/>
  <c r="X876" i="10"/>
  <c r="Y876" i="10"/>
  <c r="Z876" i="10"/>
  <c r="AA876" i="10"/>
  <c r="AB876" i="10"/>
  <c r="F877" i="10"/>
  <c r="G877" i="10"/>
  <c r="H877" i="10"/>
  <c r="I877" i="10"/>
  <c r="J877" i="10"/>
  <c r="K877" i="10"/>
  <c r="L877" i="10"/>
  <c r="M877" i="10"/>
  <c r="N877" i="10"/>
  <c r="P877" i="10"/>
  <c r="Q877" i="10"/>
  <c r="R877" i="10"/>
  <c r="S877" i="10"/>
  <c r="T877" i="10"/>
  <c r="U877" i="10"/>
  <c r="V877" i="10"/>
  <c r="W877" i="10"/>
  <c r="X877" i="10"/>
  <c r="Y877" i="10"/>
  <c r="Z877" i="10"/>
  <c r="AA877" i="10"/>
  <c r="AB877" i="10"/>
  <c r="F878" i="10"/>
  <c r="G878" i="10"/>
  <c r="H878" i="10"/>
  <c r="I878" i="10"/>
  <c r="J878" i="10"/>
  <c r="K878" i="10"/>
  <c r="L878" i="10"/>
  <c r="M878" i="10"/>
  <c r="N878" i="10"/>
  <c r="P878" i="10"/>
  <c r="Q878" i="10"/>
  <c r="R878" i="10"/>
  <c r="S878" i="10"/>
  <c r="T878" i="10"/>
  <c r="U878" i="10"/>
  <c r="V878" i="10"/>
  <c r="W878" i="10"/>
  <c r="X878" i="10"/>
  <c r="Y878" i="10"/>
  <c r="Z878" i="10"/>
  <c r="AA878" i="10"/>
  <c r="AB878" i="10"/>
  <c r="F879" i="10"/>
  <c r="G879" i="10"/>
  <c r="H879" i="10"/>
  <c r="I879" i="10"/>
  <c r="J879" i="10"/>
  <c r="K879" i="10"/>
  <c r="L879" i="10"/>
  <c r="M879" i="10"/>
  <c r="N879" i="10"/>
  <c r="P879" i="10"/>
  <c r="Q879" i="10"/>
  <c r="R879" i="10"/>
  <c r="S879" i="10"/>
  <c r="T879" i="10"/>
  <c r="U879" i="10"/>
  <c r="V879" i="10"/>
  <c r="W879" i="10"/>
  <c r="X879" i="10"/>
  <c r="Y879" i="10"/>
  <c r="Z879" i="10"/>
  <c r="AA879" i="10"/>
  <c r="AB879" i="10"/>
  <c r="F880" i="10"/>
  <c r="G880" i="10"/>
  <c r="H880" i="10"/>
  <c r="I880" i="10"/>
  <c r="J880" i="10"/>
  <c r="K880" i="10"/>
  <c r="L880" i="10"/>
  <c r="M880" i="10"/>
  <c r="N880" i="10"/>
  <c r="P880" i="10"/>
  <c r="Q880" i="10"/>
  <c r="R880" i="10"/>
  <c r="S880" i="10"/>
  <c r="T880" i="10"/>
  <c r="U880" i="10"/>
  <c r="V880" i="10"/>
  <c r="W880" i="10"/>
  <c r="X880" i="10"/>
  <c r="Y880" i="10"/>
  <c r="Z880" i="10"/>
  <c r="AA880" i="10"/>
  <c r="AB880" i="10"/>
  <c r="F881" i="10"/>
  <c r="G881" i="10"/>
  <c r="H881" i="10"/>
  <c r="I881" i="10"/>
  <c r="J881" i="10"/>
  <c r="K881" i="10"/>
  <c r="L881" i="10"/>
  <c r="M881" i="10"/>
  <c r="N881" i="10"/>
  <c r="P881" i="10"/>
  <c r="Q881" i="10"/>
  <c r="R881" i="10"/>
  <c r="S881" i="10"/>
  <c r="T881" i="10"/>
  <c r="U881" i="10"/>
  <c r="V881" i="10"/>
  <c r="W881" i="10"/>
  <c r="X881" i="10"/>
  <c r="Y881" i="10"/>
  <c r="Z881" i="10"/>
  <c r="AA881" i="10"/>
  <c r="AB881" i="10"/>
  <c r="F882" i="10"/>
  <c r="G882" i="10"/>
  <c r="H882" i="10"/>
  <c r="I882" i="10"/>
  <c r="J882" i="10"/>
  <c r="K882" i="10"/>
  <c r="L882" i="10"/>
  <c r="M882" i="10"/>
  <c r="N882" i="10"/>
  <c r="P882" i="10"/>
  <c r="Q882" i="10"/>
  <c r="R882" i="10"/>
  <c r="S882" i="10"/>
  <c r="T882" i="10"/>
  <c r="U882" i="10"/>
  <c r="V882" i="10"/>
  <c r="W882" i="10"/>
  <c r="X882" i="10"/>
  <c r="Y882" i="10"/>
  <c r="Z882" i="10"/>
  <c r="AA882" i="10"/>
  <c r="AB882" i="10"/>
  <c r="F883" i="10"/>
  <c r="G883" i="10"/>
  <c r="H883" i="10"/>
  <c r="I883" i="10"/>
  <c r="J883" i="10"/>
  <c r="K883" i="10"/>
  <c r="L883" i="10"/>
  <c r="M883" i="10"/>
  <c r="N883" i="10"/>
  <c r="P883" i="10"/>
  <c r="Q883" i="10"/>
  <c r="R883" i="10"/>
  <c r="S883" i="10"/>
  <c r="T883" i="10"/>
  <c r="U883" i="10"/>
  <c r="V883" i="10"/>
  <c r="W883" i="10"/>
  <c r="X883" i="10"/>
  <c r="Y883" i="10"/>
  <c r="Z883" i="10"/>
  <c r="AA883" i="10"/>
  <c r="AB883" i="10"/>
  <c r="F884" i="10"/>
  <c r="G884" i="10"/>
  <c r="H884" i="10"/>
  <c r="I884" i="10"/>
  <c r="J884" i="10"/>
  <c r="K884" i="10"/>
  <c r="L884" i="10"/>
  <c r="M884" i="10"/>
  <c r="N884" i="10"/>
  <c r="P884" i="10"/>
  <c r="Q884" i="10"/>
  <c r="R884" i="10"/>
  <c r="S884" i="10"/>
  <c r="T884" i="10"/>
  <c r="U884" i="10"/>
  <c r="V884" i="10"/>
  <c r="W884" i="10"/>
  <c r="X884" i="10"/>
  <c r="Y884" i="10"/>
  <c r="Z884" i="10"/>
  <c r="AA884" i="10"/>
  <c r="AB884" i="10"/>
  <c r="F885" i="10"/>
  <c r="G885" i="10"/>
  <c r="H885" i="10"/>
  <c r="I885" i="10"/>
  <c r="J885" i="10"/>
  <c r="K885" i="10"/>
  <c r="L885" i="10"/>
  <c r="M885" i="10"/>
  <c r="N885" i="10"/>
  <c r="P885" i="10"/>
  <c r="Q885" i="10"/>
  <c r="R885" i="10"/>
  <c r="S885" i="10"/>
  <c r="T885" i="10"/>
  <c r="U885" i="10"/>
  <c r="V885" i="10"/>
  <c r="W885" i="10"/>
  <c r="X885" i="10"/>
  <c r="Y885" i="10"/>
  <c r="Z885" i="10"/>
  <c r="AA885" i="10"/>
  <c r="AB885" i="10"/>
  <c r="F886" i="10"/>
  <c r="G886" i="10"/>
  <c r="H886" i="10"/>
  <c r="I886" i="10"/>
  <c r="J886" i="10"/>
  <c r="K886" i="10"/>
  <c r="L886" i="10"/>
  <c r="M886" i="10"/>
  <c r="N886" i="10"/>
  <c r="P886" i="10"/>
  <c r="Q886" i="10"/>
  <c r="R886" i="10"/>
  <c r="S886" i="10"/>
  <c r="T886" i="10"/>
  <c r="U886" i="10"/>
  <c r="V886" i="10"/>
  <c r="W886" i="10"/>
  <c r="X886" i="10"/>
  <c r="Y886" i="10"/>
  <c r="Z886" i="10"/>
  <c r="AA886" i="10"/>
  <c r="AB886" i="10"/>
  <c r="F887" i="10"/>
  <c r="G887" i="10"/>
  <c r="H887" i="10"/>
  <c r="I887" i="10"/>
  <c r="J887" i="10"/>
  <c r="K887" i="10"/>
  <c r="L887" i="10"/>
  <c r="M887" i="10"/>
  <c r="N887" i="10"/>
  <c r="P887" i="10"/>
  <c r="Q887" i="10"/>
  <c r="R887" i="10"/>
  <c r="S887" i="10"/>
  <c r="T887" i="10"/>
  <c r="U887" i="10"/>
  <c r="V887" i="10"/>
  <c r="W887" i="10"/>
  <c r="X887" i="10"/>
  <c r="Y887" i="10"/>
  <c r="Z887" i="10"/>
  <c r="AA887" i="10"/>
  <c r="AB887" i="10"/>
  <c r="F888" i="10"/>
  <c r="G888" i="10"/>
  <c r="H888" i="10"/>
  <c r="I888" i="10"/>
  <c r="J888" i="10"/>
  <c r="K888" i="10"/>
  <c r="L888" i="10"/>
  <c r="M888" i="10"/>
  <c r="N888" i="10"/>
  <c r="P888" i="10"/>
  <c r="Q888" i="10"/>
  <c r="R888" i="10"/>
  <c r="S888" i="10"/>
  <c r="T888" i="10"/>
  <c r="U888" i="10"/>
  <c r="V888" i="10"/>
  <c r="W888" i="10"/>
  <c r="X888" i="10"/>
  <c r="Y888" i="10"/>
  <c r="Z888" i="10"/>
  <c r="AA888" i="10"/>
  <c r="AB888" i="10"/>
  <c r="F889" i="10"/>
  <c r="G889" i="10"/>
  <c r="H889" i="10"/>
  <c r="I889" i="10"/>
  <c r="J889" i="10"/>
  <c r="K889" i="10"/>
  <c r="L889" i="10"/>
  <c r="M889" i="10"/>
  <c r="N889" i="10"/>
  <c r="P889" i="10"/>
  <c r="Q889" i="10"/>
  <c r="R889" i="10"/>
  <c r="S889" i="10"/>
  <c r="T889" i="10"/>
  <c r="U889" i="10"/>
  <c r="V889" i="10"/>
  <c r="W889" i="10"/>
  <c r="X889" i="10"/>
  <c r="Y889" i="10"/>
  <c r="Z889" i="10"/>
  <c r="AA889" i="10"/>
  <c r="AB889" i="10"/>
  <c r="F890" i="10"/>
  <c r="G890" i="10"/>
  <c r="H890" i="10"/>
  <c r="I890" i="10"/>
  <c r="J890" i="10"/>
  <c r="K890" i="10"/>
  <c r="L890" i="10"/>
  <c r="M890" i="10"/>
  <c r="N890" i="10"/>
  <c r="P890" i="10"/>
  <c r="Q890" i="10"/>
  <c r="R890" i="10"/>
  <c r="S890" i="10"/>
  <c r="T890" i="10"/>
  <c r="U890" i="10"/>
  <c r="V890" i="10"/>
  <c r="W890" i="10"/>
  <c r="X890" i="10"/>
  <c r="Y890" i="10"/>
  <c r="Z890" i="10"/>
  <c r="AA890" i="10"/>
  <c r="AB890" i="10"/>
  <c r="F891" i="10"/>
  <c r="G891" i="10"/>
  <c r="H891" i="10"/>
  <c r="I891" i="10"/>
  <c r="J891" i="10"/>
  <c r="K891" i="10"/>
  <c r="L891" i="10"/>
  <c r="M891" i="10"/>
  <c r="N891" i="10"/>
  <c r="P891" i="10"/>
  <c r="Q891" i="10"/>
  <c r="R891" i="10"/>
  <c r="S891" i="10"/>
  <c r="T891" i="10"/>
  <c r="U891" i="10"/>
  <c r="V891" i="10"/>
  <c r="W891" i="10"/>
  <c r="X891" i="10"/>
  <c r="Y891" i="10"/>
  <c r="Z891" i="10"/>
  <c r="AA891" i="10"/>
  <c r="AB891" i="10"/>
  <c r="F892" i="10"/>
  <c r="G892" i="10"/>
  <c r="H892" i="10"/>
  <c r="I892" i="10"/>
  <c r="J892" i="10"/>
  <c r="K892" i="10"/>
  <c r="L892" i="10"/>
  <c r="M892" i="10"/>
  <c r="N892" i="10"/>
  <c r="P892" i="10"/>
  <c r="Q892" i="10"/>
  <c r="R892" i="10"/>
  <c r="S892" i="10"/>
  <c r="T892" i="10"/>
  <c r="U892" i="10"/>
  <c r="V892" i="10"/>
  <c r="W892" i="10"/>
  <c r="X892" i="10"/>
  <c r="Y892" i="10"/>
  <c r="Z892" i="10"/>
  <c r="AA892" i="10"/>
  <c r="AB892" i="10"/>
  <c r="F893" i="10"/>
  <c r="G893" i="10"/>
  <c r="H893" i="10"/>
  <c r="I893" i="10"/>
  <c r="J893" i="10"/>
  <c r="K893" i="10"/>
  <c r="L893" i="10"/>
  <c r="M893" i="10"/>
  <c r="N893" i="10"/>
  <c r="P893" i="10"/>
  <c r="Q893" i="10"/>
  <c r="R893" i="10"/>
  <c r="S893" i="10"/>
  <c r="T893" i="10"/>
  <c r="U893" i="10"/>
  <c r="V893" i="10"/>
  <c r="W893" i="10"/>
  <c r="X893" i="10"/>
  <c r="Y893" i="10"/>
  <c r="Z893" i="10"/>
  <c r="AA893" i="10"/>
  <c r="AB893" i="10"/>
  <c r="F894" i="10"/>
  <c r="G894" i="10"/>
  <c r="H894" i="10"/>
  <c r="I894" i="10"/>
  <c r="J894" i="10"/>
  <c r="K894" i="10"/>
  <c r="L894" i="10"/>
  <c r="M894" i="10"/>
  <c r="N894" i="10"/>
  <c r="P894" i="10"/>
  <c r="Q894" i="10"/>
  <c r="R894" i="10"/>
  <c r="S894" i="10"/>
  <c r="T894" i="10"/>
  <c r="U894" i="10"/>
  <c r="V894" i="10"/>
  <c r="W894" i="10"/>
  <c r="X894" i="10"/>
  <c r="Y894" i="10"/>
  <c r="Z894" i="10"/>
  <c r="AA894" i="10"/>
  <c r="AB894" i="10"/>
  <c r="F895" i="10"/>
  <c r="G895" i="10"/>
  <c r="H895" i="10"/>
  <c r="I895" i="10"/>
  <c r="J895" i="10"/>
  <c r="K895" i="10"/>
  <c r="L895" i="10"/>
  <c r="M895" i="10"/>
  <c r="N895" i="10"/>
  <c r="P895" i="10"/>
  <c r="Q895" i="10"/>
  <c r="R895" i="10"/>
  <c r="S895" i="10"/>
  <c r="T895" i="10"/>
  <c r="U895" i="10"/>
  <c r="V895" i="10"/>
  <c r="W895" i="10"/>
  <c r="X895" i="10"/>
  <c r="Y895" i="10"/>
  <c r="Z895" i="10"/>
  <c r="AA895" i="10"/>
  <c r="AB895" i="10"/>
  <c r="F896" i="10"/>
  <c r="G896" i="10"/>
  <c r="H896" i="10"/>
  <c r="I896" i="10"/>
  <c r="J896" i="10"/>
  <c r="K896" i="10"/>
  <c r="L896" i="10"/>
  <c r="M896" i="10"/>
  <c r="N896" i="10"/>
  <c r="P896" i="10"/>
  <c r="Q896" i="10"/>
  <c r="R896" i="10"/>
  <c r="S896" i="10"/>
  <c r="T896" i="10"/>
  <c r="U896" i="10"/>
  <c r="V896" i="10"/>
  <c r="W896" i="10"/>
  <c r="X896" i="10"/>
  <c r="Y896" i="10"/>
  <c r="Z896" i="10"/>
  <c r="AA896" i="10"/>
  <c r="AB896" i="10"/>
  <c r="F897" i="10"/>
  <c r="G897" i="10"/>
  <c r="H897" i="10"/>
  <c r="I897" i="10"/>
  <c r="J897" i="10"/>
  <c r="K897" i="10"/>
  <c r="L897" i="10"/>
  <c r="M897" i="10"/>
  <c r="N897" i="10"/>
  <c r="P897" i="10"/>
  <c r="Q897" i="10"/>
  <c r="R897" i="10"/>
  <c r="S897" i="10"/>
  <c r="T897" i="10"/>
  <c r="U897" i="10"/>
  <c r="V897" i="10"/>
  <c r="W897" i="10"/>
  <c r="X897" i="10"/>
  <c r="Y897" i="10"/>
  <c r="Z897" i="10"/>
  <c r="AA897" i="10"/>
  <c r="AB897" i="10"/>
  <c r="F898" i="10"/>
  <c r="G898" i="10"/>
  <c r="H898" i="10"/>
  <c r="I898" i="10"/>
  <c r="J898" i="10"/>
  <c r="K898" i="10"/>
  <c r="L898" i="10"/>
  <c r="M898" i="10"/>
  <c r="N898" i="10"/>
  <c r="P898" i="10"/>
  <c r="Q898" i="10"/>
  <c r="R898" i="10"/>
  <c r="S898" i="10"/>
  <c r="T898" i="10"/>
  <c r="U898" i="10"/>
  <c r="V898" i="10"/>
  <c r="W898" i="10"/>
  <c r="X898" i="10"/>
  <c r="Y898" i="10"/>
  <c r="Z898" i="10"/>
  <c r="AA898" i="10"/>
  <c r="AB898" i="10"/>
  <c r="F899" i="10"/>
  <c r="G899" i="10"/>
  <c r="H899" i="10"/>
  <c r="I899" i="10"/>
  <c r="J899" i="10"/>
  <c r="K899" i="10"/>
  <c r="L899" i="10"/>
  <c r="M899" i="10"/>
  <c r="N899" i="10"/>
  <c r="P899" i="10"/>
  <c r="Q899" i="10"/>
  <c r="R899" i="10"/>
  <c r="S899" i="10"/>
  <c r="T899" i="10"/>
  <c r="U899" i="10"/>
  <c r="V899" i="10"/>
  <c r="W899" i="10"/>
  <c r="X899" i="10"/>
  <c r="Y899" i="10"/>
  <c r="Z899" i="10"/>
  <c r="AA899" i="10"/>
  <c r="AB899" i="10"/>
  <c r="F900" i="10"/>
  <c r="G900" i="10"/>
  <c r="H900" i="10"/>
  <c r="I900" i="10"/>
  <c r="J900" i="10"/>
  <c r="K900" i="10"/>
  <c r="L900" i="10"/>
  <c r="M900" i="10"/>
  <c r="N900" i="10"/>
  <c r="P900" i="10"/>
  <c r="Q900" i="10"/>
  <c r="R900" i="10"/>
  <c r="S900" i="10"/>
  <c r="T900" i="10"/>
  <c r="U900" i="10"/>
  <c r="V900" i="10"/>
  <c r="W900" i="10"/>
  <c r="X900" i="10"/>
  <c r="Y900" i="10"/>
  <c r="Z900" i="10"/>
  <c r="AA900" i="10"/>
  <c r="AB900" i="10"/>
  <c r="F901" i="10"/>
  <c r="G901" i="10"/>
  <c r="H901" i="10"/>
  <c r="I901" i="10"/>
  <c r="J901" i="10"/>
  <c r="K901" i="10"/>
  <c r="L901" i="10"/>
  <c r="M901" i="10"/>
  <c r="N901" i="10"/>
  <c r="P901" i="10"/>
  <c r="Q901" i="10"/>
  <c r="R901" i="10"/>
  <c r="S901" i="10"/>
  <c r="T901" i="10"/>
  <c r="U901" i="10"/>
  <c r="V901" i="10"/>
  <c r="W901" i="10"/>
  <c r="X901" i="10"/>
  <c r="Y901" i="10"/>
  <c r="Z901" i="10"/>
  <c r="AA901" i="10"/>
  <c r="AB901" i="10"/>
  <c r="F902" i="10"/>
  <c r="G902" i="10"/>
  <c r="H902" i="10"/>
  <c r="I902" i="10"/>
  <c r="J902" i="10"/>
  <c r="K902" i="10"/>
  <c r="L902" i="10"/>
  <c r="M902" i="10"/>
  <c r="N902" i="10"/>
  <c r="P902" i="10"/>
  <c r="Q902" i="10"/>
  <c r="R902" i="10"/>
  <c r="S902" i="10"/>
  <c r="T902" i="10"/>
  <c r="U902" i="10"/>
  <c r="V902" i="10"/>
  <c r="W902" i="10"/>
  <c r="X902" i="10"/>
  <c r="Y902" i="10"/>
  <c r="Z902" i="10"/>
  <c r="AA902" i="10"/>
  <c r="AB902" i="10"/>
  <c r="F903" i="10"/>
  <c r="G903" i="10"/>
  <c r="H903" i="10"/>
  <c r="I903" i="10"/>
  <c r="J903" i="10"/>
  <c r="K903" i="10"/>
  <c r="L903" i="10"/>
  <c r="M903" i="10"/>
  <c r="N903" i="10"/>
  <c r="P903" i="10"/>
  <c r="Q903" i="10"/>
  <c r="R903" i="10"/>
  <c r="S903" i="10"/>
  <c r="T903" i="10"/>
  <c r="U903" i="10"/>
  <c r="V903" i="10"/>
  <c r="W903" i="10"/>
  <c r="X903" i="10"/>
  <c r="Y903" i="10"/>
  <c r="Z903" i="10"/>
  <c r="AA903" i="10"/>
  <c r="AB903" i="10"/>
  <c r="F904" i="10"/>
  <c r="G904" i="10"/>
  <c r="H904" i="10"/>
  <c r="I904" i="10"/>
  <c r="J904" i="10"/>
  <c r="K904" i="10"/>
  <c r="L904" i="10"/>
  <c r="M904" i="10"/>
  <c r="N904" i="10"/>
  <c r="P904" i="10"/>
  <c r="Q904" i="10"/>
  <c r="R904" i="10"/>
  <c r="S904" i="10"/>
  <c r="T904" i="10"/>
  <c r="U904" i="10"/>
  <c r="V904" i="10"/>
  <c r="W904" i="10"/>
  <c r="X904" i="10"/>
  <c r="Y904" i="10"/>
  <c r="Z904" i="10"/>
  <c r="AA904" i="10"/>
  <c r="AB904" i="10"/>
  <c r="F905" i="10"/>
  <c r="G905" i="10"/>
  <c r="H905" i="10"/>
  <c r="I905" i="10"/>
  <c r="J905" i="10"/>
  <c r="K905" i="10"/>
  <c r="L905" i="10"/>
  <c r="M905" i="10"/>
  <c r="N905" i="10"/>
  <c r="P905" i="10"/>
  <c r="Q905" i="10"/>
  <c r="R905" i="10"/>
  <c r="S905" i="10"/>
  <c r="T905" i="10"/>
  <c r="U905" i="10"/>
  <c r="V905" i="10"/>
  <c r="W905" i="10"/>
  <c r="X905" i="10"/>
  <c r="Y905" i="10"/>
  <c r="Z905" i="10"/>
  <c r="AA905" i="10"/>
  <c r="AB905" i="10"/>
  <c r="F906" i="10"/>
  <c r="G906" i="10"/>
  <c r="H906" i="10"/>
  <c r="I906" i="10"/>
  <c r="J906" i="10"/>
  <c r="K906" i="10"/>
  <c r="L906" i="10"/>
  <c r="M906" i="10"/>
  <c r="N906" i="10"/>
  <c r="P906" i="10"/>
  <c r="Q906" i="10"/>
  <c r="R906" i="10"/>
  <c r="S906" i="10"/>
  <c r="T906" i="10"/>
  <c r="U906" i="10"/>
  <c r="V906" i="10"/>
  <c r="W906" i="10"/>
  <c r="X906" i="10"/>
  <c r="Y906" i="10"/>
  <c r="Z906" i="10"/>
  <c r="AA906" i="10"/>
  <c r="AB906" i="10"/>
  <c r="F907" i="10"/>
  <c r="G907" i="10"/>
  <c r="H907" i="10"/>
  <c r="I907" i="10"/>
  <c r="J907" i="10"/>
  <c r="K907" i="10"/>
  <c r="L907" i="10"/>
  <c r="M907" i="10"/>
  <c r="N907" i="10"/>
  <c r="P907" i="10"/>
  <c r="Q907" i="10"/>
  <c r="R907" i="10"/>
  <c r="S907" i="10"/>
  <c r="T907" i="10"/>
  <c r="U907" i="10"/>
  <c r="V907" i="10"/>
  <c r="W907" i="10"/>
  <c r="X907" i="10"/>
  <c r="Y907" i="10"/>
  <c r="Z907" i="10"/>
  <c r="AA907" i="10"/>
  <c r="AB907" i="10"/>
  <c r="F908" i="10"/>
  <c r="G908" i="10"/>
  <c r="H908" i="10"/>
  <c r="I908" i="10"/>
  <c r="J908" i="10"/>
  <c r="K908" i="10"/>
  <c r="L908" i="10"/>
  <c r="M908" i="10"/>
  <c r="N908" i="10"/>
  <c r="P908" i="10"/>
  <c r="Q908" i="10"/>
  <c r="R908" i="10"/>
  <c r="S908" i="10"/>
  <c r="T908" i="10"/>
  <c r="U908" i="10"/>
  <c r="V908" i="10"/>
  <c r="W908" i="10"/>
  <c r="X908" i="10"/>
  <c r="Y908" i="10"/>
  <c r="Z908" i="10"/>
  <c r="AA908" i="10"/>
  <c r="AB908" i="10"/>
  <c r="F909" i="10"/>
  <c r="G909" i="10"/>
  <c r="H909" i="10"/>
  <c r="I909" i="10"/>
  <c r="J909" i="10"/>
  <c r="K909" i="10"/>
  <c r="L909" i="10"/>
  <c r="M909" i="10"/>
  <c r="N909" i="10"/>
  <c r="P909" i="10"/>
  <c r="Q909" i="10"/>
  <c r="R909" i="10"/>
  <c r="S909" i="10"/>
  <c r="T909" i="10"/>
  <c r="U909" i="10"/>
  <c r="V909" i="10"/>
  <c r="W909" i="10"/>
  <c r="X909" i="10"/>
  <c r="Y909" i="10"/>
  <c r="Z909" i="10"/>
  <c r="AA909" i="10"/>
  <c r="AB909" i="10"/>
  <c r="F910" i="10"/>
  <c r="G910" i="10"/>
  <c r="H910" i="10"/>
  <c r="I910" i="10"/>
  <c r="J910" i="10"/>
  <c r="K910" i="10"/>
  <c r="L910" i="10"/>
  <c r="M910" i="10"/>
  <c r="N910" i="10"/>
  <c r="P910" i="10"/>
  <c r="Q910" i="10"/>
  <c r="R910" i="10"/>
  <c r="S910" i="10"/>
  <c r="T910" i="10"/>
  <c r="U910" i="10"/>
  <c r="V910" i="10"/>
  <c r="W910" i="10"/>
  <c r="X910" i="10"/>
  <c r="Y910" i="10"/>
  <c r="Z910" i="10"/>
  <c r="AA910" i="10"/>
  <c r="AB910" i="10"/>
  <c r="F911" i="10"/>
  <c r="G911" i="10"/>
  <c r="H911" i="10"/>
  <c r="I911" i="10"/>
  <c r="J911" i="10"/>
  <c r="K911" i="10"/>
  <c r="L911" i="10"/>
  <c r="M911" i="10"/>
  <c r="N911" i="10"/>
  <c r="P911" i="10"/>
  <c r="Q911" i="10"/>
  <c r="R911" i="10"/>
  <c r="S911" i="10"/>
  <c r="T911" i="10"/>
  <c r="U911" i="10"/>
  <c r="V911" i="10"/>
  <c r="W911" i="10"/>
  <c r="X911" i="10"/>
  <c r="Y911" i="10"/>
  <c r="Z911" i="10"/>
  <c r="AA911" i="10"/>
  <c r="AB911" i="10"/>
  <c r="F912" i="10"/>
  <c r="G912" i="10"/>
  <c r="H912" i="10"/>
  <c r="I912" i="10"/>
  <c r="J912" i="10"/>
  <c r="K912" i="10"/>
  <c r="L912" i="10"/>
  <c r="M912" i="10"/>
  <c r="N912" i="10"/>
  <c r="P912" i="10"/>
  <c r="Q912" i="10"/>
  <c r="R912" i="10"/>
  <c r="S912" i="10"/>
  <c r="T912" i="10"/>
  <c r="U912" i="10"/>
  <c r="V912" i="10"/>
  <c r="W912" i="10"/>
  <c r="X912" i="10"/>
  <c r="Y912" i="10"/>
  <c r="Z912" i="10"/>
  <c r="AA912" i="10"/>
  <c r="AB912" i="10"/>
  <c r="F913" i="10"/>
  <c r="G913" i="10"/>
  <c r="H913" i="10"/>
  <c r="I913" i="10"/>
  <c r="J913" i="10"/>
  <c r="K913" i="10"/>
  <c r="L913" i="10"/>
  <c r="M913" i="10"/>
  <c r="N913" i="10"/>
  <c r="P913" i="10"/>
  <c r="Q913" i="10"/>
  <c r="R913" i="10"/>
  <c r="S913" i="10"/>
  <c r="T913" i="10"/>
  <c r="U913" i="10"/>
  <c r="V913" i="10"/>
  <c r="W913" i="10"/>
  <c r="X913" i="10"/>
  <c r="Y913" i="10"/>
  <c r="Z913" i="10"/>
  <c r="AA913" i="10"/>
  <c r="AB913" i="10"/>
  <c r="F914" i="10"/>
  <c r="G914" i="10"/>
  <c r="H914" i="10"/>
  <c r="I914" i="10"/>
  <c r="J914" i="10"/>
  <c r="K914" i="10"/>
  <c r="L914" i="10"/>
  <c r="M914" i="10"/>
  <c r="N914" i="10"/>
  <c r="P914" i="10"/>
  <c r="Q914" i="10"/>
  <c r="R914" i="10"/>
  <c r="S914" i="10"/>
  <c r="T914" i="10"/>
  <c r="U914" i="10"/>
  <c r="V914" i="10"/>
  <c r="W914" i="10"/>
  <c r="X914" i="10"/>
  <c r="Y914" i="10"/>
  <c r="Z914" i="10"/>
  <c r="AA914" i="10"/>
  <c r="AB914" i="10"/>
  <c r="F915" i="10"/>
  <c r="G915" i="10"/>
  <c r="H915" i="10"/>
  <c r="I915" i="10"/>
  <c r="J915" i="10"/>
  <c r="K915" i="10"/>
  <c r="L915" i="10"/>
  <c r="M915" i="10"/>
  <c r="N915" i="10"/>
  <c r="P915" i="10"/>
  <c r="Q915" i="10"/>
  <c r="R915" i="10"/>
  <c r="S915" i="10"/>
  <c r="T915" i="10"/>
  <c r="U915" i="10"/>
  <c r="V915" i="10"/>
  <c r="W915" i="10"/>
  <c r="X915" i="10"/>
  <c r="Y915" i="10"/>
  <c r="Z915" i="10"/>
  <c r="AA915" i="10"/>
  <c r="AB915" i="10"/>
  <c r="F916" i="10"/>
  <c r="G916" i="10"/>
  <c r="H916" i="10"/>
  <c r="I916" i="10"/>
  <c r="J916" i="10"/>
  <c r="K916" i="10"/>
  <c r="L916" i="10"/>
  <c r="M916" i="10"/>
  <c r="N916" i="10"/>
  <c r="P916" i="10"/>
  <c r="Q916" i="10"/>
  <c r="R916" i="10"/>
  <c r="S916" i="10"/>
  <c r="T916" i="10"/>
  <c r="U916" i="10"/>
  <c r="V916" i="10"/>
  <c r="W916" i="10"/>
  <c r="X916" i="10"/>
  <c r="Y916" i="10"/>
  <c r="Z916" i="10"/>
  <c r="AA916" i="10"/>
  <c r="AB916" i="10"/>
  <c r="F917" i="10"/>
  <c r="G917" i="10"/>
  <c r="H917" i="10"/>
  <c r="I917" i="10"/>
  <c r="J917" i="10"/>
  <c r="K917" i="10"/>
  <c r="L917" i="10"/>
  <c r="M917" i="10"/>
  <c r="N917" i="10"/>
  <c r="P917" i="10"/>
  <c r="Q917" i="10"/>
  <c r="R917" i="10"/>
  <c r="S917" i="10"/>
  <c r="T917" i="10"/>
  <c r="U917" i="10"/>
  <c r="V917" i="10"/>
  <c r="W917" i="10"/>
  <c r="X917" i="10"/>
  <c r="Y917" i="10"/>
  <c r="Z917" i="10"/>
  <c r="AA917" i="10"/>
  <c r="AB917" i="10"/>
  <c r="F918" i="10"/>
  <c r="G918" i="10"/>
  <c r="H918" i="10"/>
  <c r="I918" i="10"/>
  <c r="J918" i="10"/>
  <c r="K918" i="10"/>
  <c r="L918" i="10"/>
  <c r="M918" i="10"/>
  <c r="N918" i="10"/>
  <c r="P918" i="10"/>
  <c r="Q918" i="10"/>
  <c r="R918" i="10"/>
  <c r="S918" i="10"/>
  <c r="T918" i="10"/>
  <c r="U918" i="10"/>
  <c r="V918" i="10"/>
  <c r="W918" i="10"/>
  <c r="X918" i="10"/>
  <c r="Y918" i="10"/>
  <c r="Z918" i="10"/>
  <c r="AA918" i="10"/>
  <c r="AB918" i="10"/>
  <c r="F919" i="10"/>
  <c r="G919" i="10"/>
  <c r="H919" i="10"/>
  <c r="I919" i="10"/>
  <c r="J919" i="10"/>
  <c r="K919" i="10"/>
  <c r="L919" i="10"/>
  <c r="M919" i="10"/>
  <c r="N919" i="10"/>
  <c r="P919" i="10"/>
  <c r="Q919" i="10"/>
  <c r="R919" i="10"/>
  <c r="S919" i="10"/>
  <c r="T919" i="10"/>
  <c r="U919" i="10"/>
  <c r="V919" i="10"/>
  <c r="W919" i="10"/>
  <c r="X919" i="10"/>
  <c r="Y919" i="10"/>
  <c r="Z919" i="10"/>
  <c r="AA919" i="10"/>
  <c r="AB919" i="10"/>
  <c r="F920" i="10"/>
  <c r="G920" i="10"/>
  <c r="H920" i="10"/>
  <c r="I920" i="10"/>
  <c r="J920" i="10"/>
  <c r="K920" i="10"/>
  <c r="L920" i="10"/>
  <c r="M920" i="10"/>
  <c r="N920" i="10"/>
  <c r="P920" i="10"/>
  <c r="Q920" i="10"/>
  <c r="R920" i="10"/>
  <c r="S920" i="10"/>
  <c r="T920" i="10"/>
  <c r="U920" i="10"/>
  <c r="V920" i="10"/>
  <c r="W920" i="10"/>
  <c r="X920" i="10"/>
  <c r="Y920" i="10"/>
  <c r="Z920" i="10"/>
  <c r="AA920" i="10"/>
  <c r="AB920" i="10"/>
  <c r="F921" i="10"/>
  <c r="G921" i="10"/>
  <c r="H921" i="10"/>
  <c r="I921" i="10"/>
  <c r="J921" i="10"/>
  <c r="K921" i="10"/>
  <c r="L921" i="10"/>
  <c r="M921" i="10"/>
  <c r="N921" i="10"/>
  <c r="P921" i="10"/>
  <c r="Q921" i="10"/>
  <c r="R921" i="10"/>
  <c r="S921" i="10"/>
  <c r="T921" i="10"/>
  <c r="U921" i="10"/>
  <c r="V921" i="10"/>
  <c r="W921" i="10"/>
  <c r="X921" i="10"/>
  <c r="Y921" i="10"/>
  <c r="Z921" i="10"/>
  <c r="AA921" i="10"/>
  <c r="AB921" i="10"/>
  <c r="F922" i="10"/>
  <c r="G922" i="10"/>
  <c r="H922" i="10"/>
  <c r="I922" i="10"/>
  <c r="J922" i="10"/>
  <c r="K922" i="10"/>
  <c r="L922" i="10"/>
  <c r="M922" i="10"/>
  <c r="N922" i="10"/>
  <c r="P922" i="10"/>
  <c r="Q922" i="10"/>
  <c r="R922" i="10"/>
  <c r="S922" i="10"/>
  <c r="T922" i="10"/>
  <c r="U922" i="10"/>
  <c r="V922" i="10"/>
  <c r="W922" i="10"/>
  <c r="X922" i="10"/>
  <c r="Y922" i="10"/>
  <c r="Z922" i="10"/>
  <c r="AA922" i="10"/>
  <c r="AB922" i="10"/>
  <c r="F923" i="10"/>
  <c r="G923" i="10"/>
  <c r="H923" i="10"/>
  <c r="I923" i="10"/>
  <c r="J923" i="10"/>
  <c r="K923" i="10"/>
  <c r="L923" i="10"/>
  <c r="M923" i="10"/>
  <c r="N923" i="10"/>
  <c r="P923" i="10"/>
  <c r="Q923" i="10"/>
  <c r="R923" i="10"/>
  <c r="S923" i="10"/>
  <c r="T923" i="10"/>
  <c r="U923" i="10"/>
  <c r="V923" i="10"/>
  <c r="W923" i="10"/>
  <c r="X923" i="10"/>
  <c r="Y923" i="10"/>
  <c r="Z923" i="10"/>
  <c r="AA923" i="10"/>
  <c r="AB923" i="10"/>
  <c r="F924" i="10"/>
  <c r="G924" i="10"/>
  <c r="H924" i="10"/>
  <c r="I924" i="10"/>
  <c r="J924" i="10"/>
  <c r="K924" i="10"/>
  <c r="L924" i="10"/>
  <c r="M924" i="10"/>
  <c r="N924" i="10"/>
  <c r="P924" i="10"/>
  <c r="Q924" i="10"/>
  <c r="R924" i="10"/>
  <c r="S924" i="10"/>
  <c r="T924" i="10"/>
  <c r="U924" i="10"/>
  <c r="V924" i="10"/>
  <c r="W924" i="10"/>
  <c r="X924" i="10"/>
  <c r="Y924" i="10"/>
  <c r="Z924" i="10"/>
  <c r="AA924" i="10"/>
  <c r="AB924" i="10"/>
  <c r="F925" i="10"/>
  <c r="G925" i="10"/>
  <c r="H925" i="10"/>
  <c r="I925" i="10"/>
  <c r="J925" i="10"/>
  <c r="K925" i="10"/>
  <c r="L925" i="10"/>
  <c r="M925" i="10"/>
  <c r="N925" i="10"/>
  <c r="P925" i="10"/>
  <c r="Q925" i="10"/>
  <c r="R925" i="10"/>
  <c r="S925" i="10"/>
  <c r="T925" i="10"/>
  <c r="U925" i="10"/>
  <c r="V925" i="10"/>
  <c r="W925" i="10"/>
  <c r="X925" i="10"/>
  <c r="Y925" i="10"/>
  <c r="Z925" i="10"/>
  <c r="AA925" i="10"/>
  <c r="AB925" i="10"/>
  <c r="F926" i="10"/>
  <c r="G926" i="10"/>
  <c r="H926" i="10"/>
  <c r="I926" i="10"/>
  <c r="J926" i="10"/>
  <c r="K926" i="10"/>
  <c r="L926" i="10"/>
  <c r="M926" i="10"/>
  <c r="N926" i="10"/>
  <c r="P926" i="10"/>
  <c r="Q926" i="10"/>
  <c r="R926" i="10"/>
  <c r="S926" i="10"/>
  <c r="T926" i="10"/>
  <c r="U926" i="10"/>
  <c r="V926" i="10"/>
  <c r="W926" i="10"/>
  <c r="X926" i="10"/>
  <c r="Y926" i="10"/>
  <c r="Z926" i="10"/>
  <c r="AA926" i="10"/>
  <c r="AB926" i="10"/>
  <c r="F927" i="10"/>
  <c r="G927" i="10"/>
  <c r="H927" i="10"/>
  <c r="I927" i="10"/>
  <c r="J927" i="10"/>
  <c r="K927" i="10"/>
  <c r="L927" i="10"/>
  <c r="M927" i="10"/>
  <c r="N927" i="10"/>
  <c r="P927" i="10"/>
  <c r="Q927" i="10"/>
  <c r="R927" i="10"/>
  <c r="S927" i="10"/>
  <c r="T927" i="10"/>
  <c r="U927" i="10"/>
  <c r="V927" i="10"/>
  <c r="W927" i="10"/>
  <c r="X927" i="10"/>
  <c r="Y927" i="10"/>
  <c r="Z927" i="10"/>
  <c r="AA927" i="10"/>
  <c r="AB927" i="10"/>
  <c r="F928" i="10"/>
  <c r="G928" i="10"/>
  <c r="H928" i="10"/>
  <c r="I928" i="10"/>
  <c r="J928" i="10"/>
  <c r="K928" i="10"/>
  <c r="L928" i="10"/>
  <c r="M928" i="10"/>
  <c r="N928" i="10"/>
  <c r="P928" i="10"/>
  <c r="Q928" i="10"/>
  <c r="R928" i="10"/>
  <c r="S928" i="10"/>
  <c r="T928" i="10"/>
  <c r="U928" i="10"/>
  <c r="V928" i="10"/>
  <c r="W928" i="10"/>
  <c r="X928" i="10"/>
  <c r="Y928" i="10"/>
  <c r="Z928" i="10"/>
  <c r="AA928" i="10"/>
  <c r="AB928" i="10"/>
  <c r="F929" i="10"/>
  <c r="G929" i="10"/>
  <c r="H929" i="10"/>
  <c r="I929" i="10"/>
  <c r="J929" i="10"/>
  <c r="K929" i="10"/>
  <c r="L929" i="10"/>
  <c r="M929" i="10"/>
  <c r="N929" i="10"/>
  <c r="P929" i="10"/>
  <c r="Q929" i="10"/>
  <c r="R929" i="10"/>
  <c r="S929" i="10"/>
  <c r="T929" i="10"/>
  <c r="U929" i="10"/>
  <c r="V929" i="10"/>
  <c r="W929" i="10"/>
  <c r="X929" i="10"/>
  <c r="Y929" i="10"/>
  <c r="Z929" i="10"/>
  <c r="AA929" i="10"/>
  <c r="AB929" i="10"/>
  <c r="F930" i="10"/>
  <c r="G930" i="10"/>
  <c r="H930" i="10"/>
  <c r="I930" i="10"/>
  <c r="J930" i="10"/>
  <c r="K930" i="10"/>
  <c r="L930" i="10"/>
  <c r="M930" i="10"/>
  <c r="N930" i="10"/>
  <c r="P930" i="10"/>
  <c r="Q930" i="10"/>
  <c r="R930" i="10"/>
  <c r="S930" i="10"/>
  <c r="T930" i="10"/>
  <c r="U930" i="10"/>
  <c r="V930" i="10"/>
  <c r="W930" i="10"/>
  <c r="X930" i="10"/>
  <c r="Y930" i="10"/>
  <c r="Z930" i="10"/>
  <c r="AA930" i="10"/>
  <c r="AB930" i="10"/>
  <c r="F931" i="10"/>
  <c r="G931" i="10"/>
  <c r="H931" i="10"/>
  <c r="I931" i="10"/>
  <c r="J931" i="10"/>
  <c r="K931" i="10"/>
  <c r="L931" i="10"/>
  <c r="M931" i="10"/>
  <c r="N931" i="10"/>
  <c r="P931" i="10"/>
  <c r="Q931" i="10"/>
  <c r="R931" i="10"/>
  <c r="S931" i="10"/>
  <c r="T931" i="10"/>
  <c r="U931" i="10"/>
  <c r="V931" i="10"/>
  <c r="W931" i="10"/>
  <c r="X931" i="10"/>
  <c r="Y931" i="10"/>
  <c r="Z931" i="10"/>
  <c r="AA931" i="10"/>
  <c r="AB931" i="10"/>
  <c r="F932" i="10"/>
  <c r="G932" i="10"/>
  <c r="H932" i="10"/>
  <c r="I932" i="10"/>
  <c r="J932" i="10"/>
  <c r="K932" i="10"/>
  <c r="L932" i="10"/>
  <c r="M932" i="10"/>
  <c r="N932" i="10"/>
  <c r="P932" i="10"/>
  <c r="Q932" i="10"/>
  <c r="R932" i="10"/>
  <c r="S932" i="10"/>
  <c r="T932" i="10"/>
  <c r="U932" i="10"/>
  <c r="V932" i="10"/>
  <c r="W932" i="10"/>
  <c r="X932" i="10"/>
  <c r="Y932" i="10"/>
  <c r="Z932" i="10"/>
  <c r="AA932" i="10"/>
  <c r="AB932" i="10"/>
  <c r="F933" i="10"/>
  <c r="G933" i="10"/>
  <c r="H933" i="10"/>
  <c r="I933" i="10"/>
  <c r="J933" i="10"/>
  <c r="K933" i="10"/>
  <c r="L933" i="10"/>
  <c r="M933" i="10"/>
  <c r="N933" i="10"/>
  <c r="P933" i="10"/>
  <c r="Q933" i="10"/>
  <c r="R933" i="10"/>
  <c r="S933" i="10"/>
  <c r="T933" i="10"/>
  <c r="U933" i="10"/>
  <c r="V933" i="10"/>
  <c r="W933" i="10"/>
  <c r="X933" i="10"/>
  <c r="Y933" i="10"/>
  <c r="Z933" i="10"/>
  <c r="AA933" i="10"/>
  <c r="AB933" i="10"/>
  <c r="F934" i="10"/>
  <c r="G934" i="10"/>
  <c r="H934" i="10"/>
  <c r="I934" i="10"/>
  <c r="J934" i="10"/>
  <c r="K934" i="10"/>
  <c r="L934" i="10"/>
  <c r="M934" i="10"/>
  <c r="N934" i="10"/>
  <c r="P934" i="10"/>
  <c r="Q934" i="10"/>
  <c r="R934" i="10"/>
  <c r="S934" i="10"/>
  <c r="T934" i="10"/>
  <c r="U934" i="10"/>
  <c r="V934" i="10"/>
  <c r="W934" i="10"/>
  <c r="X934" i="10"/>
  <c r="Y934" i="10"/>
  <c r="Z934" i="10"/>
  <c r="AA934" i="10"/>
  <c r="AB934" i="10"/>
  <c r="F935" i="10"/>
  <c r="G935" i="10"/>
  <c r="H935" i="10"/>
  <c r="I935" i="10"/>
  <c r="J935" i="10"/>
  <c r="K935" i="10"/>
  <c r="L935" i="10"/>
  <c r="M935" i="10"/>
  <c r="N935" i="10"/>
  <c r="P935" i="10"/>
  <c r="Q935" i="10"/>
  <c r="R935" i="10"/>
  <c r="S935" i="10"/>
  <c r="T935" i="10"/>
  <c r="U935" i="10"/>
  <c r="V935" i="10"/>
  <c r="W935" i="10"/>
  <c r="X935" i="10"/>
  <c r="Y935" i="10"/>
  <c r="Z935" i="10"/>
  <c r="AA935" i="10"/>
  <c r="AB935" i="10"/>
  <c r="F936" i="10"/>
  <c r="G936" i="10"/>
  <c r="H936" i="10"/>
  <c r="I936" i="10"/>
  <c r="J936" i="10"/>
  <c r="K936" i="10"/>
  <c r="L936" i="10"/>
  <c r="M936" i="10"/>
  <c r="N936" i="10"/>
  <c r="P936" i="10"/>
  <c r="Q936" i="10"/>
  <c r="R936" i="10"/>
  <c r="S936" i="10"/>
  <c r="T936" i="10"/>
  <c r="U936" i="10"/>
  <c r="V936" i="10"/>
  <c r="W936" i="10"/>
  <c r="X936" i="10"/>
  <c r="Y936" i="10"/>
  <c r="Z936" i="10"/>
  <c r="AA936" i="10"/>
  <c r="AB936" i="10"/>
  <c r="F937" i="10"/>
  <c r="G937" i="10"/>
  <c r="H937" i="10"/>
  <c r="I937" i="10"/>
  <c r="J937" i="10"/>
  <c r="K937" i="10"/>
  <c r="L937" i="10"/>
  <c r="M937" i="10"/>
  <c r="N937" i="10"/>
  <c r="P937" i="10"/>
  <c r="Q937" i="10"/>
  <c r="R937" i="10"/>
  <c r="S937" i="10"/>
  <c r="T937" i="10"/>
  <c r="U937" i="10"/>
  <c r="V937" i="10"/>
  <c r="W937" i="10"/>
  <c r="X937" i="10"/>
  <c r="Y937" i="10"/>
  <c r="Z937" i="10"/>
  <c r="AA937" i="10"/>
  <c r="AB937" i="10"/>
  <c r="F938" i="10"/>
  <c r="G938" i="10"/>
  <c r="H938" i="10"/>
  <c r="I938" i="10"/>
  <c r="J938" i="10"/>
  <c r="K938" i="10"/>
  <c r="L938" i="10"/>
  <c r="M938" i="10"/>
  <c r="N938" i="10"/>
  <c r="P938" i="10"/>
  <c r="Q938" i="10"/>
  <c r="R938" i="10"/>
  <c r="S938" i="10"/>
  <c r="T938" i="10"/>
  <c r="U938" i="10"/>
  <c r="V938" i="10"/>
  <c r="W938" i="10"/>
  <c r="X938" i="10"/>
  <c r="Y938" i="10"/>
  <c r="Z938" i="10"/>
  <c r="AA938" i="10"/>
  <c r="AB938" i="10"/>
  <c r="F939" i="10"/>
  <c r="G939" i="10"/>
  <c r="H939" i="10"/>
  <c r="I939" i="10"/>
  <c r="J939" i="10"/>
  <c r="K939" i="10"/>
  <c r="L939" i="10"/>
  <c r="M939" i="10"/>
  <c r="N939" i="10"/>
  <c r="P939" i="10"/>
  <c r="Q939" i="10"/>
  <c r="R939" i="10"/>
  <c r="S939" i="10"/>
  <c r="T939" i="10"/>
  <c r="U939" i="10"/>
  <c r="V939" i="10"/>
  <c r="W939" i="10"/>
  <c r="X939" i="10"/>
  <c r="Y939" i="10"/>
  <c r="Z939" i="10"/>
  <c r="AA939" i="10"/>
  <c r="AB939" i="10"/>
  <c r="F940" i="10"/>
  <c r="G940" i="10"/>
  <c r="H940" i="10"/>
  <c r="I940" i="10"/>
  <c r="J940" i="10"/>
  <c r="K940" i="10"/>
  <c r="L940" i="10"/>
  <c r="M940" i="10"/>
  <c r="N940" i="10"/>
  <c r="P940" i="10"/>
  <c r="Q940" i="10"/>
  <c r="R940" i="10"/>
  <c r="S940" i="10"/>
  <c r="T940" i="10"/>
  <c r="U940" i="10"/>
  <c r="V940" i="10"/>
  <c r="W940" i="10"/>
  <c r="X940" i="10"/>
  <c r="Y940" i="10"/>
  <c r="Z940" i="10"/>
  <c r="AA940" i="10"/>
  <c r="AB940" i="10"/>
  <c r="F941" i="10"/>
  <c r="G941" i="10"/>
  <c r="H941" i="10"/>
  <c r="I941" i="10"/>
  <c r="J941" i="10"/>
  <c r="K941" i="10"/>
  <c r="L941" i="10"/>
  <c r="M941" i="10"/>
  <c r="N941" i="10"/>
  <c r="P941" i="10"/>
  <c r="Q941" i="10"/>
  <c r="R941" i="10"/>
  <c r="S941" i="10"/>
  <c r="T941" i="10"/>
  <c r="U941" i="10"/>
  <c r="V941" i="10"/>
  <c r="W941" i="10"/>
  <c r="X941" i="10"/>
  <c r="Y941" i="10"/>
  <c r="Z941" i="10"/>
  <c r="AA941" i="10"/>
  <c r="AB941" i="10"/>
  <c r="F942" i="10"/>
  <c r="G942" i="10"/>
  <c r="H942" i="10"/>
  <c r="I942" i="10"/>
  <c r="J942" i="10"/>
  <c r="K942" i="10"/>
  <c r="L942" i="10"/>
  <c r="M942" i="10"/>
  <c r="N942" i="10"/>
  <c r="P942" i="10"/>
  <c r="Q942" i="10"/>
  <c r="R942" i="10"/>
  <c r="S942" i="10"/>
  <c r="T942" i="10"/>
  <c r="U942" i="10"/>
  <c r="V942" i="10"/>
  <c r="W942" i="10"/>
  <c r="X942" i="10"/>
  <c r="Y942" i="10"/>
  <c r="Z942" i="10"/>
  <c r="AA942" i="10"/>
  <c r="AB942" i="10"/>
  <c r="F943" i="10"/>
  <c r="G943" i="10"/>
  <c r="H943" i="10"/>
  <c r="I943" i="10"/>
  <c r="J943" i="10"/>
  <c r="K943" i="10"/>
  <c r="L943" i="10"/>
  <c r="M943" i="10"/>
  <c r="N943" i="10"/>
  <c r="P943" i="10"/>
  <c r="Q943" i="10"/>
  <c r="R943" i="10"/>
  <c r="S943" i="10"/>
  <c r="T943" i="10"/>
  <c r="U943" i="10"/>
  <c r="V943" i="10"/>
  <c r="W943" i="10"/>
  <c r="X943" i="10"/>
  <c r="Y943" i="10"/>
  <c r="Z943" i="10"/>
  <c r="AA943" i="10"/>
  <c r="AB943" i="10"/>
  <c r="F944" i="10"/>
  <c r="G944" i="10"/>
  <c r="H944" i="10"/>
  <c r="I944" i="10"/>
  <c r="J944" i="10"/>
  <c r="K944" i="10"/>
  <c r="L944" i="10"/>
  <c r="M944" i="10"/>
  <c r="N944" i="10"/>
  <c r="P944" i="10"/>
  <c r="Q944" i="10"/>
  <c r="R944" i="10"/>
  <c r="S944" i="10"/>
  <c r="T944" i="10"/>
  <c r="U944" i="10"/>
  <c r="V944" i="10"/>
  <c r="W944" i="10"/>
  <c r="X944" i="10"/>
  <c r="Y944" i="10"/>
  <c r="Z944" i="10"/>
  <c r="AA944" i="10"/>
  <c r="AB944" i="10"/>
  <c r="F945" i="10"/>
  <c r="G945" i="10"/>
  <c r="H945" i="10"/>
  <c r="I945" i="10"/>
  <c r="J945" i="10"/>
  <c r="K945" i="10"/>
  <c r="L945" i="10"/>
  <c r="M945" i="10"/>
  <c r="N945" i="10"/>
  <c r="P945" i="10"/>
  <c r="Q945" i="10"/>
  <c r="R945" i="10"/>
  <c r="S945" i="10"/>
  <c r="T945" i="10"/>
  <c r="U945" i="10"/>
  <c r="V945" i="10"/>
  <c r="W945" i="10"/>
  <c r="X945" i="10"/>
  <c r="Y945" i="10"/>
  <c r="Z945" i="10"/>
  <c r="AA945" i="10"/>
  <c r="AB945" i="10"/>
  <c r="F946" i="10"/>
  <c r="G946" i="10"/>
  <c r="H946" i="10"/>
  <c r="I946" i="10"/>
  <c r="J946" i="10"/>
  <c r="K946" i="10"/>
  <c r="L946" i="10"/>
  <c r="M946" i="10"/>
  <c r="N946" i="10"/>
  <c r="P946" i="10"/>
  <c r="Q946" i="10"/>
  <c r="R946" i="10"/>
  <c r="S946" i="10"/>
  <c r="T946" i="10"/>
  <c r="U946" i="10"/>
  <c r="V946" i="10"/>
  <c r="W946" i="10"/>
  <c r="X946" i="10"/>
  <c r="Y946" i="10"/>
  <c r="Z946" i="10"/>
  <c r="AA946" i="10"/>
  <c r="AB946" i="10"/>
  <c r="F947" i="10"/>
  <c r="G947" i="10"/>
  <c r="H947" i="10"/>
  <c r="I947" i="10"/>
  <c r="J947" i="10"/>
  <c r="K947" i="10"/>
  <c r="L947" i="10"/>
  <c r="M947" i="10"/>
  <c r="N947" i="10"/>
  <c r="P947" i="10"/>
  <c r="Q947" i="10"/>
  <c r="R947" i="10"/>
  <c r="S947" i="10"/>
  <c r="T947" i="10"/>
  <c r="U947" i="10"/>
  <c r="V947" i="10"/>
  <c r="W947" i="10"/>
  <c r="X947" i="10"/>
  <c r="Y947" i="10"/>
  <c r="Z947" i="10"/>
  <c r="AA947" i="10"/>
  <c r="AB947" i="10"/>
  <c r="F948" i="10"/>
  <c r="G948" i="10"/>
  <c r="H948" i="10"/>
  <c r="I948" i="10"/>
  <c r="J948" i="10"/>
  <c r="K948" i="10"/>
  <c r="L948" i="10"/>
  <c r="M948" i="10"/>
  <c r="N948" i="10"/>
  <c r="P948" i="10"/>
  <c r="Q948" i="10"/>
  <c r="R948" i="10"/>
  <c r="S948" i="10"/>
  <c r="T948" i="10"/>
  <c r="U948" i="10"/>
  <c r="V948" i="10"/>
  <c r="W948" i="10"/>
  <c r="X948" i="10"/>
  <c r="Y948" i="10"/>
  <c r="Z948" i="10"/>
  <c r="AA948" i="10"/>
  <c r="AB948" i="10"/>
  <c r="F949" i="10"/>
  <c r="G949" i="10"/>
  <c r="H949" i="10"/>
  <c r="I949" i="10"/>
  <c r="J949" i="10"/>
  <c r="K949" i="10"/>
  <c r="L949" i="10"/>
  <c r="M949" i="10"/>
  <c r="N949" i="10"/>
  <c r="P949" i="10"/>
  <c r="Q949" i="10"/>
  <c r="R949" i="10"/>
  <c r="S949" i="10"/>
  <c r="T949" i="10"/>
  <c r="U949" i="10"/>
  <c r="V949" i="10"/>
  <c r="W949" i="10"/>
  <c r="X949" i="10"/>
  <c r="Y949" i="10"/>
  <c r="Z949" i="10"/>
  <c r="AA949" i="10"/>
  <c r="AB949" i="10"/>
  <c r="F950" i="10"/>
  <c r="G950" i="10"/>
  <c r="H950" i="10"/>
  <c r="I950" i="10"/>
  <c r="J950" i="10"/>
  <c r="K950" i="10"/>
  <c r="L950" i="10"/>
  <c r="M950" i="10"/>
  <c r="N950" i="10"/>
  <c r="P950" i="10"/>
  <c r="Q950" i="10"/>
  <c r="R950" i="10"/>
  <c r="S950" i="10"/>
  <c r="T950" i="10"/>
  <c r="U950" i="10"/>
  <c r="V950" i="10"/>
  <c r="W950" i="10"/>
  <c r="X950" i="10"/>
  <c r="Y950" i="10"/>
  <c r="Z950" i="10"/>
  <c r="AA950" i="10"/>
  <c r="AB950" i="10"/>
  <c r="F951" i="10"/>
  <c r="G951" i="10"/>
  <c r="H951" i="10"/>
  <c r="I951" i="10"/>
  <c r="J951" i="10"/>
  <c r="K951" i="10"/>
  <c r="L951" i="10"/>
  <c r="M951" i="10"/>
  <c r="N951" i="10"/>
  <c r="P951" i="10"/>
  <c r="Q951" i="10"/>
  <c r="R951" i="10"/>
  <c r="S951" i="10"/>
  <c r="T951" i="10"/>
  <c r="U951" i="10"/>
  <c r="V951" i="10"/>
  <c r="W951" i="10"/>
  <c r="X951" i="10"/>
  <c r="Y951" i="10"/>
  <c r="Z951" i="10"/>
  <c r="AA951" i="10"/>
  <c r="AB951" i="10"/>
  <c r="F952" i="10"/>
  <c r="G952" i="10"/>
  <c r="H952" i="10"/>
  <c r="I952" i="10"/>
  <c r="J952" i="10"/>
  <c r="K952" i="10"/>
  <c r="L952" i="10"/>
  <c r="M952" i="10"/>
  <c r="N952" i="10"/>
  <c r="P952" i="10"/>
  <c r="Q952" i="10"/>
  <c r="R952" i="10"/>
  <c r="S952" i="10"/>
  <c r="T952" i="10"/>
  <c r="U952" i="10"/>
  <c r="V952" i="10"/>
  <c r="W952" i="10"/>
  <c r="X952" i="10"/>
  <c r="Y952" i="10"/>
  <c r="Z952" i="10"/>
  <c r="AA952" i="10"/>
  <c r="AB952" i="10"/>
  <c r="F953" i="10"/>
  <c r="G953" i="10"/>
  <c r="H953" i="10"/>
  <c r="I953" i="10"/>
  <c r="J953" i="10"/>
  <c r="K953" i="10"/>
  <c r="L953" i="10"/>
  <c r="M953" i="10"/>
  <c r="N953" i="10"/>
  <c r="P953" i="10"/>
  <c r="Q953" i="10"/>
  <c r="R953" i="10"/>
  <c r="S953" i="10"/>
  <c r="T953" i="10"/>
  <c r="U953" i="10"/>
  <c r="V953" i="10"/>
  <c r="W953" i="10"/>
  <c r="X953" i="10"/>
  <c r="Y953" i="10"/>
  <c r="Z953" i="10"/>
  <c r="AA953" i="10"/>
  <c r="AB953" i="10"/>
  <c r="F954" i="10"/>
  <c r="G954" i="10"/>
  <c r="H954" i="10"/>
  <c r="I954" i="10"/>
  <c r="J954" i="10"/>
  <c r="K954" i="10"/>
  <c r="L954" i="10"/>
  <c r="M954" i="10"/>
  <c r="N954" i="10"/>
  <c r="P954" i="10"/>
  <c r="Q954" i="10"/>
  <c r="R954" i="10"/>
  <c r="S954" i="10"/>
  <c r="T954" i="10"/>
  <c r="U954" i="10"/>
  <c r="V954" i="10"/>
  <c r="W954" i="10"/>
  <c r="X954" i="10"/>
  <c r="Y954" i="10"/>
  <c r="Z954" i="10"/>
  <c r="AA954" i="10"/>
  <c r="AB954" i="10"/>
  <c r="F955" i="10"/>
  <c r="G955" i="10"/>
  <c r="H955" i="10"/>
  <c r="I955" i="10"/>
  <c r="J955" i="10"/>
  <c r="K955" i="10"/>
  <c r="L955" i="10"/>
  <c r="M955" i="10"/>
  <c r="N955" i="10"/>
  <c r="P955" i="10"/>
  <c r="Q955" i="10"/>
  <c r="R955" i="10"/>
  <c r="S955" i="10"/>
  <c r="T955" i="10"/>
  <c r="U955" i="10"/>
  <c r="V955" i="10"/>
  <c r="W955" i="10"/>
  <c r="X955" i="10"/>
  <c r="Y955" i="10"/>
  <c r="Z955" i="10"/>
  <c r="AA955" i="10"/>
  <c r="AB955" i="10"/>
  <c r="F956" i="10"/>
  <c r="G956" i="10"/>
  <c r="H956" i="10"/>
  <c r="I956" i="10"/>
  <c r="J956" i="10"/>
  <c r="K956" i="10"/>
  <c r="L956" i="10"/>
  <c r="M956" i="10"/>
  <c r="N956" i="10"/>
  <c r="P956" i="10"/>
  <c r="Q956" i="10"/>
  <c r="R956" i="10"/>
  <c r="S956" i="10"/>
  <c r="T956" i="10"/>
  <c r="U956" i="10"/>
  <c r="V956" i="10"/>
  <c r="W956" i="10"/>
  <c r="X956" i="10"/>
  <c r="Y956" i="10"/>
  <c r="Z956" i="10"/>
  <c r="AA956" i="10"/>
  <c r="AB956" i="10"/>
  <c r="F957" i="10"/>
  <c r="G957" i="10"/>
  <c r="H957" i="10"/>
  <c r="I957" i="10"/>
  <c r="J957" i="10"/>
  <c r="K957" i="10"/>
  <c r="L957" i="10"/>
  <c r="M957" i="10"/>
  <c r="N957" i="10"/>
  <c r="P957" i="10"/>
  <c r="Q957" i="10"/>
  <c r="R957" i="10"/>
  <c r="S957" i="10"/>
  <c r="T957" i="10"/>
  <c r="U957" i="10"/>
  <c r="V957" i="10"/>
  <c r="W957" i="10"/>
  <c r="X957" i="10"/>
  <c r="Y957" i="10"/>
  <c r="Z957" i="10"/>
  <c r="AA957" i="10"/>
  <c r="AB957" i="10"/>
  <c r="F958" i="10"/>
  <c r="G958" i="10"/>
  <c r="H958" i="10"/>
  <c r="I958" i="10"/>
  <c r="J958" i="10"/>
  <c r="K958" i="10"/>
  <c r="L958" i="10"/>
  <c r="M958" i="10"/>
  <c r="N958" i="10"/>
  <c r="P958" i="10"/>
  <c r="Q958" i="10"/>
  <c r="R958" i="10"/>
  <c r="S958" i="10"/>
  <c r="T958" i="10"/>
  <c r="U958" i="10"/>
  <c r="V958" i="10"/>
  <c r="W958" i="10"/>
  <c r="X958" i="10"/>
  <c r="Y958" i="10"/>
  <c r="Z958" i="10"/>
  <c r="AA958" i="10"/>
  <c r="AB958" i="10"/>
  <c r="F959" i="10"/>
  <c r="G959" i="10"/>
  <c r="H959" i="10"/>
  <c r="I959" i="10"/>
  <c r="J959" i="10"/>
  <c r="K959" i="10"/>
  <c r="L959" i="10"/>
  <c r="M959" i="10"/>
  <c r="N959" i="10"/>
  <c r="P959" i="10"/>
  <c r="Q959" i="10"/>
  <c r="R959" i="10"/>
  <c r="S959" i="10"/>
  <c r="T959" i="10"/>
  <c r="U959" i="10"/>
  <c r="V959" i="10"/>
  <c r="W959" i="10"/>
  <c r="X959" i="10"/>
  <c r="Y959" i="10"/>
  <c r="Z959" i="10"/>
  <c r="AA959" i="10"/>
  <c r="AB959" i="10"/>
  <c r="F960" i="10"/>
  <c r="G960" i="10"/>
  <c r="H960" i="10"/>
  <c r="I960" i="10"/>
  <c r="J960" i="10"/>
  <c r="K960" i="10"/>
  <c r="L960" i="10"/>
  <c r="M960" i="10"/>
  <c r="N960" i="10"/>
  <c r="P960" i="10"/>
  <c r="Q960" i="10"/>
  <c r="R960" i="10"/>
  <c r="S960" i="10"/>
  <c r="T960" i="10"/>
  <c r="U960" i="10"/>
  <c r="V960" i="10"/>
  <c r="W960" i="10"/>
  <c r="X960" i="10"/>
  <c r="Y960" i="10"/>
  <c r="Z960" i="10"/>
  <c r="AA960" i="10"/>
  <c r="AB960" i="10"/>
  <c r="F961" i="10"/>
  <c r="G961" i="10"/>
  <c r="H961" i="10"/>
  <c r="I961" i="10"/>
  <c r="J961" i="10"/>
  <c r="K961" i="10"/>
  <c r="L961" i="10"/>
  <c r="M961" i="10"/>
  <c r="N961" i="10"/>
  <c r="P961" i="10"/>
  <c r="Q961" i="10"/>
  <c r="R961" i="10"/>
  <c r="S961" i="10"/>
  <c r="T961" i="10"/>
  <c r="U961" i="10"/>
  <c r="V961" i="10"/>
  <c r="W961" i="10"/>
  <c r="X961" i="10"/>
  <c r="Y961" i="10"/>
  <c r="Z961" i="10"/>
  <c r="AA961" i="10"/>
  <c r="AB961" i="10"/>
  <c r="F962" i="10"/>
  <c r="G962" i="10"/>
  <c r="H962" i="10"/>
  <c r="I962" i="10"/>
  <c r="J962" i="10"/>
  <c r="K962" i="10"/>
  <c r="L962" i="10"/>
  <c r="M962" i="10"/>
  <c r="N962" i="10"/>
  <c r="P962" i="10"/>
  <c r="Q962" i="10"/>
  <c r="R962" i="10"/>
  <c r="S962" i="10"/>
  <c r="T962" i="10"/>
  <c r="U962" i="10"/>
  <c r="V962" i="10"/>
  <c r="W962" i="10"/>
  <c r="X962" i="10"/>
  <c r="Y962" i="10"/>
  <c r="Z962" i="10"/>
  <c r="AA962" i="10"/>
  <c r="AB962" i="10"/>
  <c r="F963" i="10"/>
  <c r="G963" i="10"/>
  <c r="H963" i="10"/>
  <c r="I963" i="10"/>
  <c r="J963" i="10"/>
  <c r="K963" i="10"/>
  <c r="L963" i="10"/>
  <c r="M963" i="10"/>
  <c r="N963" i="10"/>
  <c r="P963" i="10"/>
  <c r="Q963" i="10"/>
  <c r="R963" i="10"/>
  <c r="S963" i="10"/>
  <c r="T963" i="10"/>
  <c r="U963" i="10"/>
  <c r="V963" i="10"/>
  <c r="W963" i="10"/>
  <c r="X963" i="10"/>
  <c r="Y963" i="10"/>
  <c r="Z963" i="10"/>
  <c r="AA963" i="10"/>
  <c r="AB963" i="10"/>
  <c r="F964" i="10"/>
  <c r="G964" i="10"/>
  <c r="H964" i="10"/>
  <c r="I964" i="10"/>
  <c r="J964" i="10"/>
  <c r="K964" i="10"/>
  <c r="L964" i="10"/>
  <c r="M964" i="10"/>
  <c r="N964" i="10"/>
  <c r="P964" i="10"/>
  <c r="Q964" i="10"/>
  <c r="R964" i="10"/>
  <c r="S964" i="10"/>
  <c r="T964" i="10"/>
  <c r="U964" i="10"/>
  <c r="V964" i="10"/>
  <c r="W964" i="10"/>
  <c r="X964" i="10"/>
  <c r="Y964" i="10"/>
  <c r="Z964" i="10"/>
  <c r="AA964" i="10"/>
  <c r="AB964" i="10"/>
  <c r="F965" i="10"/>
  <c r="G965" i="10"/>
  <c r="H965" i="10"/>
  <c r="I965" i="10"/>
  <c r="J965" i="10"/>
  <c r="K965" i="10"/>
  <c r="L965" i="10"/>
  <c r="M965" i="10"/>
  <c r="N965" i="10"/>
  <c r="P965" i="10"/>
  <c r="Q965" i="10"/>
  <c r="R965" i="10"/>
  <c r="S965" i="10"/>
  <c r="T965" i="10"/>
  <c r="U965" i="10"/>
  <c r="V965" i="10"/>
  <c r="W965" i="10"/>
  <c r="X965" i="10"/>
  <c r="Y965" i="10"/>
  <c r="Z965" i="10"/>
  <c r="AA965" i="10"/>
  <c r="AB965" i="10"/>
  <c r="F966" i="10"/>
  <c r="G966" i="10"/>
  <c r="H966" i="10"/>
  <c r="I966" i="10"/>
  <c r="J966" i="10"/>
  <c r="K966" i="10"/>
  <c r="L966" i="10"/>
  <c r="M966" i="10"/>
  <c r="N966" i="10"/>
  <c r="P966" i="10"/>
  <c r="Q966" i="10"/>
  <c r="R966" i="10"/>
  <c r="S966" i="10"/>
  <c r="T966" i="10"/>
  <c r="U966" i="10"/>
  <c r="V966" i="10"/>
  <c r="W966" i="10"/>
  <c r="X966" i="10"/>
  <c r="Y966" i="10"/>
  <c r="Z966" i="10"/>
  <c r="AA966" i="10"/>
  <c r="AB966" i="10"/>
  <c r="F967" i="10"/>
  <c r="G967" i="10"/>
  <c r="H967" i="10"/>
  <c r="I967" i="10"/>
  <c r="J967" i="10"/>
  <c r="K967" i="10"/>
  <c r="L967" i="10"/>
  <c r="M967" i="10"/>
  <c r="N967" i="10"/>
  <c r="P967" i="10"/>
  <c r="Q967" i="10"/>
  <c r="R967" i="10"/>
  <c r="S967" i="10"/>
  <c r="T967" i="10"/>
  <c r="U967" i="10"/>
  <c r="V967" i="10"/>
  <c r="W967" i="10"/>
  <c r="X967" i="10"/>
  <c r="Y967" i="10"/>
  <c r="Z967" i="10"/>
  <c r="AA967" i="10"/>
  <c r="AB967" i="10"/>
  <c r="F968" i="10"/>
  <c r="G968" i="10"/>
  <c r="H968" i="10"/>
  <c r="I968" i="10"/>
  <c r="J968" i="10"/>
  <c r="K968" i="10"/>
  <c r="L968" i="10"/>
  <c r="M968" i="10"/>
  <c r="N968" i="10"/>
  <c r="P968" i="10"/>
  <c r="Q968" i="10"/>
  <c r="R968" i="10"/>
  <c r="S968" i="10"/>
  <c r="T968" i="10"/>
  <c r="U968" i="10"/>
  <c r="V968" i="10"/>
  <c r="W968" i="10"/>
  <c r="X968" i="10"/>
  <c r="Y968" i="10"/>
  <c r="Z968" i="10"/>
  <c r="AA968" i="10"/>
  <c r="AB968" i="10"/>
  <c r="F969" i="10"/>
  <c r="G969" i="10"/>
  <c r="H969" i="10"/>
  <c r="I969" i="10"/>
  <c r="J969" i="10"/>
  <c r="K969" i="10"/>
  <c r="L969" i="10"/>
  <c r="M969" i="10"/>
  <c r="N969" i="10"/>
  <c r="P969" i="10"/>
  <c r="Q969" i="10"/>
  <c r="R969" i="10"/>
  <c r="S969" i="10"/>
  <c r="T969" i="10"/>
  <c r="U969" i="10"/>
  <c r="V969" i="10"/>
  <c r="W969" i="10"/>
  <c r="X969" i="10"/>
  <c r="Y969" i="10"/>
  <c r="Z969" i="10"/>
  <c r="AA969" i="10"/>
  <c r="AB969" i="10"/>
  <c r="F970" i="10"/>
  <c r="G970" i="10"/>
  <c r="H970" i="10"/>
  <c r="I970" i="10"/>
  <c r="J970" i="10"/>
  <c r="K970" i="10"/>
  <c r="L970" i="10"/>
  <c r="M970" i="10"/>
  <c r="N970" i="10"/>
  <c r="P970" i="10"/>
  <c r="Q970" i="10"/>
  <c r="R970" i="10"/>
  <c r="S970" i="10"/>
  <c r="T970" i="10"/>
  <c r="U970" i="10"/>
  <c r="V970" i="10"/>
  <c r="W970" i="10"/>
  <c r="X970" i="10"/>
  <c r="Y970" i="10"/>
  <c r="Z970" i="10"/>
  <c r="AA970" i="10"/>
  <c r="AB970" i="10"/>
  <c r="F971" i="10"/>
  <c r="G971" i="10"/>
  <c r="H971" i="10"/>
  <c r="I971" i="10"/>
  <c r="J971" i="10"/>
  <c r="K971" i="10"/>
  <c r="L971" i="10"/>
  <c r="M971" i="10"/>
  <c r="N971" i="10"/>
  <c r="P971" i="10"/>
  <c r="Q971" i="10"/>
  <c r="R971" i="10"/>
  <c r="S971" i="10"/>
  <c r="T971" i="10"/>
  <c r="U971" i="10"/>
  <c r="V971" i="10"/>
  <c r="W971" i="10"/>
  <c r="X971" i="10"/>
  <c r="Y971" i="10"/>
  <c r="Z971" i="10"/>
  <c r="AA971" i="10"/>
  <c r="AB971" i="10"/>
  <c r="F972" i="10"/>
  <c r="G972" i="10"/>
  <c r="H972" i="10"/>
  <c r="I972" i="10"/>
  <c r="J972" i="10"/>
  <c r="K972" i="10"/>
  <c r="L972" i="10"/>
  <c r="M972" i="10"/>
  <c r="N972" i="10"/>
  <c r="P972" i="10"/>
  <c r="Q972" i="10"/>
  <c r="R972" i="10"/>
  <c r="S972" i="10"/>
  <c r="T972" i="10"/>
  <c r="U972" i="10"/>
  <c r="V972" i="10"/>
  <c r="W972" i="10"/>
  <c r="X972" i="10"/>
  <c r="Y972" i="10"/>
  <c r="Z972" i="10"/>
  <c r="AA972" i="10"/>
  <c r="AB972" i="10"/>
  <c r="F973" i="10"/>
  <c r="G973" i="10"/>
  <c r="H973" i="10"/>
  <c r="I973" i="10"/>
  <c r="J973" i="10"/>
  <c r="K973" i="10"/>
  <c r="L973" i="10"/>
  <c r="M973" i="10"/>
  <c r="N973" i="10"/>
  <c r="P973" i="10"/>
  <c r="Q973" i="10"/>
  <c r="R973" i="10"/>
  <c r="S973" i="10"/>
  <c r="T973" i="10"/>
  <c r="U973" i="10"/>
  <c r="V973" i="10"/>
  <c r="W973" i="10"/>
  <c r="X973" i="10"/>
  <c r="Y973" i="10"/>
  <c r="Z973" i="10"/>
  <c r="AA973" i="10"/>
  <c r="AB973" i="10"/>
  <c r="F974" i="10"/>
  <c r="G974" i="10"/>
  <c r="H974" i="10"/>
  <c r="I974" i="10"/>
  <c r="J974" i="10"/>
  <c r="K974" i="10"/>
  <c r="L974" i="10"/>
  <c r="M974" i="10"/>
  <c r="N974" i="10"/>
  <c r="P974" i="10"/>
  <c r="Q974" i="10"/>
  <c r="R974" i="10"/>
  <c r="S974" i="10"/>
  <c r="T974" i="10"/>
  <c r="U974" i="10"/>
  <c r="V974" i="10"/>
  <c r="W974" i="10"/>
  <c r="X974" i="10"/>
  <c r="Y974" i="10"/>
  <c r="Z974" i="10"/>
  <c r="AA974" i="10"/>
  <c r="AB974" i="10"/>
  <c r="F975" i="10"/>
  <c r="G975" i="10"/>
  <c r="H975" i="10"/>
  <c r="I975" i="10"/>
  <c r="J975" i="10"/>
  <c r="K975" i="10"/>
  <c r="L975" i="10"/>
  <c r="M975" i="10"/>
  <c r="N975" i="10"/>
  <c r="P975" i="10"/>
  <c r="Q975" i="10"/>
  <c r="R975" i="10"/>
  <c r="S975" i="10"/>
  <c r="T975" i="10"/>
  <c r="U975" i="10"/>
  <c r="V975" i="10"/>
  <c r="W975" i="10"/>
  <c r="X975" i="10"/>
  <c r="Y975" i="10"/>
  <c r="Z975" i="10"/>
  <c r="AA975" i="10"/>
  <c r="AB975" i="10"/>
  <c r="F976" i="10"/>
  <c r="G976" i="10"/>
  <c r="H976" i="10"/>
  <c r="I976" i="10"/>
  <c r="J976" i="10"/>
  <c r="K976" i="10"/>
  <c r="L976" i="10"/>
  <c r="M976" i="10"/>
  <c r="N976" i="10"/>
  <c r="P976" i="10"/>
  <c r="Q976" i="10"/>
  <c r="R976" i="10"/>
  <c r="S976" i="10"/>
  <c r="T976" i="10"/>
  <c r="U976" i="10"/>
  <c r="V976" i="10"/>
  <c r="W976" i="10"/>
  <c r="X976" i="10"/>
  <c r="Y976" i="10"/>
  <c r="Z976" i="10"/>
  <c r="AA976" i="10"/>
  <c r="AB976" i="10"/>
  <c r="F977" i="10"/>
  <c r="G977" i="10"/>
  <c r="H977" i="10"/>
  <c r="I977" i="10"/>
  <c r="J977" i="10"/>
  <c r="K977" i="10"/>
  <c r="L977" i="10"/>
  <c r="M977" i="10"/>
  <c r="N977" i="10"/>
  <c r="P977" i="10"/>
  <c r="Q977" i="10"/>
  <c r="R977" i="10"/>
  <c r="S977" i="10"/>
  <c r="T977" i="10"/>
  <c r="U977" i="10"/>
  <c r="V977" i="10"/>
  <c r="W977" i="10"/>
  <c r="X977" i="10"/>
  <c r="Y977" i="10"/>
  <c r="Z977" i="10"/>
  <c r="AA977" i="10"/>
  <c r="AB977" i="10"/>
  <c r="F978" i="10"/>
  <c r="G978" i="10"/>
  <c r="H978" i="10"/>
  <c r="I978" i="10"/>
  <c r="J978" i="10"/>
  <c r="K978" i="10"/>
  <c r="L978" i="10"/>
  <c r="M978" i="10"/>
  <c r="N978" i="10"/>
  <c r="P978" i="10"/>
  <c r="Q978" i="10"/>
  <c r="R978" i="10"/>
  <c r="S978" i="10"/>
  <c r="T978" i="10"/>
  <c r="U978" i="10"/>
  <c r="V978" i="10"/>
  <c r="W978" i="10"/>
  <c r="X978" i="10"/>
  <c r="Y978" i="10"/>
  <c r="Z978" i="10"/>
  <c r="AA978" i="10"/>
  <c r="AB978" i="10"/>
  <c r="F979" i="10"/>
  <c r="G979" i="10"/>
  <c r="H979" i="10"/>
  <c r="I979" i="10"/>
  <c r="J979" i="10"/>
  <c r="K979" i="10"/>
  <c r="L979" i="10"/>
  <c r="M979" i="10"/>
  <c r="N979" i="10"/>
  <c r="P979" i="10"/>
  <c r="Q979" i="10"/>
  <c r="R979" i="10"/>
  <c r="S979" i="10"/>
  <c r="T979" i="10"/>
  <c r="U979" i="10"/>
  <c r="V979" i="10"/>
  <c r="W979" i="10"/>
  <c r="X979" i="10"/>
  <c r="Y979" i="10"/>
  <c r="Z979" i="10"/>
  <c r="AA979" i="10"/>
  <c r="AB979" i="10"/>
  <c r="F980" i="10"/>
  <c r="G980" i="10"/>
  <c r="H980" i="10"/>
  <c r="I980" i="10"/>
  <c r="J980" i="10"/>
  <c r="K980" i="10"/>
  <c r="L980" i="10"/>
  <c r="M980" i="10"/>
  <c r="N980" i="10"/>
  <c r="P980" i="10"/>
  <c r="Q980" i="10"/>
  <c r="R980" i="10"/>
  <c r="S980" i="10"/>
  <c r="T980" i="10"/>
  <c r="U980" i="10"/>
  <c r="V980" i="10"/>
  <c r="W980" i="10"/>
  <c r="X980" i="10"/>
  <c r="Y980" i="10"/>
  <c r="Z980" i="10"/>
  <c r="AA980" i="10"/>
  <c r="AB980" i="10"/>
  <c r="F981" i="10"/>
  <c r="G981" i="10"/>
  <c r="H981" i="10"/>
  <c r="I981" i="10"/>
  <c r="J981" i="10"/>
  <c r="K981" i="10"/>
  <c r="L981" i="10"/>
  <c r="M981" i="10"/>
  <c r="N981" i="10"/>
  <c r="P981" i="10"/>
  <c r="Q981" i="10"/>
  <c r="R981" i="10"/>
  <c r="S981" i="10"/>
  <c r="T981" i="10"/>
  <c r="U981" i="10"/>
  <c r="V981" i="10"/>
  <c r="W981" i="10"/>
  <c r="X981" i="10"/>
  <c r="Y981" i="10"/>
  <c r="Z981" i="10"/>
  <c r="AA981" i="10"/>
  <c r="AB981" i="10"/>
  <c r="F982" i="10"/>
  <c r="G982" i="10"/>
  <c r="H982" i="10"/>
  <c r="I982" i="10"/>
  <c r="J982" i="10"/>
  <c r="K982" i="10"/>
  <c r="L982" i="10"/>
  <c r="M982" i="10"/>
  <c r="N982" i="10"/>
  <c r="P982" i="10"/>
  <c r="Q982" i="10"/>
  <c r="R982" i="10"/>
  <c r="S982" i="10"/>
  <c r="T982" i="10"/>
  <c r="U982" i="10"/>
  <c r="V982" i="10"/>
  <c r="W982" i="10"/>
  <c r="X982" i="10"/>
  <c r="Y982" i="10"/>
  <c r="Z982" i="10"/>
  <c r="AA982" i="10"/>
  <c r="AB982" i="10"/>
  <c r="F983" i="10"/>
  <c r="G983" i="10"/>
  <c r="H983" i="10"/>
  <c r="I983" i="10"/>
  <c r="J983" i="10"/>
  <c r="K983" i="10"/>
  <c r="L983" i="10"/>
  <c r="M983" i="10"/>
  <c r="N983" i="10"/>
  <c r="P983" i="10"/>
  <c r="Q983" i="10"/>
  <c r="R983" i="10"/>
  <c r="S983" i="10"/>
  <c r="T983" i="10"/>
  <c r="U983" i="10"/>
  <c r="V983" i="10"/>
  <c r="W983" i="10"/>
  <c r="X983" i="10"/>
  <c r="Y983" i="10"/>
  <c r="Z983" i="10"/>
  <c r="AA983" i="10"/>
  <c r="AB983" i="10"/>
  <c r="F984" i="10"/>
  <c r="G984" i="10"/>
  <c r="H984" i="10"/>
  <c r="I984" i="10"/>
  <c r="J984" i="10"/>
  <c r="K984" i="10"/>
  <c r="L984" i="10"/>
  <c r="M984" i="10"/>
  <c r="N984" i="10"/>
  <c r="P984" i="10"/>
  <c r="Q984" i="10"/>
  <c r="R984" i="10"/>
  <c r="S984" i="10"/>
  <c r="T984" i="10"/>
  <c r="U984" i="10"/>
  <c r="V984" i="10"/>
  <c r="W984" i="10"/>
  <c r="X984" i="10"/>
  <c r="Y984" i="10"/>
  <c r="Z984" i="10"/>
  <c r="AA984" i="10"/>
  <c r="AB984" i="10"/>
  <c r="F985" i="10"/>
  <c r="G985" i="10"/>
  <c r="H985" i="10"/>
  <c r="I985" i="10"/>
  <c r="J985" i="10"/>
  <c r="K985" i="10"/>
  <c r="L985" i="10"/>
  <c r="M985" i="10"/>
  <c r="N985" i="10"/>
  <c r="P985" i="10"/>
  <c r="Q985" i="10"/>
  <c r="R985" i="10"/>
  <c r="S985" i="10"/>
  <c r="T985" i="10"/>
  <c r="U985" i="10"/>
  <c r="V985" i="10"/>
  <c r="W985" i="10"/>
  <c r="X985" i="10"/>
  <c r="Y985" i="10"/>
  <c r="Z985" i="10"/>
  <c r="AA985" i="10"/>
  <c r="AB985" i="10"/>
  <c r="F986" i="10"/>
  <c r="G986" i="10"/>
  <c r="H986" i="10"/>
  <c r="I986" i="10"/>
  <c r="J986" i="10"/>
  <c r="K986" i="10"/>
  <c r="L986" i="10"/>
  <c r="M986" i="10"/>
  <c r="N986" i="10"/>
  <c r="P986" i="10"/>
  <c r="Q986" i="10"/>
  <c r="R986" i="10"/>
  <c r="S986" i="10"/>
  <c r="T986" i="10"/>
  <c r="U986" i="10"/>
  <c r="V986" i="10"/>
  <c r="W986" i="10"/>
  <c r="X986" i="10"/>
  <c r="Y986" i="10"/>
  <c r="Z986" i="10"/>
  <c r="AA986" i="10"/>
  <c r="AB986" i="10"/>
  <c r="F987" i="10"/>
  <c r="G987" i="10"/>
  <c r="H987" i="10"/>
  <c r="I987" i="10"/>
  <c r="J987" i="10"/>
  <c r="K987" i="10"/>
  <c r="L987" i="10"/>
  <c r="M987" i="10"/>
  <c r="N987" i="10"/>
  <c r="P987" i="10"/>
  <c r="Q987" i="10"/>
  <c r="R987" i="10"/>
  <c r="S987" i="10"/>
  <c r="T987" i="10"/>
  <c r="U987" i="10"/>
  <c r="V987" i="10"/>
  <c r="W987" i="10"/>
  <c r="X987" i="10"/>
  <c r="Y987" i="10"/>
  <c r="Z987" i="10"/>
  <c r="AA987" i="10"/>
  <c r="AB987" i="10"/>
  <c r="F988" i="10"/>
  <c r="G988" i="10"/>
  <c r="H988" i="10"/>
  <c r="I988" i="10"/>
  <c r="J988" i="10"/>
  <c r="K988" i="10"/>
  <c r="L988" i="10"/>
  <c r="M988" i="10"/>
  <c r="N988" i="10"/>
  <c r="P988" i="10"/>
  <c r="Q988" i="10"/>
  <c r="R988" i="10"/>
  <c r="S988" i="10"/>
  <c r="T988" i="10"/>
  <c r="U988" i="10"/>
  <c r="V988" i="10"/>
  <c r="W988" i="10"/>
  <c r="X988" i="10"/>
  <c r="Y988" i="10"/>
  <c r="Z988" i="10"/>
  <c r="AA988" i="10"/>
  <c r="AB988" i="10"/>
  <c r="F989" i="10"/>
  <c r="G989" i="10"/>
  <c r="H989" i="10"/>
  <c r="I989" i="10"/>
  <c r="J989" i="10"/>
  <c r="K989" i="10"/>
  <c r="L989" i="10"/>
  <c r="M989" i="10"/>
  <c r="N989" i="10"/>
  <c r="P989" i="10"/>
  <c r="Q989" i="10"/>
  <c r="R989" i="10"/>
  <c r="S989" i="10"/>
  <c r="T989" i="10"/>
  <c r="U989" i="10"/>
  <c r="V989" i="10"/>
  <c r="W989" i="10"/>
  <c r="X989" i="10"/>
  <c r="Y989" i="10"/>
  <c r="Z989" i="10"/>
  <c r="AA989" i="10"/>
  <c r="AB989" i="10"/>
  <c r="F990" i="10"/>
  <c r="G990" i="10"/>
  <c r="H990" i="10"/>
  <c r="I990" i="10"/>
  <c r="J990" i="10"/>
  <c r="K990" i="10"/>
  <c r="L990" i="10"/>
  <c r="M990" i="10"/>
  <c r="N990" i="10"/>
  <c r="P990" i="10"/>
  <c r="Q990" i="10"/>
  <c r="R990" i="10"/>
  <c r="S990" i="10"/>
  <c r="T990" i="10"/>
  <c r="U990" i="10"/>
  <c r="V990" i="10"/>
  <c r="W990" i="10"/>
  <c r="X990" i="10"/>
  <c r="Y990" i="10"/>
  <c r="Z990" i="10"/>
  <c r="AA990" i="10"/>
  <c r="AB990" i="10"/>
  <c r="F991" i="10"/>
  <c r="G991" i="10"/>
  <c r="H991" i="10"/>
  <c r="I991" i="10"/>
  <c r="J991" i="10"/>
  <c r="K991" i="10"/>
  <c r="L991" i="10"/>
  <c r="M991" i="10"/>
  <c r="N991" i="10"/>
  <c r="P991" i="10"/>
  <c r="Q991" i="10"/>
  <c r="R991" i="10"/>
  <c r="S991" i="10"/>
  <c r="T991" i="10"/>
  <c r="U991" i="10"/>
  <c r="V991" i="10"/>
  <c r="W991" i="10"/>
  <c r="X991" i="10"/>
  <c r="Y991" i="10"/>
  <c r="Z991" i="10"/>
  <c r="AA991" i="10"/>
  <c r="AB991" i="10"/>
  <c r="F992" i="10"/>
  <c r="G992" i="10"/>
  <c r="H992" i="10"/>
  <c r="I992" i="10"/>
  <c r="J992" i="10"/>
  <c r="K992" i="10"/>
  <c r="L992" i="10"/>
  <c r="M992" i="10"/>
  <c r="N992" i="10"/>
  <c r="P992" i="10"/>
  <c r="Q992" i="10"/>
  <c r="R992" i="10"/>
  <c r="S992" i="10"/>
  <c r="T992" i="10"/>
  <c r="U992" i="10"/>
  <c r="V992" i="10"/>
  <c r="W992" i="10"/>
  <c r="X992" i="10"/>
  <c r="Y992" i="10"/>
  <c r="Z992" i="10"/>
  <c r="AA992" i="10"/>
  <c r="AB992" i="10"/>
  <c r="F993" i="10"/>
  <c r="G993" i="10"/>
  <c r="H993" i="10"/>
  <c r="I993" i="10"/>
  <c r="J993" i="10"/>
  <c r="K993" i="10"/>
  <c r="L993" i="10"/>
  <c r="M993" i="10"/>
  <c r="N993" i="10"/>
  <c r="P993" i="10"/>
  <c r="Q993" i="10"/>
  <c r="R993" i="10"/>
  <c r="S993" i="10"/>
  <c r="T993" i="10"/>
  <c r="U993" i="10"/>
  <c r="V993" i="10"/>
  <c r="W993" i="10"/>
  <c r="X993" i="10"/>
  <c r="Y993" i="10"/>
  <c r="Z993" i="10"/>
  <c r="AA993" i="10"/>
  <c r="AB993" i="10"/>
  <c r="F994" i="10"/>
  <c r="G994" i="10"/>
  <c r="H994" i="10"/>
  <c r="I994" i="10"/>
  <c r="J994" i="10"/>
  <c r="K994" i="10"/>
  <c r="L994" i="10"/>
  <c r="M994" i="10"/>
  <c r="N994" i="10"/>
  <c r="P994" i="10"/>
  <c r="Q994" i="10"/>
  <c r="R994" i="10"/>
  <c r="S994" i="10"/>
  <c r="T994" i="10"/>
  <c r="U994" i="10"/>
  <c r="V994" i="10"/>
  <c r="W994" i="10"/>
  <c r="X994" i="10"/>
  <c r="Y994" i="10"/>
  <c r="Z994" i="10"/>
  <c r="AA994" i="10"/>
  <c r="AB994" i="10"/>
  <c r="F995" i="10"/>
  <c r="G995" i="10"/>
  <c r="H995" i="10"/>
  <c r="I995" i="10"/>
  <c r="J995" i="10"/>
  <c r="K995" i="10"/>
  <c r="L995" i="10"/>
  <c r="M995" i="10"/>
  <c r="N995" i="10"/>
  <c r="P995" i="10"/>
  <c r="Q995" i="10"/>
  <c r="R995" i="10"/>
  <c r="S995" i="10"/>
  <c r="T995" i="10"/>
  <c r="U995" i="10"/>
  <c r="V995" i="10"/>
  <c r="W995" i="10"/>
  <c r="X995" i="10"/>
  <c r="Y995" i="10"/>
  <c r="Z995" i="10"/>
  <c r="AA995" i="10"/>
  <c r="AB995" i="10"/>
  <c r="F996" i="10"/>
  <c r="G996" i="10"/>
  <c r="H996" i="10"/>
  <c r="I996" i="10"/>
  <c r="J996" i="10"/>
  <c r="K996" i="10"/>
  <c r="L996" i="10"/>
  <c r="M996" i="10"/>
  <c r="N996" i="10"/>
  <c r="P996" i="10"/>
  <c r="Q996" i="10"/>
  <c r="R996" i="10"/>
  <c r="S996" i="10"/>
  <c r="T996" i="10"/>
  <c r="U996" i="10"/>
  <c r="V996" i="10"/>
  <c r="W996" i="10"/>
  <c r="X996" i="10"/>
  <c r="Y996" i="10"/>
  <c r="Z996" i="10"/>
  <c r="AA996" i="10"/>
  <c r="AB996" i="10"/>
  <c r="F997" i="10"/>
  <c r="G997" i="10"/>
  <c r="H997" i="10"/>
  <c r="I997" i="10"/>
  <c r="J997" i="10"/>
  <c r="K997" i="10"/>
  <c r="L997" i="10"/>
  <c r="M997" i="10"/>
  <c r="N997" i="10"/>
  <c r="P997" i="10"/>
  <c r="Q997" i="10"/>
  <c r="R997" i="10"/>
  <c r="S997" i="10"/>
  <c r="T997" i="10"/>
  <c r="U997" i="10"/>
  <c r="V997" i="10"/>
  <c r="W997" i="10"/>
  <c r="X997" i="10"/>
  <c r="Y997" i="10"/>
  <c r="Z997" i="10"/>
  <c r="AA997" i="10"/>
  <c r="AB997" i="10"/>
  <c r="F998" i="10"/>
  <c r="G998" i="10"/>
  <c r="H998" i="10"/>
  <c r="I998" i="10"/>
  <c r="J998" i="10"/>
  <c r="K998" i="10"/>
  <c r="L998" i="10"/>
  <c r="M998" i="10"/>
  <c r="N998" i="10"/>
  <c r="P998" i="10"/>
  <c r="Q998" i="10"/>
  <c r="R998" i="10"/>
  <c r="S998" i="10"/>
  <c r="T998" i="10"/>
  <c r="U998" i="10"/>
  <c r="V998" i="10"/>
  <c r="W998" i="10"/>
  <c r="X998" i="10"/>
  <c r="Y998" i="10"/>
  <c r="Z998" i="10"/>
  <c r="AA998" i="10"/>
  <c r="AB998" i="10"/>
  <c r="F999" i="10"/>
  <c r="G999" i="10"/>
  <c r="H999" i="10"/>
  <c r="I999" i="10"/>
  <c r="J999" i="10"/>
  <c r="K999" i="10"/>
  <c r="L999" i="10"/>
  <c r="M999" i="10"/>
  <c r="N999" i="10"/>
  <c r="P999" i="10"/>
  <c r="Q999" i="10"/>
  <c r="R999" i="10"/>
  <c r="S999" i="10"/>
  <c r="T999" i="10"/>
  <c r="U999" i="10"/>
  <c r="V999" i="10"/>
  <c r="W999" i="10"/>
  <c r="X999" i="10"/>
  <c r="Y999" i="10"/>
  <c r="Z999" i="10"/>
  <c r="AA999" i="10"/>
  <c r="AB999" i="10"/>
  <c r="F1000" i="10"/>
  <c r="G1000" i="10"/>
  <c r="H1000" i="10"/>
  <c r="I1000" i="10"/>
  <c r="J1000" i="10"/>
  <c r="K1000" i="10"/>
  <c r="L1000" i="10"/>
  <c r="M1000" i="10"/>
  <c r="N1000" i="10"/>
  <c r="P1000" i="10"/>
  <c r="Q1000" i="10"/>
  <c r="R1000" i="10"/>
  <c r="S1000" i="10"/>
  <c r="T1000" i="10"/>
  <c r="U1000" i="10"/>
  <c r="V1000" i="10"/>
  <c r="W1000" i="10"/>
  <c r="X1000" i="10"/>
  <c r="Y1000" i="10"/>
  <c r="Z1000" i="10"/>
  <c r="AA1000" i="10"/>
  <c r="AB1000" i="10"/>
  <c r="F1001" i="10"/>
  <c r="G1001" i="10"/>
  <c r="H1001" i="10"/>
  <c r="I1001" i="10"/>
  <c r="J1001" i="10"/>
  <c r="K1001" i="10"/>
  <c r="L1001" i="10"/>
  <c r="M1001" i="10"/>
  <c r="N1001" i="10"/>
  <c r="P1001" i="10"/>
  <c r="Q1001" i="10"/>
  <c r="R1001" i="10"/>
  <c r="S1001" i="10"/>
  <c r="T1001" i="10"/>
  <c r="U1001" i="10"/>
  <c r="V1001" i="10"/>
  <c r="W1001" i="10"/>
  <c r="X1001" i="10"/>
  <c r="Y1001" i="10"/>
  <c r="Z1001" i="10"/>
  <c r="AA1001" i="10"/>
  <c r="AB1001" i="10"/>
  <c r="F1002" i="10"/>
  <c r="G1002" i="10"/>
  <c r="H1002" i="10"/>
  <c r="I1002" i="10"/>
  <c r="J1002" i="10"/>
  <c r="K1002" i="10"/>
  <c r="L1002" i="10"/>
  <c r="M1002" i="10"/>
  <c r="N1002" i="10"/>
  <c r="P1002" i="10"/>
  <c r="Q1002" i="10"/>
  <c r="R1002" i="10"/>
  <c r="S1002" i="10"/>
  <c r="T1002" i="10"/>
  <c r="U1002" i="10"/>
  <c r="V1002" i="10"/>
  <c r="W1002" i="10"/>
  <c r="X1002" i="10"/>
  <c r="Y1002" i="10"/>
  <c r="Z1002" i="10"/>
  <c r="AA1002" i="10"/>
  <c r="AB1002" i="10"/>
  <c r="F1003" i="10"/>
  <c r="G1003" i="10"/>
  <c r="H1003" i="10"/>
  <c r="I1003" i="10"/>
  <c r="J1003" i="10"/>
  <c r="K1003" i="10"/>
  <c r="L1003" i="10"/>
  <c r="M1003" i="10"/>
  <c r="N1003" i="10"/>
  <c r="P1003" i="10"/>
  <c r="Q1003" i="10"/>
  <c r="R1003" i="10"/>
  <c r="S1003" i="10"/>
  <c r="T1003" i="10"/>
  <c r="U1003" i="10"/>
  <c r="V1003" i="10"/>
  <c r="W1003" i="10"/>
  <c r="X1003" i="10"/>
  <c r="Y1003" i="10"/>
  <c r="Z1003" i="10"/>
  <c r="AA1003" i="10"/>
  <c r="AB1003" i="10"/>
  <c r="F1004" i="10"/>
  <c r="G1004" i="10"/>
  <c r="H1004" i="10"/>
  <c r="I1004" i="10"/>
  <c r="J1004" i="10"/>
  <c r="K1004" i="10"/>
  <c r="L1004" i="10"/>
  <c r="M1004" i="10"/>
  <c r="N1004" i="10"/>
  <c r="P1004" i="10"/>
  <c r="Q1004" i="10"/>
  <c r="R1004" i="10"/>
  <c r="S1004" i="10"/>
  <c r="T1004" i="10"/>
  <c r="U1004" i="10"/>
  <c r="V1004" i="10"/>
  <c r="W1004" i="10"/>
  <c r="X1004" i="10"/>
  <c r="Y1004" i="10"/>
  <c r="Z1004" i="10"/>
  <c r="AA1004" i="10"/>
  <c r="AB1004" i="10"/>
  <c r="F1005" i="10"/>
  <c r="G1005" i="10"/>
  <c r="H1005" i="10"/>
  <c r="I1005" i="10"/>
  <c r="J1005" i="10"/>
  <c r="K1005" i="10"/>
  <c r="L1005" i="10"/>
  <c r="M1005" i="10"/>
  <c r="N1005" i="10"/>
  <c r="P1005" i="10"/>
  <c r="Q1005" i="10"/>
  <c r="R1005" i="10"/>
  <c r="S1005" i="10"/>
  <c r="T1005" i="10"/>
  <c r="U1005" i="10"/>
  <c r="V1005" i="10"/>
  <c r="W1005" i="10"/>
  <c r="X1005" i="10"/>
  <c r="Y1005" i="10"/>
  <c r="Z1005" i="10"/>
  <c r="AA1005" i="10"/>
  <c r="AB1005" i="10"/>
  <c r="F1006" i="10"/>
  <c r="G1006" i="10"/>
  <c r="H1006" i="10"/>
  <c r="I1006" i="10"/>
  <c r="J1006" i="10"/>
  <c r="K1006" i="10"/>
  <c r="L1006" i="10"/>
  <c r="M1006" i="10"/>
  <c r="N1006" i="10"/>
  <c r="P1006" i="10"/>
  <c r="Q1006" i="10"/>
  <c r="R1006" i="10"/>
  <c r="S1006" i="10"/>
  <c r="T1006" i="10"/>
  <c r="U1006" i="10"/>
  <c r="V1006" i="10"/>
  <c r="W1006" i="10"/>
  <c r="X1006" i="10"/>
  <c r="Y1006" i="10"/>
  <c r="Z1006" i="10"/>
  <c r="AA1006" i="10"/>
  <c r="AB1006" i="10"/>
  <c r="F1007" i="10"/>
  <c r="G1007" i="10"/>
  <c r="H1007" i="10"/>
  <c r="I1007" i="10"/>
  <c r="J1007" i="10"/>
  <c r="K1007" i="10"/>
  <c r="L1007" i="10"/>
  <c r="M1007" i="10"/>
  <c r="N1007" i="10"/>
  <c r="P1007" i="10"/>
  <c r="Q1007" i="10"/>
  <c r="R1007" i="10"/>
  <c r="S1007" i="10"/>
  <c r="T1007" i="10"/>
  <c r="U1007" i="10"/>
  <c r="V1007" i="10"/>
  <c r="W1007" i="10"/>
  <c r="X1007" i="10"/>
  <c r="Y1007" i="10"/>
  <c r="Z1007" i="10"/>
  <c r="AA1007" i="10"/>
  <c r="AB1007" i="10"/>
  <c r="F1008" i="10"/>
  <c r="G1008" i="10"/>
  <c r="H1008" i="10"/>
  <c r="I1008" i="10"/>
  <c r="J1008" i="10"/>
  <c r="K1008" i="10"/>
  <c r="L1008" i="10"/>
  <c r="M1008" i="10"/>
  <c r="N1008" i="10"/>
  <c r="P1008" i="10"/>
  <c r="Q1008" i="10"/>
  <c r="R1008" i="10"/>
  <c r="S1008" i="10"/>
  <c r="T1008" i="10"/>
  <c r="U1008" i="10"/>
  <c r="V1008" i="10"/>
  <c r="W1008" i="10"/>
  <c r="X1008" i="10"/>
  <c r="Y1008" i="10"/>
  <c r="Z1008" i="10"/>
  <c r="AA1008" i="10"/>
  <c r="AB1008" i="10"/>
  <c r="F1009" i="10"/>
  <c r="G1009" i="10"/>
  <c r="H1009" i="10"/>
  <c r="I1009" i="10"/>
  <c r="J1009" i="10"/>
  <c r="K1009" i="10"/>
  <c r="L1009" i="10"/>
  <c r="M1009" i="10"/>
  <c r="N1009" i="10"/>
  <c r="P1009" i="10"/>
  <c r="Q1009" i="10"/>
  <c r="R1009" i="10"/>
  <c r="S1009" i="10"/>
  <c r="T1009" i="10"/>
  <c r="U1009" i="10"/>
  <c r="V1009" i="10"/>
  <c r="W1009" i="10"/>
  <c r="X1009" i="10"/>
  <c r="Y1009" i="10"/>
  <c r="Z1009" i="10"/>
  <c r="AA1009" i="10"/>
  <c r="AB1009" i="10"/>
  <c r="F1010" i="10"/>
  <c r="G1010" i="10"/>
  <c r="H1010" i="10"/>
  <c r="I1010" i="10"/>
  <c r="J1010" i="10"/>
  <c r="K1010" i="10"/>
  <c r="L1010" i="10"/>
  <c r="M1010" i="10"/>
  <c r="N1010" i="10"/>
  <c r="P1010" i="10"/>
  <c r="Q1010" i="10"/>
  <c r="R1010" i="10"/>
  <c r="S1010" i="10"/>
  <c r="T1010" i="10"/>
  <c r="U1010" i="10"/>
  <c r="V1010" i="10"/>
  <c r="W1010" i="10"/>
  <c r="X1010" i="10"/>
  <c r="Y1010" i="10"/>
  <c r="Z1010" i="10"/>
  <c r="AA1010" i="10"/>
  <c r="AB1010" i="10"/>
  <c r="F1011" i="10"/>
  <c r="G1011" i="10"/>
  <c r="H1011" i="10"/>
  <c r="I1011" i="10"/>
  <c r="J1011" i="10"/>
  <c r="K1011" i="10"/>
  <c r="L1011" i="10"/>
  <c r="M1011" i="10"/>
  <c r="N1011" i="10"/>
  <c r="P1011" i="10"/>
  <c r="Q1011" i="10"/>
  <c r="R1011" i="10"/>
  <c r="S1011" i="10"/>
  <c r="T1011" i="10"/>
  <c r="U1011" i="10"/>
  <c r="V1011" i="10"/>
  <c r="W1011" i="10"/>
  <c r="X1011" i="10"/>
  <c r="Y1011" i="10"/>
  <c r="Z1011" i="10"/>
  <c r="AA1011" i="10"/>
  <c r="AB1011" i="10"/>
  <c r="F1012" i="10"/>
  <c r="G1012" i="10"/>
  <c r="H1012" i="10"/>
  <c r="I1012" i="10"/>
  <c r="J1012" i="10"/>
  <c r="K1012" i="10"/>
  <c r="L1012" i="10"/>
  <c r="M1012" i="10"/>
  <c r="N1012" i="10"/>
  <c r="P1012" i="10"/>
  <c r="Q1012" i="10"/>
  <c r="R1012" i="10"/>
  <c r="S1012" i="10"/>
  <c r="T1012" i="10"/>
  <c r="U1012" i="10"/>
  <c r="V1012" i="10"/>
  <c r="W1012" i="10"/>
  <c r="X1012" i="10"/>
  <c r="Y1012" i="10"/>
  <c r="Z1012" i="10"/>
  <c r="AA1012" i="10"/>
  <c r="AB1012" i="10"/>
  <c r="F1013" i="10"/>
  <c r="G1013" i="10"/>
  <c r="H1013" i="10"/>
  <c r="I1013" i="10"/>
  <c r="J1013" i="10"/>
  <c r="K1013" i="10"/>
  <c r="L1013" i="10"/>
  <c r="M1013" i="10"/>
  <c r="N1013" i="10"/>
  <c r="P1013" i="10"/>
  <c r="Q1013" i="10"/>
  <c r="R1013" i="10"/>
  <c r="S1013" i="10"/>
  <c r="T1013" i="10"/>
  <c r="U1013" i="10"/>
  <c r="V1013" i="10"/>
  <c r="W1013" i="10"/>
  <c r="X1013" i="10"/>
  <c r="Y1013" i="10"/>
  <c r="Z1013" i="10"/>
  <c r="AA1013" i="10"/>
  <c r="AB1013" i="10"/>
  <c r="F1014" i="10"/>
  <c r="G1014" i="10"/>
  <c r="H1014" i="10"/>
  <c r="I1014" i="10"/>
  <c r="J1014" i="10"/>
  <c r="K1014" i="10"/>
  <c r="L1014" i="10"/>
  <c r="M1014" i="10"/>
  <c r="N1014" i="10"/>
  <c r="P1014" i="10"/>
  <c r="Q1014" i="10"/>
  <c r="R1014" i="10"/>
  <c r="S1014" i="10"/>
  <c r="T1014" i="10"/>
  <c r="U1014" i="10"/>
  <c r="V1014" i="10"/>
  <c r="W1014" i="10"/>
  <c r="X1014" i="10"/>
  <c r="Y1014" i="10"/>
  <c r="Z1014" i="10"/>
  <c r="AA1014" i="10"/>
  <c r="AB1014" i="10"/>
  <c r="F1015" i="10"/>
  <c r="G1015" i="10"/>
  <c r="H1015" i="10"/>
  <c r="I1015" i="10"/>
  <c r="J1015" i="10"/>
  <c r="K1015" i="10"/>
  <c r="L1015" i="10"/>
  <c r="M1015" i="10"/>
  <c r="N1015" i="10"/>
  <c r="P1015" i="10"/>
  <c r="Q1015" i="10"/>
  <c r="R1015" i="10"/>
  <c r="S1015" i="10"/>
  <c r="T1015" i="10"/>
  <c r="U1015" i="10"/>
  <c r="V1015" i="10"/>
  <c r="W1015" i="10"/>
  <c r="X1015" i="10"/>
  <c r="Y1015" i="10"/>
  <c r="Z1015" i="10"/>
  <c r="AA1015" i="10"/>
  <c r="AB1015" i="10"/>
  <c r="F1016" i="10"/>
  <c r="G1016" i="10"/>
  <c r="H1016" i="10"/>
  <c r="I1016" i="10"/>
  <c r="J1016" i="10"/>
  <c r="K1016" i="10"/>
  <c r="L1016" i="10"/>
  <c r="M1016" i="10"/>
  <c r="N1016" i="10"/>
  <c r="P1016" i="10"/>
  <c r="Q1016" i="10"/>
  <c r="R1016" i="10"/>
  <c r="S1016" i="10"/>
  <c r="T1016" i="10"/>
  <c r="U1016" i="10"/>
  <c r="V1016" i="10"/>
  <c r="W1016" i="10"/>
  <c r="X1016" i="10"/>
  <c r="Y1016" i="10"/>
  <c r="Z1016" i="10"/>
  <c r="AA1016" i="10"/>
  <c r="AB1016" i="10"/>
  <c r="F1017" i="10"/>
  <c r="G1017" i="10"/>
  <c r="H1017" i="10"/>
  <c r="I1017" i="10"/>
  <c r="J1017" i="10"/>
  <c r="K1017" i="10"/>
  <c r="L1017" i="10"/>
  <c r="M1017" i="10"/>
  <c r="N1017" i="10"/>
  <c r="P1017" i="10"/>
  <c r="Q1017" i="10"/>
  <c r="R1017" i="10"/>
  <c r="S1017" i="10"/>
  <c r="T1017" i="10"/>
  <c r="U1017" i="10"/>
  <c r="V1017" i="10"/>
  <c r="W1017" i="10"/>
  <c r="X1017" i="10"/>
  <c r="Y1017" i="10"/>
  <c r="Z1017" i="10"/>
  <c r="AA1017" i="10"/>
  <c r="AB1017" i="10"/>
  <c r="F1018" i="10"/>
  <c r="G1018" i="10"/>
  <c r="H1018" i="10"/>
  <c r="I1018" i="10"/>
  <c r="J1018" i="10"/>
  <c r="K1018" i="10"/>
  <c r="L1018" i="10"/>
  <c r="M1018" i="10"/>
  <c r="N1018" i="10"/>
  <c r="P1018" i="10"/>
  <c r="Q1018" i="10"/>
  <c r="R1018" i="10"/>
  <c r="S1018" i="10"/>
  <c r="T1018" i="10"/>
  <c r="U1018" i="10"/>
  <c r="V1018" i="10"/>
  <c r="W1018" i="10"/>
  <c r="X1018" i="10"/>
  <c r="Y1018" i="10"/>
  <c r="Z1018" i="10"/>
  <c r="AA1018" i="10"/>
  <c r="AB1018" i="10"/>
  <c r="F1019" i="10"/>
  <c r="G1019" i="10"/>
  <c r="H1019" i="10"/>
  <c r="I1019" i="10"/>
  <c r="J1019" i="10"/>
  <c r="K1019" i="10"/>
  <c r="L1019" i="10"/>
  <c r="M1019" i="10"/>
  <c r="N1019" i="10"/>
  <c r="P1019" i="10"/>
  <c r="Q1019" i="10"/>
  <c r="R1019" i="10"/>
  <c r="S1019" i="10"/>
  <c r="T1019" i="10"/>
  <c r="U1019" i="10"/>
  <c r="V1019" i="10"/>
  <c r="W1019" i="10"/>
  <c r="X1019" i="10"/>
  <c r="Y1019" i="10"/>
  <c r="Z1019" i="10"/>
  <c r="AA1019" i="10"/>
  <c r="AB1019" i="10"/>
  <c r="F1020" i="10"/>
  <c r="G1020" i="10"/>
  <c r="H1020" i="10"/>
  <c r="I1020" i="10"/>
  <c r="J1020" i="10"/>
  <c r="K1020" i="10"/>
  <c r="L1020" i="10"/>
  <c r="M1020" i="10"/>
  <c r="N1020" i="10"/>
  <c r="P1020" i="10"/>
  <c r="Q1020" i="10"/>
  <c r="R1020" i="10"/>
  <c r="S1020" i="10"/>
  <c r="T1020" i="10"/>
  <c r="U1020" i="10"/>
  <c r="V1020" i="10"/>
  <c r="W1020" i="10"/>
  <c r="X1020" i="10"/>
  <c r="Y1020" i="10"/>
  <c r="Z1020" i="10"/>
  <c r="AA1020" i="10"/>
  <c r="AB1020" i="10"/>
  <c r="F1021" i="10"/>
  <c r="G1021" i="10"/>
  <c r="H1021" i="10"/>
  <c r="I1021" i="10"/>
  <c r="J1021" i="10"/>
  <c r="K1021" i="10"/>
  <c r="L1021" i="10"/>
  <c r="M1021" i="10"/>
  <c r="N1021" i="10"/>
  <c r="P1021" i="10"/>
  <c r="Q1021" i="10"/>
  <c r="R1021" i="10"/>
  <c r="S1021" i="10"/>
  <c r="T1021" i="10"/>
  <c r="U1021" i="10"/>
  <c r="V1021" i="10"/>
  <c r="W1021" i="10"/>
  <c r="X1021" i="10"/>
  <c r="Y1021" i="10"/>
  <c r="Z1021" i="10"/>
  <c r="AA1021" i="10"/>
  <c r="AB1021" i="10"/>
  <c r="F1022" i="10"/>
  <c r="G1022" i="10"/>
  <c r="H1022" i="10"/>
  <c r="I1022" i="10"/>
  <c r="J1022" i="10"/>
  <c r="K1022" i="10"/>
  <c r="L1022" i="10"/>
  <c r="M1022" i="10"/>
  <c r="N1022" i="10"/>
  <c r="P1022" i="10"/>
  <c r="Q1022" i="10"/>
  <c r="R1022" i="10"/>
  <c r="S1022" i="10"/>
  <c r="T1022" i="10"/>
  <c r="U1022" i="10"/>
  <c r="V1022" i="10"/>
  <c r="W1022" i="10"/>
  <c r="X1022" i="10"/>
  <c r="Y1022" i="10"/>
  <c r="Z1022" i="10"/>
  <c r="AA1022" i="10"/>
  <c r="AB1022" i="10"/>
  <c r="F1023" i="10"/>
  <c r="G1023" i="10"/>
  <c r="H1023" i="10"/>
  <c r="I1023" i="10"/>
  <c r="J1023" i="10"/>
  <c r="K1023" i="10"/>
  <c r="L1023" i="10"/>
  <c r="M1023" i="10"/>
  <c r="N1023" i="10"/>
  <c r="P1023" i="10"/>
  <c r="Q1023" i="10"/>
  <c r="R1023" i="10"/>
  <c r="S1023" i="10"/>
  <c r="T1023" i="10"/>
  <c r="U1023" i="10"/>
  <c r="V1023" i="10"/>
  <c r="W1023" i="10"/>
  <c r="X1023" i="10"/>
  <c r="Y1023" i="10"/>
  <c r="Z1023" i="10"/>
  <c r="AA1023" i="10"/>
  <c r="AB1023" i="10"/>
  <c r="F1024" i="10"/>
  <c r="G1024" i="10"/>
  <c r="H1024" i="10"/>
  <c r="I1024" i="10"/>
  <c r="J1024" i="10"/>
  <c r="K1024" i="10"/>
  <c r="L1024" i="10"/>
  <c r="M1024" i="10"/>
  <c r="N1024" i="10"/>
  <c r="P1024" i="10"/>
  <c r="Q1024" i="10"/>
  <c r="R1024" i="10"/>
  <c r="S1024" i="10"/>
  <c r="T1024" i="10"/>
  <c r="U1024" i="10"/>
  <c r="V1024" i="10"/>
  <c r="W1024" i="10"/>
  <c r="X1024" i="10"/>
  <c r="Y1024" i="10"/>
  <c r="Z1024" i="10"/>
  <c r="AA1024" i="10"/>
  <c r="AB1024" i="10"/>
  <c r="F1025" i="10"/>
  <c r="G1025" i="10"/>
  <c r="H1025" i="10"/>
  <c r="I1025" i="10"/>
  <c r="J1025" i="10"/>
  <c r="K1025" i="10"/>
  <c r="L1025" i="10"/>
  <c r="M1025" i="10"/>
  <c r="N1025" i="10"/>
  <c r="P1025" i="10"/>
  <c r="Q1025" i="10"/>
  <c r="R1025" i="10"/>
  <c r="S1025" i="10"/>
  <c r="T1025" i="10"/>
  <c r="U1025" i="10"/>
  <c r="V1025" i="10"/>
  <c r="W1025" i="10"/>
  <c r="X1025" i="10"/>
  <c r="Y1025" i="10"/>
  <c r="Z1025" i="10"/>
  <c r="AA1025" i="10"/>
  <c r="AB1025" i="10"/>
  <c r="F1026" i="10"/>
  <c r="G1026" i="10"/>
  <c r="H1026" i="10"/>
  <c r="I1026" i="10"/>
  <c r="J1026" i="10"/>
  <c r="K1026" i="10"/>
  <c r="L1026" i="10"/>
  <c r="M1026" i="10"/>
  <c r="N1026" i="10"/>
  <c r="P1026" i="10"/>
  <c r="Q1026" i="10"/>
  <c r="R1026" i="10"/>
  <c r="S1026" i="10"/>
  <c r="T1026" i="10"/>
  <c r="U1026" i="10"/>
  <c r="V1026" i="10"/>
  <c r="W1026" i="10"/>
  <c r="X1026" i="10"/>
  <c r="Y1026" i="10"/>
  <c r="Z1026" i="10"/>
  <c r="AA1026" i="10"/>
  <c r="AB1026" i="10"/>
  <c r="F1027" i="10"/>
  <c r="G1027" i="10"/>
  <c r="H1027" i="10"/>
  <c r="I1027" i="10"/>
  <c r="J1027" i="10"/>
  <c r="K1027" i="10"/>
  <c r="L1027" i="10"/>
  <c r="M1027" i="10"/>
  <c r="N1027" i="10"/>
  <c r="P1027" i="10"/>
  <c r="Q1027" i="10"/>
  <c r="R1027" i="10"/>
  <c r="S1027" i="10"/>
  <c r="T1027" i="10"/>
  <c r="U1027" i="10"/>
  <c r="V1027" i="10"/>
  <c r="W1027" i="10"/>
  <c r="X1027" i="10"/>
  <c r="Y1027" i="10"/>
  <c r="Z1027" i="10"/>
  <c r="AA1027" i="10"/>
  <c r="AB1027" i="10"/>
  <c r="F1028" i="10"/>
  <c r="G1028" i="10"/>
  <c r="H1028" i="10"/>
  <c r="I1028" i="10"/>
  <c r="J1028" i="10"/>
  <c r="K1028" i="10"/>
  <c r="L1028" i="10"/>
  <c r="M1028" i="10"/>
  <c r="N1028" i="10"/>
  <c r="P1028" i="10"/>
  <c r="Q1028" i="10"/>
  <c r="R1028" i="10"/>
  <c r="S1028" i="10"/>
  <c r="T1028" i="10"/>
  <c r="U1028" i="10"/>
  <c r="V1028" i="10"/>
  <c r="W1028" i="10"/>
  <c r="X1028" i="10"/>
  <c r="Y1028" i="10"/>
  <c r="Z1028" i="10"/>
  <c r="AA1028" i="10"/>
  <c r="AB1028" i="10"/>
  <c r="F1029" i="10"/>
  <c r="G1029" i="10"/>
  <c r="H1029" i="10"/>
  <c r="I1029" i="10"/>
  <c r="J1029" i="10"/>
  <c r="K1029" i="10"/>
  <c r="L1029" i="10"/>
  <c r="M1029" i="10"/>
  <c r="N1029" i="10"/>
  <c r="P1029" i="10"/>
  <c r="Q1029" i="10"/>
  <c r="R1029" i="10"/>
  <c r="S1029" i="10"/>
  <c r="T1029" i="10"/>
  <c r="U1029" i="10"/>
  <c r="V1029" i="10"/>
  <c r="W1029" i="10"/>
  <c r="X1029" i="10"/>
  <c r="Y1029" i="10"/>
  <c r="Z1029" i="10"/>
  <c r="AA1029" i="10"/>
  <c r="AB1029" i="10"/>
  <c r="F1030" i="10"/>
  <c r="G1030" i="10"/>
  <c r="H1030" i="10"/>
  <c r="I1030" i="10"/>
  <c r="J1030" i="10"/>
  <c r="K1030" i="10"/>
  <c r="L1030" i="10"/>
  <c r="M1030" i="10"/>
  <c r="N1030" i="10"/>
  <c r="P1030" i="10"/>
  <c r="Q1030" i="10"/>
  <c r="R1030" i="10"/>
  <c r="S1030" i="10"/>
  <c r="T1030" i="10"/>
  <c r="U1030" i="10"/>
  <c r="V1030" i="10"/>
  <c r="W1030" i="10"/>
  <c r="X1030" i="10"/>
  <c r="Y1030" i="10"/>
  <c r="Z1030" i="10"/>
  <c r="AA1030" i="10"/>
  <c r="AB1030" i="10"/>
  <c r="F1031" i="10"/>
  <c r="G1031" i="10"/>
  <c r="H1031" i="10"/>
  <c r="I1031" i="10"/>
  <c r="J1031" i="10"/>
  <c r="K1031" i="10"/>
  <c r="L1031" i="10"/>
  <c r="M1031" i="10"/>
  <c r="N1031" i="10"/>
  <c r="P1031" i="10"/>
  <c r="Q1031" i="10"/>
  <c r="R1031" i="10"/>
  <c r="S1031" i="10"/>
  <c r="T1031" i="10"/>
  <c r="U1031" i="10"/>
  <c r="V1031" i="10"/>
  <c r="W1031" i="10"/>
  <c r="X1031" i="10"/>
  <c r="Y1031" i="10"/>
  <c r="Z1031" i="10"/>
  <c r="AA1031" i="10"/>
  <c r="AB1031" i="10"/>
  <c r="F1032" i="10"/>
  <c r="G1032" i="10"/>
  <c r="H1032" i="10"/>
  <c r="I1032" i="10"/>
  <c r="J1032" i="10"/>
  <c r="K1032" i="10"/>
  <c r="L1032" i="10"/>
  <c r="M1032" i="10"/>
  <c r="N1032" i="10"/>
  <c r="P1032" i="10"/>
  <c r="Q1032" i="10"/>
  <c r="R1032" i="10"/>
  <c r="S1032" i="10"/>
  <c r="T1032" i="10"/>
  <c r="U1032" i="10"/>
  <c r="V1032" i="10"/>
  <c r="W1032" i="10"/>
  <c r="X1032" i="10"/>
  <c r="Y1032" i="10"/>
  <c r="Z1032" i="10"/>
  <c r="AA1032" i="10"/>
  <c r="AB1032" i="10"/>
  <c r="F1033" i="10"/>
  <c r="G1033" i="10"/>
  <c r="H1033" i="10"/>
  <c r="I1033" i="10"/>
  <c r="J1033" i="10"/>
  <c r="K1033" i="10"/>
  <c r="L1033" i="10"/>
  <c r="M1033" i="10"/>
  <c r="N1033" i="10"/>
  <c r="P1033" i="10"/>
  <c r="Q1033" i="10"/>
  <c r="R1033" i="10"/>
  <c r="S1033" i="10"/>
  <c r="T1033" i="10"/>
  <c r="U1033" i="10"/>
  <c r="V1033" i="10"/>
  <c r="W1033" i="10"/>
  <c r="X1033" i="10"/>
  <c r="Y1033" i="10"/>
  <c r="Z1033" i="10"/>
  <c r="AA1033" i="10"/>
  <c r="AB1033" i="10"/>
  <c r="F1034" i="10"/>
  <c r="G1034" i="10"/>
  <c r="H1034" i="10"/>
  <c r="I1034" i="10"/>
  <c r="J1034" i="10"/>
  <c r="K1034" i="10"/>
  <c r="L1034" i="10"/>
  <c r="M1034" i="10"/>
  <c r="N1034" i="10"/>
  <c r="P1034" i="10"/>
  <c r="Q1034" i="10"/>
  <c r="R1034" i="10"/>
  <c r="S1034" i="10"/>
  <c r="T1034" i="10"/>
  <c r="U1034" i="10"/>
  <c r="V1034" i="10"/>
  <c r="W1034" i="10"/>
  <c r="X1034" i="10"/>
  <c r="Y1034" i="10"/>
  <c r="Z1034" i="10"/>
  <c r="AA1034" i="10"/>
  <c r="AB1034" i="10"/>
  <c r="F1035" i="10"/>
  <c r="G1035" i="10"/>
  <c r="H1035" i="10"/>
  <c r="I1035" i="10"/>
  <c r="J1035" i="10"/>
  <c r="K1035" i="10"/>
  <c r="L1035" i="10"/>
  <c r="M1035" i="10"/>
  <c r="N1035" i="10"/>
  <c r="P1035" i="10"/>
  <c r="Q1035" i="10"/>
  <c r="R1035" i="10"/>
  <c r="S1035" i="10"/>
  <c r="T1035" i="10"/>
  <c r="U1035" i="10"/>
  <c r="V1035" i="10"/>
  <c r="W1035" i="10"/>
  <c r="X1035" i="10"/>
  <c r="Y1035" i="10"/>
  <c r="Z1035" i="10"/>
  <c r="AA1035" i="10"/>
  <c r="AB1035" i="10"/>
  <c r="F1036" i="10"/>
  <c r="G1036" i="10"/>
  <c r="H1036" i="10"/>
  <c r="I1036" i="10"/>
  <c r="J1036" i="10"/>
  <c r="K1036" i="10"/>
  <c r="L1036" i="10"/>
  <c r="M1036" i="10"/>
  <c r="N1036" i="10"/>
  <c r="P1036" i="10"/>
  <c r="Q1036" i="10"/>
  <c r="R1036" i="10"/>
  <c r="S1036" i="10"/>
  <c r="T1036" i="10"/>
  <c r="U1036" i="10"/>
  <c r="V1036" i="10"/>
  <c r="W1036" i="10"/>
  <c r="X1036" i="10"/>
  <c r="Y1036" i="10"/>
  <c r="Z1036" i="10"/>
  <c r="AA1036" i="10"/>
  <c r="AB1036" i="10"/>
  <c r="F1037" i="10"/>
  <c r="G1037" i="10"/>
  <c r="H1037" i="10"/>
  <c r="I1037" i="10"/>
  <c r="J1037" i="10"/>
  <c r="K1037" i="10"/>
  <c r="L1037" i="10"/>
  <c r="M1037" i="10"/>
  <c r="N1037" i="10"/>
  <c r="P1037" i="10"/>
  <c r="Q1037" i="10"/>
  <c r="R1037" i="10"/>
  <c r="S1037" i="10"/>
  <c r="T1037" i="10"/>
  <c r="U1037" i="10"/>
  <c r="V1037" i="10"/>
  <c r="W1037" i="10"/>
  <c r="X1037" i="10"/>
  <c r="Y1037" i="10"/>
  <c r="Z1037" i="10"/>
  <c r="AA1037" i="10"/>
  <c r="AB1037" i="10"/>
  <c r="F1038" i="10"/>
  <c r="G1038" i="10"/>
  <c r="H1038" i="10"/>
  <c r="I1038" i="10"/>
  <c r="J1038" i="10"/>
  <c r="K1038" i="10"/>
  <c r="L1038" i="10"/>
  <c r="M1038" i="10"/>
  <c r="N1038" i="10"/>
  <c r="P1038" i="10"/>
  <c r="Q1038" i="10"/>
  <c r="R1038" i="10"/>
  <c r="S1038" i="10"/>
  <c r="T1038" i="10"/>
  <c r="U1038" i="10"/>
  <c r="V1038" i="10"/>
  <c r="W1038" i="10"/>
  <c r="X1038" i="10"/>
  <c r="Y1038" i="10"/>
  <c r="Z1038" i="10"/>
  <c r="AA1038" i="10"/>
  <c r="AB1038" i="10"/>
  <c r="F1039" i="10"/>
  <c r="G1039" i="10"/>
  <c r="H1039" i="10"/>
  <c r="I1039" i="10"/>
  <c r="J1039" i="10"/>
  <c r="K1039" i="10"/>
  <c r="L1039" i="10"/>
  <c r="M1039" i="10"/>
  <c r="N1039" i="10"/>
  <c r="P1039" i="10"/>
  <c r="Q1039" i="10"/>
  <c r="R1039" i="10"/>
  <c r="S1039" i="10"/>
  <c r="T1039" i="10"/>
  <c r="U1039" i="10"/>
  <c r="V1039" i="10"/>
  <c r="W1039" i="10"/>
  <c r="X1039" i="10"/>
  <c r="Y1039" i="10"/>
  <c r="Z1039" i="10"/>
  <c r="AA1039" i="10"/>
  <c r="AB1039" i="10"/>
  <c r="F1040" i="10"/>
  <c r="G1040" i="10"/>
  <c r="H1040" i="10"/>
  <c r="I1040" i="10"/>
  <c r="J1040" i="10"/>
  <c r="K1040" i="10"/>
  <c r="L1040" i="10"/>
  <c r="M1040" i="10"/>
  <c r="N1040" i="10"/>
  <c r="P1040" i="10"/>
  <c r="Q1040" i="10"/>
  <c r="R1040" i="10"/>
  <c r="S1040" i="10"/>
  <c r="T1040" i="10"/>
  <c r="U1040" i="10"/>
  <c r="V1040" i="10"/>
  <c r="W1040" i="10"/>
  <c r="X1040" i="10"/>
  <c r="Y1040" i="10"/>
  <c r="Z1040" i="10"/>
  <c r="AA1040" i="10"/>
  <c r="AB1040" i="10"/>
  <c r="F1041" i="10"/>
  <c r="G1041" i="10"/>
  <c r="H1041" i="10"/>
  <c r="I1041" i="10"/>
  <c r="J1041" i="10"/>
  <c r="K1041" i="10"/>
  <c r="L1041" i="10"/>
  <c r="M1041" i="10"/>
  <c r="N1041" i="10"/>
  <c r="P1041" i="10"/>
  <c r="Q1041" i="10"/>
  <c r="R1041" i="10"/>
  <c r="S1041" i="10"/>
  <c r="T1041" i="10"/>
  <c r="U1041" i="10"/>
  <c r="V1041" i="10"/>
  <c r="W1041" i="10"/>
  <c r="X1041" i="10"/>
  <c r="Y1041" i="10"/>
  <c r="Z1041" i="10"/>
  <c r="AA1041" i="10"/>
  <c r="AB1041" i="10"/>
  <c r="F1042" i="10"/>
  <c r="G1042" i="10"/>
  <c r="H1042" i="10"/>
  <c r="I1042" i="10"/>
  <c r="J1042" i="10"/>
  <c r="K1042" i="10"/>
  <c r="L1042" i="10"/>
  <c r="M1042" i="10"/>
  <c r="N1042" i="10"/>
  <c r="P1042" i="10"/>
  <c r="Q1042" i="10"/>
  <c r="R1042" i="10"/>
  <c r="S1042" i="10"/>
  <c r="T1042" i="10"/>
  <c r="U1042" i="10"/>
  <c r="V1042" i="10"/>
  <c r="W1042" i="10"/>
  <c r="X1042" i="10"/>
  <c r="Y1042" i="10"/>
  <c r="Z1042" i="10"/>
  <c r="AA1042" i="10"/>
  <c r="AB1042" i="10"/>
  <c r="F1043" i="10"/>
  <c r="G1043" i="10"/>
  <c r="H1043" i="10"/>
  <c r="I1043" i="10"/>
  <c r="J1043" i="10"/>
  <c r="K1043" i="10"/>
  <c r="L1043" i="10"/>
  <c r="M1043" i="10"/>
  <c r="N1043" i="10"/>
  <c r="P1043" i="10"/>
  <c r="Q1043" i="10"/>
  <c r="R1043" i="10"/>
  <c r="S1043" i="10"/>
  <c r="T1043" i="10"/>
  <c r="U1043" i="10"/>
  <c r="V1043" i="10"/>
  <c r="W1043" i="10"/>
  <c r="X1043" i="10"/>
  <c r="Y1043" i="10"/>
  <c r="Z1043" i="10"/>
  <c r="AA1043" i="10"/>
  <c r="AB1043" i="10"/>
  <c r="F1044" i="10"/>
  <c r="G1044" i="10"/>
  <c r="H1044" i="10"/>
  <c r="I1044" i="10"/>
  <c r="J1044" i="10"/>
  <c r="K1044" i="10"/>
  <c r="L1044" i="10"/>
  <c r="M1044" i="10"/>
  <c r="N1044" i="10"/>
  <c r="P1044" i="10"/>
  <c r="Q1044" i="10"/>
  <c r="R1044" i="10"/>
  <c r="S1044" i="10"/>
  <c r="T1044" i="10"/>
  <c r="U1044" i="10"/>
  <c r="V1044" i="10"/>
  <c r="W1044" i="10"/>
  <c r="X1044" i="10"/>
  <c r="Y1044" i="10"/>
  <c r="Z1044" i="10"/>
  <c r="AA1044" i="10"/>
  <c r="AB1044" i="10"/>
  <c r="F1045" i="10"/>
  <c r="G1045" i="10"/>
  <c r="H1045" i="10"/>
  <c r="I1045" i="10"/>
  <c r="J1045" i="10"/>
  <c r="K1045" i="10"/>
  <c r="L1045" i="10"/>
  <c r="M1045" i="10"/>
  <c r="N1045" i="10"/>
  <c r="P1045" i="10"/>
  <c r="Q1045" i="10"/>
  <c r="R1045" i="10"/>
  <c r="S1045" i="10"/>
  <c r="T1045" i="10"/>
  <c r="U1045" i="10"/>
  <c r="V1045" i="10"/>
  <c r="W1045" i="10"/>
  <c r="X1045" i="10"/>
  <c r="Y1045" i="10"/>
  <c r="Z1045" i="10"/>
  <c r="AA1045" i="10"/>
  <c r="AB1045" i="10"/>
  <c r="F1046" i="10"/>
  <c r="G1046" i="10"/>
  <c r="H1046" i="10"/>
  <c r="I1046" i="10"/>
  <c r="J1046" i="10"/>
  <c r="K1046" i="10"/>
  <c r="L1046" i="10"/>
  <c r="M1046" i="10"/>
  <c r="N1046" i="10"/>
  <c r="P1046" i="10"/>
  <c r="Q1046" i="10"/>
  <c r="R1046" i="10"/>
  <c r="S1046" i="10"/>
  <c r="T1046" i="10"/>
  <c r="U1046" i="10"/>
  <c r="V1046" i="10"/>
  <c r="W1046" i="10"/>
  <c r="X1046" i="10"/>
  <c r="Y1046" i="10"/>
  <c r="Z1046" i="10"/>
  <c r="AA1046" i="10"/>
  <c r="AB1046" i="10"/>
  <c r="F1047" i="10"/>
  <c r="G1047" i="10"/>
  <c r="H1047" i="10"/>
  <c r="I1047" i="10"/>
  <c r="J1047" i="10"/>
  <c r="K1047" i="10"/>
  <c r="L1047" i="10"/>
  <c r="M1047" i="10"/>
  <c r="N1047" i="10"/>
  <c r="P1047" i="10"/>
  <c r="Q1047" i="10"/>
  <c r="R1047" i="10"/>
  <c r="S1047" i="10"/>
  <c r="T1047" i="10"/>
  <c r="U1047" i="10"/>
  <c r="V1047" i="10"/>
  <c r="W1047" i="10"/>
  <c r="X1047" i="10"/>
  <c r="Y1047" i="10"/>
  <c r="Z1047" i="10"/>
  <c r="AA1047" i="10"/>
  <c r="AB1047" i="10"/>
  <c r="F1048" i="10"/>
  <c r="G1048" i="10"/>
  <c r="H1048" i="10"/>
  <c r="I1048" i="10"/>
  <c r="J1048" i="10"/>
  <c r="K1048" i="10"/>
  <c r="L1048" i="10"/>
  <c r="M1048" i="10"/>
  <c r="N1048" i="10"/>
  <c r="P1048" i="10"/>
  <c r="Q1048" i="10"/>
  <c r="R1048" i="10"/>
  <c r="S1048" i="10"/>
  <c r="T1048" i="10"/>
  <c r="U1048" i="10"/>
  <c r="V1048" i="10"/>
  <c r="W1048" i="10"/>
  <c r="X1048" i="10"/>
  <c r="Y1048" i="10"/>
  <c r="Z1048" i="10"/>
  <c r="AA1048" i="10"/>
  <c r="AB1048" i="10"/>
  <c r="F1049" i="10"/>
  <c r="G1049" i="10"/>
  <c r="H1049" i="10"/>
  <c r="I1049" i="10"/>
  <c r="J1049" i="10"/>
  <c r="K1049" i="10"/>
  <c r="L1049" i="10"/>
  <c r="M1049" i="10"/>
  <c r="N1049" i="10"/>
  <c r="P1049" i="10"/>
  <c r="Q1049" i="10"/>
  <c r="R1049" i="10"/>
  <c r="S1049" i="10"/>
  <c r="T1049" i="10"/>
  <c r="U1049" i="10"/>
  <c r="V1049" i="10"/>
  <c r="W1049" i="10"/>
  <c r="X1049" i="10"/>
  <c r="Y1049" i="10"/>
  <c r="Z1049" i="10"/>
  <c r="AA1049" i="10"/>
  <c r="AB1049" i="10"/>
  <c r="F1050" i="10"/>
  <c r="G1050" i="10"/>
  <c r="H1050" i="10"/>
  <c r="I1050" i="10"/>
  <c r="J1050" i="10"/>
  <c r="K1050" i="10"/>
  <c r="L1050" i="10"/>
  <c r="M1050" i="10"/>
  <c r="N1050" i="10"/>
  <c r="P1050" i="10"/>
  <c r="Q1050" i="10"/>
  <c r="R1050" i="10"/>
  <c r="S1050" i="10"/>
  <c r="T1050" i="10"/>
  <c r="U1050" i="10"/>
  <c r="V1050" i="10"/>
  <c r="W1050" i="10"/>
  <c r="X1050" i="10"/>
  <c r="Y1050" i="10"/>
  <c r="Z1050" i="10"/>
  <c r="AA1050" i="10"/>
  <c r="AB1050" i="10"/>
  <c r="F1051" i="10"/>
  <c r="G1051" i="10"/>
  <c r="H1051" i="10"/>
  <c r="I1051" i="10"/>
  <c r="J1051" i="10"/>
  <c r="K1051" i="10"/>
  <c r="L1051" i="10"/>
  <c r="M1051" i="10"/>
  <c r="N1051" i="10"/>
  <c r="P1051" i="10"/>
  <c r="Q1051" i="10"/>
  <c r="R1051" i="10"/>
  <c r="S1051" i="10"/>
  <c r="T1051" i="10"/>
  <c r="U1051" i="10"/>
  <c r="V1051" i="10"/>
  <c r="W1051" i="10"/>
  <c r="X1051" i="10"/>
  <c r="Y1051" i="10"/>
  <c r="Z1051" i="10"/>
  <c r="AA1051" i="10"/>
  <c r="AB1051" i="10"/>
  <c r="F1052" i="10"/>
  <c r="G1052" i="10"/>
  <c r="H1052" i="10"/>
  <c r="I1052" i="10"/>
  <c r="J1052" i="10"/>
  <c r="K1052" i="10"/>
  <c r="L1052" i="10"/>
  <c r="M1052" i="10"/>
  <c r="N1052" i="10"/>
  <c r="P1052" i="10"/>
  <c r="Q1052" i="10"/>
  <c r="R1052" i="10"/>
  <c r="S1052" i="10"/>
  <c r="T1052" i="10"/>
  <c r="U1052" i="10"/>
  <c r="V1052" i="10"/>
  <c r="W1052" i="10"/>
  <c r="X1052" i="10"/>
  <c r="Y1052" i="10"/>
  <c r="Z1052" i="10"/>
  <c r="AA1052" i="10"/>
  <c r="AB1052" i="10"/>
  <c r="F1053" i="10"/>
  <c r="G1053" i="10"/>
  <c r="H1053" i="10"/>
  <c r="I1053" i="10"/>
  <c r="J1053" i="10"/>
  <c r="K1053" i="10"/>
  <c r="L1053" i="10"/>
  <c r="M1053" i="10"/>
  <c r="N1053" i="10"/>
  <c r="P1053" i="10"/>
  <c r="Q1053" i="10"/>
  <c r="R1053" i="10"/>
  <c r="S1053" i="10"/>
  <c r="T1053" i="10"/>
  <c r="U1053" i="10"/>
  <c r="V1053" i="10"/>
  <c r="W1053" i="10"/>
  <c r="X1053" i="10"/>
  <c r="Y1053" i="10"/>
  <c r="Z1053" i="10"/>
  <c r="AA1053" i="10"/>
  <c r="AB1053" i="10"/>
  <c r="F1054" i="10"/>
  <c r="G1054" i="10"/>
  <c r="H1054" i="10"/>
  <c r="I1054" i="10"/>
  <c r="J1054" i="10"/>
  <c r="K1054" i="10"/>
  <c r="L1054" i="10"/>
  <c r="M1054" i="10"/>
  <c r="N1054" i="10"/>
  <c r="P1054" i="10"/>
  <c r="Q1054" i="10"/>
  <c r="R1054" i="10"/>
  <c r="S1054" i="10"/>
  <c r="T1054" i="10"/>
  <c r="U1054" i="10"/>
  <c r="V1054" i="10"/>
  <c r="W1054" i="10"/>
  <c r="X1054" i="10"/>
  <c r="Y1054" i="10"/>
  <c r="Z1054" i="10"/>
  <c r="AA1054" i="10"/>
  <c r="AB1054" i="10"/>
  <c r="F1055" i="10"/>
  <c r="G1055" i="10"/>
  <c r="H1055" i="10"/>
  <c r="I1055" i="10"/>
  <c r="J1055" i="10"/>
  <c r="K1055" i="10"/>
  <c r="L1055" i="10"/>
  <c r="M1055" i="10"/>
  <c r="N1055" i="10"/>
  <c r="P1055" i="10"/>
  <c r="Q1055" i="10"/>
  <c r="R1055" i="10"/>
  <c r="S1055" i="10"/>
  <c r="T1055" i="10"/>
  <c r="U1055" i="10"/>
  <c r="V1055" i="10"/>
  <c r="W1055" i="10"/>
  <c r="X1055" i="10"/>
  <c r="Y1055" i="10"/>
  <c r="Z1055" i="10"/>
  <c r="AA1055" i="10"/>
  <c r="AB1055" i="10"/>
  <c r="F1056" i="10"/>
  <c r="G1056" i="10"/>
  <c r="H1056" i="10"/>
  <c r="I1056" i="10"/>
  <c r="J1056" i="10"/>
  <c r="K1056" i="10"/>
  <c r="L1056" i="10"/>
  <c r="M1056" i="10"/>
  <c r="N1056" i="10"/>
  <c r="P1056" i="10"/>
  <c r="Q1056" i="10"/>
  <c r="R1056" i="10"/>
  <c r="S1056" i="10"/>
  <c r="T1056" i="10"/>
  <c r="U1056" i="10"/>
  <c r="V1056" i="10"/>
  <c r="W1056" i="10"/>
  <c r="X1056" i="10"/>
  <c r="Y1056" i="10"/>
  <c r="Z1056" i="10"/>
  <c r="AA1056" i="10"/>
  <c r="AB1056" i="10"/>
  <c r="F1057" i="10"/>
  <c r="G1057" i="10"/>
  <c r="H1057" i="10"/>
  <c r="I1057" i="10"/>
  <c r="J1057" i="10"/>
  <c r="K1057" i="10"/>
  <c r="L1057" i="10"/>
  <c r="M1057" i="10"/>
  <c r="N1057" i="10"/>
  <c r="P1057" i="10"/>
  <c r="Q1057" i="10"/>
  <c r="R1057" i="10"/>
  <c r="S1057" i="10"/>
  <c r="T1057" i="10"/>
  <c r="U1057" i="10"/>
  <c r="V1057" i="10"/>
  <c r="W1057" i="10"/>
  <c r="X1057" i="10"/>
  <c r="Y1057" i="10"/>
  <c r="Z1057" i="10"/>
  <c r="AA1057" i="10"/>
  <c r="AB1057" i="10"/>
  <c r="F1058" i="10"/>
  <c r="G1058" i="10"/>
  <c r="H1058" i="10"/>
  <c r="I1058" i="10"/>
  <c r="J1058" i="10"/>
  <c r="K1058" i="10"/>
  <c r="L1058" i="10"/>
  <c r="M1058" i="10"/>
  <c r="N1058" i="10"/>
  <c r="P1058" i="10"/>
  <c r="Q1058" i="10"/>
  <c r="R1058" i="10"/>
  <c r="S1058" i="10"/>
  <c r="T1058" i="10"/>
  <c r="U1058" i="10"/>
  <c r="V1058" i="10"/>
  <c r="W1058" i="10"/>
  <c r="X1058" i="10"/>
  <c r="Y1058" i="10"/>
  <c r="Z1058" i="10"/>
  <c r="AA1058" i="10"/>
  <c r="AB1058" i="10"/>
  <c r="F1059" i="10"/>
  <c r="G1059" i="10"/>
  <c r="H1059" i="10"/>
  <c r="I1059" i="10"/>
  <c r="J1059" i="10"/>
  <c r="K1059" i="10"/>
  <c r="L1059" i="10"/>
  <c r="M1059" i="10"/>
  <c r="N1059" i="10"/>
  <c r="P1059" i="10"/>
  <c r="Q1059" i="10"/>
  <c r="R1059" i="10"/>
  <c r="S1059" i="10"/>
  <c r="T1059" i="10"/>
  <c r="U1059" i="10"/>
  <c r="V1059" i="10"/>
  <c r="W1059" i="10"/>
  <c r="X1059" i="10"/>
  <c r="Y1059" i="10"/>
  <c r="Z1059" i="10"/>
  <c r="AA1059" i="10"/>
  <c r="AB1059" i="10"/>
  <c r="F1060" i="10"/>
  <c r="G1060" i="10"/>
  <c r="H1060" i="10"/>
  <c r="I1060" i="10"/>
  <c r="J1060" i="10"/>
  <c r="K1060" i="10"/>
  <c r="L1060" i="10"/>
  <c r="M1060" i="10"/>
  <c r="N1060" i="10"/>
  <c r="P1060" i="10"/>
  <c r="Q1060" i="10"/>
  <c r="R1060" i="10"/>
  <c r="S1060" i="10"/>
  <c r="T1060" i="10"/>
  <c r="U1060" i="10"/>
  <c r="V1060" i="10"/>
  <c r="W1060" i="10"/>
  <c r="X1060" i="10"/>
  <c r="Y1060" i="10"/>
  <c r="Z1060" i="10"/>
  <c r="AA1060" i="10"/>
  <c r="AB1060" i="10"/>
  <c r="F1061" i="10"/>
  <c r="G1061" i="10"/>
  <c r="H1061" i="10"/>
  <c r="I1061" i="10"/>
  <c r="J1061" i="10"/>
  <c r="K1061" i="10"/>
  <c r="L1061" i="10"/>
  <c r="M1061" i="10"/>
  <c r="N1061" i="10"/>
  <c r="P1061" i="10"/>
  <c r="Q1061" i="10"/>
  <c r="R1061" i="10"/>
  <c r="S1061" i="10"/>
  <c r="T1061" i="10"/>
  <c r="U1061" i="10"/>
  <c r="V1061" i="10"/>
  <c r="W1061" i="10"/>
  <c r="X1061" i="10"/>
  <c r="Y1061" i="10"/>
  <c r="Z1061" i="10"/>
  <c r="AA1061" i="10"/>
  <c r="AB1061" i="10"/>
  <c r="F1062" i="10"/>
  <c r="G1062" i="10"/>
  <c r="H1062" i="10"/>
  <c r="I1062" i="10"/>
  <c r="J1062" i="10"/>
  <c r="K1062" i="10"/>
  <c r="L1062" i="10"/>
  <c r="M1062" i="10"/>
  <c r="N1062" i="10"/>
  <c r="P1062" i="10"/>
  <c r="Q1062" i="10"/>
  <c r="R1062" i="10"/>
  <c r="S1062" i="10"/>
  <c r="T1062" i="10"/>
  <c r="U1062" i="10"/>
  <c r="V1062" i="10"/>
  <c r="W1062" i="10"/>
  <c r="X1062" i="10"/>
  <c r="Y1062" i="10"/>
  <c r="Z1062" i="10"/>
  <c r="AA1062" i="10"/>
  <c r="AB1062" i="10"/>
  <c r="F1063" i="10"/>
  <c r="G1063" i="10"/>
  <c r="H1063" i="10"/>
  <c r="I1063" i="10"/>
  <c r="J1063" i="10"/>
  <c r="K1063" i="10"/>
  <c r="L1063" i="10"/>
  <c r="M1063" i="10"/>
  <c r="N1063" i="10"/>
  <c r="P1063" i="10"/>
  <c r="Q1063" i="10"/>
  <c r="R1063" i="10"/>
  <c r="S1063" i="10"/>
  <c r="T1063" i="10"/>
  <c r="U1063" i="10"/>
  <c r="V1063" i="10"/>
  <c r="W1063" i="10"/>
  <c r="X1063" i="10"/>
  <c r="Y1063" i="10"/>
  <c r="Z1063" i="10"/>
  <c r="AA1063" i="10"/>
  <c r="AB1063" i="10"/>
  <c r="F1064" i="10"/>
  <c r="G1064" i="10"/>
  <c r="H1064" i="10"/>
  <c r="I1064" i="10"/>
  <c r="J1064" i="10"/>
  <c r="K1064" i="10"/>
  <c r="L1064" i="10"/>
  <c r="M1064" i="10"/>
  <c r="N1064" i="10"/>
  <c r="P1064" i="10"/>
  <c r="Q1064" i="10"/>
  <c r="R1064" i="10"/>
  <c r="S1064" i="10"/>
  <c r="T1064" i="10"/>
  <c r="U1064" i="10"/>
  <c r="V1064" i="10"/>
  <c r="W1064" i="10"/>
  <c r="X1064" i="10"/>
  <c r="Y1064" i="10"/>
  <c r="Z1064" i="10"/>
  <c r="AA1064" i="10"/>
  <c r="AB1064" i="10"/>
  <c r="F1065" i="10"/>
  <c r="G1065" i="10"/>
  <c r="H1065" i="10"/>
  <c r="I1065" i="10"/>
  <c r="J1065" i="10"/>
  <c r="K1065" i="10"/>
  <c r="L1065" i="10"/>
  <c r="M1065" i="10"/>
  <c r="N1065" i="10"/>
  <c r="P1065" i="10"/>
  <c r="Q1065" i="10"/>
  <c r="R1065" i="10"/>
  <c r="S1065" i="10"/>
  <c r="T1065" i="10"/>
  <c r="U1065" i="10"/>
  <c r="V1065" i="10"/>
  <c r="W1065" i="10"/>
  <c r="X1065" i="10"/>
  <c r="Y1065" i="10"/>
  <c r="Z1065" i="10"/>
  <c r="AA1065" i="10"/>
  <c r="AB1065" i="10"/>
  <c r="F1066" i="10"/>
  <c r="G1066" i="10"/>
  <c r="H1066" i="10"/>
  <c r="I1066" i="10"/>
  <c r="J1066" i="10"/>
  <c r="K1066" i="10"/>
  <c r="L1066" i="10"/>
  <c r="M1066" i="10"/>
  <c r="N1066" i="10"/>
  <c r="P1066" i="10"/>
  <c r="Q1066" i="10"/>
  <c r="R1066" i="10"/>
  <c r="S1066" i="10"/>
  <c r="T1066" i="10"/>
  <c r="U1066" i="10"/>
  <c r="V1066" i="10"/>
  <c r="W1066" i="10"/>
  <c r="X1066" i="10"/>
  <c r="Y1066" i="10"/>
  <c r="Z1066" i="10"/>
  <c r="AA1066" i="10"/>
  <c r="AB1066" i="10"/>
  <c r="F1067" i="10"/>
  <c r="G1067" i="10"/>
  <c r="H1067" i="10"/>
  <c r="I1067" i="10"/>
  <c r="J1067" i="10"/>
  <c r="K1067" i="10"/>
  <c r="L1067" i="10"/>
  <c r="M1067" i="10"/>
  <c r="N1067" i="10"/>
  <c r="P1067" i="10"/>
  <c r="Q1067" i="10"/>
  <c r="R1067" i="10"/>
  <c r="S1067" i="10"/>
  <c r="T1067" i="10"/>
  <c r="U1067" i="10"/>
  <c r="V1067" i="10"/>
  <c r="W1067" i="10"/>
  <c r="X1067" i="10"/>
  <c r="Y1067" i="10"/>
  <c r="Z1067" i="10"/>
  <c r="AA1067" i="10"/>
  <c r="AB1067" i="10"/>
  <c r="F1068" i="10"/>
  <c r="G1068" i="10"/>
  <c r="H1068" i="10"/>
  <c r="I1068" i="10"/>
  <c r="J1068" i="10"/>
  <c r="K1068" i="10"/>
  <c r="L1068" i="10"/>
  <c r="M1068" i="10"/>
  <c r="N1068" i="10"/>
  <c r="P1068" i="10"/>
  <c r="Q1068" i="10"/>
  <c r="R1068" i="10"/>
  <c r="S1068" i="10"/>
  <c r="T1068" i="10"/>
  <c r="U1068" i="10"/>
  <c r="V1068" i="10"/>
  <c r="W1068" i="10"/>
  <c r="X1068" i="10"/>
  <c r="Y1068" i="10"/>
  <c r="Z1068" i="10"/>
  <c r="AA1068" i="10"/>
  <c r="AB1068" i="10"/>
  <c r="F1069" i="10"/>
  <c r="G1069" i="10"/>
  <c r="H1069" i="10"/>
  <c r="I1069" i="10"/>
  <c r="J1069" i="10"/>
  <c r="K1069" i="10"/>
  <c r="L1069" i="10"/>
  <c r="M1069" i="10"/>
  <c r="N1069" i="10"/>
  <c r="P1069" i="10"/>
  <c r="Q1069" i="10"/>
  <c r="R1069" i="10"/>
  <c r="S1069" i="10"/>
  <c r="T1069" i="10"/>
  <c r="U1069" i="10"/>
  <c r="V1069" i="10"/>
  <c r="W1069" i="10"/>
  <c r="X1069" i="10"/>
  <c r="Y1069" i="10"/>
  <c r="Z1069" i="10"/>
  <c r="AA1069" i="10"/>
  <c r="AB1069" i="10"/>
  <c r="F1070" i="10"/>
  <c r="G1070" i="10"/>
  <c r="H1070" i="10"/>
  <c r="I1070" i="10"/>
  <c r="J1070" i="10"/>
  <c r="K1070" i="10"/>
  <c r="L1070" i="10"/>
  <c r="M1070" i="10"/>
  <c r="N1070" i="10"/>
  <c r="P1070" i="10"/>
  <c r="Q1070" i="10"/>
  <c r="R1070" i="10"/>
  <c r="S1070" i="10"/>
  <c r="T1070" i="10"/>
  <c r="U1070" i="10"/>
  <c r="V1070" i="10"/>
  <c r="W1070" i="10"/>
  <c r="X1070" i="10"/>
  <c r="Y1070" i="10"/>
  <c r="Z1070" i="10"/>
  <c r="AA1070" i="10"/>
  <c r="AB1070" i="10"/>
  <c r="F1071" i="10"/>
  <c r="G1071" i="10"/>
  <c r="H1071" i="10"/>
  <c r="I1071" i="10"/>
  <c r="J1071" i="10"/>
  <c r="K1071" i="10"/>
  <c r="L1071" i="10"/>
  <c r="M1071" i="10"/>
  <c r="N1071" i="10"/>
  <c r="P1071" i="10"/>
  <c r="Q1071" i="10"/>
  <c r="R1071" i="10"/>
  <c r="S1071" i="10"/>
  <c r="T1071" i="10"/>
  <c r="U1071" i="10"/>
  <c r="V1071" i="10"/>
  <c r="W1071" i="10"/>
  <c r="X1071" i="10"/>
  <c r="Y1071" i="10"/>
  <c r="Z1071" i="10"/>
  <c r="AA1071" i="10"/>
  <c r="AB1071" i="10"/>
  <c r="F1072" i="10"/>
  <c r="G1072" i="10"/>
  <c r="H1072" i="10"/>
  <c r="I1072" i="10"/>
  <c r="J1072" i="10"/>
  <c r="K1072" i="10"/>
  <c r="L1072" i="10"/>
  <c r="M1072" i="10"/>
  <c r="N1072" i="10"/>
  <c r="P1072" i="10"/>
  <c r="Q1072" i="10"/>
  <c r="R1072" i="10"/>
  <c r="S1072" i="10"/>
  <c r="T1072" i="10"/>
  <c r="U1072" i="10"/>
  <c r="V1072" i="10"/>
  <c r="W1072" i="10"/>
  <c r="X1072" i="10"/>
  <c r="Y1072" i="10"/>
  <c r="Z1072" i="10"/>
  <c r="AA1072" i="10"/>
  <c r="AB1072" i="10"/>
  <c r="F1073" i="10"/>
  <c r="G1073" i="10"/>
  <c r="H1073" i="10"/>
  <c r="I1073" i="10"/>
  <c r="J1073" i="10"/>
  <c r="K1073" i="10"/>
  <c r="L1073" i="10"/>
  <c r="M1073" i="10"/>
  <c r="N1073" i="10"/>
  <c r="P1073" i="10"/>
  <c r="Q1073" i="10"/>
  <c r="R1073" i="10"/>
  <c r="S1073" i="10"/>
  <c r="T1073" i="10"/>
  <c r="U1073" i="10"/>
  <c r="V1073" i="10"/>
  <c r="W1073" i="10"/>
  <c r="X1073" i="10"/>
  <c r="Y1073" i="10"/>
  <c r="Z1073" i="10"/>
  <c r="AA1073" i="10"/>
  <c r="AB1073" i="10"/>
  <c r="F1074" i="10"/>
  <c r="G1074" i="10"/>
  <c r="H1074" i="10"/>
  <c r="I1074" i="10"/>
  <c r="J1074" i="10"/>
  <c r="K1074" i="10"/>
  <c r="L1074" i="10"/>
  <c r="M1074" i="10"/>
  <c r="N1074" i="10"/>
  <c r="P1074" i="10"/>
  <c r="Q1074" i="10"/>
  <c r="R1074" i="10"/>
  <c r="S1074" i="10"/>
  <c r="T1074" i="10"/>
  <c r="U1074" i="10"/>
  <c r="V1074" i="10"/>
  <c r="W1074" i="10"/>
  <c r="X1074" i="10"/>
  <c r="Y1074" i="10"/>
  <c r="Z1074" i="10"/>
  <c r="AA1074" i="10"/>
  <c r="AB1074" i="10"/>
  <c r="F1075" i="10"/>
  <c r="G1075" i="10"/>
  <c r="H1075" i="10"/>
  <c r="I1075" i="10"/>
  <c r="J1075" i="10"/>
  <c r="K1075" i="10"/>
  <c r="L1075" i="10"/>
  <c r="M1075" i="10"/>
  <c r="N1075" i="10"/>
  <c r="P1075" i="10"/>
  <c r="Q1075" i="10"/>
  <c r="R1075" i="10"/>
  <c r="S1075" i="10"/>
  <c r="T1075" i="10"/>
  <c r="U1075" i="10"/>
  <c r="V1075" i="10"/>
  <c r="W1075" i="10"/>
  <c r="X1075" i="10"/>
  <c r="Y1075" i="10"/>
  <c r="Z1075" i="10"/>
  <c r="AA1075" i="10"/>
  <c r="AB1075" i="10"/>
  <c r="F1076" i="10"/>
  <c r="G1076" i="10"/>
  <c r="H1076" i="10"/>
  <c r="I1076" i="10"/>
  <c r="J1076" i="10"/>
  <c r="K1076" i="10"/>
  <c r="L1076" i="10"/>
  <c r="M1076" i="10"/>
  <c r="N1076" i="10"/>
  <c r="P1076" i="10"/>
  <c r="Q1076" i="10"/>
  <c r="R1076" i="10"/>
  <c r="S1076" i="10"/>
  <c r="T1076" i="10"/>
  <c r="U1076" i="10"/>
  <c r="V1076" i="10"/>
  <c r="W1076" i="10"/>
  <c r="X1076" i="10"/>
  <c r="Y1076" i="10"/>
  <c r="Z1076" i="10"/>
  <c r="AA1076" i="10"/>
  <c r="AB1076" i="10"/>
  <c r="F1077" i="10"/>
  <c r="G1077" i="10"/>
  <c r="H1077" i="10"/>
  <c r="I1077" i="10"/>
  <c r="J1077" i="10"/>
  <c r="K1077" i="10"/>
  <c r="L1077" i="10"/>
  <c r="M1077" i="10"/>
  <c r="N1077" i="10"/>
  <c r="P1077" i="10"/>
  <c r="Q1077" i="10"/>
  <c r="R1077" i="10"/>
  <c r="S1077" i="10"/>
  <c r="T1077" i="10"/>
  <c r="U1077" i="10"/>
  <c r="V1077" i="10"/>
  <c r="W1077" i="10"/>
  <c r="X1077" i="10"/>
  <c r="Y1077" i="10"/>
  <c r="Z1077" i="10"/>
  <c r="AA1077" i="10"/>
  <c r="AB1077" i="10"/>
  <c r="F1078" i="10"/>
  <c r="G1078" i="10"/>
  <c r="H1078" i="10"/>
  <c r="I1078" i="10"/>
  <c r="J1078" i="10"/>
  <c r="K1078" i="10"/>
  <c r="L1078" i="10"/>
  <c r="M1078" i="10"/>
  <c r="N1078" i="10"/>
  <c r="P1078" i="10"/>
  <c r="Q1078" i="10"/>
  <c r="R1078" i="10"/>
  <c r="S1078" i="10"/>
  <c r="T1078" i="10"/>
  <c r="U1078" i="10"/>
  <c r="V1078" i="10"/>
  <c r="W1078" i="10"/>
  <c r="X1078" i="10"/>
  <c r="Y1078" i="10"/>
  <c r="Z1078" i="10"/>
  <c r="AA1078" i="10"/>
  <c r="AB1078" i="10"/>
  <c r="F1079" i="10"/>
  <c r="G1079" i="10"/>
  <c r="H1079" i="10"/>
  <c r="I1079" i="10"/>
  <c r="J1079" i="10"/>
  <c r="K1079" i="10"/>
  <c r="L1079" i="10"/>
  <c r="M1079" i="10"/>
  <c r="N1079" i="10"/>
  <c r="P1079" i="10"/>
  <c r="Q1079" i="10"/>
  <c r="R1079" i="10"/>
  <c r="S1079" i="10"/>
  <c r="T1079" i="10"/>
  <c r="U1079" i="10"/>
  <c r="V1079" i="10"/>
  <c r="W1079" i="10"/>
  <c r="X1079" i="10"/>
  <c r="Y1079" i="10"/>
  <c r="Z1079" i="10"/>
  <c r="AA1079" i="10"/>
  <c r="AB1079" i="10"/>
  <c r="F1080" i="10"/>
  <c r="G1080" i="10"/>
  <c r="H1080" i="10"/>
  <c r="I1080" i="10"/>
  <c r="J1080" i="10"/>
  <c r="K1080" i="10"/>
  <c r="L1080" i="10"/>
  <c r="M1080" i="10"/>
  <c r="N1080" i="10"/>
  <c r="P1080" i="10"/>
  <c r="Q1080" i="10"/>
  <c r="R1080" i="10"/>
  <c r="S1080" i="10"/>
  <c r="T1080" i="10"/>
  <c r="U1080" i="10"/>
  <c r="V1080" i="10"/>
  <c r="W1080" i="10"/>
  <c r="X1080" i="10"/>
  <c r="Y1080" i="10"/>
  <c r="Z1080" i="10"/>
  <c r="AA1080" i="10"/>
  <c r="AB1080" i="10"/>
  <c r="F1081" i="10"/>
  <c r="G1081" i="10"/>
  <c r="H1081" i="10"/>
  <c r="I1081" i="10"/>
  <c r="J1081" i="10"/>
  <c r="K1081" i="10"/>
  <c r="L1081" i="10"/>
  <c r="M1081" i="10"/>
  <c r="N1081" i="10"/>
  <c r="P1081" i="10"/>
  <c r="Q1081" i="10"/>
  <c r="R1081" i="10"/>
  <c r="S1081" i="10"/>
  <c r="T1081" i="10"/>
  <c r="U1081" i="10"/>
  <c r="V1081" i="10"/>
  <c r="W1081" i="10"/>
  <c r="X1081" i="10"/>
  <c r="Y1081" i="10"/>
  <c r="Z1081" i="10"/>
  <c r="AA1081" i="10"/>
  <c r="AB1081" i="10"/>
  <c r="F1082" i="10"/>
  <c r="G1082" i="10"/>
  <c r="H1082" i="10"/>
  <c r="I1082" i="10"/>
  <c r="J1082" i="10"/>
  <c r="K1082" i="10"/>
  <c r="L1082" i="10"/>
  <c r="M1082" i="10"/>
  <c r="N1082" i="10"/>
  <c r="P1082" i="10"/>
  <c r="Q1082" i="10"/>
  <c r="R1082" i="10"/>
  <c r="S1082" i="10"/>
  <c r="T1082" i="10"/>
  <c r="U1082" i="10"/>
  <c r="V1082" i="10"/>
  <c r="W1082" i="10"/>
  <c r="X1082" i="10"/>
  <c r="Y1082" i="10"/>
  <c r="Z1082" i="10"/>
  <c r="AA1082" i="10"/>
  <c r="AB1082" i="10"/>
  <c r="F1083" i="10"/>
  <c r="G1083" i="10"/>
  <c r="H1083" i="10"/>
  <c r="I1083" i="10"/>
  <c r="J1083" i="10"/>
  <c r="K1083" i="10"/>
  <c r="L1083" i="10"/>
  <c r="M1083" i="10"/>
  <c r="N1083" i="10"/>
  <c r="P1083" i="10"/>
  <c r="Q1083" i="10"/>
  <c r="R1083" i="10"/>
  <c r="S1083" i="10"/>
  <c r="T1083" i="10"/>
  <c r="U1083" i="10"/>
  <c r="V1083" i="10"/>
  <c r="W1083" i="10"/>
  <c r="X1083" i="10"/>
  <c r="Y1083" i="10"/>
  <c r="Z1083" i="10"/>
  <c r="AA1083" i="10"/>
  <c r="AB1083" i="10"/>
  <c r="F1084" i="10"/>
  <c r="G1084" i="10"/>
  <c r="H1084" i="10"/>
  <c r="I1084" i="10"/>
  <c r="J1084" i="10"/>
  <c r="K1084" i="10"/>
  <c r="L1084" i="10"/>
  <c r="M1084" i="10"/>
  <c r="N1084" i="10"/>
  <c r="P1084" i="10"/>
  <c r="Q1084" i="10"/>
  <c r="R1084" i="10"/>
  <c r="S1084" i="10"/>
  <c r="T1084" i="10"/>
  <c r="U1084" i="10"/>
  <c r="V1084" i="10"/>
  <c r="W1084" i="10"/>
  <c r="X1084" i="10"/>
  <c r="Y1084" i="10"/>
  <c r="Z1084" i="10"/>
  <c r="AA1084" i="10"/>
  <c r="AB1084" i="10"/>
  <c r="F1085" i="10"/>
  <c r="G1085" i="10"/>
  <c r="H1085" i="10"/>
  <c r="I1085" i="10"/>
  <c r="J1085" i="10"/>
  <c r="K1085" i="10"/>
  <c r="L1085" i="10"/>
  <c r="M1085" i="10"/>
  <c r="N1085" i="10"/>
  <c r="P1085" i="10"/>
  <c r="Q1085" i="10"/>
  <c r="R1085" i="10"/>
  <c r="S1085" i="10"/>
  <c r="T1085" i="10"/>
  <c r="U1085" i="10"/>
  <c r="V1085" i="10"/>
  <c r="W1085" i="10"/>
  <c r="X1085" i="10"/>
  <c r="Y1085" i="10"/>
  <c r="Z1085" i="10"/>
  <c r="AA1085" i="10"/>
  <c r="AB1085" i="10"/>
  <c r="F1086" i="10"/>
  <c r="G1086" i="10"/>
  <c r="H1086" i="10"/>
  <c r="I1086" i="10"/>
  <c r="J1086" i="10"/>
  <c r="K1086" i="10"/>
  <c r="L1086" i="10"/>
  <c r="M1086" i="10"/>
  <c r="N1086" i="10"/>
  <c r="P1086" i="10"/>
  <c r="Q1086" i="10"/>
  <c r="R1086" i="10"/>
  <c r="S1086" i="10"/>
  <c r="T1086" i="10"/>
  <c r="U1086" i="10"/>
  <c r="V1086" i="10"/>
  <c r="W1086" i="10"/>
  <c r="X1086" i="10"/>
  <c r="Y1086" i="10"/>
  <c r="Z1086" i="10"/>
  <c r="AA1086" i="10"/>
  <c r="AB1086" i="10"/>
  <c r="F1087" i="10"/>
  <c r="G1087" i="10"/>
  <c r="H1087" i="10"/>
  <c r="I1087" i="10"/>
  <c r="J1087" i="10"/>
  <c r="K1087" i="10"/>
  <c r="L1087" i="10"/>
  <c r="M1087" i="10"/>
  <c r="N1087" i="10"/>
  <c r="P1087" i="10"/>
  <c r="Q1087" i="10"/>
  <c r="R1087" i="10"/>
  <c r="S1087" i="10"/>
  <c r="T1087" i="10"/>
  <c r="U1087" i="10"/>
  <c r="V1087" i="10"/>
  <c r="W1087" i="10"/>
  <c r="X1087" i="10"/>
  <c r="Y1087" i="10"/>
  <c r="Z1087" i="10"/>
  <c r="AA1087" i="10"/>
  <c r="AB1087" i="10"/>
  <c r="F1088" i="10"/>
  <c r="G1088" i="10"/>
  <c r="H1088" i="10"/>
  <c r="I1088" i="10"/>
  <c r="J1088" i="10"/>
  <c r="K1088" i="10"/>
  <c r="L1088" i="10"/>
  <c r="M1088" i="10"/>
  <c r="N1088" i="10"/>
  <c r="P1088" i="10"/>
  <c r="Q1088" i="10"/>
  <c r="R1088" i="10"/>
  <c r="S1088" i="10"/>
  <c r="T1088" i="10"/>
  <c r="U1088" i="10"/>
  <c r="V1088" i="10"/>
  <c r="W1088" i="10"/>
  <c r="X1088" i="10"/>
  <c r="Y1088" i="10"/>
  <c r="Z1088" i="10"/>
  <c r="AA1088" i="10"/>
  <c r="AB1088" i="10"/>
  <c r="F1089" i="10"/>
  <c r="G1089" i="10"/>
  <c r="H1089" i="10"/>
  <c r="I1089" i="10"/>
  <c r="J1089" i="10"/>
  <c r="K1089" i="10"/>
  <c r="L1089" i="10"/>
  <c r="M1089" i="10"/>
  <c r="N1089" i="10"/>
  <c r="P1089" i="10"/>
  <c r="Q1089" i="10"/>
  <c r="R1089" i="10"/>
  <c r="S1089" i="10"/>
  <c r="T1089" i="10"/>
  <c r="U1089" i="10"/>
  <c r="V1089" i="10"/>
  <c r="W1089" i="10"/>
  <c r="X1089" i="10"/>
  <c r="Y1089" i="10"/>
  <c r="Z1089" i="10"/>
  <c r="AA1089" i="10"/>
  <c r="AB1089" i="10"/>
  <c r="F1090" i="10"/>
  <c r="G1090" i="10"/>
  <c r="H1090" i="10"/>
  <c r="I1090" i="10"/>
  <c r="J1090" i="10"/>
  <c r="K1090" i="10"/>
  <c r="L1090" i="10"/>
  <c r="M1090" i="10"/>
  <c r="N1090" i="10"/>
  <c r="P1090" i="10"/>
  <c r="Q1090" i="10"/>
  <c r="R1090" i="10"/>
  <c r="S1090" i="10"/>
  <c r="T1090" i="10"/>
  <c r="U1090" i="10"/>
  <c r="V1090" i="10"/>
  <c r="W1090" i="10"/>
  <c r="X1090" i="10"/>
  <c r="Y1090" i="10"/>
  <c r="Z1090" i="10"/>
  <c r="AA1090" i="10"/>
  <c r="AB1090" i="10"/>
  <c r="F1091" i="10"/>
  <c r="G1091" i="10"/>
  <c r="H1091" i="10"/>
  <c r="I1091" i="10"/>
  <c r="J1091" i="10"/>
  <c r="K1091" i="10"/>
  <c r="L1091" i="10"/>
  <c r="M1091" i="10"/>
  <c r="N1091" i="10"/>
  <c r="P1091" i="10"/>
  <c r="Q1091" i="10"/>
  <c r="R1091" i="10"/>
  <c r="S1091" i="10"/>
  <c r="T1091" i="10"/>
  <c r="U1091" i="10"/>
  <c r="V1091" i="10"/>
  <c r="W1091" i="10"/>
  <c r="X1091" i="10"/>
  <c r="Y1091" i="10"/>
  <c r="Z1091" i="10"/>
  <c r="AA1091" i="10"/>
  <c r="AB1091" i="10"/>
  <c r="F1092" i="10"/>
  <c r="G1092" i="10"/>
  <c r="H1092" i="10"/>
  <c r="I1092" i="10"/>
  <c r="J1092" i="10"/>
  <c r="K1092" i="10"/>
  <c r="L1092" i="10"/>
  <c r="M1092" i="10"/>
  <c r="N1092" i="10"/>
  <c r="P1092" i="10"/>
  <c r="Q1092" i="10"/>
  <c r="R1092" i="10"/>
  <c r="S1092" i="10"/>
  <c r="T1092" i="10"/>
  <c r="U1092" i="10"/>
  <c r="V1092" i="10"/>
  <c r="W1092" i="10"/>
  <c r="X1092" i="10"/>
  <c r="Y1092" i="10"/>
  <c r="Z1092" i="10"/>
  <c r="AA1092" i="10"/>
  <c r="AB1092" i="10"/>
  <c r="F1093" i="10"/>
  <c r="G1093" i="10"/>
  <c r="H1093" i="10"/>
  <c r="I1093" i="10"/>
  <c r="J1093" i="10"/>
  <c r="K1093" i="10"/>
  <c r="L1093" i="10"/>
  <c r="M1093" i="10"/>
  <c r="N1093" i="10"/>
  <c r="P1093" i="10"/>
  <c r="Q1093" i="10"/>
  <c r="R1093" i="10"/>
  <c r="S1093" i="10"/>
  <c r="T1093" i="10"/>
  <c r="U1093" i="10"/>
  <c r="V1093" i="10"/>
  <c r="W1093" i="10"/>
  <c r="X1093" i="10"/>
  <c r="Y1093" i="10"/>
  <c r="Z1093" i="10"/>
  <c r="AA1093" i="10"/>
  <c r="AB1093" i="10"/>
  <c r="F1094" i="10"/>
  <c r="G1094" i="10"/>
  <c r="H1094" i="10"/>
  <c r="I1094" i="10"/>
  <c r="J1094" i="10"/>
  <c r="K1094" i="10"/>
  <c r="L1094" i="10"/>
  <c r="M1094" i="10"/>
  <c r="N1094" i="10"/>
  <c r="P1094" i="10"/>
  <c r="Q1094" i="10"/>
  <c r="R1094" i="10"/>
  <c r="S1094" i="10"/>
  <c r="T1094" i="10"/>
  <c r="U1094" i="10"/>
  <c r="V1094" i="10"/>
  <c r="W1094" i="10"/>
  <c r="X1094" i="10"/>
  <c r="Y1094" i="10"/>
  <c r="Z1094" i="10"/>
  <c r="AA1094" i="10"/>
  <c r="AB1094" i="10"/>
  <c r="F1095" i="10"/>
  <c r="G1095" i="10"/>
  <c r="H1095" i="10"/>
  <c r="I1095" i="10"/>
  <c r="J1095" i="10"/>
  <c r="K1095" i="10"/>
  <c r="L1095" i="10"/>
  <c r="M1095" i="10"/>
  <c r="N1095" i="10"/>
  <c r="P1095" i="10"/>
  <c r="Q1095" i="10"/>
  <c r="R1095" i="10"/>
  <c r="S1095" i="10"/>
  <c r="T1095" i="10"/>
  <c r="U1095" i="10"/>
  <c r="V1095" i="10"/>
  <c r="W1095" i="10"/>
  <c r="X1095" i="10"/>
  <c r="Y1095" i="10"/>
  <c r="Z1095" i="10"/>
  <c r="AA1095" i="10"/>
  <c r="AB1095" i="10"/>
  <c r="F1096" i="10"/>
  <c r="G1096" i="10"/>
  <c r="H1096" i="10"/>
  <c r="I1096" i="10"/>
  <c r="J1096" i="10"/>
  <c r="K1096" i="10"/>
  <c r="L1096" i="10"/>
  <c r="M1096" i="10"/>
  <c r="N1096" i="10"/>
  <c r="P1096" i="10"/>
  <c r="Q1096" i="10"/>
  <c r="R1096" i="10"/>
  <c r="S1096" i="10"/>
  <c r="T1096" i="10"/>
  <c r="U1096" i="10"/>
  <c r="V1096" i="10"/>
  <c r="W1096" i="10"/>
  <c r="X1096" i="10"/>
  <c r="Y1096" i="10"/>
  <c r="Z1096" i="10"/>
  <c r="AA1096" i="10"/>
  <c r="AB1096" i="10"/>
  <c r="F1097" i="10"/>
  <c r="G1097" i="10"/>
  <c r="H1097" i="10"/>
  <c r="I1097" i="10"/>
  <c r="J1097" i="10"/>
  <c r="K1097" i="10"/>
  <c r="L1097" i="10"/>
  <c r="M1097" i="10"/>
  <c r="N1097" i="10"/>
  <c r="P1097" i="10"/>
  <c r="Q1097" i="10"/>
  <c r="R1097" i="10"/>
  <c r="S1097" i="10"/>
  <c r="T1097" i="10"/>
  <c r="U1097" i="10"/>
  <c r="V1097" i="10"/>
  <c r="W1097" i="10"/>
  <c r="X1097" i="10"/>
  <c r="Y1097" i="10"/>
  <c r="Z1097" i="10"/>
  <c r="AA1097" i="10"/>
  <c r="AB1097" i="10"/>
  <c r="F1098" i="10"/>
  <c r="G1098" i="10"/>
  <c r="H1098" i="10"/>
  <c r="I1098" i="10"/>
  <c r="J1098" i="10"/>
  <c r="K1098" i="10"/>
  <c r="L1098" i="10"/>
  <c r="M1098" i="10"/>
  <c r="N1098" i="10"/>
  <c r="P1098" i="10"/>
  <c r="Q1098" i="10"/>
  <c r="R1098" i="10"/>
  <c r="S1098" i="10"/>
  <c r="T1098" i="10"/>
  <c r="U1098" i="10"/>
  <c r="V1098" i="10"/>
  <c r="W1098" i="10"/>
  <c r="X1098" i="10"/>
  <c r="Y1098" i="10"/>
  <c r="Z1098" i="10"/>
  <c r="AA1098" i="10"/>
  <c r="AB1098" i="10"/>
  <c r="F1099" i="10"/>
  <c r="G1099" i="10"/>
  <c r="H1099" i="10"/>
  <c r="I1099" i="10"/>
  <c r="J1099" i="10"/>
  <c r="K1099" i="10"/>
  <c r="L1099" i="10"/>
  <c r="M1099" i="10"/>
  <c r="N1099" i="10"/>
  <c r="P1099" i="10"/>
  <c r="Q1099" i="10"/>
  <c r="R1099" i="10"/>
  <c r="S1099" i="10"/>
  <c r="T1099" i="10"/>
  <c r="U1099" i="10"/>
  <c r="V1099" i="10"/>
  <c r="W1099" i="10"/>
  <c r="X1099" i="10"/>
  <c r="Y1099" i="10"/>
  <c r="Z1099" i="10"/>
  <c r="AA1099" i="10"/>
  <c r="AB1099" i="10"/>
  <c r="F1100" i="10"/>
  <c r="G1100" i="10"/>
  <c r="H1100" i="10"/>
  <c r="I1100" i="10"/>
  <c r="J1100" i="10"/>
  <c r="K1100" i="10"/>
  <c r="L1100" i="10"/>
  <c r="M1100" i="10"/>
  <c r="N1100" i="10"/>
  <c r="P1100" i="10"/>
  <c r="Q1100" i="10"/>
  <c r="R1100" i="10"/>
  <c r="S1100" i="10"/>
  <c r="T1100" i="10"/>
  <c r="U1100" i="10"/>
  <c r="V1100" i="10"/>
  <c r="W1100" i="10"/>
  <c r="X1100" i="10"/>
  <c r="Y1100" i="10"/>
  <c r="Z1100" i="10"/>
  <c r="AA1100" i="10"/>
  <c r="AB1100" i="10"/>
  <c r="F1101" i="10"/>
  <c r="G1101" i="10"/>
  <c r="H1101" i="10"/>
  <c r="I1101" i="10"/>
  <c r="J1101" i="10"/>
  <c r="K1101" i="10"/>
  <c r="L1101" i="10"/>
  <c r="M1101" i="10"/>
  <c r="N1101" i="10"/>
  <c r="P1101" i="10"/>
  <c r="Q1101" i="10"/>
  <c r="R1101" i="10"/>
  <c r="S1101" i="10"/>
  <c r="T1101" i="10"/>
  <c r="U1101" i="10"/>
  <c r="V1101" i="10"/>
  <c r="W1101" i="10"/>
  <c r="X1101" i="10"/>
  <c r="Y1101" i="10"/>
  <c r="Z1101" i="10"/>
  <c r="AA1101" i="10"/>
  <c r="AB1101" i="10"/>
  <c r="F1102" i="10"/>
  <c r="G1102" i="10"/>
  <c r="H1102" i="10"/>
  <c r="I1102" i="10"/>
  <c r="J1102" i="10"/>
  <c r="K1102" i="10"/>
  <c r="L1102" i="10"/>
  <c r="M1102" i="10"/>
  <c r="N1102" i="10"/>
  <c r="P1102" i="10"/>
  <c r="Q1102" i="10"/>
  <c r="R1102" i="10"/>
  <c r="S1102" i="10"/>
  <c r="T1102" i="10"/>
  <c r="U1102" i="10"/>
  <c r="V1102" i="10"/>
  <c r="W1102" i="10"/>
  <c r="X1102" i="10"/>
  <c r="Y1102" i="10"/>
  <c r="Z1102" i="10"/>
  <c r="AA1102" i="10"/>
  <c r="AB1102" i="10"/>
  <c r="F1103" i="10"/>
  <c r="G1103" i="10"/>
  <c r="H1103" i="10"/>
  <c r="I1103" i="10"/>
  <c r="J1103" i="10"/>
  <c r="K1103" i="10"/>
  <c r="L1103" i="10"/>
  <c r="M1103" i="10"/>
  <c r="N1103" i="10"/>
  <c r="P1103" i="10"/>
  <c r="Q1103" i="10"/>
  <c r="R1103" i="10"/>
  <c r="S1103" i="10"/>
  <c r="T1103" i="10"/>
  <c r="U1103" i="10"/>
  <c r="V1103" i="10"/>
  <c r="W1103" i="10"/>
  <c r="X1103" i="10"/>
  <c r="Y1103" i="10"/>
  <c r="Z1103" i="10"/>
  <c r="AA1103" i="10"/>
  <c r="AB1103" i="10"/>
  <c r="F1104" i="10"/>
  <c r="G1104" i="10"/>
  <c r="H1104" i="10"/>
  <c r="I1104" i="10"/>
  <c r="J1104" i="10"/>
  <c r="K1104" i="10"/>
  <c r="L1104" i="10"/>
  <c r="M1104" i="10"/>
  <c r="N1104" i="10"/>
  <c r="P1104" i="10"/>
  <c r="Q1104" i="10"/>
  <c r="R1104" i="10"/>
  <c r="S1104" i="10"/>
  <c r="T1104" i="10"/>
  <c r="U1104" i="10"/>
  <c r="V1104" i="10"/>
  <c r="W1104" i="10"/>
  <c r="X1104" i="10"/>
  <c r="Y1104" i="10"/>
  <c r="Z1104" i="10"/>
  <c r="AA1104" i="10"/>
  <c r="AB1104" i="10"/>
  <c r="F1105" i="10"/>
  <c r="G1105" i="10"/>
  <c r="H1105" i="10"/>
  <c r="I1105" i="10"/>
  <c r="J1105" i="10"/>
  <c r="K1105" i="10"/>
  <c r="L1105" i="10"/>
  <c r="M1105" i="10"/>
  <c r="N1105" i="10"/>
  <c r="P1105" i="10"/>
  <c r="Q1105" i="10"/>
  <c r="R1105" i="10"/>
  <c r="S1105" i="10"/>
  <c r="T1105" i="10"/>
  <c r="U1105" i="10"/>
  <c r="V1105" i="10"/>
  <c r="W1105" i="10"/>
  <c r="X1105" i="10"/>
  <c r="Y1105" i="10"/>
  <c r="Z1105" i="10"/>
  <c r="AA1105" i="10"/>
  <c r="AB1105" i="10"/>
  <c r="F1106" i="10"/>
  <c r="G1106" i="10"/>
  <c r="H1106" i="10"/>
  <c r="I1106" i="10"/>
  <c r="J1106" i="10"/>
  <c r="K1106" i="10"/>
  <c r="L1106" i="10"/>
  <c r="M1106" i="10"/>
  <c r="N1106" i="10"/>
  <c r="P1106" i="10"/>
  <c r="Q1106" i="10"/>
  <c r="R1106" i="10"/>
  <c r="S1106" i="10"/>
  <c r="T1106" i="10"/>
  <c r="U1106" i="10"/>
  <c r="V1106" i="10"/>
  <c r="W1106" i="10"/>
  <c r="X1106" i="10"/>
  <c r="Y1106" i="10"/>
  <c r="Z1106" i="10"/>
  <c r="AA1106" i="10"/>
  <c r="AB1106" i="10"/>
  <c r="F1107" i="10"/>
  <c r="G1107" i="10"/>
  <c r="H1107" i="10"/>
  <c r="I1107" i="10"/>
  <c r="J1107" i="10"/>
  <c r="K1107" i="10"/>
  <c r="L1107" i="10"/>
  <c r="M1107" i="10"/>
  <c r="N1107" i="10"/>
  <c r="P1107" i="10"/>
  <c r="Q1107" i="10"/>
  <c r="R1107" i="10"/>
  <c r="S1107" i="10"/>
  <c r="T1107" i="10"/>
  <c r="U1107" i="10"/>
  <c r="V1107" i="10"/>
  <c r="W1107" i="10"/>
  <c r="X1107" i="10"/>
  <c r="Y1107" i="10"/>
  <c r="Z1107" i="10"/>
  <c r="AA1107" i="10"/>
  <c r="AB1107" i="10"/>
  <c r="F1108" i="10"/>
  <c r="G1108" i="10"/>
  <c r="H1108" i="10"/>
  <c r="I1108" i="10"/>
  <c r="J1108" i="10"/>
  <c r="K1108" i="10"/>
  <c r="L1108" i="10"/>
  <c r="M1108" i="10"/>
  <c r="N1108" i="10"/>
  <c r="P1108" i="10"/>
  <c r="Q1108" i="10"/>
  <c r="R1108" i="10"/>
  <c r="S1108" i="10"/>
  <c r="T1108" i="10"/>
  <c r="U1108" i="10"/>
  <c r="V1108" i="10"/>
  <c r="W1108" i="10"/>
  <c r="X1108" i="10"/>
  <c r="Y1108" i="10"/>
  <c r="Z1108" i="10"/>
  <c r="AA1108" i="10"/>
  <c r="AB1108" i="10"/>
  <c r="F1109" i="10"/>
  <c r="G1109" i="10"/>
  <c r="H1109" i="10"/>
  <c r="I1109" i="10"/>
  <c r="J1109" i="10"/>
  <c r="K1109" i="10"/>
  <c r="L1109" i="10"/>
  <c r="M1109" i="10"/>
  <c r="N1109" i="10"/>
  <c r="P1109" i="10"/>
  <c r="Q1109" i="10"/>
  <c r="R1109" i="10"/>
  <c r="S1109" i="10"/>
  <c r="T1109" i="10"/>
  <c r="U1109" i="10"/>
  <c r="V1109" i="10"/>
  <c r="W1109" i="10"/>
  <c r="X1109" i="10"/>
  <c r="Y1109" i="10"/>
  <c r="Z1109" i="10"/>
  <c r="AA1109" i="10"/>
  <c r="AB1109" i="10"/>
  <c r="F1110" i="10"/>
  <c r="G1110" i="10"/>
  <c r="H1110" i="10"/>
  <c r="I1110" i="10"/>
  <c r="J1110" i="10"/>
  <c r="K1110" i="10"/>
  <c r="L1110" i="10"/>
  <c r="M1110" i="10"/>
  <c r="N1110" i="10"/>
  <c r="P1110" i="10"/>
  <c r="Q1110" i="10"/>
  <c r="R1110" i="10"/>
  <c r="S1110" i="10"/>
  <c r="T1110" i="10"/>
  <c r="U1110" i="10"/>
  <c r="V1110" i="10"/>
  <c r="W1110" i="10"/>
  <c r="X1110" i="10"/>
  <c r="Y1110" i="10"/>
  <c r="Z1110" i="10"/>
  <c r="AA1110" i="10"/>
  <c r="AB1110" i="10"/>
  <c r="F1111" i="10"/>
  <c r="G1111" i="10"/>
  <c r="H1111" i="10"/>
  <c r="I1111" i="10"/>
  <c r="J1111" i="10"/>
  <c r="K1111" i="10"/>
  <c r="L1111" i="10"/>
  <c r="M1111" i="10"/>
  <c r="N1111" i="10"/>
  <c r="P1111" i="10"/>
  <c r="Q1111" i="10"/>
  <c r="R1111" i="10"/>
  <c r="S1111" i="10"/>
  <c r="T1111" i="10"/>
  <c r="U1111" i="10"/>
  <c r="V1111" i="10"/>
  <c r="W1111" i="10"/>
  <c r="X1111" i="10"/>
  <c r="Y1111" i="10"/>
  <c r="Z1111" i="10"/>
  <c r="AA1111" i="10"/>
  <c r="AB1111" i="10"/>
  <c r="F1112" i="10"/>
  <c r="G1112" i="10"/>
  <c r="H1112" i="10"/>
  <c r="I1112" i="10"/>
  <c r="J1112" i="10"/>
  <c r="K1112" i="10"/>
  <c r="L1112" i="10"/>
  <c r="M1112" i="10"/>
  <c r="N1112" i="10"/>
  <c r="P1112" i="10"/>
  <c r="Q1112" i="10"/>
  <c r="R1112" i="10"/>
  <c r="S1112" i="10"/>
  <c r="T1112" i="10"/>
  <c r="U1112" i="10"/>
  <c r="V1112" i="10"/>
  <c r="W1112" i="10"/>
  <c r="X1112" i="10"/>
  <c r="Y1112" i="10"/>
  <c r="Z1112" i="10"/>
  <c r="AA1112" i="10"/>
  <c r="AB1112" i="10"/>
  <c r="F1113" i="10"/>
  <c r="G1113" i="10"/>
  <c r="H1113" i="10"/>
  <c r="I1113" i="10"/>
  <c r="J1113" i="10"/>
  <c r="K1113" i="10"/>
  <c r="L1113" i="10"/>
  <c r="M1113" i="10"/>
  <c r="N1113" i="10"/>
  <c r="P1113" i="10"/>
  <c r="Q1113" i="10"/>
  <c r="R1113" i="10"/>
  <c r="S1113" i="10"/>
  <c r="T1113" i="10"/>
  <c r="U1113" i="10"/>
  <c r="V1113" i="10"/>
  <c r="W1113" i="10"/>
  <c r="X1113" i="10"/>
  <c r="Y1113" i="10"/>
  <c r="Z1113" i="10"/>
  <c r="AA1113" i="10"/>
  <c r="AB1113" i="10"/>
  <c r="F1114" i="10"/>
  <c r="G1114" i="10"/>
  <c r="H1114" i="10"/>
  <c r="I1114" i="10"/>
  <c r="J1114" i="10"/>
  <c r="K1114" i="10"/>
  <c r="L1114" i="10"/>
  <c r="M1114" i="10"/>
  <c r="N1114" i="10"/>
  <c r="P1114" i="10"/>
  <c r="Q1114" i="10"/>
  <c r="R1114" i="10"/>
  <c r="S1114" i="10"/>
  <c r="T1114" i="10"/>
  <c r="U1114" i="10"/>
  <c r="V1114" i="10"/>
  <c r="W1114" i="10"/>
  <c r="X1114" i="10"/>
  <c r="Y1114" i="10"/>
  <c r="Z1114" i="10"/>
  <c r="AA1114" i="10"/>
  <c r="AB1114" i="10"/>
  <c r="F1115" i="10"/>
  <c r="G1115" i="10"/>
  <c r="H1115" i="10"/>
  <c r="I1115" i="10"/>
  <c r="J1115" i="10"/>
  <c r="K1115" i="10"/>
  <c r="L1115" i="10"/>
  <c r="M1115" i="10"/>
  <c r="N1115" i="10"/>
  <c r="P1115" i="10"/>
  <c r="Q1115" i="10"/>
  <c r="R1115" i="10"/>
  <c r="S1115" i="10"/>
  <c r="T1115" i="10"/>
  <c r="U1115" i="10"/>
  <c r="V1115" i="10"/>
  <c r="W1115" i="10"/>
  <c r="X1115" i="10"/>
  <c r="Y1115" i="10"/>
  <c r="Z1115" i="10"/>
  <c r="AA1115" i="10"/>
  <c r="AB1115" i="10"/>
  <c r="F1116" i="10"/>
  <c r="G1116" i="10"/>
  <c r="H1116" i="10"/>
  <c r="I1116" i="10"/>
  <c r="J1116" i="10"/>
  <c r="K1116" i="10"/>
  <c r="L1116" i="10"/>
  <c r="M1116" i="10"/>
  <c r="N1116" i="10"/>
  <c r="P1116" i="10"/>
  <c r="Q1116" i="10"/>
  <c r="R1116" i="10"/>
  <c r="S1116" i="10"/>
  <c r="T1116" i="10"/>
  <c r="U1116" i="10"/>
  <c r="V1116" i="10"/>
  <c r="W1116" i="10"/>
  <c r="X1116" i="10"/>
  <c r="Y1116" i="10"/>
  <c r="Z1116" i="10"/>
  <c r="AA1116" i="10"/>
  <c r="AB1116" i="10"/>
  <c r="F1117" i="10"/>
  <c r="G1117" i="10"/>
  <c r="H1117" i="10"/>
  <c r="I1117" i="10"/>
  <c r="J1117" i="10"/>
  <c r="K1117" i="10"/>
  <c r="L1117" i="10"/>
  <c r="M1117" i="10"/>
  <c r="N1117" i="10"/>
  <c r="P1117" i="10"/>
  <c r="Q1117" i="10"/>
  <c r="R1117" i="10"/>
  <c r="S1117" i="10"/>
  <c r="T1117" i="10"/>
  <c r="U1117" i="10"/>
  <c r="V1117" i="10"/>
  <c r="W1117" i="10"/>
  <c r="X1117" i="10"/>
  <c r="Y1117" i="10"/>
  <c r="Z1117" i="10"/>
  <c r="AA1117" i="10"/>
  <c r="AB1117" i="10"/>
  <c r="F1118" i="10"/>
  <c r="G1118" i="10"/>
  <c r="H1118" i="10"/>
  <c r="I1118" i="10"/>
  <c r="J1118" i="10"/>
  <c r="K1118" i="10"/>
  <c r="L1118" i="10"/>
  <c r="M1118" i="10"/>
  <c r="N1118" i="10"/>
  <c r="P1118" i="10"/>
  <c r="Q1118" i="10"/>
  <c r="R1118" i="10"/>
  <c r="S1118" i="10"/>
  <c r="T1118" i="10"/>
  <c r="U1118" i="10"/>
  <c r="V1118" i="10"/>
  <c r="W1118" i="10"/>
  <c r="X1118" i="10"/>
  <c r="Y1118" i="10"/>
  <c r="Z1118" i="10"/>
  <c r="AA1118" i="10"/>
  <c r="AB1118" i="10"/>
  <c r="F1119" i="10"/>
  <c r="G1119" i="10"/>
  <c r="H1119" i="10"/>
  <c r="I1119" i="10"/>
  <c r="J1119" i="10"/>
  <c r="K1119" i="10"/>
  <c r="L1119" i="10"/>
  <c r="M1119" i="10"/>
  <c r="N1119" i="10"/>
  <c r="P1119" i="10"/>
  <c r="Q1119" i="10"/>
  <c r="R1119" i="10"/>
  <c r="S1119" i="10"/>
  <c r="T1119" i="10"/>
  <c r="U1119" i="10"/>
  <c r="V1119" i="10"/>
  <c r="W1119" i="10"/>
  <c r="X1119" i="10"/>
  <c r="Y1119" i="10"/>
  <c r="Z1119" i="10"/>
  <c r="AA1119" i="10"/>
  <c r="AB1119" i="10"/>
  <c r="F1120" i="10"/>
  <c r="G1120" i="10"/>
  <c r="H1120" i="10"/>
  <c r="I1120" i="10"/>
  <c r="J1120" i="10"/>
  <c r="K1120" i="10"/>
  <c r="L1120" i="10"/>
  <c r="M1120" i="10"/>
  <c r="N1120" i="10"/>
  <c r="P1120" i="10"/>
  <c r="Q1120" i="10"/>
  <c r="R1120" i="10"/>
  <c r="S1120" i="10"/>
  <c r="T1120" i="10"/>
  <c r="U1120" i="10"/>
  <c r="V1120" i="10"/>
  <c r="W1120" i="10"/>
  <c r="X1120" i="10"/>
  <c r="Y1120" i="10"/>
  <c r="Z1120" i="10"/>
  <c r="AA1120" i="10"/>
  <c r="AB1120" i="10"/>
  <c r="F1121" i="10"/>
  <c r="G1121" i="10"/>
  <c r="H1121" i="10"/>
  <c r="I1121" i="10"/>
  <c r="J1121" i="10"/>
  <c r="K1121" i="10"/>
  <c r="L1121" i="10"/>
  <c r="M1121" i="10"/>
  <c r="N1121" i="10"/>
  <c r="P1121" i="10"/>
  <c r="Q1121" i="10"/>
  <c r="R1121" i="10"/>
  <c r="S1121" i="10"/>
  <c r="T1121" i="10"/>
  <c r="U1121" i="10"/>
  <c r="V1121" i="10"/>
  <c r="W1121" i="10"/>
  <c r="X1121" i="10"/>
  <c r="Y1121" i="10"/>
  <c r="Z1121" i="10"/>
  <c r="AA1121" i="10"/>
  <c r="AB1121" i="10"/>
  <c r="F1122" i="10"/>
  <c r="G1122" i="10"/>
  <c r="H1122" i="10"/>
  <c r="I1122" i="10"/>
  <c r="J1122" i="10"/>
  <c r="K1122" i="10"/>
  <c r="L1122" i="10"/>
  <c r="M1122" i="10"/>
  <c r="N1122" i="10"/>
  <c r="P1122" i="10"/>
  <c r="Q1122" i="10"/>
  <c r="R1122" i="10"/>
  <c r="S1122" i="10"/>
  <c r="T1122" i="10"/>
  <c r="U1122" i="10"/>
  <c r="V1122" i="10"/>
  <c r="W1122" i="10"/>
  <c r="X1122" i="10"/>
  <c r="Y1122" i="10"/>
  <c r="Z1122" i="10"/>
  <c r="AA1122" i="10"/>
  <c r="AB1122" i="10"/>
  <c r="F1123" i="10"/>
  <c r="G1123" i="10"/>
  <c r="H1123" i="10"/>
  <c r="I1123" i="10"/>
  <c r="J1123" i="10"/>
  <c r="K1123" i="10"/>
  <c r="L1123" i="10"/>
  <c r="M1123" i="10"/>
  <c r="N1123" i="10"/>
  <c r="P1123" i="10"/>
  <c r="Q1123" i="10"/>
  <c r="R1123" i="10"/>
  <c r="S1123" i="10"/>
  <c r="T1123" i="10"/>
  <c r="U1123" i="10"/>
  <c r="V1123" i="10"/>
  <c r="W1123" i="10"/>
  <c r="X1123" i="10"/>
  <c r="Y1123" i="10"/>
  <c r="Z1123" i="10"/>
  <c r="AA1123" i="10"/>
  <c r="AB1123" i="10"/>
  <c r="F1124" i="10"/>
  <c r="G1124" i="10"/>
  <c r="H1124" i="10"/>
  <c r="I1124" i="10"/>
  <c r="J1124" i="10"/>
  <c r="K1124" i="10"/>
  <c r="L1124" i="10"/>
  <c r="M1124" i="10"/>
  <c r="N1124" i="10"/>
  <c r="P1124" i="10"/>
  <c r="Q1124" i="10"/>
  <c r="R1124" i="10"/>
  <c r="S1124" i="10"/>
  <c r="T1124" i="10"/>
  <c r="U1124" i="10"/>
  <c r="V1124" i="10"/>
  <c r="W1124" i="10"/>
  <c r="X1124" i="10"/>
  <c r="Y1124" i="10"/>
  <c r="Z1124" i="10"/>
  <c r="AA1124" i="10"/>
  <c r="AB1124" i="10"/>
  <c r="F1125" i="10"/>
  <c r="G1125" i="10"/>
  <c r="H1125" i="10"/>
  <c r="I1125" i="10"/>
  <c r="J1125" i="10"/>
  <c r="K1125" i="10"/>
  <c r="L1125" i="10"/>
  <c r="M1125" i="10"/>
  <c r="N1125" i="10"/>
  <c r="P1125" i="10"/>
  <c r="Q1125" i="10"/>
  <c r="R1125" i="10"/>
  <c r="S1125" i="10"/>
  <c r="T1125" i="10"/>
  <c r="U1125" i="10"/>
  <c r="V1125" i="10"/>
  <c r="W1125" i="10"/>
  <c r="X1125" i="10"/>
  <c r="Y1125" i="10"/>
  <c r="Z1125" i="10"/>
  <c r="AA1125" i="10"/>
  <c r="AB1125" i="10"/>
  <c r="F1126" i="10"/>
  <c r="G1126" i="10"/>
  <c r="H1126" i="10"/>
  <c r="I1126" i="10"/>
  <c r="J1126" i="10"/>
  <c r="K1126" i="10"/>
  <c r="L1126" i="10"/>
  <c r="M1126" i="10"/>
  <c r="N1126" i="10"/>
  <c r="P1126" i="10"/>
  <c r="Q1126" i="10"/>
  <c r="R1126" i="10"/>
  <c r="S1126" i="10"/>
  <c r="T1126" i="10"/>
  <c r="U1126" i="10"/>
  <c r="V1126" i="10"/>
  <c r="W1126" i="10"/>
  <c r="X1126" i="10"/>
  <c r="Y1126" i="10"/>
  <c r="Z1126" i="10"/>
  <c r="AA1126" i="10"/>
  <c r="AB1126" i="10"/>
  <c r="F1127" i="10"/>
  <c r="G1127" i="10"/>
  <c r="H1127" i="10"/>
  <c r="I1127" i="10"/>
  <c r="J1127" i="10"/>
  <c r="K1127" i="10"/>
  <c r="L1127" i="10"/>
  <c r="M1127" i="10"/>
  <c r="N1127" i="10"/>
  <c r="P1127" i="10"/>
  <c r="Q1127" i="10"/>
  <c r="R1127" i="10"/>
  <c r="S1127" i="10"/>
  <c r="T1127" i="10"/>
  <c r="U1127" i="10"/>
  <c r="V1127" i="10"/>
  <c r="W1127" i="10"/>
  <c r="X1127" i="10"/>
  <c r="Y1127" i="10"/>
  <c r="Z1127" i="10"/>
  <c r="AA1127" i="10"/>
  <c r="AB1127" i="10"/>
  <c r="F1128" i="10"/>
  <c r="G1128" i="10"/>
  <c r="H1128" i="10"/>
  <c r="I1128" i="10"/>
  <c r="J1128" i="10"/>
  <c r="K1128" i="10"/>
  <c r="L1128" i="10"/>
  <c r="M1128" i="10"/>
  <c r="N1128" i="10"/>
  <c r="P1128" i="10"/>
  <c r="Q1128" i="10"/>
  <c r="R1128" i="10"/>
  <c r="S1128" i="10"/>
  <c r="T1128" i="10"/>
  <c r="U1128" i="10"/>
  <c r="V1128" i="10"/>
  <c r="W1128" i="10"/>
  <c r="X1128" i="10"/>
  <c r="Y1128" i="10"/>
  <c r="Z1128" i="10"/>
  <c r="AA1128" i="10"/>
  <c r="AB1128" i="10"/>
  <c r="F1129" i="10"/>
  <c r="G1129" i="10"/>
  <c r="H1129" i="10"/>
  <c r="I1129" i="10"/>
  <c r="J1129" i="10"/>
  <c r="K1129" i="10"/>
  <c r="L1129" i="10"/>
  <c r="M1129" i="10"/>
  <c r="N1129" i="10"/>
  <c r="P1129" i="10"/>
  <c r="Q1129" i="10"/>
  <c r="R1129" i="10"/>
  <c r="S1129" i="10"/>
  <c r="T1129" i="10"/>
  <c r="U1129" i="10"/>
  <c r="V1129" i="10"/>
  <c r="W1129" i="10"/>
  <c r="X1129" i="10"/>
  <c r="Y1129" i="10"/>
  <c r="Z1129" i="10"/>
  <c r="AA1129" i="10"/>
  <c r="AB1129" i="10"/>
  <c r="F1130" i="10"/>
  <c r="G1130" i="10"/>
  <c r="H1130" i="10"/>
  <c r="I1130" i="10"/>
  <c r="J1130" i="10"/>
  <c r="K1130" i="10"/>
  <c r="L1130" i="10"/>
  <c r="M1130" i="10"/>
  <c r="N1130" i="10"/>
  <c r="P1130" i="10"/>
  <c r="Q1130" i="10"/>
  <c r="R1130" i="10"/>
  <c r="S1130" i="10"/>
  <c r="T1130" i="10"/>
  <c r="U1130" i="10"/>
  <c r="V1130" i="10"/>
  <c r="W1130" i="10"/>
  <c r="X1130" i="10"/>
  <c r="Y1130" i="10"/>
  <c r="Z1130" i="10"/>
  <c r="AA1130" i="10"/>
  <c r="AB1130" i="10"/>
  <c r="F1131" i="10"/>
  <c r="G1131" i="10"/>
  <c r="H1131" i="10"/>
  <c r="I1131" i="10"/>
  <c r="J1131" i="10"/>
  <c r="K1131" i="10"/>
  <c r="L1131" i="10"/>
  <c r="M1131" i="10"/>
  <c r="N1131" i="10"/>
  <c r="P1131" i="10"/>
  <c r="Q1131" i="10"/>
  <c r="R1131" i="10"/>
  <c r="S1131" i="10"/>
  <c r="T1131" i="10"/>
  <c r="U1131" i="10"/>
  <c r="V1131" i="10"/>
  <c r="W1131" i="10"/>
  <c r="X1131" i="10"/>
  <c r="Y1131" i="10"/>
  <c r="Z1131" i="10"/>
  <c r="AA1131" i="10"/>
  <c r="AB1131" i="10"/>
  <c r="F1132" i="10"/>
  <c r="G1132" i="10"/>
  <c r="H1132" i="10"/>
  <c r="I1132" i="10"/>
  <c r="J1132" i="10"/>
  <c r="K1132" i="10"/>
  <c r="L1132" i="10"/>
  <c r="M1132" i="10"/>
  <c r="N1132" i="10"/>
  <c r="P1132" i="10"/>
  <c r="Q1132" i="10"/>
  <c r="R1132" i="10"/>
  <c r="S1132" i="10"/>
  <c r="T1132" i="10"/>
  <c r="U1132" i="10"/>
  <c r="V1132" i="10"/>
  <c r="W1132" i="10"/>
  <c r="X1132" i="10"/>
  <c r="Y1132" i="10"/>
  <c r="Z1132" i="10"/>
  <c r="AA1132" i="10"/>
  <c r="AB1132" i="10"/>
  <c r="F1133" i="10"/>
  <c r="G1133" i="10"/>
  <c r="H1133" i="10"/>
  <c r="I1133" i="10"/>
  <c r="J1133" i="10"/>
  <c r="K1133" i="10"/>
  <c r="L1133" i="10"/>
  <c r="M1133" i="10"/>
  <c r="N1133" i="10"/>
  <c r="P1133" i="10"/>
  <c r="Q1133" i="10"/>
  <c r="R1133" i="10"/>
  <c r="S1133" i="10"/>
  <c r="T1133" i="10"/>
  <c r="U1133" i="10"/>
  <c r="V1133" i="10"/>
  <c r="W1133" i="10"/>
  <c r="X1133" i="10"/>
  <c r="Y1133" i="10"/>
  <c r="Z1133" i="10"/>
  <c r="AA1133" i="10"/>
  <c r="AB1133" i="10"/>
  <c r="F1134" i="10"/>
  <c r="G1134" i="10"/>
  <c r="H1134" i="10"/>
  <c r="I1134" i="10"/>
  <c r="J1134" i="10"/>
  <c r="K1134" i="10"/>
  <c r="L1134" i="10"/>
  <c r="M1134" i="10"/>
  <c r="N1134" i="10"/>
  <c r="P1134" i="10"/>
  <c r="Q1134" i="10"/>
  <c r="R1134" i="10"/>
  <c r="S1134" i="10"/>
  <c r="T1134" i="10"/>
  <c r="U1134" i="10"/>
  <c r="V1134" i="10"/>
  <c r="W1134" i="10"/>
  <c r="X1134" i="10"/>
  <c r="Y1134" i="10"/>
  <c r="Z1134" i="10"/>
  <c r="AA1134" i="10"/>
  <c r="AB1134" i="10"/>
  <c r="F1135" i="10"/>
  <c r="G1135" i="10"/>
  <c r="H1135" i="10"/>
  <c r="I1135" i="10"/>
  <c r="J1135" i="10"/>
  <c r="K1135" i="10"/>
  <c r="L1135" i="10"/>
  <c r="M1135" i="10"/>
  <c r="N1135" i="10"/>
  <c r="P1135" i="10"/>
  <c r="Q1135" i="10"/>
  <c r="R1135" i="10"/>
  <c r="S1135" i="10"/>
  <c r="T1135" i="10"/>
  <c r="U1135" i="10"/>
  <c r="V1135" i="10"/>
  <c r="W1135" i="10"/>
  <c r="X1135" i="10"/>
  <c r="Y1135" i="10"/>
  <c r="Z1135" i="10"/>
  <c r="AA1135" i="10"/>
  <c r="AB1135" i="10"/>
  <c r="F1136" i="10"/>
  <c r="G1136" i="10"/>
  <c r="H1136" i="10"/>
  <c r="I1136" i="10"/>
  <c r="J1136" i="10"/>
  <c r="K1136" i="10"/>
  <c r="L1136" i="10"/>
  <c r="M1136" i="10"/>
  <c r="N1136" i="10"/>
  <c r="P1136" i="10"/>
  <c r="Q1136" i="10"/>
  <c r="R1136" i="10"/>
  <c r="S1136" i="10"/>
  <c r="T1136" i="10"/>
  <c r="U1136" i="10"/>
  <c r="V1136" i="10"/>
  <c r="W1136" i="10"/>
  <c r="X1136" i="10"/>
  <c r="Y1136" i="10"/>
  <c r="Z1136" i="10"/>
  <c r="AA1136" i="10"/>
  <c r="AB1136" i="10"/>
  <c r="F1137" i="10"/>
  <c r="G1137" i="10"/>
  <c r="H1137" i="10"/>
  <c r="I1137" i="10"/>
  <c r="J1137" i="10"/>
  <c r="K1137" i="10"/>
  <c r="L1137" i="10"/>
  <c r="M1137" i="10"/>
  <c r="N1137" i="10"/>
  <c r="P1137" i="10"/>
  <c r="Q1137" i="10"/>
  <c r="R1137" i="10"/>
  <c r="S1137" i="10"/>
  <c r="T1137" i="10"/>
  <c r="U1137" i="10"/>
  <c r="V1137" i="10"/>
  <c r="W1137" i="10"/>
  <c r="X1137" i="10"/>
  <c r="Y1137" i="10"/>
  <c r="Z1137" i="10"/>
  <c r="AA1137" i="10"/>
  <c r="AB1137" i="10"/>
  <c r="F1138" i="10"/>
  <c r="G1138" i="10"/>
  <c r="H1138" i="10"/>
  <c r="I1138" i="10"/>
  <c r="J1138" i="10"/>
  <c r="K1138" i="10"/>
  <c r="L1138" i="10"/>
  <c r="M1138" i="10"/>
  <c r="N1138" i="10"/>
  <c r="P1138" i="10"/>
  <c r="Q1138" i="10"/>
  <c r="R1138" i="10"/>
  <c r="S1138" i="10"/>
  <c r="T1138" i="10"/>
  <c r="U1138" i="10"/>
  <c r="V1138" i="10"/>
  <c r="W1138" i="10"/>
  <c r="X1138" i="10"/>
  <c r="Y1138" i="10"/>
  <c r="Z1138" i="10"/>
  <c r="AA1138" i="10"/>
  <c r="AB1138" i="10"/>
  <c r="F1139" i="10"/>
  <c r="G1139" i="10"/>
  <c r="H1139" i="10"/>
  <c r="I1139" i="10"/>
  <c r="J1139" i="10"/>
  <c r="K1139" i="10"/>
  <c r="L1139" i="10"/>
  <c r="M1139" i="10"/>
  <c r="N1139" i="10"/>
  <c r="P1139" i="10"/>
  <c r="Q1139" i="10"/>
  <c r="R1139" i="10"/>
  <c r="S1139" i="10"/>
  <c r="T1139" i="10"/>
  <c r="U1139" i="10"/>
  <c r="V1139" i="10"/>
  <c r="W1139" i="10"/>
  <c r="X1139" i="10"/>
  <c r="Y1139" i="10"/>
  <c r="Z1139" i="10"/>
  <c r="AA1139" i="10"/>
  <c r="AB1139" i="10"/>
  <c r="F1140" i="10"/>
  <c r="G1140" i="10"/>
  <c r="H1140" i="10"/>
  <c r="I1140" i="10"/>
  <c r="J1140" i="10"/>
  <c r="K1140" i="10"/>
  <c r="L1140" i="10"/>
  <c r="M1140" i="10"/>
  <c r="N1140" i="10"/>
  <c r="P1140" i="10"/>
  <c r="Q1140" i="10"/>
  <c r="R1140" i="10"/>
  <c r="S1140" i="10"/>
  <c r="T1140" i="10"/>
  <c r="U1140" i="10"/>
  <c r="V1140" i="10"/>
  <c r="W1140" i="10"/>
  <c r="X1140" i="10"/>
  <c r="Y1140" i="10"/>
  <c r="Z1140" i="10"/>
  <c r="AA1140" i="10"/>
  <c r="AB1140" i="10"/>
  <c r="F1141" i="10"/>
  <c r="G1141" i="10"/>
  <c r="H1141" i="10"/>
  <c r="I1141" i="10"/>
  <c r="J1141" i="10"/>
  <c r="K1141" i="10"/>
  <c r="L1141" i="10"/>
  <c r="M1141" i="10"/>
  <c r="N1141" i="10"/>
  <c r="P1141" i="10"/>
  <c r="Q1141" i="10"/>
  <c r="R1141" i="10"/>
  <c r="S1141" i="10"/>
  <c r="T1141" i="10"/>
  <c r="U1141" i="10"/>
  <c r="V1141" i="10"/>
  <c r="W1141" i="10"/>
  <c r="X1141" i="10"/>
  <c r="Y1141" i="10"/>
  <c r="Z1141" i="10"/>
  <c r="AA1141" i="10"/>
  <c r="AB1141" i="10"/>
  <c r="F1142" i="10"/>
  <c r="G1142" i="10"/>
  <c r="H1142" i="10"/>
  <c r="I1142" i="10"/>
  <c r="J1142" i="10"/>
  <c r="K1142" i="10"/>
  <c r="L1142" i="10"/>
  <c r="M1142" i="10"/>
  <c r="N1142" i="10"/>
  <c r="P1142" i="10"/>
  <c r="Q1142" i="10"/>
  <c r="R1142" i="10"/>
  <c r="S1142" i="10"/>
  <c r="T1142" i="10"/>
  <c r="U1142" i="10"/>
  <c r="V1142" i="10"/>
  <c r="W1142" i="10"/>
  <c r="X1142" i="10"/>
  <c r="Y1142" i="10"/>
  <c r="Z1142" i="10"/>
  <c r="AA1142" i="10"/>
  <c r="AB1142" i="10"/>
  <c r="F1143" i="10"/>
  <c r="G1143" i="10"/>
  <c r="H1143" i="10"/>
  <c r="I1143" i="10"/>
  <c r="J1143" i="10"/>
  <c r="K1143" i="10"/>
  <c r="L1143" i="10"/>
  <c r="M1143" i="10"/>
  <c r="N1143" i="10"/>
  <c r="P1143" i="10"/>
  <c r="Q1143" i="10"/>
  <c r="R1143" i="10"/>
  <c r="S1143" i="10"/>
  <c r="T1143" i="10"/>
  <c r="U1143" i="10"/>
  <c r="V1143" i="10"/>
  <c r="W1143" i="10"/>
  <c r="X1143" i="10"/>
  <c r="Y1143" i="10"/>
  <c r="Z1143" i="10"/>
  <c r="AA1143" i="10"/>
  <c r="AB1143" i="10"/>
  <c r="F1144" i="10"/>
  <c r="G1144" i="10"/>
  <c r="H1144" i="10"/>
  <c r="I1144" i="10"/>
  <c r="J1144" i="10"/>
  <c r="K1144" i="10"/>
  <c r="L1144" i="10"/>
  <c r="M1144" i="10"/>
  <c r="N1144" i="10"/>
  <c r="P1144" i="10"/>
  <c r="Q1144" i="10"/>
  <c r="R1144" i="10"/>
  <c r="S1144" i="10"/>
  <c r="T1144" i="10"/>
  <c r="U1144" i="10"/>
  <c r="V1144" i="10"/>
  <c r="W1144" i="10"/>
  <c r="X1144" i="10"/>
  <c r="Y1144" i="10"/>
  <c r="Z1144" i="10"/>
  <c r="AA1144" i="10"/>
  <c r="AB1144" i="10"/>
  <c r="F1145" i="10"/>
  <c r="G1145" i="10"/>
  <c r="H1145" i="10"/>
  <c r="I1145" i="10"/>
  <c r="J1145" i="10"/>
  <c r="K1145" i="10"/>
  <c r="L1145" i="10"/>
  <c r="M1145" i="10"/>
  <c r="N1145" i="10"/>
  <c r="P1145" i="10"/>
  <c r="Q1145" i="10"/>
  <c r="R1145" i="10"/>
  <c r="S1145" i="10"/>
  <c r="T1145" i="10"/>
  <c r="U1145" i="10"/>
  <c r="V1145" i="10"/>
  <c r="W1145" i="10"/>
  <c r="X1145" i="10"/>
  <c r="Y1145" i="10"/>
  <c r="Z1145" i="10"/>
  <c r="AA1145" i="10"/>
  <c r="AB1145" i="10"/>
  <c r="F1146" i="10"/>
  <c r="G1146" i="10"/>
  <c r="H1146" i="10"/>
  <c r="I1146" i="10"/>
  <c r="J1146" i="10"/>
  <c r="K1146" i="10"/>
  <c r="L1146" i="10"/>
  <c r="M1146" i="10"/>
  <c r="N1146" i="10"/>
  <c r="P1146" i="10"/>
  <c r="Q1146" i="10"/>
  <c r="R1146" i="10"/>
  <c r="S1146" i="10"/>
  <c r="T1146" i="10"/>
  <c r="U1146" i="10"/>
  <c r="V1146" i="10"/>
  <c r="W1146" i="10"/>
  <c r="X1146" i="10"/>
  <c r="Y1146" i="10"/>
  <c r="Z1146" i="10"/>
  <c r="AA1146" i="10"/>
  <c r="AB1146" i="10"/>
  <c r="F1147" i="10"/>
  <c r="G1147" i="10"/>
  <c r="H1147" i="10"/>
  <c r="I1147" i="10"/>
  <c r="J1147" i="10"/>
  <c r="K1147" i="10"/>
  <c r="L1147" i="10"/>
  <c r="M1147" i="10"/>
  <c r="N1147" i="10"/>
  <c r="P1147" i="10"/>
  <c r="Q1147" i="10"/>
  <c r="R1147" i="10"/>
  <c r="S1147" i="10"/>
  <c r="T1147" i="10"/>
  <c r="U1147" i="10"/>
  <c r="V1147" i="10"/>
  <c r="W1147" i="10"/>
  <c r="X1147" i="10"/>
  <c r="Y1147" i="10"/>
  <c r="Z1147" i="10"/>
  <c r="AA1147" i="10"/>
  <c r="AB1147" i="10"/>
  <c r="F1148" i="10"/>
  <c r="G1148" i="10"/>
  <c r="H1148" i="10"/>
  <c r="I1148" i="10"/>
  <c r="J1148" i="10"/>
  <c r="K1148" i="10"/>
  <c r="L1148" i="10"/>
  <c r="M1148" i="10"/>
  <c r="N1148" i="10"/>
  <c r="P1148" i="10"/>
  <c r="Q1148" i="10"/>
  <c r="R1148" i="10"/>
  <c r="S1148" i="10"/>
  <c r="T1148" i="10"/>
  <c r="U1148" i="10"/>
  <c r="V1148" i="10"/>
  <c r="W1148" i="10"/>
  <c r="X1148" i="10"/>
  <c r="Y1148" i="10"/>
  <c r="Z1148" i="10"/>
  <c r="AA1148" i="10"/>
  <c r="AB1148" i="10"/>
  <c r="F1149" i="10"/>
  <c r="G1149" i="10"/>
  <c r="H1149" i="10"/>
  <c r="I1149" i="10"/>
  <c r="J1149" i="10"/>
  <c r="K1149" i="10"/>
  <c r="L1149" i="10"/>
  <c r="M1149" i="10"/>
  <c r="N1149" i="10"/>
  <c r="P1149" i="10"/>
  <c r="Q1149" i="10"/>
  <c r="R1149" i="10"/>
  <c r="S1149" i="10"/>
  <c r="T1149" i="10"/>
  <c r="U1149" i="10"/>
  <c r="V1149" i="10"/>
  <c r="W1149" i="10"/>
  <c r="X1149" i="10"/>
  <c r="Y1149" i="10"/>
  <c r="Z1149" i="10"/>
  <c r="AA1149" i="10"/>
  <c r="AB1149" i="10"/>
  <c r="F1150" i="10"/>
  <c r="G1150" i="10"/>
  <c r="H1150" i="10"/>
  <c r="I1150" i="10"/>
  <c r="J1150" i="10"/>
  <c r="K1150" i="10"/>
  <c r="L1150" i="10"/>
  <c r="M1150" i="10"/>
  <c r="N1150" i="10"/>
  <c r="P1150" i="10"/>
  <c r="Q1150" i="10"/>
  <c r="R1150" i="10"/>
  <c r="S1150" i="10"/>
  <c r="T1150" i="10"/>
  <c r="U1150" i="10"/>
  <c r="V1150" i="10"/>
  <c r="W1150" i="10"/>
  <c r="X1150" i="10"/>
  <c r="Y1150" i="10"/>
  <c r="Z1150" i="10"/>
  <c r="AA1150" i="10"/>
  <c r="AB1150" i="10"/>
  <c r="F1151" i="10"/>
  <c r="G1151" i="10"/>
  <c r="H1151" i="10"/>
  <c r="I1151" i="10"/>
  <c r="J1151" i="10"/>
  <c r="K1151" i="10"/>
  <c r="L1151" i="10"/>
  <c r="M1151" i="10"/>
  <c r="N1151" i="10"/>
  <c r="P1151" i="10"/>
  <c r="Q1151" i="10"/>
  <c r="R1151" i="10"/>
  <c r="S1151" i="10"/>
  <c r="T1151" i="10"/>
  <c r="U1151" i="10"/>
  <c r="V1151" i="10"/>
  <c r="W1151" i="10"/>
  <c r="X1151" i="10"/>
  <c r="Y1151" i="10"/>
  <c r="Z1151" i="10"/>
  <c r="AA1151" i="10"/>
  <c r="AB1151" i="10"/>
  <c r="F1152" i="10"/>
  <c r="G1152" i="10"/>
  <c r="H1152" i="10"/>
  <c r="I1152" i="10"/>
  <c r="J1152" i="10"/>
  <c r="K1152" i="10"/>
  <c r="L1152" i="10"/>
  <c r="M1152" i="10"/>
  <c r="N1152" i="10"/>
  <c r="P1152" i="10"/>
  <c r="Q1152" i="10"/>
  <c r="R1152" i="10"/>
  <c r="S1152" i="10"/>
  <c r="T1152" i="10"/>
  <c r="U1152" i="10"/>
  <c r="V1152" i="10"/>
  <c r="W1152" i="10"/>
  <c r="X1152" i="10"/>
  <c r="Y1152" i="10"/>
  <c r="Z1152" i="10"/>
  <c r="AA1152" i="10"/>
  <c r="AB1152" i="10"/>
  <c r="F1153" i="10"/>
  <c r="G1153" i="10"/>
  <c r="H1153" i="10"/>
  <c r="I1153" i="10"/>
  <c r="J1153" i="10"/>
  <c r="K1153" i="10"/>
  <c r="L1153" i="10"/>
  <c r="M1153" i="10"/>
  <c r="N1153" i="10"/>
  <c r="P1153" i="10"/>
  <c r="Q1153" i="10"/>
  <c r="R1153" i="10"/>
  <c r="S1153" i="10"/>
  <c r="T1153" i="10"/>
  <c r="U1153" i="10"/>
  <c r="V1153" i="10"/>
  <c r="W1153" i="10"/>
  <c r="X1153" i="10"/>
  <c r="Y1153" i="10"/>
  <c r="Z1153" i="10"/>
  <c r="AA1153" i="10"/>
  <c r="AB1153" i="10"/>
  <c r="F1154" i="10"/>
  <c r="G1154" i="10"/>
  <c r="H1154" i="10"/>
  <c r="I1154" i="10"/>
  <c r="J1154" i="10"/>
  <c r="K1154" i="10"/>
  <c r="L1154" i="10"/>
  <c r="M1154" i="10"/>
  <c r="N1154" i="10"/>
  <c r="P1154" i="10"/>
  <c r="Q1154" i="10"/>
  <c r="R1154" i="10"/>
  <c r="S1154" i="10"/>
  <c r="T1154" i="10"/>
  <c r="U1154" i="10"/>
  <c r="V1154" i="10"/>
  <c r="W1154" i="10"/>
  <c r="X1154" i="10"/>
  <c r="Y1154" i="10"/>
  <c r="Z1154" i="10"/>
  <c r="AA1154" i="10"/>
  <c r="AB1154" i="10"/>
  <c r="F1155" i="10"/>
  <c r="G1155" i="10"/>
  <c r="H1155" i="10"/>
  <c r="I1155" i="10"/>
  <c r="J1155" i="10"/>
  <c r="K1155" i="10"/>
  <c r="L1155" i="10"/>
  <c r="M1155" i="10"/>
  <c r="N1155" i="10"/>
  <c r="P1155" i="10"/>
  <c r="Q1155" i="10"/>
  <c r="R1155" i="10"/>
  <c r="S1155" i="10"/>
  <c r="T1155" i="10"/>
  <c r="U1155" i="10"/>
  <c r="V1155" i="10"/>
  <c r="W1155" i="10"/>
  <c r="X1155" i="10"/>
  <c r="Y1155" i="10"/>
  <c r="Z1155" i="10"/>
  <c r="AA1155" i="10"/>
  <c r="AB1155" i="10"/>
  <c r="F1156" i="10"/>
  <c r="G1156" i="10"/>
  <c r="H1156" i="10"/>
  <c r="I1156" i="10"/>
  <c r="J1156" i="10"/>
  <c r="K1156" i="10"/>
  <c r="L1156" i="10"/>
  <c r="M1156" i="10"/>
  <c r="N1156" i="10"/>
  <c r="P1156" i="10"/>
  <c r="Q1156" i="10"/>
  <c r="R1156" i="10"/>
  <c r="S1156" i="10"/>
  <c r="T1156" i="10"/>
  <c r="U1156" i="10"/>
  <c r="V1156" i="10"/>
  <c r="W1156" i="10"/>
  <c r="X1156" i="10"/>
  <c r="Y1156" i="10"/>
  <c r="Z1156" i="10"/>
  <c r="AA1156" i="10"/>
  <c r="AB1156" i="10"/>
  <c r="F1157" i="10"/>
  <c r="G1157" i="10"/>
  <c r="H1157" i="10"/>
  <c r="I1157" i="10"/>
  <c r="J1157" i="10"/>
  <c r="K1157" i="10"/>
  <c r="L1157" i="10"/>
  <c r="M1157" i="10"/>
  <c r="N1157" i="10"/>
  <c r="P1157" i="10"/>
  <c r="Q1157" i="10"/>
  <c r="R1157" i="10"/>
  <c r="S1157" i="10"/>
  <c r="T1157" i="10"/>
  <c r="U1157" i="10"/>
  <c r="V1157" i="10"/>
  <c r="W1157" i="10"/>
  <c r="X1157" i="10"/>
  <c r="Y1157" i="10"/>
  <c r="Z1157" i="10"/>
  <c r="AA1157" i="10"/>
  <c r="AB1157" i="10"/>
  <c r="F1158" i="10"/>
  <c r="G1158" i="10"/>
  <c r="H1158" i="10"/>
  <c r="I1158" i="10"/>
  <c r="J1158" i="10"/>
  <c r="K1158" i="10"/>
  <c r="L1158" i="10"/>
  <c r="M1158" i="10"/>
  <c r="N1158" i="10"/>
  <c r="P1158" i="10"/>
  <c r="Q1158" i="10"/>
  <c r="R1158" i="10"/>
  <c r="S1158" i="10"/>
  <c r="T1158" i="10"/>
  <c r="U1158" i="10"/>
  <c r="V1158" i="10"/>
  <c r="W1158" i="10"/>
  <c r="X1158" i="10"/>
  <c r="Y1158" i="10"/>
  <c r="Z1158" i="10"/>
  <c r="AA1158" i="10"/>
  <c r="AB1158" i="10"/>
  <c r="F1159" i="10"/>
  <c r="G1159" i="10"/>
  <c r="H1159" i="10"/>
  <c r="I1159" i="10"/>
  <c r="J1159" i="10"/>
  <c r="K1159" i="10"/>
  <c r="L1159" i="10"/>
  <c r="M1159" i="10"/>
  <c r="N1159" i="10"/>
  <c r="P1159" i="10"/>
  <c r="Q1159" i="10"/>
  <c r="R1159" i="10"/>
  <c r="S1159" i="10"/>
  <c r="T1159" i="10"/>
  <c r="U1159" i="10"/>
  <c r="V1159" i="10"/>
  <c r="W1159" i="10"/>
  <c r="X1159" i="10"/>
  <c r="Y1159" i="10"/>
  <c r="Z1159" i="10"/>
  <c r="AA1159" i="10"/>
  <c r="AB1159" i="10"/>
  <c r="F1160" i="10"/>
  <c r="G1160" i="10"/>
  <c r="H1160" i="10"/>
  <c r="I1160" i="10"/>
  <c r="J1160" i="10"/>
  <c r="K1160" i="10"/>
  <c r="L1160" i="10"/>
  <c r="M1160" i="10"/>
  <c r="N1160" i="10"/>
  <c r="P1160" i="10"/>
  <c r="Q1160" i="10"/>
  <c r="R1160" i="10"/>
  <c r="S1160" i="10"/>
  <c r="T1160" i="10"/>
  <c r="U1160" i="10"/>
  <c r="V1160" i="10"/>
  <c r="W1160" i="10"/>
  <c r="X1160" i="10"/>
  <c r="Y1160" i="10"/>
  <c r="Z1160" i="10"/>
  <c r="AA1160" i="10"/>
  <c r="AB1160" i="10"/>
  <c r="F1161" i="10"/>
  <c r="G1161" i="10"/>
  <c r="H1161" i="10"/>
  <c r="I1161" i="10"/>
  <c r="J1161" i="10"/>
  <c r="K1161" i="10"/>
  <c r="L1161" i="10"/>
  <c r="M1161" i="10"/>
  <c r="N1161" i="10"/>
  <c r="P1161" i="10"/>
  <c r="Q1161" i="10"/>
  <c r="R1161" i="10"/>
  <c r="S1161" i="10"/>
  <c r="T1161" i="10"/>
  <c r="U1161" i="10"/>
  <c r="V1161" i="10"/>
  <c r="W1161" i="10"/>
  <c r="X1161" i="10"/>
  <c r="Y1161" i="10"/>
  <c r="Z1161" i="10"/>
  <c r="AA1161" i="10"/>
  <c r="AB1161" i="10"/>
  <c r="F1162" i="10"/>
  <c r="G1162" i="10"/>
  <c r="H1162" i="10"/>
  <c r="I1162" i="10"/>
  <c r="J1162" i="10"/>
  <c r="K1162" i="10"/>
  <c r="L1162" i="10"/>
  <c r="M1162" i="10"/>
  <c r="N1162" i="10"/>
  <c r="P1162" i="10"/>
  <c r="Q1162" i="10"/>
  <c r="R1162" i="10"/>
  <c r="S1162" i="10"/>
  <c r="T1162" i="10"/>
  <c r="U1162" i="10"/>
  <c r="V1162" i="10"/>
  <c r="W1162" i="10"/>
  <c r="X1162" i="10"/>
  <c r="Y1162" i="10"/>
  <c r="Z1162" i="10"/>
  <c r="AA1162" i="10"/>
  <c r="AB1162" i="10"/>
  <c r="F1163" i="10"/>
  <c r="G1163" i="10"/>
  <c r="H1163" i="10"/>
  <c r="I1163" i="10"/>
  <c r="J1163" i="10"/>
  <c r="K1163" i="10"/>
  <c r="L1163" i="10"/>
  <c r="M1163" i="10"/>
  <c r="N1163" i="10"/>
  <c r="P1163" i="10"/>
  <c r="Q1163" i="10"/>
  <c r="R1163" i="10"/>
  <c r="S1163" i="10"/>
  <c r="T1163" i="10"/>
  <c r="U1163" i="10"/>
  <c r="V1163" i="10"/>
  <c r="W1163" i="10"/>
  <c r="X1163" i="10"/>
  <c r="Y1163" i="10"/>
  <c r="Z1163" i="10"/>
  <c r="AA1163" i="10"/>
  <c r="AB1163" i="10"/>
  <c r="F1164" i="10"/>
  <c r="G1164" i="10"/>
  <c r="H1164" i="10"/>
  <c r="I1164" i="10"/>
  <c r="J1164" i="10"/>
  <c r="K1164" i="10"/>
  <c r="L1164" i="10"/>
  <c r="M1164" i="10"/>
  <c r="N1164" i="10"/>
  <c r="P1164" i="10"/>
  <c r="Q1164" i="10"/>
  <c r="R1164" i="10"/>
  <c r="S1164" i="10"/>
  <c r="T1164" i="10"/>
  <c r="U1164" i="10"/>
  <c r="V1164" i="10"/>
  <c r="W1164" i="10"/>
  <c r="X1164" i="10"/>
  <c r="Y1164" i="10"/>
  <c r="Z1164" i="10"/>
  <c r="AA1164" i="10"/>
  <c r="AB1164" i="10"/>
  <c r="F1165" i="10"/>
  <c r="G1165" i="10"/>
  <c r="H1165" i="10"/>
  <c r="I1165" i="10"/>
  <c r="J1165" i="10"/>
  <c r="K1165" i="10"/>
  <c r="L1165" i="10"/>
  <c r="M1165" i="10"/>
  <c r="N1165" i="10"/>
  <c r="P1165" i="10"/>
  <c r="Q1165" i="10"/>
  <c r="R1165" i="10"/>
  <c r="S1165" i="10"/>
  <c r="T1165" i="10"/>
  <c r="U1165" i="10"/>
  <c r="V1165" i="10"/>
  <c r="W1165" i="10"/>
  <c r="X1165" i="10"/>
  <c r="Y1165" i="10"/>
  <c r="Z1165" i="10"/>
  <c r="AA1165" i="10"/>
  <c r="AB1165" i="10"/>
  <c r="F1166" i="10"/>
  <c r="G1166" i="10"/>
  <c r="H1166" i="10"/>
  <c r="I1166" i="10"/>
  <c r="J1166" i="10"/>
  <c r="K1166" i="10"/>
  <c r="L1166" i="10"/>
  <c r="M1166" i="10"/>
  <c r="N1166" i="10"/>
  <c r="P1166" i="10"/>
  <c r="Q1166" i="10"/>
  <c r="R1166" i="10"/>
  <c r="S1166" i="10"/>
  <c r="T1166" i="10"/>
  <c r="U1166" i="10"/>
  <c r="V1166" i="10"/>
  <c r="W1166" i="10"/>
  <c r="X1166" i="10"/>
  <c r="Y1166" i="10"/>
  <c r="Z1166" i="10"/>
  <c r="AA1166" i="10"/>
  <c r="AB1166" i="10"/>
  <c r="F1167" i="10"/>
  <c r="G1167" i="10"/>
  <c r="H1167" i="10"/>
  <c r="I1167" i="10"/>
  <c r="J1167" i="10"/>
  <c r="K1167" i="10"/>
  <c r="L1167" i="10"/>
  <c r="M1167" i="10"/>
  <c r="N1167" i="10"/>
  <c r="P1167" i="10"/>
  <c r="Q1167" i="10"/>
  <c r="R1167" i="10"/>
  <c r="S1167" i="10"/>
  <c r="T1167" i="10"/>
  <c r="U1167" i="10"/>
  <c r="V1167" i="10"/>
  <c r="W1167" i="10"/>
  <c r="X1167" i="10"/>
  <c r="Y1167" i="10"/>
  <c r="Z1167" i="10"/>
  <c r="AA1167" i="10"/>
  <c r="AB1167" i="10"/>
  <c r="F1168" i="10"/>
  <c r="G1168" i="10"/>
  <c r="H1168" i="10"/>
  <c r="I1168" i="10"/>
  <c r="J1168" i="10"/>
  <c r="K1168" i="10"/>
  <c r="L1168" i="10"/>
  <c r="M1168" i="10"/>
  <c r="N1168" i="10"/>
  <c r="P1168" i="10"/>
  <c r="Q1168" i="10"/>
  <c r="R1168" i="10"/>
  <c r="S1168" i="10"/>
  <c r="T1168" i="10"/>
  <c r="U1168" i="10"/>
  <c r="V1168" i="10"/>
  <c r="W1168" i="10"/>
  <c r="X1168" i="10"/>
  <c r="Y1168" i="10"/>
  <c r="Z1168" i="10"/>
  <c r="AA1168" i="10"/>
  <c r="AB1168" i="10"/>
  <c r="F1169" i="10"/>
  <c r="G1169" i="10"/>
  <c r="H1169" i="10"/>
  <c r="I1169" i="10"/>
  <c r="J1169" i="10"/>
  <c r="K1169" i="10"/>
  <c r="L1169" i="10"/>
  <c r="M1169" i="10"/>
  <c r="N1169" i="10"/>
  <c r="P1169" i="10"/>
  <c r="Q1169" i="10"/>
  <c r="R1169" i="10"/>
  <c r="S1169" i="10"/>
  <c r="T1169" i="10"/>
  <c r="U1169" i="10"/>
  <c r="V1169" i="10"/>
  <c r="W1169" i="10"/>
  <c r="X1169" i="10"/>
  <c r="Y1169" i="10"/>
  <c r="Z1169" i="10"/>
  <c r="AA1169" i="10"/>
  <c r="AB1169" i="10"/>
  <c r="F1170" i="10"/>
  <c r="G1170" i="10"/>
  <c r="H1170" i="10"/>
  <c r="I1170" i="10"/>
  <c r="J1170" i="10"/>
  <c r="K1170" i="10"/>
  <c r="L1170" i="10"/>
  <c r="M1170" i="10"/>
  <c r="N1170" i="10"/>
  <c r="P1170" i="10"/>
  <c r="Q1170" i="10"/>
  <c r="R1170" i="10"/>
  <c r="S1170" i="10"/>
  <c r="T1170" i="10"/>
  <c r="U1170" i="10"/>
  <c r="V1170" i="10"/>
  <c r="W1170" i="10"/>
  <c r="X1170" i="10"/>
  <c r="Y1170" i="10"/>
  <c r="Z1170" i="10"/>
  <c r="AA1170" i="10"/>
  <c r="AB1170" i="10"/>
  <c r="F1171" i="10"/>
  <c r="G1171" i="10"/>
  <c r="H1171" i="10"/>
  <c r="I1171" i="10"/>
  <c r="J1171" i="10"/>
  <c r="K1171" i="10"/>
  <c r="L1171" i="10"/>
  <c r="M1171" i="10"/>
  <c r="N1171" i="10"/>
  <c r="P1171" i="10"/>
  <c r="Q1171" i="10"/>
  <c r="R1171" i="10"/>
  <c r="S1171" i="10"/>
  <c r="T1171" i="10"/>
  <c r="U1171" i="10"/>
  <c r="V1171" i="10"/>
  <c r="W1171" i="10"/>
  <c r="X1171" i="10"/>
  <c r="Y1171" i="10"/>
  <c r="Z1171" i="10"/>
  <c r="AA1171" i="10"/>
  <c r="AB1171" i="10"/>
  <c r="F1172" i="10"/>
  <c r="G1172" i="10"/>
  <c r="H1172" i="10"/>
  <c r="I1172" i="10"/>
  <c r="J1172" i="10"/>
  <c r="K1172" i="10"/>
  <c r="L1172" i="10"/>
  <c r="M1172" i="10"/>
  <c r="N1172" i="10"/>
  <c r="P1172" i="10"/>
  <c r="Q1172" i="10"/>
  <c r="R1172" i="10"/>
  <c r="S1172" i="10"/>
  <c r="T1172" i="10"/>
  <c r="U1172" i="10"/>
  <c r="V1172" i="10"/>
  <c r="W1172" i="10"/>
  <c r="X1172" i="10"/>
  <c r="Y1172" i="10"/>
  <c r="Z1172" i="10"/>
  <c r="AA1172" i="10"/>
  <c r="AB1172" i="10"/>
  <c r="F1173" i="10"/>
  <c r="G1173" i="10"/>
  <c r="H1173" i="10"/>
  <c r="I1173" i="10"/>
  <c r="J1173" i="10"/>
  <c r="K1173" i="10"/>
  <c r="L1173" i="10"/>
  <c r="M1173" i="10"/>
  <c r="N1173" i="10"/>
  <c r="P1173" i="10"/>
  <c r="Q1173" i="10"/>
  <c r="R1173" i="10"/>
  <c r="S1173" i="10"/>
  <c r="T1173" i="10"/>
  <c r="U1173" i="10"/>
  <c r="V1173" i="10"/>
  <c r="W1173" i="10"/>
  <c r="X1173" i="10"/>
  <c r="Y1173" i="10"/>
  <c r="Z1173" i="10"/>
  <c r="AA1173" i="10"/>
  <c r="AB1173" i="10"/>
  <c r="F1174" i="10"/>
  <c r="G1174" i="10"/>
  <c r="H1174" i="10"/>
  <c r="I1174" i="10"/>
  <c r="J1174" i="10"/>
  <c r="K1174" i="10"/>
  <c r="L1174" i="10"/>
  <c r="M1174" i="10"/>
  <c r="N1174" i="10"/>
  <c r="P1174" i="10"/>
  <c r="Q1174" i="10"/>
  <c r="R1174" i="10"/>
  <c r="S1174" i="10"/>
  <c r="T1174" i="10"/>
  <c r="U1174" i="10"/>
  <c r="V1174" i="10"/>
  <c r="W1174" i="10"/>
  <c r="X1174" i="10"/>
  <c r="Y1174" i="10"/>
  <c r="Z1174" i="10"/>
  <c r="AA1174" i="10"/>
  <c r="AB1174" i="10"/>
  <c r="F1175" i="10"/>
  <c r="G1175" i="10"/>
  <c r="H1175" i="10"/>
  <c r="I1175" i="10"/>
  <c r="J1175" i="10"/>
  <c r="K1175" i="10"/>
  <c r="L1175" i="10"/>
  <c r="M1175" i="10"/>
  <c r="N1175" i="10"/>
  <c r="P1175" i="10"/>
  <c r="Q1175" i="10"/>
  <c r="R1175" i="10"/>
  <c r="S1175" i="10"/>
  <c r="T1175" i="10"/>
  <c r="U1175" i="10"/>
  <c r="V1175" i="10"/>
  <c r="W1175" i="10"/>
  <c r="X1175" i="10"/>
  <c r="Y1175" i="10"/>
  <c r="Z1175" i="10"/>
  <c r="AA1175" i="10"/>
  <c r="AB1175" i="10"/>
  <c r="F1176" i="10"/>
  <c r="G1176" i="10"/>
  <c r="H1176" i="10"/>
  <c r="I1176" i="10"/>
  <c r="J1176" i="10"/>
  <c r="K1176" i="10"/>
  <c r="L1176" i="10"/>
  <c r="M1176" i="10"/>
  <c r="N1176" i="10"/>
  <c r="P1176" i="10"/>
  <c r="Q1176" i="10"/>
  <c r="R1176" i="10"/>
  <c r="S1176" i="10"/>
  <c r="T1176" i="10"/>
  <c r="U1176" i="10"/>
  <c r="V1176" i="10"/>
  <c r="W1176" i="10"/>
  <c r="X1176" i="10"/>
  <c r="Y1176" i="10"/>
  <c r="Z1176" i="10"/>
  <c r="AA1176" i="10"/>
  <c r="AB1176" i="10"/>
  <c r="F1177" i="10"/>
  <c r="G1177" i="10"/>
  <c r="H1177" i="10"/>
  <c r="I1177" i="10"/>
  <c r="J1177" i="10"/>
  <c r="K1177" i="10"/>
  <c r="L1177" i="10"/>
  <c r="M1177" i="10"/>
  <c r="N1177" i="10"/>
  <c r="P1177" i="10"/>
  <c r="Q1177" i="10"/>
  <c r="R1177" i="10"/>
  <c r="S1177" i="10"/>
  <c r="T1177" i="10"/>
  <c r="U1177" i="10"/>
  <c r="V1177" i="10"/>
  <c r="W1177" i="10"/>
  <c r="X1177" i="10"/>
  <c r="Y1177" i="10"/>
  <c r="Z1177" i="10"/>
  <c r="AA1177" i="10"/>
  <c r="AB1177" i="10"/>
  <c r="F1178" i="10"/>
  <c r="G1178" i="10"/>
  <c r="H1178" i="10"/>
  <c r="I1178" i="10"/>
  <c r="J1178" i="10"/>
  <c r="K1178" i="10"/>
  <c r="L1178" i="10"/>
  <c r="M1178" i="10"/>
  <c r="N1178" i="10"/>
  <c r="P1178" i="10"/>
  <c r="Q1178" i="10"/>
  <c r="R1178" i="10"/>
  <c r="S1178" i="10"/>
  <c r="T1178" i="10"/>
  <c r="U1178" i="10"/>
  <c r="V1178" i="10"/>
  <c r="W1178" i="10"/>
  <c r="X1178" i="10"/>
  <c r="Y1178" i="10"/>
  <c r="Z1178" i="10"/>
  <c r="AA1178" i="10"/>
  <c r="AB1178" i="10"/>
  <c r="F1179" i="10"/>
  <c r="G1179" i="10"/>
  <c r="H1179" i="10"/>
  <c r="I1179" i="10"/>
  <c r="J1179" i="10"/>
  <c r="K1179" i="10"/>
  <c r="L1179" i="10"/>
  <c r="M1179" i="10"/>
  <c r="N1179" i="10"/>
  <c r="P1179" i="10"/>
  <c r="Q1179" i="10"/>
  <c r="R1179" i="10"/>
  <c r="S1179" i="10"/>
  <c r="T1179" i="10"/>
  <c r="U1179" i="10"/>
  <c r="V1179" i="10"/>
  <c r="W1179" i="10"/>
  <c r="X1179" i="10"/>
  <c r="Y1179" i="10"/>
  <c r="Z1179" i="10"/>
  <c r="AA1179" i="10"/>
  <c r="AB1179" i="10"/>
  <c r="F1180" i="10"/>
  <c r="G1180" i="10"/>
  <c r="H1180" i="10"/>
  <c r="I1180" i="10"/>
  <c r="J1180" i="10"/>
  <c r="K1180" i="10"/>
  <c r="L1180" i="10"/>
  <c r="M1180" i="10"/>
  <c r="N1180" i="10"/>
  <c r="P1180" i="10"/>
  <c r="Q1180" i="10"/>
  <c r="R1180" i="10"/>
  <c r="S1180" i="10"/>
  <c r="T1180" i="10"/>
  <c r="U1180" i="10"/>
  <c r="V1180" i="10"/>
  <c r="W1180" i="10"/>
  <c r="X1180" i="10"/>
  <c r="Y1180" i="10"/>
  <c r="Z1180" i="10"/>
  <c r="AA1180" i="10"/>
  <c r="AB1180" i="10"/>
  <c r="F1181" i="10"/>
  <c r="G1181" i="10"/>
  <c r="H1181" i="10"/>
  <c r="I1181" i="10"/>
  <c r="J1181" i="10"/>
  <c r="K1181" i="10"/>
  <c r="L1181" i="10"/>
  <c r="M1181" i="10"/>
  <c r="N1181" i="10"/>
  <c r="P1181" i="10"/>
  <c r="Q1181" i="10"/>
  <c r="R1181" i="10"/>
  <c r="S1181" i="10"/>
  <c r="T1181" i="10"/>
  <c r="U1181" i="10"/>
  <c r="V1181" i="10"/>
  <c r="W1181" i="10"/>
  <c r="X1181" i="10"/>
  <c r="Y1181" i="10"/>
  <c r="Z1181" i="10"/>
  <c r="AA1181" i="10"/>
  <c r="AB1181" i="10"/>
  <c r="F1182" i="10"/>
  <c r="G1182" i="10"/>
  <c r="H1182" i="10"/>
  <c r="I1182" i="10"/>
  <c r="J1182" i="10"/>
  <c r="K1182" i="10"/>
  <c r="L1182" i="10"/>
  <c r="M1182" i="10"/>
  <c r="N1182" i="10"/>
  <c r="P1182" i="10"/>
  <c r="Q1182" i="10"/>
  <c r="R1182" i="10"/>
  <c r="S1182" i="10"/>
  <c r="T1182" i="10"/>
  <c r="U1182" i="10"/>
  <c r="V1182" i="10"/>
  <c r="W1182" i="10"/>
  <c r="X1182" i="10"/>
  <c r="Y1182" i="10"/>
  <c r="Z1182" i="10"/>
  <c r="AA1182" i="10"/>
  <c r="AB1182" i="10"/>
  <c r="F1183" i="10"/>
  <c r="G1183" i="10"/>
  <c r="H1183" i="10"/>
  <c r="I1183" i="10"/>
  <c r="J1183" i="10"/>
  <c r="K1183" i="10"/>
  <c r="L1183" i="10"/>
  <c r="M1183" i="10"/>
  <c r="N1183" i="10"/>
  <c r="P1183" i="10"/>
  <c r="Q1183" i="10"/>
  <c r="R1183" i="10"/>
  <c r="S1183" i="10"/>
  <c r="T1183" i="10"/>
  <c r="U1183" i="10"/>
  <c r="V1183" i="10"/>
  <c r="W1183" i="10"/>
  <c r="X1183" i="10"/>
  <c r="Y1183" i="10"/>
  <c r="Z1183" i="10"/>
  <c r="AA1183" i="10"/>
  <c r="AB1183" i="10"/>
  <c r="F1184" i="10"/>
  <c r="G1184" i="10"/>
  <c r="H1184" i="10"/>
  <c r="I1184" i="10"/>
  <c r="J1184" i="10"/>
  <c r="K1184" i="10"/>
  <c r="L1184" i="10"/>
  <c r="M1184" i="10"/>
  <c r="N1184" i="10"/>
  <c r="P1184" i="10"/>
  <c r="Q1184" i="10"/>
  <c r="R1184" i="10"/>
  <c r="S1184" i="10"/>
  <c r="T1184" i="10"/>
  <c r="U1184" i="10"/>
  <c r="V1184" i="10"/>
  <c r="W1184" i="10"/>
  <c r="X1184" i="10"/>
  <c r="Y1184" i="10"/>
  <c r="Z1184" i="10"/>
  <c r="AA1184" i="10"/>
  <c r="AB1184" i="10"/>
  <c r="F1185" i="10"/>
  <c r="G1185" i="10"/>
  <c r="H1185" i="10"/>
  <c r="I1185" i="10"/>
  <c r="J1185" i="10"/>
  <c r="K1185" i="10"/>
  <c r="L1185" i="10"/>
  <c r="M1185" i="10"/>
  <c r="N1185" i="10"/>
  <c r="P1185" i="10"/>
  <c r="Q1185" i="10"/>
  <c r="R1185" i="10"/>
  <c r="S1185" i="10"/>
  <c r="T1185" i="10"/>
  <c r="U1185" i="10"/>
  <c r="V1185" i="10"/>
  <c r="W1185" i="10"/>
  <c r="X1185" i="10"/>
  <c r="Y1185" i="10"/>
  <c r="Z1185" i="10"/>
  <c r="AA1185" i="10"/>
  <c r="AB1185" i="10"/>
  <c r="F1186" i="10"/>
  <c r="G1186" i="10"/>
  <c r="H1186" i="10"/>
  <c r="I1186" i="10"/>
  <c r="J1186" i="10"/>
  <c r="K1186" i="10"/>
  <c r="L1186" i="10"/>
  <c r="M1186" i="10"/>
  <c r="N1186" i="10"/>
  <c r="P1186" i="10"/>
  <c r="Q1186" i="10"/>
  <c r="R1186" i="10"/>
  <c r="S1186" i="10"/>
  <c r="T1186" i="10"/>
  <c r="U1186" i="10"/>
  <c r="V1186" i="10"/>
  <c r="W1186" i="10"/>
  <c r="X1186" i="10"/>
  <c r="Y1186" i="10"/>
  <c r="Z1186" i="10"/>
  <c r="AA1186" i="10"/>
  <c r="AB1186" i="10"/>
  <c r="F1187" i="10"/>
  <c r="G1187" i="10"/>
  <c r="H1187" i="10"/>
  <c r="I1187" i="10"/>
  <c r="J1187" i="10"/>
  <c r="K1187" i="10"/>
  <c r="L1187" i="10"/>
  <c r="M1187" i="10"/>
  <c r="N1187" i="10"/>
  <c r="P1187" i="10"/>
  <c r="Q1187" i="10"/>
  <c r="R1187" i="10"/>
  <c r="S1187" i="10"/>
  <c r="T1187" i="10"/>
  <c r="U1187" i="10"/>
  <c r="V1187" i="10"/>
  <c r="W1187" i="10"/>
  <c r="X1187" i="10"/>
  <c r="Y1187" i="10"/>
  <c r="Z1187" i="10"/>
  <c r="AA1187" i="10"/>
  <c r="AB1187" i="10"/>
  <c r="F1188" i="10"/>
  <c r="G1188" i="10"/>
  <c r="H1188" i="10"/>
  <c r="I1188" i="10"/>
  <c r="J1188" i="10"/>
  <c r="K1188" i="10"/>
  <c r="L1188" i="10"/>
  <c r="M1188" i="10"/>
  <c r="N1188" i="10"/>
  <c r="P1188" i="10"/>
  <c r="Q1188" i="10"/>
  <c r="R1188" i="10"/>
  <c r="S1188" i="10"/>
  <c r="T1188" i="10"/>
  <c r="U1188" i="10"/>
  <c r="V1188" i="10"/>
  <c r="W1188" i="10"/>
  <c r="X1188" i="10"/>
  <c r="Y1188" i="10"/>
  <c r="Z1188" i="10"/>
  <c r="AA1188" i="10"/>
  <c r="AB1188" i="10"/>
  <c r="F1189" i="10"/>
  <c r="G1189" i="10"/>
  <c r="H1189" i="10"/>
  <c r="I1189" i="10"/>
  <c r="J1189" i="10"/>
  <c r="K1189" i="10"/>
  <c r="L1189" i="10"/>
  <c r="M1189" i="10"/>
  <c r="N1189" i="10"/>
  <c r="P1189" i="10"/>
  <c r="Q1189" i="10"/>
  <c r="R1189" i="10"/>
  <c r="S1189" i="10"/>
  <c r="T1189" i="10"/>
  <c r="U1189" i="10"/>
  <c r="V1189" i="10"/>
  <c r="W1189" i="10"/>
  <c r="X1189" i="10"/>
  <c r="Y1189" i="10"/>
  <c r="Z1189" i="10"/>
  <c r="AA1189" i="10"/>
  <c r="AB1189" i="10"/>
  <c r="F1190" i="10"/>
  <c r="G1190" i="10"/>
  <c r="H1190" i="10"/>
  <c r="I1190" i="10"/>
  <c r="J1190" i="10"/>
  <c r="K1190" i="10"/>
  <c r="L1190" i="10"/>
  <c r="M1190" i="10"/>
  <c r="N1190" i="10"/>
  <c r="P1190" i="10"/>
  <c r="Q1190" i="10"/>
  <c r="R1190" i="10"/>
  <c r="S1190" i="10"/>
  <c r="T1190" i="10"/>
  <c r="U1190" i="10"/>
  <c r="V1190" i="10"/>
  <c r="W1190" i="10"/>
  <c r="X1190" i="10"/>
  <c r="Y1190" i="10"/>
  <c r="Z1190" i="10"/>
  <c r="AA1190" i="10"/>
  <c r="AB1190" i="10"/>
  <c r="F1191" i="10"/>
  <c r="G1191" i="10"/>
  <c r="H1191" i="10"/>
  <c r="I1191" i="10"/>
  <c r="J1191" i="10"/>
  <c r="K1191" i="10"/>
  <c r="L1191" i="10"/>
  <c r="M1191" i="10"/>
  <c r="N1191" i="10"/>
  <c r="P1191" i="10"/>
  <c r="Q1191" i="10"/>
  <c r="R1191" i="10"/>
  <c r="S1191" i="10"/>
  <c r="T1191" i="10"/>
  <c r="U1191" i="10"/>
  <c r="V1191" i="10"/>
  <c r="W1191" i="10"/>
  <c r="X1191" i="10"/>
  <c r="Y1191" i="10"/>
  <c r="Z1191" i="10"/>
  <c r="AA1191" i="10"/>
  <c r="AB1191" i="10"/>
  <c r="F1192" i="10"/>
  <c r="G1192" i="10"/>
  <c r="H1192" i="10"/>
  <c r="I1192" i="10"/>
  <c r="J1192" i="10"/>
  <c r="K1192" i="10"/>
  <c r="L1192" i="10"/>
  <c r="M1192" i="10"/>
  <c r="N1192" i="10"/>
  <c r="P1192" i="10"/>
  <c r="Q1192" i="10"/>
  <c r="R1192" i="10"/>
  <c r="S1192" i="10"/>
  <c r="T1192" i="10"/>
  <c r="U1192" i="10"/>
  <c r="V1192" i="10"/>
  <c r="W1192" i="10"/>
  <c r="X1192" i="10"/>
  <c r="Y1192" i="10"/>
  <c r="Z1192" i="10"/>
  <c r="AA1192" i="10"/>
  <c r="AB1192" i="10"/>
  <c r="F1193" i="10"/>
  <c r="G1193" i="10"/>
  <c r="H1193" i="10"/>
  <c r="I1193" i="10"/>
  <c r="J1193" i="10"/>
  <c r="K1193" i="10"/>
  <c r="L1193" i="10"/>
  <c r="M1193" i="10"/>
  <c r="N1193" i="10"/>
  <c r="P1193" i="10"/>
  <c r="Q1193" i="10"/>
  <c r="R1193" i="10"/>
  <c r="S1193" i="10"/>
  <c r="T1193" i="10"/>
  <c r="U1193" i="10"/>
  <c r="V1193" i="10"/>
  <c r="W1193" i="10"/>
  <c r="X1193" i="10"/>
  <c r="Y1193" i="10"/>
  <c r="Z1193" i="10"/>
  <c r="AA1193" i="10"/>
  <c r="AB1193" i="10"/>
  <c r="F1194" i="10"/>
  <c r="G1194" i="10"/>
  <c r="H1194" i="10"/>
  <c r="I1194" i="10"/>
  <c r="J1194" i="10"/>
  <c r="K1194" i="10"/>
  <c r="L1194" i="10"/>
  <c r="M1194" i="10"/>
  <c r="N1194" i="10"/>
  <c r="P1194" i="10"/>
  <c r="Q1194" i="10"/>
  <c r="R1194" i="10"/>
  <c r="S1194" i="10"/>
  <c r="T1194" i="10"/>
  <c r="U1194" i="10"/>
  <c r="V1194" i="10"/>
  <c r="W1194" i="10"/>
  <c r="X1194" i="10"/>
  <c r="Y1194" i="10"/>
  <c r="Z1194" i="10"/>
  <c r="AA1194" i="10"/>
  <c r="AB1194" i="10"/>
  <c r="F1195" i="10"/>
  <c r="G1195" i="10"/>
  <c r="H1195" i="10"/>
  <c r="I1195" i="10"/>
  <c r="J1195" i="10"/>
  <c r="K1195" i="10"/>
  <c r="L1195" i="10"/>
  <c r="M1195" i="10"/>
  <c r="N1195" i="10"/>
  <c r="P1195" i="10"/>
  <c r="Q1195" i="10"/>
  <c r="R1195" i="10"/>
  <c r="S1195" i="10"/>
  <c r="T1195" i="10"/>
  <c r="U1195" i="10"/>
  <c r="V1195" i="10"/>
  <c r="W1195" i="10"/>
  <c r="X1195" i="10"/>
  <c r="Y1195" i="10"/>
  <c r="Z1195" i="10"/>
  <c r="AA1195" i="10"/>
  <c r="AB1195" i="10"/>
  <c r="F1196" i="10"/>
  <c r="G1196" i="10"/>
  <c r="H1196" i="10"/>
  <c r="I1196" i="10"/>
  <c r="J1196" i="10"/>
  <c r="K1196" i="10"/>
  <c r="L1196" i="10"/>
  <c r="M1196" i="10"/>
  <c r="N1196" i="10"/>
  <c r="P1196" i="10"/>
  <c r="Q1196" i="10"/>
  <c r="R1196" i="10"/>
  <c r="S1196" i="10"/>
  <c r="T1196" i="10"/>
  <c r="U1196" i="10"/>
  <c r="V1196" i="10"/>
  <c r="W1196" i="10"/>
  <c r="X1196" i="10"/>
  <c r="Y1196" i="10"/>
  <c r="Z1196" i="10"/>
  <c r="AA1196" i="10"/>
  <c r="AB1196" i="10"/>
  <c r="F1197" i="10"/>
  <c r="G1197" i="10"/>
  <c r="H1197" i="10"/>
  <c r="I1197" i="10"/>
  <c r="J1197" i="10"/>
  <c r="K1197" i="10"/>
  <c r="L1197" i="10"/>
  <c r="M1197" i="10"/>
  <c r="N1197" i="10"/>
  <c r="P1197" i="10"/>
  <c r="Q1197" i="10"/>
  <c r="R1197" i="10"/>
  <c r="S1197" i="10"/>
  <c r="T1197" i="10"/>
  <c r="U1197" i="10"/>
  <c r="V1197" i="10"/>
  <c r="W1197" i="10"/>
  <c r="X1197" i="10"/>
  <c r="Y1197" i="10"/>
  <c r="Z1197" i="10"/>
  <c r="AA1197" i="10"/>
  <c r="AB1197" i="10"/>
  <c r="F1198" i="10"/>
  <c r="G1198" i="10"/>
  <c r="H1198" i="10"/>
  <c r="I1198" i="10"/>
  <c r="J1198" i="10"/>
  <c r="K1198" i="10"/>
  <c r="L1198" i="10"/>
  <c r="M1198" i="10"/>
  <c r="N1198" i="10"/>
  <c r="P1198" i="10"/>
  <c r="Q1198" i="10"/>
  <c r="R1198" i="10"/>
  <c r="S1198" i="10"/>
  <c r="T1198" i="10"/>
  <c r="U1198" i="10"/>
  <c r="V1198" i="10"/>
  <c r="W1198" i="10"/>
  <c r="X1198" i="10"/>
  <c r="Y1198" i="10"/>
  <c r="Z1198" i="10"/>
  <c r="AA1198" i="10"/>
  <c r="AB1198" i="10"/>
  <c r="F1199" i="10"/>
  <c r="G1199" i="10"/>
  <c r="H1199" i="10"/>
  <c r="I1199" i="10"/>
  <c r="J1199" i="10"/>
  <c r="K1199" i="10"/>
  <c r="L1199" i="10"/>
  <c r="M1199" i="10"/>
  <c r="N1199" i="10"/>
  <c r="P1199" i="10"/>
  <c r="Q1199" i="10"/>
  <c r="R1199" i="10"/>
  <c r="S1199" i="10"/>
  <c r="T1199" i="10"/>
  <c r="U1199" i="10"/>
  <c r="V1199" i="10"/>
  <c r="W1199" i="10"/>
  <c r="X1199" i="10"/>
  <c r="Y1199" i="10"/>
  <c r="Z1199" i="10"/>
  <c r="AA1199" i="10"/>
  <c r="AB1199" i="10"/>
  <c r="F1200" i="10"/>
  <c r="G1200" i="10"/>
  <c r="H1200" i="10"/>
  <c r="I1200" i="10"/>
  <c r="J1200" i="10"/>
  <c r="K1200" i="10"/>
  <c r="L1200" i="10"/>
  <c r="M1200" i="10"/>
  <c r="N1200" i="10"/>
  <c r="P1200" i="10"/>
  <c r="Q1200" i="10"/>
  <c r="R1200" i="10"/>
  <c r="S1200" i="10"/>
  <c r="T1200" i="10"/>
  <c r="U1200" i="10"/>
  <c r="V1200" i="10"/>
  <c r="W1200" i="10"/>
  <c r="X1200" i="10"/>
  <c r="Y1200" i="10"/>
  <c r="Z1200" i="10"/>
  <c r="AA1200" i="10"/>
  <c r="AB1200" i="10"/>
  <c r="F1201" i="10"/>
  <c r="G1201" i="10"/>
  <c r="H1201" i="10"/>
  <c r="I1201" i="10"/>
  <c r="J1201" i="10"/>
  <c r="K1201" i="10"/>
  <c r="L1201" i="10"/>
  <c r="M1201" i="10"/>
  <c r="N1201" i="10"/>
  <c r="P1201" i="10"/>
  <c r="Q1201" i="10"/>
  <c r="R1201" i="10"/>
  <c r="S1201" i="10"/>
  <c r="T1201" i="10"/>
  <c r="U1201" i="10"/>
  <c r="V1201" i="10"/>
  <c r="W1201" i="10"/>
  <c r="X1201" i="10"/>
  <c r="Y1201" i="10"/>
  <c r="Z1201" i="10"/>
  <c r="AA1201" i="10"/>
  <c r="AB1201" i="10"/>
  <c r="F1202" i="10"/>
  <c r="G1202" i="10"/>
  <c r="H1202" i="10"/>
  <c r="I1202" i="10"/>
  <c r="J1202" i="10"/>
  <c r="K1202" i="10"/>
  <c r="L1202" i="10"/>
  <c r="M1202" i="10"/>
  <c r="N1202" i="10"/>
  <c r="P1202" i="10"/>
  <c r="Q1202" i="10"/>
  <c r="R1202" i="10"/>
  <c r="S1202" i="10"/>
  <c r="T1202" i="10"/>
  <c r="U1202" i="10"/>
  <c r="V1202" i="10"/>
  <c r="W1202" i="10"/>
  <c r="X1202" i="10"/>
  <c r="Y1202" i="10"/>
  <c r="Z1202" i="10"/>
  <c r="AA1202" i="10"/>
  <c r="AB1202" i="10"/>
  <c r="F1203" i="10"/>
  <c r="G1203" i="10"/>
  <c r="H1203" i="10"/>
  <c r="I1203" i="10"/>
  <c r="J1203" i="10"/>
  <c r="K1203" i="10"/>
  <c r="L1203" i="10"/>
  <c r="M1203" i="10"/>
  <c r="N1203" i="10"/>
  <c r="P1203" i="10"/>
  <c r="Q1203" i="10"/>
  <c r="R1203" i="10"/>
  <c r="S1203" i="10"/>
  <c r="T1203" i="10"/>
  <c r="U1203" i="10"/>
  <c r="V1203" i="10"/>
  <c r="W1203" i="10"/>
  <c r="X1203" i="10"/>
  <c r="Y1203" i="10"/>
  <c r="Z1203" i="10"/>
  <c r="AA1203" i="10"/>
  <c r="AB1203" i="10"/>
  <c r="F1204" i="10"/>
  <c r="G1204" i="10"/>
  <c r="H1204" i="10"/>
  <c r="I1204" i="10"/>
  <c r="J1204" i="10"/>
  <c r="K1204" i="10"/>
  <c r="L1204" i="10"/>
  <c r="M1204" i="10"/>
  <c r="N1204" i="10"/>
  <c r="P1204" i="10"/>
  <c r="Q1204" i="10"/>
  <c r="R1204" i="10"/>
  <c r="S1204" i="10"/>
  <c r="T1204" i="10"/>
  <c r="U1204" i="10"/>
  <c r="V1204" i="10"/>
  <c r="W1204" i="10"/>
  <c r="X1204" i="10"/>
  <c r="Y1204" i="10"/>
  <c r="Z1204" i="10"/>
  <c r="AA1204" i="10"/>
  <c r="AB1204" i="10"/>
  <c r="F1205" i="10"/>
  <c r="G1205" i="10"/>
  <c r="H1205" i="10"/>
  <c r="I1205" i="10"/>
  <c r="J1205" i="10"/>
  <c r="K1205" i="10"/>
  <c r="L1205" i="10"/>
  <c r="M1205" i="10"/>
  <c r="N1205" i="10"/>
  <c r="P1205" i="10"/>
  <c r="Q1205" i="10"/>
  <c r="R1205" i="10"/>
  <c r="S1205" i="10"/>
  <c r="T1205" i="10"/>
  <c r="U1205" i="10"/>
  <c r="V1205" i="10"/>
  <c r="W1205" i="10"/>
  <c r="X1205" i="10"/>
  <c r="Y1205" i="10"/>
  <c r="Z1205" i="10"/>
  <c r="AA1205" i="10"/>
  <c r="AB1205" i="10"/>
  <c r="F1206" i="10"/>
  <c r="G1206" i="10"/>
  <c r="H1206" i="10"/>
  <c r="I1206" i="10"/>
  <c r="J1206" i="10"/>
  <c r="K1206" i="10"/>
  <c r="L1206" i="10"/>
  <c r="M1206" i="10"/>
  <c r="N1206" i="10"/>
  <c r="P1206" i="10"/>
  <c r="Q1206" i="10"/>
  <c r="R1206" i="10"/>
  <c r="S1206" i="10"/>
  <c r="T1206" i="10"/>
  <c r="U1206" i="10"/>
  <c r="V1206" i="10"/>
  <c r="W1206" i="10"/>
  <c r="X1206" i="10"/>
  <c r="Y1206" i="10"/>
  <c r="Z1206" i="10"/>
  <c r="AA1206" i="10"/>
  <c r="AB1206" i="10"/>
  <c r="F1207" i="10"/>
  <c r="G1207" i="10"/>
  <c r="H1207" i="10"/>
  <c r="I1207" i="10"/>
  <c r="J1207" i="10"/>
  <c r="K1207" i="10"/>
  <c r="L1207" i="10"/>
  <c r="M1207" i="10"/>
  <c r="N1207" i="10"/>
  <c r="P1207" i="10"/>
  <c r="Q1207" i="10"/>
  <c r="R1207" i="10"/>
  <c r="S1207" i="10"/>
  <c r="T1207" i="10"/>
  <c r="U1207" i="10"/>
  <c r="V1207" i="10"/>
  <c r="W1207" i="10"/>
  <c r="X1207" i="10"/>
  <c r="Y1207" i="10"/>
  <c r="Z1207" i="10"/>
  <c r="AA1207" i="10"/>
  <c r="AB1207" i="10"/>
  <c r="F1208" i="10"/>
  <c r="G1208" i="10"/>
  <c r="H1208" i="10"/>
  <c r="I1208" i="10"/>
  <c r="J1208" i="10"/>
  <c r="K1208" i="10"/>
  <c r="L1208" i="10"/>
  <c r="M1208" i="10"/>
  <c r="N1208" i="10"/>
  <c r="P1208" i="10"/>
  <c r="Q1208" i="10"/>
  <c r="R1208" i="10"/>
  <c r="S1208" i="10"/>
  <c r="T1208" i="10"/>
  <c r="U1208" i="10"/>
  <c r="V1208" i="10"/>
  <c r="W1208" i="10"/>
  <c r="X1208" i="10"/>
  <c r="Y1208" i="10"/>
  <c r="Z1208" i="10"/>
  <c r="AA1208" i="10"/>
  <c r="AB1208" i="10"/>
  <c r="F1209" i="10"/>
  <c r="G1209" i="10"/>
  <c r="H1209" i="10"/>
  <c r="I1209" i="10"/>
  <c r="J1209" i="10"/>
  <c r="K1209" i="10"/>
  <c r="L1209" i="10"/>
  <c r="M1209" i="10"/>
  <c r="N1209" i="10"/>
  <c r="P1209" i="10"/>
  <c r="Q1209" i="10"/>
  <c r="R1209" i="10"/>
  <c r="S1209" i="10"/>
  <c r="T1209" i="10"/>
  <c r="U1209" i="10"/>
  <c r="V1209" i="10"/>
  <c r="W1209" i="10"/>
  <c r="X1209" i="10"/>
  <c r="Y1209" i="10"/>
  <c r="Z1209" i="10"/>
  <c r="AA1209" i="10"/>
  <c r="AB1209" i="10"/>
  <c r="F1210" i="10"/>
  <c r="G1210" i="10"/>
  <c r="H1210" i="10"/>
  <c r="I1210" i="10"/>
  <c r="J1210" i="10"/>
  <c r="K1210" i="10"/>
  <c r="L1210" i="10"/>
  <c r="M1210" i="10"/>
  <c r="N1210" i="10"/>
  <c r="P1210" i="10"/>
  <c r="Q1210" i="10"/>
  <c r="R1210" i="10"/>
  <c r="S1210" i="10"/>
  <c r="T1210" i="10"/>
  <c r="U1210" i="10"/>
  <c r="V1210" i="10"/>
  <c r="W1210" i="10"/>
  <c r="X1210" i="10"/>
  <c r="Y1210" i="10"/>
  <c r="Z1210" i="10"/>
  <c r="AA1210" i="10"/>
  <c r="AB1210" i="10"/>
  <c r="F1211" i="10"/>
  <c r="G1211" i="10"/>
  <c r="H1211" i="10"/>
  <c r="I1211" i="10"/>
  <c r="J1211" i="10"/>
  <c r="K1211" i="10"/>
  <c r="L1211" i="10"/>
  <c r="M1211" i="10"/>
  <c r="N1211" i="10"/>
  <c r="P1211" i="10"/>
  <c r="Q1211" i="10"/>
  <c r="R1211" i="10"/>
  <c r="S1211" i="10"/>
  <c r="T1211" i="10"/>
  <c r="U1211" i="10"/>
  <c r="V1211" i="10"/>
  <c r="W1211" i="10"/>
  <c r="X1211" i="10"/>
  <c r="Y1211" i="10"/>
  <c r="Z1211" i="10"/>
  <c r="AA1211" i="10"/>
  <c r="AB1211" i="10"/>
  <c r="F1212" i="10"/>
  <c r="G1212" i="10"/>
  <c r="H1212" i="10"/>
  <c r="I1212" i="10"/>
  <c r="J1212" i="10"/>
  <c r="K1212" i="10"/>
  <c r="L1212" i="10"/>
  <c r="M1212" i="10"/>
  <c r="N1212" i="10"/>
  <c r="P1212" i="10"/>
  <c r="Q1212" i="10"/>
  <c r="R1212" i="10"/>
  <c r="S1212" i="10"/>
  <c r="T1212" i="10"/>
  <c r="U1212" i="10"/>
  <c r="V1212" i="10"/>
  <c r="W1212" i="10"/>
  <c r="X1212" i="10"/>
  <c r="Y1212" i="10"/>
  <c r="Z1212" i="10"/>
  <c r="AA1212" i="10"/>
  <c r="AB1212" i="10"/>
  <c r="F1213" i="10"/>
  <c r="G1213" i="10"/>
  <c r="H1213" i="10"/>
  <c r="I1213" i="10"/>
  <c r="J1213" i="10"/>
  <c r="K1213" i="10"/>
  <c r="L1213" i="10"/>
  <c r="M1213" i="10"/>
  <c r="N1213" i="10"/>
  <c r="P1213" i="10"/>
  <c r="Q1213" i="10"/>
  <c r="R1213" i="10"/>
  <c r="S1213" i="10"/>
  <c r="T1213" i="10"/>
  <c r="U1213" i="10"/>
  <c r="V1213" i="10"/>
  <c r="W1213" i="10"/>
  <c r="X1213" i="10"/>
  <c r="Y1213" i="10"/>
  <c r="Z1213" i="10"/>
  <c r="AA1213" i="10"/>
  <c r="AB1213" i="10"/>
  <c r="F1214" i="10"/>
  <c r="G1214" i="10"/>
  <c r="H1214" i="10"/>
  <c r="I1214" i="10"/>
  <c r="J1214" i="10"/>
  <c r="K1214" i="10"/>
  <c r="L1214" i="10"/>
  <c r="M1214" i="10"/>
  <c r="N1214" i="10"/>
  <c r="P1214" i="10"/>
  <c r="Q1214" i="10"/>
  <c r="R1214" i="10"/>
  <c r="S1214" i="10"/>
  <c r="T1214" i="10"/>
  <c r="U1214" i="10"/>
  <c r="V1214" i="10"/>
  <c r="W1214" i="10"/>
  <c r="X1214" i="10"/>
  <c r="Y1214" i="10"/>
  <c r="Z1214" i="10"/>
  <c r="AA1214" i="10"/>
  <c r="AB1214" i="10"/>
  <c r="F1215" i="10"/>
  <c r="G1215" i="10"/>
  <c r="H1215" i="10"/>
  <c r="I1215" i="10"/>
  <c r="J1215" i="10"/>
  <c r="K1215" i="10"/>
  <c r="L1215" i="10"/>
  <c r="M1215" i="10"/>
  <c r="N1215" i="10"/>
  <c r="P1215" i="10"/>
  <c r="Q1215" i="10"/>
  <c r="R1215" i="10"/>
  <c r="S1215" i="10"/>
  <c r="T1215" i="10"/>
  <c r="U1215" i="10"/>
  <c r="V1215" i="10"/>
  <c r="W1215" i="10"/>
  <c r="X1215" i="10"/>
  <c r="Y1215" i="10"/>
  <c r="Z1215" i="10"/>
  <c r="AA1215" i="10"/>
  <c r="AB1215" i="10"/>
  <c r="F1216" i="10"/>
  <c r="G1216" i="10"/>
  <c r="H1216" i="10"/>
  <c r="I1216" i="10"/>
  <c r="J1216" i="10"/>
  <c r="K1216" i="10"/>
  <c r="L1216" i="10"/>
  <c r="M1216" i="10"/>
  <c r="N1216" i="10"/>
  <c r="P1216" i="10"/>
  <c r="Q1216" i="10"/>
  <c r="R1216" i="10"/>
  <c r="S1216" i="10"/>
  <c r="T1216" i="10"/>
  <c r="U1216" i="10"/>
  <c r="V1216" i="10"/>
  <c r="W1216" i="10"/>
  <c r="X1216" i="10"/>
  <c r="Y1216" i="10"/>
  <c r="Z1216" i="10"/>
  <c r="AA1216" i="10"/>
  <c r="AB1216" i="10"/>
  <c r="F1217" i="10"/>
  <c r="G1217" i="10"/>
  <c r="H1217" i="10"/>
  <c r="I1217" i="10"/>
  <c r="J1217" i="10"/>
  <c r="K1217" i="10"/>
  <c r="L1217" i="10"/>
  <c r="M1217" i="10"/>
  <c r="N1217" i="10"/>
  <c r="P1217" i="10"/>
  <c r="Q1217" i="10"/>
  <c r="R1217" i="10"/>
  <c r="S1217" i="10"/>
  <c r="T1217" i="10"/>
  <c r="U1217" i="10"/>
  <c r="V1217" i="10"/>
  <c r="W1217" i="10"/>
  <c r="X1217" i="10"/>
  <c r="Y1217" i="10"/>
  <c r="Z1217" i="10"/>
  <c r="AA1217" i="10"/>
  <c r="AB1217" i="10"/>
  <c r="F1218" i="10"/>
  <c r="G1218" i="10"/>
  <c r="H1218" i="10"/>
  <c r="I1218" i="10"/>
  <c r="J1218" i="10"/>
  <c r="K1218" i="10"/>
  <c r="L1218" i="10"/>
  <c r="M1218" i="10"/>
  <c r="N1218" i="10"/>
  <c r="P1218" i="10"/>
  <c r="Q1218" i="10"/>
  <c r="R1218" i="10"/>
  <c r="S1218" i="10"/>
  <c r="T1218" i="10"/>
  <c r="U1218" i="10"/>
  <c r="V1218" i="10"/>
  <c r="W1218" i="10"/>
  <c r="X1218" i="10"/>
  <c r="Y1218" i="10"/>
  <c r="Z1218" i="10"/>
  <c r="AA1218" i="10"/>
  <c r="AB1218" i="10"/>
  <c r="F1219" i="10"/>
  <c r="G1219" i="10"/>
  <c r="H1219" i="10"/>
  <c r="I1219" i="10"/>
  <c r="J1219" i="10"/>
  <c r="K1219" i="10"/>
  <c r="L1219" i="10"/>
  <c r="M1219" i="10"/>
  <c r="N1219" i="10"/>
  <c r="P1219" i="10"/>
  <c r="Q1219" i="10"/>
  <c r="R1219" i="10"/>
  <c r="S1219" i="10"/>
  <c r="T1219" i="10"/>
  <c r="U1219" i="10"/>
  <c r="V1219" i="10"/>
  <c r="W1219" i="10"/>
  <c r="X1219" i="10"/>
  <c r="Y1219" i="10"/>
  <c r="Z1219" i="10"/>
  <c r="AA1219" i="10"/>
  <c r="AB1219" i="10"/>
  <c r="F1220" i="10"/>
  <c r="G1220" i="10"/>
  <c r="H1220" i="10"/>
  <c r="I1220" i="10"/>
  <c r="J1220" i="10"/>
  <c r="K1220" i="10"/>
  <c r="L1220" i="10"/>
  <c r="M1220" i="10"/>
  <c r="N1220" i="10"/>
  <c r="P1220" i="10"/>
  <c r="Q1220" i="10"/>
  <c r="R1220" i="10"/>
  <c r="S1220" i="10"/>
  <c r="T1220" i="10"/>
  <c r="U1220" i="10"/>
  <c r="V1220" i="10"/>
  <c r="W1220" i="10"/>
  <c r="X1220" i="10"/>
  <c r="Y1220" i="10"/>
  <c r="Z1220" i="10"/>
  <c r="AA1220" i="10"/>
  <c r="AB1220" i="10"/>
  <c r="F1221" i="10"/>
  <c r="G1221" i="10"/>
  <c r="H1221" i="10"/>
  <c r="I1221" i="10"/>
  <c r="J1221" i="10"/>
  <c r="K1221" i="10"/>
  <c r="L1221" i="10"/>
  <c r="M1221" i="10"/>
  <c r="N1221" i="10"/>
  <c r="P1221" i="10"/>
  <c r="Q1221" i="10"/>
  <c r="R1221" i="10"/>
  <c r="S1221" i="10"/>
  <c r="T1221" i="10"/>
  <c r="U1221" i="10"/>
  <c r="V1221" i="10"/>
  <c r="W1221" i="10"/>
  <c r="X1221" i="10"/>
  <c r="Y1221" i="10"/>
  <c r="Z1221" i="10"/>
  <c r="AA1221" i="10"/>
  <c r="AB1221" i="10"/>
  <c r="F1222" i="10"/>
  <c r="G1222" i="10"/>
  <c r="H1222" i="10"/>
  <c r="I1222" i="10"/>
  <c r="J1222" i="10"/>
  <c r="K1222" i="10"/>
  <c r="L1222" i="10"/>
  <c r="M1222" i="10"/>
  <c r="N1222" i="10"/>
  <c r="P1222" i="10"/>
  <c r="Q1222" i="10"/>
  <c r="R1222" i="10"/>
  <c r="S1222" i="10"/>
  <c r="T1222" i="10"/>
  <c r="U1222" i="10"/>
  <c r="V1222" i="10"/>
  <c r="W1222" i="10"/>
  <c r="X1222" i="10"/>
  <c r="Y1222" i="10"/>
  <c r="Z1222" i="10"/>
  <c r="AA1222" i="10"/>
  <c r="AB1222" i="10"/>
  <c r="F1223" i="10"/>
  <c r="G1223" i="10"/>
  <c r="H1223" i="10"/>
  <c r="I1223" i="10"/>
  <c r="J1223" i="10"/>
  <c r="K1223" i="10"/>
  <c r="L1223" i="10"/>
  <c r="M1223" i="10"/>
  <c r="N1223" i="10"/>
  <c r="P1223" i="10"/>
  <c r="Q1223" i="10"/>
  <c r="R1223" i="10"/>
  <c r="S1223" i="10"/>
  <c r="T1223" i="10"/>
  <c r="U1223" i="10"/>
  <c r="V1223" i="10"/>
  <c r="W1223" i="10"/>
  <c r="X1223" i="10"/>
  <c r="Y1223" i="10"/>
  <c r="Z1223" i="10"/>
  <c r="AA1223" i="10"/>
  <c r="AB1223" i="10"/>
  <c r="F1224" i="10"/>
  <c r="G1224" i="10"/>
  <c r="H1224" i="10"/>
  <c r="I1224" i="10"/>
  <c r="J1224" i="10"/>
  <c r="K1224" i="10"/>
  <c r="L1224" i="10"/>
  <c r="M1224" i="10"/>
  <c r="N1224" i="10"/>
  <c r="P1224" i="10"/>
  <c r="Q1224" i="10"/>
  <c r="R1224" i="10"/>
  <c r="S1224" i="10"/>
  <c r="T1224" i="10"/>
  <c r="U1224" i="10"/>
  <c r="V1224" i="10"/>
  <c r="W1224" i="10"/>
  <c r="X1224" i="10"/>
  <c r="Y1224" i="10"/>
  <c r="Z1224" i="10"/>
  <c r="AA1224" i="10"/>
  <c r="AB1224" i="10"/>
  <c r="F1225" i="10"/>
  <c r="G1225" i="10"/>
  <c r="H1225" i="10"/>
  <c r="I1225" i="10"/>
  <c r="J1225" i="10"/>
  <c r="K1225" i="10"/>
  <c r="L1225" i="10"/>
  <c r="M1225" i="10"/>
  <c r="N1225" i="10"/>
  <c r="P1225" i="10"/>
  <c r="Q1225" i="10"/>
  <c r="R1225" i="10"/>
  <c r="S1225" i="10"/>
  <c r="T1225" i="10"/>
  <c r="U1225" i="10"/>
  <c r="V1225" i="10"/>
  <c r="W1225" i="10"/>
  <c r="X1225" i="10"/>
  <c r="Y1225" i="10"/>
  <c r="Z1225" i="10"/>
  <c r="AA1225" i="10"/>
  <c r="AB1225" i="10"/>
  <c r="F1226" i="10"/>
  <c r="G1226" i="10"/>
  <c r="H1226" i="10"/>
  <c r="I1226" i="10"/>
  <c r="J1226" i="10"/>
  <c r="K1226" i="10"/>
  <c r="L1226" i="10"/>
  <c r="M1226" i="10"/>
  <c r="N1226" i="10"/>
  <c r="P1226" i="10"/>
  <c r="Q1226" i="10"/>
  <c r="R1226" i="10"/>
  <c r="S1226" i="10"/>
  <c r="T1226" i="10"/>
  <c r="U1226" i="10"/>
  <c r="V1226" i="10"/>
  <c r="W1226" i="10"/>
  <c r="X1226" i="10"/>
  <c r="Y1226" i="10"/>
  <c r="Z1226" i="10"/>
  <c r="AA1226" i="10"/>
  <c r="AB1226" i="10"/>
  <c r="F1227" i="10"/>
  <c r="G1227" i="10"/>
  <c r="H1227" i="10"/>
  <c r="I1227" i="10"/>
  <c r="J1227" i="10"/>
  <c r="K1227" i="10"/>
  <c r="L1227" i="10"/>
  <c r="M1227" i="10"/>
  <c r="N1227" i="10"/>
  <c r="P1227" i="10"/>
  <c r="Q1227" i="10"/>
  <c r="R1227" i="10"/>
  <c r="S1227" i="10"/>
  <c r="T1227" i="10"/>
  <c r="U1227" i="10"/>
  <c r="V1227" i="10"/>
  <c r="W1227" i="10"/>
  <c r="X1227" i="10"/>
  <c r="Y1227" i="10"/>
  <c r="Z1227" i="10"/>
  <c r="AA1227" i="10"/>
  <c r="AB1227" i="10"/>
  <c r="F1228" i="10"/>
  <c r="G1228" i="10"/>
  <c r="H1228" i="10"/>
  <c r="I1228" i="10"/>
  <c r="J1228" i="10"/>
  <c r="K1228" i="10"/>
  <c r="L1228" i="10"/>
  <c r="M1228" i="10"/>
  <c r="N1228" i="10"/>
  <c r="P1228" i="10"/>
  <c r="Q1228" i="10"/>
  <c r="R1228" i="10"/>
  <c r="S1228" i="10"/>
  <c r="T1228" i="10"/>
  <c r="U1228" i="10"/>
  <c r="V1228" i="10"/>
  <c r="W1228" i="10"/>
  <c r="X1228" i="10"/>
  <c r="Y1228" i="10"/>
  <c r="Z1228" i="10"/>
  <c r="AA1228" i="10"/>
  <c r="AB1228" i="10"/>
  <c r="F1229" i="10"/>
  <c r="G1229" i="10"/>
  <c r="H1229" i="10"/>
  <c r="I1229" i="10"/>
  <c r="J1229" i="10"/>
  <c r="K1229" i="10"/>
  <c r="L1229" i="10"/>
  <c r="M1229" i="10"/>
  <c r="N1229" i="10"/>
  <c r="P1229" i="10"/>
  <c r="Q1229" i="10"/>
  <c r="R1229" i="10"/>
  <c r="S1229" i="10"/>
  <c r="T1229" i="10"/>
  <c r="U1229" i="10"/>
  <c r="V1229" i="10"/>
  <c r="W1229" i="10"/>
  <c r="X1229" i="10"/>
  <c r="Y1229" i="10"/>
  <c r="Z1229" i="10"/>
  <c r="AA1229" i="10"/>
  <c r="AB1229" i="10"/>
  <c r="F1230" i="10"/>
  <c r="G1230" i="10"/>
  <c r="H1230" i="10"/>
  <c r="I1230" i="10"/>
  <c r="J1230" i="10"/>
  <c r="K1230" i="10"/>
  <c r="L1230" i="10"/>
  <c r="M1230" i="10"/>
  <c r="N1230" i="10"/>
  <c r="P1230" i="10"/>
  <c r="Q1230" i="10"/>
  <c r="R1230" i="10"/>
  <c r="S1230" i="10"/>
  <c r="T1230" i="10"/>
  <c r="U1230" i="10"/>
  <c r="V1230" i="10"/>
  <c r="W1230" i="10"/>
  <c r="X1230" i="10"/>
  <c r="Y1230" i="10"/>
  <c r="Z1230" i="10"/>
  <c r="AA1230" i="10"/>
  <c r="AB1230" i="10"/>
  <c r="F1231" i="10"/>
  <c r="G1231" i="10"/>
  <c r="H1231" i="10"/>
  <c r="I1231" i="10"/>
  <c r="J1231" i="10"/>
  <c r="K1231" i="10"/>
  <c r="L1231" i="10"/>
  <c r="M1231" i="10"/>
  <c r="N1231" i="10"/>
  <c r="P1231" i="10"/>
  <c r="Q1231" i="10"/>
  <c r="R1231" i="10"/>
  <c r="S1231" i="10"/>
  <c r="T1231" i="10"/>
  <c r="U1231" i="10"/>
  <c r="V1231" i="10"/>
  <c r="W1231" i="10"/>
  <c r="X1231" i="10"/>
  <c r="Y1231" i="10"/>
  <c r="Z1231" i="10"/>
  <c r="AA1231" i="10"/>
  <c r="AB1231" i="10"/>
  <c r="F1232" i="10"/>
  <c r="G1232" i="10"/>
  <c r="H1232" i="10"/>
  <c r="I1232" i="10"/>
  <c r="J1232" i="10"/>
  <c r="K1232" i="10"/>
  <c r="L1232" i="10"/>
  <c r="M1232" i="10"/>
  <c r="N1232" i="10"/>
  <c r="P1232" i="10"/>
  <c r="Q1232" i="10"/>
  <c r="R1232" i="10"/>
  <c r="S1232" i="10"/>
  <c r="T1232" i="10"/>
  <c r="U1232" i="10"/>
  <c r="V1232" i="10"/>
  <c r="W1232" i="10"/>
  <c r="X1232" i="10"/>
  <c r="Y1232" i="10"/>
  <c r="Z1232" i="10"/>
  <c r="AA1232" i="10"/>
  <c r="AB1232" i="10"/>
  <c r="F1233" i="10"/>
  <c r="G1233" i="10"/>
  <c r="H1233" i="10"/>
  <c r="I1233" i="10"/>
  <c r="J1233" i="10"/>
  <c r="K1233" i="10"/>
  <c r="L1233" i="10"/>
  <c r="M1233" i="10"/>
  <c r="N1233" i="10"/>
  <c r="P1233" i="10"/>
  <c r="Q1233" i="10"/>
  <c r="R1233" i="10"/>
  <c r="S1233" i="10"/>
  <c r="T1233" i="10"/>
  <c r="U1233" i="10"/>
  <c r="V1233" i="10"/>
  <c r="W1233" i="10"/>
  <c r="X1233" i="10"/>
  <c r="Y1233" i="10"/>
  <c r="Z1233" i="10"/>
  <c r="AA1233" i="10"/>
  <c r="AB1233" i="10"/>
  <c r="F1234" i="10"/>
  <c r="G1234" i="10"/>
  <c r="H1234" i="10"/>
  <c r="I1234" i="10"/>
  <c r="J1234" i="10"/>
  <c r="K1234" i="10"/>
  <c r="L1234" i="10"/>
  <c r="M1234" i="10"/>
  <c r="N1234" i="10"/>
  <c r="P1234" i="10"/>
  <c r="Q1234" i="10"/>
  <c r="R1234" i="10"/>
  <c r="S1234" i="10"/>
  <c r="T1234" i="10"/>
  <c r="U1234" i="10"/>
  <c r="V1234" i="10"/>
  <c r="W1234" i="10"/>
  <c r="X1234" i="10"/>
  <c r="Y1234" i="10"/>
  <c r="Z1234" i="10"/>
  <c r="AA1234" i="10"/>
  <c r="AB1234" i="10"/>
  <c r="F1235" i="10"/>
  <c r="G1235" i="10"/>
  <c r="H1235" i="10"/>
  <c r="I1235" i="10"/>
  <c r="J1235" i="10"/>
  <c r="K1235" i="10"/>
  <c r="L1235" i="10"/>
  <c r="M1235" i="10"/>
  <c r="N1235" i="10"/>
  <c r="P1235" i="10"/>
  <c r="Q1235" i="10"/>
  <c r="R1235" i="10"/>
  <c r="S1235" i="10"/>
  <c r="T1235" i="10"/>
  <c r="U1235" i="10"/>
  <c r="V1235" i="10"/>
  <c r="W1235" i="10"/>
  <c r="X1235" i="10"/>
  <c r="Y1235" i="10"/>
  <c r="Z1235" i="10"/>
  <c r="AA1235" i="10"/>
  <c r="AB1235" i="10"/>
  <c r="F1236" i="10"/>
  <c r="G1236" i="10"/>
  <c r="H1236" i="10"/>
  <c r="I1236" i="10"/>
  <c r="J1236" i="10"/>
  <c r="K1236" i="10"/>
  <c r="L1236" i="10"/>
  <c r="M1236" i="10"/>
  <c r="N1236" i="10"/>
  <c r="P1236" i="10"/>
  <c r="Q1236" i="10"/>
  <c r="R1236" i="10"/>
  <c r="S1236" i="10"/>
  <c r="T1236" i="10"/>
  <c r="U1236" i="10"/>
  <c r="V1236" i="10"/>
  <c r="W1236" i="10"/>
  <c r="X1236" i="10"/>
  <c r="Y1236" i="10"/>
  <c r="Z1236" i="10"/>
  <c r="AA1236" i="10"/>
  <c r="AB1236" i="10"/>
  <c r="F1237" i="10"/>
  <c r="G1237" i="10"/>
  <c r="H1237" i="10"/>
  <c r="I1237" i="10"/>
  <c r="J1237" i="10"/>
  <c r="K1237" i="10"/>
  <c r="L1237" i="10"/>
  <c r="M1237" i="10"/>
  <c r="N1237" i="10"/>
  <c r="P1237" i="10"/>
  <c r="Q1237" i="10"/>
  <c r="R1237" i="10"/>
  <c r="S1237" i="10"/>
  <c r="T1237" i="10"/>
  <c r="U1237" i="10"/>
  <c r="V1237" i="10"/>
  <c r="W1237" i="10"/>
  <c r="X1237" i="10"/>
  <c r="Y1237" i="10"/>
  <c r="Z1237" i="10"/>
  <c r="AA1237" i="10"/>
  <c r="AB1237" i="10"/>
  <c r="F1238" i="10"/>
  <c r="G1238" i="10"/>
  <c r="H1238" i="10"/>
  <c r="I1238" i="10"/>
  <c r="J1238" i="10"/>
  <c r="K1238" i="10"/>
  <c r="L1238" i="10"/>
  <c r="M1238" i="10"/>
  <c r="N1238" i="10"/>
  <c r="P1238" i="10"/>
  <c r="Q1238" i="10"/>
  <c r="R1238" i="10"/>
  <c r="S1238" i="10"/>
  <c r="T1238" i="10"/>
  <c r="U1238" i="10"/>
  <c r="V1238" i="10"/>
  <c r="W1238" i="10"/>
  <c r="X1238" i="10"/>
  <c r="Y1238" i="10"/>
  <c r="Z1238" i="10"/>
  <c r="AA1238" i="10"/>
  <c r="AB1238" i="10"/>
  <c r="F1239" i="10"/>
  <c r="G1239" i="10"/>
  <c r="H1239" i="10"/>
  <c r="I1239" i="10"/>
  <c r="J1239" i="10"/>
  <c r="K1239" i="10"/>
  <c r="L1239" i="10"/>
  <c r="M1239" i="10"/>
  <c r="N1239" i="10"/>
  <c r="P1239" i="10"/>
  <c r="Q1239" i="10"/>
  <c r="R1239" i="10"/>
  <c r="S1239" i="10"/>
  <c r="T1239" i="10"/>
  <c r="U1239" i="10"/>
  <c r="V1239" i="10"/>
  <c r="W1239" i="10"/>
  <c r="X1239" i="10"/>
  <c r="Y1239" i="10"/>
  <c r="Z1239" i="10"/>
  <c r="AA1239" i="10"/>
  <c r="AB1239" i="10"/>
  <c r="F1240" i="10"/>
  <c r="G1240" i="10"/>
  <c r="H1240" i="10"/>
  <c r="I1240" i="10"/>
  <c r="J1240" i="10"/>
  <c r="K1240" i="10"/>
  <c r="L1240" i="10"/>
  <c r="M1240" i="10"/>
  <c r="N1240" i="10"/>
  <c r="P1240" i="10"/>
  <c r="Q1240" i="10"/>
  <c r="R1240" i="10"/>
  <c r="S1240" i="10"/>
  <c r="T1240" i="10"/>
  <c r="U1240" i="10"/>
  <c r="V1240" i="10"/>
  <c r="W1240" i="10"/>
  <c r="X1240" i="10"/>
  <c r="Y1240" i="10"/>
  <c r="Z1240" i="10"/>
  <c r="AA1240" i="10"/>
  <c r="AB1240" i="10"/>
  <c r="F1241" i="10"/>
  <c r="G1241" i="10"/>
  <c r="H1241" i="10"/>
  <c r="I1241" i="10"/>
  <c r="J1241" i="10"/>
  <c r="K1241" i="10"/>
  <c r="L1241" i="10"/>
  <c r="M1241" i="10"/>
  <c r="N1241" i="10"/>
  <c r="P1241" i="10"/>
  <c r="Q1241" i="10"/>
  <c r="R1241" i="10"/>
  <c r="S1241" i="10"/>
  <c r="T1241" i="10"/>
  <c r="U1241" i="10"/>
  <c r="V1241" i="10"/>
  <c r="W1241" i="10"/>
  <c r="X1241" i="10"/>
  <c r="Y1241" i="10"/>
  <c r="Z1241" i="10"/>
  <c r="AA1241" i="10"/>
  <c r="AB1241" i="10"/>
  <c r="F1242" i="10"/>
  <c r="G1242" i="10"/>
  <c r="H1242" i="10"/>
  <c r="I1242" i="10"/>
  <c r="J1242" i="10"/>
  <c r="K1242" i="10"/>
  <c r="L1242" i="10"/>
  <c r="M1242" i="10"/>
  <c r="N1242" i="10"/>
  <c r="P1242" i="10"/>
  <c r="Q1242" i="10"/>
  <c r="R1242" i="10"/>
  <c r="S1242" i="10"/>
  <c r="T1242" i="10"/>
  <c r="U1242" i="10"/>
  <c r="V1242" i="10"/>
  <c r="W1242" i="10"/>
  <c r="X1242" i="10"/>
  <c r="Y1242" i="10"/>
  <c r="Z1242" i="10"/>
  <c r="AA1242" i="10"/>
  <c r="AB1242" i="10"/>
  <c r="F1243" i="10"/>
  <c r="G1243" i="10"/>
  <c r="H1243" i="10"/>
  <c r="I1243" i="10"/>
  <c r="J1243" i="10"/>
  <c r="K1243" i="10"/>
  <c r="L1243" i="10"/>
  <c r="M1243" i="10"/>
  <c r="N1243" i="10"/>
  <c r="P1243" i="10"/>
  <c r="Q1243" i="10"/>
  <c r="R1243" i="10"/>
  <c r="S1243" i="10"/>
  <c r="T1243" i="10"/>
  <c r="U1243" i="10"/>
  <c r="V1243" i="10"/>
  <c r="W1243" i="10"/>
  <c r="X1243" i="10"/>
  <c r="Y1243" i="10"/>
  <c r="Z1243" i="10"/>
  <c r="AA1243" i="10"/>
  <c r="AB1243" i="10"/>
  <c r="F1244" i="10"/>
  <c r="G1244" i="10"/>
  <c r="H1244" i="10"/>
  <c r="I1244" i="10"/>
  <c r="J1244" i="10"/>
  <c r="K1244" i="10"/>
  <c r="L1244" i="10"/>
  <c r="M1244" i="10"/>
  <c r="N1244" i="10"/>
  <c r="P1244" i="10"/>
  <c r="Q1244" i="10"/>
  <c r="R1244" i="10"/>
  <c r="S1244" i="10"/>
  <c r="T1244" i="10"/>
  <c r="U1244" i="10"/>
  <c r="V1244" i="10"/>
  <c r="W1244" i="10"/>
  <c r="X1244" i="10"/>
  <c r="Y1244" i="10"/>
  <c r="Z1244" i="10"/>
  <c r="AA1244" i="10"/>
  <c r="AB1244" i="10"/>
  <c r="F1245" i="10"/>
  <c r="G1245" i="10"/>
  <c r="H1245" i="10"/>
  <c r="I1245" i="10"/>
  <c r="J1245" i="10"/>
  <c r="K1245" i="10"/>
  <c r="L1245" i="10"/>
  <c r="M1245" i="10"/>
  <c r="N1245" i="10"/>
  <c r="P1245" i="10"/>
  <c r="Q1245" i="10"/>
  <c r="R1245" i="10"/>
  <c r="S1245" i="10"/>
  <c r="T1245" i="10"/>
  <c r="U1245" i="10"/>
  <c r="V1245" i="10"/>
  <c r="W1245" i="10"/>
  <c r="X1245" i="10"/>
  <c r="Y1245" i="10"/>
  <c r="Z1245" i="10"/>
  <c r="AA1245" i="10"/>
  <c r="AB1245" i="10"/>
  <c r="F1246" i="10"/>
  <c r="G1246" i="10"/>
  <c r="H1246" i="10"/>
  <c r="I1246" i="10"/>
  <c r="J1246" i="10"/>
  <c r="K1246" i="10"/>
  <c r="L1246" i="10"/>
  <c r="M1246" i="10"/>
  <c r="N1246" i="10"/>
  <c r="P1246" i="10"/>
  <c r="Q1246" i="10"/>
  <c r="R1246" i="10"/>
  <c r="S1246" i="10"/>
  <c r="T1246" i="10"/>
  <c r="U1246" i="10"/>
  <c r="V1246" i="10"/>
  <c r="W1246" i="10"/>
  <c r="X1246" i="10"/>
  <c r="Y1246" i="10"/>
  <c r="Z1246" i="10"/>
  <c r="AA1246" i="10"/>
  <c r="AB1246" i="10"/>
  <c r="F1247" i="10"/>
  <c r="G1247" i="10"/>
  <c r="H1247" i="10"/>
  <c r="I1247" i="10"/>
  <c r="J1247" i="10"/>
  <c r="K1247" i="10"/>
  <c r="L1247" i="10"/>
  <c r="M1247" i="10"/>
  <c r="N1247" i="10"/>
  <c r="P1247" i="10"/>
  <c r="Q1247" i="10"/>
  <c r="R1247" i="10"/>
  <c r="S1247" i="10"/>
  <c r="T1247" i="10"/>
  <c r="U1247" i="10"/>
  <c r="V1247" i="10"/>
  <c r="W1247" i="10"/>
  <c r="X1247" i="10"/>
  <c r="Y1247" i="10"/>
  <c r="Z1247" i="10"/>
  <c r="AA1247" i="10"/>
  <c r="AB1247" i="10"/>
  <c r="F1248" i="10"/>
  <c r="G1248" i="10"/>
  <c r="H1248" i="10"/>
  <c r="I1248" i="10"/>
  <c r="J1248" i="10"/>
  <c r="K1248" i="10"/>
  <c r="L1248" i="10"/>
  <c r="M1248" i="10"/>
  <c r="N1248" i="10"/>
  <c r="P1248" i="10"/>
  <c r="Q1248" i="10"/>
  <c r="R1248" i="10"/>
  <c r="S1248" i="10"/>
  <c r="T1248" i="10"/>
  <c r="U1248" i="10"/>
  <c r="V1248" i="10"/>
  <c r="W1248" i="10"/>
  <c r="X1248" i="10"/>
  <c r="Y1248" i="10"/>
  <c r="Z1248" i="10"/>
  <c r="AA1248" i="10"/>
  <c r="AB1248" i="10"/>
  <c r="F1249" i="10"/>
  <c r="G1249" i="10"/>
  <c r="H1249" i="10"/>
  <c r="I1249" i="10"/>
  <c r="J1249" i="10"/>
  <c r="K1249" i="10"/>
  <c r="L1249" i="10"/>
  <c r="M1249" i="10"/>
  <c r="N1249" i="10"/>
  <c r="P1249" i="10"/>
  <c r="Q1249" i="10"/>
  <c r="R1249" i="10"/>
  <c r="S1249" i="10"/>
  <c r="T1249" i="10"/>
  <c r="U1249" i="10"/>
  <c r="V1249" i="10"/>
  <c r="W1249" i="10"/>
  <c r="X1249" i="10"/>
  <c r="Y1249" i="10"/>
  <c r="Z1249" i="10"/>
  <c r="AA1249" i="10"/>
  <c r="AB1249" i="10"/>
  <c r="F1250" i="10"/>
  <c r="G1250" i="10"/>
  <c r="H1250" i="10"/>
  <c r="I1250" i="10"/>
  <c r="J1250" i="10"/>
  <c r="K1250" i="10"/>
  <c r="L1250" i="10"/>
  <c r="M1250" i="10"/>
  <c r="N1250" i="10"/>
  <c r="P1250" i="10"/>
  <c r="Q1250" i="10"/>
  <c r="R1250" i="10"/>
  <c r="S1250" i="10"/>
  <c r="T1250" i="10"/>
  <c r="U1250" i="10"/>
  <c r="V1250" i="10"/>
  <c r="W1250" i="10"/>
  <c r="X1250" i="10"/>
  <c r="Y1250" i="10"/>
  <c r="Z1250" i="10"/>
  <c r="AA1250" i="10"/>
  <c r="AB1250" i="10"/>
  <c r="F1251" i="10"/>
  <c r="G1251" i="10"/>
  <c r="H1251" i="10"/>
  <c r="I1251" i="10"/>
  <c r="J1251" i="10"/>
  <c r="K1251" i="10"/>
  <c r="L1251" i="10"/>
  <c r="M1251" i="10"/>
  <c r="N1251" i="10"/>
  <c r="P1251" i="10"/>
  <c r="Q1251" i="10"/>
  <c r="R1251" i="10"/>
  <c r="S1251" i="10"/>
  <c r="T1251" i="10"/>
  <c r="U1251" i="10"/>
  <c r="V1251" i="10"/>
  <c r="W1251" i="10"/>
  <c r="X1251" i="10"/>
  <c r="Y1251" i="10"/>
  <c r="Z1251" i="10"/>
  <c r="AA1251" i="10"/>
  <c r="AB1251" i="10"/>
  <c r="F1252" i="10"/>
  <c r="G1252" i="10"/>
  <c r="H1252" i="10"/>
  <c r="I1252" i="10"/>
  <c r="J1252" i="10"/>
  <c r="K1252" i="10"/>
  <c r="L1252" i="10"/>
  <c r="M1252" i="10"/>
  <c r="N1252" i="10"/>
  <c r="P1252" i="10"/>
  <c r="Q1252" i="10"/>
  <c r="R1252" i="10"/>
  <c r="S1252" i="10"/>
  <c r="T1252" i="10"/>
  <c r="U1252" i="10"/>
  <c r="V1252" i="10"/>
  <c r="W1252" i="10"/>
  <c r="X1252" i="10"/>
  <c r="Y1252" i="10"/>
  <c r="Z1252" i="10"/>
  <c r="AA1252" i="10"/>
  <c r="AB1252" i="10"/>
  <c r="F1253" i="10"/>
  <c r="G1253" i="10"/>
  <c r="H1253" i="10"/>
  <c r="I1253" i="10"/>
  <c r="J1253" i="10"/>
  <c r="K1253" i="10"/>
  <c r="L1253" i="10"/>
  <c r="M1253" i="10"/>
  <c r="N1253" i="10"/>
  <c r="P1253" i="10"/>
  <c r="Q1253" i="10"/>
  <c r="R1253" i="10"/>
  <c r="S1253" i="10"/>
  <c r="T1253" i="10"/>
  <c r="U1253" i="10"/>
  <c r="V1253" i="10"/>
  <c r="W1253" i="10"/>
  <c r="X1253" i="10"/>
  <c r="Y1253" i="10"/>
  <c r="Z1253" i="10"/>
  <c r="AA1253" i="10"/>
  <c r="AB1253" i="10"/>
  <c r="F1254" i="10"/>
  <c r="G1254" i="10"/>
  <c r="H1254" i="10"/>
  <c r="I1254" i="10"/>
  <c r="J1254" i="10"/>
  <c r="K1254" i="10"/>
  <c r="L1254" i="10"/>
  <c r="M1254" i="10"/>
  <c r="N1254" i="10"/>
  <c r="P1254" i="10"/>
  <c r="Q1254" i="10"/>
  <c r="R1254" i="10"/>
  <c r="S1254" i="10"/>
  <c r="T1254" i="10"/>
  <c r="U1254" i="10"/>
  <c r="V1254" i="10"/>
  <c r="W1254" i="10"/>
  <c r="X1254" i="10"/>
  <c r="Y1254" i="10"/>
  <c r="Z1254" i="10"/>
  <c r="AA1254" i="10"/>
  <c r="AB1254" i="10"/>
  <c r="F1255" i="10"/>
  <c r="G1255" i="10"/>
  <c r="H1255" i="10"/>
  <c r="I1255" i="10"/>
  <c r="J1255" i="10"/>
  <c r="K1255" i="10"/>
  <c r="L1255" i="10"/>
  <c r="M1255" i="10"/>
  <c r="N1255" i="10"/>
  <c r="P1255" i="10"/>
  <c r="Q1255" i="10"/>
  <c r="R1255" i="10"/>
  <c r="S1255" i="10"/>
  <c r="T1255" i="10"/>
  <c r="U1255" i="10"/>
  <c r="V1255" i="10"/>
  <c r="W1255" i="10"/>
  <c r="X1255" i="10"/>
  <c r="Y1255" i="10"/>
  <c r="Z1255" i="10"/>
  <c r="AA1255" i="10"/>
  <c r="AB1255" i="10"/>
  <c r="F1256" i="10"/>
  <c r="G1256" i="10"/>
  <c r="H1256" i="10"/>
  <c r="I1256" i="10"/>
  <c r="J1256" i="10"/>
  <c r="K1256" i="10"/>
  <c r="L1256" i="10"/>
  <c r="M1256" i="10"/>
  <c r="N1256" i="10"/>
  <c r="P1256" i="10"/>
  <c r="Q1256" i="10"/>
  <c r="R1256" i="10"/>
  <c r="S1256" i="10"/>
  <c r="T1256" i="10"/>
  <c r="U1256" i="10"/>
  <c r="V1256" i="10"/>
  <c r="W1256" i="10"/>
  <c r="X1256" i="10"/>
  <c r="Y1256" i="10"/>
  <c r="Z1256" i="10"/>
  <c r="AA1256" i="10"/>
  <c r="AB1256" i="10"/>
  <c r="F1257" i="10"/>
  <c r="G1257" i="10"/>
  <c r="H1257" i="10"/>
  <c r="I1257" i="10"/>
  <c r="J1257" i="10"/>
  <c r="K1257" i="10"/>
  <c r="L1257" i="10"/>
  <c r="M1257" i="10"/>
  <c r="N1257" i="10"/>
  <c r="P1257" i="10"/>
  <c r="Q1257" i="10"/>
  <c r="R1257" i="10"/>
  <c r="S1257" i="10"/>
  <c r="T1257" i="10"/>
  <c r="U1257" i="10"/>
  <c r="V1257" i="10"/>
  <c r="W1257" i="10"/>
  <c r="X1257" i="10"/>
  <c r="Y1257" i="10"/>
  <c r="Z1257" i="10"/>
  <c r="AA1257" i="10"/>
  <c r="AB1257" i="10"/>
  <c r="F1258" i="10"/>
  <c r="G1258" i="10"/>
  <c r="H1258" i="10"/>
  <c r="I1258" i="10"/>
  <c r="J1258" i="10"/>
  <c r="K1258" i="10"/>
  <c r="L1258" i="10"/>
  <c r="M1258" i="10"/>
  <c r="N1258" i="10"/>
  <c r="P1258" i="10"/>
  <c r="Q1258" i="10"/>
  <c r="R1258" i="10"/>
  <c r="S1258" i="10"/>
  <c r="T1258" i="10"/>
  <c r="U1258" i="10"/>
  <c r="V1258" i="10"/>
  <c r="W1258" i="10"/>
  <c r="X1258" i="10"/>
  <c r="Y1258" i="10"/>
  <c r="Z1258" i="10"/>
  <c r="AA1258" i="10"/>
  <c r="AB1258" i="10"/>
  <c r="F1259" i="10"/>
  <c r="G1259" i="10"/>
  <c r="H1259" i="10"/>
  <c r="I1259" i="10"/>
  <c r="J1259" i="10"/>
  <c r="K1259" i="10"/>
  <c r="L1259" i="10"/>
  <c r="M1259" i="10"/>
  <c r="N1259" i="10"/>
  <c r="P1259" i="10"/>
  <c r="Q1259" i="10"/>
  <c r="R1259" i="10"/>
  <c r="S1259" i="10"/>
  <c r="T1259" i="10"/>
  <c r="U1259" i="10"/>
  <c r="V1259" i="10"/>
  <c r="W1259" i="10"/>
  <c r="X1259" i="10"/>
  <c r="Y1259" i="10"/>
  <c r="Z1259" i="10"/>
  <c r="AA1259" i="10"/>
  <c r="AB1259" i="10"/>
  <c r="F1260" i="10"/>
  <c r="G1260" i="10"/>
  <c r="H1260" i="10"/>
  <c r="I1260" i="10"/>
  <c r="J1260" i="10"/>
  <c r="K1260" i="10"/>
  <c r="L1260" i="10"/>
  <c r="M1260" i="10"/>
  <c r="N1260" i="10"/>
  <c r="P1260" i="10"/>
  <c r="Q1260" i="10"/>
  <c r="R1260" i="10"/>
  <c r="S1260" i="10"/>
  <c r="T1260" i="10"/>
  <c r="U1260" i="10"/>
  <c r="V1260" i="10"/>
  <c r="W1260" i="10"/>
  <c r="X1260" i="10"/>
  <c r="Y1260" i="10"/>
  <c r="Z1260" i="10"/>
  <c r="AA1260" i="10"/>
  <c r="AB1260" i="10"/>
  <c r="F1261" i="10"/>
  <c r="G1261" i="10"/>
  <c r="H1261" i="10"/>
  <c r="I1261" i="10"/>
  <c r="J1261" i="10"/>
  <c r="K1261" i="10"/>
  <c r="L1261" i="10"/>
  <c r="M1261" i="10"/>
  <c r="N1261" i="10"/>
  <c r="P1261" i="10"/>
  <c r="Q1261" i="10"/>
  <c r="R1261" i="10"/>
  <c r="S1261" i="10"/>
  <c r="T1261" i="10"/>
  <c r="U1261" i="10"/>
  <c r="V1261" i="10"/>
  <c r="W1261" i="10"/>
  <c r="X1261" i="10"/>
  <c r="Y1261" i="10"/>
  <c r="Z1261" i="10"/>
  <c r="AA1261" i="10"/>
  <c r="AB1261" i="10"/>
  <c r="F1262" i="10"/>
  <c r="G1262" i="10"/>
  <c r="H1262" i="10"/>
  <c r="I1262" i="10"/>
  <c r="J1262" i="10"/>
  <c r="K1262" i="10"/>
  <c r="L1262" i="10"/>
  <c r="M1262" i="10"/>
  <c r="N1262" i="10"/>
  <c r="P1262" i="10"/>
  <c r="Q1262" i="10"/>
  <c r="R1262" i="10"/>
  <c r="S1262" i="10"/>
  <c r="T1262" i="10"/>
  <c r="U1262" i="10"/>
  <c r="V1262" i="10"/>
  <c r="W1262" i="10"/>
  <c r="X1262" i="10"/>
  <c r="Y1262" i="10"/>
  <c r="Z1262" i="10"/>
  <c r="AA1262" i="10"/>
  <c r="AB1262" i="10"/>
  <c r="F1263" i="10"/>
  <c r="G1263" i="10"/>
  <c r="H1263" i="10"/>
  <c r="I1263" i="10"/>
  <c r="J1263" i="10"/>
  <c r="K1263" i="10"/>
  <c r="L1263" i="10"/>
  <c r="M1263" i="10"/>
  <c r="N1263" i="10"/>
  <c r="P1263" i="10"/>
  <c r="Q1263" i="10"/>
  <c r="R1263" i="10"/>
  <c r="S1263" i="10"/>
  <c r="T1263" i="10"/>
  <c r="U1263" i="10"/>
  <c r="V1263" i="10"/>
  <c r="W1263" i="10"/>
  <c r="X1263" i="10"/>
  <c r="Y1263" i="10"/>
  <c r="Z1263" i="10"/>
  <c r="AA1263" i="10"/>
  <c r="AB1263" i="10"/>
  <c r="F1264" i="10"/>
  <c r="G1264" i="10"/>
  <c r="H1264" i="10"/>
  <c r="I1264" i="10"/>
  <c r="J1264" i="10"/>
  <c r="K1264" i="10"/>
  <c r="L1264" i="10"/>
  <c r="M1264" i="10"/>
  <c r="N1264" i="10"/>
  <c r="P1264" i="10"/>
  <c r="Q1264" i="10"/>
  <c r="R1264" i="10"/>
  <c r="S1264" i="10"/>
  <c r="T1264" i="10"/>
  <c r="U1264" i="10"/>
  <c r="V1264" i="10"/>
  <c r="W1264" i="10"/>
  <c r="X1264" i="10"/>
  <c r="Y1264" i="10"/>
  <c r="Z1264" i="10"/>
  <c r="AA1264" i="10"/>
  <c r="AB1264" i="10"/>
  <c r="F1265" i="10"/>
  <c r="G1265" i="10"/>
  <c r="H1265" i="10"/>
  <c r="I1265" i="10"/>
  <c r="J1265" i="10"/>
  <c r="K1265" i="10"/>
  <c r="L1265" i="10"/>
  <c r="M1265" i="10"/>
  <c r="N1265" i="10"/>
  <c r="P1265" i="10"/>
  <c r="Q1265" i="10"/>
  <c r="R1265" i="10"/>
  <c r="S1265" i="10"/>
  <c r="T1265" i="10"/>
  <c r="U1265" i="10"/>
  <c r="V1265" i="10"/>
  <c r="W1265" i="10"/>
  <c r="X1265" i="10"/>
  <c r="Y1265" i="10"/>
  <c r="Z1265" i="10"/>
  <c r="AA1265" i="10"/>
  <c r="AB1265" i="10"/>
  <c r="F1266" i="10"/>
  <c r="G1266" i="10"/>
  <c r="H1266" i="10"/>
  <c r="I1266" i="10"/>
  <c r="J1266" i="10"/>
  <c r="K1266" i="10"/>
  <c r="L1266" i="10"/>
  <c r="M1266" i="10"/>
  <c r="N1266" i="10"/>
  <c r="P1266" i="10"/>
  <c r="Q1266" i="10"/>
  <c r="R1266" i="10"/>
  <c r="S1266" i="10"/>
  <c r="T1266" i="10"/>
  <c r="U1266" i="10"/>
  <c r="V1266" i="10"/>
  <c r="W1266" i="10"/>
  <c r="X1266" i="10"/>
  <c r="Y1266" i="10"/>
  <c r="Z1266" i="10"/>
  <c r="AA1266" i="10"/>
  <c r="AB1266" i="10"/>
  <c r="F1267" i="10"/>
  <c r="G1267" i="10"/>
  <c r="H1267" i="10"/>
  <c r="I1267" i="10"/>
  <c r="J1267" i="10"/>
  <c r="K1267" i="10"/>
  <c r="L1267" i="10"/>
  <c r="M1267" i="10"/>
  <c r="N1267" i="10"/>
  <c r="P1267" i="10"/>
  <c r="Q1267" i="10"/>
  <c r="R1267" i="10"/>
  <c r="S1267" i="10"/>
  <c r="T1267" i="10"/>
  <c r="U1267" i="10"/>
  <c r="V1267" i="10"/>
  <c r="W1267" i="10"/>
  <c r="X1267" i="10"/>
  <c r="Y1267" i="10"/>
  <c r="Z1267" i="10"/>
  <c r="AA1267" i="10"/>
  <c r="AB1267" i="10"/>
  <c r="F1268" i="10"/>
  <c r="G1268" i="10"/>
  <c r="H1268" i="10"/>
  <c r="I1268" i="10"/>
  <c r="J1268" i="10"/>
  <c r="K1268" i="10"/>
  <c r="L1268" i="10"/>
  <c r="M1268" i="10"/>
  <c r="N1268" i="10"/>
  <c r="P1268" i="10"/>
  <c r="Q1268" i="10"/>
  <c r="R1268" i="10"/>
  <c r="S1268" i="10"/>
  <c r="T1268" i="10"/>
  <c r="U1268" i="10"/>
  <c r="V1268" i="10"/>
  <c r="W1268" i="10"/>
  <c r="X1268" i="10"/>
  <c r="Y1268" i="10"/>
  <c r="Z1268" i="10"/>
  <c r="AA1268" i="10"/>
  <c r="AB1268" i="10"/>
  <c r="F1269" i="10"/>
  <c r="G1269" i="10"/>
  <c r="H1269" i="10"/>
  <c r="I1269" i="10"/>
  <c r="J1269" i="10"/>
  <c r="K1269" i="10"/>
  <c r="L1269" i="10"/>
  <c r="M1269" i="10"/>
  <c r="N1269" i="10"/>
  <c r="P1269" i="10"/>
  <c r="Q1269" i="10"/>
  <c r="R1269" i="10"/>
  <c r="S1269" i="10"/>
  <c r="T1269" i="10"/>
  <c r="U1269" i="10"/>
  <c r="V1269" i="10"/>
  <c r="W1269" i="10"/>
  <c r="X1269" i="10"/>
  <c r="Y1269" i="10"/>
  <c r="Z1269" i="10"/>
  <c r="AA1269" i="10"/>
  <c r="AB1269" i="10"/>
  <c r="F1270" i="10"/>
  <c r="G1270" i="10"/>
  <c r="H1270" i="10"/>
  <c r="I1270" i="10"/>
  <c r="J1270" i="10"/>
  <c r="K1270" i="10"/>
  <c r="L1270" i="10"/>
  <c r="M1270" i="10"/>
  <c r="N1270" i="10"/>
  <c r="P1270" i="10"/>
  <c r="Q1270" i="10"/>
  <c r="R1270" i="10"/>
  <c r="S1270" i="10"/>
  <c r="T1270" i="10"/>
  <c r="U1270" i="10"/>
  <c r="V1270" i="10"/>
  <c r="W1270" i="10"/>
  <c r="X1270" i="10"/>
  <c r="Y1270" i="10"/>
  <c r="Z1270" i="10"/>
  <c r="AA1270" i="10"/>
  <c r="AB1270" i="10"/>
  <c r="F1271" i="10"/>
  <c r="G1271" i="10"/>
  <c r="H1271" i="10"/>
  <c r="I1271" i="10"/>
  <c r="J1271" i="10"/>
  <c r="K1271" i="10"/>
  <c r="L1271" i="10"/>
  <c r="M1271" i="10"/>
  <c r="N1271" i="10"/>
  <c r="P1271" i="10"/>
  <c r="Q1271" i="10"/>
  <c r="R1271" i="10"/>
  <c r="S1271" i="10"/>
  <c r="T1271" i="10"/>
  <c r="U1271" i="10"/>
  <c r="V1271" i="10"/>
  <c r="W1271" i="10"/>
  <c r="X1271" i="10"/>
  <c r="Y1271" i="10"/>
  <c r="Z1271" i="10"/>
  <c r="AA1271" i="10"/>
  <c r="AB1271" i="10"/>
  <c r="F1272" i="10"/>
  <c r="G1272" i="10"/>
  <c r="H1272" i="10"/>
  <c r="I1272" i="10"/>
  <c r="J1272" i="10"/>
  <c r="K1272" i="10"/>
  <c r="L1272" i="10"/>
  <c r="M1272" i="10"/>
  <c r="N1272" i="10"/>
  <c r="P1272" i="10"/>
  <c r="Q1272" i="10"/>
  <c r="R1272" i="10"/>
  <c r="S1272" i="10"/>
  <c r="T1272" i="10"/>
  <c r="U1272" i="10"/>
  <c r="V1272" i="10"/>
  <c r="W1272" i="10"/>
  <c r="X1272" i="10"/>
  <c r="Y1272" i="10"/>
  <c r="Z1272" i="10"/>
  <c r="AA1272" i="10"/>
  <c r="AB1272" i="10"/>
  <c r="F1273" i="10"/>
  <c r="G1273" i="10"/>
  <c r="H1273" i="10"/>
  <c r="I1273" i="10"/>
  <c r="J1273" i="10"/>
  <c r="K1273" i="10"/>
  <c r="L1273" i="10"/>
  <c r="M1273" i="10"/>
  <c r="N1273" i="10"/>
  <c r="P1273" i="10"/>
  <c r="Q1273" i="10"/>
  <c r="R1273" i="10"/>
  <c r="S1273" i="10"/>
  <c r="T1273" i="10"/>
  <c r="U1273" i="10"/>
  <c r="V1273" i="10"/>
  <c r="W1273" i="10"/>
  <c r="X1273" i="10"/>
  <c r="Y1273" i="10"/>
  <c r="Z1273" i="10"/>
  <c r="AA1273" i="10"/>
  <c r="AB1273" i="10"/>
  <c r="F1274" i="10"/>
  <c r="G1274" i="10"/>
  <c r="H1274" i="10"/>
  <c r="I1274" i="10"/>
  <c r="J1274" i="10"/>
  <c r="K1274" i="10"/>
  <c r="L1274" i="10"/>
  <c r="M1274" i="10"/>
  <c r="N1274" i="10"/>
  <c r="P1274" i="10"/>
  <c r="Q1274" i="10"/>
  <c r="R1274" i="10"/>
  <c r="S1274" i="10"/>
  <c r="T1274" i="10"/>
  <c r="U1274" i="10"/>
  <c r="V1274" i="10"/>
  <c r="W1274" i="10"/>
  <c r="X1274" i="10"/>
  <c r="Y1274" i="10"/>
  <c r="Z1274" i="10"/>
  <c r="AA1274" i="10"/>
  <c r="AB1274" i="10"/>
  <c r="F1275" i="10"/>
  <c r="G1275" i="10"/>
  <c r="H1275" i="10"/>
  <c r="I1275" i="10"/>
  <c r="J1275" i="10"/>
  <c r="K1275" i="10"/>
  <c r="L1275" i="10"/>
  <c r="M1275" i="10"/>
  <c r="N1275" i="10"/>
  <c r="P1275" i="10"/>
  <c r="Q1275" i="10"/>
  <c r="R1275" i="10"/>
  <c r="S1275" i="10"/>
  <c r="T1275" i="10"/>
  <c r="U1275" i="10"/>
  <c r="V1275" i="10"/>
  <c r="W1275" i="10"/>
  <c r="X1275" i="10"/>
  <c r="Y1275" i="10"/>
  <c r="Z1275" i="10"/>
  <c r="AA1275" i="10"/>
  <c r="AB1275" i="10"/>
  <c r="F1276" i="10"/>
  <c r="G1276" i="10"/>
  <c r="H1276" i="10"/>
  <c r="I1276" i="10"/>
  <c r="J1276" i="10"/>
  <c r="K1276" i="10"/>
  <c r="L1276" i="10"/>
  <c r="M1276" i="10"/>
  <c r="N1276" i="10"/>
  <c r="P1276" i="10"/>
  <c r="Q1276" i="10"/>
  <c r="R1276" i="10"/>
  <c r="S1276" i="10"/>
  <c r="T1276" i="10"/>
  <c r="U1276" i="10"/>
  <c r="V1276" i="10"/>
  <c r="W1276" i="10"/>
  <c r="X1276" i="10"/>
  <c r="Y1276" i="10"/>
  <c r="Z1276" i="10"/>
  <c r="AA1276" i="10"/>
  <c r="AB1276" i="10"/>
  <c r="F1277" i="10"/>
  <c r="G1277" i="10"/>
  <c r="H1277" i="10"/>
  <c r="I1277" i="10"/>
  <c r="J1277" i="10"/>
  <c r="K1277" i="10"/>
  <c r="L1277" i="10"/>
  <c r="M1277" i="10"/>
  <c r="N1277" i="10"/>
  <c r="P1277" i="10"/>
  <c r="Q1277" i="10"/>
  <c r="R1277" i="10"/>
  <c r="S1277" i="10"/>
  <c r="T1277" i="10"/>
  <c r="U1277" i="10"/>
  <c r="V1277" i="10"/>
  <c r="W1277" i="10"/>
  <c r="X1277" i="10"/>
  <c r="Y1277" i="10"/>
  <c r="Z1277" i="10"/>
  <c r="AA1277" i="10"/>
  <c r="AB1277" i="10"/>
  <c r="F1278" i="10"/>
  <c r="G1278" i="10"/>
  <c r="H1278" i="10"/>
  <c r="I1278" i="10"/>
  <c r="J1278" i="10"/>
  <c r="K1278" i="10"/>
  <c r="L1278" i="10"/>
  <c r="M1278" i="10"/>
  <c r="N1278" i="10"/>
  <c r="P1278" i="10"/>
  <c r="Q1278" i="10"/>
  <c r="R1278" i="10"/>
  <c r="S1278" i="10"/>
  <c r="T1278" i="10"/>
  <c r="U1278" i="10"/>
  <c r="V1278" i="10"/>
  <c r="W1278" i="10"/>
  <c r="X1278" i="10"/>
  <c r="Y1278" i="10"/>
  <c r="Z1278" i="10"/>
  <c r="AA1278" i="10"/>
  <c r="AB1278" i="10"/>
  <c r="F1279" i="10"/>
  <c r="G1279" i="10"/>
  <c r="H1279" i="10"/>
  <c r="I1279" i="10"/>
  <c r="J1279" i="10"/>
  <c r="K1279" i="10"/>
  <c r="L1279" i="10"/>
  <c r="M1279" i="10"/>
  <c r="N1279" i="10"/>
  <c r="P1279" i="10"/>
  <c r="Q1279" i="10"/>
  <c r="R1279" i="10"/>
  <c r="S1279" i="10"/>
  <c r="T1279" i="10"/>
  <c r="U1279" i="10"/>
  <c r="V1279" i="10"/>
  <c r="W1279" i="10"/>
  <c r="X1279" i="10"/>
  <c r="Y1279" i="10"/>
  <c r="Z1279" i="10"/>
  <c r="AA1279" i="10"/>
  <c r="AB1279" i="10"/>
  <c r="F1280" i="10"/>
  <c r="G1280" i="10"/>
  <c r="H1280" i="10"/>
  <c r="I1280" i="10"/>
  <c r="J1280" i="10"/>
  <c r="K1280" i="10"/>
  <c r="L1280" i="10"/>
  <c r="M1280" i="10"/>
  <c r="N1280" i="10"/>
  <c r="P1280" i="10"/>
  <c r="Q1280" i="10"/>
  <c r="R1280" i="10"/>
  <c r="S1280" i="10"/>
  <c r="T1280" i="10"/>
  <c r="U1280" i="10"/>
  <c r="V1280" i="10"/>
  <c r="W1280" i="10"/>
  <c r="X1280" i="10"/>
  <c r="Y1280" i="10"/>
  <c r="Z1280" i="10"/>
  <c r="AA1280" i="10"/>
  <c r="AB1280" i="10"/>
  <c r="F1281" i="10"/>
  <c r="G1281" i="10"/>
  <c r="H1281" i="10"/>
  <c r="I1281" i="10"/>
  <c r="J1281" i="10"/>
  <c r="K1281" i="10"/>
  <c r="L1281" i="10"/>
  <c r="M1281" i="10"/>
  <c r="N1281" i="10"/>
  <c r="P1281" i="10"/>
  <c r="Q1281" i="10"/>
  <c r="R1281" i="10"/>
  <c r="S1281" i="10"/>
  <c r="T1281" i="10"/>
  <c r="U1281" i="10"/>
  <c r="V1281" i="10"/>
  <c r="W1281" i="10"/>
  <c r="X1281" i="10"/>
  <c r="Y1281" i="10"/>
  <c r="Z1281" i="10"/>
  <c r="AA1281" i="10"/>
  <c r="AB1281" i="10"/>
  <c r="F1282" i="10"/>
  <c r="G1282" i="10"/>
  <c r="H1282" i="10"/>
  <c r="I1282" i="10"/>
  <c r="J1282" i="10"/>
  <c r="K1282" i="10"/>
  <c r="L1282" i="10"/>
  <c r="M1282" i="10"/>
  <c r="N1282" i="10"/>
  <c r="P1282" i="10"/>
  <c r="Q1282" i="10"/>
  <c r="R1282" i="10"/>
  <c r="S1282" i="10"/>
  <c r="T1282" i="10"/>
  <c r="U1282" i="10"/>
  <c r="V1282" i="10"/>
  <c r="W1282" i="10"/>
  <c r="X1282" i="10"/>
  <c r="Y1282" i="10"/>
  <c r="Z1282" i="10"/>
  <c r="AA1282" i="10"/>
  <c r="AB1282" i="10"/>
  <c r="F1283" i="10"/>
  <c r="G1283" i="10"/>
  <c r="H1283" i="10"/>
  <c r="I1283" i="10"/>
  <c r="J1283" i="10"/>
  <c r="K1283" i="10"/>
  <c r="L1283" i="10"/>
  <c r="M1283" i="10"/>
  <c r="N1283" i="10"/>
  <c r="P1283" i="10"/>
  <c r="Q1283" i="10"/>
  <c r="R1283" i="10"/>
  <c r="S1283" i="10"/>
  <c r="T1283" i="10"/>
  <c r="U1283" i="10"/>
  <c r="V1283" i="10"/>
  <c r="W1283" i="10"/>
  <c r="X1283" i="10"/>
  <c r="Y1283" i="10"/>
  <c r="Z1283" i="10"/>
  <c r="AA1283" i="10"/>
  <c r="AB1283" i="10"/>
  <c r="F1284" i="10"/>
  <c r="G1284" i="10"/>
  <c r="H1284" i="10"/>
  <c r="I1284" i="10"/>
  <c r="J1284" i="10"/>
  <c r="K1284" i="10"/>
  <c r="L1284" i="10"/>
  <c r="M1284" i="10"/>
  <c r="N1284" i="10"/>
  <c r="P1284" i="10"/>
  <c r="Q1284" i="10"/>
  <c r="R1284" i="10"/>
  <c r="S1284" i="10"/>
  <c r="T1284" i="10"/>
  <c r="U1284" i="10"/>
  <c r="V1284" i="10"/>
  <c r="W1284" i="10"/>
  <c r="X1284" i="10"/>
  <c r="Y1284" i="10"/>
  <c r="Z1284" i="10"/>
  <c r="AA1284" i="10"/>
  <c r="AB1284" i="10"/>
  <c r="F1285" i="10"/>
  <c r="G1285" i="10"/>
  <c r="H1285" i="10"/>
  <c r="I1285" i="10"/>
  <c r="J1285" i="10"/>
  <c r="K1285" i="10"/>
  <c r="L1285" i="10"/>
  <c r="M1285" i="10"/>
  <c r="N1285" i="10"/>
  <c r="P1285" i="10"/>
  <c r="Q1285" i="10"/>
  <c r="R1285" i="10"/>
  <c r="S1285" i="10"/>
  <c r="T1285" i="10"/>
  <c r="U1285" i="10"/>
  <c r="V1285" i="10"/>
  <c r="W1285" i="10"/>
  <c r="X1285" i="10"/>
  <c r="Y1285" i="10"/>
  <c r="Z1285" i="10"/>
  <c r="AA1285" i="10"/>
  <c r="AB1285" i="10"/>
  <c r="F1286" i="10"/>
  <c r="G1286" i="10"/>
  <c r="H1286" i="10"/>
  <c r="I1286" i="10"/>
  <c r="J1286" i="10"/>
  <c r="K1286" i="10"/>
  <c r="L1286" i="10"/>
  <c r="M1286" i="10"/>
  <c r="N1286" i="10"/>
  <c r="P1286" i="10"/>
  <c r="Q1286" i="10"/>
  <c r="R1286" i="10"/>
  <c r="S1286" i="10"/>
  <c r="T1286" i="10"/>
  <c r="U1286" i="10"/>
  <c r="V1286" i="10"/>
  <c r="W1286" i="10"/>
  <c r="X1286" i="10"/>
  <c r="Y1286" i="10"/>
  <c r="Z1286" i="10"/>
  <c r="AA1286" i="10"/>
  <c r="AB1286" i="10"/>
  <c r="F1287" i="10"/>
  <c r="G1287" i="10"/>
  <c r="H1287" i="10"/>
  <c r="I1287" i="10"/>
  <c r="J1287" i="10"/>
  <c r="K1287" i="10"/>
  <c r="L1287" i="10"/>
  <c r="M1287" i="10"/>
  <c r="N1287" i="10"/>
  <c r="P1287" i="10"/>
  <c r="Q1287" i="10"/>
  <c r="R1287" i="10"/>
  <c r="S1287" i="10"/>
  <c r="T1287" i="10"/>
  <c r="U1287" i="10"/>
  <c r="V1287" i="10"/>
  <c r="W1287" i="10"/>
  <c r="X1287" i="10"/>
  <c r="Y1287" i="10"/>
  <c r="Z1287" i="10"/>
  <c r="AA1287" i="10"/>
  <c r="AB1287" i="10"/>
  <c r="F1288" i="10"/>
  <c r="G1288" i="10"/>
  <c r="H1288" i="10"/>
  <c r="I1288" i="10"/>
  <c r="J1288" i="10"/>
  <c r="K1288" i="10"/>
  <c r="L1288" i="10"/>
  <c r="M1288" i="10"/>
  <c r="N1288" i="10"/>
  <c r="P1288" i="10"/>
  <c r="Q1288" i="10"/>
  <c r="R1288" i="10"/>
  <c r="S1288" i="10"/>
  <c r="T1288" i="10"/>
  <c r="U1288" i="10"/>
  <c r="V1288" i="10"/>
  <c r="W1288" i="10"/>
  <c r="X1288" i="10"/>
  <c r="Y1288" i="10"/>
  <c r="Z1288" i="10"/>
  <c r="AA1288" i="10"/>
  <c r="AB1288" i="10"/>
  <c r="F1289" i="10"/>
  <c r="G1289" i="10"/>
  <c r="H1289" i="10"/>
  <c r="I1289" i="10"/>
  <c r="J1289" i="10"/>
  <c r="K1289" i="10"/>
  <c r="L1289" i="10"/>
  <c r="M1289" i="10"/>
  <c r="N1289" i="10"/>
  <c r="P1289" i="10"/>
  <c r="Q1289" i="10"/>
  <c r="R1289" i="10"/>
  <c r="S1289" i="10"/>
  <c r="T1289" i="10"/>
  <c r="U1289" i="10"/>
  <c r="V1289" i="10"/>
  <c r="W1289" i="10"/>
  <c r="X1289" i="10"/>
  <c r="Y1289" i="10"/>
  <c r="Z1289" i="10"/>
  <c r="AA1289" i="10"/>
  <c r="AB1289" i="10"/>
  <c r="F1290" i="10"/>
  <c r="G1290" i="10"/>
  <c r="H1290" i="10"/>
  <c r="I1290" i="10"/>
  <c r="J1290" i="10"/>
  <c r="K1290" i="10"/>
  <c r="L1290" i="10"/>
  <c r="M1290" i="10"/>
  <c r="N1290" i="10"/>
  <c r="P1290" i="10"/>
  <c r="Q1290" i="10"/>
  <c r="R1290" i="10"/>
  <c r="S1290" i="10"/>
  <c r="T1290" i="10"/>
  <c r="U1290" i="10"/>
  <c r="V1290" i="10"/>
  <c r="W1290" i="10"/>
  <c r="X1290" i="10"/>
  <c r="Y1290" i="10"/>
  <c r="Z1290" i="10"/>
  <c r="AA1290" i="10"/>
  <c r="AB1290" i="10"/>
  <c r="F1291" i="10"/>
  <c r="G1291" i="10"/>
  <c r="H1291" i="10"/>
  <c r="I1291" i="10"/>
  <c r="J1291" i="10"/>
  <c r="K1291" i="10"/>
  <c r="L1291" i="10"/>
  <c r="M1291" i="10"/>
  <c r="N1291" i="10"/>
  <c r="P1291" i="10"/>
  <c r="Q1291" i="10"/>
  <c r="R1291" i="10"/>
  <c r="S1291" i="10"/>
  <c r="T1291" i="10"/>
  <c r="U1291" i="10"/>
  <c r="V1291" i="10"/>
  <c r="W1291" i="10"/>
  <c r="X1291" i="10"/>
  <c r="Y1291" i="10"/>
  <c r="Z1291" i="10"/>
  <c r="AA1291" i="10"/>
  <c r="AB1291" i="10"/>
  <c r="F1292" i="10"/>
  <c r="G1292" i="10"/>
  <c r="H1292" i="10"/>
  <c r="I1292" i="10"/>
  <c r="J1292" i="10"/>
  <c r="K1292" i="10"/>
  <c r="L1292" i="10"/>
  <c r="M1292" i="10"/>
  <c r="N1292" i="10"/>
  <c r="P1292" i="10"/>
  <c r="Q1292" i="10"/>
  <c r="R1292" i="10"/>
  <c r="S1292" i="10"/>
  <c r="T1292" i="10"/>
  <c r="U1292" i="10"/>
  <c r="V1292" i="10"/>
  <c r="W1292" i="10"/>
  <c r="X1292" i="10"/>
  <c r="Y1292" i="10"/>
  <c r="Z1292" i="10"/>
  <c r="AA1292" i="10"/>
  <c r="AB1292" i="10"/>
  <c r="F1293" i="10"/>
  <c r="G1293" i="10"/>
  <c r="H1293" i="10"/>
  <c r="I1293" i="10"/>
  <c r="J1293" i="10"/>
  <c r="K1293" i="10"/>
  <c r="L1293" i="10"/>
  <c r="M1293" i="10"/>
  <c r="N1293" i="10"/>
  <c r="P1293" i="10"/>
  <c r="Q1293" i="10"/>
  <c r="R1293" i="10"/>
  <c r="S1293" i="10"/>
  <c r="T1293" i="10"/>
  <c r="U1293" i="10"/>
  <c r="V1293" i="10"/>
  <c r="W1293" i="10"/>
  <c r="X1293" i="10"/>
  <c r="Y1293" i="10"/>
  <c r="Z1293" i="10"/>
  <c r="AA1293" i="10"/>
  <c r="AB1293" i="10"/>
  <c r="F1294" i="10"/>
  <c r="G1294" i="10"/>
  <c r="H1294" i="10"/>
  <c r="I1294" i="10"/>
  <c r="J1294" i="10"/>
  <c r="K1294" i="10"/>
  <c r="L1294" i="10"/>
  <c r="M1294" i="10"/>
  <c r="N1294" i="10"/>
  <c r="P1294" i="10"/>
  <c r="Q1294" i="10"/>
  <c r="R1294" i="10"/>
  <c r="S1294" i="10"/>
  <c r="T1294" i="10"/>
  <c r="U1294" i="10"/>
  <c r="V1294" i="10"/>
  <c r="W1294" i="10"/>
  <c r="X1294" i="10"/>
  <c r="Y1294" i="10"/>
  <c r="Z1294" i="10"/>
  <c r="AA1294" i="10"/>
  <c r="AB1294" i="10"/>
  <c r="F1295" i="10"/>
  <c r="G1295" i="10"/>
  <c r="H1295" i="10"/>
  <c r="I1295" i="10"/>
  <c r="J1295" i="10"/>
  <c r="K1295" i="10"/>
  <c r="L1295" i="10"/>
  <c r="M1295" i="10"/>
  <c r="N1295" i="10"/>
  <c r="P1295" i="10"/>
  <c r="Q1295" i="10"/>
  <c r="R1295" i="10"/>
  <c r="S1295" i="10"/>
  <c r="T1295" i="10"/>
  <c r="U1295" i="10"/>
  <c r="V1295" i="10"/>
  <c r="W1295" i="10"/>
  <c r="X1295" i="10"/>
  <c r="Y1295" i="10"/>
  <c r="Z1295" i="10"/>
  <c r="AA1295" i="10"/>
  <c r="AB1295" i="10"/>
  <c r="F1296" i="10"/>
  <c r="G1296" i="10"/>
  <c r="H1296" i="10"/>
  <c r="I1296" i="10"/>
  <c r="J1296" i="10"/>
  <c r="K1296" i="10"/>
  <c r="L1296" i="10"/>
  <c r="M1296" i="10"/>
  <c r="N1296" i="10"/>
  <c r="P1296" i="10"/>
  <c r="Q1296" i="10"/>
  <c r="R1296" i="10"/>
  <c r="S1296" i="10"/>
  <c r="T1296" i="10"/>
  <c r="U1296" i="10"/>
  <c r="V1296" i="10"/>
  <c r="W1296" i="10"/>
  <c r="X1296" i="10"/>
  <c r="Y1296" i="10"/>
  <c r="Z1296" i="10"/>
  <c r="AA1296" i="10"/>
  <c r="AB1296" i="10"/>
  <c r="F1297" i="10"/>
  <c r="G1297" i="10"/>
  <c r="H1297" i="10"/>
  <c r="I1297" i="10"/>
  <c r="J1297" i="10"/>
  <c r="K1297" i="10"/>
  <c r="L1297" i="10"/>
  <c r="M1297" i="10"/>
  <c r="N1297" i="10"/>
  <c r="P1297" i="10"/>
  <c r="Q1297" i="10"/>
  <c r="R1297" i="10"/>
  <c r="S1297" i="10"/>
  <c r="T1297" i="10"/>
  <c r="U1297" i="10"/>
  <c r="V1297" i="10"/>
  <c r="W1297" i="10"/>
  <c r="X1297" i="10"/>
  <c r="Y1297" i="10"/>
  <c r="Z1297" i="10"/>
  <c r="AA1297" i="10"/>
  <c r="AB1297" i="10"/>
  <c r="F1298" i="10"/>
  <c r="G1298" i="10"/>
  <c r="H1298" i="10"/>
  <c r="I1298" i="10"/>
  <c r="J1298" i="10"/>
  <c r="K1298" i="10"/>
  <c r="L1298" i="10"/>
  <c r="M1298" i="10"/>
  <c r="N1298" i="10"/>
  <c r="P1298" i="10"/>
  <c r="Q1298" i="10"/>
  <c r="R1298" i="10"/>
  <c r="S1298" i="10"/>
  <c r="T1298" i="10"/>
  <c r="U1298" i="10"/>
  <c r="V1298" i="10"/>
  <c r="W1298" i="10"/>
  <c r="X1298" i="10"/>
  <c r="Y1298" i="10"/>
  <c r="Z1298" i="10"/>
  <c r="AA1298" i="10"/>
  <c r="AB1298" i="10"/>
  <c r="F1299" i="10"/>
  <c r="G1299" i="10"/>
  <c r="H1299" i="10"/>
  <c r="I1299" i="10"/>
  <c r="J1299" i="10"/>
  <c r="K1299" i="10"/>
  <c r="L1299" i="10"/>
  <c r="M1299" i="10"/>
  <c r="N1299" i="10"/>
  <c r="P1299" i="10"/>
  <c r="Q1299" i="10"/>
  <c r="R1299" i="10"/>
  <c r="S1299" i="10"/>
  <c r="T1299" i="10"/>
  <c r="U1299" i="10"/>
  <c r="V1299" i="10"/>
  <c r="W1299" i="10"/>
  <c r="X1299" i="10"/>
  <c r="Y1299" i="10"/>
  <c r="Z1299" i="10"/>
  <c r="AA1299" i="10"/>
  <c r="AB1299" i="10"/>
  <c r="F1300" i="10"/>
  <c r="G1300" i="10"/>
  <c r="H1300" i="10"/>
  <c r="I1300" i="10"/>
  <c r="J1300" i="10"/>
  <c r="K1300" i="10"/>
  <c r="L1300" i="10"/>
  <c r="M1300" i="10"/>
  <c r="N1300" i="10"/>
  <c r="P1300" i="10"/>
  <c r="Q1300" i="10"/>
  <c r="R1300" i="10"/>
  <c r="S1300" i="10"/>
  <c r="T1300" i="10"/>
  <c r="U1300" i="10"/>
  <c r="V1300" i="10"/>
  <c r="W1300" i="10"/>
  <c r="X1300" i="10"/>
  <c r="Y1300" i="10"/>
  <c r="Z1300" i="10"/>
  <c r="AA1300" i="10"/>
  <c r="AB1300" i="10"/>
  <c r="F1301" i="10"/>
  <c r="G1301" i="10"/>
  <c r="H1301" i="10"/>
  <c r="I1301" i="10"/>
  <c r="J1301" i="10"/>
  <c r="K1301" i="10"/>
  <c r="L1301" i="10"/>
  <c r="M1301" i="10"/>
  <c r="N1301" i="10"/>
  <c r="P1301" i="10"/>
  <c r="Q1301" i="10"/>
  <c r="R1301" i="10"/>
  <c r="S1301" i="10"/>
  <c r="T1301" i="10"/>
  <c r="U1301" i="10"/>
  <c r="V1301" i="10"/>
  <c r="W1301" i="10"/>
  <c r="X1301" i="10"/>
  <c r="Y1301" i="10"/>
  <c r="Z1301" i="10"/>
  <c r="AA1301" i="10"/>
  <c r="AB1301" i="10"/>
  <c r="F1302" i="10"/>
  <c r="G1302" i="10"/>
  <c r="H1302" i="10"/>
  <c r="I1302" i="10"/>
  <c r="J1302" i="10"/>
  <c r="K1302" i="10"/>
  <c r="L1302" i="10"/>
  <c r="M1302" i="10"/>
  <c r="N1302" i="10"/>
  <c r="P1302" i="10"/>
  <c r="Q1302" i="10"/>
  <c r="R1302" i="10"/>
  <c r="S1302" i="10"/>
  <c r="T1302" i="10"/>
  <c r="U1302" i="10"/>
  <c r="V1302" i="10"/>
  <c r="W1302" i="10"/>
  <c r="X1302" i="10"/>
  <c r="Y1302" i="10"/>
  <c r="Z1302" i="10"/>
  <c r="AA1302" i="10"/>
  <c r="AB1302" i="10"/>
  <c r="F1303" i="10"/>
  <c r="G1303" i="10"/>
  <c r="H1303" i="10"/>
  <c r="I1303" i="10"/>
  <c r="J1303" i="10"/>
  <c r="K1303" i="10"/>
  <c r="L1303" i="10"/>
  <c r="M1303" i="10"/>
  <c r="N1303" i="10"/>
  <c r="P1303" i="10"/>
  <c r="Q1303" i="10"/>
  <c r="R1303" i="10"/>
  <c r="S1303" i="10"/>
  <c r="T1303" i="10"/>
  <c r="U1303" i="10"/>
  <c r="V1303" i="10"/>
  <c r="W1303" i="10"/>
  <c r="X1303" i="10"/>
  <c r="Y1303" i="10"/>
  <c r="Z1303" i="10"/>
  <c r="AA1303" i="10"/>
  <c r="AB1303" i="10"/>
  <c r="F1304" i="10"/>
  <c r="G1304" i="10"/>
  <c r="H1304" i="10"/>
  <c r="I1304" i="10"/>
  <c r="J1304" i="10"/>
  <c r="K1304" i="10"/>
  <c r="L1304" i="10"/>
  <c r="M1304" i="10"/>
  <c r="N1304" i="10"/>
  <c r="P1304" i="10"/>
  <c r="Q1304" i="10"/>
  <c r="R1304" i="10"/>
  <c r="S1304" i="10"/>
  <c r="T1304" i="10"/>
  <c r="U1304" i="10"/>
  <c r="V1304" i="10"/>
  <c r="W1304" i="10"/>
  <c r="X1304" i="10"/>
  <c r="Y1304" i="10"/>
  <c r="Z1304" i="10"/>
  <c r="AA1304" i="10"/>
  <c r="AB1304" i="10"/>
  <c r="F1305" i="10"/>
  <c r="G1305" i="10"/>
  <c r="H1305" i="10"/>
  <c r="I1305" i="10"/>
  <c r="J1305" i="10"/>
  <c r="K1305" i="10"/>
  <c r="L1305" i="10"/>
  <c r="M1305" i="10"/>
  <c r="N1305" i="10"/>
  <c r="P1305" i="10"/>
  <c r="Q1305" i="10"/>
  <c r="R1305" i="10"/>
  <c r="S1305" i="10"/>
  <c r="T1305" i="10"/>
  <c r="U1305" i="10"/>
  <c r="V1305" i="10"/>
  <c r="W1305" i="10"/>
  <c r="X1305" i="10"/>
  <c r="Y1305" i="10"/>
  <c r="Z1305" i="10"/>
  <c r="AA1305" i="10"/>
  <c r="AB1305" i="10"/>
  <c r="F1306" i="10"/>
  <c r="G1306" i="10"/>
  <c r="H1306" i="10"/>
  <c r="I1306" i="10"/>
  <c r="J1306" i="10"/>
  <c r="K1306" i="10"/>
  <c r="L1306" i="10"/>
  <c r="M1306" i="10"/>
  <c r="N1306" i="10"/>
  <c r="P1306" i="10"/>
  <c r="Q1306" i="10"/>
  <c r="R1306" i="10"/>
  <c r="S1306" i="10"/>
  <c r="T1306" i="10"/>
  <c r="U1306" i="10"/>
  <c r="V1306" i="10"/>
  <c r="W1306" i="10"/>
  <c r="X1306" i="10"/>
  <c r="Y1306" i="10"/>
  <c r="Z1306" i="10"/>
  <c r="AA1306" i="10"/>
  <c r="AB1306" i="10"/>
  <c r="F1307" i="10"/>
  <c r="G1307" i="10"/>
  <c r="H1307" i="10"/>
  <c r="I1307" i="10"/>
  <c r="J1307" i="10"/>
  <c r="K1307" i="10"/>
  <c r="L1307" i="10"/>
  <c r="M1307" i="10"/>
  <c r="N1307" i="10"/>
  <c r="P1307" i="10"/>
  <c r="Q1307" i="10"/>
  <c r="R1307" i="10"/>
  <c r="S1307" i="10"/>
  <c r="T1307" i="10"/>
  <c r="U1307" i="10"/>
  <c r="V1307" i="10"/>
  <c r="W1307" i="10"/>
  <c r="X1307" i="10"/>
  <c r="Y1307" i="10"/>
  <c r="Z1307" i="10"/>
  <c r="AA1307" i="10"/>
  <c r="AB1307" i="10"/>
  <c r="F1308" i="10"/>
  <c r="G1308" i="10"/>
  <c r="H1308" i="10"/>
  <c r="I1308" i="10"/>
  <c r="J1308" i="10"/>
  <c r="K1308" i="10"/>
  <c r="L1308" i="10"/>
  <c r="M1308" i="10"/>
  <c r="N1308" i="10"/>
  <c r="P1308" i="10"/>
  <c r="Q1308" i="10"/>
  <c r="R1308" i="10"/>
  <c r="S1308" i="10"/>
  <c r="T1308" i="10"/>
  <c r="U1308" i="10"/>
  <c r="V1308" i="10"/>
  <c r="W1308" i="10"/>
  <c r="X1308" i="10"/>
  <c r="Y1308" i="10"/>
  <c r="Z1308" i="10"/>
  <c r="AA1308" i="10"/>
  <c r="AB1308" i="10"/>
  <c r="F1309" i="10"/>
  <c r="G1309" i="10"/>
  <c r="H1309" i="10"/>
  <c r="I1309" i="10"/>
  <c r="J1309" i="10"/>
  <c r="K1309" i="10"/>
  <c r="L1309" i="10"/>
  <c r="M1309" i="10"/>
  <c r="N1309" i="10"/>
  <c r="P1309" i="10"/>
  <c r="Q1309" i="10"/>
  <c r="R1309" i="10"/>
  <c r="S1309" i="10"/>
  <c r="T1309" i="10"/>
  <c r="U1309" i="10"/>
  <c r="V1309" i="10"/>
  <c r="W1309" i="10"/>
  <c r="X1309" i="10"/>
  <c r="Y1309" i="10"/>
  <c r="Z1309" i="10"/>
  <c r="AA1309" i="10"/>
  <c r="AB1309" i="10"/>
  <c r="F1310" i="10"/>
  <c r="G1310" i="10"/>
  <c r="H1310" i="10"/>
  <c r="I1310" i="10"/>
  <c r="J1310" i="10"/>
  <c r="K1310" i="10"/>
  <c r="L1310" i="10"/>
  <c r="M1310" i="10"/>
  <c r="N1310" i="10"/>
  <c r="P1310" i="10"/>
  <c r="Q1310" i="10"/>
  <c r="R1310" i="10"/>
  <c r="S1310" i="10"/>
  <c r="T1310" i="10"/>
  <c r="U1310" i="10"/>
  <c r="V1310" i="10"/>
  <c r="W1310" i="10"/>
  <c r="X1310" i="10"/>
  <c r="Y1310" i="10"/>
  <c r="Z1310" i="10"/>
  <c r="AA1310" i="10"/>
  <c r="AB1310" i="10"/>
  <c r="F1311" i="10"/>
  <c r="G1311" i="10"/>
  <c r="H1311" i="10"/>
  <c r="I1311" i="10"/>
  <c r="J1311" i="10"/>
  <c r="K1311" i="10"/>
  <c r="L1311" i="10"/>
  <c r="M1311" i="10"/>
  <c r="N1311" i="10"/>
  <c r="P1311" i="10"/>
  <c r="Q1311" i="10"/>
  <c r="R1311" i="10"/>
  <c r="S1311" i="10"/>
  <c r="T1311" i="10"/>
  <c r="U1311" i="10"/>
  <c r="V1311" i="10"/>
  <c r="W1311" i="10"/>
  <c r="X1311" i="10"/>
  <c r="Y1311" i="10"/>
  <c r="Z1311" i="10"/>
  <c r="AA1311" i="10"/>
  <c r="AB1311" i="10"/>
  <c r="F1312" i="10"/>
  <c r="G1312" i="10"/>
  <c r="H1312" i="10"/>
  <c r="I1312" i="10"/>
  <c r="J1312" i="10"/>
  <c r="K1312" i="10"/>
  <c r="L1312" i="10"/>
  <c r="M1312" i="10"/>
  <c r="N1312" i="10"/>
  <c r="P1312" i="10"/>
  <c r="Q1312" i="10"/>
  <c r="R1312" i="10"/>
  <c r="S1312" i="10"/>
  <c r="T1312" i="10"/>
  <c r="U1312" i="10"/>
  <c r="V1312" i="10"/>
  <c r="W1312" i="10"/>
  <c r="X1312" i="10"/>
  <c r="Y1312" i="10"/>
  <c r="Z1312" i="10"/>
  <c r="AA1312" i="10"/>
  <c r="AB1312" i="10"/>
  <c r="F1313" i="10"/>
  <c r="G1313" i="10"/>
  <c r="H1313" i="10"/>
  <c r="I1313" i="10"/>
  <c r="J1313" i="10"/>
  <c r="K1313" i="10"/>
  <c r="L1313" i="10"/>
  <c r="M1313" i="10"/>
  <c r="N1313" i="10"/>
  <c r="P1313" i="10"/>
  <c r="Q1313" i="10"/>
  <c r="R1313" i="10"/>
  <c r="S1313" i="10"/>
  <c r="T1313" i="10"/>
  <c r="U1313" i="10"/>
  <c r="V1313" i="10"/>
  <c r="W1313" i="10"/>
  <c r="X1313" i="10"/>
  <c r="Y1313" i="10"/>
  <c r="Z1313" i="10"/>
  <c r="AA1313" i="10"/>
  <c r="AB1313" i="10"/>
  <c r="F1314" i="10"/>
  <c r="G1314" i="10"/>
  <c r="H1314" i="10"/>
  <c r="I1314" i="10"/>
  <c r="J1314" i="10"/>
  <c r="K1314" i="10"/>
  <c r="L1314" i="10"/>
  <c r="M1314" i="10"/>
  <c r="N1314" i="10"/>
  <c r="P1314" i="10"/>
  <c r="Q1314" i="10"/>
  <c r="R1314" i="10"/>
  <c r="S1314" i="10"/>
  <c r="T1314" i="10"/>
  <c r="U1314" i="10"/>
  <c r="V1314" i="10"/>
  <c r="W1314" i="10"/>
  <c r="X1314" i="10"/>
  <c r="Y1314" i="10"/>
  <c r="Z1314" i="10"/>
  <c r="AA1314" i="10"/>
  <c r="AB1314" i="10"/>
  <c r="F1315" i="10"/>
  <c r="G1315" i="10"/>
  <c r="H1315" i="10"/>
  <c r="I1315" i="10"/>
  <c r="J1315" i="10"/>
  <c r="K1315" i="10"/>
  <c r="L1315" i="10"/>
  <c r="M1315" i="10"/>
  <c r="N1315" i="10"/>
  <c r="P1315" i="10"/>
  <c r="Q1315" i="10"/>
  <c r="R1315" i="10"/>
  <c r="S1315" i="10"/>
  <c r="T1315" i="10"/>
  <c r="U1315" i="10"/>
  <c r="V1315" i="10"/>
  <c r="W1315" i="10"/>
  <c r="X1315" i="10"/>
  <c r="Y1315" i="10"/>
  <c r="Z1315" i="10"/>
  <c r="AA1315" i="10"/>
  <c r="AB1315" i="10"/>
  <c r="F1316" i="10"/>
  <c r="G1316" i="10"/>
  <c r="H1316" i="10"/>
  <c r="I1316" i="10"/>
  <c r="J1316" i="10"/>
  <c r="K1316" i="10"/>
  <c r="L1316" i="10"/>
  <c r="M1316" i="10"/>
  <c r="N1316" i="10"/>
  <c r="P1316" i="10"/>
  <c r="Q1316" i="10"/>
  <c r="R1316" i="10"/>
  <c r="S1316" i="10"/>
  <c r="T1316" i="10"/>
  <c r="U1316" i="10"/>
  <c r="V1316" i="10"/>
  <c r="W1316" i="10"/>
  <c r="X1316" i="10"/>
  <c r="Y1316" i="10"/>
  <c r="Z1316" i="10"/>
  <c r="AA1316" i="10"/>
  <c r="AB1316" i="10"/>
  <c r="F1317" i="10"/>
  <c r="G1317" i="10"/>
  <c r="H1317" i="10"/>
  <c r="I1317" i="10"/>
  <c r="J1317" i="10"/>
  <c r="K1317" i="10"/>
  <c r="L1317" i="10"/>
  <c r="M1317" i="10"/>
  <c r="N1317" i="10"/>
  <c r="P1317" i="10"/>
  <c r="Q1317" i="10"/>
  <c r="R1317" i="10"/>
  <c r="S1317" i="10"/>
  <c r="T1317" i="10"/>
  <c r="U1317" i="10"/>
  <c r="V1317" i="10"/>
  <c r="W1317" i="10"/>
  <c r="X1317" i="10"/>
  <c r="Y1317" i="10"/>
  <c r="Z1317" i="10"/>
  <c r="AA1317" i="10"/>
  <c r="AB1317" i="10"/>
  <c r="F1318" i="10"/>
  <c r="G1318" i="10"/>
  <c r="H1318" i="10"/>
  <c r="I1318" i="10"/>
  <c r="J1318" i="10"/>
  <c r="K1318" i="10"/>
  <c r="L1318" i="10"/>
  <c r="M1318" i="10"/>
  <c r="N1318" i="10"/>
  <c r="P1318" i="10"/>
  <c r="Q1318" i="10"/>
  <c r="R1318" i="10"/>
  <c r="S1318" i="10"/>
  <c r="T1318" i="10"/>
  <c r="U1318" i="10"/>
  <c r="V1318" i="10"/>
  <c r="W1318" i="10"/>
  <c r="X1318" i="10"/>
  <c r="Y1318" i="10"/>
  <c r="Z1318" i="10"/>
  <c r="AA1318" i="10"/>
  <c r="AB1318" i="10"/>
  <c r="F1319" i="10"/>
  <c r="G1319" i="10"/>
  <c r="H1319" i="10"/>
  <c r="I1319" i="10"/>
  <c r="J1319" i="10"/>
  <c r="K1319" i="10"/>
  <c r="L1319" i="10"/>
  <c r="M1319" i="10"/>
  <c r="N1319" i="10"/>
  <c r="P1319" i="10"/>
  <c r="Q1319" i="10"/>
  <c r="R1319" i="10"/>
  <c r="S1319" i="10"/>
  <c r="T1319" i="10"/>
  <c r="U1319" i="10"/>
  <c r="V1319" i="10"/>
  <c r="W1319" i="10"/>
  <c r="X1319" i="10"/>
  <c r="Y1319" i="10"/>
  <c r="Z1319" i="10"/>
  <c r="AA1319" i="10"/>
  <c r="AB1319" i="10"/>
  <c r="F1320" i="10"/>
  <c r="G1320" i="10"/>
  <c r="H1320" i="10"/>
  <c r="I1320" i="10"/>
  <c r="J1320" i="10"/>
  <c r="K1320" i="10"/>
  <c r="L1320" i="10"/>
  <c r="M1320" i="10"/>
  <c r="N1320" i="10"/>
  <c r="P1320" i="10"/>
  <c r="Q1320" i="10"/>
  <c r="R1320" i="10"/>
  <c r="S1320" i="10"/>
  <c r="T1320" i="10"/>
  <c r="U1320" i="10"/>
  <c r="V1320" i="10"/>
  <c r="W1320" i="10"/>
  <c r="X1320" i="10"/>
  <c r="Y1320" i="10"/>
  <c r="Z1320" i="10"/>
  <c r="AA1320" i="10"/>
  <c r="AB1320" i="10"/>
  <c r="F1321" i="10"/>
  <c r="G1321" i="10"/>
  <c r="H1321" i="10"/>
  <c r="I1321" i="10"/>
  <c r="J1321" i="10"/>
  <c r="K1321" i="10"/>
  <c r="L1321" i="10"/>
  <c r="M1321" i="10"/>
  <c r="N1321" i="10"/>
  <c r="P1321" i="10"/>
  <c r="Q1321" i="10"/>
  <c r="R1321" i="10"/>
  <c r="S1321" i="10"/>
  <c r="T1321" i="10"/>
  <c r="U1321" i="10"/>
  <c r="V1321" i="10"/>
  <c r="W1321" i="10"/>
  <c r="X1321" i="10"/>
  <c r="Y1321" i="10"/>
  <c r="Z1321" i="10"/>
  <c r="AA1321" i="10"/>
  <c r="AB1321" i="10"/>
  <c r="F1322" i="10"/>
  <c r="G1322" i="10"/>
  <c r="H1322" i="10"/>
  <c r="I1322" i="10"/>
  <c r="J1322" i="10"/>
  <c r="K1322" i="10"/>
  <c r="L1322" i="10"/>
  <c r="M1322" i="10"/>
  <c r="N1322" i="10"/>
  <c r="P1322" i="10"/>
  <c r="Q1322" i="10"/>
  <c r="R1322" i="10"/>
  <c r="S1322" i="10"/>
  <c r="T1322" i="10"/>
  <c r="U1322" i="10"/>
  <c r="V1322" i="10"/>
  <c r="W1322" i="10"/>
  <c r="X1322" i="10"/>
  <c r="Y1322" i="10"/>
  <c r="Z1322" i="10"/>
  <c r="AA1322" i="10"/>
  <c r="AB1322" i="10"/>
  <c r="F1323" i="10"/>
  <c r="G1323" i="10"/>
  <c r="H1323" i="10"/>
  <c r="I1323" i="10"/>
  <c r="J1323" i="10"/>
  <c r="K1323" i="10"/>
  <c r="L1323" i="10"/>
  <c r="M1323" i="10"/>
  <c r="N1323" i="10"/>
  <c r="P1323" i="10"/>
  <c r="Q1323" i="10"/>
  <c r="R1323" i="10"/>
  <c r="S1323" i="10"/>
  <c r="T1323" i="10"/>
  <c r="U1323" i="10"/>
  <c r="V1323" i="10"/>
  <c r="W1323" i="10"/>
  <c r="X1323" i="10"/>
  <c r="Y1323" i="10"/>
  <c r="Z1323" i="10"/>
  <c r="AA1323" i="10"/>
  <c r="AB1323" i="10"/>
  <c r="F1324" i="10"/>
  <c r="G1324" i="10"/>
  <c r="H1324" i="10"/>
  <c r="I1324" i="10"/>
  <c r="J1324" i="10"/>
  <c r="K1324" i="10"/>
  <c r="L1324" i="10"/>
  <c r="M1324" i="10"/>
  <c r="N1324" i="10"/>
  <c r="P1324" i="10"/>
  <c r="Q1324" i="10"/>
  <c r="R1324" i="10"/>
  <c r="S1324" i="10"/>
  <c r="T1324" i="10"/>
  <c r="U1324" i="10"/>
  <c r="V1324" i="10"/>
  <c r="W1324" i="10"/>
  <c r="X1324" i="10"/>
  <c r="Y1324" i="10"/>
  <c r="Z1324" i="10"/>
  <c r="AA1324" i="10"/>
  <c r="AB1324" i="10"/>
  <c r="F1325" i="10"/>
  <c r="G1325" i="10"/>
  <c r="H1325" i="10"/>
  <c r="I1325" i="10"/>
  <c r="J1325" i="10"/>
  <c r="K1325" i="10"/>
  <c r="L1325" i="10"/>
  <c r="M1325" i="10"/>
  <c r="N1325" i="10"/>
  <c r="P1325" i="10"/>
  <c r="Q1325" i="10"/>
  <c r="R1325" i="10"/>
  <c r="S1325" i="10"/>
  <c r="T1325" i="10"/>
  <c r="U1325" i="10"/>
  <c r="V1325" i="10"/>
  <c r="W1325" i="10"/>
  <c r="X1325" i="10"/>
  <c r="Y1325" i="10"/>
  <c r="Z1325" i="10"/>
  <c r="AA1325" i="10"/>
  <c r="AB1325" i="10"/>
  <c r="F1326" i="10"/>
  <c r="G1326" i="10"/>
  <c r="H1326" i="10"/>
  <c r="I1326" i="10"/>
  <c r="J1326" i="10"/>
  <c r="K1326" i="10"/>
  <c r="L1326" i="10"/>
  <c r="M1326" i="10"/>
  <c r="N1326" i="10"/>
  <c r="P1326" i="10"/>
  <c r="Q1326" i="10"/>
  <c r="R1326" i="10"/>
  <c r="S1326" i="10"/>
  <c r="T1326" i="10"/>
  <c r="U1326" i="10"/>
  <c r="V1326" i="10"/>
  <c r="W1326" i="10"/>
  <c r="X1326" i="10"/>
  <c r="Y1326" i="10"/>
  <c r="Z1326" i="10"/>
  <c r="AA1326" i="10"/>
  <c r="AB1326" i="10"/>
  <c r="F1327" i="10"/>
  <c r="G1327" i="10"/>
  <c r="H1327" i="10"/>
  <c r="I1327" i="10"/>
  <c r="J1327" i="10"/>
  <c r="K1327" i="10"/>
  <c r="L1327" i="10"/>
  <c r="M1327" i="10"/>
  <c r="N1327" i="10"/>
  <c r="P1327" i="10"/>
  <c r="Q1327" i="10"/>
  <c r="R1327" i="10"/>
  <c r="S1327" i="10"/>
  <c r="T1327" i="10"/>
  <c r="U1327" i="10"/>
  <c r="V1327" i="10"/>
  <c r="W1327" i="10"/>
  <c r="X1327" i="10"/>
  <c r="Y1327" i="10"/>
  <c r="Z1327" i="10"/>
  <c r="AA1327" i="10"/>
  <c r="AB1327" i="10"/>
  <c r="F1328" i="10"/>
  <c r="G1328" i="10"/>
  <c r="H1328" i="10"/>
  <c r="I1328" i="10"/>
  <c r="J1328" i="10"/>
  <c r="K1328" i="10"/>
  <c r="L1328" i="10"/>
  <c r="M1328" i="10"/>
  <c r="N1328" i="10"/>
  <c r="P1328" i="10"/>
  <c r="Q1328" i="10"/>
  <c r="R1328" i="10"/>
  <c r="S1328" i="10"/>
  <c r="T1328" i="10"/>
  <c r="U1328" i="10"/>
  <c r="V1328" i="10"/>
  <c r="W1328" i="10"/>
  <c r="X1328" i="10"/>
  <c r="Y1328" i="10"/>
  <c r="Z1328" i="10"/>
  <c r="AA1328" i="10"/>
  <c r="AB1328" i="10"/>
  <c r="F1329" i="10"/>
  <c r="G1329" i="10"/>
  <c r="H1329" i="10"/>
  <c r="I1329" i="10"/>
  <c r="J1329" i="10"/>
  <c r="K1329" i="10"/>
  <c r="L1329" i="10"/>
  <c r="M1329" i="10"/>
  <c r="N1329" i="10"/>
  <c r="P1329" i="10"/>
  <c r="Q1329" i="10"/>
  <c r="R1329" i="10"/>
  <c r="S1329" i="10"/>
  <c r="T1329" i="10"/>
  <c r="U1329" i="10"/>
  <c r="V1329" i="10"/>
  <c r="W1329" i="10"/>
  <c r="X1329" i="10"/>
  <c r="Y1329" i="10"/>
  <c r="Z1329" i="10"/>
  <c r="AA1329" i="10"/>
  <c r="AB1329" i="10"/>
  <c r="F1330" i="10"/>
  <c r="G1330" i="10"/>
  <c r="H1330" i="10"/>
  <c r="I1330" i="10"/>
  <c r="J1330" i="10"/>
  <c r="K1330" i="10"/>
  <c r="L1330" i="10"/>
  <c r="M1330" i="10"/>
  <c r="N1330" i="10"/>
  <c r="P1330" i="10"/>
  <c r="Q1330" i="10"/>
  <c r="R1330" i="10"/>
  <c r="S1330" i="10"/>
  <c r="T1330" i="10"/>
  <c r="U1330" i="10"/>
  <c r="V1330" i="10"/>
  <c r="W1330" i="10"/>
  <c r="X1330" i="10"/>
  <c r="Y1330" i="10"/>
  <c r="Z1330" i="10"/>
  <c r="AA1330" i="10"/>
  <c r="AB1330" i="10"/>
  <c r="F1331" i="10"/>
  <c r="G1331" i="10"/>
  <c r="H1331" i="10"/>
  <c r="I1331" i="10"/>
  <c r="J1331" i="10"/>
  <c r="K1331" i="10"/>
  <c r="L1331" i="10"/>
  <c r="M1331" i="10"/>
  <c r="N1331" i="10"/>
  <c r="P1331" i="10"/>
  <c r="Q1331" i="10"/>
  <c r="R1331" i="10"/>
  <c r="S1331" i="10"/>
  <c r="T1331" i="10"/>
  <c r="U1331" i="10"/>
  <c r="V1331" i="10"/>
  <c r="W1331" i="10"/>
  <c r="X1331" i="10"/>
  <c r="Y1331" i="10"/>
  <c r="Z1331" i="10"/>
  <c r="AA1331" i="10"/>
  <c r="AB1331" i="10"/>
  <c r="F1332" i="10"/>
  <c r="G1332" i="10"/>
  <c r="H1332" i="10"/>
  <c r="I1332" i="10"/>
  <c r="J1332" i="10"/>
  <c r="K1332" i="10"/>
  <c r="L1332" i="10"/>
  <c r="M1332" i="10"/>
  <c r="N1332" i="10"/>
  <c r="P1332" i="10"/>
  <c r="Q1332" i="10"/>
  <c r="R1332" i="10"/>
  <c r="S1332" i="10"/>
  <c r="T1332" i="10"/>
  <c r="U1332" i="10"/>
  <c r="V1332" i="10"/>
  <c r="W1332" i="10"/>
  <c r="X1332" i="10"/>
  <c r="Y1332" i="10"/>
  <c r="Z1332" i="10"/>
  <c r="AA1332" i="10"/>
  <c r="AB1332" i="10"/>
  <c r="F1333" i="10"/>
  <c r="G1333" i="10"/>
  <c r="H1333" i="10"/>
  <c r="I1333" i="10"/>
  <c r="J1333" i="10"/>
  <c r="K1333" i="10"/>
  <c r="L1333" i="10"/>
  <c r="M1333" i="10"/>
  <c r="N1333" i="10"/>
  <c r="P1333" i="10"/>
  <c r="Q1333" i="10"/>
  <c r="R1333" i="10"/>
  <c r="S1333" i="10"/>
  <c r="T1333" i="10"/>
  <c r="U1333" i="10"/>
  <c r="V1333" i="10"/>
  <c r="W1333" i="10"/>
  <c r="X1333" i="10"/>
  <c r="Y1333" i="10"/>
  <c r="Z1333" i="10"/>
  <c r="AA1333" i="10"/>
  <c r="AB1333" i="10"/>
  <c r="F1334" i="10"/>
  <c r="G1334" i="10"/>
  <c r="H1334" i="10"/>
  <c r="I1334" i="10"/>
  <c r="J1334" i="10"/>
  <c r="K1334" i="10"/>
  <c r="L1334" i="10"/>
  <c r="M1334" i="10"/>
  <c r="N1334" i="10"/>
  <c r="P1334" i="10"/>
  <c r="Q1334" i="10"/>
  <c r="R1334" i="10"/>
  <c r="S1334" i="10"/>
  <c r="T1334" i="10"/>
  <c r="U1334" i="10"/>
  <c r="V1334" i="10"/>
  <c r="W1334" i="10"/>
  <c r="X1334" i="10"/>
  <c r="Y1334" i="10"/>
  <c r="Z1334" i="10"/>
  <c r="AA1334" i="10"/>
  <c r="AB1334" i="10"/>
  <c r="F1335" i="10"/>
  <c r="G1335" i="10"/>
  <c r="H1335" i="10"/>
  <c r="I1335" i="10"/>
  <c r="J1335" i="10"/>
  <c r="K1335" i="10"/>
  <c r="L1335" i="10"/>
  <c r="M1335" i="10"/>
  <c r="N1335" i="10"/>
  <c r="P1335" i="10"/>
  <c r="Q1335" i="10"/>
  <c r="R1335" i="10"/>
  <c r="S1335" i="10"/>
  <c r="T1335" i="10"/>
  <c r="U1335" i="10"/>
  <c r="V1335" i="10"/>
  <c r="W1335" i="10"/>
  <c r="X1335" i="10"/>
  <c r="Y1335" i="10"/>
  <c r="Z1335" i="10"/>
  <c r="AA1335" i="10"/>
  <c r="AB1335" i="10"/>
  <c r="F1336" i="10"/>
  <c r="G1336" i="10"/>
  <c r="H1336" i="10"/>
  <c r="I1336" i="10"/>
  <c r="J1336" i="10"/>
  <c r="K1336" i="10"/>
  <c r="L1336" i="10"/>
  <c r="M1336" i="10"/>
  <c r="N1336" i="10"/>
  <c r="P1336" i="10"/>
  <c r="Q1336" i="10"/>
  <c r="R1336" i="10"/>
  <c r="S1336" i="10"/>
  <c r="T1336" i="10"/>
  <c r="U1336" i="10"/>
  <c r="V1336" i="10"/>
  <c r="W1336" i="10"/>
  <c r="X1336" i="10"/>
  <c r="Y1336" i="10"/>
  <c r="Z1336" i="10"/>
  <c r="AA1336" i="10"/>
  <c r="AB1336" i="10"/>
  <c r="F1337" i="10"/>
  <c r="G1337" i="10"/>
  <c r="H1337" i="10"/>
  <c r="I1337" i="10"/>
  <c r="J1337" i="10"/>
  <c r="K1337" i="10"/>
  <c r="L1337" i="10"/>
  <c r="M1337" i="10"/>
  <c r="N1337" i="10"/>
  <c r="P1337" i="10"/>
  <c r="Q1337" i="10"/>
  <c r="R1337" i="10"/>
  <c r="S1337" i="10"/>
  <c r="T1337" i="10"/>
  <c r="U1337" i="10"/>
  <c r="V1337" i="10"/>
  <c r="W1337" i="10"/>
  <c r="X1337" i="10"/>
  <c r="Y1337" i="10"/>
  <c r="Z1337" i="10"/>
  <c r="AA1337" i="10"/>
  <c r="AB1337" i="10"/>
  <c r="F1338" i="10"/>
  <c r="G1338" i="10"/>
  <c r="H1338" i="10"/>
  <c r="I1338" i="10"/>
  <c r="J1338" i="10"/>
  <c r="K1338" i="10"/>
  <c r="L1338" i="10"/>
  <c r="M1338" i="10"/>
  <c r="N1338" i="10"/>
  <c r="P1338" i="10"/>
  <c r="Q1338" i="10"/>
  <c r="R1338" i="10"/>
  <c r="S1338" i="10"/>
  <c r="T1338" i="10"/>
  <c r="U1338" i="10"/>
  <c r="V1338" i="10"/>
  <c r="W1338" i="10"/>
  <c r="X1338" i="10"/>
  <c r="Y1338" i="10"/>
  <c r="Z1338" i="10"/>
  <c r="AA1338" i="10"/>
  <c r="AB1338" i="10"/>
  <c r="F1339" i="10"/>
  <c r="G1339" i="10"/>
  <c r="H1339" i="10"/>
  <c r="I1339" i="10"/>
  <c r="J1339" i="10"/>
  <c r="K1339" i="10"/>
  <c r="L1339" i="10"/>
  <c r="M1339" i="10"/>
  <c r="N1339" i="10"/>
  <c r="P1339" i="10"/>
  <c r="Q1339" i="10"/>
  <c r="R1339" i="10"/>
  <c r="S1339" i="10"/>
  <c r="T1339" i="10"/>
  <c r="U1339" i="10"/>
  <c r="V1339" i="10"/>
  <c r="W1339" i="10"/>
  <c r="X1339" i="10"/>
  <c r="Y1339" i="10"/>
  <c r="Z1339" i="10"/>
  <c r="AA1339" i="10"/>
  <c r="AB1339" i="10"/>
  <c r="F1340" i="10"/>
  <c r="G1340" i="10"/>
  <c r="H1340" i="10"/>
  <c r="I1340" i="10"/>
  <c r="J1340" i="10"/>
  <c r="K1340" i="10"/>
  <c r="L1340" i="10"/>
  <c r="M1340" i="10"/>
  <c r="N1340" i="10"/>
  <c r="P1340" i="10"/>
  <c r="Q1340" i="10"/>
  <c r="R1340" i="10"/>
  <c r="S1340" i="10"/>
  <c r="T1340" i="10"/>
  <c r="U1340" i="10"/>
  <c r="V1340" i="10"/>
  <c r="W1340" i="10"/>
  <c r="X1340" i="10"/>
  <c r="Y1340" i="10"/>
  <c r="Z1340" i="10"/>
  <c r="AA1340" i="10"/>
  <c r="AB1340" i="10"/>
  <c r="F1341" i="10"/>
  <c r="G1341" i="10"/>
  <c r="H1341" i="10"/>
  <c r="I1341" i="10"/>
  <c r="J1341" i="10"/>
  <c r="K1341" i="10"/>
  <c r="L1341" i="10"/>
  <c r="M1341" i="10"/>
  <c r="N1341" i="10"/>
  <c r="P1341" i="10"/>
  <c r="Q1341" i="10"/>
  <c r="R1341" i="10"/>
  <c r="S1341" i="10"/>
  <c r="T1341" i="10"/>
  <c r="U1341" i="10"/>
  <c r="V1341" i="10"/>
  <c r="W1341" i="10"/>
  <c r="X1341" i="10"/>
  <c r="Y1341" i="10"/>
  <c r="Z1341" i="10"/>
  <c r="AA1341" i="10"/>
  <c r="AB1341" i="10"/>
  <c r="F1342" i="10"/>
  <c r="G1342" i="10"/>
  <c r="H1342" i="10"/>
  <c r="I1342" i="10"/>
  <c r="J1342" i="10"/>
  <c r="K1342" i="10"/>
  <c r="L1342" i="10"/>
  <c r="M1342" i="10"/>
  <c r="N1342" i="10"/>
  <c r="P1342" i="10"/>
  <c r="Q1342" i="10"/>
  <c r="R1342" i="10"/>
  <c r="S1342" i="10"/>
  <c r="T1342" i="10"/>
  <c r="U1342" i="10"/>
  <c r="V1342" i="10"/>
  <c r="W1342" i="10"/>
  <c r="X1342" i="10"/>
  <c r="Y1342" i="10"/>
  <c r="Z1342" i="10"/>
  <c r="AA1342" i="10"/>
  <c r="AB1342" i="10"/>
  <c r="F1343" i="10"/>
  <c r="G1343" i="10"/>
  <c r="H1343" i="10"/>
  <c r="I1343" i="10"/>
  <c r="J1343" i="10"/>
  <c r="K1343" i="10"/>
  <c r="L1343" i="10"/>
  <c r="M1343" i="10"/>
  <c r="N1343" i="10"/>
  <c r="P1343" i="10"/>
  <c r="Q1343" i="10"/>
  <c r="R1343" i="10"/>
  <c r="S1343" i="10"/>
  <c r="T1343" i="10"/>
  <c r="U1343" i="10"/>
  <c r="V1343" i="10"/>
  <c r="W1343" i="10"/>
  <c r="X1343" i="10"/>
  <c r="Y1343" i="10"/>
  <c r="Z1343" i="10"/>
  <c r="AA1343" i="10"/>
  <c r="AB1343" i="10"/>
  <c r="F1344" i="10"/>
  <c r="G1344" i="10"/>
  <c r="H1344" i="10"/>
  <c r="I1344" i="10"/>
  <c r="J1344" i="10"/>
  <c r="K1344" i="10"/>
  <c r="L1344" i="10"/>
  <c r="M1344" i="10"/>
  <c r="N1344" i="10"/>
  <c r="P1344" i="10"/>
  <c r="Q1344" i="10"/>
  <c r="R1344" i="10"/>
  <c r="S1344" i="10"/>
  <c r="T1344" i="10"/>
  <c r="U1344" i="10"/>
  <c r="V1344" i="10"/>
  <c r="W1344" i="10"/>
  <c r="X1344" i="10"/>
  <c r="Y1344" i="10"/>
  <c r="Z1344" i="10"/>
  <c r="AA1344" i="10"/>
  <c r="AB1344" i="10"/>
  <c r="F1345" i="10"/>
  <c r="G1345" i="10"/>
  <c r="H1345" i="10"/>
  <c r="I1345" i="10"/>
  <c r="J1345" i="10"/>
  <c r="K1345" i="10"/>
  <c r="L1345" i="10"/>
  <c r="M1345" i="10"/>
  <c r="N1345" i="10"/>
  <c r="P1345" i="10"/>
  <c r="Q1345" i="10"/>
  <c r="R1345" i="10"/>
  <c r="S1345" i="10"/>
  <c r="T1345" i="10"/>
  <c r="U1345" i="10"/>
  <c r="V1345" i="10"/>
  <c r="W1345" i="10"/>
  <c r="X1345" i="10"/>
  <c r="Y1345" i="10"/>
  <c r="Z1345" i="10"/>
  <c r="AA1345" i="10"/>
  <c r="AB1345" i="10"/>
  <c r="F1346" i="10"/>
  <c r="G1346" i="10"/>
  <c r="H1346" i="10"/>
  <c r="I1346" i="10"/>
  <c r="J1346" i="10"/>
  <c r="K1346" i="10"/>
  <c r="L1346" i="10"/>
  <c r="M1346" i="10"/>
  <c r="N1346" i="10"/>
  <c r="P1346" i="10"/>
  <c r="Q1346" i="10"/>
  <c r="R1346" i="10"/>
  <c r="S1346" i="10"/>
  <c r="T1346" i="10"/>
  <c r="U1346" i="10"/>
  <c r="V1346" i="10"/>
  <c r="W1346" i="10"/>
  <c r="X1346" i="10"/>
  <c r="Y1346" i="10"/>
  <c r="Z1346" i="10"/>
  <c r="AA1346" i="10"/>
  <c r="AB1346" i="10"/>
  <c r="F1347" i="10"/>
  <c r="G1347" i="10"/>
  <c r="H1347" i="10"/>
  <c r="I1347" i="10"/>
  <c r="J1347" i="10"/>
  <c r="K1347" i="10"/>
  <c r="L1347" i="10"/>
  <c r="M1347" i="10"/>
  <c r="N1347" i="10"/>
  <c r="P1347" i="10"/>
  <c r="Q1347" i="10"/>
  <c r="R1347" i="10"/>
  <c r="S1347" i="10"/>
  <c r="T1347" i="10"/>
  <c r="U1347" i="10"/>
  <c r="V1347" i="10"/>
  <c r="W1347" i="10"/>
  <c r="X1347" i="10"/>
  <c r="Y1347" i="10"/>
  <c r="Z1347" i="10"/>
  <c r="AA1347" i="10"/>
  <c r="AB1347" i="10"/>
  <c r="F1348" i="10"/>
  <c r="G1348" i="10"/>
  <c r="H1348" i="10"/>
  <c r="I1348" i="10"/>
  <c r="J1348" i="10"/>
  <c r="K1348" i="10"/>
  <c r="L1348" i="10"/>
  <c r="M1348" i="10"/>
  <c r="N1348" i="10"/>
  <c r="P1348" i="10"/>
  <c r="Q1348" i="10"/>
  <c r="R1348" i="10"/>
  <c r="S1348" i="10"/>
  <c r="T1348" i="10"/>
  <c r="U1348" i="10"/>
  <c r="V1348" i="10"/>
  <c r="W1348" i="10"/>
  <c r="X1348" i="10"/>
  <c r="Y1348" i="10"/>
  <c r="Z1348" i="10"/>
  <c r="AA1348" i="10"/>
  <c r="AB1348" i="10"/>
  <c r="F1349" i="10"/>
  <c r="G1349" i="10"/>
  <c r="H1349" i="10"/>
  <c r="I1349" i="10"/>
  <c r="J1349" i="10"/>
  <c r="K1349" i="10"/>
  <c r="L1349" i="10"/>
  <c r="M1349" i="10"/>
  <c r="N1349" i="10"/>
  <c r="P1349" i="10"/>
  <c r="Q1349" i="10"/>
  <c r="R1349" i="10"/>
  <c r="S1349" i="10"/>
  <c r="T1349" i="10"/>
  <c r="U1349" i="10"/>
  <c r="V1349" i="10"/>
  <c r="W1349" i="10"/>
  <c r="X1349" i="10"/>
  <c r="Y1349" i="10"/>
  <c r="Z1349" i="10"/>
  <c r="AA1349" i="10"/>
  <c r="AB1349" i="10"/>
  <c r="F1350" i="10"/>
  <c r="G1350" i="10"/>
  <c r="H1350" i="10"/>
  <c r="I1350" i="10"/>
  <c r="J1350" i="10"/>
  <c r="K1350" i="10"/>
  <c r="L1350" i="10"/>
  <c r="M1350" i="10"/>
  <c r="N1350" i="10"/>
  <c r="P1350" i="10"/>
  <c r="Q1350" i="10"/>
  <c r="R1350" i="10"/>
  <c r="S1350" i="10"/>
  <c r="T1350" i="10"/>
  <c r="U1350" i="10"/>
  <c r="V1350" i="10"/>
  <c r="W1350" i="10"/>
  <c r="X1350" i="10"/>
  <c r="Y1350" i="10"/>
  <c r="Z1350" i="10"/>
  <c r="AA1350" i="10"/>
  <c r="AB1350" i="10"/>
  <c r="F1351" i="10"/>
  <c r="G1351" i="10"/>
  <c r="H1351" i="10"/>
  <c r="I1351" i="10"/>
  <c r="J1351" i="10"/>
  <c r="K1351" i="10"/>
  <c r="L1351" i="10"/>
  <c r="M1351" i="10"/>
  <c r="N1351" i="10"/>
  <c r="P1351" i="10"/>
  <c r="Q1351" i="10"/>
  <c r="R1351" i="10"/>
  <c r="S1351" i="10"/>
  <c r="T1351" i="10"/>
  <c r="U1351" i="10"/>
  <c r="V1351" i="10"/>
  <c r="W1351" i="10"/>
  <c r="X1351" i="10"/>
  <c r="Y1351" i="10"/>
  <c r="Z1351" i="10"/>
  <c r="AA1351" i="10"/>
  <c r="AB1351" i="10"/>
  <c r="F1352" i="10"/>
  <c r="G1352" i="10"/>
  <c r="H1352" i="10"/>
  <c r="I1352" i="10"/>
  <c r="J1352" i="10"/>
  <c r="K1352" i="10"/>
  <c r="L1352" i="10"/>
  <c r="M1352" i="10"/>
  <c r="N1352" i="10"/>
  <c r="P1352" i="10"/>
  <c r="Q1352" i="10"/>
  <c r="R1352" i="10"/>
  <c r="S1352" i="10"/>
  <c r="T1352" i="10"/>
  <c r="U1352" i="10"/>
  <c r="V1352" i="10"/>
  <c r="W1352" i="10"/>
  <c r="X1352" i="10"/>
  <c r="Y1352" i="10"/>
  <c r="Z1352" i="10"/>
  <c r="AA1352" i="10"/>
  <c r="AB1352" i="10"/>
  <c r="F1353" i="10"/>
  <c r="G1353" i="10"/>
  <c r="H1353" i="10"/>
  <c r="I1353" i="10"/>
  <c r="J1353" i="10"/>
  <c r="K1353" i="10"/>
  <c r="L1353" i="10"/>
  <c r="M1353" i="10"/>
  <c r="N1353" i="10"/>
  <c r="P1353" i="10"/>
  <c r="Q1353" i="10"/>
  <c r="R1353" i="10"/>
  <c r="S1353" i="10"/>
  <c r="T1353" i="10"/>
  <c r="U1353" i="10"/>
  <c r="V1353" i="10"/>
  <c r="W1353" i="10"/>
  <c r="X1353" i="10"/>
  <c r="Y1353" i="10"/>
  <c r="Z1353" i="10"/>
  <c r="AA1353" i="10"/>
  <c r="AB1353" i="10"/>
  <c r="F1354" i="10"/>
  <c r="G1354" i="10"/>
  <c r="H1354" i="10"/>
  <c r="I1354" i="10"/>
  <c r="J1354" i="10"/>
  <c r="K1354" i="10"/>
  <c r="L1354" i="10"/>
  <c r="M1354" i="10"/>
  <c r="N1354" i="10"/>
  <c r="P1354" i="10"/>
  <c r="Q1354" i="10"/>
  <c r="R1354" i="10"/>
  <c r="S1354" i="10"/>
  <c r="T1354" i="10"/>
  <c r="U1354" i="10"/>
  <c r="V1354" i="10"/>
  <c r="W1354" i="10"/>
  <c r="X1354" i="10"/>
  <c r="Y1354" i="10"/>
  <c r="Z1354" i="10"/>
  <c r="AA1354" i="10"/>
  <c r="AB1354" i="10"/>
  <c r="F1355" i="10"/>
  <c r="G1355" i="10"/>
  <c r="H1355" i="10"/>
  <c r="I1355" i="10"/>
  <c r="J1355" i="10"/>
  <c r="K1355" i="10"/>
  <c r="L1355" i="10"/>
  <c r="M1355" i="10"/>
  <c r="N1355" i="10"/>
  <c r="P1355" i="10"/>
  <c r="Q1355" i="10"/>
  <c r="R1355" i="10"/>
  <c r="S1355" i="10"/>
  <c r="T1355" i="10"/>
  <c r="U1355" i="10"/>
  <c r="V1355" i="10"/>
  <c r="W1355" i="10"/>
  <c r="X1355" i="10"/>
  <c r="Y1355" i="10"/>
  <c r="Z1355" i="10"/>
  <c r="AA1355" i="10"/>
  <c r="AB1355" i="10"/>
  <c r="F1356" i="10"/>
  <c r="G1356" i="10"/>
  <c r="H1356" i="10"/>
  <c r="I1356" i="10"/>
  <c r="J1356" i="10"/>
  <c r="K1356" i="10"/>
  <c r="L1356" i="10"/>
  <c r="M1356" i="10"/>
  <c r="N1356" i="10"/>
  <c r="P1356" i="10"/>
  <c r="Q1356" i="10"/>
  <c r="R1356" i="10"/>
  <c r="S1356" i="10"/>
  <c r="T1356" i="10"/>
  <c r="U1356" i="10"/>
  <c r="V1356" i="10"/>
  <c r="W1356" i="10"/>
  <c r="X1356" i="10"/>
  <c r="Y1356" i="10"/>
  <c r="Z1356" i="10"/>
  <c r="AA1356" i="10"/>
  <c r="AB1356" i="10"/>
  <c r="F1357" i="10"/>
  <c r="G1357" i="10"/>
  <c r="H1357" i="10"/>
  <c r="I1357" i="10"/>
  <c r="J1357" i="10"/>
  <c r="K1357" i="10"/>
  <c r="L1357" i="10"/>
  <c r="M1357" i="10"/>
  <c r="N1357" i="10"/>
  <c r="P1357" i="10"/>
  <c r="Q1357" i="10"/>
  <c r="R1357" i="10"/>
  <c r="S1357" i="10"/>
  <c r="T1357" i="10"/>
  <c r="U1357" i="10"/>
  <c r="V1357" i="10"/>
  <c r="W1357" i="10"/>
  <c r="X1357" i="10"/>
  <c r="Y1357" i="10"/>
  <c r="Z1357" i="10"/>
  <c r="AA1357" i="10"/>
  <c r="AB1357" i="10"/>
  <c r="F1358" i="10"/>
  <c r="G1358" i="10"/>
  <c r="H1358" i="10"/>
  <c r="I1358" i="10"/>
  <c r="J1358" i="10"/>
  <c r="K1358" i="10"/>
  <c r="L1358" i="10"/>
  <c r="M1358" i="10"/>
  <c r="N1358" i="10"/>
  <c r="P1358" i="10"/>
  <c r="Q1358" i="10"/>
  <c r="R1358" i="10"/>
  <c r="S1358" i="10"/>
  <c r="T1358" i="10"/>
  <c r="U1358" i="10"/>
  <c r="V1358" i="10"/>
  <c r="W1358" i="10"/>
  <c r="X1358" i="10"/>
  <c r="Y1358" i="10"/>
  <c r="Z1358" i="10"/>
  <c r="AA1358" i="10"/>
  <c r="AB1358" i="10"/>
  <c r="F1359" i="10"/>
  <c r="G1359" i="10"/>
  <c r="H1359" i="10"/>
  <c r="I1359" i="10"/>
  <c r="J1359" i="10"/>
  <c r="K1359" i="10"/>
  <c r="L1359" i="10"/>
  <c r="M1359" i="10"/>
  <c r="N1359" i="10"/>
  <c r="P1359" i="10"/>
  <c r="Q1359" i="10"/>
  <c r="R1359" i="10"/>
  <c r="S1359" i="10"/>
  <c r="T1359" i="10"/>
  <c r="U1359" i="10"/>
  <c r="V1359" i="10"/>
  <c r="W1359" i="10"/>
  <c r="X1359" i="10"/>
  <c r="Y1359" i="10"/>
  <c r="Z1359" i="10"/>
  <c r="AA1359" i="10"/>
  <c r="AB1359" i="10"/>
  <c r="F1360" i="10"/>
  <c r="G1360" i="10"/>
  <c r="H1360" i="10"/>
  <c r="I1360" i="10"/>
  <c r="J1360" i="10"/>
  <c r="K1360" i="10"/>
  <c r="L1360" i="10"/>
  <c r="M1360" i="10"/>
  <c r="N1360" i="10"/>
  <c r="P1360" i="10"/>
  <c r="Q1360" i="10"/>
  <c r="R1360" i="10"/>
  <c r="S1360" i="10"/>
  <c r="T1360" i="10"/>
  <c r="U1360" i="10"/>
  <c r="V1360" i="10"/>
  <c r="W1360" i="10"/>
  <c r="X1360" i="10"/>
  <c r="Y1360" i="10"/>
  <c r="Z1360" i="10"/>
  <c r="AA1360" i="10"/>
  <c r="AB1360" i="10"/>
  <c r="F1361" i="10"/>
  <c r="G1361" i="10"/>
  <c r="H1361" i="10"/>
  <c r="I1361" i="10"/>
  <c r="J1361" i="10"/>
  <c r="K1361" i="10"/>
  <c r="L1361" i="10"/>
  <c r="M1361" i="10"/>
  <c r="N1361" i="10"/>
  <c r="P1361" i="10"/>
  <c r="Q1361" i="10"/>
  <c r="R1361" i="10"/>
  <c r="S1361" i="10"/>
  <c r="T1361" i="10"/>
  <c r="U1361" i="10"/>
  <c r="V1361" i="10"/>
  <c r="W1361" i="10"/>
  <c r="X1361" i="10"/>
  <c r="Y1361" i="10"/>
  <c r="Z1361" i="10"/>
  <c r="AA1361" i="10"/>
  <c r="AB1361" i="10"/>
  <c r="F1362" i="10"/>
  <c r="G1362" i="10"/>
  <c r="H1362" i="10"/>
  <c r="I1362" i="10"/>
  <c r="J1362" i="10"/>
  <c r="K1362" i="10"/>
  <c r="L1362" i="10"/>
  <c r="M1362" i="10"/>
  <c r="N1362" i="10"/>
  <c r="P1362" i="10"/>
  <c r="Q1362" i="10"/>
  <c r="R1362" i="10"/>
  <c r="S1362" i="10"/>
  <c r="T1362" i="10"/>
  <c r="U1362" i="10"/>
  <c r="V1362" i="10"/>
  <c r="W1362" i="10"/>
  <c r="X1362" i="10"/>
  <c r="Y1362" i="10"/>
  <c r="Z1362" i="10"/>
  <c r="AA1362" i="10"/>
  <c r="AB1362" i="10"/>
  <c r="F1363" i="10"/>
  <c r="G1363" i="10"/>
  <c r="H1363" i="10"/>
  <c r="I1363" i="10"/>
  <c r="J1363" i="10"/>
  <c r="K1363" i="10"/>
  <c r="L1363" i="10"/>
  <c r="M1363" i="10"/>
  <c r="N1363" i="10"/>
  <c r="P1363" i="10"/>
  <c r="Q1363" i="10"/>
  <c r="R1363" i="10"/>
  <c r="S1363" i="10"/>
  <c r="T1363" i="10"/>
  <c r="U1363" i="10"/>
  <c r="V1363" i="10"/>
  <c r="W1363" i="10"/>
  <c r="X1363" i="10"/>
  <c r="Y1363" i="10"/>
  <c r="Z1363" i="10"/>
  <c r="AA1363" i="10"/>
  <c r="AB1363" i="10"/>
  <c r="F1364" i="10"/>
  <c r="G1364" i="10"/>
  <c r="H1364" i="10"/>
  <c r="I1364" i="10"/>
  <c r="J1364" i="10"/>
  <c r="K1364" i="10"/>
  <c r="L1364" i="10"/>
  <c r="M1364" i="10"/>
  <c r="N1364" i="10"/>
  <c r="P1364" i="10"/>
  <c r="Q1364" i="10"/>
  <c r="R1364" i="10"/>
  <c r="S1364" i="10"/>
  <c r="T1364" i="10"/>
  <c r="U1364" i="10"/>
  <c r="V1364" i="10"/>
  <c r="W1364" i="10"/>
  <c r="X1364" i="10"/>
  <c r="Y1364" i="10"/>
  <c r="Z1364" i="10"/>
  <c r="AA1364" i="10"/>
  <c r="AB1364" i="10"/>
  <c r="F1365" i="10"/>
  <c r="G1365" i="10"/>
  <c r="H1365" i="10"/>
  <c r="I1365" i="10"/>
  <c r="J1365" i="10"/>
  <c r="K1365" i="10"/>
  <c r="L1365" i="10"/>
  <c r="M1365" i="10"/>
  <c r="N1365" i="10"/>
  <c r="P1365" i="10"/>
  <c r="Q1365" i="10"/>
  <c r="R1365" i="10"/>
  <c r="S1365" i="10"/>
  <c r="T1365" i="10"/>
  <c r="U1365" i="10"/>
  <c r="V1365" i="10"/>
  <c r="W1365" i="10"/>
  <c r="X1365" i="10"/>
  <c r="Y1365" i="10"/>
  <c r="Z1365" i="10"/>
  <c r="AA1365" i="10"/>
  <c r="AB1365" i="10"/>
  <c r="F1366" i="10"/>
  <c r="G1366" i="10"/>
  <c r="H1366" i="10"/>
  <c r="I1366" i="10"/>
  <c r="J1366" i="10"/>
  <c r="K1366" i="10"/>
  <c r="L1366" i="10"/>
  <c r="M1366" i="10"/>
  <c r="N1366" i="10"/>
  <c r="P1366" i="10"/>
  <c r="Q1366" i="10"/>
  <c r="R1366" i="10"/>
  <c r="S1366" i="10"/>
  <c r="T1366" i="10"/>
  <c r="U1366" i="10"/>
  <c r="V1366" i="10"/>
  <c r="W1366" i="10"/>
  <c r="X1366" i="10"/>
  <c r="Y1366" i="10"/>
  <c r="Z1366" i="10"/>
  <c r="AA1366" i="10"/>
  <c r="AB1366" i="10"/>
  <c r="F1367" i="10"/>
  <c r="G1367" i="10"/>
  <c r="H1367" i="10"/>
  <c r="I1367" i="10"/>
  <c r="J1367" i="10"/>
  <c r="K1367" i="10"/>
  <c r="L1367" i="10"/>
  <c r="M1367" i="10"/>
  <c r="N1367" i="10"/>
  <c r="P1367" i="10"/>
  <c r="Q1367" i="10"/>
  <c r="R1367" i="10"/>
  <c r="S1367" i="10"/>
  <c r="T1367" i="10"/>
  <c r="U1367" i="10"/>
  <c r="V1367" i="10"/>
  <c r="W1367" i="10"/>
  <c r="X1367" i="10"/>
  <c r="Y1367" i="10"/>
  <c r="Z1367" i="10"/>
  <c r="AA1367" i="10"/>
  <c r="AB1367" i="10"/>
  <c r="F1368" i="10"/>
  <c r="G1368" i="10"/>
  <c r="H1368" i="10"/>
  <c r="I1368" i="10"/>
  <c r="J1368" i="10"/>
  <c r="K1368" i="10"/>
  <c r="L1368" i="10"/>
  <c r="M1368" i="10"/>
  <c r="N1368" i="10"/>
  <c r="P1368" i="10"/>
  <c r="Q1368" i="10"/>
  <c r="R1368" i="10"/>
  <c r="S1368" i="10"/>
  <c r="T1368" i="10"/>
  <c r="U1368" i="10"/>
  <c r="V1368" i="10"/>
  <c r="W1368" i="10"/>
  <c r="X1368" i="10"/>
  <c r="Y1368" i="10"/>
  <c r="Z1368" i="10"/>
  <c r="AA1368" i="10"/>
  <c r="AB1368" i="10"/>
  <c r="F1369" i="10"/>
  <c r="G1369" i="10"/>
  <c r="H1369" i="10"/>
  <c r="I1369" i="10"/>
  <c r="J1369" i="10"/>
  <c r="K1369" i="10"/>
  <c r="L1369" i="10"/>
  <c r="M1369" i="10"/>
  <c r="N1369" i="10"/>
  <c r="P1369" i="10"/>
  <c r="Q1369" i="10"/>
  <c r="R1369" i="10"/>
  <c r="S1369" i="10"/>
  <c r="T1369" i="10"/>
  <c r="U1369" i="10"/>
  <c r="V1369" i="10"/>
  <c r="W1369" i="10"/>
  <c r="X1369" i="10"/>
  <c r="Y1369" i="10"/>
  <c r="Z1369" i="10"/>
  <c r="AA1369" i="10"/>
  <c r="AB1369" i="10"/>
  <c r="F1370" i="10"/>
  <c r="G1370" i="10"/>
  <c r="H1370" i="10"/>
  <c r="I1370" i="10"/>
  <c r="J1370" i="10"/>
  <c r="K1370" i="10"/>
  <c r="L1370" i="10"/>
  <c r="M1370" i="10"/>
  <c r="N1370" i="10"/>
  <c r="P1370" i="10"/>
  <c r="Q1370" i="10"/>
  <c r="R1370" i="10"/>
  <c r="S1370" i="10"/>
  <c r="T1370" i="10"/>
  <c r="U1370" i="10"/>
  <c r="V1370" i="10"/>
  <c r="W1370" i="10"/>
  <c r="X1370" i="10"/>
  <c r="Y1370" i="10"/>
  <c r="Z1370" i="10"/>
  <c r="AA1370" i="10"/>
  <c r="AB1370" i="10"/>
  <c r="F1371" i="10"/>
  <c r="G1371" i="10"/>
  <c r="H1371" i="10"/>
  <c r="I1371" i="10"/>
  <c r="J1371" i="10"/>
  <c r="K1371" i="10"/>
  <c r="L1371" i="10"/>
  <c r="M1371" i="10"/>
  <c r="N1371" i="10"/>
  <c r="P1371" i="10"/>
  <c r="Q1371" i="10"/>
  <c r="R1371" i="10"/>
  <c r="S1371" i="10"/>
  <c r="T1371" i="10"/>
  <c r="U1371" i="10"/>
  <c r="V1371" i="10"/>
  <c r="W1371" i="10"/>
  <c r="X1371" i="10"/>
  <c r="Y1371" i="10"/>
  <c r="Z1371" i="10"/>
  <c r="AA1371" i="10"/>
  <c r="AB1371" i="10"/>
  <c r="F1372" i="10"/>
  <c r="G1372" i="10"/>
  <c r="H1372" i="10"/>
  <c r="I1372" i="10"/>
  <c r="J1372" i="10"/>
  <c r="K1372" i="10"/>
  <c r="L1372" i="10"/>
  <c r="M1372" i="10"/>
  <c r="N1372" i="10"/>
  <c r="P1372" i="10"/>
  <c r="Q1372" i="10"/>
  <c r="R1372" i="10"/>
  <c r="S1372" i="10"/>
  <c r="T1372" i="10"/>
  <c r="U1372" i="10"/>
  <c r="V1372" i="10"/>
  <c r="W1372" i="10"/>
  <c r="X1372" i="10"/>
  <c r="Y1372" i="10"/>
  <c r="Z1372" i="10"/>
  <c r="AA1372" i="10"/>
  <c r="AB1372" i="10"/>
  <c r="F1373" i="10"/>
  <c r="G1373" i="10"/>
  <c r="H1373" i="10"/>
  <c r="I1373" i="10"/>
  <c r="J1373" i="10"/>
  <c r="K1373" i="10"/>
  <c r="L1373" i="10"/>
  <c r="M1373" i="10"/>
  <c r="N1373" i="10"/>
  <c r="P1373" i="10"/>
  <c r="Q1373" i="10"/>
  <c r="R1373" i="10"/>
  <c r="S1373" i="10"/>
  <c r="T1373" i="10"/>
  <c r="U1373" i="10"/>
  <c r="V1373" i="10"/>
  <c r="W1373" i="10"/>
  <c r="X1373" i="10"/>
  <c r="Y1373" i="10"/>
  <c r="Z1373" i="10"/>
  <c r="AA1373" i="10"/>
  <c r="AB1373" i="10"/>
  <c r="F1374" i="10"/>
  <c r="G1374" i="10"/>
  <c r="H1374" i="10"/>
  <c r="I1374" i="10"/>
  <c r="J1374" i="10"/>
  <c r="K1374" i="10"/>
  <c r="L1374" i="10"/>
  <c r="M1374" i="10"/>
  <c r="N1374" i="10"/>
  <c r="P1374" i="10"/>
  <c r="Q1374" i="10"/>
  <c r="R1374" i="10"/>
  <c r="S1374" i="10"/>
  <c r="T1374" i="10"/>
  <c r="U1374" i="10"/>
  <c r="V1374" i="10"/>
  <c r="W1374" i="10"/>
  <c r="X1374" i="10"/>
  <c r="Y1374" i="10"/>
  <c r="Z1374" i="10"/>
  <c r="AA1374" i="10"/>
  <c r="AB1374" i="10"/>
  <c r="F1375" i="10"/>
  <c r="G1375" i="10"/>
  <c r="H1375" i="10"/>
  <c r="I1375" i="10"/>
  <c r="J1375" i="10"/>
  <c r="K1375" i="10"/>
  <c r="L1375" i="10"/>
  <c r="M1375" i="10"/>
  <c r="N1375" i="10"/>
  <c r="P1375" i="10"/>
  <c r="Q1375" i="10"/>
  <c r="R1375" i="10"/>
  <c r="S1375" i="10"/>
  <c r="T1375" i="10"/>
  <c r="U1375" i="10"/>
  <c r="V1375" i="10"/>
  <c r="W1375" i="10"/>
  <c r="X1375" i="10"/>
  <c r="Y1375" i="10"/>
  <c r="Z1375" i="10"/>
  <c r="AA1375" i="10"/>
  <c r="AB1375" i="10"/>
  <c r="F1376" i="10"/>
  <c r="G1376" i="10"/>
  <c r="H1376" i="10"/>
  <c r="I1376" i="10"/>
  <c r="J1376" i="10"/>
  <c r="K1376" i="10"/>
  <c r="L1376" i="10"/>
  <c r="M1376" i="10"/>
  <c r="N1376" i="10"/>
  <c r="P1376" i="10"/>
  <c r="Q1376" i="10"/>
  <c r="R1376" i="10"/>
  <c r="S1376" i="10"/>
  <c r="T1376" i="10"/>
  <c r="U1376" i="10"/>
  <c r="V1376" i="10"/>
  <c r="W1376" i="10"/>
  <c r="X1376" i="10"/>
  <c r="Y1376" i="10"/>
  <c r="Z1376" i="10"/>
  <c r="AA1376" i="10"/>
  <c r="AB1376" i="10"/>
  <c r="F1377" i="10"/>
  <c r="G1377" i="10"/>
  <c r="H1377" i="10"/>
  <c r="I1377" i="10"/>
  <c r="J1377" i="10"/>
  <c r="K1377" i="10"/>
  <c r="L1377" i="10"/>
  <c r="M1377" i="10"/>
  <c r="N1377" i="10"/>
  <c r="P1377" i="10"/>
  <c r="Q1377" i="10"/>
  <c r="R1377" i="10"/>
  <c r="S1377" i="10"/>
  <c r="T1377" i="10"/>
  <c r="U1377" i="10"/>
  <c r="V1377" i="10"/>
  <c r="W1377" i="10"/>
  <c r="X1377" i="10"/>
  <c r="Y1377" i="10"/>
  <c r="Z1377" i="10"/>
  <c r="AA1377" i="10"/>
  <c r="AB1377" i="10"/>
  <c r="F1378" i="10"/>
  <c r="G1378" i="10"/>
  <c r="H1378" i="10"/>
  <c r="I1378" i="10"/>
  <c r="J1378" i="10"/>
  <c r="K1378" i="10"/>
  <c r="L1378" i="10"/>
  <c r="M1378" i="10"/>
  <c r="N1378" i="10"/>
  <c r="P1378" i="10"/>
  <c r="Q1378" i="10"/>
  <c r="R1378" i="10"/>
  <c r="S1378" i="10"/>
  <c r="T1378" i="10"/>
  <c r="U1378" i="10"/>
  <c r="V1378" i="10"/>
  <c r="W1378" i="10"/>
  <c r="X1378" i="10"/>
  <c r="Y1378" i="10"/>
  <c r="Z1378" i="10"/>
  <c r="AA1378" i="10"/>
  <c r="AB1378" i="10"/>
  <c r="F1379" i="10"/>
  <c r="G1379" i="10"/>
  <c r="H1379" i="10"/>
  <c r="I1379" i="10"/>
  <c r="J1379" i="10"/>
  <c r="K1379" i="10"/>
  <c r="L1379" i="10"/>
  <c r="M1379" i="10"/>
  <c r="N1379" i="10"/>
  <c r="P1379" i="10"/>
  <c r="Q1379" i="10"/>
  <c r="R1379" i="10"/>
  <c r="S1379" i="10"/>
  <c r="T1379" i="10"/>
  <c r="U1379" i="10"/>
  <c r="V1379" i="10"/>
  <c r="W1379" i="10"/>
  <c r="X1379" i="10"/>
  <c r="Y1379" i="10"/>
  <c r="Z1379" i="10"/>
  <c r="AA1379" i="10"/>
  <c r="AB1379" i="10"/>
  <c r="F1380" i="10"/>
  <c r="G1380" i="10"/>
  <c r="H1380" i="10"/>
  <c r="I1380" i="10"/>
  <c r="J1380" i="10"/>
  <c r="K1380" i="10"/>
  <c r="L1380" i="10"/>
  <c r="M1380" i="10"/>
  <c r="N1380" i="10"/>
  <c r="P1380" i="10"/>
  <c r="Q1380" i="10"/>
  <c r="R1380" i="10"/>
  <c r="S1380" i="10"/>
  <c r="T1380" i="10"/>
  <c r="U1380" i="10"/>
  <c r="V1380" i="10"/>
  <c r="W1380" i="10"/>
  <c r="X1380" i="10"/>
  <c r="Y1380" i="10"/>
  <c r="Z1380" i="10"/>
  <c r="AA1380" i="10"/>
  <c r="AB1380" i="10"/>
  <c r="F1381" i="10"/>
  <c r="G1381" i="10"/>
  <c r="H1381" i="10"/>
  <c r="I1381" i="10"/>
  <c r="J1381" i="10"/>
  <c r="K1381" i="10"/>
  <c r="L1381" i="10"/>
  <c r="M1381" i="10"/>
  <c r="N1381" i="10"/>
  <c r="P1381" i="10"/>
  <c r="Q1381" i="10"/>
  <c r="R1381" i="10"/>
  <c r="S1381" i="10"/>
  <c r="T1381" i="10"/>
  <c r="U1381" i="10"/>
  <c r="V1381" i="10"/>
  <c r="W1381" i="10"/>
  <c r="X1381" i="10"/>
  <c r="Y1381" i="10"/>
  <c r="Z1381" i="10"/>
  <c r="AA1381" i="10"/>
  <c r="AB1381" i="10"/>
  <c r="F1382" i="10"/>
  <c r="G1382" i="10"/>
  <c r="H1382" i="10"/>
  <c r="I1382" i="10"/>
  <c r="J1382" i="10"/>
  <c r="K1382" i="10"/>
  <c r="L1382" i="10"/>
  <c r="M1382" i="10"/>
  <c r="N1382" i="10"/>
  <c r="P1382" i="10"/>
  <c r="Q1382" i="10"/>
  <c r="R1382" i="10"/>
  <c r="S1382" i="10"/>
  <c r="T1382" i="10"/>
  <c r="U1382" i="10"/>
  <c r="V1382" i="10"/>
  <c r="W1382" i="10"/>
  <c r="X1382" i="10"/>
  <c r="Y1382" i="10"/>
  <c r="Z1382" i="10"/>
  <c r="AA1382" i="10"/>
  <c r="AB1382" i="10"/>
  <c r="F1383" i="10"/>
  <c r="G1383" i="10"/>
  <c r="H1383" i="10"/>
  <c r="I1383" i="10"/>
  <c r="J1383" i="10"/>
  <c r="K1383" i="10"/>
  <c r="L1383" i="10"/>
  <c r="M1383" i="10"/>
  <c r="N1383" i="10"/>
  <c r="P1383" i="10"/>
  <c r="Q1383" i="10"/>
  <c r="R1383" i="10"/>
  <c r="S1383" i="10"/>
  <c r="T1383" i="10"/>
  <c r="U1383" i="10"/>
  <c r="V1383" i="10"/>
  <c r="W1383" i="10"/>
  <c r="X1383" i="10"/>
  <c r="Y1383" i="10"/>
  <c r="Z1383" i="10"/>
  <c r="AA1383" i="10"/>
  <c r="AB1383" i="10"/>
  <c r="F1384" i="10"/>
  <c r="G1384" i="10"/>
  <c r="H1384" i="10"/>
  <c r="I1384" i="10"/>
  <c r="J1384" i="10"/>
  <c r="K1384" i="10"/>
  <c r="L1384" i="10"/>
  <c r="M1384" i="10"/>
  <c r="N1384" i="10"/>
  <c r="P1384" i="10"/>
  <c r="Q1384" i="10"/>
  <c r="R1384" i="10"/>
  <c r="S1384" i="10"/>
  <c r="T1384" i="10"/>
  <c r="U1384" i="10"/>
  <c r="V1384" i="10"/>
  <c r="W1384" i="10"/>
  <c r="X1384" i="10"/>
  <c r="Y1384" i="10"/>
  <c r="Z1384" i="10"/>
  <c r="AA1384" i="10"/>
  <c r="AB1384" i="10"/>
  <c r="F1385" i="10"/>
  <c r="G1385" i="10"/>
  <c r="H1385" i="10"/>
  <c r="I1385" i="10"/>
  <c r="J1385" i="10"/>
  <c r="K1385" i="10"/>
  <c r="L1385" i="10"/>
  <c r="M1385" i="10"/>
  <c r="N1385" i="10"/>
  <c r="P1385" i="10"/>
  <c r="Q1385" i="10"/>
  <c r="R1385" i="10"/>
  <c r="S1385" i="10"/>
  <c r="T1385" i="10"/>
  <c r="U1385" i="10"/>
  <c r="V1385" i="10"/>
  <c r="W1385" i="10"/>
  <c r="X1385" i="10"/>
  <c r="Y1385" i="10"/>
  <c r="Z1385" i="10"/>
  <c r="AA1385" i="10"/>
  <c r="AB1385" i="10"/>
  <c r="F1386" i="10"/>
  <c r="G1386" i="10"/>
  <c r="H1386" i="10"/>
  <c r="I1386" i="10"/>
  <c r="J1386" i="10"/>
  <c r="K1386" i="10"/>
  <c r="L1386" i="10"/>
  <c r="M1386" i="10"/>
  <c r="N1386" i="10"/>
  <c r="P1386" i="10"/>
  <c r="Q1386" i="10"/>
  <c r="R1386" i="10"/>
  <c r="S1386" i="10"/>
  <c r="T1386" i="10"/>
  <c r="U1386" i="10"/>
  <c r="V1386" i="10"/>
  <c r="W1386" i="10"/>
  <c r="X1386" i="10"/>
  <c r="Y1386" i="10"/>
  <c r="Z1386" i="10"/>
  <c r="AA1386" i="10"/>
  <c r="AB1386" i="10"/>
  <c r="F1387" i="10"/>
  <c r="G1387" i="10"/>
  <c r="H1387" i="10"/>
  <c r="I1387" i="10"/>
  <c r="J1387" i="10"/>
  <c r="K1387" i="10"/>
  <c r="L1387" i="10"/>
  <c r="M1387" i="10"/>
  <c r="N1387" i="10"/>
  <c r="P1387" i="10"/>
  <c r="Q1387" i="10"/>
  <c r="R1387" i="10"/>
  <c r="S1387" i="10"/>
  <c r="T1387" i="10"/>
  <c r="U1387" i="10"/>
  <c r="V1387" i="10"/>
  <c r="W1387" i="10"/>
  <c r="X1387" i="10"/>
  <c r="Y1387" i="10"/>
  <c r="Z1387" i="10"/>
  <c r="AA1387" i="10"/>
  <c r="AB1387" i="10"/>
  <c r="F1388" i="10"/>
  <c r="G1388" i="10"/>
  <c r="H1388" i="10"/>
  <c r="I1388" i="10"/>
  <c r="J1388" i="10"/>
  <c r="K1388" i="10"/>
  <c r="L1388" i="10"/>
  <c r="M1388" i="10"/>
  <c r="N1388" i="10"/>
  <c r="P1388" i="10"/>
  <c r="Q1388" i="10"/>
  <c r="R1388" i="10"/>
  <c r="S1388" i="10"/>
  <c r="T1388" i="10"/>
  <c r="U1388" i="10"/>
  <c r="V1388" i="10"/>
  <c r="W1388" i="10"/>
  <c r="X1388" i="10"/>
  <c r="Y1388" i="10"/>
  <c r="Z1388" i="10"/>
  <c r="AA1388" i="10"/>
  <c r="AB1388" i="10"/>
  <c r="F1389" i="10"/>
  <c r="G1389" i="10"/>
  <c r="H1389" i="10"/>
  <c r="I1389" i="10"/>
  <c r="J1389" i="10"/>
  <c r="K1389" i="10"/>
  <c r="L1389" i="10"/>
  <c r="M1389" i="10"/>
  <c r="N1389" i="10"/>
  <c r="P1389" i="10"/>
  <c r="Q1389" i="10"/>
  <c r="R1389" i="10"/>
  <c r="S1389" i="10"/>
  <c r="T1389" i="10"/>
  <c r="U1389" i="10"/>
  <c r="V1389" i="10"/>
  <c r="W1389" i="10"/>
  <c r="X1389" i="10"/>
  <c r="Y1389" i="10"/>
  <c r="Z1389" i="10"/>
  <c r="AA1389" i="10"/>
  <c r="AB1389" i="10"/>
  <c r="F1390" i="10"/>
  <c r="G1390" i="10"/>
  <c r="H1390" i="10"/>
  <c r="I1390" i="10"/>
  <c r="J1390" i="10"/>
  <c r="K1390" i="10"/>
  <c r="L1390" i="10"/>
  <c r="M1390" i="10"/>
  <c r="N1390" i="10"/>
  <c r="P1390" i="10"/>
  <c r="Q1390" i="10"/>
  <c r="R1390" i="10"/>
  <c r="S1390" i="10"/>
  <c r="T1390" i="10"/>
  <c r="U1390" i="10"/>
  <c r="V1390" i="10"/>
  <c r="W1390" i="10"/>
  <c r="X1390" i="10"/>
  <c r="Y1390" i="10"/>
  <c r="Z1390" i="10"/>
  <c r="AA1390" i="10"/>
  <c r="AB1390" i="10"/>
  <c r="F1391" i="10"/>
  <c r="G1391" i="10"/>
  <c r="H1391" i="10"/>
  <c r="I1391" i="10"/>
  <c r="J1391" i="10"/>
  <c r="K1391" i="10"/>
  <c r="L1391" i="10"/>
  <c r="M1391" i="10"/>
  <c r="N1391" i="10"/>
  <c r="P1391" i="10"/>
  <c r="Q1391" i="10"/>
  <c r="R1391" i="10"/>
  <c r="S1391" i="10"/>
  <c r="T1391" i="10"/>
  <c r="U1391" i="10"/>
  <c r="V1391" i="10"/>
  <c r="W1391" i="10"/>
  <c r="X1391" i="10"/>
  <c r="Y1391" i="10"/>
  <c r="Z1391" i="10"/>
  <c r="AA1391" i="10"/>
  <c r="AB1391" i="10"/>
  <c r="F1392" i="10"/>
  <c r="G1392" i="10"/>
  <c r="H1392" i="10"/>
  <c r="I1392" i="10"/>
  <c r="J1392" i="10"/>
  <c r="K1392" i="10"/>
  <c r="L1392" i="10"/>
  <c r="M1392" i="10"/>
  <c r="N1392" i="10"/>
  <c r="P1392" i="10"/>
  <c r="Q1392" i="10"/>
  <c r="R1392" i="10"/>
  <c r="S1392" i="10"/>
  <c r="T1392" i="10"/>
  <c r="U1392" i="10"/>
  <c r="V1392" i="10"/>
  <c r="W1392" i="10"/>
  <c r="X1392" i="10"/>
  <c r="Y1392" i="10"/>
  <c r="Z1392" i="10"/>
  <c r="AA1392" i="10"/>
  <c r="AB1392" i="10"/>
  <c r="F1393" i="10"/>
  <c r="G1393" i="10"/>
  <c r="H1393" i="10"/>
  <c r="I1393" i="10"/>
  <c r="J1393" i="10"/>
  <c r="K1393" i="10"/>
  <c r="L1393" i="10"/>
  <c r="M1393" i="10"/>
  <c r="N1393" i="10"/>
  <c r="P1393" i="10"/>
  <c r="Q1393" i="10"/>
  <c r="R1393" i="10"/>
  <c r="S1393" i="10"/>
  <c r="T1393" i="10"/>
  <c r="U1393" i="10"/>
  <c r="V1393" i="10"/>
  <c r="W1393" i="10"/>
  <c r="X1393" i="10"/>
  <c r="Y1393" i="10"/>
  <c r="Z1393" i="10"/>
  <c r="AA1393" i="10"/>
  <c r="AB1393" i="10"/>
  <c r="F1394" i="10"/>
  <c r="G1394" i="10"/>
  <c r="H1394" i="10"/>
  <c r="I1394" i="10"/>
  <c r="J1394" i="10"/>
  <c r="K1394" i="10"/>
  <c r="L1394" i="10"/>
  <c r="M1394" i="10"/>
  <c r="N1394" i="10"/>
  <c r="P1394" i="10"/>
  <c r="Q1394" i="10"/>
  <c r="R1394" i="10"/>
  <c r="S1394" i="10"/>
  <c r="T1394" i="10"/>
  <c r="U1394" i="10"/>
  <c r="V1394" i="10"/>
  <c r="W1394" i="10"/>
  <c r="X1394" i="10"/>
  <c r="Y1394" i="10"/>
  <c r="Z1394" i="10"/>
  <c r="AA1394" i="10"/>
  <c r="AB1394" i="10"/>
  <c r="F1395" i="10"/>
  <c r="G1395" i="10"/>
  <c r="H1395" i="10"/>
  <c r="I1395" i="10"/>
  <c r="J1395" i="10"/>
  <c r="K1395" i="10"/>
  <c r="L1395" i="10"/>
  <c r="M1395" i="10"/>
  <c r="N1395" i="10"/>
  <c r="P1395" i="10"/>
  <c r="Q1395" i="10"/>
  <c r="R1395" i="10"/>
  <c r="S1395" i="10"/>
  <c r="T1395" i="10"/>
  <c r="U1395" i="10"/>
  <c r="V1395" i="10"/>
  <c r="W1395" i="10"/>
  <c r="X1395" i="10"/>
  <c r="Y1395" i="10"/>
  <c r="Z1395" i="10"/>
  <c r="AA1395" i="10"/>
  <c r="AB1395" i="10"/>
  <c r="F1396" i="10"/>
  <c r="G1396" i="10"/>
  <c r="H1396" i="10"/>
  <c r="I1396" i="10"/>
  <c r="J1396" i="10"/>
  <c r="K1396" i="10"/>
  <c r="L1396" i="10"/>
  <c r="M1396" i="10"/>
  <c r="N1396" i="10"/>
  <c r="P1396" i="10"/>
  <c r="Q1396" i="10"/>
  <c r="R1396" i="10"/>
  <c r="S1396" i="10"/>
  <c r="T1396" i="10"/>
  <c r="U1396" i="10"/>
  <c r="V1396" i="10"/>
  <c r="W1396" i="10"/>
  <c r="X1396" i="10"/>
  <c r="Y1396" i="10"/>
  <c r="Z1396" i="10"/>
  <c r="AA1396" i="10"/>
  <c r="AB1396" i="10"/>
  <c r="F1397" i="10"/>
  <c r="G1397" i="10"/>
  <c r="H1397" i="10"/>
  <c r="I1397" i="10"/>
  <c r="J1397" i="10"/>
  <c r="K1397" i="10"/>
  <c r="L1397" i="10"/>
  <c r="M1397" i="10"/>
  <c r="N1397" i="10"/>
  <c r="P1397" i="10"/>
  <c r="Q1397" i="10"/>
  <c r="R1397" i="10"/>
  <c r="S1397" i="10"/>
  <c r="T1397" i="10"/>
  <c r="U1397" i="10"/>
  <c r="V1397" i="10"/>
  <c r="W1397" i="10"/>
  <c r="X1397" i="10"/>
  <c r="Y1397" i="10"/>
  <c r="Z1397" i="10"/>
  <c r="AA1397" i="10"/>
  <c r="AB1397" i="10"/>
  <c r="F1398" i="10"/>
  <c r="G1398" i="10"/>
  <c r="H1398" i="10"/>
  <c r="I1398" i="10"/>
  <c r="J1398" i="10"/>
  <c r="K1398" i="10"/>
  <c r="L1398" i="10"/>
  <c r="M1398" i="10"/>
  <c r="N1398" i="10"/>
  <c r="P1398" i="10"/>
  <c r="Q1398" i="10"/>
  <c r="R1398" i="10"/>
  <c r="S1398" i="10"/>
  <c r="T1398" i="10"/>
  <c r="U1398" i="10"/>
  <c r="V1398" i="10"/>
  <c r="W1398" i="10"/>
  <c r="X1398" i="10"/>
  <c r="Y1398" i="10"/>
  <c r="Z1398" i="10"/>
  <c r="AA1398" i="10"/>
  <c r="AB1398" i="10"/>
  <c r="F1399" i="10"/>
  <c r="G1399" i="10"/>
  <c r="H1399" i="10"/>
  <c r="I1399" i="10"/>
  <c r="J1399" i="10"/>
  <c r="K1399" i="10"/>
  <c r="L1399" i="10"/>
  <c r="M1399" i="10"/>
  <c r="N1399" i="10"/>
  <c r="P1399" i="10"/>
  <c r="Q1399" i="10"/>
  <c r="R1399" i="10"/>
  <c r="S1399" i="10"/>
  <c r="T1399" i="10"/>
  <c r="U1399" i="10"/>
  <c r="V1399" i="10"/>
  <c r="W1399" i="10"/>
  <c r="X1399" i="10"/>
  <c r="Y1399" i="10"/>
  <c r="Z1399" i="10"/>
  <c r="AA1399" i="10"/>
  <c r="AB1399" i="10"/>
  <c r="F1400" i="10"/>
  <c r="G1400" i="10"/>
  <c r="H1400" i="10"/>
  <c r="I1400" i="10"/>
  <c r="J1400" i="10"/>
  <c r="K1400" i="10"/>
  <c r="L1400" i="10"/>
  <c r="M1400" i="10"/>
  <c r="N1400" i="10"/>
  <c r="P1400" i="10"/>
  <c r="Q1400" i="10"/>
  <c r="R1400" i="10"/>
  <c r="S1400" i="10"/>
  <c r="T1400" i="10"/>
  <c r="U1400" i="10"/>
  <c r="V1400" i="10"/>
  <c r="W1400" i="10"/>
  <c r="X1400" i="10"/>
  <c r="Y1400" i="10"/>
  <c r="Z1400" i="10"/>
  <c r="AA1400" i="10"/>
  <c r="AB1400" i="10"/>
  <c r="F1401" i="10"/>
  <c r="G1401" i="10"/>
  <c r="H1401" i="10"/>
  <c r="I1401" i="10"/>
  <c r="J1401" i="10"/>
  <c r="K1401" i="10"/>
  <c r="L1401" i="10"/>
  <c r="M1401" i="10"/>
  <c r="N1401" i="10"/>
  <c r="P1401" i="10"/>
  <c r="Q1401" i="10"/>
  <c r="R1401" i="10"/>
  <c r="S1401" i="10"/>
  <c r="T1401" i="10"/>
  <c r="U1401" i="10"/>
  <c r="V1401" i="10"/>
  <c r="W1401" i="10"/>
  <c r="X1401" i="10"/>
  <c r="Y1401" i="10"/>
  <c r="Z1401" i="10"/>
  <c r="AA1401" i="10"/>
  <c r="AB1401" i="10"/>
  <c r="F1402" i="10"/>
  <c r="G1402" i="10"/>
  <c r="H1402" i="10"/>
  <c r="I1402" i="10"/>
  <c r="J1402" i="10"/>
  <c r="K1402" i="10"/>
  <c r="L1402" i="10"/>
  <c r="M1402" i="10"/>
  <c r="N1402" i="10"/>
  <c r="P1402" i="10"/>
  <c r="Q1402" i="10"/>
  <c r="R1402" i="10"/>
  <c r="S1402" i="10"/>
  <c r="T1402" i="10"/>
  <c r="U1402" i="10"/>
  <c r="V1402" i="10"/>
  <c r="W1402" i="10"/>
  <c r="X1402" i="10"/>
  <c r="Y1402" i="10"/>
  <c r="Z1402" i="10"/>
  <c r="AA1402" i="10"/>
  <c r="AB1402" i="10"/>
  <c r="F1403" i="10"/>
  <c r="G1403" i="10"/>
  <c r="H1403" i="10"/>
  <c r="I1403" i="10"/>
  <c r="J1403" i="10"/>
  <c r="K1403" i="10"/>
  <c r="L1403" i="10"/>
  <c r="M1403" i="10"/>
  <c r="N1403" i="10"/>
  <c r="P1403" i="10"/>
  <c r="Q1403" i="10"/>
  <c r="R1403" i="10"/>
  <c r="S1403" i="10"/>
  <c r="T1403" i="10"/>
  <c r="U1403" i="10"/>
  <c r="V1403" i="10"/>
  <c r="W1403" i="10"/>
  <c r="X1403" i="10"/>
  <c r="Y1403" i="10"/>
  <c r="Z1403" i="10"/>
  <c r="AA1403" i="10"/>
  <c r="AB1403" i="10"/>
  <c r="F1404" i="10"/>
  <c r="G1404" i="10"/>
  <c r="H1404" i="10"/>
  <c r="I1404" i="10"/>
  <c r="J1404" i="10"/>
  <c r="K1404" i="10"/>
  <c r="L1404" i="10"/>
  <c r="M1404" i="10"/>
  <c r="N1404" i="10"/>
  <c r="P1404" i="10"/>
  <c r="Q1404" i="10"/>
  <c r="R1404" i="10"/>
  <c r="S1404" i="10"/>
  <c r="T1404" i="10"/>
  <c r="U1404" i="10"/>
  <c r="V1404" i="10"/>
  <c r="W1404" i="10"/>
  <c r="X1404" i="10"/>
  <c r="Y1404" i="10"/>
  <c r="Z1404" i="10"/>
  <c r="AA1404" i="10"/>
  <c r="AB1404" i="10"/>
  <c r="F1405" i="10"/>
  <c r="G1405" i="10"/>
  <c r="H1405" i="10"/>
  <c r="I1405" i="10"/>
  <c r="J1405" i="10"/>
  <c r="K1405" i="10"/>
  <c r="L1405" i="10"/>
  <c r="M1405" i="10"/>
  <c r="N1405" i="10"/>
  <c r="P1405" i="10"/>
  <c r="Q1405" i="10"/>
  <c r="R1405" i="10"/>
  <c r="S1405" i="10"/>
  <c r="T1405" i="10"/>
  <c r="U1405" i="10"/>
  <c r="V1405" i="10"/>
  <c r="W1405" i="10"/>
  <c r="X1405" i="10"/>
  <c r="Y1405" i="10"/>
  <c r="Z1405" i="10"/>
  <c r="AA1405" i="10"/>
  <c r="AB1405" i="10"/>
  <c r="F1406" i="10"/>
  <c r="G1406" i="10"/>
  <c r="H1406" i="10"/>
  <c r="I1406" i="10"/>
  <c r="J1406" i="10"/>
  <c r="K1406" i="10"/>
  <c r="L1406" i="10"/>
  <c r="M1406" i="10"/>
  <c r="N1406" i="10"/>
  <c r="P1406" i="10"/>
  <c r="Q1406" i="10"/>
  <c r="R1406" i="10"/>
  <c r="S1406" i="10"/>
  <c r="T1406" i="10"/>
  <c r="U1406" i="10"/>
  <c r="V1406" i="10"/>
  <c r="W1406" i="10"/>
  <c r="X1406" i="10"/>
  <c r="Y1406" i="10"/>
  <c r="Z1406" i="10"/>
  <c r="AA1406" i="10"/>
  <c r="AB1406" i="10"/>
  <c r="F1407" i="10"/>
  <c r="G1407" i="10"/>
  <c r="H1407" i="10"/>
  <c r="I1407" i="10"/>
  <c r="J1407" i="10"/>
  <c r="K1407" i="10"/>
  <c r="L1407" i="10"/>
  <c r="M1407" i="10"/>
  <c r="N1407" i="10"/>
  <c r="P1407" i="10"/>
  <c r="Q1407" i="10"/>
  <c r="R1407" i="10"/>
  <c r="S1407" i="10"/>
  <c r="T1407" i="10"/>
  <c r="U1407" i="10"/>
  <c r="V1407" i="10"/>
  <c r="W1407" i="10"/>
  <c r="X1407" i="10"/>
  <c r="Y1407" i="10"/>
  <c r="Z1407" i="10"/>
  <c r="AA1407" i="10"/>
  <c r="AB1407" i="10"/>
  <c r="F1408" i="10"/>
  <c r="G1408" i="10"/>
  <c r="H1408" i="10"/>
  <c r="I1408" i="10"/>
  <c r="J1408" i="10"/>
  <c r="K1408" i="10"/>
  <c r="L1408" i="10"/>
  <c r="M1408" i="10"/>
  <c r="N1408" i="10"/>
  <c r="P1408" i="10"/>
  <c r="Q1408" i="10"/>
  <c r="R1408" i="10"/>
  <c r="S1408" i="10"/>
  <c r="T1408" i="10"/>
  <c r="U1408" i="10"/>
  <c r="V1408" i="10"/>
  <c r="W1408" i="10"/>
  <c r="X1408" i="10"/>
  <c r="Y1408" i="10"/>
  <c r="Z1408" i="10"/>
  <c r="AA1408" i="10"/>
  <c r="AB1408" i="10"/>
  <c r="F1409" i="10"/>
  <c r="G1409" i="10"/>
  <c r="H1409" i="10"/>
  <c r="I1409" i="10"/>
  <c r="J1409" i="10"/>
  <c r="K1409" i="10"/>
  <c r="L1409" i="10"/>
  <c r="M1409" i="10"/>
  <c r="N1409" i="10"/>
  <c r="P1409" i="10"/>
  <c r="Q1409" i="10"/>
  <c r="R1409" i="10"/>
  <c r="S1409" i="10"/>
  <c r="T1409" i="10"/>
  <c r="U1409" i="10"/>
  <c r="V1409" i="10"/>
  <c r="W1409" i="10"/>
  <c r="X1409" i="10"/>
  <c r="Y1409" i="10"/>
  <c r="Z1409" i="10"/>
  <c r="AA1409" i="10"/>
  <c r="AB1409" i="10"/>
  <c r="F1410" i="10"/>
  <c r="G1410" i="10"/>
  <c r="H1410" i="10"/>
  <c r="I1410" i="10"/>
  <c r="J1410" i="10"/>
  <c r="K1410" i="10"/>
  <c r="L1410" i="10"/>
  <c r="M1410" i="10"/>
  <c r="N1410" i="10"/>
  <c r="P1410" i="10"/>
  <c r="Q1410" i="10"/>
  <c r="R1410" i="10"/>
  <c r="S1410" i="10"/>
  <c r="T1410" i="10"/>
  <c r="U1410" i="10"/>
  <c r="V1410" i="10"/>
  <c r="W1410" i="10"/>
  <c r="X1410" i="10"/>
  <c r="Y1410" i="10"/>
  <c r="Z1410" i="10"/>
  <c r="AA1410" i="10"/>
  <c r="AB1410" i="10"/>
  <c r="F1411" i="10"/>
  <c r="G1411" i="10"/>
  <c r="H1411" i="10"/>
  <c r="I1411" i="10"/>
  <c r="J1411" i="10"/>
  <c r="K1411" i="10"/>
  <c r="L1411" i="10"/>
  <c r="M1411" i="10"/>
  <c r="N1411" i="10"/>
  <c r="P1411" i="10"/>
  <c r="Q1411" i="10"/>
  <c r="R1411" i="10"/>
  <c r="S1411" i="10"/>
  <c r="T1411" i="10"/>
  <c r="U1411" i="10"/>
  <c r="V1411" i="10"/>
  <c r="W1411" i="10"/>
  <c r="X1411" i="10"/>
  <c r="Y1411" i="10"/>
  <c r="Z1411" i="10"/>
  <c r="AA1411" i="10"/>
  <c r="AB1411" i="10"/>
  <c r="F1412" i="10"/>
  <c r="G1412" i="10"/>
  <c r="H1412" i="10"/>
  <c r="I1412" i="10"/>
  <c r="J1412" i="10"/>
  <c r="K1412" i="10"/>
  <c r="L1412" i="10"/>
  <c r="M1412" i="10"/>
  <c r="N1412" i="10"/>
  <c r="P1412" i="10"/>
  <c r="Q1412" i="10"/>
  <c r="R1412" i="10"/>
  <c r="S1412" i="10"/>
  <c r="T1412" i="10"/>
  <c r="U1412" i="10"/>
  <c r="V1412" i="10"/>
  <c r="W1412" i="10"/>
  <c r="X1412" i="10"/>
  <c r="Y1412" i="10"/>
  <c r="Z1412" i="10"/>
  <c r="AA1412" i="10"/>
  <c r="AB1412" i="10"/>
  <c r="F1413" i="10"/>
  <c r="G1413" i="10"/>
  <c r="H1413" i="10"/>
  <c r="I1413" i="10"/>
  <c r="J1413" i="10"/>
  <c r="K1413" i="10"/>
  <c r="L1413" i="10"/>
  <c r="M1413" i="10"/>
  <c r="N1413" i="10"/>
  <c r="P1413" i="10"/>
  <c r="Q1413" i="10"/>
  <c r="R1413" i="10"/>
  <c r="S1413" i="10"/>
  <c r="T1413" i="10"/>
  <c r="U1413" i="10"/>
  <c r="V1413" i="10"/>
  <c r="W1413" i="10"/>
  <c r="X1413" i="10"/>
  <c r="Y1413" i="10"/>
  <c r="Z1413" i="10"/>
  <c r="AA1413" i="10"/>
  <c r="AB1413" i="10"/>
  <c r="F1414" i="10"/>
  <c r="G1414" i="10"/>
  <c r="H1414" i="10"/>
  <c r="I1414" i="10"/>
  <c r="J1414" i="10"/>
  <c r="K1414" i="10"/>
  <c r="L1414" i="10"/>
  <c r="M1414" i="10"/>
  <c r="N1414" i="10"/>
  <c r="P1414" i="10"/>
  <c r="Q1414" i="10"/>
  <c r="R1414" i="10"/>
  <c r="S1414" i="10"/>
  <c r="T1414" i="10"/>
  <c r="U1414" i="10"/>
  <c r="V1414" i="10"/>
  <c r="W1414" i="10"/>
  <c r="X1414" i="10"/>
  <c r="Y1414" i="10"/>
  <c r="Z1414" i="10"/>
  <c r="AA1414" i="10"/>
  <c r="AB1414" i="10"/>
  <c r="F1415" i="10"/>
  <c r="G1415" i="10"/>
  <c r="H1415" i="10"/>
  <c r="I1415" i="10"/>
  <c r="J1415" i="10"/>
  <c r="K1415" i="10"/>
  <c r="L1415" i="10"/>
  <c r="M1415" i="10"/>
  <c r="N1415" i="10"/>
  <c r="P1415" i="10"/>
  <c r="Q1415" i="10"/>
  <c r="R1415" i="10"/>
  <c r="S1415" i="10"/>
  <c r="T1415" i="10"/>
  <c r="U1415" i="10"/>
  <c r="V1415" i="10"/>
  <c r="W1415" i="10"/>
  <c r="X1415" i="10"/>
  <c r="Y1415" i="10"/>
  <c r="Z1415" i="10"/>
  <c r="AA1415" i="10"/>
  <c r="AB1415" i="10"/>
  <c r="F1416" i="10"/>
  <c r="G1416" i="10"/>
  <c r="H1416" i="10"/>
  <c r="I1416" i="10"/>
  <c r="J1416" i="10"/>
  <c r="K1416" i="10"/>
  <c r="L1416" i="10"/>
  <c r="M1416" i="10"/>
  <c r="N1416" i="10"/>
  <c r="P1416" i="10"/>
  <c r="Q1416" i="10"/>
  <c r="R1416" i="10"/>
  <c r="S1416" i="10"/>
  <c r="T1416" i="10"/>
  <c r="U1416" i="10"/>
  <c r="V1416" i="10"/>
  <c r="W1416" i="10"/>
  <c r="X1416" i="10"/>
  <c r="Y1416" i="10"/>
  <c r="Z1416" i="10"/>
  <c r="AA1416" i="10"/>
  <c r="AB1416" i="10"/>
  <c r="F1417" i="10"/>
  <c r="G1417" i="10"/>
  <c r="H1417" i="10"/>
  <c r="I1417" i="10"/>
  <c r="J1417" i="10"/>
  <c r="K1417" i="10"/>
  <c r="L1417" i="10"/>
  <c r="M1417" i="10"/>
  <c r="N1417" i="10"/>
  <c r="P1417" i="10"/>
  <c r="Q1417" i="10"/>
  <c r="R1417" i="10"/>
  <c r="S1417" i="10"/>
  <c r="T1417" i="10"/>
  <c r="U1417" i="10"/>
  <c r="V1417" i="10"/>
  <c r="W1417" i="10"/>
  <c r="X1417" i="10"/>
  <c r="Y1417" i="10"/>
  <c r="Z1417" i="10"/>
  <c r="AA1417" i="10"/>
  <c r="AB1417" i="10"/>
  <c r="F1418" i="10"/>
  <c r="G1418" i="10"/>
  <c r="H1418" i="10"/>
  <c r="I1418" i="10"/>
  <c r="J1418" i="10"/>
  <c r="K1418" i="10"/>
  <c r="L1418" i="10"/>
  <c r="M1418" i="10"/>
  <c r="N1418" i="10"/>
  <c r="P1418" i="10"/>
  <c r="Q1418" i="10"/>
  <c r="R1418" i="10"/>
  <c r="S1418" i="10"/>
  <c r="T1418" i="10"/>
  <c r="U1418" i="10"/>
  <c r="V1418" i="10"/>
  <c r="W1418" i="10"/>
  <c r="X1418" i="10"/>
  <c r="Y1418" i="10"/>
  <c r="Z1418" i="10"/>
  <c r="AA1418" i="10"/>
  <c r="AB1418" i="10"/>
  <c r="F1419" i="10"/>
  <c r="G1419" i="10"/>
  <c r="H1419" i="10"/>
  <c r="I1419" i="10"/>
  <c r="J1419" i="10"/>
  <c r="K1419" i="10"/>
  <c r="L1419" i="10"/>
  <c r="M1419" i="10"/>
  <c r="N1419" i="10"/>
  <c r="P1419" i="10"/>
  <c r="Q1419" i="10"/>
  <c r="R1419" i="10"/>
  <c r="S1419" i="10"/>
  <c r="T1419" i="10"/>
  <c r="U1419" i="10"/>
  <c r="V1419" i="10"/>
  <c r="W1419" i="10"/>
  <c r="X1419" i="10"/>
  <c r="Y1419" i="10"/>
  <c r="Z1419" i="10"/>
  <c r="AA1419" i="10"/>
  <c r="AB1419" i="10"/>
  <c r="F1420" i="10"/>
  <c r="G1420" i="10"/>
  <c r="H1420" i="10"/>
  <c r="I1420" i="10"/>
  <c r="J1420" i="10"/>
  <c r="K1420" i="10"/>
  <c r="L1420" i="10"/>
  <c r="M1420" i="10"/>
  <c r="N1420" i="10"/>
  <c r="P1420" i="10"/>
  <c r="Q1420" i="10"/>
  <c r="R1420" i="10"/>
  <c r="S1420" i="10"/>
  <c r="T1420" i="10"/>
  <c r="U1420" i="10"/>
  <c r="V1420" i="10"/>
  <c r="W1420" i="10"/>
  <c r="X1420" i="10"/>
  <c r="Y1420" i="10"/>
  <c r="Z1420" i="10"/>
  <c r="AA1420" i="10"/>
  <c r="AB1420" i="10"/>
  <c r="F1421" i="10"/>
  <c r="G1421" i="10"/>
  <c r="H1421" i="10"/>
  <c r="I1421" i="10"/>
  <c r="J1421" i="10"/>
  <c r="K1421" i="10"/>
  <c r="L1421" i="10"/>
  <c r="M1421" i="10"/>
  <c r="N1421" i="10"/>
  <c r="P1421" i="10"/>
  <c r="Q1421" i="10"/>
  <c r="R1421" i="10"/>
  <c r="S1421" i="10"/>
  <c r="T1421" i="10"/>
  <c r="U1421" i="10"/>
  <c r="V1421" i="10"/>
  <c r="W1421" i="10"/>
  <c r="X1421" i="10"/>
  <c r="Y1421" i="10"/>
  <c r="Z1421" i="10"/>
  <c r="AA1421" i="10"/>
  <c r="AB1421" i="10"/>
  <c r="F1422" i="10"/>
  <c r="G1422" i="10"/>
  <c r="H1422" i="10"/>
  <c r="I1422" i="10"/>
  <c r="J1422" i="10"/>
  <c r="K1422" i="10"/>
  <c r="L1422" i="10"/>
  <c r="M1422" i="10"/>
  <c r="N1422" i="10"/>
  <c r="P1422" i="10"/>
  <c r="Q1422" i="10"/>
  <c r="R1422" i="10"/>
  <c r="S1422" i="10"/>
  <c r="T1422" i="10"/>
  <c r="U1422" i="10"/>
  <c r="V1422" i="10"/>
  <c r="W1422" i="10"/>
  <c r="X1422" i="10"/>
  <c r="Y1422" i="10"/>
  <c r="Z1422" i="10"/>
  <c r="AA1422" i="10"/>
  <c r="AB1422" i="10"/>
  <c r="F1423" i="10"/>
  <c r="G1423" i="10"/>
  <c r="H1423" i="10"/>
  <c r="I1423" i="10"/>
  <c r="J1423" i="10"/>
  <c r="K1423" i="10"/>
  <c r="L1423" i="10"/>
  <c r="M1423" i="10"/>
  <c r="N1423" i="10"/>
  <c r="P1423" i="10"/>
  <c r="Q1423" i="10"/>
  <c r="R1423" i="10"/>
  <c r="S1423" i="10"/>
  <c r="T1423" i="10"/>
  <c r="U1423" i="10"/>
  <c r="V1423" i="10"/>
  <c r="W1423" i="10"/>
  <c r="X1423" i="10"/>
  <c r="Y1423" i="10"/>
  <c r="Z1423" i="10"/>
  <c r="AA1423" i="10"/>
  <c r="AB1423" i="10"/>
  <c r="F1424" i="10"/>
  <c r="G1424" i="10"/>
  <c r="H1424" i="10"/>
  <c r="I1424" i="10"/>
  <c r="J1424" i="10"/>
  <c r="K1424" i="10"/>
  <c r="L1424" i="10"/>
  <c r="M1424" i="10"/>
  <c r="N1424" i="10"/>
  <c r="P1424" i="10"/>
  <c r="Q1424" i="10"/>
  <c r="R1424" i="10"/>
  <c r="S1424" i="10"/>
  <c r="T1424" i="10"/>
  <c r="U1424" i="10"/>
  <c r="V1424" i="10"/>
  <c r="W1424" i="10"/>
  <c r="X1424" i="10"/>
  <c r="Y1424" i="10"/>
  <c r="Z1424" i="10"/>
  <c r="AA1424" i="10"/>
  <c r="AB1424" i="10"/>
  <c r="F1425" i="10"/>
  <c r="G1425" i="10"/>
  <c r="H1425" i="10"/>
  <c r="I1425" i="10"/>
  <c r="J1425" i="10"/>
  <c r="K1425" i="10"/>
  <c r="L1425" i="10"/>
  <c r="M1425" i="10"/>
  <c r="N1425" i="10"/>
  <c r="P1425" i="10"/>
  <c r="Q1425" i="10"/>
  <c r="R1425" i="10"/>
  <c r="S1425" i="10"/>
  <c r="T1425" i="10"/>
  <c r="U1425" i="10"/>
  <c r="V1425" i="10"/>
  <c r="W1425" i="10"/>
  <c r="X1425" i="10"/>
  <c r="Y1425" i="10"/>
  <c r="Z1425" i="10"/>
  <c r="AA1425" i="10"/>
  <c r="AB1425" i="10"/>
  <c r="F1426" i="10"/>
  <c r="G1426" i="10"/>
  <c r="H1426" i="10"/>
  <c r="I1426" i="10"/>
  <c r="J1426" i="10"/>
  <c r="K1426" i="10"/>
  <c r="L1426" i="10"/>
  <c r="M1426" i="10"/>
  <c r="N1426" i="10"/>
  <c r="P1426" i="10"/>
  <c r="Q1426" i="10"/>
  <c r="R1426" i="10"/>
  <c r="S1426" i="10"/>
  <c r="T1426" i="10"/>
  <c r="U1426" i="10"/>
  <c r="V1426" i="10"/>
  <c r="W1426" i="10"/>
  <c r="X1426" i="10"/>
  <c r="Y1426" i="10"/>
  <c r="Z1426" i="10"/>
  <c r="AA1426" i="10"/>
  <c r="AB1426" i="10"/>
  <c r="F1427" i="10"/>
  <c r="G1427" i="10"/>
  <c r="H1427" i="10"/>
  <c r="I1427" i="10"/>
  <c r="J1427" i="10"/>
  <c r="K1427" i="10"/>
  <c r="L1427" i="10"/>
  <c r="M1427" i="10"/>
  <c r="N1427" i="10"/>
  <c r="P1427" i="10"/>
  <c r="Q1427" i="10"/>
  <c r="R1427" i="10"/>
  <c r="S1427" i="10"/>
  <c r="T1427" i="10"/>
  <c r="U1427" i="10"/>
  <c r="V1427" i="10"/>
  <c r="W1427" i="10"/>
  <c r="X1427" i="10"/>
  <c r="Y1427" i="10"/>
  <c r="Z1427" i="10"/>
  <c r="AA1427" i="10"/>
  <c r="AB1427" i="10"/>
  <c r="F1428" i="10"/>
  <c r="G1428" i="10"/>
  <c r="H1428" i="10"/>
  <c r="I1428" i="10"/>
  <c r="J1428" i="10"/>
  <c r="K1428" i="10"/>
  <c r="L1428" i="10"/>
  <c r="M1428" i="10"/>
  <c r="N1428" i="10"/>
  <c r="P1428" i="10"/>
  <c r="Q1428" i="10"/>
  <c r="R1428" i="10"/>
  <c r="S1428" i="10"/>
  <c r="T1428" i="10"/>
  <c r="U1428" i="10"/>
  <c r="V1428" i="10"/>
  <c r="W1428" i="10"/>
  <c r="X1428" i="10"/>
  <c r="Y1428" i="10"/>
  <c r="Z1428" i="10"/>
  <c r="AA1428" i="10"/>
  <c r="AB1428" i="10"/>
  <c r="F1429" i="10"/>
  <c r="G1429" i="10"/>
  <c r="H1429" i="10"/>
  <c r="I1429" i="10"/>
  <c r="J1429" i="10"/>
  <c r="K1429" i="10"/>
  <c r="L1429" i="10"/>
  <c r="M1429" i="10"/>
  <c r="N1429" i="10"/>
  <c r="P1429" i="10"/>
  <c r="Q1429" i="10"/>
  <c r="R1429" i="10"/>
  <c r="S1429" i="10"/>
  <c r="T1429" i="10"/>
  <c r="U1429" i="10"/>
  <c r="V1429" i="10"/>
  <c r="W1429" i="10"/>
  <c r="X1429" i="10"/>
  <c r="Y1429" i="10"/>
  <c r="Z1429" i="10"/>
  <c r="AA1429" i="10"/>
  <c r="AB1429" i="10"/>
  <c r="F1430" i="10"/>
  <c r="G1430" i="10"/>
  <c r="H1430" i="10"/>
  <c r="I1430" i="10"/>
  <c r="J1430" i="10"/>
  <c r="K1430" i="10"/>
  <c r="L1430" i="10"/>
  <c r="M1430" i="10"/>
  <c r="N1430" i="10"/>
  <c r="P1430" i="10"/>
  <c r="Q1430" i="10"/>
  <c r="R1430" i="10"/>
  <c r="S1430" i="10"/>
  <c r="T1430" i="10"/>
  <c r="U1430" i="10"/>
  <c r="V1430" i="10"/>
  <c r="W1430" i="10"/>
  <c r="X1430" i="10"/>
  <c r="Y1430" i="10"/>
  <c r="Z1430" i="10"/>
  <c r="AA1430" i="10"/>
  <c r="AB1430" i="10"/>
  <c r="F1431" i="10"/>
  <c r="G1431" i="10"/>
  <c r="H1431" i="10"/>
  <c r="I1431" i="10"/>
  <c r="J1431" i="10"/>
  <c r="K1431" i="10"/>
  <c r="L1431" i="10"/>
  <c r="M1431" i="10"/>
  <c r="N1431" i="10"/>
  <c r="P1431" i="10"/>
  <c r="Q1431" i="10"/>
  <c r="R1431" i="10"/>
  <c r="S1431" i="10"/>
  <c r="T1431" i="10"/>
  <c r="U1431" i="10"/>
  <c r="V1431" i="10"/>
  <c r="W1431" i="10"/>
  <c r="X1431" i="10"/>
  <c r="Y1431" i="10"/>
  <c r="Z1431" i="10"/>
  <c r="AA1431" i="10"/>
  <c r="AB1431" i="10"/>
  <c r="F1432" i="10"/>
  <c r="G1432" i="10"/>
  <c r="H1432" i="10"/>
  <c r="I1432" i="10"/>
  <c r="J1432" i="10"/>
  <c r="K1432" i="10"/>
  <c r="L1432" i="10"/>
  <c r="M1432" i="10"/>
  <c r="N1432" i="10"/>
  <c r="P1432" i="10"/>
  <c r="Q1432" i="10"/>
  <c r="R1432" i="10"/>
  <c r="S1432" i="10"/>
  <c r="T1432" i="10"/>
  <c r="U1432" i="10"/>
  <c r="V1432" i="10"/>
  <c r="W1432" i="10"/>
  <c r="X1432" i="10"/>
  <c r="Y1432" i="10"/>
  <c r="Z1432" i="10"/>
  <c r="AA1432" i="10"/>
  <c r="AB1432" i="10"/>
  <c r="F1433" i="10"/>
  <c r="G1433" i="10"/>
  <c r="H1433" i="10"/>
  <c r="I1433" i="10"/>
  <c r="J1433" i="10"/>
  <c r="K1433" i="10"/>
  <c r="L1433" i="10"/>
  <c r="M1433" i="10"/>
  <c r="N1433" i="10"/>
  <c r="P1433" i="10"/>
  <c r="Q1433" i="10"/>
  <c r="R1433" i="10"/>
  <c r="S1433" i="10"/>
  <c r="T1433" i="10"/>
  <c r="U1433" i="10"/>
  <c r="V1433" i="10"/>
  <c r="W1433" i="10"/>
  <c r="X1433" i="10"/>
  <c r="Y1433" i="10"/>
  <c r="Z1433" i="10"/>
  <c r="AA1433" i="10"/>
  <c r="AB1433" i="10"/>
  <c r="F1434" i="10"/>
  <c r="G1434" i="10"/>
  <c r="H1434" i="10"/>
  <c r="I1434" i="10"/>
  <c r="J1434" i="10"/>
  <c r="K1434" i="10"/>
  <c r="L1434" i="10"/>
  <c r="M1434" i="10"/>
  <c r="N1434" i="10"/>
  <c r="P1434" i="10"/>
  <c r="Q1434" i="10"/>
  <c r="R1434" i="10"/>
  <c r="S1434" i="10"/>
  <c r="T1434" i="10"/>
  <c r="U1434" i="10"/>
  <c r="V1434" i="10"/>
  <c r="W1434" i="10"/>
  <c r="X1434" i="10"/>
  <c r="Y1434" i="10"/>
  <c r="Z1434" i="10"/>
  <c r="AA1434" i="10"/>
  <c r="AB1434" i="10"/>
  <c r="F1435" i="10"/>
  <c r="G1435" i="10"/>
  <c r="H1435" i="10"/>
  <c r="I1435" i="10"/>
  <c r="J1435" i="10"/>
  <c r="K1435" i="10"/>
  <c r="L1435" i="10"/>
  <c r="M1435" i="10"/>
  <c r="N1435" i="10"/>
  <c r="P1435" i="10"/>
  <c r="Q1435" i="10"/>
  <c r="R1435" i="10"/>
  <c r="S1435" i="10"/>
  <c r="T1435" i="10"/>
  <c r="U1435" i="10"/>
  <c r="V1435" i="10"/>
  <c r="W1435" i="10"/>
  <c r="X1435" i="10"/>
  <c r="Y1435" i="10"/>
  <c r="Z1435" i="10"/>
  <c r="AA1435" i="10"/>
  <c r="AB1435" i="10"/>
  <c r="F1436" i="10"/>
  <c r="G1436" i="10"/>
  <c r="H1436" i="10"/>
  <c r="I1436" i="10"/>
  <c r="J1436" i="10"/>
  <c r="K1436" i="10"/>
  <c r="L1436" i="10"/>
  <c r="M1436" i="10"/>
  <c r="N1436" i="10"/>
  <c r="P1436" i="10"/>
  <c r="Q1436" i="10"/>
  <c r="R1436" i="10"/>
  <c r="S1436" i="10"/>
  <c r="T1436" i="10"/>
  <c r="U1436" i="10"/>
  <c r="V1436" i="10"/>
  <c r="W1436" i="10"/>
  <c r="X1436" i="10"/>
  <c r="Y1436" i="10"/>
  <c r="Z1436" i="10"/>
  <c r="AA1436" i="10"/>
  <c r="AB1436" i="10"/>
  <c r="F1437" i="10"/>
  <c r="G1437" i="10"/>
  <c r="H1437" i="10"/>
  <c r="I1437" i="10"/>
  <c r="J1437" i="10"/>
  <c r="K1437" i="10"/>
  <c r="L1437" i="10"/>
  <c r="M1437" i="10"/>
  <c r="N1437" i="10"/>
  <c r="P1437" i="10"/>
  <c r="Q1437" i="10"/>
  <c r="R1437" i="10"/>
  <c r="S1437" i="10"/>
  <c r="T1437" i="10"/>
  <c r="U1437" i="10"/>
  <c r="V1437" i="10"/>
  <c r="W1437" i="10"/>
  <c r="X1437" i="10"/>
  <c r="Y1437" i="10"/>
  <c r="Z1437" i="10"/>
  <c r="AA1437" i="10"/>
  <c r="AB1437" i="10"/>
  <c r="F1438" i="10"/>
  <c r="G1438" i="10"/>
  <c r="H1438" i="10"/>
  <c r="I1438" i="10"/>
  <c r="J1438" i="10"/>
  <c r="K1438" i="10"/>
  <c r="L1438" i="10"/>
  <c r="M1438" i="10"/>
  <c r="N1438" i="10"/>
  <c r="P1438" i="10"/>
  <c r="Q1438" i="10"/>
  <c r="R1438" i="10"/>
  <c r="S1438" i="10"/>
  <c r="T1438" i="10"/>
  <c r="U1438" i="10"/>
  <c r="V1438" i="10"/>
  <c r="W1438" i="10"/>
  <c r="X1438" i="10"/>
  <c r="Y1438" i="10"/>
  <c r="Z1438" i="10"/>
  <c r="AA1438" i="10"/>
  <c r="AB1438" i="10"/>
  <c r="F1439" i="10"/>
  <c r="G1439" i="10"/>
  <c r="H1439" i="10"/>
  <c r="I1439" i="10"/>
  <c r="J1439" i="10"/>
  <c r="K1439" i="10"/>
  <c r="L1439" i="10"/>
  <c r="M1439" i="10"/>
  <c r="N1439" i="10"/>
  <c r="P1439" i="10"/>
  <c r="Q1439" i="10"/>
  <c r="R1439" i="10"/>
  <c r="S1439" i="10"/>
  <c r="T1439" i="10"/>
  <c r="U1439" i="10"/>
  <c r="V1439" i="10"/>
  <c r="W1439" i="10"/>
  <c r="X1439" i="10"/>
  <c r="Y1439" i="10"/>
  <c r="Z1439" i="10"/>
  <c r="AA1439" i="10"/>
  <c r="AB1439" i="10"/>
  <c r="F1440" i="10"/>
  <c r="G1440" i="10"/>
  <c r="H1440" i="10"/>
  <c r="I1440" i="10"/>
  <c r="J1440" i="10"/>
  <c r="K1440" i="10"/>
  <c r="L1440" i="10"/>
  <c r="M1440" i="10"/>
  <c r="N1440" i="10"/>
  <c r="P1440" i="10"/>
  <c r="Q1440" i="10"/>
  <c r="R1440" i="10"/>
  <c r="S1440" i="10"/>
  <c r="T1440" i="10"/>
  <c r="U1440" i="10"/>
  <c r="V1440" i="10"/>
  <c r="W1440" i="10"/>
  <c r="X1440" i="10"/>
  <c r="Y1440" i="10"/>
  <c r="Z1440" i="10"/>
  <c r="AA1440" i="10"/>
  <c r="AB1440" i="10"/>
  <c r="F1441" i="10"/>
  <c r="G1441" i="10"/>
  <c r="H1441" i="10"/>
  <c r="I1441" i="10"/>
  <c r="J1441" i="10"/>
  <c r="K1441" i="10"/>
  <c r="L1441" i="10"/>
  <c r="M1441" i="10"/>
  <c r="N1441" i="10"/>
  <c r="P1441" i="10"/>
  <c r="Q1441" i="10"/>
  <c r="R1441" i="10"/>
  <c r="S1441" i="10"/>
  <c r="T1441" i="10"/>
  <c r="U1441" i="10"/>
  <c r="V1441" i="10"/>
  <c r="W1441" i="10"/>
  <c r="X1441" i="10"/>
  <c r="Y1441" i="10"/>
  <c r="Z1441" i="10"/>
  <c r="AA1441" i="10"/>
  <c r="AB1441" i="10"/>
  <c r="F1442" i="10"/>
  <c r="G1442" i="10"/>
  <c r="H1442" i="10"/>
  <c r="I1442" i="10"/>
  <c r="J1442" i="10"/>
  <c r="K1442" i="10"/>
  <c r="L1442" i="10"/>
  <c r="M1442" i="10"/>
  <c r="N1442" i="10"/>
  <c r="P1442" i="10"/>
  <c r="Q1442" i="10"/>
  <c r="R1442" i="10"/>
  <c r="S1442" i="10"/>
  <c r="T1442" i="10"/>
  <c r="U1442" i="10"/>
  <c r="V1442" i="10"/>
  <c r="W1442" i="10"/>
  <c r="X1442" i="10"/>
  <c r="Y1442" i="10"/>
  <c r="Z1442" i="10"/>
  <c r="AA1442" i="10"/>
  <c r="AB1442" i="10"/>
  <c r="F1443" i="10"/>
  <c r="G1443" i="10"/>
  <c r="H1443" i="10"/>
  <c r="I1443" i="10"/>
  <c r="J1443" i="10"/>
  <c r="K1443" i="10"/>
  <c r="L1443" i="10"/>
  <c r="M1443" i="10"/>
  <c r="N1443" i="10"/>
  <c r="P1443" i="10"/>
  <c r="Q1443" i="10"/>
  <c r="R1443" i="10"/>
  <c r="S1443" i="10"/>
  <c r="T1443" i="10"/>
  <c r="U1443" i="10"/>
  <c r="V1443" i="10"/>
  <c r="W1443" i="10"/>
  <c r="X1443" i="10"/>
  <c r="Y1443" i="10"/>
  <c r="Z1443" i="10"/>
  <c r="AA1443" i="10"/>
  <c r="AB1443" i="10"/>
  <c r="F1444" i="10"/>
  <c r="G1444" i="10"/>
  <c r="H1444" i="10"/>
  <c r="I1444" i="10"/>
  <c r="J1444" i="10"/>
  <c r="K1444" i="10"/>
  <c r="L1444" i="10"/>
  <c r="M1444" i="10"/>
  <c r="N1444" i="10"/>
  <c r="P1444" i="10"/>
  <c r="Q1444" i="10"/>
  <c r="R1444" i="10"/>
  <c r="S1444" i="10"/>
  <c r="T1444" i="10"/>
  <c r="U1444" i="10"/>
  <c r="V1444" i="10"/>
  <c r="W1444" i="10"/>
  <c r="X1444" i="10"/>
  <c r="Y1444" i="10"/>
  <c r="Z1444" i="10"/>
  <c r="AA1444" i="10"/>
  <c r="AB1444" i="10"/>
  <c r="F1445" i="10"/>
  <c r="G1445" i="10"/>
  <c r="H1445" i="10"/>
  <c r="I1445" i="10"/>
  <c r="J1445" i="10"/>
  <c r="K1445" i="10"/>
  <c r="L1445" i="10"/>
  <c r="M1445" i="10"/>
  <c r="N1445" i="10"/>
  <c r="P1445" i="10"/>
  <c r="Q1445" i="10"/>
  <c r="R1445" i="10"/>
  <c r="S1445" i="10"/>
  <c r="T1445" i="10"/>
  <c r="U1445" i="10"/>
  <c r="V1445" i="10"/>
  <c r="W1445" i="10"/>
  <c r="X1445" i="10"/>
  <c r="Y1445" i="10"/>
  <c r="Z1445" i="10"/>
  <c r="AA1445" i="10"/>
  <c r="AB1445" i="10"/>
  <c r="F1446" i="10"/>
  <c r="G1446" i="10"/>
  <c r="H1446" i="10"/>
  <c r="I1446" i="10"/>
  <c r="J1446" i="10"/>
  <c r="K1446" i="10"/>
  <c r="L1446" i="10"/>
  <c r="M1446" i="10"/>
  <c r="N1446" i="10"/>
  <c r="P1446" i="10"/>
  <c r="Q1446" i="10"/>
  <c r="R1446" i="10"/>
  <c r="S1446" i="10"/>
  <c r="T1446" i="10"/>
  <c r="U1446" i="10"/>
  <c r="V1446" i="10"/>
  <c r="W1446" i="10"/>
  <c r="X1446" i="10"/>
  <c r="Y1446" i="10"/>
  <c r="Z1446" i="10"/>
  <c r="AA1446" i="10"/>
  <c r="AB1446" i="10"/>
  <c r="F1447" i="10"/>
  <c r="G1447" i="10"/>
  <c r="H1447" i="10"/>
  <c r="I1447" i="10"/>
  <c r="J1447" i="10"/>
  <c r="K1447" i="10"/>
  <c r="L1447" i="10"/>
  <c r="M1447" i="10"/>
  <c r="N1447" i="10"/>
  <c r="P1447" i="10"/>
  <c r="Q1447" i="10"/>
  <c r="R1447" i="10"/>
  <c r="S1447" i="10"/>
  <c r="T1447" i="10"/>
  <c r="U1447" i="10"/>
  <c r="V1447" i="10"/>
  <c r="W1447" i="10"/>
  <c r="X1447" i="10"/>
  <c r="Y1447" i="10"/>
  <c r="Z1447" i="10"/>
  <c r="AA1447" i="10"/>
  <c r="AB1447" i="10"/>
  <c r="F1448" i="10"/>
  <c r="G1448" i="10"/>
  <c r="H1448" i="10"/>
  <c r="I1448" i="10"/>
  <c r="J1448" i="10"/>
  <c r="K1448" i="10"/>
  <c r="L1448" i="10"/>
  <c r="M1448" i="10"/>
  <c r="N1448" i="10"/>
  <c r="P1448" i="10"/>
  <c r="Q1448" i="10"/>
  <c r="R1448" i="10"/>
  <c r="S1448" i="10"/>
  <c r="T1448" i="10"/>
  <c r="U1448" i="10"/>
  <c r="V1448" i="10"/>
  <c r="W1448" i="10"/>
  <c r="X1448" i="10"/>
  <c r="Y1448" i="10"/>
  <c r="Z1448" i="10"/>
  <c r="AA1448" i="10"/>
  <c r="AB1448" i="10"/>
  <c r="F1449" i="10"/>
  <c r="G1449" i="10"/>
  <c r="H1449" i="10"/>
  <c r="I1449" i="10"/>
  <c r="J1449" i="10"/>
  <c r="K1449" i="10"/>
  <c r="L1449" i="10"/>
  <c r="M1449" i="10"/>
  <c r="N1449" i="10"/>
  <c r="P1449" i="10"/>
  <c r="Q1449" i="10"/>
  <c r="R1449" i="10"/>
  <c r="S1449" i="10"/>
  <c r="T1449" i="10"/>
  <c r="U1449" i="10"/>
  <c r="V1449" i="10"/>
  <c r="W1449" i="10"/>
  <c r="X1449" i="10"/>
  <c r="Y1449" i="10"/>
  <c r="Z1449" i="10"/>
  <c r="AA1449" i="10"/>
  <c r="AB1449" i="10"/>
  <c r="F1450" i="10"/>
  <c r="G1450" i="10"/>
  <c r="H1450" i="10"/>
  <c r="I1450" i="10"/>
  <c r="J1450" i="10"/>
  <c r="K1450" i="10"/>
  <c r="L1450" i="10"/>
  <c r="M1450" i="10"/>
  <c r="N1450" i="10"/>
  <c r="P1450" i="10"/>
  <c r="Q1450" i="10"/>
  <c r="R1450" i="10"/>
  <c r="S1450" i="10"/>
  <c r="T1450" i="10"/>
  <c r="U1450" i="10"/>
  <c r="V1450" i="10"/>
  <c r="W1450" i="10"/>
  <c r="X1450" i="10"/>
  <c r="Y1450" i="10"/>
  <c r="Z1450" i="10"/>
  <c r="AA1450" i="10"/>
  <c r="AB1450" i="10"/>
  <c r="F1451" i="10"/>
  <c r="G1451" i="10"/>
  <c r="H1451" i="10"/>
  <c r="I1451" i="10"/>
  <c r="J1451" i="10"/>
  <c r="K1451" i="10"/>
  <c r="L1451" i="10"/>
  <c r="M1451" i="10"/>
  <c r="N1451" i="10"/>
  <c r="P1451" i="10"/>
  <c r="Q1451" i="10"/>
  <c r="R1451" i="10"/>
  <c r="S1451" i="10"/>
  <c r="T1451" i="10"/>
  <c r="U1451" i="10"/>
  <c r="V1451" i="10"/>
  <c r="W1451" i="10"/>
  <c r="X1451" i="10"/>
  <c r="Y1451" i="10"/>
  <c r="Z1451" i="10"/>
  <c r="AA1451" i="10"/>
  <c r="AB1451" i="10"/>
  <c r="F1452" i="10"/>
  <c r="G1452" i="10"/>
  <c r="H1452" i="10"/>
  <c r="I1452" i="10"/>
  <c r="J1452" i="10"/>
  <c r="K1452" i="10"/>
  <c r="L1452" i="10"/>
  <c r="M1452" i="10"/>
  <c r="N1452" i="10"/>
  <c r="P1452" i="10"/>
  <c r="Q1452" i="10"/>
  <c r="R1452" i="10"/>
  <c r="S1452" i="10"/>
  <c r="T1452" i="10"/>
  <c r="U1452" i="10"/>
  <c r="V1452" i="10"/>
  <c r="W1452" i="10"/>
  <c r="X1452" i="10"/>
  <c r="Y1452" i="10"/>
  <c r="Z1452" i="10"/>
  <c r="AA1452" i="10"/>
  <c r="AB1452" i="10"/>
  <c r="F1453" i="10"/>
  <c r="G1453" i="10"/>
  <c r="H1453" i="10"/>
  <c r="I1453" i="10"/>
  <c r="J1453" i="10"/>
  <c r="K1453" i="10"/>
  <c r="L1453" i="10"/>
  <c r="M1453" i="10"/>
  <c r="N1453" i="10"/>
  <c r="P1453" i="10"/>
  <c r="Q1453" i="10"/>
  <c r="R1453" i="10"/>
  <c r="S1453" i="10"/>
  <c r="T1453" i="10"/>
  <c r="U1453" i="10"/>
  <c r="V1453" i="10"/>
  <c r="W1453" i="10"/>
  <c r="X1453" i="10"/>
  <c r="Y1453" i="10"/>
  <c r="Z1453" i="10"/>
  <c r="AA1453" i="10"/>
  <c r="AB1453" i="10"/>
  <c r="F1454" i="10"/>
  <c r="G1454" i="10"/>
  <c r="H1454" i="10"/>
  <c r="I1454" i="10"/>
  <c r="J1454" i="10"/>
  <c r="K1454" i="10"/>
  <c r="L1454" i="10"/>
  <c r="M1454" i="10"/>
  <c r="N1454" i="10"/>
  <c r="P1454" i="10"/>
  <c r="Q1454" i="10"/>
  <c r="R1454" i="10"/>
  <c r="S1454" i="10"/>
  <c r="T1454" i="10"/>
  <c r="U1454" i="10"/>
  <c r="V1454" i="10"/>
  <c r="W1454" i="10"/>
  <c r="X1454" i="10"/>
  <c r="Y1454" i="10"/>
  <c r="Z1454" i="10"/>
  <c r="AA1454" i="10"/>
  <c r="AB1454" i="10"/>
  <c r="F1455" i="10"/>
  <c r="G1455" i="10"/>
  <c r="H1455" i="10"/>
  <c r="I1455" i="10"/>
  <c r="J1455" i="10"/>
  <c r="K1455" i="10"/>
  <c r="L1455" i="10"/>
  <c r="M1455" i="10"/>
  <c r="N1455" i="10"/>
  <c r="P1455" i="10"/>
  <c r="Q1455" i="10"/>
  <c r="R1455" i="10"/>
  <c r="S1455" i="10"/>
  <c r="T1455" i="10"/>
  <c r="U1455" i="10"/>
  <c r="V1455" i="10"/>
  <c r="W1455" i="10"/>
  <c r="X1455" i="10"/>
  <c r="Y1455" i="10"/>
  <c r="Z1455" i="10"/>
  <c r="AA1455" i="10"/>
  <c r="AB1455" i="10"/>
  <c r="F1456" i="10"/>
  <c r="G1456" i="10"/>
  <c r="H1456" i="10"/>
  <c r="I1456" i="10"/>
  <c r="J1456" i="10"/>
  <c r="K1456" i="10"/>
  <c r="L1456" i="10"/>
  <c r="M1456" i="10"/>
  <c r="N1456" i="10"/>
  <c r="P1456" i="10"/>
  <c r="Q1456" i="10"/>
  <c r="R1456" i="10"/>
  <c r="S1456" i="10"/>
  <c r="T1456" i="10"/>
  <c r="U1456" i="10"/>
  <c r="V1456" i="10"/>
  <c r="W1456" i="10"/>
  <c r="X1456" i="10"/>
  <c r="Y1456" i="10"/>
  <c r="Z1456" i="10"/>
  <c r="AA1456" i="10"/>
  <c r="AB1456" i="10"/>
  <c r="F1457" i="10"/>
  <c r="G1457" i="10"/>
  <c r="H1457" i="10"/>
  <c r="I1457" i="10"/>
  <c r="J1457" i="10"/>
  <c r="K1457" i="10"/>
  <c r="L1457" i="10"/>
  <c r="M1457" i="10"/>
  <c r="N1457" i="10"/>
  <c r="P1457" i="10"/>
  <c r="Q1457" i="10"/>
  <c r="R1457" i="10"/>
  <c r="S1457" i="10"/>
  <c r="T1457" i="10"/>
  <c r="U1457" i="10"/>
  <c r="V1457" i="10"/>
  <c r="W1457" i="10"/>
  <c r="X1457" i="10"/>
  <c r="Y1457" i="10"/>
  <c r="Z1457" i="10"/>
  <c r="AA1457" i="10"/>
  <c r="AB1457" i="10"/>
  <c r="F1458" i="10"/>
  <c r="G1458" i="10"/>
  <c r="H1458" i="10"/>
  <c r="I1458" i="10"/>
  <c r="J1458" i="10"/>
  <c r="K1458" i="10"/>
  <c r="L1458" i="10"/>
  <c r="M1458" i="10"/>
  <c r="N1458" i="10"/>
  <c r="P1458" i="10"/>
  <c r="Q1458" i="10"/>
  <c r="R1458" i="10"/>
  <c r="S1458" i="10"/>
  <c r="T1458" i="10"/>
  <c r="U1458" i="10"/>
  <c r="V1458" i="10"/>
  <c r="W1458" i="10"/>
  <c r="X1458" i="10"/>
  <c r="Y1458" i="10"/>
  <c r="Z1458" i="10"/>
  <c r="AA1458" i="10"/>
  <c r="AB1458" i="10"/>
  <c r="F1459" i="10"/>
  <c r="G1459" i="10"/>
  <c r="H1459" i="10"/>
  <c r="I1459" i="10"/>
  <c r="J1459" i="10"/>
  <c r="K1459" i="10"/>
  <c r="L1459" i="10"/>
  <c r="M1459" i="10"/>
  <c r="N1459" i="10"/>
  <c r="P1459" i="10"/>
  <c r="Q1459" i="10"/>
  <c r="R1459" i="10"/>
  <c r="S1459" i="10"/>
  <c r="T1459" i="10"/>
  <c r="U1459" i="10"/>
  <c r="V1459" i="10"/>
  <c r="W1459" i="10"/>
  <c r="X1459" i="10"/>
  <c r="Y1459" i="10"/>
  <c r="Z1459" i="10"/>
  <c r="AA1459" i="10"/>
  <c r="AB1459" i="10"/>
  <c r="F1460" i="10"/>
  <c r="G1460" i="10"/>
  <c r="H1460" i="10"/>
  <c r="I1460" i="10"/>
  <c r="J1460" i="10"/>
  <c r="K1460" i="10"/>
  <c r="L1460" i="10"/>
  <c r="M1460" i="10"/>
  <c r="N1460" i="10"/>
  <c r="P1460" i="10"/>
  <c r="Q1460" i="10"/>
  <c r="R1460" i="10"/>
  <c r="S1460" i="10"/>
  <c r="T1460" i="10"/>
  <c r="U1460" i="10"/>
  <c r="V1460" i="10"/>
  <c r="W1460" i="10"/>
  <c r="X1460" i="10"/>
  <c r="Y1460" i="10"/>
  <c r="Z1460" i="10"/>
  <c r="AA1460" i="10"/>
  <c r="AB1460" i="10"/>
  <c r="F1461" i="10"/>
  <c r="G1461" i="10"/>
  <c r="H1461" i="10"/>
  <c r="I1461" i="10"/>
  <c r="J1461" i="10"/>
  <c r="K1461" i="10"/>
  <c r="L1461" i="10"/>
  <c r="M1461" i="10"/>
  <c r="N1461" i="10"/>
  <c r="P1461" i="10"/>
  <c r="Q1461" i="10"/>
  <c r="R1461" i="10"/>
  <c r="S1461" i="10"/>
  <c r="T1461" i="10"/>
  <c r="U1461" i="10"/>
  <c r="V1461" i="10"/>
  <c r="W1461" i="10"/>
  <c r="X1461" i="10"/>
  <c r="Y1461" i="10"/>
  <c r="Z1461" i="10"/>
  <c r="AA1461" i="10"/>
  <c r="AB1461" i="10"/>
  <c r="F1462" i="10"/>
  <c r="G1462" i="10"/>
  <c r="H1462" i="10"/>
  <c r="I1462" i="10"/>
  <c r="J1462" i="10"/>
  <c r="K1462" i="10"/>
  <c r="L1462" i="10"/>
  <c r="M1462" i="10"/>
  <c r="N1462" i="10"/>
  <c r="P1462" i="10"/>
  <c r="Q1462" i="10"/>
  <c r="R1462" i="10"/>
  <c r="S1462" i="10"/>
  <c r="T1462" i="10"/>
  <c r="U1462" i="10"/>
  <c r="V1462" i="10"/>
  <c r="W1462" i="10"/>
  <c r="X1462" i="10"/>
  <c r="Y1462" i="10"/>
  <c r="Z1462" i="10"/>
  <c r="AA1462" i="10"/>
  <c r="AB1462" i="10"/>
  <c r="F1463" i="10"/>
  <c r="G1463" i="10"/>
  <c r="H1463" i="10"/>
  <c r="I1463" i="10"/>
  <c r="J1463" i="10"/>
  <c r="K1463" i="10"/>
  <c r="L1463" i="10"/>
  <c r="M1463" i="10"/>
  <c r="N1463" i="10"/>
  <c r="P1463" i="10"/>
  <c r="Q1463" i="10"/>
  <c r="R1463" i="10"/>
  <c r="S1463" i="10"/>
  <c r="T1463" i="10"/>
  <c r="U1463" i="10"/>
  <c r="V1463" i="10"/>
  <c r="W1463" i="10"/>
  <c r="X1463" i="10"/>
  <c r="Y1463" i="10"/>
  <c r="Z1463" i="10"/>
  <c r="AA1463" i="10"/>
  <c r="AB1463" i="10"/>
  <c r="F1464" i="10"/>
  <c r="G1464" i="10"/>
  <c r="H1464" i="10"/>
  <c r="I1464" i="10"/>
  <c r="J1464" i="10"/>
  <c r="K1464" i="10"/>
  <c r="L1464" i="10"/>
  <c r="M1464" i="10"/>
  <c r="N1464" i="10"/>
  <c r="P1464" i="10"/>
  <c r="Q1464" i="10"/>
  <c r="R1464" i="10"/>
  <c r="S1464" i="10"/>
  <c r="T1464" i="10"/>
  <c r="U1464" i="10"/>
  <c r="V1464" i="10"/>
  <c r="W1464" i="10"/>
  <c r="X1464" i="10"/>
  <c r="Y1464" i="10"/>
  <c r="Z1464" i="10"/>
  <c r="AA1464" i="10"/>
  <c r="AB1464" i="10"/>
  <c r="F1465" i="10"/>
  <c r="G1465" i="10"/>
  <c r="H1465" i="10"/>
  <c r="I1465" i="10"/>
  <c r="J1465" i="10"/>
  <c r="K1465" i="10"/>
  <c r="L1465" i="10"/>
  <c r="M1465" i="10"/>
  <c r="N1465" i="10"/>
  <c r="P1465" i="10"/>
  <c r="Q1465" i="10"/>
  <c r="R1465" i="10"/>
  <c r="S1465" i="10"/>
  <c r="T1465" i="10"/>
  <c r="U1465" i="10"/>
  <c r="V1465" i="10"/>
  <c r="W1465" i="10"/>
  <c r="X1465" i="10"/>
  <c r="Y1465" i="10"/>
  <c r="Z1465" i="10"/>
  <c r="AA1465" i="10"/>
  <c r="AB1465" i="10"/>
  <c r="F1466" i="10"/>
  <c r="G1466" i="10"/>
  <c r="H1466" i="10"/>
  <c r="I1466" i="10"/>
  <c r="J1466" i="10"/>
  <c r="K1466" i="10"/>
  <c r="L1466" i="10"/>
  <c r="M1466" i="10"/>
  <c r="N1466" i="10"/>
  <c r="P1466" i="10"/>
  <c r="Q1466" i="10"/>
  <c r="R1466" i="10"/>
  <c r="S1466" i="10"/>
  <c r="T1466" i="10"/>
  <c r="U1466" i="10"/>
  <c r="V1466" i="10"/>
  <c r="W1466" i="10"/>
  <c r="X1466" i="10"/>
  <c r="Y1466" i="10"/>
  <c r="Z1466" i="10"/>
  <c r="AA1466" i="10"/>
  <c r="AB1466" i="10"/>
  <c r="F1467" i="10"/>
  <c r="G1467" i="10"/>
  <c r="H1467" i="10"/>
  <c r="I1467" i="10"/>
  <c r="J1467" i="10"/>
  <c r="K1467" i="10"/>
  <c r="L1467" i="10"/>
  <c r="M1467" i="10"/>
  <c r="N1467" i="10"/>
  <c r="P1467" i="10"/>
  <c r="Q1467" i="10"/>
  <c r="R1467" i="10"/>
  <c r="S1467" i="10"/>
  <c r="T1467" i="10"/>
  <c r="U1467" i="10"/>
  <c r="V1467" i="10"/>
  <c r="W1467" i="10"/>
  <c r="X1467" i="10"/>
  <c r="Y1467" i="10"/>
  <c r="Z1467" i="10"/>
  <c r="AA1467" i="10"/>
  <c r="AB1467" i="10"/>
  <c r="F1468" i="10"/>
  <c r="G1468" i="10"/>
  <c r="H1468" i="10"/>
  <c r="I1468" i="10"/>
  <c r="J1468" i="10"/>
  <c r="K1468" i="10"/>
  <c r="L1468" i="10"/>
  <c r="M1468" i="10"/>
  <c r="N1468" i="10"/>
  <c r="P1468" i="10"/>
  <c r="Q1468" i="10"/>
  <c r="R1468" i="10"/>
  <c r="S1468" i="10"/>
  <c r="T1468" i="10"/>
  <c r="U1468" i="10"/>
  <c r="V1468" i="10"/>
  <c r="W1468" i="10"/>
  <c r="X1468" i="10"/>
  <c r="Y1468" i="10"/>
  <c r="Z1468" i="10"/>
  <c r="AA1468" i="10"/>
  <c r="AB1468" i="10"/>
  <c r="F1469" i="10"/>
  <c r="G1469" i="10"/>
  <c r="H1469" i="10"/>
  <c r="I1469" i="10"/>
  <c r="J1469" i="10"/>
  <c r="K1469" i="10"/>
  <c r="L1469" i="10"/>
  <c r="M1469" i="10"/>
  <c r="N1469" i="10"/>
  <c r="P1469" i="10"/>
  <c r="Q1469" i="10"/>
  <c r="R1469" i="10"/>
  <c r="S1469" i="10"/>
  <c r="T1469" i="10"/>
  <c r="U1469" i="10"/>
  <c r="V1469" i="10"/>
  <c r="W1469" i="10"/>
  <c r="X1469" i="10"/>
  <c r="Y1469" i="10"/>
  <c r="Z1469" i="10"/>
  <c r="AA1469" i="10"/>
  <c r="AB1469" i="10"/>
  <c r="F1470" i="10"/>
  <c r="G1470" i="10"/>
  <c r="H1470" i="10"/>
  <c r="I1470" i="10"/>
  <c r="J1470" i="10"/>
  <c r="K1470" i="10"/>
  <c r="L1470" i="10"/>
  <c r="M1470" i="10"/>
  <c r="N1470" i="10"/>
  <c r="P1470" i="10"/>
  <c r="Q1470" i="10"/>
  <c r="R1470" i="10"/>
  <c r="S1470" i="10"/>
  <c r="T1470" i="10"/>
  <c r="U1470" i="10"/>
  <c r="V1470" i="10"/>
  <c r="W1470" i="10"/>
  <c r="X1470" i="10"/>
  <c r="Y1470" i="10"/>
  <c r="Z1470" i="10"/>
  <c r="AA1470" i="10"/>
  <c r="AB1470" i="10"/>
  <c r="F1471" i="10"/>
  <c r="G1471" i="10"/>
  <c r="H1471" i="10"/>
  <c r="I1471" i="10"/>
  <c r="J1471" i="10"/>
  <c r="K1471" i="10"/>
  <c r="L1471" i="10"/>
  <c r="M1471" i="10"/>
  <c r="N1471" i="10"/>
  <c r="P1471" i="10"/>
  <c r="Q1471" i="10"/>
  <c r="R1471" i="10"/>
  <c r="S1471" i="10"/>
  <c r="T1471" i="10"/>
  <c r="U1471" i="10"/>
  <c r="V1471" i="10"/>
  <c r="W1471" i="10"/>
  <c r="X1471" i="10"/>
  <c r="Y1471" i="10"/>
  <c r="Z1471" i="10"/>
  <c r="AA1471" i="10"/>
  <c r="AB1471" i="10"/>
  <c r="F1472" i="10"/>
  <c r="G1472" i="10"/>
  <c r="H1472" i="10"/>
  <c r="I1472" i="10"/>
  <c r="J1472" i="10"/>
  <c r="K1472" i="10"/>
  <c r="L1472" i="10"/>
  <c r="M1472" i="10"/>
  <c r="N1472" i="10"/>
  <c r="P1472" i="10"/>
  <c r="Q1472" i="10"/>
  <c r="R1472" i="10"/>
  <c r="S1472" i="10"/>
  <c r="T1472" i="10"/>
  <c r="U1472" i="10"/>
  <c r="V1472" i="10"/>
  <c r="W1472" i="10"/>
  <c r="X1472" i="10"/>
  <c r="Y1472" i="10"/>
  <c r="Z1472" i="10"/>
  <c r="AA1472" i="10"/>
  <c r="AB1472" i="10"/>
  <c r="F1473" i="10"/>
  <c r="G1473" i="10"/>
  <c r="H1473" i="10"/>
  <c r="I1473" i="10"/>
  <c r="J1473" i="10"/>
  <c r="K1473" i="10"/>
  <c r="L1473" i="10"/>
  <c r="M1473" i="10"/>
  <c r="N1473" i="10"/>
  <c r="P1473" i="10"/>
  <c r="Q1473" i="10"/>
  <c r="R1473" i="10"/>
  <c r="S1473" i="10"/>
  <c r="T1473" i="10"/>
  <c r="U1473" i="10"/>
  <c r="V1473" i="10"/>
  <c r="W1473" i="10"/>
  <c r="X1473" i="10"/>
  <c r="Y1473" i="10"/>
  <c r="Z1473" i="10"/>
  <c r="AA1473" i="10"/>
  <c r="AB1473" i="10"/>
  <c r="F1474" i="10"/>
  <c r="G1474" i="10"/>
  <c r="H1474" i="10"/>
  <c r="I1474" i="10"/>
  <c r="J1474" i="10"/>
  <c r="K1474" i="10"/>
  <c r="L1474" i="10"/>
  <c r="M1474" i="10"/>
  <c r="N1474" i="10"/>
  <c r="P1474" i="10"/>
  <c r="Q1474" i="10"/>
  <c r="R1474" i="10"/>
  <c r="S1474" i="10"/>
  <c r="T1474" i="10"/>
  <c r="U1474" i="10"/>
  <c r="V1474" i="10"/>
  <c r="W1474" i="10"/>
  <c r="X1474" i="10"/>
  <c r="Y1474" i="10"/>
  <c r="Z1474" i="10"/>
  <c r="AA1474" i="10"/>
  <c r="AB1474" i="10"/>
  <c r="F1475" i="10"/>
  <c r="G1475" i="10"/>
  <c r="H1475" i="10"/>
  <c r="I1475" i="10"/>
  <c r="J1475" i="10"/>
  <c r="K1475" i="10"/>
  <c r="L1475" i="10"/>
  <c r="M1475" i="10"/>
  <c r="N1475" i="10"/>
  <c r="P1475" i="10"/>
  <c r="Q1475" i="10"/>
  <c r="R1475" i="10"/>
  <c r="S1475" i="10"/>
  <c r="T1475" i="10"/>
  <c r="U1475" i="10"/>
  <c r="V1475" i="10"/>
  <c r="W1475" i="10"/>
  <c r="X1475" i="10"/>
  <c r="Y1475" i="10"/>
  <c r="Z1475" i="10"/>
  <c r="AA1475" i="10"/>
  <c r="AB1475" i="10"/>
  <c r="F1476" i="10"/>
  <c r="G1476" i="10"/>
  <c r="H1476" i="10"/>
  <c r="I1476" i="10"/>
  <c r="J1476" i="10"/>
  <c r="K1476" i="10"/>
  <c r="L1476" i="10"/>
  <c r="M1476" i="10"/>
  <c r="N1476" i="10"/>
  <c r="P1476" i="10"/>
  <c r="Q1476" i="10"/>
  <c r="R1476" i="10"/>
  <c r="S1476" i="10"/>
  <c r="T1476" i="10"/>
  <c r="U1476" i="10"/>
  <c r="V1476" i="10"/>
  <c r="W1476" i="10"/>
  <c r="X1476" i="10"/>
  <c r="Y1476" i="10"/>
  <c r="Z1476" i="10"/>
  <c r="AA1476" i="10"/>
  <c r="AB1476" i="10"/>
  <c r="F1477" i="10"/>
  <c r="G1477" i="10"/>
  <c r="H1477" i="10"/>
  <c r="I1477" i="10"/>
  <c r="J1477" i="10"/>
  <c r="K1477" i="10"/>
  <c r="L1477" i="10"/>
  <c r="M1477" i="10"/>
  <c r="N1477" i="10"/>
  <c r="P1477" i="10"/>
  <c r="Q1477" i="10"/>
  <c r="R1477" i="10"/>
  <c r="S1477" i="10"/>
  <c r="T1477" i="10"/>
  <c r="U1477" i="10"/>
  <c r="V1477" i="10"/>
  <c r="W1477" i="10"/>
  <c r="X1477" i="10"/>
  <c r="Y1477" i="10"/>
  <c r="Z1477" i="10"/>
  <c r="AA1477" i="10"/>
  <c r="AB1477" i="10"/>
  <c r="F1478" i="10"/>
  <c r="G1478" i="10"/>
  <c r="H1478" i="10"/>
  <c r="I1478" i="10"/>
  <c r="J1478" i="10"/>
  <c r="K1478" i="10"/>
  <c r="L1478" i="10"/>
  <c r="M1478" i="10"/>
  <c r="N1478" i="10"/>
  <c r="P1478" i="10"/>
  <c r="Q1478" i="10"/>
  <c r="R1478" i="10"/>
  <c r="S1478" i="10"/>
  <c r="T1478" i="10"/>
  <c r="U1478" i="10"/>
  <c r="V1478" i="10"/>
  <c r="W1478" i="10"/>
  <c r="X1478" i="10"/>
  <c r="Y1478" i="10"/>
  <c r="Z1478" i="10"/>
  <c r="AA1478" i="10"/>
  <c r="AB1478" i="10"/>
  <c r="F1479" i="10"/>
  <c r="G1479" i="10"/>
  <c r="H1479" i="10"/>
  <c r="I1479" i="10"/>
  <c r="J1479" i="10"/>
  <c r="K1479" i="10"/>
  <c r="L1479" i="10"/>
  <c r="M1479" i="10"/>
  <c r="N1479" i="10"/>
  <c r="P1479" i="10"/>
  <c r="Q1479" i="10"/>
  <c r="R1479" i="10"/>
  <c r="S1479" i="10"/>
  <c r="T1479" i="10"/>
  <c r="U1479" i="10"/>
  <c r="V1479" i="10"/>
  <c r="W1479" i="10"/>
  <c r="X1479" i="10"/>
  <c r="Y1479" i="10"/>
  <c r="Z1479" i="10"/>
  <c r="AA1479" i="10"/>
  <c r="AB1479" i="10"/>
  <c r="F1480" i="10"/>
  <c r="G1480" i="10"/>
  <c r="H1480" i="10"/>
  <c r="I1480" i="10"/>
  <c r="J1480" i="10"/>
  <c r="K1480" i="10"/>
  <c r="L1480" i="10"/>
  <c r="M1480" i="10"/>
  <c r="N1480" i="10"/>
  <c r="P1480" i="10"/>
  <c r="Q1480" i="10"/>
  <c r="R1480" i="10"/>
  <c r="S1480" i="10"/>
  <c r="T1480" i="10"/>
  <c r="U1480" i="10"/>
  <c r="V1480" i="10"/>
  <c r="W1480" i="10"/>
  <c r="X1480" i="10"/>
  <c r="Y1480" i="10"/>
  <c r="Z1480" i="10"/>
  <c r="AA1480" i="10"/>
  <c r="AB1480" i="10"/>
  <c r="F1481" i="10"/>
  <c r="G1481" i="10"/>
  <c r="H1481" i="10"/>
  <c r="I1481" i="10"/>
  <c r="J1481" i="10"/>
  <c r="K1481" i="10"/>
  <c r="L1481" i="10"/>
  <c r="M1481" i="10"/>
  <c r="N1481" i="10"/>
  <c r="P1481" i="10"/>
  <c r="Q1481" i="10"/>
  <c r="R1481" i="10"/>
  <c r="S1481" i="10"/>
  <c r="T1481" i="10"/>
  <c r="U1481" i="10"/>
  <c r="V1481" i="10"/>
  <c r="W1481" i="10"/>
  <c r="X1481" i="10"/>
  <c r="Y1481" i="10"/>
  <c r="Z1481" i="10"/>
  <c r="AA1481" i="10"/>
  <c r="AB1481" i="10"/>
  <c r="F1482" i="10"/>
  <c r="G1482" i="10"/>
  <c r="H1482" i="10"/>
  <c r="I1482" i="10"/>
  <c r="J1482" i="10"/>
  <c r="K1482" i="10"/>
  <c r="L1482" i="10"/>
  <c r="M1482" i="10"/>
  <c r="N1482" i="10"/>
  <c r="P1482" i="10"/>
  <c r="Q1482" i="10"/>
  <c r="R1482" i="10"/>
  <c r="S1482" i="10"/>
  <c r="T1482" i="10"/>
  <c r="U1482" i="10"/>
  <c r="V1482" i="10"/>
  <c r="W1482" i="10"/>
  <c r="X1482" i="10"/>
  <c r="Y1482" i="10"/>
  <c r="Z1482" i="10"/>
  <c r="AA1482" i="10"/>
  <c r="AB1482" i="10"/>
  <c r="F1483" i="10"/>
  <c r="G1483" i="10"/>
  <c r="H1483" i="10"/>
  <c r="I1483" i="10"/>
  <c r="J1483" i="10"/>
  <c r="K1483" i="10"/>
  <c r="L1483" i="10"/>
  <c r="M1483" i="10"/>
  <c r="N1483" i="10"/>
  <c r="P1483" i="10"/>
  <c r="Q1483" i="10"/>
  <c r="R1483" i="10"/>
  <c r="S1483" i="10"/>
  <c r="T1483" i="10"/>
  <c r="U1483" i="10"/>
  <c r="V1483" i="10"/>
  <c r="W1483" i="10"/>
  <c r="X1483" i="10"/>
  <c r="Y1483" i="10"/>
  <c r="Z1483" i="10"/>
  <c r="AA1483" i="10"/>
  <c r="AB1483" i="10"/>
  <c r="F1484" i="10"/>
  <c r="G1484" i="10"/>
  <c r="H1484" i="10"/>
  <c r="I1484" i="10"/>
  <c r="J1484" i="10"/>
  <c r="K1484" i="10"/>
  <c r="L1484" i="10"/>
  <c r="M1484" i="10"/>
  <c r="N1484" i="10"/>
  <c r="P1484" i="10"/>
  <c r="Q1484" i="10"/>
  <c r="R1484" i="10"/>
  <c r="S1484" i="10"/>
  <c r="T1484" i="10"/>
  <c r="U1484" i="10"/>
  <c r="V1484" i="10"/>
  <c r="W1484" i="10"/>
  <c r="X1484" i="10"/>
  <c r="Y1484" i="10"/>
  <c r="Z1484" i="10"/>
  <c r="AA1484" i="10"/>
  <c r="AB1484" i="10"/>
  <c r="F1485" i="10"/>
  <c r="G1485" i="10"/>
  <c r="H1485" i="10"/>
  <c r="I1485" i="10"/>
  <c r="J1485" i="10"/>
  <c r="K1485" i="10"/>
  <c r="L1485" i="10"/>
  <c r="M1485" i="10"/>
  <c r="N1485" i="10"/>
  <c r="P1485" i="10"/>
  <c r="Q1485" i="10"/>
  <c r="R1485" i="10"/>
  <c r="S1485" i="10"/>
  <c r="T1485" i="10"/>
  <c r="U1485" i="10"/>
  <c r="V1485" i="10"/>
  <c r="W1485" i="10"/>
  <c r="X1485" i="10"/>
  <c r="Y1485" i="10"/>
  <c r="Z1485" i="10"/>
  <c r="AA1485" i="10"/>
  <c r="AB1485" i="10"/>
  <c r="F1486" i="10"/>
  <c r="G1486" i="10"/>
  <c r="H1486" i="10"/>
  <c r="I1486" i="10"/>
  <c r="J1486" i="10"/>
  <c r="K1486" i="10"/>
  <c r="L1486" i="10"/>
  <c r="M1486" i="10"/>
  <c r="N1486" i="10"/>
  <c r="P1486" i="10"/>
  <c r="Q1486" i="10"/>
  <c r="R1486" i="10"/>
  <c r="S1486" i="10"/>
  <c r="T1486" i="10"/>
  <c r="U1486" i="10"/>
  <c r="V1486" i="10"/>
  <c r="W1486" i="10"/>
  <c r="X1486" i="10"/>
  <c r="Y1486" i="10"/>
  <c r="Z1486" i="10"/>
  <c r="AA1486" i="10"/>
  <c r="AB1486" i="10"/>
  <c r="F1487" i="10"/>
  <c r="G1487" i="10"/>
  <c r="H1487" i="10"/>
  <c r="I1487" i="10"/>
  <c r="J1487" i="10"/>
  <c r="K1487" i="10"/>
  <c r="L1487" i="10"/>
  <c r="M1487" i="10"/>
  <c r="N1487" i="10"/>
  <c r="P1487" i="10"/>
  <c r="Q1487" i="10"/>
  <c r="R1487" i="10"/>
  <c r="S1487" i="10"/>
  <c r="T1487" i="10"/>
  <c r="U1487" i="10"/>
  <c r="V1487" i="10"/>
  <c r="W1487" i="10"/>
  <c r="X1487" i="10"/>
  <c r="Y1487" i="10"/>
  <c r="Z1487" i="10"/>
  <c r="AA1487" i="10"/>
  <c r="AB1487" i="10"/>
  <c r="F1488" i="10"/>
  <c r="G1488" i="10"/>
  <c r="H1488" i="10"/>
  <c r="I1488" i="10"/>
  <c r="J1488" i="10"/>
  <c r="K1488" i="10"/>
  <c r="L1488" i="10"/>
  <c r="M1488" i="10"/>
  <c r="N1488" i="10"/>
  <c r="P1488" i="10"/>
  <c r="Q1488" i="10"/>
  <c r="R1488" i="10"/>
  <c r="S1488" i="10"/>
  <c r="T1488" i="10"/>
  <c r="U1488" i="10"/>
  <c r="V1488" i="10"/>
  <c r="W1488" i="10"/>
  <c r="X1488" i="10"/>
  <c r="Y1488" i="10"/>
  <c r="Z1488" i="10"/>
  <c r="AA1488" i="10"/>
  <c r="AB1488" i="10"/>
  <c r="F1489" i="10"/>
  <c r="G1489" i="10"/>
  <c r="H1489" i="10"/>
  <c r="I1489" i="10"/>
  <c r="J1489" i="10"/>
  <c r="K1489" i="10"/>
  <c r="L1489" i="10"/>
  <c r="M1489" i="10"/>
  <c r="N1489" i="10"/>
  <c r="P1489" i="10"/>
  <c r="Q1489" i="10"/>
  <c r="R1489" i="10"/>
  <c r="S1489" i="10"/>
  <c r="T1489" i="10"/>
  <c r="U1489" i="10"/>
  <c r="V1489" i="10"/>
  <c r="W1489" i="10"/>
  <c r="X1489" i="10"/>
  <c r="Y1489" i="10"/>
  <c r="Z1489" i="10"/>
  <c r="AA1489" i="10"/>
  <c r="AB1489" i="10"/>
  <c r="F1490" i="10"/>
  <c r="G1490" i="10"/>
  <c r="H1490" i="10"/>
  <c r="I1490" i="10"/>
  <c r="J1490" i="10"/>
  <c r="K1490" i="10"/>
  <c r="L1490" i="10"/>
  <c r="M1490" i="10"/>
  <c r="N1490" i="10"/>
  <c r="P1490" i="10"/>
  <c r="Q1490" i="10"/>
  <c r="R1490" i="10"/>
  <c r="S1490" i="10"/>
  <c r="T1490" i="10"/>
  <c r="U1490" i="10"/>
  <c r="V1490" i="10"/>
  <c r="W1490" i="10"/>
  <c r="X1490" i="10"/>
  <c r="Y1490" i="10"/>
  <c r="Z1490" i="10"/>
  <c r="AA1490" i="10"/>
  <c r="AB1490" i="10"/>
  <c r="F1491" i="10"/>
  <c r="G1491" i="10"/>
  <c r="H1491" i="10"/>
  <c r="I1491" i="10"/>
  <c r="J1491" i="10"/>
  <c r="K1491" i="10"/>
  <c r="L1491" i="10"/>
  <c r="M1491" i="10"/>
  <c r="N1491" i="10"/>
  <c r="P1491" i="10"/>
  <c r="Q1491" i="10"/>
  <c r="R1491" i="10"/>
  <c r="S1491" i="10"/>
  <c r="T1491" i="10"/>
  <c r="U1491" i="10"/>
  <c r="V1491" i="10"/>
  <c r="W1491" i="10"/>
  <c r="X1491" i="10"/>
  <c r="Y1491" i="10"/>
  <c r="Z1491" i="10"/>
  <c r="AA1491" i="10"/>
  <c r="AB1491" i="10"/>
  <c r="F1492" i="10"/>
  <c r="G1492" i="10"/>
  <c r="H1492" i="10"/>
  <c r="I1492" i="10"/>
  <c r="J1492" i="10"/>
  <c r="K1492" i="10"/>
  <c r="L1492" i="10"/>
  <c r="M1492" i="10"/>
  <c r="N1492" i="10"/>
  <c r="P1492" i="10"/>
  <c r="Q1492" i="10"/>
  <c r="R1492" i="10"/>
  <c r="S1492" i="10"/>
  <c r="T1492" i="10"/>
  <c r="U1492" i="10"/>
  <c r="V1492" i="10"/>
  <c r="W1492" i="10"/>
  <c r="X1492" i="10"/>
  <c r="Y1492" i="10"/>
  <c r="Z1492" i="10"/>
  <c r="AA1492" i="10"/>
  <c r="AB1492" i="10"/>
  <c r="F1493" i="10"/>
  <c r="G1493" i="10"/>
  <c r="H1493" i="10"/>
  <c r="I1493" i="10"/>
  <c r="J1493" i="10"/>
  <c r="K1493" i="10"/>
  <c r="L1493" i="10"/>
  <c r="M1493" i="10"/>
  <c r="N1493" i="10"/>
  <c r="P1493" i="10"/>
  <c r="Q1493" i="10"/>
  <c r="R1493" i="10"/>
  <c r="S1493" i="10"/>
  <c r="T1493" i="10"/>
  <c r="U1493" i="10"/>
  <c r="V1493" i="10"/>
  <c r="W1493" i="10"/>
  <c r="X1493" i="10"/>
  <c r="Y1493" i="10"/>
  <c r="Z1493" i="10"/>
  <c r="AA1493" i="10"/>
  <c r="AB1493" i="10"/>
  <c r="F1494" i="10"/>
  <c r="G1494" i="10"/>
  <c r="H1494" i="10"/>
  <c r="I1494" i="10"/>
  <c r="J1494" i="10"/>
  <c r="K1494" i="10"/>
  <c r="L1494" i="10"/>
  <c r="M1494" i="10"/>
  <c r="N1494" i="10"/>
  <c r="P1494" i="10"/>
  <c r="Q1494" i="10"/>
  <c r="R1494" i="10"/>
  <c r="S1494" i="10"/>
  <c r="T1494" i="10"/>
  <c r="U1494" i="10"/>
  <c r="V1494" i="10"/>
  <c r="W1494" i="10"/>
  <c r="X1494" i="10"/>
  <c r="Y1494" i="10"/>
  <c r="Z1494" i="10"/>
  <c r="AA1494" i="10"/>
  <c r="AB1494" i="10"/>
  <c r="F1495" i="10"/>
  <c r="G1495" i="10"/>
  <c r="H1495" i="10"/>
  <c r="I1495" i="10"/>
  <c r="J1495" i="10"/>
  <c r="K1495" i="10"/>
  <c r="L1495" i="10"/>
  <c r="M1495" i="10"/>
  <c r="N1495" i="10"/>
  <c r="P1495" i="10"/>
  <c r="Q1495" i="10"/>
  <c r="R1495" i="10"/>
  <c r="S1495" i="10"/>
  <c r="T1495" i="10"/>
  <c r="U1495" i="10"/>
  <c r="V1495" i="10"/>
  <c r="W1495" i="10"/>
  <c r="X1495" i="10"/>
  <c r="Y1495" i="10"/>
  <c r="Z1495" i="10"/>
  <c r="AA1495" i="10"/>
  <c r="AB1495" i="10"/>
  <c r="F1496" i="10"/>
  <c r="G1496" i="10"/>
  <c r="H1496" i="10"/>
  <c r="I1496" i="10"/>
  <c r="J1496" i="10"/>
  <c r="K1496" i="10"/>
  <c r="L1496" i="10"/>
  <c r="M1496" i="10"/>
  <c r="N1496" i="10"/>
  <c r="P1496" i="10"/>
  <c r="Q1496" i="10"/>
  <c r="R1496" i="10"/>
  <c r="S1496" i="10"/>
  <c r="T1496" i="10"/>
  <c r="U1496" i="10"/>
  <c r="V1496" i="10"/>
  <c r="W1496" i="10"/>
  <c r="X1496" i="10"/>
  <c r="Y1496" i="10"/>
  <c r="Z1496" i="10"/>
  <c r="AA1496" i="10"/>
  <c r="AB1496" i="10"/>
  <c r="F1497" i="10"/>
  <c r="G1497" i="10"/>
  <c r="H1497" i="10"/>
  <c r="I1497" i="10"/>
  <c r="J1497" i="10"/>
  <c r="K1497" i="10"/>
  <c r="L1497" i="10"/>
  <c r="M1497" i="10"/>
  <c r="N1497" i="10"/>
  <c r="P1497" i="10"/>
  <c r="Q1497" i="10"/>
  <c r="R1497" i="10"/>
  <c r="S1497" i="10"/>
  <c r="T1497" i="10"/>
  <c r="U1497" i="10"/>
  <c r="V1497" i="10"/>
  <c r="W1497" i="10"/>
  <c r="X1497" i="10"/>
  <c r="Y1497" i="10"/>
  <c r="Z1497" i="10"/>
  <c r="AA1497" i="10"/>
  <c r="AB1497" i="10"/>
  <c r="F1498" i="10"/>
  <c r="G1498" i="10"/>
  <c r="H1498" i="10"/>
  <c r="I1498" i="10"/>
  <c r="J1498" i="10"/>
  <c r="K1498" i="10"/>
  <c r="L1498" i="10"/>
  <c r="M1498" i="10"/>
  <c r="N1498" i="10"/>
  <c r="P1498" i="10"/>
  <c r="Q1498" i="10"/>
  <c r="R1498" i="10"/>
  <c r="S1498" i="10"/>
  <c r="T1498" i="10"/>
  <c r="U1498" i="10"/>
  <c r="V1498" i="10"/>
  <c r="W1498" i="10"/>
  <c r="X1498" i="10"/>
  <c r="Y1498" i="10"/>
  <c r="Z1498" i="10"/>
  <c r="AA1498" i="10"/>
  <c r="AB1498" i="10"/>
  <c r="F1499" i="10"/>
  <c r="G1499" i="10"/>
  <c r="H1499" i="10"/>
  <c r="I1499" i="10"/>
  <c r="J1499" i="10"/>
  <c r="K1499" i="10"/>
  <c r="L1499" i="10"/>
  <c r="M1499" i="10"/>
  <c r="N1499" i="10"/>
  <c r="P1499" i="10"/>
  <c r="Q1499" i="10"/>
  <c r="R1499" i="10"/>
  <c r="S1499" i="10"/>
  <c r="T1499" i="10"/>
  <c r="U1499" i="10"/>
  <c r="V1499" i="10"/>
  <c r="W1499" i="10"/>
  <c r="X1499" i="10"/>
  <c r="Y1499" i="10"/>
  <c r="Z1499" i="10"/>
  <c r="AA1499" i="10"/>
  <c r="AB1499" i="10"/>
  <c r="F1500" i="10"/>
  <c r="G1500" i="10"/>
  <c r="H1500" i="10"/>
  <c r="I1500" i="10"/>
  <c r="J1500" i="10"/>
  <c r="K1500" i="10"/>
  <c r="L1500" i="10"/>
  <c r="M1500" i="10"/>
  <c r="N1500" i="10"/>
  <c r="P1500" i="10"/>
  <c r="Q1500" i="10"/>
  <c r="R1500" i="10"/>
  <c r="S1500" i="10"/>
  <c r="T1500" i="10"/>
  <c r="U1500" i="10"/>
  <c r="V1500" i="10"/>
  <c r="W1500" i="10"/>
  <c r="X1500" i="10"/>
  <c r="Y1500" i="10"/>
  <c r="Z1500" i="10"/>
  <c r="AA1500" i="10"/>
  <c r="AB1500" i="10"/>
  <c r="F1501" i="10"/>
  <c r="G1501" i="10"/>
  <c r="H1501" i="10"/>
  <c r="I1501" i="10"/>
  <c r="J1501" i="10"/>
  <c r="K1501" i="10"/>
  <c r="L1501" i="10"/>
  <c r="M1501" i="10"/>
  <c r="N1501" i="10"/>
  <c r="P1501" i="10"/>
  <c r="Q1501" i="10"/>
  <c r="R1501" i="10"/>
  <c r="S1501" i="10"/>
  <c r="T1501" i="10"/>
  <c r="U1501" i="10"/>
  <c r="V1501" i="10"/>
  <c r="W1501" i="10"/>
  <c r="X1501" i="10"/>
  <c r="Y1501" i="10"/>
  <c r="Z1501" i="10"/>
  <c r="AA1501" i="10"/>
  <c r="AB1501" i="10"/>
  <c r="F1502" i="10"/>
  <c r="G1502" i="10"/>
  <c r="H1502" i="10"/>
  <c r="I1502" i="10"/>
  <c r="J1502" i="10"/>
  <c r="K1502" i="10"/>
  <c r="L1502" i="10"/>
  <c r="M1502" i="10"/>
  <c r="N1502" i="10"/>
  <c r="P1502" i="10"/>
  <c r="Q1502" i="10"/>
  <c r="R1502" i="10"/>
  <c r="S1502" i="10"/>
  <c r="T1502" i="10"/>
  <c r="U1502" i="10"/>
  <c r="V1502" i="10"/>
  <c r="W1502" i="10"/>
  <c r="X1502" i="10"/>
  <c r="Y1502" i="10"/>
  <c r="Z1502" i="10"/>
  <c r="AA1502" i="10"/>
  <c r="AB1502" i="10"/>
  <c r="F1503" i="10"/>
  <c r="G1503" i="10"/>
  <c r="H1503" i="10"/>
  <c r="I1503" i="10"/>
  <c r="J1503" i="10"/>
  <c r="K1503" i="10"/>
  <c r="L1503" i="10"/>
  <c r="M1503" i="10"/>
  <c r="N1503" i="10"/>
  <c r="P1503" i="10"/>
  <c r="Q1503" i="10"/>
  <c r="R1503" i="10"/>
  <c r="S1503" i="10"/>
  <c r="T1503" i="10"/>
  <c r="U1503" i="10"/>
  <c r="V1503" i="10"/>
  <c r="W1503" i="10"/>
  <c r="X1503" i="10"/>
  <c r="Y1503" i="10"/>
  <c r="Z1503" i="10"/>
  <c r="AA1503" i="10"/>
  <c r="AB1503" i="10"/>
  <c r="F1504" i="10"/>
  <c r="G1504" i="10"/>
  <c r="H1504" i="10"/>
  <c r="I1504" i="10"/>
  <c r="J1504" i="10"/>
  <c r="K1504" i="10"/>
  <c r="L1504" i="10"/>
  <c r="M1504" i="10"/>
  <c r="N1504" i="10"/>
  <c r="P1504" i="10"/>
  <c r="Q1504" i="10"/>
  <c r="R1504" i="10"/>
  <c r="S1504" i="10"/>
  <c r="T1504" i="10"/>
  <c r="U1504" i="10"/>
  <c r="V1504" i="10"/>
  <c r="W1504" i="10"/>
  <c r="X1504" i="10"/>
  <c r="Y1504" i="10"/>
  <c r="Z1504" i="10"/>
  <c r="AA1504" i="10"/>
  <c r="AB1504" i="10"/>
  <c r="F1505" i="10"/>
  <c r="G1505" i="10"/>
  <c r="H1505" i="10"/>
  <c r="I1505" i="10"/>
  <c r="J1505" i="10"/>
  <c r="K1505" i="10"/>
  <c r="L1505" i="10"/>
  <c r="M1505" i="10"/>
  <c r="N1505" i="10"/>
  <c r="P1505" i="10"/>
  <c r="Q1505" i="10"/>
  <c r="R1505" i="10"/>
  <c r="S1505" i="10"/>
  <c r="T1505" i="10"/>
  <c r="U1505" i="10"/>
  <c r="V1505" i="10"/>
  <c r="W1505" i="10"/>
  <c r="X1505" i="10"/>
  <c r="Y1505" i="10"/>
  <c r="Z1505" i="10"/>
  <c r="AA1505" i="10"/>
  <c r="AB1505" i="10"/>
  <c r="F1506" i="10"/>
  <c r="G1506" i="10"/>
  <c r="H1506" i="10"/>
  <c r="I1506" i="10"/>
  <c r="J1506" i="10"/>
  <c r="K1506" i="10"/>
  <c r="L1506" i="10"/>
  <c r="M1506" i="10"/>
  <c r="N1506" i="10"/>
  <c r="P1506" i="10"/>
  <c r="Q1506" i="10"/>
  <c r="R1506" i="10"/>
  <c r="S1506" i="10"/>
  <c r="T1506" i="10"/>
  <c r="U1506" i="10"/>
  <c r="V1506" i="10"/>
  <c r="W1506" i="10"/>
  <c r="X1506" i="10"/>
  <c r="Y1506" i="10"/>
  <c r="Z1506" i="10"/>
  <c r="AA1506" i="10"/>
  <c r="AB1506" i="10"/>
  <c r="F1507" i="10"/>
  <c r="G1507" i="10"/>
  <c r="H1507" i="10"/>
  <c r="I1507" i="10"/>
  <c r="J1507" i="10"/>
  <c r="K1507" i="10"/>
  <c r="L1507" i="10"/>
  <c r="M1507" i="10"/>
  <c r="N1507" i="10"/>
  <c r="P1507" i="10"/>
  <c r="Q1507" i="10"/>
  <c r="R1507" i="10"/>
  <c r="S1507" i="10"/>
  <c r="T1507" i="10"/>
  <c r="U1507" i="10"/>
  <c r="V1507" i="10"/>
  <c r="W1507" i="10"/>
  <c r="X1507" i="10"/>
  <c r="Y1507" i="10"/>
  <c r="Z1507" i="10"/>
  <c r="AA1507" i="10"/>
  <c r="AB1507" i="10"/>
  <c r="F1508" i="10"/>
  <c r="G1508" i="10"/>
  <c r="H1508" i="10"/>
  <c r="I1508" i="10"/>
  <c r="J1508" i="10"/>
  <c r="K1508" i="10"/>
  <c r="L1508" i="10"/>
  <c r="M1508" i="10"/>
  <c r="N1508" i="10"/>
  <c r="P1508" i="10"/>
  <c r="Q1508" i="10"/>
  <c r="R1508" i="10"/>
  <c r="S1508" i="10"/>
  <c r="T1508" i="10"/>
  <c r="U1508" i="10"/>
  <c r="V1508" i="10"/>
  <c r="W1508" i="10"/>
  <c r="X1508" i="10"/>
  <c r="Y1508" i="10"/>
  <c r="Z1508" i="10"/>
  <c r="AA1508" i="10"/>
  <c r="AB1508" i="10"/>
  <c r="F1509" i="10"/>
  <c r="G1509" i="10"/>
  <c r="H1509" i="10"/>
  <c r="I1509" i="10"/>
  <c r="J1509" i="10"/>
  <c r="K1509" i="10"/>
  <c r="L1509" i="10"/>
  <c r="M1509" i="10"/>
  <c r="N1509" i="10"/>
  <c r="P1509" i="10"/>
  <c r="Q1509" i="10"/>
  <c r="R1509" i="10"/>
  <c r="S1509" i="10"/>
  <c r="T1509" i="10"/>
  <c r="U1509" i="10"/>
  <c r="V1509" i="10"/>
  <c r="W1509" i="10"/>
  <c r="X1509" i="10"/>
  <c r="Y1509" i="10"/>
  <c r="Z1509" i="10"/>
  <c r="AA1509" i="10"/>
  <c r="AB1509" i="10"/>
  <c r="F1510" i="10"/>
  <c r="G1510" i="10"/>
  <c r="H1510" i="10"/>
  <c r="I1510" i="10"/>
  <c r="J1510" i="10"/>
  <c r="K1510" i="10"/>
  <c r="L1510" i="10"/>
  <c r="M1510" i="10"/>
  <c r="N1510" i="10"/>
  <c r="P1510" i="10"/>
  <c r="Q1510" i="10"/>
  <c r="R1510" i="10"/>
  <c r="S1510" i="10"/>
  <c r="T1510" i="10"/>
  <c r="U1510" i="10"/>
  <c r="V1510" i="10"/>
  <c r="W1510" i="10"/>
  <c r="X1510" i="10"/>
  <c r="Y1510" i="10"/>
  <c r="Z1510" i="10"/>
  <c r="AA1510" i="10"/>
  <c r="AB1510" i="10"/>
  <c r="AC774" i="10"/>
  <c r="AC775" i="10"/>
  <c r="AC776" i="10"/>
  <c r="AC777" i="10"/>
  <c r="AC778" i="10"/>
  <c r="AC779" i="10"/>
  <c r="AC780" i="10"/>
  <c r="AC781" i="10"/>
  <c r="AC782" i="10"/>
  <c r="AC783" i="10"/>
  <c r="AC784" i="10"/>
  <c r="AC785" i="10"/>
  <c r="AC786" i="10"/>
  <c r="AC787" i="10"/>
  <c r="AC788" i="10"/>
  <c r="AC789" i="10"/>
  <c r="AC790" i="10"/>
  <c r="AC791" i="10"/>
  <c r="AC792" i="10"/>
  <c r="AC793" i="10"/>
  <c r="AC794" i="10"/>
  <c r="AC795" i="10"/>
  <c r="AC796" i="10"/>
  <c r="AC797" i="10"/>
  <c r="AC798" i="10"/>
  <c r="AC799" i="10"/>
  <c r="AC800" i="10"/>
  <c r="AC801" i="10"/>
  <c r="AC802" i="10"/>
  <c r="AC803" i="10"/>
  <c r="AC804" i="10"/>
  <c r="AC805" i="10"/>
  <c r="AC806" i="10"/>
  <c r="AC807" i="10"/>
  <c r="AC808" i="10"/>
  <c r="AC809" i="10"/>
  <c r="AC810" i="10"/>
  <c r="AC811" i="10"/>
  <c r="AC812" i="10"/>
  <c r="AC813" i="10"/>
  <c r="AC814" i="10"/>
  <c r="AC815" i="10"/>
  <c r="AC816" i="10"/>
  <c r="AC817" i="10"/>
  <c r="AC818" i="10"/>
  <c r="AC819" i="10"/>
  <c r="AC820" i="10"/>
  <c r="AC821" i="10"/>
  <c r="AC822" i="10"/>
  <c r="AC823" i="10"/>
  <c r="AC824" i="10"/>
  <c r="AC825" i="10"/>
  <c r="AC826" i="10"/>
  <c r="AC827" i="10"/>
  <c r="AC828" i="10"/>
  <c r="AC829" i="10"/>
  <c r="AC830" i="10"/>
  <c r="AC831" i="10"/>
  <c r="AC832" i="10"/>
  <c r="AC833" i="10"/>
  <c r="AC834" i="10"/>
  <c r="AC835" i="10"/>
  <c r="AC836" i="10"/>
  <c r="AC837" i="10"/>
  <c r="AC838" i="10"/>
  <c r="AC839" i="10"/>
  <c r="AC840" i="10"/>
  <c r="AC841" i="10"/>
  <c r="AC842" i="10"/>
  <c r="AC843" i="10"/>
  <c r="AC844" i="10"/>
  <c r="AC845" i="10"/>
  <c r="AC846" i="10"/>
  <c r="AC847" i="10"/>
  <c r="AC848" i="10"/>
  <c r="AC849" i="10"/>
  <c r="AC850" i="10"/>
  <c r="AC851" i="10"/>
  <c r="AC852" i="10"/>
  <c r="AC853" i="10"/>
  <c r="AC854" i="10"/>
  <c r="AC855" i="10"/>
  <c r="AC856" i="10"/>
  <c r="AC857" i="10"/>
  <c r="AC858" i="10"/>
  <c r="AC859" i="10"/>
  <c r="AC860" i="10"/>
  <c r="AC861" i="10"/>
  <c r="AC862" i="10"/>
  <c r="AC863" i="10"/>
  <c r="AC864" i="10"/>
  <c r="AC865" i="10"/>
  <c r="AC866" i="10"/>
  <c r="AC867" i="10"/>
  <c r="AC868" i="10"/>
  <c r="AC869" i="10"/>
  <c r="AC870" i="10"/>
  <c r="AC871" i="10"/>
  <c r="AC872" i="10"/>
  <c r="AC873" i="10"/>
  <c r="AC874" i="10"/>
  <c r="AC875" i="10"/>
  <c r="AC876" i="10"/>
  <c r="AC877" i="10"/>
  <c r="AC878" i="10"/>
  <c r="AC879" i="10"/>
  <c r="AC880" i="10"/>
  <c r="AC881" i="10"/>
  <c r="AC882" i="10"/>
  <c r="AC883" i="10"/>
  <c r="AC884" i="10"/>
  <c r="AC885" i="10"/>
  <c r="AC886" i="10"/>
  <c r="AC887" i="10"/>
  <c r="AC888" i="10"/>
  <c r="AC889" i="10"/>
  <c r="AC890" i="10"/>
  <c r="AC891" i="10"/>
  <c r="AC892" i="10"/>
  <c r="AC893" i="10"/>
  <c r="AC894" i="10"/>
  <c r="AC895" i="10"/>
  <c r="AC896" i="10"/>
  <c r="AC897" i="10"/>
  <c r="AC898" i="10"/>
  <c r="AC899" i="10"/>
  <c r="AC900" i="10"/>
  <c r="AC901" i="10"/>
  <c r="AC902" i="10"/>
  <c r="AC903" i="10"/>
  <c r="AC904" i="10"/>
  <c r="AC905" i="10"/>
  <c r="AC906" i="10"/>
  <c r="AC907" i="10"/>
  <c r="AC908" i="10"/>
  <c r="AC909" i="10"/>
  <c r="AC910" i="10"/>
  <c r="AC911" i="10"/>
  <c r="AC912" i="10"/>
  <c r="AC913" i="10"/>
  <c r="AC914" i="10"/>
  <c r="AC915" i="10"/>
  <c r="AC916" i="10"/>
  <c r="AC917" i="10"/>
  <c r="AC918" i="10"/>
  <c r="AC919" i="10"/>
  <c r="AC920" i="10"/>
  <c r="AC921" i="10"/>
  <c r="AC922" i="10"/>
  <c r="AC923" i="10"/>
  <c r="AC924" i="10"/>
  <c r="AC925" i="10"/>
  <c r="AC926" i="10"/>
  <c r="AC927" i="10"/>
  <c r="AC928" i="10"/>
  <c r="AC929" i="10"/>
  <c r="AC930" i="10"/>
  <c r="AC931" i="10"/>
  <c r="AC932" i="10"/>
  <c r="AC933" i="10"/>
  <c r="AC934" i="10"/>
  <c r="AC935" i="10"/>
  <c r="AC936" i="10"/>
  <c r="AC937" i="10"/>
  <c r="AC938" i="10"/>
  <c r="AC939" i="10"/>
  <c r="AC940" i="10"/>
  <c r="AC941" i="10"/>
  <c r="AC942" i="10"/>
  <c r="AC943" i="10"/>
  <c r="AC944" i="10"/>
  <c r="AC945" i="10"/>
  <c r="AC946" i="10"/>
  <c r="AC947" i="10"/>
  <c r="AC948" i="10"/>
  <c r="AC949" i="10"/>
  <c r="AC950" i="10"/>
  <c r="AC951" i="10"/>
  <c r="AC952" i="10"/>
  <c r="AC953" i="10"/>
  <c r="AC954" i="10"/>
  <c r="AC955" i="10"/>
  <c r="AC956" i="10"/>
  <c r="AC957" i="10"/>
  <c r="AC958" i="10"/>
  <c r="AC959" i="10"/>
  <c r="AC960" i="10"/>
  <c r="AC961" i="10"/>
  <c r="AC962" i="10"/>
  <c r="AC963" i="10"/>
  <c r="AC964" i="10"/>
  <c r="AC965" i="10"/>
  <c r="AC966" i="10"/>
  <c r="AC967" i="10"/>
  <c r="AC968" i="10"/>
  <c r="AC969" i="10"/>
  <c r="AC970" i="10"/>
  <c r="AC971" i="10"/>
  <c r="AC972" i="10"/>
  <c r="AC973" i="10"/>
  <c r="AC974" i="10"/>
  <c r="AC975" i="10"/>
  <c r="AC976" i="10"/>
  <c r="AC977" i="10"/>
  <c r="AC978" i="10"/>
  <c r="AC979" i="10"/>
  <c r="AC980" i="10"/>
  <c r="AC981" i="10"/>
  <c r="AC982" i="10"/>
  <c r="AC983" i="10"/>
  <c r="AC984" i="10"/>
  <c r="AC985" i="10"/>
  <c r="AC986" i="10"/>
  <c r="AC987" i="10"/>
  <c r="AC988" i="10"/>
  <c r="AC989" i="10"/>
  <c r="AC990" i="10"/>
  <c r="AC991" i="10"/>
  <c r="AC992" i="10"/>
  <c r="AC993" i="10"/>
  <c r="AC994" i="10"/>
  <c r="AC995" i="10"/>
  <c r="AC996" i="10"/>
  <c r="AC997" i="10"/>
  <c r="AC998" i="10"/>
  <c r="AC999" i="10"/>
  <c r="AC1000" i="10"/>
  <c r="AC1001" i="10"/>
  <c r="AC1002" i="10"/>
  <c r="AC1003" i="10"/>
  <c r="AC1004" i="10"/>
  <c r="AC1005" i="10"/>
  <c r="AC1006" i="10"/>
  <c r="AC1007" i="10"/>
  <c r="AC1008" i="10"/>
  <c r="AC1009" i="10"/>
  <c r="AC1010" i="10"/>
  <c r="AC1011" i="10"/>
  <c r="AC1012" i="10"/>
  <c r="AC1013" i="10"/>
  <c r="AC1014" i="10"/>
  <c r="AC1015" i="10"/>
  <c r="AC1016" i="10"/>
  <c r="AC1017" i="10"/>
  <c r="AC1018" i="10"/>
  <c r="AC1019" i="10"/>
  <c r="AC1020" i="10"/>
  <c r="AC1021" i="10"/>
  <c r="AC1022" i="10"/>
  <c r="AC1023" i="10"/>
  <c r="AC1024" i="10"/>
  <c r="AC1025" i="10"/>
  <c r="AC1026" i="10"/>
  <c r="AC1027" i="10"/>
  <c r="AC1028" i="10"/>
  <c r="AC1029" i="10"/>
  <c r="AC1030" i="10"/>
  <c r="AC1031" i="10"/>
  <c r="AC1032" i="10"/>
  <c r="AC1033" i="10"/>
  <c r="AC1034" i="10"/>
  <c r="AC1035" i="10"/>
  <c r="AC1036" i="10"/>
  <c r="AC1037" i="10"/>
  <c r="AC1038" i="10"/>
  <c r="AC1039" i="10"/>
  <c r="AC1040" i="10"/>
  <c r="AC1041" i="10"/>
  <c r="AC1042" i="10"/>
  <c r="AC1043" i="10"/>
  <c r="AC1044" i="10"/>
  <c r="AC1045" i="10"/>
  <c r="AC1046" i="10"/>
  <c r="AC1047" i="10"/>
  <c r="AC1048" i="10"/>
  <c r="AC1049" i="10"/>
  <c r="AC1050" i="10"/>
  <c r="AC1051" i="10"/>
  <c r="AC1052" i="10"/>
  <c r="AC1053" i="10"/>
  <c r="AC1054" i="10"/>
  <c r="AC1055" i="10"/>
  <c r="AC1056" i="10"/>
  <c r="AC1057" i="10"/>
  <c r="AC1058" i="10"/>
  <c r="AC1059" i="10"/>
  <c r="AC1060" i="10"/>
  <c r="AC1061" i="10"/>
  <c r="AC1062" i="10"/>
  <c r="AC1063" i="10"/>
  <c r="AC1064" i="10"/>
  <c r="AC1065" i="10"/>
  <c r="AC1066" i="10"/>
  <c r="AC1067" i="10"/>
  <c r="AC1068" i="10"/>
  <c r="AC1069" i="10"/>
  <c r="AC1070" i="10"/>
  <c r="AC1071" i="10"/>
  <c r="AC1072" i="10"/>
  <c r="AC1073" i="10"/>
  <c r="AC1074" i="10"/>
  <c r="AC1075" i="10"/>
  <c r="AC1076" i="10"/>
  <c r="AC1077" i="10"/>
  <c r="AC1078" i="10"/>
  <c r="AC1079" i="10"/>
  <c r="AC1080" i="10"/>
  <c r="AC1081" i="10"/>
  <c r="AC1082" i="10"/>
  <c r="AC1083" i="10"/>
  <c r="AC1084" i="10"/>
  <c r="AC1085" i="10"/>
  <c r="AC1086" i="10"/>
  <c r="AC1087" i="10"/>
  <c r="AC1088" i="10"/>
  <c r="AC1089" i="10"/>
  <c r="AC1090" i="10"/>
  <c r="AC1091" i="10"/>
  <c r="AC1092" i="10"/>
  <c r="AC1093" i="10"/>
  <c r="AC1094" i="10"/>
  <c r="AC1095" i="10"/>
  <c r="AC1096" i="10"/>
  <c r="AC1097" i="10"/>
  <c r="AC1098" i="10"/>
  <c r="AC1099" i="10"/>
  <c r="AC1100" i="10"/>
  <c r="AC1101" i="10"/>
  <c r="AC1102" i="10"/>
  <c r="AC1103" i="10"/>
  <c r="AC1104" i="10"/>
  <c r="AC1105" i="10"/>
  <c r="AC1106" i="10"/>
  <c r="AC1107" i="10"/>
  <c r="AC1108" i="10"/>
  <c r="AC1109" i="10"/>
  <c r="AC1110" i="10"/>
  <c r="AC1111" i="10"/>
  <c r="AC1112" i="10"/>
  <c r="AC1113" i="10"/>
  <c r="AC1114" i="10"/>
  <c r="AC1115" i="10"/>
  <c r="AC1116" i="10"/>
  <c r="AC1117" i="10"/>
  <c r="AC1118" i="10"/>
  <c r="AC1119" i="10"/>
  <c r="AC1120" i="10"/>
  <c r="AC1121" i="10"/>
  <c r="AC1122" i="10"/>
  <c r="AC1123" i="10"/>
  <c r="AC1124" i="10"/>
  <c r="AC1125" i="10"/>
  <c r="AC1126" i="10"/>
  <c r="AC1127" i="10"/>
  <c r="AC1128" i="10"/>
  <c r="AC1129" i="10"/>
  <c r="AC1130" i="10"/>
  <c r="AC1131" i="10"/>
  <c r="AC1132" i="10"/>
  <c r="AC1133" i="10"/>
  <c r="AC1134" i="10"/>
  <c r="AC1135" i="10"/>
  <c r="AC1136" i="10"/>
  <c r="AC1137" i="10"/>
  <c r="AC1138" i="10"/>
  <c r="AC1139" i="10"/>
  <c r="AC1140" i="10"/>
  <c r="AC1141" i="10"/>
  <c r="AC1142" i="10"/>
  <c r="AC1143" i="10"/>
  <c r="AC1144" i="10"/>
  <c r="AC1145" i="10"/>
  <c r="AC1146" i="10"/>
  <c r="AC1147" i="10"/>
  <c r="AC1148" i="10"/>
  <c r="AC1149" i="10"/>
  <c r="AC1150" i="10"/>
  <c r="AC1151" i="10"/>
  <c r="AC1152" i="10"/>
  <c r="AC1153" i="10"/>
  <c r="AC1154" i="10"/>
  <c r="AC1155" i="10"/>
  <c r="AC1156" i="10"/>
  <c r="AC1157" i="10"/>
  <c r="AC1158" i="10"/>
  <c r="AC1159" i="10"/>
  <c r="AC1160" i="10"/>
  <c r="AC1161" i="10"/>
  <c r="AC1162" i="10"/>
  <c r="AC1163" i="10"/>
  <c r="AC1164" i="10"/>
  <c r="AC1165" i="10"/>
  <c r="AC1166" i="10"/>
  <c r="AC1167" i="10"/>
  <c r="AC1168" i="10"/>
  <c r="AC1169" i="10"/>
  <c r="AC1170" i="10"/>
  <c r="AC1171" i="10"/>
  <c r="AC1172" i="10"/>
  <c r="AC1173" i="10"/>
  <c r="AC1174" i="10"/>
  <c r="AC1175" i="10"/>
  <c r="AC1176" i="10"/>
  <c r="AC1177" i="10"/>
  <c r="AC1178" i="10"/>
  <c r="AC1179" i="10"/>
  <c r="AC1180" i="10"/>
  <c r="AC1181" i="10"/>
  <c r="AC1182" i="10"/>
  <c r="AC1183" i="10"/>
  <c r="AC1184" i="10"/>
  <c r="AC1185" i="10"/>
  <c r="AC1186" i="10"/>
  <c r="AC1187" i="10"/>
  <c r="AC1188" i="10"/>
  <c r="AC1189" i="10"/>
  <c r="AC1190" i="10"/>
  <c r="AC1191" i="10"/>
  <c r="AC1192" i="10"/>
  <c r="AC1193" i="10"/>
  <c r="AC1194" i="10"/>
  <c r="AC1195" i="10"/>
  <c r="AC1196" i="10"/>
  <c r="AC1197" i="10"/>
  <c r="AC1198" i="10"/>
  <c r="AC1199" i="10"/>
  <c r="AC1200" i="10"/>
  <c r="AC1201" i="10"/>
  <c r="AC1202" i="10"/>
  <c r="AC1203" i="10"/>
  <c r="AC1204" i="10"/>
  <c r="AC1205" i="10"/>
  <c r="AC1206" i="10"/>
  <c r="AC1207" i="10"/>
  <c r="AC1208" i="10"/>
  <c r="AC1209" i="10"/>
  <c r="AC1210" i="10"/>
  <c r="AC1211" i="10"/>
  <c r="AC1212" i="10"/>
  <c r="AC1213" i="10"/>
  <c r="AC1214" i="10"/>
  <c r="AC1215" i="10"/>
  <c r="AC1216" i="10"/>
  <c r="AC1217" i="10"/>
  <c r="AC1218" i="10"/>
  <c r="AC1219" i="10"/>
  <c r="AC1220" i="10"/>
  <c r="AC1221" i="10"/>
  <c r="AC1222" i="10"/>
  <c r="AC1223" i="10"/>
  <c r="AC1224" i="10"/>
  <c r="AC1225" i="10"/>
  <c r="AC1226" i="10"/>
  <c r="AC1227" i="10"/>
  <c r="AC1228" i="10"/>
  <c r="AC1229" i="10"/>
  <c r="AC1230" i="10"/>
  <c r="AC1231" i="10"/>
  <c r="AC1232" i="10"/>
  <c r="AC1233" i="10"/>
  <c r="AC1234" i="10"/>
  <c r="AC1235" i="10"/>
  <c r="AC1236" i="10"/>
  <c r="AC1237" i="10"/>
  <c r="AC1238" i="10"/>
  <c r="AC1239" i="10"/>
  <c r="AC1240" i="10"/>
  <c r="AC1241" i="10"/>
  <c r="AC1242" i="10"/>
  <c r="AC1243" i="10"/>
  <c r="AC1244" i="10"/>
  <c r="AC1245" i="10"/>
  <c r="AC1246" i="10"/>
  <c r="AC1247" i="10"/>
  <c r="AC1248" i="10"/>
  <c r="AC1249" i="10"/>
  <c r="AC1250" i="10"/>
  <c r="AC1251" i="10"/>
  <c r="AC1252" i="10"/>
  <c r="AC1253" i="10"/>
  <c r="AC1254" i="10"/>
  <c r="AC1255" i="10"/>
  <c r="AC1256" i="10"/>
  <c r="AC1257" i="10"/>
  <c r="AC1258" i="10"/>
  <c r="AC1259" i="10"/>
  <c r="AC1260" i="10"/>
  <c r="AC1261" i="10"/>
  <c r="AC1262" i="10"/>
  <c r="AC1263" i="10"/>
  <c r="AC1264" i="10"/>
  <c r="AC1265" i="10"/>
  <c r="AC1266" i="10"/>
  <c r="AC1267" i="10"/>
  <c r="AC1268" i="10"/>
  <c r="AC1269" i="10"/>
  <c r="AC1270" i="10"/>
  <c r="AC1271" i="10"/>
  <c r="AC1272" i="10"/>
  <c r="AC1273" i="10"/>
  <c r="AC1274" i="10"/>
  <c r="AC1275" i="10"/>
  <c r="AC1276" i="10"/>
  <c r="AC1277" i="10"/>
  <c r="AC1278" i="10"/>
  <c r="AC1279" i="10"/>
  <c r="AC1280" i="10"/>
  <c r="AC1281" i="10"/>
  <c r="AC1282" i="10"/>
  <c r="AC1283" i="10"/>
  <c r="AC1284" i="10"/>
  <c r="AC1285" i="10"/>
  <c r="AC1286" i="10"/>
  <c r="AC1287" i="10"/>
  <c r="AC1288" i="10"/>
  <c r="AC1289" i="10"/>
  <c r="AC1290" i="10"/>
  <c r="AC1291" i="10"/>
  <c r="AC1292" i="10"/>
  <c r="AC1293" i="10"/>
  <c r="AC1294" i="10"/>
  <c r="AC1295" i="10"/>
  <c r="AC1296" i="10"/>
  <c r="AC1297" i="10"/>
  <c r="AC1298" i="10"/>
  <c r="AC1299" i="10"/>
  <c r="AC1300" i="10"/>
  <c r="AC1301" i="10"/>
  <c r="AC1302" i="10"/>
  <c r="AC1303" i="10"/>
  <c r="AC1304" i="10"/>
  <c r="AC1305" i="10"/>
  <c r="AC1306" i="10"/>
  <c r="AC1307" i="10"/>
  <c r="AC1308" i="10"/>
  <c r="AC1309" i="10"/>
  <c r="AC1310" i="10"/>
  <c r="AC1311" i="10"/>
  <c r="AC1312" i="10"/>
  <c r="AC1313" i="10"/>
  <c r="AC1314" i="10"/>
  <c r="AC1315" i="10"/>
  <c r="AC1316" i="10"/>
  <c r="AC1317" i="10"/>
  <c r="AC1318" i="10"/>
  <c r="AC1319" i="10"/>
  <c r="AC1320" i="10"/>
  <c r="AC1321" i="10"/>
  <c r="AC1322" i="10"/>
  <c r="AC1323" i="10"/>
  <c r="AC1324" i="10"/>
  <c r="AC1325" i="10"/>
  <c r="AC1326" i="10"/>
  <c r="AC1327" i="10"/>
  <c r="AC1328" i="10"/>
  <c r="AC1329" i="10"/>
  <c r="AC1330" i="10"/>
  <c r="AC1331" i="10"/>
  <c r="AC1332" i="10"/>
  <c r="AC1333" i="10"/>
  <c r="AC1334" i="10"/>
  <c r="AC1335" i="10"/>
  <c r="AC1336" i="10"/>
  <c r="AC1337" i="10"/>
  <c r="AC1338" i="10"/>
  <c r="AC1339" i="10"/>
  <c r="AC1340" i="10"/>
  <c r="AC1341" i="10"/>
  <c r="AC1342" i="10"/>
  <c r="AC1343" i="10"/>
  <c r="AC1344" i="10"/>
  <c r="AC1345" i="10"/>
  <c r="AC1346" i="10"/>
  <c r="AC1347" i="10"/>
  <c r="AC1348" i="10"/>
  <c r="AC1349" i="10"/>
  <c r="AC1350" i="10"/>
  <c r="AC1351" i="10"/>
  <c r="AC1352" i="10"/>
  <c r="AC1353" i="10"/>
  <c r="AC1354" i="10"/>
  <c r="AC1355" i="10"/>
  <c r="AC1356" i="10"/>
  <c r="AC1357" i="10"/>
  <c r="AC1358" i="10"/>
  <c r="AC1359" i="10"/>
  <c r="AC1360" i="10"/>
  <c r="AC1361" i="10"/>
  <c r="AC1362" i="10"/>
  <c r="AC1363" i="10"/>
  <c r="AC1364" i="10"/>
  <c r="AC1365" i="10"/>
  <c r="AC1366" i="10"/>
  <c r="AC1367" i="10"/>
  <c r="AC1368" i="10"/>
  <c r="AC1369" i="10"/>
  <c r="AC1370" i="10"/>
  <c r="AC1371" i="10"/>
  <c r="AC1372" i="10"/>
  <c r="AC1373" i="10"/>
  <c r="AC1374" i="10"/>
  <c r="AC1375" i="10"/>
  <c r="AC1376" i="10"/>
  <c r="AC1377" i="10"/>
  <c r="AC1378" i="10"/>
  <c r="AC1379" i="10"/>
  <c r="AC1380" i="10"/>
  <c r="AC1381" i="10"/>
  <c r="AC1382" i="10"/>
  <c r="AC1383" i="10"/>
  <c r="AC1384" i="10"/>
  <c r="AC1385" i="10"/>
  <c r="AC1386" i="10"/>
  <c r="AC1387" i="10"/>
  <c r="AC1388" i="10"/>
  <c r="AC1389" i="10"/>
  <c r="AC1390" i="10"/>
  <c r="AC1391" i="10"/>
  <c r="AC1392" i="10"/>
  <c r="AC1393" i="10"/>
  <c r="AC1394" i="10"/>
  <c r="AC1395" i="10"/>
  <c r="AC1396" i="10"/>
  <c r="AC1397" i="10"/>
  <c r="AC1398" i="10"/>
  <c r="AC1399" i="10"/>
  <c r="AC1400" i="10"/>
  <c r="AC1401" i="10"/>
  <c r="AC1402" i="10"/>
  <c r="AC1403" i="10"/>
  <c r="AC1404" i="10"/>
  <c r="AC1405" i="10"/>
  <c r="AC1406" i="10"/>
  <c r="AC1407" i="10"/>
  <c r="AC1408" i="10"/>
  <c r="AC1409" i="10"/>
  <c r="AC1410" i="10"/>
  <c r="AC1411" i="10"/>
  <c r="AC1412" i="10"/>
  <c r="AC1413" i="10"/>
  <c r="AC1414" i="10"/>
  <c r="AC1415" i="10"/>
  <c r="AC1416" i="10"/>
  <c r="AC1417" i="10"/>
  <c r="AC1418" i="10"/>
  <c r="AC1419" i="10"/>
  <c r="AC1420" i="10"/>
  <c r="AC1421" i="10"/>
  <c r="AC1422" i="10"/>
  <c r="AC1423" i="10"/>
  <c r="AC1424" i="10"/>
  <c r="AC1425" i="10"/>
  <c r="AC1426" i="10"/>
  <c r="AC1427" i="10"/>
  <c r="AC1428" i="10"/>
  <c r="AC1429" i="10"/>
  <c r="AC1430" i="10"/>
  <c r="AC1431" i="10"/>
  <c r="AC1432" i="10"/>
  <c r="AC1433" i="10"/>
  <c r="AC1434" i="10"/>
  <c r="AC1435" i="10"/>
  <c r="AC1436" i="10"/>
  <c r="AC1437" i="10"/>
  <c r="AC1438" i="10"/>
  <c r="AC1439" i="10"/>
  <c r="AC1440" i="10"/>
  <c r="AC1441" i="10"/>
  <c r="AC1442" i="10"/>
  <c r="AC1443" i="10"/>
  <c r="AC1444" i="10"/>
  <c r="AC1445" i="10"/>
  <c r="AC1446" i="10"/>
  <c r="AC1447" i="10"/>
  <c r="AC1448" i="10"/>
  <c r="AC1449" i="10"/>
  <c r="AC1450" i="10"/>
  <c r="AC1451" i="10"/>
  <c r="AC1452" i="10"/>
  <c r="AC1453" i="10"/>
  <c r="AC1454" i="10"/>
  <c r="AC1455" i="10"/>
  <c r="AC1456" i="10"/>
  <c r="AC1457" i="10"/>
  <c r="AC1458" i="10"/>
  <c r="AC1459" i="10"/>
  <c r="AC1460" i="10"/>
  <c r="AC1461" i="10"/>
  <c r="AC1462" i="10"/>
  <c r="AC1463" i="10"/>
  <c r="AC1464" i="10"/>
  <c r="AC1465" i="10"/>
  <c r="AC1466" i="10"/>
  <c r="AC1467" i="10"/>
  <c r="AC1468" i="10"/>
  <c r="AC1469" i="10"/>
  <c r="AC1470" i="10"/>
  <c r="AC1471" i="10"/>
  <c r="AC1472" i="10"/>
  <c r="AC1473" i="10"/>
  <c r="AC1474" i="10"/>
  <c r="AC1475" i="10"/>
  <c r="AC1476" i="10"/>
  <c r="AC1477" i="10"/>
  <c r="AC1478" i="10"/>
  <c r="AC1479" i="10"/>
  <c r="AC1480" i="10"/>
  <c r="AC1481" i="10"/>
  <c r="AC1482" i="10"/>
  <c r="AC1483" i="10"/>
  <c r="AC1484" i="10"/>
  <c r="AC1485" i="10"/>
  <c r="AC1486" i="10"/>
  <c r="AC1487" i="10"/>
  <c r="AC1488" i="10"/>
  <c r="AC1489" i="10"/>
  <c r="AC1490" i="10"/>
  <c r="AC1491" i="10"/>
  <c r="AC1492" i="10"/>
  <c r="AC1493" i="10"/>
  <c r="AC1494" i="10"/>
  <c r="AC1495" i="10"/>
  <c r="AC1496" i="10"/>
  <c r="AC1497" i="10"/>
  <c r="AC1498" i="10"/>
  <c r="AC1499" i="10"/>
  <c r="AC1500" i="10"/>
  <c r="AC1501" i="10"/>
  <c r="AC1502" i="10"/>
  <c r="AC1503" i="10"/>
  <c r="AC1504" i="10"/>
  <c r="AC1505" i="10"/>
  <c r="AC1506" i="10"/>
  <c r="AC1507" i="10"/>
  <c r="AC1508" i="10"/>
  <c r="AC1509" i="10"/>
  <c r="AC1510" i="10"/>
  <c r="AD4" i="10"/>
  <c r="AC4" i="10" s="1"/>
  <c r="AD5" i="10"/>
  <c r="AC5" i="10" s="1"/>
  <c r="AD6" i="10"/>
  <c r="AC6" i="10" s="1"/>
  <c r="AD7" i="10"/>
  <c r="AC7" i="10" s="1"/>
  <c r="AD8" i="10"/>
  <c r="AC8" i="10" s="1"/>
  <c r="AD9" i="10"/>
  <c r="AC9" i="10" s="1"/>
  <c r="AD10" i="10"/>
  <c r="AC10" i="10" s="1"/>
  <c r="AD11" i="10"/>
  <c r="AC11" i="10" s="1"/>
  <c r="AD12" i="10"/>
  <c r="AC12" i="10" s="1"/>
  <c r="AD13" i="10"/>
  <c r="AC13" i="10" s="1"/>
  <c r="AD14" i="10"/>
  <c r="AC14" i="10" s="1"/>
  <c r="AD15" i="10"/>
  <c r="AC15" i="10" s="1"/>
  <c r="AD16" i="10"/>
  <c r="AC16" i="10" s="1"/>
  <c r="AD17" i="10"/>
  <c r="AC17" i="10" s="1"/>
  <c r="AD18" i="10"/>
  <c r="AC18" i="10" s="1"/>
  <c r="AD19" i="10"/>
  <c r="AC19" i="10" s="1"/>
  <c r="AD20" i="10"/>
  <c r="AC20" i="10" s="1"/>
  <c r="AD21" i="10"/>
  <c r="AC21" i="10" s="1"/>
  <c r="AD22" i="10"/>
  <c r="AC22" i="10" s="1"/>
  <c r="AD23" i="10"/>
  <c r="AC23" i="10" s="1"/>
  <c r="AD24" i="10"/>
  <c r="AC24" i="10" s="1"/>
  <c r="AD25" i="10"/>
  <c r="AC25" i="10" s="1"/>
  <c r="AD26" i="10"/>
  <c r="AC26" i="10" s="1"/>
  <c r="AD27" i="10"/>
  <c r="AC27" i="10" s="1"/>
  <c r="AD28" i="10"/>
  <c r="AC28" i="10" s="1"/>
  <c r="AD29" i="10"/>
  <c r="AC29" i="10" s="1"/>
  <c r="AD30" i="10"/>
  <c r="AC30" i="10" s="1"/>
  <c r="AD31" i="10"/>
  <c r="AC31" i="10" s="1"/>
  <c r="AD32" i="10"/>
  <c r="AC32" i="10" s="1"/>
  <c r="AD33" i="10"/>
  <c r="AC33" i="10" s="1"/>
  <c r="AD34" i="10"/>
  <c r="AC34" i="10" s="1"/>
  <c r="AD35" i="10"/>
  <c r="AC35" i="10" s="1"/>
  <c r="AD36" i="10"/>
  <c r="AC36" i="10" s="1"/>
  <c r="AD37" i="10"/>
  <c r="AC37" i="10" s="1"/>
  <c r="AD38" i="10"/>
  <c r="AC38" i="10" s="1"/>
  <c r="AD39" i="10"/>
  <c r="AC39" i="10" s="1"/>
  <c r="AD40" i="10"/>
  <c r="AC40" i="10" s="1"/>
  <c r="AD41" i="10"/>
  <c r="AC41" i="10" s="1"/>
  <c r="AD42" i="10"/>
  <c r="AC42" i="10" s="1"/>
  <c r="AD43" i="10"/>
  <c r="AC43" i="10" s="1"/>
  <c r="AD44" i="10"/>
  <c r="AC44" i="10" s="1"/>
  <c r="AD45" i="10"/>
  <c r="AC45" i="10" s="1"/>
  <c r="AD46" i="10"/>
  <c r="AC46" i="10" s="1"/>
  <c r="AD47" i="10"/>
  <c r="AC47" i="10" s="1"/>
  <c r="AD48" i="10"/>
  <c r="AC48" i="10" s="1"/>
  <c r="AD49" i="10"/>
  <c r="AC49" i="10" s="1"/>
  <c r="AD50" i="10"/>
  <c r="AC50" i="10" s="1"/>
  <c r="AD51" i="10"/>
  <c r="AC51" i="10" s="1"/>
  <c r="AD52" i="10"/>
  <c r="AC52" i="10" s="1"/>
  <c r="AD53" i="10"/>
  <c r="AC53" i="10" s="1"/>
  <c r="AD54" i="10"/>
  <c r="AC54" i="10" s="1"/>
  <c r="AD55" i="10"/>
  <c r="AC55" i="10" s="1"/>
  <c r="AD56" i="10"/>
  <c r="AC56" i="10" s="1"/>
  <c r="AD57" i="10"/>
  <c r="AC57" i="10" s="1"/>
  <c r="AD58" i="10"/>
  <c r="AC58" i="10" s="1"/>
  <c r="AD59" i="10"/>
  <c r="AC59" i="10" s="1"/>
  <c r="AD60" i="10"/>
  <c r="AC60" i="10" s="1"/>
  <c r="AD61" i="10"/>
  <c r="AC61" i="10" s="1"/>
  <c r="AD62" i="10"/>
  <c r="AC62" i="10" s="1"/>
  <c r="AD63" i="10"/>
  <c r="AC63" i="10" s="1"/>
  <c r="AD64" i="10"/>
  <c r="AC64" i="10" s="1"/>
  <c r="AD65" i="10"/>
  <c r="AC65" i="10" s="1"/>
  <c r="AD66" i="10"/>
  <c r="AC66" i="10" s="1"/>
  <c r="AD67" i="10"/>
  <c r="AC67" i="10" s="1"/>
  <c r="AD68" i="10"/>
  <c r="AC68" i="10" s="1"/>
  <c r="AD69" i="10"/>
  <c r="AC69" i="10" s="1"/>
  <c r="AD70" i="10"/>
  <c r="AC70" i="10" s="1"/>
  <c r="AD71" i="10"/>
  <c r="AC71" i="10" s="1"/>
  <c r="AD72" i="10"/>
  <c r="AC72" i="10" s="1"/>
  <c r="AD73" i="10"/>
  <c r="AC73" i="10" s="1"/>
  <c r="AD74" i="10"/>
  <c r="AC74" i="10" s="1"/>
  <c r="AD75" i="10"/>
  <c r="AC75" i="10" s="1"/>
  <c r="AD76" i="10"/>
  <c r="AC76" i="10" s="1"/>
  <c r="AD77" i="10"/>
  <c r="AC77" i="10" s="1"/>
  <c r="AD78" i="10"/>
  <c r="AC78" i="10" s="1"/>
  <c r="AD79" i="10"/>
  <c r="AC79" i="10" s="1"/>
  <c r="AD80" i="10"/>
  <c r="AC80" i="10" s="1"/>
  <c r="AD81" i="10"/>
  <c r="AC81" i="10" s="1"/>
  <c r="AD82" i="10"/>
  <c r="AC82" i="10" s="1"/>
  <c r="AD83" i="10"/>
  <c r="AC83" i="10" s="1"/>
  <c r="AD84" i="10"/>
  <c r="AC84" i="10" s="1"/>
  <c r="AD85" i="10"/>
  <c r="AC85" i="10" s="1"/>
  <c r="AD86" i="10"/>
  <c r="AC86" i="10" s="1"/>
  <c r="AD87" i="10"/>
  <c r="AC87" i="10" s="1"/>
  <c r="AD88" i="10"/>
  <c r="AC88" i="10" s="1"/>
  <c r="AD89" i="10"/>
  <c r="AC89" i="10" s="1"/>
  <c r="AD90" i="10"/>
  <c r="AC90" i="10" s="1"/>
  <c r="AD91" i="10"/>
  <c r="AC91" i="10" s="1"/>
  <c r="AD92" i="10"/>
  <c r="AC92" i="10" s="1"/>
  <c r="AD93" i="10"/>
  <c r="AC93" i="10" s="1"/>
  <c r="AD94" i="10"/>
  <c r="AC94" i="10" s="1"/>
  <c r="AD95" i="10"/>
  <c r="AC95" i="10" s="1"/>
  <c r="AD96" i="10"/>
  <c r="AC96" i="10" s="1"/>
  <c r="AD97" i="10"/>
  <c r="AC97" i="10" s="1"/>
  <c r="AD98" i="10"/>
  <c r="AC98" i="10" s="1"/>
  <c r="AD99" i="10"/>
  <c r="AC99" i="10" s="1"/>
  <c r="AD100" i="10"/>
  <c r="AC100" i="10" s="1"/>
  <c r="AD101" i="10"/>
  <c r="AC101" i="10" s="1"/>
  <c r="AD102" i="10"/>
  <c r="AC102" i="10" s="1"/>
  <c r="AD103" i="10"/>
  <c r="AC103" i="10" s="1"/>
  <c r="AD104" i="10"/>
  <c r="AC104" i="10" s="1"/>
  <c r="AD105" i="10"/>
  <c r="AC105" i="10" s="1"/>
  <c r="AD106" i="10"/>
  <c r="AC106" i="10" s="1"/>
  <c r="AD107" i="10"/>
  <c r="AC107" i="10" s="1"/>
  <c r="AD108" i="10"/>
  <c r="AC108" i="10" s="1"/>
  <c r="AD109" i="10"/>
  <c r="AC109" i="10" s="1"/>
  <c r="AD110" i="10"/>
  <c r="AC110" i="10" s="1"/>
  <c r="AD111" i="10"/>
  <c r="AC111" i="10" s="1"/>
  <c r="AD112" i="10"/>
  <c r="AC112" i="10" s="1"/>
  <c r="AD113" i="10"/>
  <c r="AC113" i="10" s="1"/>
  <c r="AD114" i="10"/>
  <c r="AC114" i="10" s="1"/>
  <c r="AD115" i="10"/>
  <c r="AC115" i="10" s="1"/>
  <c r="AD116" i="10"/>
  <c r="AC116" i="10" s="1"/>
  <c r="AD117" i="10"/>
  <c r="AC117" i="10" s="1"/>
  <c r="AD118" i="10"/>
  <c r="AC118" i="10" s="1"/>
  <c r="AD119" i="10"/>
  <c r="AC119" i="10" s="1"/>
  <c r="AD120" i="10"/>
  <c r="AC120" i="10" s="1"/>
  <c r="AD121" i="10"/>
  <c r="AC121" i="10" s="1"/>
  <c r="AD122" i="10"/>
  <c r="AC122" i="10" s="1"/>
  <c r="AD123" i="10"/>
  <c r="AC123" i="10" s="1"/>
  <c r="AD124" i="10"/>
  <c r="AC124" i="10" s="1"/>
  <c r="AD125" i="10"/>
  <c r="AC125" i="10" s="1"/>
  <c r="AD126" i="10"/>
  <c r="AC126" i="10" s="1"/>
  <c r="AD127" i="10"/>
  <c r="AC127" i="10" s="1"/>
  <c r="AD128" i="10"/>
  <c r="AC128" i="10" s="1"/>
  <c r="AD129" i="10"/>
  <c r="AC129" i="10" s="1"/>
  <c r="AD130" i="10"/>
  <c r="AC130" i="10" s="1"/>
  <c r="AD131" i="10"/>
  <c r="AC131" i="10" s="1"/>
  <c r="AD132" i="10"/>
  <c r="AC132" i="10" s="1"/>
  <c r="AD133" i="10"/>
  <c r="AC133" i="10" s="1"/>
  <c r="AD134" i="10"/>
  <c r="AC134" i="10" s="1"/>
  <c r="AD135" i="10"/>
  <c r="AC135" i="10" s="1"/>
  <c r="AD136" i="10"/>
  <c r="AC136" i="10" s="1"/>
  <c r="AD137" i="10"/>
  <c r="AC137" i="10" s="1"/>
  <c r="AD138" i="10"/>
  <c r="AC138" i="10" s="1"/>
  <c r="AD139" i="10"/>
  <c r="AC139" i="10" s="1"/>
  <c r="AD140" i="10"/>
  <c r="AC140" i="10" s="1"/>
  <c r="AD141" i="10"/>
  <c r="AC141" i="10" s="1"/>
  <c r="AD142" i="10"/>
  <c r="AC142" i="10" s="1"/>
  <c r="AD143" i="10"/>
  <c r="AC143" i="10" s="1"/>
  <c r="AD144" i="10"/>
  <c r="AC144" i="10" s="1"/>
  <c r="AD145" i="10"/>
  <c r="AC145" i="10" s="1"/>
  <c r="AD146" i="10"/>
  <c r="AC146" i="10" s="1"/>
  <c r="AD147" i="10"/>
  <c r="AC147" i="10" s="1"/>
  <c r="AD148" i="10"/>
  <c r="AC148" i="10" s="1"/>
  <c r="AD149" i="10"/>
  <c r="AC149" i="10" s="1"/>
  <c r="AD150" i="10"/>
  <c r="AC150" i="10" s="1"/>
  <c r="AD151" i="10"/>
  <c r="AC151" i="10" s="1"/>
  <c r="AD152" i="10"/>
  <c r="AC152" i="10" s="1"/>
  <c r="AD153" i="10"/>
  <c r="AC153" i="10" s="1"/>
  <c r="AD154" i="10"/>
  <c r="AC154" i="10" s="1"/>
  <c r="AD155" i="10"/>
  <c r="AC155" i="10" s="1"/>
  <c r="AD156" i="10"/>
  <c r="AC156" i="10" s="1"/>
  <c r="AD157" i="10"/>
  <c r="AC157" i="10" s="1"/>
  <c r="AD158" i="10"/>
  <c r="AC158" i="10" s="1"/>
  <c r="AD159" i="10"/>
  <c r="AC159" i="10" s="1"/>
  <c r="AD160" i="10"/>
  <c r="AC160" i="10" s="1"/>
  <c r="AD161" i="10"/>
  <c r="AC161" i="10" s="1"/>
  <c r="AD162" i="10"/>
  <c r="AC162" i="10" s="1"/>
  <c r="AD163" i="10"/>
  <c r="AC163" i="10" s="1"/>
  <c r="AD164" i="10"/>
  <c r="AC164" i="10" s="1"/>
  <c r="AD165" i="10"/>
  <c r="AC165" i="10" s="1"/>
  <c r="AD166" i="10"/>
  <c r="AC166" i="10" s="1"/>
  <c r="AD167" i="10"/>
  <c r="AC167" i="10" s="1"/>
  <c r="AD168" i="10"/>
  <c r="AC168" i="10" s="1"/>
  <c r="AD169" i="10"/>
  <c r="AC169" i="10" s="1"/>
  <c r="AD170" i="10"/>
  <c r="AC170" i="10" s="1"/>
  <c r="AD171" i="10"/>
  <c r="AC171" i="10" s="1"/>
  <c r="AD172" i="10"/>
  <c r="AC172" i="10" s="1"/>
  <c r="AD173" i="10"/>
  <c r="AC173" i="10" s="1"/>
  <c r="AD174" i="10"/>
  <c r="AC174" i="10" s="1"/>
  <c r="AD175" i="10"/>
  <c r="AC175" i="10" s="1"/>
  <c r="AD176" i="10"/>
  <c r="AC176" i="10" s="1"/>
  <c r="AD177" i="10"/>
  <c r="AC177" i="10" s="1"/>
  <c r="AD178" i="10"/>
  <c r="AC178" i="10" s="1"/>
  <c r="AD179" i="10"/>
  <c r="AC179" i="10" s="1"/>
  <c r="AD180" i="10"/>
  <c r="AC180" i="10" s="1"/>
  <c r="AD181" i="10"/>
  <c r="AC181" i="10" s="1"/>
  <c r="AD182" i="10"/>
  <c r="AC182" i="10" s="1"/>
  <c r="AD183" i="10"/>
  <c r="AC183" i="10" s="1"/>
  <c r="AD184" i="10"/>
  <c r="AC184" i="10" s="1"/>
  <c r="AD185" i="10"/>
  <c r="AC185" i="10" s="1"/>
  <c r="AD186" i="10"/>
  <c r="AC186" i="10" s="1"/>
  <c r="AD187" i="10"/>
  <c r="AC187" i="10" s="1"/>
  <c r="AD188" i="10"/>
  <c r="AC188" i="10" s="1"/>
  <c r="AD189" i="10"/>
  <c r="AC189" i="10" s="1"/>
  <c r="AD190" i="10"/>
  <c r="AC190" i="10" s="1"/>
  <c r="AD191" i="10"/>
  <c r="AC191" i="10" s="1"/>
  <c r="AD192" i="10"/>
  <c r="AC192" i="10" s="1"/>
  <c r="AD193" i="10"/>
  <c r="AC193" i="10" s="1"/>
  <c r="AD194" i="10"/>
  <c r="AC194" i="10" s="1"/>
  <c r="AD195" i="10"/>
  <c r="AC195" i="10" s="1"/>
  <c r="AD196" i="10"/>
  <c r="AC196" i="10" s="1"/>
  <c r="AD197" i="10"/>
  <c r="AC197" i="10" s="1"/>
  <c r="AD198" i="10"/>
  <c r="AC198" i="10" s="1"/>
  <c r="AD199" i="10"/>
  <c r="AC199" i="10" s="1"/>
  <c r="AD200" i="10"/>
  <c r="AC200" i="10" s="1"/>
  <c r="AD201" i="10"/>
  <c r="AC201" i="10" s="1"/>
  <c r="AD202" i="10"/>
  <c r="AC202" i="10" s="1"/>
  <c r="AD203" i="10"/>
  <c r="AC203" i="10" s="1"/>
  <c r="AD204" i="10"/>
  <c r="AC204" i="10" s="1"/>
  <c r="AD205" i="10"/>
  <c r="AC205" i="10" s="1"/>
  <c r="AD206" i="10"/>
  <c r="AC206" i="10" s="1"/>
  <c r="AD207" i="10"/>
  <c r="AC207" i="10" s="1"/>
  <c r="AD208" i="10"/>
  <c r="AC208" i="10" s="1"/>
  <c r="AD209" i="10"/>
  <c r="AC209" i="10" s="1"/>
  <c r="AD210" i="10"/>
  <c r="AC210" i="10" s="1"/>
  <c r="AD211" i="10"/>
  <c r="AC211" i="10" s="1"/>
  <c r="AD212" i="10"/>
  <c r="AC212" i="10" s="1"/>
  <c r="AD213" i="10"/>
  <c r="AC213" i="10" s="1"/>
  <c r="AD214" i="10"/>
  <c r="AC214" i="10" s="1"/>
  <c r="AD215" i="10"/>
  <c r="AC215" i="10" s="1"/>
  <c r="AD216" i="10"/>
  <c r="AC216" i="10" s="1"/>
  <c r="AD217" i="10"/>
  <c r="AC217" i="10" s="1"/>
  <c r="AD218" i="10"/>
  <c r="AC218" i="10" s="1"/>
  <c r="AD219" i="10"/>
  <c r="AC219" i="10" s="1"/>
  <c r="AD220" i="10"/>
  <c r="AC220" i="10" s="1"/>
  <c r="AD221" i="10"/>
  <c r="AC221" i="10" s="1"/>
  <c r="AD222" i="10"/>
  <c r="AC222" i="10" s="1"/>
  <c r="AD223" i="10"/>
  <c r="AC223" i="10" s="1"/>
  <c r="AD224" i="10"/>
  <c r="AC224" i="10" s="1"/>
  <c r="AD225" i="10"/>
  <c r="AC225" i="10" s="1"/>
  <c r="AD226" i="10"/>
  <c r="AC226" i="10" s="1"/>
  <c r="AD227" i="10"/>
  <c r="AC227" i="10" s="1"/>
  <c r="AD228" i="10"/>
  <c r="AC228" i="10" s="1"/>
  <c r="AD229" i="10"/>
  <c r="AC229" i="10" s="1"/>
  <c r="AD230" i="10"/>
  <c r="AC230" i="10" s="1"/>
  <c r="AD231" i="10"/>
  <c r="AC231" i="10" s="1"/>
  <c r="AD232" i="10"/>
  <c r="AC232" i="10" s="1"/>
  <c r="AD233" i="10"/>
  <c r="AC233" i="10" s="1"/>
  <c r="AD234" i="10"/>
  <c r="AC234" i="10" s="1"/>
  <c r="AD235" i="10"/>
  <c r="AC235" i="10" s="1"/>
  <c r="AD236" i="10"/>
  <c r="AC236" i="10" s="1"/>
  <c r="AD237" i="10"/>
  <c r="AC237" i="10" s="1"/>
  <c r="AD238" i="10"/>
  <c r="AC238" i="10" s="1"/>
  <c r="AD239" i="10"/>
  <c r="AC239" i="10" s="1"/>
  <c r="AD240" i="10"/>
  <c r="AC240" i="10" s="1"/>
  <c r="AD241" i="10"/>
  <c r="AC241" i="10" s="1"/>
  <c r="AD242" i="10"/>
  <c r="AC242" i="10" s="1"/>
  <c r="AD243" i="10"/>
  <c r="AC243" i="10" s="1"/>
  <c r="AD244" i="10"/>
  <c r="AC244" i="10" s="1"/>
  <c r="AD245" i="10"/>
  <c r="AC245" i="10" s="1"/>
  <c r="AD246" i="10"/>
  <c r="AC246" i="10" s="1"/>
  <c r="AD247" i="10"/>
  <c r="AC247" i="10" s="1"/>
  <c r="AD248" i="10"/>
  <c r="AC248" i="10" s="1"/>
  <c r="AD249" i="10"/>
  <c r="AC249" i="10" s="1"/>
  <c r="AD250" i="10"/>
  <c r="AC250" i="10" s="1"/>
  <c r="AD251" i="10"/>
  <c r="AC251" i="10" s="1"/>
  <c r="AD252" i="10"/>
  <c r="AC252" i="10" s="1"/>
  <c r="AD253" i="10"/>
  <c r="AC253" i="10" s="1"/>
  <c r="AD254" i="10"/>
  <c r="AC254" i="10" s="1"/>
  <c r="AD255" i="10"/>
  <c r="AC255" i="10" s="1"/>
  <c r="AD256" i="10"/>
  <c r="AC256" i="10" s="1"/>
  <c r="AD257" i="10"/>
  <c r="AC257" i="10" s="1"/>
  <c r="AD258" i="10"/>
  <c r="AC258" i="10" s="1"/>
  <c r="AD259" i="10"/>
  <c r="AC259" i="10" s="1"/>
  <c r="AD260" i="10"/>
  <c r="AC260" i="10" s="1"/>
  <c r="AD261" i="10"/>
  <c r="AC261" i="10" s="1"/>
  <c r="AD262" i="10"/>
  <c r="AC262" i="10" s="1"/>
  <c r="AD263" i="10"/>
  <c r="AC263" i="10" s="1"/>
  <c r="AD264" i="10"/>
  <c r="AC264" i="10" s="1"/>
  <c r="AD265" i="10"/>
  <c r="AC265" i="10" s="1"/>
  <c r="AD266" i="10"/>
  <c r="AC266" i="10" s="1"/>
  <c r="AD267" i="10"/>
  <c r="AC267" i="10" s="1"/>
  <c r="AD268" i="10"/>
  <c r="AC268" i="10" s="1"/>
  <c r="AD269" i="10"/>
  <c r="AC269" i="10" s="1"/>
  <c r="AD270" i="10"/>
  <c r="AC270" i="10" s="1"/>
  <c r="AD271" i="10"/>
  <c r="AC271" i="10" s="1"/>
  <c r="AD272" i="10"/>
  <c r="AC272" i="10" s="1"/>
  <c r="AD273" i="10"/>
  <c r="AC273" i="10" s="1"/>
  <c r="AD274" i="10"/>
  <c r="AC274" i="10" s="1"/>
  <c r="AD275" i="10"/>
  <c r="AC275" i="10" s="1"/>
  <c r="AD276" i="10"/>
  <c r="AC276" i="10" s="1"/>
  <c r="AD277" i="10"/>
  <c r="AC277" i="10" s="1"/>
  <c r="AD278" i="10"/>
  <c r="AC278" i="10" s="1"/>
  <c r="AD279" i="10"/>
  <c r="AC279" i="10" s="1"/>
  <c r="AD280" i="10"/>
  <c r="AC280" i="10" s="1"/>
  <c r="AD281" i="10"/>
  <c r="AC281" i="10" s="1"/>
  <c r="AD282" i="10"/>
  <c r="AC282" i="10" s="1"/>
  <c r="AD283" i="10"/>
  <c r="AC283" i="10" s="1"/>
  <c r="AD284" i="10"/>
  <c r="AC284" i="10" s="1"/>
  <c r="AD285" i="10"/>
  <c r="AC285" i="10" s="1"/>
  <c r="AD286" i="10"/>
  <c r="AC286" i="10" s="1"/>
  <c r="AD287" i="10"/>
  <c r="AC287" i="10" s="1"/>
  <c r="AD288" i="10"/>
  <c r="AC288" i="10" s="1"/>
  <c r="AD289" i="10"/>
  <c r="AC289" i="10" s="1"/>
  <c r="AD290" i="10"/>
  <c r="AC290" i="10" s="1"/>
  <c r="AD291" i="10"/>
  <c r="AC291" i="10" s="1"/>
  <c r="AD292" i="10"/>
  <c r="AC292" i="10" s="1"/>
  <c r="AD293" i="10"/>
  <c r="AC293" i="10" s="1"/>
  <c r="AD294" i="10"/>
  <c r="AC294" i="10" s="1"/>
  <c r="AD295" i="10"/>
  <c r="AC295" i="10" s="1"/>
  <c r="AD296" i="10"/>
  <c r="AC296" i="10" s="1"/>
  <c r="AD297" i="10"/>
  <c r="AC297" i="10" s="1"/>
  <c r="AD298" i="10"/>
  <c r="AC298" i="10" s="1"/>
  <c r="AD299" i="10"/>
  <c r="AC299" i="10" s="1"/>
  <c r="AD300" i="10"/>
  <c r="AC300" i="10" s="1"/>
  <c r="AD301" i="10"/>
  <c r="AC301" i="10" s="1"/>
  <c r="AD302" i="10"/>
  <c r="AC302" i="10" s="1"/>
  <c r="AD303" i="10"/>
  <c r="AC303" i="10" s="1"/>
  <c r="AD304" i="10"/>
  <c r="AC304" i="10" s="1"/>
  <c r="AD305" i="10"/>
  <c r="AC305" i="10" s="1"/>
  <c r="AD306" i="10"/>
  <c r="AC306" i="10" s="1"/>
  <c r="AD307" i="10"/>
  <c r="AC307" i="10" s="1"/>
  <c r="AD308" i="10"/>
  <c r="AC308" i="10" s="1"/>
  <c r="AD309" i="10"/>
  <c r="AC309" i="10" s="1"/>
  <c r="AD310" i="10"/>
  <c r="AC310" i="10" s="1"/>
  <c r="AD311" i="10"/>
  <c r="AC311" i="10" s="1"/>
  <c r="AD312" i="10"/>
  <c r="AC312" i="10" s="1"/>
  <c r="AD313" i="10"/>
  <c r="AC313" i="10" s="1"/>
  <c r="AD314" i="10"/>
  <c r="AC314" i="10" s="1"/>
  <c r="AD315" i="10"/>
  <c r="AC315" i="10" s="1"/>
  <c r="AD316" i="10"/>
  <c r="AC316" i="10" s="1"/>
  <c r="AD317" i="10"/>
  <c r="AC317" i="10" s="1"/>
  <c r="AD318" i="10"/>
  <c r="AC318" i="10" s="1"/>
  <c r="AD319" i="10"/>
  <c r="AC319" i="10" s="1"/>
  <c r="AD320" i="10"/>
  <c r="AC320" i="10" s="1"/>
  <c r="AD321" i="10"/>
  <c r="AC321" i="10" s="1"/>
  <c r="AD322" i="10"/>
  <c r="AC322" i="10" s="1"/>
  <c r="AD323" i="10"/>
  <c r="AC323" i="10" s="1"/>
  <c r="AD324" i="10"/>
  <c r="AC324" i="10" s="1"/>
  <c r="AD325" i="10"/>
  <c r="AC325" i="10" s="1"/>
  <c r="AD326" i="10"/>
  <c r="AC326" i="10" s="1"/>
  <c r="AD327" i="10"/>
  <c r="AC327" i="10" s="1"/>
  <c r="AD328" i="10"/>
  <c r="AC328" i="10" s="1"/>
  <c r="AD329" i="10"/>
  <c r="AC329" i="10" s="1"/>
  <c r="AD330" i="10"/>
  <c r="AC330" i="10" s="1"/>
  <c r="AD331" i="10"/>
  <c r="AC331" i="10" s="1"/>
  <c r="AD332" i="10"/>
  <c r="AC332" i="10" s="1"/>
  <c r="AD333" i="10"/>
  <c r="AC333" i="10" s="1"/>
  <c r="AD334" i="10"/>
  <c r="AC334" i="10" s="1"/>
  <c r="AD335" i="10"/>
  <c r="AC335" i="10" s="1"/>
  <c r="AD336" i="10"/>
  <c r="AC336" i="10" s="1"/>
  <c r="AD337" i="10"/>
  <c r="AC337" i="10" s="1"/>
  <c r="AD338" i="10"/>
  <c r="AC338" i="10" s="1"/>
  <c r="AD339" i="10"/>
  <c r="AC339" i="10" s="1"/>
  <c r="AD340" i="10"/>
  <c r="AC340" i="10" s="1"/>
  <c r="AD341" i="10"/>
  <c r="AC341" i="10" s="1"/>
  <c r="AD342" i="10"/>
  <c r="AC342" i="10" s="1"/>
  <c r="AD343" i="10"/>
  <c r="AC343" i="10" s="1"/>
  <c r="AD344" i="10"/>
  <c r="AC344" i="10" s="1"/>
  <c r="AD345" i="10"/>
  <c r="AC345" i="10" s="1"/>
  <c r="AD346" i="10"/>
  <c r="AC346" i="10" s="1"/>
  <c r="AD347" i="10"/>
  <c r="AC347" i="10" s="1"/>
  <c r="AD348" i="10"/>
  <c r="AC348" i="10" s="1"/>
  <c r="AD349" i="10"/>
  <c r="AC349" i="10" s="1"/>
  <c r="AD350" i="10"/>
  <c r="AC350" i="10" s="1"/>
  <c r="AD351" i="10"/>
  <c r="AC351" i="10" s="1"/>
  <c r="AD352" i="10"/>
  <c r="AC352" i="10" s="1"/>
  <c r="AD353" i="10"/>
  <c r="AC353" i="10" s="1"/>
  <c r="AD354" i="10"/>
  <c r="AC354" i="10" s="1"/>
  <c r="AD355" i="10"/>
  <c r="AC355" i="10" s="1"/>
  <c r="AD356" i="10"/>
  <c r="AC356" i="10" s="1"/>
  <c r="AD357" i="10"/>
  <c r="AC357" i="10" s="1"/>
  <c r="AD358" i="10"/>
  <c r="AC358" i="10" s="1"/>
  <c r="AD359" i="10"/>
  <c r="AC359" i="10" s="1"/>
  <c r="AD360" i="10"/>
  <c r="AC360" i="10" s="1"/>
  <c r="AD361" i="10"/>
  <c r="AC361" i="10" s="1"/>
  <c r="AD362" i="10"/>
  <c r="AC362" i="10" s="1"/>
  <c r="AD363" i="10"/>
  <c r="AC363" i="10" s="1"/>
  <c r="AD364" i="10"/>
  <c r="AC364" i="10" s="1"/>
  <c r="AD365" i="10"/>
  <c r="AC365" i="10" s="1"/>
  <c r="AD366" i="10"/>
  <c r="AC366" i="10" s="1"/>
  <c r="AD367" i="10"/>
  <c r="AC367" i="10" s="1"/>
  <c r="AD368" i="10"/>
  <c r="AC368" i="10" s="1"/>
  <c r="AD369" i="10"/>
  <c r="AC369" i="10" s="1"/>
  <c r="AD370" i="10"/>
  <c r="AC370" i="10" s="1"/>
  <c r="AD371" i="10"/>
  <c r="AC371" i="10" s="1"/>
  <c r="AD372" i="10"/>
  <c r="AC372" i="10" s="1"/>
  <c r="AD373" i="10"/>
  <c r="AC373" i="10" s="1"/>
  <c r="AD374" i="10"/>
  <c r="AC374" i="10" s="1"/>
  <c r="AD375" i="10"/>
  <c r="AC375" i="10" s="1"/>
  <c r="AD376" i="10"/>
  <c r="AC376" i="10" s="1"/>
  <c r="AD377" i="10"/>
  <c r="AC377" i="10" s="1"/>
  <c r="AD378" i="10"/>
  <c r="AC378" i="10" s="1"/>
  <c r="AD379" i="10"/>
  <c r="AC379" i="10" s="1"/>
  <c r="AD380" i="10"/>
  <c r="AC380" i="10" s="1"/>
  <c r="AD381" i="10"/>
  <c r="AC381" i="10" s="1"/>
  <c r="AD382" i="10"/>
  <c r="AC382" i="10" s="1"/>
  <c r="AD383" i="10"/>
  <c r="AC383" i="10" s="1"/>
  <c r="AD384" i="10"/>
  <c r="AC384" i="10" s="1"/>
  <c r="AD385" i="10"/>
  <c r="AC385" i="10" s="1"/>
  <c r="AD386" i="10"/>
  <c r="AC386" i="10" s="1"/>
  <c r="AD387" i="10"/>
  <c r="AC387" i="10" s="1"/>
  <c r="AD388" i="10"/>
  <c r="AC388" i="10" s="1"/>
  <c r="AD389" i="10"/>
  <c r="AC389" i="10" s="1"/>
  <c r="AD390" i="10"/>
  <c r="AC390" i="10" s="1"/>
  <c r="AD391" i="10"/>
  <c r="AC391" i="10" s="1"/>
  <c r="AD392" i="10"/>
  <c r="AC392" i="10" s="1"/>
  <c r="AD393" i="10"/>
  <c r="AC393" i="10" s="1"/>
  <c r="AD394" i="10"/>
  <c r="AC394" i="10" s="1"/>
  <c r="AD395" i="10"/>
  <c r="AC395" i="10" s="1"/>
  <c r="AD396" i="10"/>
  <c r="AC396" i="10" s="1"/>
  <c r="AD397" i="10"/>
  <c r="AC397" i="10" s="1"/>
  <c r="AD398" i="10"/>
  <c r="AC398" i="10" s="1"/>
  <c r="AD399" i="10"/>
  <c r="AC399" i="10" s="1"/>
  <c r="AD400" i="10"/>
  <c r="AC400" i="10" s="1"/>
  <c r="AD401" i="10"/>
  <c r="AC401" i="10" s="1"/>
  <c r="AD402" i="10"/>
  <c r="AC402" i="10" s="1"/>
  <c r="AD403" i="10"/>
  <c r="AC403" i="10" s="1"/>
  <c r="AD404" i="10"/>
  <c r="AC404" i="10" s="1"/>
  <c r="AD405" i="10"/>
  <c r="AC405" i="10" s="1"/>
  <c r="AD406" i="10"/>
  <c r="AC406" i="10" s="1"/>
  <c r="AD407" i="10"/>
  <c r="AC407" i="10" s="1"/>
  <c r="AD408" i="10"/>
  <c r="AC408" i="10" s="1"/>
  <c r="AD409" i="10"/>
  <c r="AC409" i="10" s="1"/>
  <c r="AD410" i="10"/>
  <c r="AC410" i="10" s="1"/>
  <c r="AD411" i="10"/>
  <c r="AC411" i="10" s="1"/>
  <c r="AD412" i="10"/>
  <c r="AC412" i="10" s="1"/>
  <c r="AD413" i="10"/>
  <c r="AC413" i="10" s="1"/>
  <c r="AD414" i="10"/>
  <c r="AC414" i="10" s="1"/>
  <c r="AD415" i="10"/>
  <c r="AC415" i="10" s="1"/>
  <c r="AD416" i="10"/>
  <c r="AC416" i="10" s="1"/>
  <c r="AD417" i="10"/>
  <c r="AC417" i="10" s="1"/>
  <c r="AD418" i="10"/>
  <c r="AC418" i="10" s="1"/>
  <c r="AD419" i="10"/>
  <c r="AC419" i="10" s="1"/>
  <c r="AD420" i="10"/>
  <c r="AC420" i="10" s="1"/>
  <c r="AD421" i="10"/>
  <c r="AC421" i="10" s="1"/>
  <c r="AD422" i="10"/>
  <c r="AC422" i="10" s="1"/>
  <c r="AD423" i="10"/>
  <c r="AC423" i="10" s="1"/>
  <c r="AD424" i="10"/>
  <c r="AC424" i="10" s="1"/>
  <c r="AD425" i="10"/>
  <c r="AC425" i="10" s="1"/>
  <c r="AD426" i="10"/>
  <c r="AC426" i="10" s="1"/>
  <c r="AD427" i="10"/>
  <c r="AC427" i="10" s="1"/>
  <c r="AD428" i="10"/>
  <c r="AC428" i="10" s="1"/>
  <c r="AD429" i="10"/>
  <c r="AC429" i="10" s="1"/>
  <c r="AD430" i="10"/>
  <c r="AC430" i="10" s="1"/>
  <c r="AD431" i="10"/>
  <c r="AC431" i="10" s="1"/>
  <c r="AD432" i="10"/>
  <c r="AC432" i="10" s="1"/>
  <c r="AD433" i="10"/>
  <c r="AC433" i="10" s="1"/>
  <c r="AD434" i="10"/>
  <c r="AC434" i="10" s="1"/>
  <c r="AD435" i="10"/>
  <c r="AC435" i="10" s="1"/>
  <c r="AD436" i="10"/>
  <c r="AC436" i="10" s="1"/>
  <c r="AD437" i="10"/>
  <c r="AC437" i="10" s="1"/>
  <c r="AD438" i="10"/>
  <c r="AC438" i="10" s="1"/>
  <c r="AD439" i="10"/>
  <c r="AC439" i="10" s="1"/>
  <c r="AD440" i="10"/>
  <c r="AC440" i="10" s="1"/>
  <c r="AD441" i="10"/>
  <c r="AC441" i="10" s="1"/>
  <c r="AD442" i="10"/>
  <c r="AC442" i="10" s="1"/>
  <c r="AD443" i="10"/>
  <c r="AC443" i="10" s="1"/>
  <c r="AD444" i="10"/>
  <c r="AC444" i="10" s="1"/>
  <c r="AD445" i="10"/>
  <c r="AC445" i="10" s="1"/>
  <c r="AD446" i="10"/>
  <c r="AC446" i="10" s="1"/>
  <c r="AD447" i="10"/>
  <c r="AC447" i="10" s="1"/>
  <c r="AD448" i="10"/>
  <c r="AC448" i="10" s="1"/>
  <c r="AD449" i="10"/>
  <c r="AC449" i="10" s="1"/>
  <c r="AD450" i="10"/>
  <c r="AC450" i="10" s="1"/>
  <c r="AD451" i="10"/>
  <c r="AC451" i="10" s="1"/>
  <c r="AD452" i="10"/>
  <c r="AC452" i="10" s="1"/>
  <c r="AD453" i="10"/>
  <c r="AC453" i="10" s="1"/>
  <c r="AD454" i="10"/>
  <c r="AC454" i="10" s="1"/>
  <c r="AD455" i="10"/>
  <c r="AC455" i="10" s="1"/>
  <c r="AD456" i="10"/>
  <c r="AC456" i="10" s="1"/>
  <c r="AD457" i="10"/>
  <c r="AC457" i="10" s="1"/>
  <c r="AD458" i="10"/>
  <c r="AC458" i="10" s="1"/>
  <c r="AD459" i="10"/>
  <c r="AC459" i="10" s="1"/>
  <c r="AD460" i="10"/>
  <c r="AC460" i="10" s="1"/>
  <c r="AD461" i="10"/>
  <c r="AC461" i="10" s="1"/>
  <c r="AD462" i="10"/>
  <c r="AC462" i="10" s="1"/>
  <c r="AD463" i="10"/>
  <c r="AC463" i="10" s="1"/>
  <c r="AD464" i="10"/>
  <c r="AC464" i="10" s="1"/>
  <c r="AD465" i="10"/>
  <c r="AC465" i="10" s="1"/>
  <c r="AD466" i="10"/>
  <c r="AC466" i="10" s="1"/>
  <c r="AD467" i="10"/>
  <c r="AC467" i="10" s="1"/>
  <c r="AD468" i="10"/>
  <c r="AC468" i="10" s="1"/>
  <c r="AD469" i="10"/>
  <c r="AC469" i="10" s="1"/>
  <c r="AD470" i="10"/>
  <c r="AC470" i="10" s="1"/>
  <c r="AD471" i="10"/>
  <c r="AC471" i="10" s="1"/>
  <c r="AD472" i="10"/>
  <c r="AC472" i="10" s="1"/>
  <c r="AD473" i="10"/>
  <c r="AC473" i="10" s="1"/>
  <c r="AD474" i="10"/>
  <c r="AC474" i="10" s="1"/>
  <c r="AD475" i="10"/>
  <c r="AC475" i="10" s="1"/>
  <c r="AD476" i="10"/>
  <c r="AC476" i="10" s="1"/>
  <c r="AD477" i="10"/>
  <c r="AC477" i="10" s="1"/>
  <c r="AD478" i="10"/>
  <c r="AC478" i="10" s="1"/>
  <c r="AD479" i="10"/>
  <c r="AC479" i="10" s="1"/>
  <c r="AD480" i="10"/>
  <c r="AC480" i="10" s="1"/>
  <c r="AD481" i="10"/>
  <c r="AC481" i="10" s="1"/>
  <c r="AD482" i="10"/>
  <c r="AC482" i="10" s="1"/>
  <c r="AD483" i="10"/>
  <c r="AC483" i="10" s="1"/>
  <c r="AD484" i="10"/>
  <c r="AC484" i="10" s="1"/>
  <c r="AD485" i="10"/>
  <c r="AC485" i="10" s="1"/>
  <c r="AD486" i="10"/>
  <c r="AC486" i="10" s="1"/>
  <c r="AD487" i="10"/>
  <c r="AC487" i="10" s="1"/>
  <c r="AD488" i="10"/>
  <c r="AC488" i="10" s="1"/>
  <c r="AD489" i="10"/>
  <c r="AC489" i="10" s="1"/>
  <c r="AD490" i="10"/>
  <c r="AC490" i="10" s="1"/>
  <c r="AD491" i="10"/>
  <c r="AC491" i="10" s="1"/>
  <c r="AD492" i="10"/>
  <c r="AC492" i="10" s="1"/>
  <c r="AD493" i="10"/>
  <c r="AC493" i="10" s="1"/>
  <c r="AD494" i="10"/>
  <c r="AC494" i="10" s="1"/>
  <c r="AD495" i="10"/>
  <c r="AC495" i="10" s="1"/>
  <c r="AD496" i="10"/>
  <c r="AC496" i="10" s="1"/>
  <c r="AD497" i="10"/>
  <c r="AC497" i="10" s="1"/>
  <c r="AD498" i="10"/>
  <c r="AC498" i="10" s="1"/>
  <c r="AD499" i="10"/>
  <c r="AC499" i="10" s="1"/>
  <c r="AD500" i="10"/>
  <c r="AC500" i="10" s="1"/>
  <c r="AD501" i="10"/>
  <c r="AC501" i="10" s="1"/>
  <c r="AD502" i="10"/>
  <c r="AC502" i="10" s="1"/>
  <c r="AD503" i="10"/>
  <c r="AC503" i="10" s="1"/>
  <c r="AD504" i="10"/>
  <c r="AC504" i="10" s="1"/>
  <c r="AD505" i="10"/>
  <c r="AC505" i="10" s="1"/>
  <c r="AD506" i="10"/>
  <c r="AC506" i="10" s="1"/>
  <c r="AD507" i="10"/>
  <c r="AC507" i="10" s="1"/>
  <c r="AD508" i="10"/>
  <c r="AC508" i="10" s="1"/>
  <c r="AD509" i="10"/>
  <c r="AC509" i="10" s="1"/>
  <c r="AD510" i="10"/>
  <c r="AC510" i="10" s="1"/>
  <c r="AD511" i="10"/>
  <c r="AC511" i="10" s="1"/>
  <c r="AD512" i="10"/>
  <c r="AC512" i="10" s="1"/>
  <c r="AD513" i="10"/>
  <c r="AC513" i="10" s="1"/>
  <c r="AD514" i="10"/>
  <c r="AC514" i="10" s="1"/>
  <c r="AD515" i="10"/>
  <c r="AC515" i="10" s="1"/>
  <c r="AD516" i="10"/>
  <c r="AC516" i="10" s="1"/>
  <c r="AD517" i="10"/>
  <c r="AC517" i="10" s="1"/>
  <c r="AD518" i="10"/>
  <c r="AC518" i="10" s="1"/>
  <c r="AD519" i="10"/>
  <c r="AC519" i="10" s="1"/>
  <c r="AD520" i="10"/>
  <c r="AC520" i="10" s="1"/>
  <c r="AD521" i="10"/>
  <c r="AC521" i="10" s="1"/>
  <c r="AD522" i="10"/>
  <c r="AC522" i="10" s="1"/>
  <c r="AD523" i="10"/>
  <c r="AC523" i="10" s="1"/>
  <c r="AD524" i="10"/>
  <c r="AC524" i="10" s="1"/>
  <c r="AD525" i="10"/>
  <c r="AC525" i="10" s="1"/>
  <c r="AD526" i="10"/>
  <c r="AC526" i="10" s="1"/>
  <c r="AD527" i="10"/>
  <c r="AC527" i="10" s="1"/>
  <c r="AD528" i="10"/>
  <c r="AC528" i="10" s="1"/>
  <c r="AD529" i="10"/>
  <c r="AC529" i="10" s="1"/>
  <c r="AD530" i="10"/>
  <c r="AC530" i="10" s="1"/>
  <c r="AD531" i="10"/>
  <c r="AC531" i="10" s="1"/>
  <c r="AD532" i="10"/>
  <c r="AC532" i="10" s="1"/>
  <c r="AD533" i="10"/>
  <c r="AC533" i="10" s="1"/>
  <c r="AD534" i="10"/>
  <c r="AC534" i="10" s="1"/>
  <c r="AD535" i="10"/>
  <c r="AC535" i="10" s="1"/>
  <c r="AD536" i="10"/>
  <c r="AC536" i="10" s="1"/>
  <c r="AD537" i="10"/>
  <c r="AC537" i="10" s="1"/>
  <c r="AD538" i="10"/>
  <c r="AC538" i="10" s="1"/>
  <c r="AD539" i="10"/>
  <c r="AC539" i="10" s="1"/>
  <c r="AD540" i="10"/>
  <c r="AC540" i="10" s="1"/>
  <c r="AD541" i="10"/>
  <c r="AC541" i="10" s="1"/>
  <c r="AD542" i="10"/>
  <c r="AC542" i="10" s="1"/>
  <c r="AD543" i="10"/>
  <c r="AC543" i="10" s="1"/>
  <c r="AD544" i="10"/>
  <c r="AC544" i="10" s="1"/>
  <c r="AD545" i="10"/>
  <c r="AC545" i="10" s="1"/>
  <c r="AD546" i="10"/>
  <c r="AC546" i="10" s="1"/>
  <c r="AD547" i="10"/>
  <c r="AC547" i="10" s="1"/>
  <c r="AD548" i="10"/>
  <c r="AC548" i="10" s="1"/>
  <c r="AD549" i="10"/>
  <c r="AC549" i="10" s="1"/>
  <c r="AD550" i="10"/>
  <c r="AC550" i="10" s="1"/>
  <c r="AD551" i="10"/>
  <c r="AC551" i="10" s="1"/>
  <c r="AD552" i="10"/>
  <c r="AC552" i="10" s="1"/>
  <c r="AD553" i="10"/>
  <c r="AC553" i="10" s="1"/>
  <c r="AD554" i="10"/>
  <c r="AC554" i="10" s="1"/>
  <c r="AD555" i="10"/>
  <c r="AC555" i="10" s="1"/>
  <c r="AD556" i="10"/>
  <c r="AC556" i="10" s="1"/>
  <c r="AD557" i="10"/>
  <c r="AC557" i="10" s="1"/>
  <c r="AD558" i="10"/>
  <c r="AC558" i="10" s="1"/>
  <c r="AD559" i="10"/>
  <c r="AC559" i="10" s="1"/>
  <c r="AD560" i="10"/>
  <c r="AC560" i="10" s="1"/>
  <c r="AD561" i="10"/>
  <c r="AC561" i="10" s="1"/>
  <c r="AD562" i="10"/>
  <c r="AC562" i="10" s="1"/>
  <c r="AD563" i="10"/>
  <c r="AC563" i="10" s="1"/>
  <c r="AD564" i="10"/>
  <c r="AC564" i="10" s="1"/>
  <c r="AD565" i="10"/>
  <c r="AC565" i="10" s="1"/>
  <c r="AD566" i="10"/>
  <c r="AC566" i="10" s="1"/>
  <c r="AD567" i="10"/>
  <c r="AC567" i="10" s="1"/>
  <c r="AD568" i="10"/>
  <c r="AC568" i="10" s="1"/>
  <c r="AD569" i="10"/>
  <c r="AC569" i="10" s="1"/>
  <c r="AD570" i="10"/>
  <c r="AC570" i="10" s="1"/>
  <c r="AD571" i="10"/>
  <c r="AC571" i="10" s="1"/>
  <c r="AD572" i="10"/>
  <c r="AC572" i="10" s="1"/>
  <c r="AD573" i="10"/>
  <c r="AC573" i="10" s="1"/>
  <c r="AD574" i="10"/>
  <c r="AC574" i="10" s="1"/>
  <c r="AD575" i="10"/>
  <c r="AC575" i="10" s="1"/>
  <c r="AD576" i="10"/>
  <c r="AC576" i="10" s="1"/>
  <c r="AD577" i="10"/>
  <c r="AC577" i="10" s="1"/>
  <c r="AD578" i="10"/>
  <c r="AC578" i="10" s="1"/>
  <c r="AD579" i="10"/>
  <c r="AC579" i="10" s="1"/>
  <c r="AD580" i="10"/>
  <c r="AC580" i="10" s="1"/>
  <c r="AD581" i="10"/>
  <c r="AC581" i="10" s="1"/>
  <c r="AD582" i="10"/>
  <c r="AC582" i="10" s="1"/>
  <c r="AD583" i="10"/>
  <c r="AC583" i="10" s="1"/>
  <c r="AD584" i="10"/>
  <c r="AC584" i="10" s="1"/>
  <c r="AD585" i="10"/>
  <c r="AC585" i="10" s="1"/>
  <c r="AD586" i="10"/>
  <c r="AC586" i="10" s="1"/>
  <c r="AD587" i="10"/>
  <c r="AC587" i="10" s="1"/>
  <c r="AD588" i="10"/>
  <c r="AC588" i="10" s="1"/>
  <c r="AD589" i="10"/>
  <c r="AC589" i="10" s="1"/>
  <c r="AD590" i="10"/>
  <c r="AC590" i="10" s="1"/>
  <c r="AD591" i="10"/>
  <c r="AC591" i="10" s="1"/>
  <c r="AD592" i="10"/>
  <c r="AC592" i="10" s="1"/>
  <c r="AD593" i="10"/>
  <c r="AC593" i="10" s="1"/>
  <c r="AD594" i="10"/>
  <c r="AC594" i="10" s="1"/>
  <c r="AD595" i="10"/>
  <c r="AC595" i="10" s="1"/>
  <c r="AD596" i="10"/>
  <c r="AC596" i="10" s="1"/>
  <c r="AD597" i="10"/>
  <c r="AC597" i="10" s="1"/>
  <c r="AD598" i="10"/>
  <c r="AC598" i="10" s="1"/>
  <c r="AD599" i="10"/>
  <c r="AC599" i="10" s="1"/>
  <c r="AD600" i="10"/>
  <c r="AC600" i="10" s="1"/>
  <c r="AD601" i="10"/>
  <c r="AC601" i="10" s="1"/>
  <c r="AD602" i="10"/>
  <c r="AC602" i="10" s="1"/>
  <c r="AD603" i="10"/>
  <c r="AC603" i="10" s="1"/>
  <c r="AD604" i="10"/>
  <c r="AC604" i="10" s="1"/>
  <c r="AD605" i="10"/>
  <c r="AC605" i="10" s="1"/>
  <c r="AD606" i="10"/>
  <c r="AC606" i="10" s="1"/>
  <c r="AD607" i="10"/>
  <c r="AC607" i="10" s="1"/>
  <c r="AD608" i="10"/>
  <c r="AC608" i="10" s="1"/>
  <c r="AD609" i="10"/>
  <c r="AC609" i="10" s="1"/>
  <c r="AD610" i="10"/>
  <c r="AC610" i="10" s="1"/>
  <c r="AD611" i="10"/>
  <c r="AC611" i="10" s="1"/>
  <c r="AD612" i="10"/>
  <c r="AC612" i="10" s="1"/>
  <c r="AD613" i="10"/>
  <c r="AC613" i="10" s="1"/>
  <c r="AD614" i="10"/>
  <c r="AC614" i="10" s="1"/>
  <c r="AD615" i="10"/>
  <c r="AC615" i="10" s="1"/>
  <c r="AD616" i="10"/>
  <c r="AC616" i="10" s="1"/>
  <c r="AD617" i="10"/>
  <c r="AC617" i="10" s="1"/>
  <c r="AD618" i="10"/>
  <c r="AC618" i="10" s="1"/>
  <c r="AD619" i="10"/>
  <c r="AC619" i="10" s="1"/>
  <c r="AD620" i="10"/>
  <c r="AC620" i="10" s="1"/>
  <c r="AD621" i="10"/>
  <c r="AC621" i="10" s="1"/>
  <c r="AD622" i="10"/>
  <c r="AC622" i="10" s="1"/>
  <c r="AD623" i="10"/>
  <c r="AC623" i="10" s="1"/>
  <c r="AD624" i="10"/>
  <c r="AC624" i="10" s="1"/>
  <c r="AD625" i="10"/>
  <c r="AC625" i="10" s="1"/>
  <c r="AD626" i="10"/>
  <c r="AC626" i="10" s="1"/>
  <c r="AD627" i="10"/>
  <c r="AC627" i="10" s="1"/>
  <c r="AD628" i="10"/>
  <c r="AC628" i="10" s="1"/>
  <c r="AD629" i="10"/>
  <c r="AC629" i="10" s="1"/>
  <c r="AD630" i="10"/>
  <c r="AC630" i="10" s="1"/>
  <c r="AD631" i="10"/>
  <c r="AC631" i="10" s="1"/>
  <c r="AD632" i="10"/>
  <c r="AC632" i="10" s="1"/>
  <c r="AD633" i="10"/>
  <c r="AC633" i="10" s="1"/>
  <c r="AD634" i="10"/>
  <c r="AC634" i="10" s="1"/>
  <c r="AD635" i="10"/>
  <c r="AC635" i="10" s="1"/>
  <c r="AD636" i="10"/>
  <c r="AC636" i="10" s="1"/>
  <c r="AD637" i="10"/>
  <c r="AC637" i="10" s="1"/>
  <c r="AD638" i="10"/>
  <c r="AC638" i="10" s="1"/>
  <c r="AD639" i="10"/>
  <c r="AC639" i="10" s="1"/>
  <c r="AD640" i="10"/>
  <c r="AC640" i="10" s="1"/>
  <c r="AD641" i="10"/>
  <c r="AC641" i="10" s="1"/>
  <c r="AD642" i="10"/>
  <c r="AC642" i="10" s="1"/>
  <c r="AD643" i="10"/>
  <c r="AC643" i="10" s="1"/>
  <c r="AD644" i="10"/>
  <c r="AC644" i="10" s="1"/>
  <c r="AD645" i="10"/>
  <c r="AC645" i="10" s="1"/>
  <c r="AD646" i="10"/>
  <c r="AC646" i="10" s="1"/>
  <c r="AD647" i="10"/>
  <c r="AC647" i="10" s="1"/>
  <c r="AD648" i="10"/>
  <c r="AC648" i="10" s="1"/>
  <c r="AD649" i="10"/>
  <c r="AC649" i="10" s="1"/>
  <c r="AD650" i="10"/>
  <c r="AC650" i="10" s="1"/>
  <c r="AD651" i="10"/>
  <c r="AC651" i="10" s="1"/>
  <c r="AD652" i="10"/>
  <c r="AC652" i="10" s="1"/>
  <c r="AD653" i="10"/>
  <c r="AC653" i="10" s="1"/>
  <c r="AD654" i="10"/>
  <c r="AC654" i="10" s="1"/>
  <c r="AD655" i="10"/>
  <c r="AC655" i="10" s="1"/>
  <c r="AD656" i="10"/>
  <c r="AC656" i="10" s="1"/>
  <c r="AD657" i="10"/>
  <c r="AC657" i="10" s="1"/>
  <c r="AD658" i="10"/>
  <c r="AC658" i="10" s="1"/>
  <c r="AD659" i="10"/>
  <c r="AC659" i="10" s="1"/>
  <c r="AD660" i="10"/>
  <c r="AC660" i="10" s="1"/>
  <c r="AD661" i="10"/>
  <c r="AC661" i="10" s="1"/>
  <c r="AD662" i="10"/>
  <c r="AC662" i="10" s="1"/>
  <c r="AD663" i="10"/>
  <c r="AC663" i="10" s="1"/>
  <c r="AD664" i="10"/>
  <c r="AC664" i="10" s="1"/>
  <c r="AD665" i="10"/>
  <c r="AC665" i="10" s="1"/>
  <c r="AD666" i="10"/>
  <c r="AC666" i="10" s="1"/>
  <c r="AD667" i="10"/>
  <c r="AC667" i="10" s="1"/>
  <c r="AD668" i="10"/>
  <c r="AC668" i="10" s="1"/>
  <c r="AD669" i="10"/>
  <c r="AC669" i="10" s="1"/>
  <c r="AD670" i="10"/>
  <c r="AC670" i="10" s="1"/>
  <c r="AD671" i="10"/>
  <c r="AC671" i="10" s="1"/>
  <c r="AD672" i="10"/>
  <c r="AC672" i="10" s="1"/>
  <c r="AD673" i="10"/>
  <c r="AC673" i="10" s="1"/>
  <c r="AD674" i="10"/>
  <c r="AC674" i="10" s="1"/>
  <c r="AD675" i="10"/>
  <c r="AC675" i="10" s="1"/>
  <c r="AD676" i="10"/>
  <c r="AC676" i="10" s="1"/>
  <c r="AD677" i="10"/>
  <c r="AC677" i="10" s="1"/>
  <c r="AD678" i="10"/>
  <c r="AC678" i="10" s="1"/>
  <c r="AD679" i="10"/>
  <c r="AC679" i="10" s="1"/>
  <c r="AD680" i="10"/>
  <c r="AC680" i="10" s="1"/>
  <c r="AD681" i="10"/>
  <c r="AC681" i="10" s="1"/>
  <c r="AD682" i="10"/>
  <c r="AC682" i="10" s="1"/>
  <c r="AD683" i="10"/>
  <c r="AC683" i="10" s="1"/>
  <c r="AD684" i="10"/>
  <c r="AC684" i="10" s="1"/>
  <c r="AD685" i="10"/>
  <c r="AC685" i="10" s="1"/>
  <c r="AD686" i="10"/>
  <c r="AC686" i="10" s="1"/>
  <c r="AD687" i="10"/>
  <c r="AC687" i="10" s="1"/>
  <c r="AD688" i="10"/>
  <c r="AC688" i="10" s="1"/>
  <c r="AD689" i="10"/>
  <c r="AC689" i="10" s="1"/>
  <c r="AD690" i="10"/>
  <c r="AC690" i="10" s="1"/>
  <c r="AD691" i="10"/>
  <c r="AC691" i="10" s="1"/>
  <c r="AD692" i="10"/>
  <c r="AC692" i="10" s="1"/>
  <c r="AD693" i="10"/>
  <c r="AC693" i="10" s="1"/>
  <c r="AD694" i="10"/>
  <c r="AC694" i="10" s="1"/>
  <c r="AD695" i="10"/>
  <c r="AC695" i="10" s="1"/>
  <c r="AD696" i="10"/>
  <c r="AC696" i="10" s="1"/>
  <c r="AD697" i="10"/>
  <c r="AC697" i="10" s="1"/>
  <c r="AD698" i="10"/>
  <c r="AC698" i="10" s="1"/>
  <c r="AD699" i="10"/>
  <c r="AC699" i="10" s="1"/>
  <c r="AD700" i="10"/>
  <c r="AC700" i="10" s="1"/>
  <c r="AD701" i="10"/>
  <c r="AC701" i="10" s="1"/>
  <c r="AD702" i="10"/>
  <c r="AC702" i="10" s="1"/>
  <c r="AD703" i="10"/>
  <c r="AC703" i="10" s="1"/>
  <c r="AD704" i="10"/>
  <c r="AC704" i="10" s="1"/>
  <c r="AD705" i="10"/>
  <c r="AC705" i="10" s="1"/>
  <c r="AD706" i="10"/>
  <c r="AC706" i="10" s="1"/>
  <c r="AD707" i="10"/>
  <c r="AC707" i="10" s="1"/>
  <c r="AD708" i="10"/>
  <c r="AC708" i="10" s="1"/>
  <c r="AD709" i="10"/>
  <c r="AC709" i="10" s="1"/>
  <c r="AD710" i="10"/>
  <c r="AC710" i="10" s="1"/>
  <c r="AD711" i="10"/>
  <c r="AC711" i="10" s="1"/>
  <c r="AD712" i="10"/>
  <c r="AC712" i="10" s="1"/>
  <c r="AD713" i="10"/>
  <c r="AC713" i="10" s="1"/>
  <c r="AD714" i="10"/>
  <c r="AC714" i="10" s="1"/>
  <c r="AD715" i="10"/>
  <c r="AC715" i="10" s="1"/>
  <c r="AD716" i="10"/>
  <c r="AC716" i="10" s="1"/>
  <c r="AD717" i="10"/>
  <c r="AC717" i="10" s="1"/>
  <c r="AD718" i="10"/>
  <c r="AC718" i="10" s="1"/>
  <c r="AD719" i="10"/>
  <c r="AC719" i="10" s="1"/>
  <c r="AD720" i="10"/>
  <c r="AC720" i="10" s="1"/>
  <c r="AD721" i="10"/>
  <c r="AC721" i="10" s="1"/>
  <c r="AD722" i="10"/>
  <c r="AC722" i="10" s="1"/>
  <c r="AD723" i="10"/>
  <c r="AC723" i="10" s="1"/>
  <c r="AD724" i="10"/>
  <c r="AC724" i="10" s="1"/>
  <c r="AD725" i="10"/>
  <c r="AC725" i="10" s="1"/>
  <c r="AD726" i="10"/>
  <c r="AC726" i="10" s="1"/>
  <c r="AD727" i="10"/>
  <c r="AC727" i="10" s="1"/>
  <c r="AD728" i="10"/>
  <c r="AC728" i="10" s="1"/>
  <c r="AD729" i="10"/>
  <c r="AC729" i="10" s="1"/>
  <c r="AD730" i="10"/>
  <c r="AC730" i="10" s="1"/>
  <c r="AD731" i="10"/>
  <c r="AC731" i="10" s="1"/>
  <c r="AD732" i="10"/>
  <c r="AC732" i="10" s="1"/>
  <c r="AD733" i="10"/>
  <c r="AC733" i="10" s="1"/>
  <c r="AD734" i="10"/>
  <c r="AC734" i="10" s="1"/>
  <c r="AD735" i="10"/>
  <c r="AC735" i="10" s="1"/>
  <c r="AD736" i="10"/>
  <c r="AC736" i="10" s="1"/>
  <c r="AD737" i="10"/>
  <c r="AC737" i="10" s="1"/>
  <c r="AD738" i="10"/>
  <c r="AC738" i="10" s="1"/>
  <c r="AD739" i="10"/>
  <c r="AC739" i="10" s="1"/>
  <c r="AD740" i="10"/>
  <c r="AC740" i="10" s="1"/>
  <c r="AD741" i="10"/>
  <c r="AC741" i="10" s="1"/>
  <c r="AD742" i="10"/>
  <c r="AC742" i="10" s="1"/>
  <c r="AD743" i="10"/>
  <c r="AC743" i="10" s="1"/>
  <c r="AD744" i="10"/>
  <c r="AC744" i="10" s="1"/>
  <c r="AD745" i="10"/>
  <c r="AC745" i="10" s="1"/>
  <c r="AD746" i="10"/>
  <c r="AC746" i="10" s="1"/>
  <c r="AD747" i="10"/>
  <c r="AC747" i="10" s="1"/>
  <c r="AD748" i="10"/>
  <c r="AC748" i="10" s="1"/>
  <c r="AD749" i="10"/>
  <c r="AC749" i="10" s="1"/>
  <c r="AD750" i="10"/>
  <c r="AC750" i="10" s="1"/>
  <c r="AD751" i="10"/>
  <c r="AC751" i="10" s="1"/>
  <c r="AD752" i="10"/>
  <c r="AC752" i="10" s="1"/>
  <c r="AD753" i="10"/>
  <c r="AC753" i="10" s="1"/>
  <c r="AD754" i="10"/>
  <c r="AC754" i="10" s="1"/>
  <c r="AD755" i="10"/>
  <c r="AC755" i="10" s="1"/>
  <c r="AD756" i="10"/>
  <c r="AC756" i="10" s="1"/>
  <c r="AD757" i="10"/>
  <c r="AC757" i="10" s="1"/>
  <c r="AD758" i="10"/>
  <c r="AC758" i="10" s="1"/>
  <c r="AD759" i="10"/>
  <c r="AC759" i="10" s="1"/>
  <c r="AD760" i="10"/>
  <c r="AC760" i="10" s="1"/>
  <c r="AD761" i="10"/>
  <c r="AC761" i="10" s="1"/>
  <c r="AD762" i="10"/>
  <c r="AC762" i="10" s="1"/>
  <c r="AD763" i="10"/>
  <c r="AC763" i="10" s="1"/>
  <c r="AD764" i="10"/>
  <c r="AC764" i="10" s="1"/>
  <c r="AD765" i="10"/>
  <c r="AC765" i="10" s="1"/>
  <c r="AD766" i="10"/>
  <c r="AC766" i="10" s="1"/>
  <c r="AD767" i="10"/>
  <c r="AC767" i="10" s="1"/>
  <c r="AD768" i="10"/>
  <c r="AC768" i="10" s="1"/>
  <c r="AD769" i="10"/>
  <c r="AC769" i="10" s="1"/>
  <c r="AD770" i="10"/>
  <c r="AC770" i="10" s="1"/>
  <c r="AD771" i="10"/>
  <c r="AC771" i="10" s="1"/>
  <c r="AD772" i="10"/>
  <c r="AC772" i="10" s="1"/>
  <c r="AD773" i="10"/>
  <c r="AC773" i="10" s="1"/>
  <c r="AD774" i="10"/>
  <c r="AD775" i="10"/>
  <c r="AD776" i="10"/>
  <c r="AD777" i="10"/>
  <c r="AD778" i="10"/>
  <c r="AD779" i="10"/>
  <c r="AD780" i="10"/>
  <c r="AD781" i="10"/>
  <c r="AD782" i="10"/>
  <c r="AD783" i="10"/>
  <c r="AD784" i="10"/>
  <c r="AD785" i="10"/>
  <c r="AD786" i="10"/>
  <c r="AD787" i="10"/>
  <c r="AD788" i="10"/>
  <c r="AD789" i="10"/>
  <c r="AD790" i="10"/>
  <c r="AD791" i="10"/>
  <c r="AD792" i="10"/>
  <c r="AD793" i="10"/>
  <c r="AD794" i="10"/>
  <c r="AD795" i="10"/>
  <c r="AD796" i="10"/>
  <c r="AD797" i="10"/>
  <c r="AD798" i="10"/>
  <c r="AD799" i="10"/>
  <c r="AD800" i="10"/>
  <c r="AD801" i="10"/>
  <c r="AD802" i="10"/>
  <c r="AD803" i="10"/>
  <c r="AD804" i="10"/>
  <c r="AD805" i="10"/>
  <c r="AD806" i="10"/>
  <c r="AD807" i="10"/>
  <c r="AD808" i="10"/>
  <c r="AD809" i="10"/>
  <c r="AD810" i="10"/>
  <c r="AD811" i="10"/>
  <c r="AD812" i="10"/>
  <c r="AD813" i="10"/>
  <c r="AD814" i="10"/>
  <c r="AD815" i="10"/>
  <c r="AD816" i="10"/>
  <c r="AD817" i="10"/>
  <c r="AD818" i="10"/>
  <c r="AD819" i="10"/>
  <c r="AD820" i="10"/>
  <c r="AD821" i="10"/>
  <c r="AD822" i="10"/>
  <c r="AD823" i="10"/>
  <c r="AD824" i="10"/>
  <c r="AD825" i="10"/>
  <c r="AD826" i="10"/>
  <c r="AD827" i="10"/>
  <c r="AD828" i="10"/>
  <c r="AD829" i="10"/>
  <c r="AD830" i="10"/>
  <c r="AD831" i="10"/>
  <c r="AD832" i="10"/>
  <c r="AD833" i="10"/>
  <c r="AD834" i="10"/>
  <c r="AD835" i="10"/>
  <c r="AD836" i="10"/>
  <c r="AD837" i="10"/>
  <c r="AD838" i="10"/>
  <c r="AD839" i="10"/>
  <c r="AD840" i="10"/>
  <c r="AD841" i="10"/>
  <c r="AD842" i="10"/>
  <c r="AD843" i="10"/>
  <c r="AD844" i="10"/>
  <c r="AD845" i="10"/>
  <c r="AD846" i="10"/>
  <c r="AD847" i="10"/>
  <c r="AD848" i="10"/>
  <c r="AD849" i="10"/>
  <c r="AD850" i="10"/>
  <c r="AD851" i="10"/>
  <c r="AD852" i="10"/>
  <c r="AD853" i="10"/>
  <c r="AD854" i="10"/>
  <c r="AD855" i="10"/>
  <c r="AD856" i="10"/>
  <c r="AD857" i="10"/>
  <c r="AD858" i="10"/>
  <c r="AD859" i="10"/>
  <c r="AD860" i="10"/>
  <c r="AD861" i="10"/>
  <c r="AD862" i="10"/>
  <c r="AD863" i="10"/>
  <c r="AD864" i="10"/>
  <c r="AD865" i="10"/>
  <c r="AD866" i="10"/>
  <c r="AD867" i="10"/>
  <c r="AD868" i="10"/>
  <c r="AD869" i="10"/>
  <c r="AD870" i="10"/>
  <c r="AD871" i="10"/>
  <c r="AD872" i="10"/>
  <c r="AD873" i="10"/>
  <c r="AD874" i="10"/>
  <c r="AD875" i="10"/>
  <c r="AD876" i="10"/>
  <c r="AD877" i="10"/>
  <c r="AD878" i="10"/>
  <c r="AD879" i="10"/>
  <c r="AD880" i="10"/>
  <c r="AD881" i="10"/>
  <c r="AD882" i="10"/>
  <c r="AD883" i="10"/>
  <c r="AD884" i="10"/>
  <c r="AD885" i="10"/>
  <c r="AD886" i="10"/>
  <c r="AD887" i="10"/>
  <c r="AD888" i="10"/>
  <c r="AD889" i="10"/>
  <c r="AD890" i="10"/>
  <c r="AD891" i="10"/>
  <c r="AD892" i="10"/>
  <c r="AD893" i="10"/>
  <c r="AD894" i="10"/>
  <c r="AD895" i="10"/>
  <c r="AD896" i="10"/>
  <c r="AD897" i="10"/>
  <c r="AD898" i="10"/>
  <c r="AD899" i="10"/>
  <c r="AD900" i="10"/>
  <c r="AD901" i="10"/>
  <c r="AD902" i="10"/>
  <c r="AD903" i="10"/>
  <c r="AD904" i="10"/>
  <c r="AD905" i="10"/>
  <c r="AD906" i="10"/>
  <c r="AD907" i="10"/>
  <c r="AD908" i="10"/>
  <c r="AD909" i="10"/>
  <c r="AD910" i="10"/>
  <c r="AD911" i="10"/>
  <c r="AD912" i="10"/>
  <c r="AD913" i="10"/>
  <c r="AD914" i="10"/>
  <c r="AD915" i="10"/>
  <c r="AD916" i="10"/>
  <c r="AD917" i="10"/>
  <c r="AD918" i="10"/>
  <c r="AD919" i="10"/>
  <c r="AD920" i="10"/>
  <c r="AD921" i="10"/>
  <c r="AD922" i="10"/>
  <c r="AD923" i="10"/>
  <c r="AD924" i="10"/>
  <c r="AD925" i="10"/>
  <c r="AD926" i="10"/>
  <c r="AD927" i="10"/>
  <c r="AD928" i="10"/>
  <c r="AD929" i="10"/>
  <c r="AD930" i="10"/>
  <c r="AD931" i="10"/>
  <c r="AD932" i="10"/>
  <c r="AD933" i="10"/>
  <c r="AD934" i="10"/>
  <c r="AD935" i="10"/>
  <c r="AD936" i="10"/>
  <c r="AD937" i="10"/>
  <c r="AD938" i="10"/>
  <c r="AD939" i="10"/>
  <c r="AD940" i="10"/>
  <c r="AD941" i="10"/>
  <c r="AD942" i="10"/>
  <c r="AD943" i="10"/>
  <c r="AD944" i="10"/>
  <c r="AD945" i="10"/>
  <c r="AD946" i="10"/>
  <c r="AD947" i="10"/>
  <c r="AD948" i="10"/>
  <c r="AD949" i="10"/>
  <c r="AD950" i="10"/>
  <c r="AD951" i="10"/>
  <c r="AD952" i="10"/>
  <c r="AD953" i="10"/>
  <c r="AD954" i="10"/>
  <c r="AD955" i="10"/>
  <c r="AD956" i="10"/>
  <c r="AD957" i="10"/>
  <c r="AD958" i="10"/>
  <c r="AD959" i="10"/>
  <c r="AD960" i="10"/>
  <c r="AD961" i="10"/>
  <c r="AD962" i="10"/>
  <c r="AD963" i="10"/>
  <c r="AD964" i="10"/>
  <c r="AD965" i="10"/>
  <c r="AD966" i="10"/>
  <c r="AD967" i="10"/>
  <c r="AD968" i="10"/>
  <c r="AD969" i="10"/>
  <c r="AD970" i="10"/>
  <c r="AD971" i="10"/>
  <c r="AD972" i="10"/>
  <c r="AD973" i="10"/>
  <c r="AD974" i="10"/>
  <c r="AD975" i="10"/>
  <c r="AD976" i="10"/>
  <c r="AD977" i="10"/>
  <c r="AD978" i="10"/>
  <c r="AD979" i="10"/>
  <c r="AD980" i="10"/>
  <c r="AD981" i="10"/>
  <c r="AD982" i="10"/>
  <c r="AD983" i="10"/>
  <c r="AD984" i="10"/>
  <c r="AD985" i="10"/>
  <c r="AD986" i="10"/>
  <c r="AD987" i="10"/>
  <c r="AD988" i="10"/>
  <c r="AD989" i="10"/>
  <c r="AD990" i="10"/>
  <c r="AD991" i="10"/>
  <c r="AD992" i="10"/>
  <c r="AD993" i="10"/>
  <c r="AD994" i="10"/>
  <c r="AD995" i="10"/>
  <c r="AD996" i="10"/>
  <c r="AD997" i="10"/>
  <c r="AD998" i="10"/>
  <c r="AD999" i="10"/>
  <c r="AD1000" i="10"/>
  <c r="AD1001" i="10"/>
  <c r="AD1002" i="10"/>
  <c r="AD1003" i="10"/>
  <c r="AD1004" i="10"/>
  <c r="AD1005" i="10"/>
  <c r="AD1006" i="10"/>
  <c r="AD1007" i="10"/>
  <c r="AD1008" i="10"/>
  <c r="AD1009" i="10"/>
  <c r="AD1010" i="10"/>
  <c r="AD1011" i="10"/>
  <c r="AD1012" i="10"/>
  <c r="AD1013" i="10"/>
  <c r="AD1014" i="10"/>
  <c r="AD1015" i="10"/>
  <c r="AD1016" i="10"/>
  <c r="AD1017" i="10"/>
  <c r="AD1018" i="10"/>
  <c r="AD1019" i="10"/>
  <c r="AD1020" i="10"/>
  <c r="AD1021" i="10"/>
  <c r="AD1022" i="10"/>
  <c r="AD1023" i="10"/>
  <c r="AD1024" i="10"/>
  <c r="AD1025" i="10"/>
  <c r="AD1026" i="10"/>
  <c r="AD1027" i="10"/>
  <c r="AD1028" i="10"/>
  <c r="AD1029" i="10"/>
  <c r="AD1030" i="10"/>
  <c r="AD1031" i="10"/>
  <c r="AD1032" i="10"/>
  <c r="AD1033" i="10"/>
  <c r="AD1034" i="10"/>
  <c r="AD1035" i="10"/>
  <c r="AD1036" i="10"/>
  <c r="AD1037" i="10"/>
  <c r="AD1038" i="10"/>
  <c r="AD1039" i="10"/>
  <c r="AD1040" i="10"/>
  <c r="AD1041" i="10"/>
  <c r="AD1042" i="10"/>
  <c r="AD1043" i="10"/>
  <c r="AD1044" i="10"/>
  <c r="AD1045" i="10"/>
  <c r="AD1046" i="10"/>
  <c r="AD1047" i="10"/>
  <c r="AD1048" i="10"/>
  <c r="AD1049" i="10"/>
  <c r="AD1050" i="10"/>
  <c r="AD1051" i="10"/>
  <c r="AD1052" i="10"/>
  <c r="AD1053" i="10"/>
  <c r="AD1054" i="10"/>
  <c r="AD1055" i="10"/>
  <c r="AD1056" i="10"/>
  <c r="AD1057" i="10"/>
  <c r="AD1058" i="10"/>
  <c r="AD1059" i="10"/>
  <c r="AD1060" i="10"/>
  <c r="AD1061" i="10"/>
  <c r="AD1062" i="10"/>
  <c r="AD1063" i="10"/>
  <c r="AD1064" i="10"/>
  <c r="AD1065" i="10"/>
  <c r="AD1066" i="10"/>
  <c r="AD1067" i="10"/>
  <c r="AD1068" i="10"/>
  <c r="AD1069" i="10"/>
  <c r="AD1070" i="10"/>
  <c r="AD1071" i="10"/>
  <c r="AD1072" i="10"/>
  <c r="AD1073" i="10"/>
  <c r="AD1074" i="10"/>
  <c r="AD1075" i="10"/>
  <c r="AD1076" i="10"/>
  <c r="AD1077" i="10"/>
  <c r="AD1078" i="10"/>
  <c r="AD1079" i="10"/>
  <c r="AD1080" i="10"/>
  <c r="AD1081" i="10"/>
  <c r="AD1082" i="10"/>
  <c r="AD1083" i="10"/>
  <c r="AD1084" i="10"/>
  <c r="AD1085" i="10"/>
  <c r="AD1086" i="10"/>
  <c r="AD1087" i="10"/>
  <c r="AD1088" i="10"/>
  <c r="AD1089" i="10"/>
  <c r="AD1090" i="10"/>
  <c r="AD1091" i="10"/>
  <c r="AD1092" i="10"/>
  <c r="AD1093" i="10"/>
  <c r="AD1094" i="10"/>
  <c r="AD1095" i="10"/>
  <c r="AD1096" i="10"/>
  <c r="AD1097" i="10"/>
  <c r="AD1098" i="10"/>
  <c r="AD1099" i="10"/>
  <c r="AD1100" i="10"/>
  <c r="AD1101" i="10"/>
  <c r="AD1102" i="10"/>
  <c r="AD1103" i="10"/>
  <c r="AD1104" i="10"/>
  <c r="AD1105" i="10"/>
  <c r="AD1106" i="10"/>
  <c r="AD1107" i="10"/>
  <c r="AD1108" i="10"/>
  <c r="AD1109" i="10"/>
  <c r="AD1110" i="10"/>
  <c r="AD1111" i="10"/>
  <c r="AD1112" i="10"/>
  <c r="AD1113" i="10"/>
  <c r="AD1114" i="10"/>
  <c r="AD1115" i="10"/>
  <c r="AD1116" i="10"/>
  <c r="AD1117" i="10"/>
  <c r="AD1118" i="10"/>
  <c r="AD1119" i="10"/>
  <c r="AD1120" i="10"/>
  <c r="AD1121" i="10"/>
  <c r="AD1122" i="10"/>
  <c r="AD1123" i="10"/>
  <c r="AD1124" i="10"/>
  <c r="AD1125" i="10"/>
  <c r="AD1126" i="10"/>
  <c r="AD1127" i="10"/>
  <c r="AD1128" i="10"/>
  <c r="AD1129" i="10"/>
  <c r="AD1130" i="10"/>
  <c r="AD1131" i="10"/>
  <c r="AD1132" i="10"/>
  <c r="AD1133" i="10"/>
  <c r="AD1134" i="10"/>
  <c r="AD1135" i="10"/>
  <c r="AD1136" i="10"/>
  <c r="AD1137" i="10"/>
  <c r="AD1138" i="10"/>
  <c r="AD1139" i="10"/>
  <c r="AD1140" i="10"/>
  <c r="AD1141" i="10"/>
  <c r="AD1142" i="10"/>
  <c r="AD1143" i="10"/>
  <c r="AD1144" i="10"/>
  <c r="AD1145" i="10"/>
  <c r="AD1146" i="10"/>
  <c r="AD1147" i="10"/>
  <c r="AD1148" i="10"/>
  <c r="AD1149" i="10"/>
  <c r="AD1150" i="10"/>
  <c r="AD1151" i="10"/>
  <c r="AD1152" i="10"/>
  <c r="AD1153" i="10"/>
  <c r="AD1154" i="10"/>
  <c r="AD1155" i="10"/>
  <c r="AD1156" i="10"/>
  <c r="AD1157" i="10"/>
  <c r="AD1158" i="10"/>
  <c r="AD1159" i="10"/>
  <c r="AD1160" i="10"/>
  <c r="AD1161" i="10"/>
  <c r="AD1162" i="10"/>
  <c r="AD1163" i="10"/>
  <c r="AD1164" i="10"/>
  <c r="AD1165" i="10"/>
  <c r="AD1166" i="10"/>
  <c r="AD1167" i="10"/>
  <c r="AD1168" i="10"/>
  <c r="AD1169" i="10"/>
  <c r="AD1170" i="10"/>
  <c r="AD1171" i="10"/>
  <c r="AD1172" i="10"/>
  <c r="AD1173" i="10"/>
  <c r="AD1174" i="10"/>
  <c r="AD1175" i="10"/>
  <c r="AD1176" i="10"/>
  <c r="AD1177" i="10"/>
  <c r="AD1178" i="10"/>
  <c r="AD1179" i="10"/>
  <c r="AD1180" i="10"/>
  <c r="AD1181" i="10"/>
  <c r="AD1182" i="10"/>
  <c r="AD1183" i="10"/>
  <c r="AD1184" i="10"/>
  <c r="AD1185" i="10"/>
  <c r="AD1186" i="10"/>
  <c r="AD1187" i="10"/>
  <c r="AD1188" i="10"/>
  <c r="AD1189" i="10"/>
  <c r="AD1190" i="10"/>
  <c r="AD1191" i="10"/>
  <c r="AD1192" i="10"/>
  <c r="AD1193" i="10"/>
  <c r="AD1194" i="10"/>
  <c r="AD1195" i="10"/>
  <c r="AD1196" i="10"/>
  <c r="AD1197" i="10"/>
  <c r="AD1198" i="10"/>
  <c r="AD1199" i="10"/>
  <c r="AD1200" i="10"/>
  <c r="AD1201" i="10"/>
  <c r="AD1202" i="10"/>
  <c r="AD1203" i="10"/>
  <c r="AD1204" i="10"/>
  <c r="AD1205" i="10"/>
  <c r="AD1206" i="10"/>
  <c r="AD1207" i="10"/>
  <c r="AD1208" i="10"/>
  <c r="AD1209" i="10"/>
  <c r="AD1210" i="10"/>
  <c r="AD1211" i="10"/>
  <c r="AD1212" i="10"/>
  <c r="AD1213" i="10"/>
  <c r="AD1214" i="10"/>
  <c r="AD1215" i="10"/>
  <c r="AD1216" i="10"/>
  <c r="AD1217" i="10"/>
  <c r="AD1218" i="10"/>
  <c r="AD1219" i="10"/>
  <c r="AD1220" i="10"/>
  <c r="AD1221" i="10"/>
  <c r="AD1222" i="10"/>
  <c r="AD1223" i="10"/>
  <c r="AD1224" i="10"/>
  <c r="AD1225" i="10"/>
  <c r="AD1226" i="10"/>
  <c r="AD1227" i="10"/>
  <c r="AD1228" i="10"/>
  <c r="AD1229" i="10"/>
  <c r="AD1230" i="10"/>
  <c r="AD1231" i="10"/>
  <c r="AD1232" i="10"/>
  <c r="AD1233" i="10"/>
  <c r="AD1234" i="10"/>
  <c r="AD1235" i="10"/>
  <c r="AD1236" i="10"/>
  <c r="AD1237" i="10"/>
  <c r="AD1238" i="10"/>
  <c r="AD1239" i="10"/>
  <c r="AD1240" i="10"/>
  <c r="AD1241" i="10"/>
  <c r="AD1242" i="10"/>
  <c r="AD1243" i="10"/>
  <c r="AD1244" i="10"/>
  <c r="AD1245" i="10"/>
  <c r="AD1246" i="10"/>
  <c r="AD1247" i="10"/>
  <c r="AD1248" i="10"/>
  <c r="AD1249" i="10"/>
  <c r="AD1250" i="10"/>
  <c r="AD1251" i="10"/>
  <c r="AD1252" i="10"/>
  <c r="AD1253" i="10"/>
  <c r="AD1254" i="10"/>
  <c r="AD1255" i="10"/>
  <c r="AD1256" i="10"/>
  <c r="AD1257" i="10"/>
  <c r="AD1258" i="10"/>
  <c r="AD1259" i="10"/>
  <c r="AD1260" i="10"/>
  <c r="AD1261" i="10"/>
  <c r="AD1262" i="10"/>
  <c r="AD1263" i="10"/>
  <c r="AD1264" i="10"/>
  <c r="AD1265" i="10"/>
  <c r="AD1266" i="10"/>
  <c r="AD1267" i="10"/>
  <c r="AD1268" i="10"/>
  <c r="AD1269" i="10"/>
  <c r="AD1270" i="10"/>
  <c r="AD1271" i="10"/>
  <c r="AD1272" i="10"/>
  <c r="AD1273" i="10"/>
  <c r="AD1274" i="10"/>
  <c r="AD1275" i="10"/>
  <c r="AD1276" i="10"/>
  <c r="AD1277" i="10"/>
  <c r="AD1278" i="10"/>
  <c r="AD1279" i="10"/>
  <c r="AD1280" i="10"/>
  <c r="AD1281" i="10"/>
  <c r="AD1282" i="10"/>
  <c r="AD1283" i="10"/>
  <c r="AD1284" i="10"/>
  <c r="AD1285" i="10"/>
  <c r="AD1286" i="10"/>
  <c r="AD1287" i="10"/>
  <c r="AD1288" i="10"/>
  <c r="AD1289" i="10"/>
  <c r="AD1290" i="10"/>
  <c r="AD1291" i="10"/>
  <c r="AD1292" i="10"/>
  <c r="AD1293" i="10"/>
  <c r="AD1294" i="10"/>
  <c r="AD1295" i="10"/>
  <c r="AD1296" i="10"/>
  <c r="AD1297" i="10"/>
  <c r="AD1298" i="10"/>
  <c r="AD1299" i="10"/>
  <c r="AD1300" i="10"/>
  <c r="AD1301" i="10"/>
  <c r="AD1302" i="10"/>
  <c r="AD1303" i="10"/>
  <c r="AD1304" i="10"/>
  <c r="AD1305" i="10"/>
  <c r="AD1306" i="10"/>
  <c r="AD1307" i="10"/>
  <c r="AD1308" i="10"/>
  <c r="AD1309" i="10"/>
  <c r="AD1310" i="10"/>
  <c r="AD1311" i="10"/>
  <c r="AD1312" i="10"/>
  <c r="AD1313" i="10"/>
  <c r="AD1314" i="10"/>
  <c r="AD1315" i="10"/>
  <c r="AD1316" i="10"/>
  <c r="AD1317" i="10"/>
  <c r="AD1318" i="10"/>
  <c r="AD1319" i="10"/>
  <c r="AD1320" i="10"/>
  <c r="AD1321" i="10"/>
  <c r="AD1322" i="10"/>
  <c r="AD1323" i="10"/>
  <c r="AD1324" i="10"/>
  <c r="AD1325" i="10"/>
  <c r="AD1326" i="10"/>
  <c r="AD1327" i="10"/>
  <c r="AD1328" i="10"/>
  <c r="AD1329" i="10"/>
  <c r="AD1330" i="10"/>
  <c r="AD1331" i="10"/>
  <c r="AD1332" i="10"/>
  <c r="AD1333" i="10"/>
  <c r="AD1334" i="10"/>
  <c r="AD1335" i="10"/>
  <c r="AD1336" i="10"/>
  <c r="AD1337" i="10"/>
  <c r="AD1338" i="10"/>
  <c r="AD1339" i="10"/>
  <c r="AD1340" i="10"/>
  <c r="AD1341" i="10"/>
  <c r="AD1342" i="10"/>
  <c r="AD1343" i="10"/>
  <c r="AD1344" i="10"/>
  <c r="AD1345" i="10"/>
  <c r="AD1346" i="10"/>
  <c r="AD1347" i="10"/>
  <c r="AD1348" i="10"/>
  <c r="AD1349" i="10"/>
  <c r="AD1350" i="10"/>
  <c r="AD1351" i="10"/>
  <c r="AD1352" i="10"/>
  <c r="AD1353" i="10"/>
  <c r="AD1354" i="10"/>
  <c r="AD1355" i="10"/>
  <c r="AD1356" i="10"/>
  <c r="AD1357" i="10"/>
  <c r="AD1358" i="10"/>
  <c r="AD1359" i="10"/>
  <c r="AD1360" i="10"/>
  <c r="AD1361" i="10"/>
  <c r="AD1362" i="10"/>
  <c r="AD1363" i="10"/>
  <c r="AD1364" i="10"/>
  <c r="AD1365" i="10"/>
  <c r="AD1366" i="10"/>
  <c r="AD1367" i="10"/>
  <c r="AD1368" i="10"/>
  <c r="AD1369" i="10"/>
  <c r="AD1370" i="10"/>
  <c r="AD1371" i="10"/>
  <c r="AD1372" i="10"/>
  <c r="AD1373" i="10"/>
  <c r="AD1374" i="10"/>
  <c r="AD1375" i="10"/>
  <c r="AD1376" i="10"/>
  <c r="AD1377" i="10"/>
  <c r="AD1378" i="10"/>
  <c r="AD1379" i="10"/>
  <c r="AD1380" i="10"/>
  <c r="AD1381" i="10"/>
  <c r="AD1382" i="10"/>
  <c r="AD1383" i="10"/>
  <c r="AD1384" i="10"/>
  <c r="AD1385" i="10"/>
  <c r="AD1386" i="10"/>
  <c r="AD1387" i="10"/>
  <c r="AD1388" i="10"/>
  <c r="AD1389" i="10"/>
  <c r="AD1390" i="10"/>
  <c r="AD1391" i="10"/>
  <c r="AD1392" i="10"/>
  <c r="AD1393" i="10"/>
  <c r="AD1394" i="10"/>
  <c r="AD1395" i="10"/>
  <c r="AD1396" i="10"/>
  <c r="AD1397" i="10"/>
  <c r="AD1398" i="10"/>
  <c r="AD1399" i="10"/>
  <c r="AD1400" i="10"/>
  <c r="AD1401" i="10"/>
  <c r="AD1402" i="10"/>
  <c r="AD1403" i="10"/>
  <c r="AD1404" i="10"/>
  <c r="AD1405" i="10"/>
  <c r="AD1406" i="10"/>
  <c r="AD1407" i="10"/>
  <c r="AD1408" i="10"/>
  <c r="AD1409" i="10"/>
  <c r="AD1410" i="10"/>
  <c r="AD1411" i="10"/>
  <c r="AD1412" i="10"/>
  <c r="AD1413" i="10"/>
  <c r="AD1414" i="10"/>
  <c r="AD1415" i="10"/>
  <c r="AD1416" i="10"/>
  <c r="AD1417" i="10"/>
  <c r="AD1418" i="10"/>
  <c r="AD1419" i="10"/>
  <c r="AD1420" i="10"/>
  <c r="AD1421" i="10"/>
  <c r="AD1422" i="10"/>
  <c r="AD1423" i="10"/>
  <c r="AD1424" i="10"/>
  <c r="AD1425" i="10"/>
  <c r="AD1426" i="10"/>
  <c r="AD1427" i="10"/>
  <c r="AD1428" i="10"/>
  <c r="AD1429" i="10"/>
  <c r="AD1430" i="10"/>
  <c r="AD1431" i="10"/>
  <c r="AD1432" i="10"/>
  <c r="AD1433" i="10"/>
  <c r="AD1434" i="10"/>
  <c r="AD1435" i="10"/>
  <c r="AD1436" i="10"/>
  <c r="AD1437" i="10"/>
  <c r="AD1438" i="10"/>
  <c r="AD1439" i="10"/>
  <c r="AD1440" i="10"/>
  <c r="AD1441" i="10"/>
  <c r="AD1442" i="10"/>
  <c r="AD1443" i="10"/>
  <c r="AD1444" i="10"/>
  <c r="AD1445" i="10"/>
  <c r="AD1446" i="10"/>
  <c r="AD1447" i="10"/>
  <c r="AD1448" i="10"/>
  <c r="AD1449" i="10"/>
  <c r="AD1450" i="10"/>
  <c r="AD1451" i="10"/>
  <c r="AD1452" i="10"/>
  <c r="AD1453" i="10"/>
  <c r="AD1454" i="10"/>
  <c r="AD1455" i="10"/>
  <c r="AD1456" i="10"/>
  <c r="AD1457" i="10"/>
  <c r="AD1458" i="10"/>
  <c r="AD1459" i="10"/>
  <c r="AD1460" i="10"/>
  <c r="AD1461" i="10"/>
  <c r="AD1462" i="10"/>
  <c r="AD1463" i="10"/>
  <c r="AD1464" i="10"/>
  <c r="AD1465" i="10"/>
  <c r="AD1466" i="10"/>
  <c r="AD1467" i="10"/>
  <c r="AD1468" i="10"/>
  <c r="AD1469" i="10"/>
  <c r="AD1470" i="10"/>
  <c r="AD1471" i="10"/>
  <c r="AD1472" i="10"/>
  <c r="AD1473" i="10"/>
  <c r="AD1474" i="10"/>
  <c r="AD1475" i="10"/>
  <c r="AD1476" i="10"/>
  <c r="AD1477" i="10"/>
  <c r="AD1478" i="10"/>
  <c r="AD1479" i="10"/>
  <c r="AD1480" i="10"/>
  <c r="AD1481" i="10"/>
  <c r="AD1482" i="10"/>
  <c r="AD1483" i="10"/>
  <c r="AD1484" i="10"/>
  <c r="AD1485" i="10"/>
  <c r="AD1486" i="10"/>
  <c r="AD1487" i="10"/>
  <c r="AD1488" i="10"/>
  <c r="AD1489" i="10"/>
  <c r="AD1490" i="10"/>
  <c r="AD1491" i="10"/>
  <c r="AD1492" i="10"/>
  <c r="AD1493" i="10"/>
  <c r="AD1494" i="10"/>
  <c r="AD1495" i="10"/>
  <c r="AD1496" i="10"/>
  <c r="AD1497" i="10"/>
  <c r="AD1498" i="10"/>
  <c r="AD1499" i="10"/>
  <c r="AD1500" i="10"/>
  <c r="AD1501" i="10"/>
  <c r="AD1502" i="10"/>
  <c r="AD1503" i="10"/>
  <c r="AD1504" i="10"/>
  <c r="AD1505" i="10"/>
  <c r="AD1506" i="10"/>
  <c r="AD1507" i="10"/>
  <c r="AD1508" i="10"/>
  <c r="AD1509" i="10"/>
  <c r="AD1510" i="10"/>
  <c r="F660" i="10"/>
  <c r="E303" i="13" s="1"/>
  <c r="H303" i="13" s="1" a="1"/>
  <c r="H303" i="13" s="1"/>
  <c r="G660" i="10"/>
  <c r="R660" i="10"/>
  <c r="T660" i="10"/>
  <c r="F661" i="10"/>
  <c r="L661" i="10" s="1"/>
  <c r="G661" i="10"/>
  <c r="R661" i="10"/>
  <c r="T661" i="10"/>
  <c r="A54" i="11"/>
  <c r="Q54" i="11" s="1"/>
  <c r="F28" i="5"/>
  <c r="E28" i="5"/>
  <c r="O31" i="7"/>
  <c r="O85" i="7" s="1"/>
  <c r="Y71" i="9" s="1"/>
  <c r="N31" i="7"/>
  <c r="N85" i="7" s="1"/>
  <c r="Y70" i="9" s="1"/>
  <c r="M31" i="7"/>
  <c r="M85" i="7" s="1"/>
  <c r="Y69" i="9" s="1"/>
  <c r="L31" i="7"/>
  <c r="L85" i="7" s="1"/>
  <c r="Y68" i="9" s="1"/>
  <c r="K31" i="7"/>
  <c r="K85" i="7" s="1"/>
  <c r="Y67" i="9" s="1"/>
  <c r="J31" i="7"/>
  <c r="J85" i="7" s="1"/>
  <c r="Y66" i="9" s="1"/>
  <c r="I31" i="7"/>
  <c r="H31" i="7"/>
  <c r="H85" i="7" s="1"/>
  <c r="Y64" i="9" s="1"/>
  <c r="G31" i="7"/>
  <c r="G85" i="7" s="1"/>
  <c r="Y63" i="9" s="1"/>
  <c r="F31" i="7"/>
  <c r="E31" i="7"/>
  <c r="E85" i="7" s="1"/>
  <c r="Y61" i="9" s="1"/>
  <c r="D31" i="7"/>
  <c r="D85" i="7" s="1"/>
  <c r="Y60" i="9" s="1"/>
  <c r="C31" i="7"/>
  <c r="C85" i="7" s="1"/>
  <c r="Y59" i="9" s="1"/>
  <c r="B31" i="7"/>
  <c r="B85" i="7" s="1"/>
  <c r="Y58" i="9" s="1"/>
  <c r="O58" i="7"/>
  <c r="N58" i="7"/>
  <c r="M58" i="7"/>
  <c r="L58" i="7"/>
  <c r="K58" i="7"/>
  <c r="J58" i="7"/>
  <c r="I58" i="7"/>
  <c r="H58" i="7"/>
  <c r="G58" i="7"/>
  <c r="F58" i="7"/>
  <c r="E58" i="7"/>
  <c r="D58" i="7"/>
  <c r="C58" i="7"/>
  <c r="B58" i="7"/>
  <c r="O129" i="7"/>
  <c r="N129" i="7"/>
  <c r="M129" i="7"/>
  <c r="L129" i="7"/>
  <c r="K129" i="7"/>
  <c r="J129" i="7"/>
  <c r="H129" i="7"/>
  <c r="G129" i="7"/>
  <c r="E129" i="7"/>
  <c r="D129" i="7"/>
  <c r="C129" i="7"/>
  <c r="B129" i="7"/>
  <c r="B15" i="14"/>
  <c r="Q2" i="14" s="1"/>
  <c r="X444" i="13"/>
  <c r="W444" i="13"/>
  <c r="V444" i="13"/>
  <c r="U444" i="13"/>
  <c r="T444" i="13"/>
  <c r="S444" i="13"/>
  <c r="R444" i="13"/>
  <c r="Q444" i="13"/>
  <c r="P444" i="13"/>
  <c r="O444" i="13"/>
  <c r="N444" i="13"/>
  <c r="M444" i="13"/>
  <c r="L444" i="13"/>
  <c r="K444" i="13"/>
  <c r="D444" i="13" a="1"/>
  <c r="D444" i="13" s="1"/>
  <c r="G444" i="13" s="1"/>
  <c r="I444" i="13" s="1"/>
  <c r="X443" i="13"/>
  <c r="W443" i="13"/>
  <c r="V443" i="13"/>
  <c r="U443" i="13"/>
  <c r="T443" i="13"/>
  <c r="S443" i="13"/>
  <c r="R443" i="13"/>
  <c r="Q443" i="13"/>
  <c r="P443" i="13"/>
  <c r="O443" i="13"/>
  <c r="N443" i="13"/>
  <c r="M443" i="13"/>
  <c r="L443" i="13"/>
  <c r="K443" i="13"/>
  <c r="D443" i="13" a="1"/>
  <c r="D443" i="13" s="1"/>
  <c r="G443" i="13" s="1"/>
  <c r="I443" i="13" s="1"/>
  <c r="X442" i="13"/>
  <c r="W442" i="13"/>
  <c r="V442" i="13"/>
  <c r="U442" i="13"/>
  <c r="T442" i="13"/>
  <c r="S442" i="13"/>
  <c r="R442" i="13"/>
  <c r="Q442" i="13"/>
  <c r="P442" i="13"/>
  <c r="O442" i="13"/>
  <c r="N442" i="13"/>
  <c r="M442" i="13"/>
  <c r="L442" i="13"/>
  <c r="K442" i="13"/>
  <c r="D442" i="13" a="1"/>
  <c r="D442" i="13" s="1"/>
  <c r="G442" i="13" s="1"/>
  <c r="I442" i="13" s="1"/>
  <c r="X441" i="13"/>
  <c r="W441" i="13"/>
  <c r="V441" i="13"/>
  <c r="U441" i="13"/>
  <c r="T441" i="13"/>
  <c r="S441" i="13"/>
  <c r="R441" i="13"/>
  <c r="Q441" i="13"/>
  <c r="P441" i="13"/>
  <c r="O441" i="13"/>
  <c r="N441" i="13"/>
  <c r="M441" i="13"/>
  <c r="L441" i="13"/>
  <c r="K441" i="13"/>
  <c r="D441" i="13" a="1"/>
  <c r="D441" i="13" s="1"/>
  <c r="G441" i="13" s="1"/>
  <c r="I441" i="13" s="1"/>
  <c r="X440" i="13"/>
  <c r="W440" i="13"/>
  <c r="V440" i="13"/>
  <c r="U440" i="13"/>
  <c r="T440" i="13"/>
  <c r="S440" i="13"/>
  <c r="R440" i="13"/>
  <c r="Q440" i="13"/>
  <c r="P440" i="13"/>
  <c r="O440" i="13"/>
  <c r="N440" i="13"/>
  <c r="M440" i="13"/>
  <c r="L440" i="13"/>
  <c r="K440" i="13"/>
  <c r="D440" i="13" a="1"/>
  <c r="D440" i="13" s="1"/>
  <c r="G440" i="13" s="1"/>
  <c r="I440" i="13" s="1"/>
  <c r="X439" i="13"/>
  <c r="W439" i="13"/>
  <c r="V439" i="13"/>
  <c r="U439" i="13"/>
  <c r="T439" i="13"/>
  <c r="S439" i="13"/>
  <c r="R439" i="13"/>
  <c r="Q439" i="13"/>
  <c r="P439" i="13"/>
  <c r="O439" i="13"/>
  <c r="N439" i="13"/>
  <c r="M439" i="13"/>
  <c r="L439" i="13"/>
  <c r="K439" i="13"/>
  <c r="D439" i="13" a="1"/>
  <c r="D439" i="13" s="1"/>
  <c r="G439" i="13" s="1"/>
  <c r="I439" i="13" s="1"/>
  <c r="X438" i="13"/>
  <c r="W438" i="13"/>
  <c r="V438" i="13"/>
  <c r="U438" i="13"/>
  <c r="T438" i="13"/>
  <c r="S438" i="13"/>
  <c r="R438" i="13"/>
  <c r="Q438" i="13"/>
  <c r="P438" i="13"/>
  <c r="O438" i="13"/>
  <c r="N438" i="13"/>
  <c r="M438" i="13"/>
  <c r="L438" i="13"/>
  <c r="K438" i="13"/>
  <c r="D438" i="13" a="1"/>
  <c r="D438" i="13" s="1"/>
  <c r="G438" i="13" s="1"/>
  <c r="I438" i="13" s="1"/>
  <c r="X437" i="13"/>
  <c r="W437" i="13"/>
  <c r="V437" i="13"/>
  <c r="U437" i="13"/>
  <c r="T437" i="13"/>
  <c r="S437" i="13"/>
  <c r="R437" i="13"/>
  <c r="Q437" i="13"/>
  <c r="P437" i="13"/>
  <c r="O437" i="13"/>
  <c r="N437" i="13"/>
  <c r="M437" i="13"/>
  <c r="L437" i="13"/>
  <c r="K437" i="13"/>
  <c r="D437" i="13" a="1"/>
  <c r="D437" i="13" s="1"/>
  <c r="G437" i="13" s="1"/>
  <c r="I437" i="13" s="1"/>
  <c r="X436" i="13"/>
  <c r="W436" i="13"/>
  <c r="V436" i="13"/>
  <c r="U436" i="13"/>
  <c r="T436" i="13"/>
  <c r="S436" i="13"/>
  <c r="R436" i="13"/>
  <c r="Q436" i="13"/>
  <c r="P436" i="13"/>
  <c r="O436" i="13"/>
  <c r="N436" i="13"/>
  <c r="M436" i="13"/>
  <c r="L436" i="13"/>
  <c r="K436" i="13"/>
  <c r="D436" i="13" a="1"/>
  <c r="D436" i="13" s="1"/>
  <c r="G436" i="13" s="1"/>
  <c r="I436" i="13" s="1"/>
  <c r="X435" i="13"/>
  <c r="W435" i="13"/>
  <c r="V435" i="13"/>
  <c r="U435" i="13"/>
  <c r="T435" i="13"/>
  <c r="S435" i="13"/>
  <c r="R435" i="13"/>
  <c r="Q435" i="13"/>
  <c r="P435" i="13"/>
  <c r="O435" i="13"/>
  <c r="N435" i="13"/>
  <c r="M435" i="13"/>
  <c r="L435" i="13"/>
  <c r="K435" i="13"/>
  <c r="D435" i="13" a="1"/>
  <c r="D435" i="13" s="1"/>
  <c r="G435" i="13" s="1"/>
  <c r="I435" i="13" s="1"/>
  <c r="X434" i="13"/>
  <c r="W434" i="13"/>
  <c r="V434" i="13"/>
  <c r="U434" i="13"/>
  <c r="T434" i="13"/>
  <c r="S434" i="13"/>
  <c r="R434" i="13"/>
  <c r="Q434" i="13"/>
  <c r="P434" i="13"/>
  <c r="O434" i="13"/>
  <c r="N434" i="13"/>
  <c r="M434" i="13"/>
  <c r="L434" i="13"/>
  <c r="K434" i="13"/>
  <c r="D434" i="13" a="1"/>
  <c r="D434" i="13" s="1"/>
  <c r="G434" i="13" s="1"/>
  <c r="I434" i="13" s="1"/>
  <c r="X433" i="13"/>
  <c r="W433" i="13"/>
  <c r="V433" i="13"/>
  <c r="U433" i="13"/>
  <c r="T433" i="13"/>
  <c r="S433" i="13"/>
  <c r="R433" i="13"/>
  <c r="Q433" i="13"/>
  <c r="P433" i="13"/>
  <c r="O433" i="13"/>
  <c r="N433" i="13"/>
  <c r="M433" i="13"/>
  <c r="L433" i="13"/>
  <c r="K433" i="13"/>
  <c r="D433" i="13" a="1"/>
  <c r="D433" i="13" s="1"/>
  <c r="G433" i="13" s="1"/>
  <c r="I433" i="13" s="1"/>
  <c r="X432" i="13"/>
  <c r="W432" i="13"/>
  <c r="V432" i="13"/>
  <c r="U432" i="13"/>
  <c r="T432" i="13"/>
  <c r="S432" i="13"/>
  <c r="R432" i="13"/>
  <c r="Q432" i="13"/>
  <c r="P432" i="13"/>
  <c r="O432" i="13"/>
  <c r="N432" i="13"/>
  <c r="M432" i="13"/>
  <c r="L432" i="13"/>
  <c r="K432" i="13"/>
  <c r="D432" i="13" a="1"/>
  <c r="D432" i="13" s="1"/>
  <c r="G432" i="13" s="1"/>
  <c r="I432" i="13" s="1"/>
  <c r="X431" i="13"/>
  <c r="W431" i="13"/>
  <c r="V431" i="13"/>
  <c r="U431" i="13"/>
  <c r="T431" i="13"/>
  <c r="S431" i="13"/>
  <c r="R431" i="13"/>
  <c r="Q431" i="13"/>
  <c r="P431" i="13"/>
  <c r="O431" i="13"/>
  <c r="N431" i="13"/>
  <c r="M431" i="13"/>
  <c r="L431" i="13"/>
  <c r="K431" i="13"/>
  <c r="D431" i="13" a="1"/>
  <c r="D431" i="13" s="1"/>
  <c r="G431" i="13" s="1"/>
  <c r="I431" i="13" s="1"/>
  <c r="X430" i="13"/>
  <c r="W430" i="13"/>
  <c r="V430" i="13"/>
  <c r="U430" i="13"/>
  <c r="T430" i="13"/>
  <c r="S430" i="13"/>
  <c r="R430" i="13"/>
  <c r="Q430" i="13"/>
  <c r="P430" i="13"/>
  <c r="O430" i="13"/>
  <c r="N430" i="13"/>
  <c r="M430" i="13"/>
  <c r="L430" i="13"/>
  <c r="K430" i="13"/>
  <c r="D430" i="13" a="1"/>
  <c r="D430" i="13" s="1"/>
  <c r="G430" i="13" s="1"/>
  <c r="I430" i="13" s="1"/>
  <c r="X429" i="13"/>
  <c r="W429" i="13"/>
  <c r="V429" i="13"/>
  <c r="U429" i="13"/>
  <c r="T429" i="13"/>
  <c r="S429" i="13"/>
  <c r="R429" i="13"/>
  <c r="Q429" i="13"/>
  <c r="P429" i="13"/>
  <c r="O429" i="13"/>
  <c r="N429" i="13"/>
  <c r="M429" i="13"/>
  <c r="L429" i="13"/>
  <c r="K429" i="13"/>
  <c r="D429" i="13" a="1"/>
  <c r="D429" i="13" s="1"/>
  <c r="G429" i="13" s="1"/>
  <c r="I429" i="13" s="1"/>
  <c r="X428" i="13"/>
  <c r="W428" i="13"/>
  <c r="V428" i="13"/>
  <c r="U428" i="13"/>
  <c r="T428" i="13"/>
  <c r="S428" i="13"/>
  <c r="R428" i="13"/>
  <c r="Q428" i="13"/>
  <c r="P428" i="13"/>
  <c r="O428" i="13"/>
  <c r="N428" i="13"/>
  <c r="M428" i="13"/>
  <c r="L428" i="13"/>
  <c r="K428" i="13"/>
  <c r="D428" i="13" a="1"/>
  <c r="D428" i="13" s="1"/>
  <c r="G428" i="13" s="1"/>
  <c r="I428" i="13" s="1"/>
  <c r="X427" i="13"/>
  <c r="W427" i="13"/>
  <c r="V427" i="13"/>
  <c r="U427" i="13"/>
  <c r="T427" i="13"/>
  <c r="S427" i="13"/>
  <c r="R427" i="13"/>
  <c r="Q427" i="13"/>
  <c r="P427" i="13"/>
  <c r="O427" i="13"/>
  <c r="N427" i="13"/>
  <c r="M427" i="13"/>
  <c r="L427" i="13"/>
  <c r="K427" i="13"/>
  <c r="D427" i="13" a="1"/>
  <c r="D427" i="13" s="1"/>
  <c r="G427" i="13" s="1"/>
  <c r="I427" i="13" s="1"/>
  <c r="X426" i="13"/>
  <c r="W426" i="13"/>
  <c r="V426" i="13"/>
  <c r="U426" i="13"/>
  <c r="T426" i="13"/>
  <c r="S426" i="13"/>
  <c r="R426" i="13"/>
  <c r="Q426" i="13"/>
  <c r="P426" i="13"/>
  <c r="O426" i="13"/>
  <c r="N426" i="13"/>
  <c r="M426" i="13"/>
  <c r="L426" i="13"/>
  <c r="K426" i="13"/>
  <c r="D426" i="13" a="1"/>
  <c r="D426" i="13" s="1"/>
  <c r="G426" i="13" s="1"/>
  <c r="I426" i="13" s="1"/>
  <c r="X425" i="13"/>
  <c r="W425" i="13"/>
  <c r="V425" i="13"/>
  <c r="U425" i="13"/>
  <c r="T425" i="13"/>
  <c r="S425" i="13"/>
  <c r="R425" i="13"/>
  <c r="Q425" i="13"/>
  <c r="P425" i="13"/>
  <c r="O425" i="13"/>
  <c r="N425" i="13"/>
  <c r="M425" i="13"/>
  <c r="L425" i="13"/>
  <c r="K425" i="13"/>
  <c r="D425" i="13" a="1"/>
  <c r="D425" i="13" s="1"/>
  <c r="G425" i="13" s="1"/>
  <c r="I425" i="13" s="1"/>
  <c r="X424" i="13"/>
  <c r="W424" i="13"/>
  <c r="V424" i="13"/>
  <c r="U424" i="13"/>
  <c r="T424" i="13"/>
  <c r="S424" i="13"/>
  <c r="R424" i="13"/>
  <c r="Q424" i="13"/>
  <c r="P424" i="13"/>
  <c r="O424" i="13"/>
  <c r="N424" i="13"/>
  <c r="M424" i="13"/>
  <c r="L424" i="13"/>
  <c r="K424" i="13"/>
  <c r="D424" i="13" a="1"/>
  <c r="D424" i="13" s="1"/>
  <c r="G424" i="13" s="1"/>
  <c r="I424" i="13" s="1"/>
  <c r="X423" i="13"/>
  <c r="W423" i="13"/>
  <c r="V423" i="13"/>
  <c r="U423" i="13"/>
  <c r="T423" i="13"/>
  <c r="S423" i="13"/>
  <c r="R423" i="13"/>
  <c r="Q423" i="13"/>
  <c r="P423" i="13"/>
  <c r="O423" i="13"/>
  <c r="N423" i="13"/>
  <c r="M423" i="13"/>
  <c r="L423" i="13"/>
  <c r="K423" i="13"/>
  <c r="D423" i="13" a="1"/>
  <c r="D423" i="13" s="1"/>
  <c r="G423" i="13" s="1"/>
  <c r="I423" i="13" s="1"/>
  <c r="X422" i="13"/>
  <c r="W422" i="13"/>
  <c r="V422" i="13"/>
  <c r="U422" i="13"/>
  <c r="T422" i="13"/>
  <c r="S422" i="13"/>
  <c r="R422" i="13"/>
  <c r="Q422" i="13"/>
  <c r="P422" i="13"/>
  <c r="O422" i="13"/>
  <c r="N422" i="13"/>
  <c r="M422" i="13"/>
  <c r="L422" i="13"/>
  <c r="K422" i="13"/>
  <c r="D422" i="13" a="1"/>
  <c r="D422" i="13" s="1"/>
  <c r="G422" i="13" s="1"/>
  <c r="I422" i="13" s="1"/>
  <c r="X421" i="13"/>
  <c r="W421" i="13"/>
  <c r="V421" i="13"/>
  <c r="U421" i="13"/>
  <c r="T421" i="13"/>
  <c r="S421" i="13"/>
  <c r="R421" i="13"/>
  <c r="Q421" i="13"/>
  <c r="P421" i="13"/>
  <c r="O421" i="13"/>
  <c r="N421" i="13"/>
  <c r="M421" i="13"/>
  <c r="L421" i="13"/>
  <c r="K421" i="13"/>
  <c r="D421" i="13" a="1"/>
  <c r="D421" i="13" s="1"/>
  <c r="G421" i="13" s="1"/>
  <c r="I421" i="13" s="1"/>
  <c r="X420" i="13"/>
  <c r="W420" i="13"/>
  <c r="V420" i="13"/>
  <c r="U420" i="13"/>
  <c r="T420" i="13"/>
  <c r="S420" i="13"/>
  <c r="R420" i="13"/>
  <c r="Q420" i="13"/>
  <c r="P420" i="13"/>
  <c r="O420" i="13"/>
  <c r="N420" i="13"/>
  <c r="M420" i="13"/>
  <c r="L420" i="13"/>
  <c r="K420" i="13"/>
  <c r="D420" i="13" a="1"/>
  <c r="D420" i="13" s="1"/>
  <c r="G420" i="13" s="1"/>
  <c r="I420" i="13" s="1"/>
  <c r="X419" i="13"/>
  <c r="W419" i="13"/>
  <c r="V419" i="13"/>
  <c r="U419" i="13"/>
  <c r="T419" i="13"/>
  <c r="S419" i="13"/>
  <c r="R419" i="13"/>
  <c r="Q419" i="13"/>
  <c r="P419" i="13"/>
  <c r="O419" i="13"/>
  <c r="N419" i="13"/>
  <c r="M419" i="13"/>
  <c r="L419" i="13"/>
  <c r="K419" i="13"/>
  <c r="D419" i="13" a="1"/>
  <c r="D419" i="13" s="1"/>
  <c r="G419" i="13" s="1"/>
  <c r="I419" i="13" s="1"/>
  <c r="X418" i="13"/>
  <c r="W418" i="13"/>
  <c r="V418" i="13"/>
  <c r="U418" i="13"/>
  <c r="T418" i="13"/>
  <c r="S418" i="13"/>
  <c r="R418" i="13"/>
  <c r="Q418" i="13"/>
  <c r="P418" i="13"/>
  <c r="O418" i="13"/>
  <c r="N418" i="13"/>
  <c r="M418" i="13"/>
  <c r="L418" i="13"/>
  <c r="K418" i="13"/>
  <c r="D418" i="13" a="1"/>
  <c r="D418" i="13" s="1"/>
  <c r="G418" i="13" s="1"/>
  <c r="I418" i="13" s="1"/>
  <c r="X417" i="13"/>
  <c r="W417" i="13"/>
  <c r="V417" i="13"/>
  <c r="U417" i="13"/>
  <c r="T417" i="13"/>
  <c r="S417" i="13"/>
  <c r="R417" i="13"/>
  <c r="Q417" i="13"/>
  <c r="P417" i="13"/>
  <c r="O417" i="13"/>
  <c r="N417" i="13"/>
  <c r="M417" i="13"/>
  <c r="L417" i="13"/>
  <c r="K417" i="13"/>
  <c r="D417" i="13" a="1"/>
  <c r="D417" i="13" s="1"/>
  <c r="G417" i="13" s="1"/>
  <c r="I417" i="13" s="1"/>
  <c r="X416" i="13"/>
  <c r="W416" i="13"/>
  <c r="V416" i="13"/>
  <c r="U416" i="13"/>
  <c r="T416" i="13"/>
  <c r="S416" i="13"/>
  <c r="R416" i="13"/>
  <c r="Q416" i="13"/>
  <c r="P416" i="13"/>
  <c r="O416" i="13"/>
  <c r="N416" i="13"/>
  <c r="M416" i="13"/>
  <c r="L416" i="13"/>
  <c r="K416" i="13"/>
  <c r="D416" i="13" a="1"/>
  <c r="D416" i="13" s="1"/>
  <c r="G416" i="13" s="1"/>
  <c r="I416" i="13" s="1"/>
  <c r="X415" i="13"/>
  <c r="W415" i="13"/>
  <c r="V415" i="13"/>
  <c r="U415" i="13"/>
  <c r="T415" i="13"/>
  <c r="S415" i="13"/>
  <c r="R415" i="13"/>
  <c r="Q415" i="13"/>
  <c r="P415" i="13"/>
  <c r="O415" i="13"/>
  <c r="N415" i="13"/>
  <c r="M415" i="13"/>
  <c r="L415" i="13"/>
  <c r="K415" i="13"/>
  <c r="D415" i="13" a="1"/>
  <c r="D415" i="13" s="1"/>
  <c r="G415" i="13" s="1"/>
  <c r="I415" i="13" s="1"/>
  <c r="X414" i="13"/>
  <c r="W414" i="13"/>
  <c r="V414" i="13"/>
  <c r="U414" i="13"/>
  <c r="T414" i="13"/>
  <c r="S414" i="13"/>
  <c r="R414" i="13"/>
  <c r="Q414" i="13"/>
  <c r="P414" i="13"/>
  <c r="O414" i="13"/>
  <c r="N414" i="13"/>
  <c r="M414" i="13"/>
  <c r="L414" i="13"/>
  <c r="K414" i="13"/>
  <c r="D414" i="13" a="1"/>
  <c r="D414" i="13" s="1"/>
  <c r="G414" i="13" s="1"/>
  <c r="I414" i="13" s="1"/>
  <c r="X413" i="13"/>
  <c r="W413" i="13"/>
  <c r="V413" i="13"/>
  <c r="U413" i="13"/>
  <c r="T413" i="13"/>
  <c r="S413" i="13"/>
  <c r="R413" i="13"/>
  <c r="Q413" i="13"/>
  <c r="P413" i="13"/>
  <c r="O413" i="13"/>
  <c r="N413" i="13"/>
  <c r="M413" i="13"/>
  <c r="L413" i="13"/>
  <c r="K413" i="13"/>
  <c r="D413" i="13" a="1"/>
  <c r="D413" i="13" s="1"/>
  <c r="G413" i="13" s="1"/>
  <c r="I413" i="13" s="1"/>
  <c r="X412" i="13"/>
  <c r="W412" i="13"/>
  <c r="V412" i="13"/>
  <c r="U412" i="13"/>
  <c r="T412" i="13"/>
  <c r="S412" i="13"/>
  <c r="R412" i="13"/>
  <c r="Q412" i="13"/>
  <c r="P412" i="13"/>
  <c r="O412" i="13"/>
  <c r="N412" i="13"/>
  <c r="M412" i="13"/>
  <c r="L412" i="13"/>
  <c r="K412" i="13"/>
  <c r="D412" i="13" a="1"/>
  <c r="D412" i="13" s="1"/>
  <c r="G412" i="13" s="1"/>
  <c r="I412" i="13" s="1"/>
  <c r="X411" i="13"/>
  <c r="W411" i="13"/>
  <c r="V411" i="13"/>
  <c r="U411" i="13"/>
  <c r="T411" i="13"/>
  <c r="S411" i="13"/>
  <c r="R411" i="13"/>
  <c r="Q411" i="13"/>
  <c r="P411" i="13"/>
  <c r="O411" i="13"/>
  <c r="N411" i="13"/>
  <c r="M411" i="13"/>
  <c r="L411" i="13"/>
  <c r="K411" i="13"/>
  <c r="D411" i="13" a="1"/>
  <c r="D411" i="13" s="1"/>
  <c r="G411" i="13" s="1"/>
  <c r="I411" i="13" s="1"/>
  <c r="X410" i="13"/>
  <c r="W410" i="13"/>
  <c r="V410" i="13"/>
  <c r="U410" i="13"/>
  <c r="T410" i="13"/>
  <c r="S410" i="13"/>
  <c r="R410" i="13"/>
  <c r="Q410" i="13"/>
  <c r="P410" i="13"/>
  <c r="O410" i="13"/>
  <c r="N410" i="13"/>
  <c r="M410" i="13"/>
  <c r="L410" i="13"/>
  <c r="K410" i="13"/>
  <c r="D410" i="13" a="1"/>
  <c r="D410" i="13" s="1"/>
  <c r="G410" i="13" s="1"/>
  <c r="I410" i="13" s="1"/>
  <c r="X409" i="13"/>
  <c r="W409" i="13"/>
  <c r="V409" i="13"/>
  <c r="U409" i="13"/>
  <c r="T409" i="13"/>
  <c r="S409" i="13"/>
  <c r="R409" i="13"/>
  <c r="Q409" i="13"/>
  <c r="P409" i="13"/>
  <c r="O409" i="13"/>
  <c r="N409" i="13"/>
  <c r="M409" i="13"/>
  <c r="L409" i="13"/>
  <c r="K409" i="13"/>
  <c r="D409" i="13" a="1"/>
  <c r="D409" i="13" s="1"/>
  <c r="G409" i="13" s="1"/>
  <c r="I409" i="13" s="1"/>
  <c r="X408" i="13"/>
  <c r="W408" i="13"/>
  <c r="V408" i="13"/>
  <c r="U408" i="13"/>
  <c r="T408" i="13"/>
  <c r="S408" i="13"/>
  <c r="R408" i="13"/>
  <c r="Q408" i="13"/>
  <c r="P408" i="13"/>
  <c r="O408" i="13"/>
  <c r="N408" i="13"/>
  <c r="M408" i="13"/>
  <c r="L408" i="13"/>
  <c r="K408" i="13"/>
  <c r="D408" i="13" a="1"/>
  <c r="D408" i="13" s="1"/>
  <c r="G408" i="13" s="1"/>
  <c r="I408" i="13" s="1"/>
  <c r="X407" i="13"/>
  <c r="W407" i="13"/>
  <c r="V407" i="13"/>
  <c r="U407" i="13"/>
  <c r="T407" i="13"/>
  <c r="S407" i="13"/>
  <c r="R407" i="13"/>
  <c r="Q407" i="13"/>
  <c r="P407" i="13"/>
  <c r="O407" i="13"/>
  <c r="N407" i="13"/>
  <c r="M407" i="13"/>
  <c r="L407" i="13"/>
  <c r="K407" i="13"/>
  <c r="D407" i="13" a="1"/>
  <c r="D407" i="13" s="1"/>
  <c r="G407" i="13" s="1"/>
  <c r="I407" i="13" s="1"/>
  <c r="X406" i="13"/>
  <c r="W406" i="13"/>
  <c r="V406" i="13"/>
  <c r="U406" i="13"/>
  <c r="T406" i="13"/>
  <c r="S406" i="13"/>
  <c r="R406" i="13"/>
  <c r="Q406" i="13"/>
  <c r="P406" i="13"/>
  <c r="O406" i="13"/>
  <c r="N406" i="13"/>
  <c r="M406" i="13"/>
  <c r="L406" i="13"/>
  <c r="K406" i="13"/>
  <c r="D406" i="13" a="1"/>
  <c r="D406" i="13" s="1"/>
  <c r="G406" i="13" s="1"/>
  <c r="I406" i="13" s="1"/>
  <c r="X405" i="13"/>
  <c r="W405" i="13"/>
  <c r="V405" i="13"/>
  <c r="U405" i="13"/>
  <c r="T405" i="13"/>
  <c r="S405" i="13"/>
  <c r="R405" i="13"/>
  <c r="Q405" i="13"/>
  <c r="P405" i="13"/>
  <c r="O405" i="13"/>
  <c r="N405" i="13"/>
  <c r="M405" i="13"/>
  <c r="L405" i="13"/>
  <c r="K405" i="13"/>
  <c r="D405" i="13" a="1"/>
  <c r="D405" i="13" s="1"/>
  <c r="G405" i="13" s="1"/>
  <c r="I405" i="13" s="1"/>
  <c r="X404" i="13"/>
  <c r="W404" i="13"/>
  <c r="V404" i="13"/>
  <c r="U404" i="13"/>
  <c r="T404" i="13"/>
  <c r="S404" i="13"/>
  <c r="R404" i="13"/>
  <c r="Q404" i="13"/>
  <c r="P404" i="13"/>
  <c r="O404" i="13"/>
  <c r="N404" i="13"/>
  <c r="M404" i="13"/>
  <c r="L404" i="13"/>
  <c r="K404" i="13"/>
  <c r="D404" i="13" a="1"/>
  <c r="D404" i="13" s="1"/>
  <c r="G404" i="13" s="1"/>
  <c r="I404" i="13" s="1"/>
  <c r="X403" i="13"/>
  <c r="W403" i="13"/>
  <c r="V403" i="13"/>
  <c r="U403" i="13"/>
  <c r="T403" i="13"/>
  <c r="S403" i="13"/>
  <c r="R403" i="13"/>
  <c r="Q403" i="13"/>
  <c r="P403" i="13"/>
  <c r="O403" i="13"/>
  <c r="N403" i="13"/>
  <c r="M403" i="13"/>
  <c r="L403" i="13"/>
  <c r="K403" i="13"/>
  <c r="D403" i="13" a="1"/>
  <c r="D403" i="13" s="1"/>
  <c r="G403" i="13" s="1"/>
  <c r="I403" i="13" s="1"/>
  <c r="X402" i="13"/>
  <c r="W402" i="13"/>
  <c r="V402" i="13"/>
  <c r="U402" i="13"/>
  <c r="T402" i="13"/>
  <c r="S402" i="13"/>
  <c r="R402" i="13"/>
  <c r="Q402" i="13"/>
  <c r="P402" i="13"/>
  <c r="O402" i="13"/>
  <c r="N402" i="13"/>
  <c r="M402" i="13"/>
  <c r="L402" i="13"/>
  <c r="K402" i="13"/>
  <c r="D402" i="13" a="1"/>
  <c r="D402" i="13" s="1"/>
  <c r="G402" i="13" s="1"/>
  <c r="I402" i="13" s="1"/>
  <c r="X401" i="13"/>
  <c r="W401" i="13"/>
  <c r="V401" i="13"/>
  <c r="U401" i="13"/>
  <c r="T401" i="13"/>
  <c r="S401" i="13"/>
  <c r="R401" i="13"/>
  <c r="Q401" i="13"/>
  <c r="P401" i="13"/>
  <c r="O401" i="13"/>
  <c r="N401" i="13"/>
  <c r="M401" i="13"/>
  <c r="L401" i="13"/>
  <c r="K401" i="13"/>
  <c r="D401" i="13" a="1"/>
  <c r="D401" i="13" s="1"/>
  <c r="G401" i="13" s="1"/>
  <c r="I401" i="13" s="1"/>
  <c r="X400" i="13"/>
  <c r="W400" i="13"/>
  <c r="V400" i="13"/>
  <c r="U400" i="13"/>
  <c r="T400" i="13"/>
  <c r="S400" i="13"/>
  <c r="R400" i="13"/>
  <c r="Q400" i="13"/>
  <c r="P400" i="13"/>
  <c r="O400" i="13"/>
  <c r="N400" i="13"/>
  <c r="M400" i="13"/>
  <c r="L400" i="13"/>
  <c r="K400" i="13"/>
  <c r="D400" i="13" a="1"/>
  <c r="D400" i="13" s="1"/>
  <c r="G400" i="13" s="1"/>
  <c r="I400" i="13" s="1"/>
  <c r="X399" i="13"/>
  <c r="W399" i="13"/>
  <c r="V399" i="13"/>
  <c r="U399" i="13"/>
  <c r="T399" i="13"/>
  <c r="S399" i="13"/>
  <c r="R399" i="13"/>
  <c r="Q399" i="13"/>
  <c r="P399" i="13"/>
  <c r="O399" i="13"/>
  <c r="N399" i="13"/>
  <c r="M399" i="13"/>
  <c r="L399" i="13"/>
  <c r="K399" i="13"/>
  <c r="D399" i="13" a="1"/>
  <c r="D399" i="13" s="1"/>
  <c r="G399" i="13" s="1"/>
  <c r="I399" i="13" s="1"/>
  <c r="X398" i="13"/>
  <c r="W398" i="13"/>
  <c r="V398" i="13"/>
  <c r="U398" i="13"/>
  <c r="T398" i="13"/>
  <c r="S398" i="13"/>
  <c r="R398" i="13"/>
  <c r="Q398" i="13"/>
  <c r="P398" i="13"/>
  <c r="O398" i="13"/>
  <c r="N398" i="13"/>
  <c r="M398" i="13"/>
  <c r="L398" i="13"/>
  <c r="K398" i="13"/>
  <c r="D398" i="13" a="1"/>
  <c r="D398" i="13" s="1"/>
  <c r="G398" i="13" s="1"/>
  <c r="I398" i="13" s="1"/>
  <c r="X397" i="13"/>
  <c r="W397" i="13"/>
  <c r="V397" i="13"/>
  <c r="U397" i="13"/>
  <c r="T397" i="13"/>
  <c r="S397" i="13"/>
  <c r="R397" i="13"/>
  <c r="Q397" i="13"/>
  <c r="P397" i="13"/>
  <c r="O397" i="13"/>
  <c r="N397" i="13"/>
  <c r="M397" i="13"/>
  <c r="L397" i="13"/>
  <c r="K397" i="13"/>
  <c r="D397" i="13" a="1"/>
  <c r="D397" i="13" s="1"/>
  <c r="G397" i="13" s="1"/>
  <c r="I397" i="13" s="1"/>
  <c r="X396" i="13"/>
  <c r="W396" i="13"/>
  <c r="V396" i="13"/>
  <c r="U396" i="13"/>
  <c r="T396" i="13"/>
  <c r="S396" i="13"/>
  <c r="R396" i="13"/>
  <c r="Q396" i="13"/>
  <c r="P396" i="13"/>
  <c r="O396" i="13"/>
  <c r="N396" i="13"/>
  <c r="M396" i="13"/>
  <c r="L396" i="13"/>
  <c r="K396" i="13"/>
  <c r="D396" i="13" a="1"/>
  <c r="D396" i="13" s="1"/>
  <c r="G396" i="13" s="1"/>
  <c r="I396" i="13" s="1"/>
  <c r="X395" i="13"/>
  <c r="W395" i="13"/>
  <c r="V395" i="13"/>
  <c r="U395" i="13"/>
  <c r="T395" i="13"/>
  <c r="S395" i="13"/>
  <c r="R395" i="13"/>
  <c r="Q395" i="13"/>
  <c r="P395" i="13"/>
  <c r="O395" i="13"/>
  <c r="N395" i="13"/>
  <c r="M395" i="13"/>
  <c r="L395" i="13"/>
  <c r="K395" i="13"/>
  <c r="D395" i="13" a="1"/>
  <c r="D395" i="13" s="1"/>
  <c r="G395" i="13" s="1"/>
  <c r="I395" i="13" s="1"/>
  <c r="X394" i="13"/>
  <c r="W394" i="13"/>
  <c r="V394" i="13"/>
  <c r="U394" i="13"/>
  <c r="T394" i="13"/>
  <c r="S394" i="13"/>
  <c r="R394" i="13"/>
  <c r="Q394" i="13"/>
  <c r="P394" i="13"/>
  <c r="O394" i="13"/>
  <c r="N394" i="13"/>
  <c r="M394" i="13"/>
  <c r="L394" i="13"/>
  <c r="K394" i="13"/>
  <c r="D394" i="13" a="1"/>
  <c r="D394" i="13" s="1"/>
  <c r="G394" i="13" s="1"/>
  <c r="I394" i="13" s="1"/>
  <c r="X393" i="13"/>
  <c r="W393" i="13"/>
  <c r="V393" i="13"/>
  <c r="U393" i="13"/>
  <c r="T393" i="13"/>
  <c r="S393" i="13"/>
  <c r="R393" i="13"/>
  <c r="Q393" i="13"/>
  <c r="P393" i="13"/>
  <c r="O393" i="13"/>
  <c r="N393" i="13"/>
  <c r="M393" i="13"/>
  <c r="L393" i="13"/>
  <c r="K393" i="13"/>
  <c r="D393" i="13" a="1"/>
  <c r="D393" i="13" s="1"/>
  <c r="G393" i="13" s="1"/>
  <c r="I393" i="13" s="1"/>
  <c r="X392" i="13"/>
  <c r="W392" i="13"/>
  <c r="V392" i="13"/>
  <c r="U392" i="13"/>
  <c r="T392" i="13"/>
  <c r="S392" i="13"/>
  <c r="R392" i="13"/>
  <c r="Q392" i="13"/>
  <c r="P392" i="13"/>
  <c r="O392" i="13"/>
  <c r="N392" i="13"/>
  <c r="M392" i="13"/>
  <c r="L392" i="13"/>
  <c r="K392" i="13"/>
  <c r="D392" i="13" a="1"/>
  <c r="D392" i="13" s="1"/>
  <c r="G392" i="13" s="1"/>
  <c r="I392" i="13" s="1"/>
  <c r="X391" i="13"/>
  <c r="W391" i="13"/>
  <c r="V391" i="13"/>
  <c r="U391" i="13"/>
  <c r="T391" i="13"/>
  <c r="S391" i="13"/>
  <c r="R391" i="13"/>
  <c r="Q391" i="13"/>
  <c r="P391" i="13"/>
  <c r="O391" i="13"/>
  <c r="N391" i="13"/>
  <c r="M391" i="13"/>
  <c r="L391" i="13"/>
  <c r="K391" i="13"/>
  <c r="D391" i="13" a="1"/>
  <c r="D391" i="13" s="1"/>
  <c r="G391" i="13" s="1"/>
  <c r="I391" i="13" s="1"/>
  <c r="X390" i="13"/>
  <c r="W390" i="13"/>
  <c r="V390" i="13"/>
  <c r="U390" i="13"/>
  <c r="T390" i="13"/>
  <c r="S390" i="13"/>
  <c r="R390" i="13"/>
  <c r="Q390" i="13"/>
  <c r="P390" i="13"/>
  <c r="O390" i="13"/>
  <c r="N390" i="13"/>
  <c r="M390" i="13"/>
  <c r="L390" i="13"/>
  <c r="K390" i="13"/>
  <c r="D390" i="13" a="1"/>
  <c r="D390" i="13" s="1"/>
  <c r="G390" i="13" s="1"/>
  <c r="I390" i="13" s="1"/>
  <c r="X389" i="13"/>
  <c r="W389" i="13"/>
  <c r="V389" i="13"/>
  <c r="U389" i="13"/>
  <c r="T389" i="13"/>
  <c r="S389" i="13"/>
  <c r="R389" i="13"/>
  <c r="Q389" i="13"/>
  <c r="P389" i="13"/>
  <c r="O389" i="13"/>
  <c r="N389" i="13"/>
  <c r="M389" i="13"/>
  <c r="L389" i="13"/>
  <c r="K389" i="13"/>
  <c r="D389" i="13" a="1"/>
  <c r="D389" i="13" s="1"/>
  <c r="G389" i="13" s="1"/>
  <c r="I389" i="13" s="1"/>
  <c r="X388" i="13"/>
  <c r="W388" i="13"/>
  <c r="V388" i="13"/>
  <c r="U388" i="13"/>
  <c r="T388" i="13"/>
  <c r="S388" i="13"/>
  <c r="R388" i="13"/>
  <c r="Q388" i="13"/>
  <c r="P388" i="13"/>
  <c r="O388" i="13"/>
  <c r="N388" i="13"/>
  <c r="M388" i="13"/>
  <c r="L388" i="13"/>
  <c r="K388" i="13"/>
  <c r="D388" i="13" a="1"/>
  <c r="D388" i="13" s="1"/>
  <c r="G388" i="13" s="1"/>
  <c r="I388" i="13" s="1"/>
  <c r="X387" i="13"/>
  <c r="W387" i="13"/>
  <c r="V387" i="13"/>
  <c r="U387" i="13"/>
  <c r="T387" i="13"/>
  <c r="S387" i="13"/>
  <c r="R387" i="13"/>
  <c r="Q387" i="13"/>
  <c r="P387" i="13"/>
  <c r="O387" i="13"/>
  <c r="N387" i="13"/>
  <c r="M387" i="13"/>
  <c r="L387" i="13"/>
  <c r="K387" i="13"/>
  <c r="D387" i="13" a="1"/>
  <c r="D387" i="13" s="1"/>
  <c r="G387" i="13" s="1"/>
  <c r="I387" i="13" s="1"/>
  <c r="X386" i="13"/>
  <c r="W386" i="13"/>
  <c r="V386" i="13"/>
  <c r="U386" i="13"/>
  <c r="T386" i="13"/>
  <c r="S386" i="13"/>
  <c r="R386" i="13"/>
  <c r="Q386" i="13"/>
  <c r="P386" i="13"/>
  <c r="O386" i="13"/>
  <c r="N386" i="13"/>
  <c r="M386" i="13"/>
  <c r="L386" i="13"/>
  <c r="K386" i="13"/>
  <c r="D386" i="13" a="1"/>
  <c r="D386" i="13" s="1"/>
  <c r="G386" i="13" s="1"/>
  <c r="I386" i="13" s="1"/>
  <c r="X385" i="13"/>
  <c r="W385" i="13"/>
  <c r="V385" i="13"/>
  <c r="U385" i="13"/>
  <c r="T385" i="13"/>
  <c r="S385" i="13"/>
  <c r="R385" i="13"/>
  <c r="Q385" i="13"/>
  <c r="P385" i="13"/>
  <c r="O385" i="13"/>
  <c r="N385" i="13"/>
  <c r="M385" i="13"/>
  <c r="L385" i="13"/>
  <c r="K385" i="13"/>
  <c r="D385" i="13" a="1"/>
  <c r="D385" i="13" s="1"/>
  <c r="G385" i="13" s="1"/>
  <c r="I385" i="13" s="1"/>
  <c r="X384" i="13"/>
  <c r="W384" i="13"/>
  <c r="V384" i="13"/>
  <c r="U384" i="13"/>
  <c r="T384" i="13"/>
  <c r="S384" i="13"/>
  <c r="R384" i="13"/>
  <c r="Q384" i="13"/>
  <c r="P384" i="13"/>
  <c r="O384" i="13"/>
  <c r="N384" i="13"/>
  <c r="M384" i="13"/>
  <c r="L384" i="13"/>
  <c r="K384" i="13"/>
  <c r="D384" i="13" a="1"/>
  <c r="D384" i="13" s="1"/>
  <c r="G384" i="13" s="1"/>
  <c r="I384" i="13" s="1"/>
  <c r="X383" i="13"/>
  <c r="W383" i="13"/>
  <c r="V383" i="13"/>
  <c r="U383" i="13"/>
  <c r="T383" i="13"/>
  <c r="S383" i="13"/>
  <c r="R383" i="13"/>
  <c r="Q383" i="13"/>
  <c r="P383" i="13"/>
  <c r="O383" i="13"/>
  <c r="N383" i="13"/>
  <c r="M383" i="13"/>
  <c r="L383" i="13"/>
  <c r="K383" i="13"/>
  <c r="D383" i="13" a="1"/>
  <c r="D383" i="13" s="1"/>
  <c r="G383" i="13" s="1"/>
  <c r="I383" i="13" s="1"/>
  <c r="X382" i="13"/>
  <c r="W382" i="13"/>
  <c r="V382" i="13"/>
  <c r="U382" i="13"/>
  <c r="T382" i="13"/>
  <c r="S382" i="13"/>
  <c r="R382" i="13"/>
  <c r="Q382" i="13"/>
  <c r="P382" i="13"/>
  <c r="O382" i="13"/>
  <c r="N382" i="13"/>
  <c r="M382" i="13"/>
  <c r="L382" i="13"/>
  <c r="K382" i="13"/>
  <c r="D382" i="13" a="1"/>
  <c r="D382" i="13" s="1"/>
  <c r="G382" i="13" s="1"/>
  <c r="I382" i="13" s="1"/>
  <c r="X381" i="13"/>
  <c r="W381" i="13"/>
  <c r="V381" i="13"/>
  <c r="U381" i="13"/>
  <c r="T381" i="13"/>
  <c r="S381" i="13"/>
  <c r="R381" i="13"/>
  <c r="Q381" i="13"/>
  <c r="P381" i="13"/>
  <c r="O381" i="13"/>
  <c r="N381" i="13"/>
  <c r="M381" i="13"/>
  <c r="L381" i="13"/>
  <c r="K381" i="13"/>
  <c r="D381" i="13" a="1"/>
  <c r="D381" i="13" s="1"/>
  <c r="G381" i="13" s="1"/>
  <c r="I381" i="13" s="1"/>
  <c r="X380" i="13"/>
  <c r="W380" i="13"/>
  <c r="V380" i="13"/>
  <c r="U380" i="13"/>
  <c r="T380" i="13"/>
  <c r="S380" i="13"/>
  <c r="R380" i="13"/>
  <c r="Q380" i="13"/>
  <c r="P380" i="13"/>
  <c r="O380" i="13"/>
  <c r="N380" i="13"/>
  <c r="M380" i="13"/>
  <c r="L380" i="13"/>
  <c r="K380" i="13"/>
  <c r="D380" i="13" a="1"/>
  <c r="D380" i="13" s="1"/>
  <c r="G380" i="13" s="1"/>
  <c r="I380" i="13" s="1"/>
  <c r="X379" i="13"/>
  <c r="W379" i="13"/>
  <c r="V379" i="13"/>
  <c r="U379" i="13"/>
  <c r="T379" i="13"/>
  <c r="S379" i="13"/>
  <c r="R379" i="13"/>
  <c r="Q379" i="13"/>
  <c r="P379" i="13"/>
  <c r="O379" i="13"/>
  <c r="N379" i="13"/>
  <c r="M379" i="13"/>
  <c r="L379" i="13"/>
  <c r="K379" i="13"/>
  <c r="D379" i="13" a="1"/>
  <c r="D379" i="13" s="1"/>
  <c r="G379" i="13" s="1"/>
  <c r="I379" i="13" s="1"/>
  <c r="X378" i="13"/>
  <c r="W378" i="13"/>
  <c r="V378" i="13"/>
  <c r="U378" i="13"/>
  <c r="T378" i="13"/>
  <c r="S378" i="13"/>
  <c r="R378" i="13"/>
  <c r="Q378" i="13"/>
  <c r="P378" i="13"/>
  <c r="O378" i="13"/>
  <c r="N378" i="13"/>
  <c r="M378" i="13"/>
  <c r="L378" i="13"/>
  <c r="K378" i="13"/>
  <c r="D378" i="13" a="1"/>
  <c r="D378" i="13" s="1"/>
  <c r="G378" i="13" s="1"/>
  <c r="I378" i="13" s="1"/>
  <c r="X377" i="13"/>
  <c r="W377" i="13"/>
  <c r="V377" i="13"/>
  <c r="U377" i="13"/>
  <c r="T377" i="13"/>
  <c r="S377" i="13"/>
  <c r="R377" i="13"/>
  <c r="Q377" i="13"/>
  <c r="P377" i="13"/>
  <c r="O377" i="13"/>
  <c r="N377" i="13"/>
  <c r="M377" i="13"/>
  <c r="L377" i="13"/>
  <c r="K377" i="13"/>
  <c r="D377" i="13" a="1"/>
  <c r="D377" i="13" s="1"/>
  <c r="G377" i="13" s="1"/>
  <c r="I377" i="13" s="1"/>
  <c r="X376" i="13"/>
  <c r="W376" i="13"/>
  <c r="V376" i="13"/>
  <c r="U376" i="13"/>
  <c r="T376" i="13"/>
  <c r="S376" i="13"/>
  <c r="R376" i="13"/>
  <c r="Q376" i="13"/>
  <c r="P376" i="13"/>
  <c r="O376" i="13"/>
  <c r="N376" i="13"/>
  <c r="M376" i="13"/>
  <c r="L376" i="13"/>
  <c r="K376" i="13"/>
  <c r="D376" i="13" a="1"/>
  <c r="D376" i="13" s="1"/>
  <c r="G376" i="13" s="1"/>
  <c r="I376" i="13" s="1"/>
  <c r="X375" i="13"/>
  <c r="W375" i="13"/>
  <c r="V375" i="13"/>
  <c r="U375" i="13"/>
  <c r="T375" i="13"/>
  <c r="S375" i="13"/>
  <c r="R375" i="13"/>
  <c r="Q375" i="13"/>
  <c r="P375" i="13"/>
  <c r="O375" i="13"/>
  <c r="N375" i="13"/>
  <c r="M375" i="13"/>
  <c r="L375" i="13"/>
  <c r="K375" i="13"/>
  <c r="D375" i="13" a="1"/>
  <c r="D375" i="13" s="1"/>
  <c r="G375" i="13" s="1"/>
  <c r="I375" i="13" s="1"/>
  <c r="X374" i="13"/>
  <c r="W374" i="13"/>
  <c r="V374" i="13"/>
  <c r="U374" i="13"/>
  <c r="T374" i="13"/>
  <c r="S374" i="13"/>
  <c r="R374" i="13"/>
  <c r="Q374" i="13"/>
  <c r="P374" i="13"/>
  <c r="O374" i="13"/>
  <c r="N374" i="13"/>
  <c r="M374" i="13"/>
  <c r="L374" i="13"/>
  <c r="K374" i="13"/>
  <c r="D374" i="13" a="1"/>
  <c r="D374" i="13" s="1"/>
  <c r="G374" i="13" s="1"/>
  <c r="I374" i="13" s="1"/>
  <c r="X373" i="13"/>
  <c r="W373" i="13"/>
  <c r="V373" i="13"/>
  <c r="U373" i="13"/>
  <c r="T373" i="13"/>
  <c r="S373" i="13"/>
  <c r="R373" i="13"/>
  <c r="Q373" i="13"/>
  <c r="P373" i="13"/>
  <c r="O373" i="13"/>
  <c r="N373" i="13"/>
  <c r="M373" i="13"/>
  <c r="L373" i="13"/>
  <c r="K373" i="13"/>
  <c r="D373" i="13" a="1"/>
  <c r="D373" i="13" s="1"/>
  <c r="G373" i="13" s="1"/>
  <c r="I373" i="13" s="1"/>
  <c r="X372" i="13"/>
  <c r="W372" i="13"/>
  <c r="V372" i="13"/>
  <c r="U372" i="13"/>
  <c r="T372" i="13"/>
  <c r="S372" i="13"/>
  <c r="R372" i="13"/>
  <c r="Q372" i="13"/>
  <c r="P372" i="13"/>
  <c r="O372" i="13"/>
  <c r="N372" i="13"/>
  <c r="M372" i="13"/>
  <c r="L372" i="13"/>
  <c r="K372" i="13"/>
  <c r="D372" i="13" a="1"/>
  <c r="D372" i="13" s="1"/>
  <c r="G372" i="13" s="1"/>
  <c r="I372" i="13" s="1"/>
  <c r="X371" i="13"/>
  <c r="W371" i="13"/>
  <c r="V371" i="13"/>
  <c r="U371" i="13"/>
  <c r="T371" i="13"/>
  <c r="S371" i="13"/>
  <c r="R371" i="13"/>
  <c r="Q371" i="13"/>
  <c r="P371" i="13"/>
  <c r="O371" i="13"/>
  <c r="N371" i="13"/>
  <c r="M371" i="13"/>
  <c r="L371" i="13"/>
  <c r="K371" i="13"/>
  <c r="D371" i="13" a="1"/>
  <c r="D371" i="13" s="1"/>
  <c r="G371" i="13" s="1"/>
  <c r="I371" i="13" s="1"/>
  <c r="X370" i="13"/>
  <c r="W370" i="13"/>
  <c r="V370" i="13"/>
  <c r="U370" i="13"/>
  <c r="T370" i="13"/>
  <c r="S370" i="13"/>
  <c r="R370" i="13"/>
  <c r="Q370" i="13"/>
  <c r="P370" i="13"/>
  <c r="O370" i="13"/>
  <c r="N370" i="13"/>
  <c r="M370" i="13"/>
  <c r="L370" i="13"/>
  <c r="K370" i="13"/>
  <c r="D370" i="13" a="1"/>
  <c r="D370" i="13" s="1"/>
  <c r="G370" i="13" s="1"/>
  <c r="I370" i="13" s="1"/>
  <c r="X369" i="13"/>
  <c r="W369" i="13"/>
  <c r="V369" i="13"/>
  <c r="U369" i="13"/>
  <c r="T369" i="13"/>
  <c r="S369" i="13"/>
  <c r="R369" i="13"/>
  <c r="Q369" i="13"/>
  <c r="P369" i="13"/>
  <c r="O369" i="13"/>
  <c r="N369" i="13"/>
  <c r="M369" i="13"/>
  <c r="L369" i="13"/>
  <c r="K369" i="13"/>
  <c r="D369" i="13" a="1"/>
  <c r="D369" i="13" s="1"/>
  <c r="G369" i="13" s="1"/>
  <c r="I369" i="13" s="1"/>
  <c r="X368" i="13"/>
  <c r="W368" i="13"/>
  <c r="V368" i="13"/>
  <c r="U368" i="13"/>
  <c r="T368" i="13"/>
  <c r="S368" i="13"/>
  <c r="R368" i="13"/>
  <c r="Q368" i="13"/>
  <c r="P368" i="13"/>
  <c r="O368" i="13"/>
  <c r="N368" i="13"/>
  <c r="M368" i="13"/>
  <c r="L368" i="13"/>
  <c r="K368" i="13"/>
  <c r="D368" i="13" a="1"/>
  <c r="D368" i="13" s="1"/>
  <c r="G368" i="13" s="1"/>
  <c r="I368" i="13" s="1"/>
  <c r="X367" i="13"/>
  <c r="W367" i="13"/>
  <c r="V367" i="13"/>
  <c r="U367" i="13"/>
  <c r="T367" i="13"/>
  <c r="S367" i="13"/>
  <c r="R367" i="13"/>
  <c r="Q367" i="13"/>
  <c r="P367" i="13"/>
  <c r="O367" i="13"/>
  <c r="N367" i="13"/>
  <c r="M367" i="13"/>
  <c r="L367" i="13"/>
  <c r="K367" i="13"/>
  <c r="D367" i="13" a="1"/>
  <c r="D367" i="13" s="1"/>
  <c r="G367" i="13" s="1"/>
  <c r="I367" i="13" s="1"/>
  <c r="X366" i="13"/>
  <c r="W366" i="13"/>
  <c r="V366" i="13"/>
  <c r="U366" i="13"/>
  <c r="T366" i="13"/>
  <c r="S366" i="13"/>
  <c r="R366" i="13"/>
  <c r="Q366" i="13"/>
  <c r="P366" i="13"/>
  <c r="O366" i="13"/>
  <c r="N366" i="13"/>
  <c r="M366" i="13"/>
  <c r="L366" i="13"/>
  <c r="K366" i="13"/>
  <c r="D366" i="13" a="1"/>
  <c r="D366" i="13" s="1"/>
  <c r="G366" i="13" s="1"/>
  <c r="I366" i="13" s="1"/>
  <c r="X365" i="13"/>
  <c r="W365" i="13"/>
  <c r="V365" i="13"/>
  <c r="U365" i="13"/>
  <c r="T365" i="13"/>
  <c r="S365" i="13"/>
  <c r="R365" i="13"/>
  <c r="Q365" i="13"/>
  <c r="P365" i="13"/>
  <c r="O365" i="13"/>
  <c r="N365" i="13"/>
  <c r="M365" i="13"/>
  <c r="L365" i="13"/>
  <c r="K365" i="13"/>
  <c r="D365" i="13" a="1"/>
  <c r="D365" i="13" s="1"/>
  <c r="G365" i="13" s="1"/>
  <c r="I365" i="13" s="1"/>
  <c r="X364" i="13"/>
  <c r="W364" i="13"/>
  <c r="V364" i="13"/>
  <c r="U364" i="13"/>
  <c r="T364" i="13"/>
  <c r="S364" i="13"/>
  <c r="R364" i="13"/>
  <c r="Q364" i="13"/>
  <c r="P364" i="13"/>
  <c r="O364" i="13"/>
  <c r="N364" i="13"/>
  <c r="M364" i="13"/>
  <c r="L364" i="13"/>
  <c r="K364" i="13"/>
  <c r="D364" i="13" a="1"/>
  <c r="D364" i="13" s="1"/>
  <c r="G364" i="13" s="1"/>
  <c r="I364" i="13" s="1"/>
  <c r="X363" i="13"/>
  <c r="W363" i="13"/>
  <c r="V363" i="13"/>
  <c r="U363" i="13"/>
  <c r="T363" i="13"/>
  <c r="S363" i="13"/>
  <c r="R363" i="13"/>
  <c r="Q363" i="13"/>
  <c r="P363" i="13"/>
  <c r="O363" i="13"/>
  <c r="N363" i="13"/>
  <c r="M363" i="13"/>
  <c r="L363" i="13"/>
  <c r="K363" i="13"/>
  <c r="D363" i="13" a="1"/>
  <c r="D363" i="13" s="1"/>
  <c r="G363" i="13" s="1"/>
  <c r="I363" i="13" s="1"/>
  <c r="X362" i="13"/>
  <c r="W362" i="13"/>
  <c r="V362" i="13"/>
  <c r="U362" i="13"/>
  <c r="T362" i="13"/>
  <c r="S362" i="13"/>
  <c r="R362" i="13"/>
  <c r="Q362" i="13"/>
  <c r="P362" i="13"/>
  <c r="O362" i="13"/>
  <c r="N362" i="13"/>
  <c r="M362" i="13"/>
  <c r="L362" i="13"/>
  <c r="K362" i="13"/>
  <c r="D362" i="13" a="1"/>
  <c r="D362" i="13" s="1"/>
  <c r="G362" i="13" s="1"/>
  <c r="I362" i="13" s="1"/>
  <c r="X361" i="13"/>
  <c r="W361" i="13"/>
  <c r="V361" i="13"/>
  <c r="U361" i="13"/>
  <c r="T361" i="13"/>
  <c r="S361" i="13"/>
  <c r="R361" i="13"/>
  <c r="Q361" i="13"/>
  <c r="P361" i="13"/>
  <c r="O361" i="13"/>
  <c r="N361" i="13"/>
  <c r="M361" i="13"/>
  <c r="L361" i="13"/>
  <c r="K361" i="13"/>
  <c r="D361" i="13" a="1"/>
  <c r="D361" i="13" s="1"/>
  <c r="G361" i="13" s="1"/>
  <c r="I361" i="13" s="1"/>
  <c r="X360" i="13"/>
  <c r="W360" i="13"/>
  <c r="V360" i="13"/>
  <c r="U360" i="13"/>
  <c r="T360" i="13"/>
  <c r="S360" i="13"/>
  <c r="R360" i="13"/>
  <c r="Q360" i="13"/>
  <c r="P360" i="13"/>
  <c r="O360" i="13"/>
  <c r="N360" i="13"/>
  <c r="M360" i="13"/>
  <c r="L360" i="13"/>
  <c r="K360" i="13"/>
  <c r="D360" i="13" a="1"/>
  <c r="D360" i="13" s="1"/>
  <c r="G360" i="13" s="1"/>
  <c r="I360" i="13" s="1"/>
  <c r="X359" i="13"/>
  <c r="W359" i="13"/>
  <c r="V359" i="13"/>
  <c r="U359" i="13"/>
  <c r="T359" i="13"/>
  <c r="S359" i="13"/>
  <c r="R359" i="13"/>
  <c r="Q359" i="13"/>
  <c r="P359" i="13"/>
  <c r="O359" i="13"/>
  <c r="N359" i="13"/>
  <c r="M359" i="13"/>
  <c r="L359" i="13"/>
  <c r="K359" i="13"/>
  <c r="D359" i="13" a="1"/>
  <c r="D359" i="13" s="1"/>
  <c r="G359" i="13" s="1"/>
  <c r="I359" i="13" s="1"/>
  <c r="X358" i="13"/>
  <c r="W358" i="13"/>
  <c r="V358" i="13"/>
  <c r="U358" i="13"/>
  <c r="T358" i="13"/>
  <c r="S358" i="13"/>
  <c r="R358" i="13"/>
  <c r="Q358" i="13"/>
  <c r="P358" i="13"/>
  <c r="O358" i="13"/>
  <c r="N358" i="13"/>
  <c r="M358" i="13"/>
  <c r="L358" i="13"/>
  <c r="K358" i="13"/>
  <c r="D358" i="13" a="1"/>
  <c r="D358" i="13" s="1"/>
  <c r="G358" i="13" s="1"/>
  <c r="I358" i="13" s="1"/>
  <c r="X357" i="13"/>
  <c r="W357" i="13"/>
  <c r="V357" i="13"/>
  <c r="U357" i="13"/>
  <c r="T357" i="13"/>
  <c r="S357" i="13"/>
  <c r="R357" i="13"/>
  <c r="Q357" i="13"/>
  <c r="P357" i="13"/>
  <c r="O357" i="13"/>
  <c r="N357" i="13"/>
  <c r="M357" i="13"/>
  <c r="L357" i="13"/>
  <c r="K357" i="13"/>
  <c r="D357" i="13" a="1"/>
  <c r="D357" i="13" s="1"/>
  <c r="G357" i="13" s="1"/>
  <c r="I357" i="13" s="1"/>
  <c r="X356" i="13"/>
  <c r="W356" i="13"/>
  <c r="V356" i="13"/>
  <c r="U356" i="13"/>
  <c r="T356" i="13"/>
  <c r="S356" i="13"/>
  <c r="R356" i="13"/>
  <c r="Q356" i="13"/>
  <c r="P356" i="13"/>
  <c r="O356" i="13"/>
  <c r="N356" i="13"/>
  <c r="M356" i="13"/>
  <c r="L356" i="13"/>
  <c r="K356" i="13"/>
  <c r="D356" i="13" a="1"/>
  <c r="D356" i="13" s="1"/>
  <c r="G356" i="13" s="1"/>
  <c r="I356" i="13" s="1"/>
  <c r="X355" i="13"/>
  <c r="W355" i="13"/>
  <c r="V355" i="13"/>
  <c r="U355" i="13"/>
  <c r="T355" i="13"/>
  <c r="S355" i="13"/>
  <c r="R355" i="13"/>
  <c r="Q355" i="13"/>
  <c r="P355" i="13"/>
  <c r="O355" i="13"/>
  <c r="N355" i="13"/>
  <c r="M355" i="13"/>
  <c r="L355" i="13"/>
  <c r="K355" i="13"/>
  <c r="D355" i="13" a="1"/>
  <c r="D355" i="13" s="1"/>
  <c r="G355" i="13" s="1"/>
  <c r="I355" i="13" s="1"/>
  <c r="X354" i="13"/>
  <c r="W354" i="13"/>
  <c r="V354" i="13"/>
  <c r="U354" i="13"/>
  <c r="T354" i="13"/>
  <c r="S354" i="13"/>
  <c r="R354" i="13"/>
  <c r="Q354" i="13"/>
  <c r="P354" i="13"/>
  <c r="O354" i="13"/>
  <c r="N354" i="13"/>
  <c r="M354" i="13"/>
  <c r="L354" i="13"/>
  <c r="K354" i="13"/>
  <c r="D354" i="13" a="1"/>
  <c r="D354" i="13" s="1"/>
  <c r="G354" i="13" s="1"/>
  <c r="I354" i="13" s="1"/>
  <c r="X353" i="13"/>
  <c r="W353" i="13"/>
  <c r="V353" i="13"/>
  <c r="U353" i="13"/>
  <c r="T353" i="13"/>
  <c r="S353" i="13"/>
  <c r="R353" i="13"/>
  <c r="Q353" i="13"/>
  <c r="P353" i="13"/>
  <c r="O353" i="13"/>
  <c r="N353" i="13"/>
  <c r="M353" i="13"/>
  <c r="L353" i="13"/>
  <c r="K353" i="13"/>
  <c r="D353" i="13" a="1"/>
  <c r="D353" i="13" s="1"/>
  <c r="G353" i="13" s="1"/>
  <c r="I353" i="13" s="1"/>
  <c r="X352" i="13"/>
  <c r="W352" i="13"/>
  <c r="V352" i="13"/>
  <c r="U352" i="13"/>
  <c r="T352" i="13"/>
  <c r="S352" i="13"/>
  <c r="R352" i="13"/>
  <c r="Q352" i="13"/>
  <c r="P352" i="13"/>
  <c r="O352" i="13"/>
  <c r="N352" i="13"/>
  <c r="M352" i="13"/>
  <c r="L352" i="13"/>
  <c r="K352" i="13"/>
  <c r="D352" i="13" a="1"/>
  <c r="D352" i="13" s="1"/>
  <c r="G352" i="13" s="1"/>
  <c r="I352" i="13" s="1"/>
  <c r="X351" i="13"/>
  <c r="D351" i="13" a="1"/>
  <c r="D351" i="13" s="1"/>
  <c r="X350" i="13"/>
  <c r="D350" i="13" a="1"/>
  <c r="D350" i="13" s="1"/>
  <c r="X349" i="13"/>
  <c r="D349" i="13" a="1"/>
  <c r="D349" i="13" s="1"/>
  <c r="X348" i="13"/>
  <c r="D348" i="13" a="1"/>
  <c r="D348" i="13" s="1"/>
  <c r="X347" i="13"/>
  <c r="D347" i="13" a="1"/>
  <c r="D347" i="13" s="1"/>
  <c r="X346" i="13"/>
  <c r="D346" i="13" a="1"/>
  <c r="D346" i="13" s="1"/>
  <c r="X345" i="13"/>
  <c r="D345" i="13" a="1"/>
  <c r="D345" i="13" s="1"/>
  <c r="X344" i="13"/>
  <c r="D344" i="13" a="1"/>
  <c r="D344" i="13" s="1"/>
  <c r="X343" i="13"/>
  <c r="D343" i="13" a="1"/>
  <c r="D343" i="13" s="1"/>
  <c r="X342" i="13"/>
  <c r="D342" i="13" a="1"/>
  <c r="D342" i="13" s="1"/>
  <c r="X341" i="13"/>
  <c r="D341" i="13" a="1"/>
  <c r="D341" i="13" s="1"/>
  <c r="X340" i="13"/>
  <c r="D340" i="13" a="1"/>
  <c r="D340" i="13" s="1"/>
  <c r="X339" i="13"/>
  <c r="D339" i="13" a="1"/>
  <c r="D339" i="13" s="1"/>
  <c r="X338" i="13"/>
  <c r="D338" i="13" a="1"/>
  <c r="D338" i="13" s="1"/>
  <c r="X337" i="13"/>
  <c r="D337" i="13" a="1"/>
  <c r="D337" i="13" s="1"/>
  <c r="X336" i="13"/>
  <c r="D336" i="13" a="1"/>
  <c r="D336" i="13" s="1"/>
  <c r="X335" i="13"/>
  <c r="D335" i="13" a="1"/>
  <c r="D335" i="13" s="1"/>
  <c r="X334" i="13"/>
  <c r="D334" i="13" a="1"/>
  <c r="D334" i="13" s="1"/>
  <c r="X333" i="13"/>
  <c r="D333" i="13" a="1"/>
  <c r="D333" i="13" s="1"/>
  <c r="X332" i="13"/>
  <c r="D332" i="13" a="1"/>
  <c r="D332" i="13" s="1"/>
  <c r="X331" i="13"/>
  <c r="D331" i="13" a="1"/>
  <c r="D331" i="13" s="1"/>
  <c r="X330" i="13"/>
  <c r="D330" i="13" a="1"/>
  <c r="D330" i="13" s="1"/>
  <c r="X329" i="13"/>
  <c r="D329" i="13" a="1"/>
  <c r="D329" i="13" s="1"/>
  <c r="X328" i="13"/>
  <c r="D328" i="13" a="1"/>
  <c r="D328" i="13" s="1"/>
  <c r="X327" i="13"/>
  <c r="D327" i="13" a="1"/>
  <c r="D327" i="13" s="1"/>
  <c r="X326" i="13"/>
  <c r="D326" i="13" a="1"/>
  <c r="D326" i="13" s="1"/>
  <c r="X325" i="13"/>
  <c r="D325" i="13" a="1"/>
  <c r="D325" i="13" s="1"/>
  <c r="X324" i="13"/>
  <c r="D324" i="13" a="1"/>
  <c r="D324" i="13" s="1"/>
  <c r="X323" i="13"/>
  <c r="D323" i="13" a="1"/>
  <c r="D323" i="13" s="1"/>
  <c r="X322" i="13"/>
  <c r="D322" i="13" a="1"/>
  <c r="D322" i="13" s="1"/>
  <c r="X321" i="13"/>
  <c r="D321" i="13" a="1"/>
  <c r="D321" i="13" s="1"/>
  <c r="X320" i="13"/>
  <c r="D320" i="13" a="1"/>
  <c r="D320" i="13" s="1"/>
  <c r="X319" i="13"/>
  <c r="D319" i="13" a="1"/>
  <c r="D319" i="13" s="1"/>
  <c r="X318" i="13"/>
  <c r="D318" i="13" a="1"/>
  <c r="D318" i="13" s="1"/>
  <c r="X317" i="13"/>
  <c r="D317" i="13" a="1"/>
  <c r="D317" i="13" s="1"/>
  <c r="X316" i="13"/>
  <c r="D316" i="13" a="1"/>
  <c r="D316" i="13" s="1"/>
  <c r="X315" i="13"/>
  <c r="D315" i="13" a="1"/>
  <c r="D315" i="13" s="1"/>
  <c r="X314" i="13"/>
  <c r="D314" i="13" a="1"/>
  <c r="D314" i="13" s="1"/>
  <c r="X313" i="13"/>
  <c r="D313" i="13" a="1"/>
  <c r="D313" i="13" s="1"/>
  <c r="X312" i="13"/>
  <c r="D312" i="13" a="1"/>
  <c r="D312" i="13" s="1"/>
  <c r="X311" i="13"/>
  <c r="D311" i="13" a="1"/>
  <c r="D311" i="13" s="1"/>
  <c r="X310" i="13"/>
  <c r="D310" i="13" a="1"/>
  <c r="D310" i="13" s="1"/>
  <c r="X309" i="13"/>
  <c r="D309" i="13" a="1"/>
  <c r="D309" i="13" s="1"/>
  <c r="X308" i="13"/>
  <c r="D308" i="13" a="1"/>
  <c r="D308" i="13" s="1"/>
  <c r="X307" i="13"/>
  <c r="D307" i="13" a="1"/>
  <c r="D307" i="13" s="1"/>
  <c r="X306" i="13"/>
  <c r="D306" i="13" a="1"/>
  <c r="D306" i="13" s="1"/>
  <c r="X305" i="13"/>
  <c r="D305" i="13" a="1"/>
  <c r="D305" i="13" s="1"/>
  <c r="X304" i="13"/>
  <c r="D304" i="13" a="1"/>
  <c r="D304" i="13" s="1"/>
  <c r="X303" i="13"/>
  <c r="D303" i="13" a="1"/>
  <c r="D303" i="13" s="1"/>
  <c r="X302" i="13"/>
  <c r="D302" i="13" a="1"/>
  <c r="D302" i="13" s="1"/>
  <c r="X301" i="13"/>
  <c r="D301" i="13" a="1"/>
  <c r="D301" i="13" s="1"/>
  <c r="X300" i="13"/>
  <c r="D300" i="13" a="1"/>
  <c r="D300" i="13" s="1"/>
  <c r="X299" i="13"/>
  <c r="D299" i="13" a="1"/>
  <c r="D299" i="13" s="1"/>
  <c r="X298" i="13"/>
  <c r="D298" i="13" a="1"/>
  <c r="D298" i="13" s="1"/>
  <c r="X297" i="13"/>
  <c r="D297" i="13" a="1"/>
  <c r="D297" i="13" s="1"/>
  <c r="X296" i="13"/>
  <c r="D296" i="13" a="1"/>
  <c r="D296" i="13" s="1"/>
  <c r="X295" i="13"/>
  <c r="D295" i="13" a="1"/>
  <c r="D295" i="13" s="1"/>
  <c r="X294" i="13"/>
  <c r="D294" i="13" a="1"/>
  <c r="D294" i="13" s="1"/>
  <c r="X293" i="13"/>
  <c r="D293" i="13" a="1"/>
  <c r="D293" i="13" s="1"/>
  <c r="X292" i="13"/>
  <c r="D292" i="13" a="1"/>
  <c r="D292" i="13" s="1"/>
  <c r="X291" i="13"/>
  <c r="D291" i="13" a="1"/>
  <c r="D291" i="13" s="1"/>
  <c r="X290" i="13"/>
  <c r="D290" i="13" a="1"/>
  <c r="D290" i="13" s="1"/>
  <c r="X289" i="13"/>
  <c r="D289" i="13" a="1"/>
  <c r="D289" i="13" s="1"/>
  <c r="X288" i="13"/>
  <c r="D288" i="13" a="1"/>
  <c r="D288" i="13" s="1"/>
  <c r="X287" i="13"/>
  <c r="D287" i="13" a="1"/>
  <c r="D287" i="13" s="1"/>
  <c r="X286" i="13"/>
  <c r="D286" i="13" a="1"/>
  <c r="D286" i="13" s="1"/>
  <c r="X285" i="13"/>
  <c r="D285" i="13" a="1"/>
  <c r="D285" i="13" s="1"/>
  <c r="X284" i="13"/>
  <c r="D284" i="13" a="1"/>
  <c r="D284" i="13" s="1"/>
  <c r="X283" i="13"/>
  <c r="D283" i="13" a="1"/>
  <c r="D283" i="13" s="1"/>
  <c r="X282" i="13"/>
  <c r="D282" i="13" a="1"/>
  <c r="D282" i="13" s="1"/>
  <c r="X281" i="13"/>
  <c r="D281" i="13" a="1"/>
  <c r="D281" i="13" s="1"/>
  <c r="X280" i="13"/>
  <c r="D280" i="13" a="1"/>
  <c r="D280" i="13" s="1"/>
  <c r="X279" i="13"/>
  <c r="D279" i="13" a="1"/>
  <c r="D279" i="13" s="1"/>
  <c r="X278" i="13"/>
  <c r="D278" i="13" a="1"/>
  <c r="D278" i="13" s="1"/>
  <c r="X277" i="13"/>
  <c r="D277" i="13" a="1"/>
  <c r="D277" i="13" s="1"/>
  <c r="X276" i="13"/>
  <c r="D276" i="13" a="1"/>
  <c r="D276" i="13" s="1"/>
  <c r="X275" i="13"/>
  <c r="D275" i="13" a="1"/>
  <c r="D275" i="13" s="1"/>
  <c r="X274" i="13"/>
  <c r="D274" i="13" a="1"/>
  <c r="D274" i="13" s="1"/>
  <c r="X273" i="13"/>
  <c r="D273" i="13" a="1"/>
  <c r="D273" i="13" s="1"/>
  <c r="X272" i="13"/>
  <c r="D272" i="13" a="1"/>
  <c r="D272" i="13" s="1"/>
  <c r="X271" i="13"/>
  <c r="D271" i="13" a="1"/>
  <c r="D271" i="13" s="1"/>
  <c r="X270" i="13"/>
  <c r="D270" i="13" a="1"/>
  <c r="D270" i="13" s="1"/>
  <c r="X269" i="13"/>
  <c r="D269" i="13" a="1"/>
  <c r="D269" i="13" s="1"/>
  <c r="X268" i="13"/>
  <c r="D268" i="13" a="1"/>
  <c r="D268" i="13" s="1"/>
  <c r="X267" i="13"/>
  <c r="D267" i="13" a="1"/>
  <c r="D267" i="13" s="1"/>
  <c r="X266" i="13"/>
  <c r="D266" i="13" a="1"/>
  <c r="D266" i="13" s="1"/>
  <c r="X265" i="13"/>
  <c r="D265" i="13" a="1"/>
  <c r="D265" i="13" s="1"/>
  <c r="X264" i="13"/>
  <c r="D264" i="13" a="1"/>
  <c r="D264" i="13" s="1"/>
  <c r="X263" i="13"/>
  <c r="D263" i="13" a="1"/>
  <c r="D263" i="13" s="1"/>
  <c r="X262" i="13"/>
  <c r="D262" i="13" a="1"/>
  <c r="D262" i="13" s="1"/>
  <c r="X261" i="13"/>
  <c r="D261" i="13" a="1"/>
  <c r="D261" i="13" s="1"/>
  <c r="X260" i="13"/>
  <c r="D260" i="13" a="1"/>
  <c r="D260" i="13" s="1"/>
  <c r="X259" i="13"/>
  <c r="D259" i="13" a="1"/>
  <c r="D259" i="13" s="1"/>
  <c r="X258" i="13"/>
  <c r="D258" i="13" a="1"/>
  <c r="D258" i="13" s="1"/>
  <c r="X257" i="13"/>
  <c r="D257" i="13" a="1"/>
  <c r="D257" i="13" s="1"/>
  <c r="X256" i="13"/>
  <c r="D256" i="13" a="1"/>
  <c r="D256" i="13" s="1"/>
  <c r="X255" i="13"/>
  <c r="D255" i="13" a="1"/>
  <c r="D255" i="13" s="1"/>
  <c r="X254" i="13"/>
  <c r="D254" i="13" a="1"/>
  <c r="D254" i="13" s="1"/>
  <c r="X253" i="13"/>
  <c r="D253" i="13" a="1"/>
  <c r="D253" i="13" s="1"/>
  <c r="X252" i="13"/>
  <c r="D252" i="13" a="1"/>
  <c r="D252" i="13" s="1"/>
  <c r="X251" i="13"/>
  <c r="D251" i="13" a="1"/>
  <c r="D251" i="13" s="1"/>
  <c r="X250" i="13"/>
  <c r="D250" i="13" a="1"/>
  <c r="D250" i="13" s="1"/>
  <c r="X249" i="13"/>
  <c r="D249" i="13" a="1"/>
  <c r="D249" i="13" s="1"/>
  <c r="X248" i="13"/>
  <c r="D248" i="13" a="1"/>
  <c r="D248" i="13" s="1"/>
  <c r="X247" i="13"/>
  <c r="D247" i="13" a="1"/>
  <c r="D247" i="13" s="1"/>
  <c r="X246" i="13"/>
  <c r="D246" i="13" a="1"/>
  <c r="D246" i="13" s="1"/>
  <c r="X245" i="13"/>
  <c r="D245" i="13" a="1"/>
  <c r="D245" i="13" s="1"/>
  <c r="X244" i="13"/>
  <c r="D244" i="13" a="1"/>
  <c r="D244" i="13" s="1"/>
  <c r="X243" i="13"/>
  <c r="D243" i="13" a="1"/>
  <c r="D243" i="13" s="1"/>
  <c r="X242" i="13"/>
  <c r="D242" i="13" a="1"/>
  <c r="D242" i="13" s="1"/>
  <c r="X241" i="13"/>
  <c r="D241" i="13" a="1"/>
  <c r="D241" i="13" s="1"/>
  <c r="X240" i="13"/>
  <c r="D240" i="13" a="1"/>
  <c r="D240" i="13" s="1"/>
  <c r="X239" i="13"/>
  <c r="D239" i="13" a="1"/>
  <c r="D239" i="13" s="1"/>
  <c r="X238" i="13"/>
  <c r="D238" i="13" a="1"/>
  <c r="D238" i="13" s="1"/>
  <c r="X237" i="13"/>
  <c r="D237" i="13" a="1"/>
  <c r="D237" i="13" s="1"/>
  <c r="X236" i="13"/>
  <c r="D236" i="13" a="1"/>
  <c r="D236" i="13" s="1"/>
  <c r="X235" i="13"/>
  <c r="D235" i="13" a="1"/>
  <c r="D235" i="13" s="1"/>
  <c r="X234" i="13"/>
  <c r="D234" i="13" a="1"/>
  <c r="D234" i="13" s="1"/>
  <c r="X233" i="13"/>
  <c r="D233" i="13" a="1"/>
  <c r="D233" i="13" s="1"/>
  <c r="X232" i="13"/>
  <c r="D232" i="13" a="1"/>
  <c r="D232" i="13" s="1"/>
  <c r="X231" i="13"/>
  <c r="D231" i="13" a="1"/>
  <c r="D231" i="13" s="1"/>
  <c r="X230" i="13"/>
  <c r="D230" i="13" a="1"/>
  <c r="D230" i="13" s="1"/>
  <c r="X229" i="13"/>
  <c r="D229" i="13" a="1"/>
  <c r="D229" i="13" s="1"/>
  <c r="X228" i="13"/>
  <c r="D228" i="13" a="1"/>
  <c r="D228" i="13" s="1"/>
  <c r="X227" i="13"/>
  <c r="D227" i="13" a="1"/>
  <c r="D227" i="13" s="1"/>
  <c r="X226" i="13"/>
  <c r="D226" i="13" a="1"/>
  <c r="D226" i="13" s="1"/>
  <c r="X225" i="13"/>
  <c r="D225" i="13" a="1"/>
  <c r="D225" i="13" s="1"/>
  <c r="X224" i="13"/>
  <c r="D224" i="13" a="1"/>
  <c r="D224" i="13" s="1"/>
  <c r="X223" i="13"/>
  <c r="D223" i="13" a="1"/>
  <c r="D223" i="13" s="1"/>
  <c r="X222" i="13"/>
  <c r="D222" i="13" a="1"/>
  <c r="D222" i="13" s="1"/>
  <c r="X221" i="13"/>
  <c r="D221" i="13" a="1"/>
  <c r="D221" i="13" s="1"/>
  <c r="X220" i="13"/>
  <c r="D220" i="13" a="1"/>
  <c r="D220" i="13" s="1"/>
  <c r="X219" i="13"/>
  <c r="D219" i="13" a="1"/>
  <c r="D219" i="13" s="1"/>
  <c r="X218" i="13"/>
  <c r="D218" i="13" a="1"/>
  <c r="D218" i="13" s="1"/>
  <c r="X217" i="13"/>
  <c r="D217" i="13" a="1"/>
  <c r="D217" i="13" s="1"/>
  <c r="X216" i="13"/>
  <c r="D216" i="13" a="1"/>
  <c r="D216" i="13" s="1"/>
  <c r="X215" i="13"/>
  <c r="D215" i="13" a="1"/>
  <c r="D215" i="13" s="1"/>
  <c r="X214" i="13"/>
  <c r="D214" i="13" a="1"/>
  <c r="D214" i="13" s="1"/>
  <c r="X213" i="13"/>
  <c r="D213" i="13" a="1"/>
  <c r="D213" i="13" s="1"/>
  <c r="X212" i="13"/>
  <c r="D212" i="13" a="1"/>
  <c r="D212" i="13" s="1"/>
  <c r="X211" i="13"/>
  <c r="D211" i="13" a="1"/>
  <c r="D211" i="13" s="1"/>
  <c r="X210" i="13"/>
  <c r="D210" i="13" a="1"/>
  <c r="D210" i="13" s="1"/>
  <c r="X209" i="13"/>
  <c r="D209" i="13" a="1"/>
  <c r="D209" i="13" s="1"/>
  <c r="X208" i="13"/>
  <c r="D208" i="13" a="1"/>
  <c r="D208" i="13" s="1"/>
  <c r="X207" i="13"/>
  <c r="D207" i="13" a="1"/>
  <c r="D207" i="13" s="1"/>
  <c r="X206" i="13"/>
  <c r="D206" i="13" a="1"/>
  <c r="D206" i="13" s="1"/>
  <c r="X205" i="13"/>
  <c r="D205" i="13" a="1"/>
  <c r="D205" i="13" s="1"/>
  <c r="X204" i="13"/>
  <c r="D204" i="13" a="1"/>
  <c r="D204" i="13" s="1"/>
  <c r="X203" i="13"/>
  <c r="D203" i="13" a="1"/>
  <c r="D203" i="13" s="1"/>
  <c r="X202" i="13"/>
  <c r="D202" i="13" a="1"/>
  <c r="D202" i="13" s="1"/>
  <c r="X201" i="13"/>
  <c r="D201" i="13" a="1"/>
  <c r="D201" i="13" s="1"/>
  <c r="X200" i="13"/>
  <c r="D200" i="13" a="1"/>
  <c r="D200" i="13" s="1"/>
  <c r="X199" i="13"/>
  <c r="D199" i="13" a="1"/>
  <c r="D199" i="13" s="1"/>
  <c r="X198" i="13"/>
  <c r="D198" i="13" a="1"/>
  <c r="D198" i="13" s="1"/>
  <c r="X197" i="13"/>
  <c r="D197" i="13" a="1"/>
  <c r="D197" i="13" s="1"/>
  <c r="X196" i="13"/>
  <c r="D196" i="13" a="1"/>
  <c r="D196" i="13" s="1"/>
  <c r="X195" i="13"/>
  <c r="D195" i="13" a="1"/>
  <c r="D195" i="13" s="1"/>
  <c r="X194" i="13"/>
  <c r="D194" i="13" a="1"/>
  <c r="D194" i="13" s="1"/>
  <c r="X193" i="13"/>
  <c r="D193" i="13" a="1"/>
  <c r="D193" i="13" s="1"/>
  <c r="X192" i="13"/>
  <c r="D192" i="13" a="1"/>
  <c r="D192" i="13" s="1"/>
  <c r="X191" i="13"/>
  <c r="D191" i="13" a="1"/>
  <c r="D191" i="13" s="1"/>
  <c r="X190" i="13"/>
  <c r="D190" i="13" a="1"/>
  <c r="D190" i="13" s="1"/>
  <c r="X189" i="13"/>
  <c r="D189" i="13" a="1"/>
  <c r="D189" i="13" s="1"/>
  <c r="X188" i="13"/>
  <c r="D188" i="13" a="1"/>
  <c r="D188" i="13" s="1"/>
  <c r="X187" i="13"/>
  <c r="D187" i="13" a="1"/>
  <c r="D187" i="13" s="1"/>
  <c r="X186" i="13"/>
  <c r="D186" i="13" a="1"/>
  <c r="D186" i="13" s="1"/>
  <c r="X185" i="13"/>
  <c r="D185" i="13" a="1"/>
  <c r="D185" i="13" s="1"/>
  <c r="X184" i="13"/>
  <c r="D184" i="13" a="1"/>
  <c r="D184" i="13" s="1"/>
  <c r="X183" i="13"/>
  <c r="D183" i="13" a="1"/>
  <c r="D183" i="13" s="1"/>
  <c r="X182" i="13"/>
  <c r="D182" i="13" a="1"/>
  <c r="D182" i="13" s="1"/>
  <c r="X181" i="13"/>
  <c r="D181" i="13" a="1"/>
  <c r="D181" i="13" s="1"/>
  <c r="X180" i="13"/>
  <c r="D180" i="13" a="1"/>
  <c r="D180" i="13" s="1"/>
  <c r="X179" i="13"/>
  <c r="D179" i="13" a="1"/>
  <c r="D179" i="13" s="1"/>
  <c r="X178" i="13"/>
  <c r="D178" i="13" a="1"/>
  <c r="D178" i="13" s="1"/>
  <c r="X177" i="13"/>
  <c r="D177" i="13" a="1"/>
  <c r="D177" i="13" s="1"/>
  <c r="X176" i="13"/>
  <c r="D176" i="13" a="1"/>
  <c r="D176" i="13" s="1"/>
  <c r="X175" i="13"/>
  <c r="D175" i="13" a="1"/>
  <c r="D175" i="13" s="1"/>
  <c r="X174" i="13"/>
  <c r="D174" i="13" a="1"/>
  <c r="D174" i="13" s="1"/>
  <c r="X173" i="13"/>
  <c r="D173" i="13" a="1"/>
  <c r="D173" i="13" s="1"/>
  <c r="X172" i="13"/>
  <c r="D172" i="13" a="1"/>
  <c r="D172" i="13" s="1"/>
  <c r="X171" i="13"/>
  <c r="D171" i="13" a="1"/>
  <c r="D171" i="13" s="1"/>
  <c r="X170" i="13"/>
  <c r="D170" i="13" a="1"/>
  <c r="D170" i="13" s="1"/>
  <c r="X169" i="13"/>
  <c r="D169" i="13" a="1"/>
  <c r="D169" i="13" s="1"/>
  <c r="X168" i="13"/>
  <c r="D168" i="13" a="1"/>
  <c r="D168" i="13" s="1"/>
  <c r="X167" i="13"/>
  <c r="D167" i="13" a="1"/>
  <c r="D167" i="13" s="1"/>
  <c r="X166" i="13"/>
  <c r="D166" i="13" a="1"/>
  <c r="D166" i="13" s="1"/>
  <c r="X165" i="13"/>
  <c r="D165" i="13" a="1"/>
  <c r="D165" i="13" s="1"/>
  <c r="X164" i="13"/>
  <c r="D164" i="13" a="1"/>
  <c r="D164" i="13" s="1"/>
  <c r="X163" i="13"/>
  <c r="D163" i="13" a="1"/>
  <c r="D163" i="13" s="1"/>
  <c r="X162" i="13"/>
  <c r="D162" i="13" a="1"/>
  <c r="D162" i="13" s="1"/>
  <c r="X161" i="13"/>
  <c r="D161" i="13" a="1"/>
  <c r="D161" i="13" s="1"/>
  <c r="X160" i="13"/>
  <c r="D160" i="13" a="1"/>
  <c r="D160" i="13" s="1"/>
  <c r="X159" i="13"/>
  <c r="D159" i="13" a="1"/>
  <c r="D159" i="13" s="1"/>
  <c r="X158" i="13"/>
  <c r="D158" i="13" a="1"/>
  <c r="D158" i="13" s="1"/>
  <c r="X157" i="13"/>
  <c r="D157" i="13" a="1"/>
  <c r="D157" i="13" s="1"/>
  <c r="X156" i="13"/>
  <c r="D156" i="13" a="1"/>
  <c r="D156" i="13" s="1"/>
  <c r="X155" i="13"/>
  <c r="D155" i="13" a="1"/>
  <c r="D155" i="13" s="1"/>
  <c r="X154" i="13"/>
  <c r="D154" i="13" a="1"/>
  <c r="D154" i="13" s="1"/>
  <c r="X153" i="13"/>
  <c r="D153" i="13" a="1"/>
  <c r="D153" i="13" s="1"/>
  <c r="X152" i="13"/>
  <c r="D152" i="13" a="1"/>
  <c r="D152" i="13" s="1"/>
  <c r="X151" i="13"/>
  <c r="D151" i="13" a="1"/>
  <c r="D151" i="13" s="1"/>
  <c r="X150" i="13"/>
  <c r="D150" i="13" a="1"/>
  <c r="D150" i="13" s="1"/>
  <c r="X149" i="13"/>
  <c r="D149" i="13" a="1"/>
  <c r="D149" i="13" s="1"/>
  <c r="X148" i="13"/>
  <c r="D148" i="13" a="1"/>
  <c r="D148" i="13" s="1"/>
  <c r="X147" i="13"/>
  <c r="D147" i="13" a="1"/>
  <c r="D147" i="13" s="1"/>
  <c r="X146" i="13"/>
  <c r="D146" i="13" a="1"/>
  <c r="D146" i="13" s="1"/>
  <c r="X145" i="13"/>
  <c r="D145" i="13" a="1"/>
  <c r="D145" i="13" s="1"/>
  <c r="X144" i="13"/>
  <c r="D144" i="13" a="1"/>
  <c r="D144" i="13" s="1"/>
  <c r="X143" i="13"/>
  <c r="D143" i="13" a="1"/>
  <c r="D143" i="13" s="1"/>
  <c r="X142" i="13"/>
  <c r="D142" i="13" a="1"/>
  <c r="D142" i="13" s="1"/>
  <c r="X141" i="13"/>
  <c r="D141" i="13" a="1"/>
  <c r="D141" i="13" s="1"/>
  <c r="X140" i="13"/>
  <c r="D140" i="13" a="1"/>
  <c r="D140" i="13" s="1"/>
  <c r="X139" i="13"/>
  <c r="D139" i="13" a="1"/>
  <c r="D139" i="13" s="1"/>
  <c r="X138" i="13"/>
  <c r="D138" i="13" a="1"/>
  <c r="D138" i="13" s="1"/>
  <c r="X137" i="13"/>
  <c r="D137" i="13" a="1"/>
  <c r="D137" i="13" s="1"/>
  <c r="X136" i="13"/>
  <c r="D136" i="13" a="1"/>
  <c r="D136" i="13" s="1"/>
  <c r="X135" i="13"/>
  <c r="D135" i="13" a="1"/>
  <c r="D135" i="13" s="1"/>
  <c r="X134" i="13"/>
  <c r="D134" i="13" a="1"/>
  <c r="D134" i="13" s="1"/>
  <c r="X133" i="13"/>
  <c r="D133" i="13" a="1"/>
  <c r="D133" i="13" s="1"/>
  <c r="X132" i="13"/>
  <c r="D132" i="13" a="1"/>
  <c r="D132" i="13" s="1"/>
  <c r="X131" i="13"/>
  <c r="D131" i="13" a="1"/>
  <c r="D131" i="13" s="1"/>
  <c r="X130" i="13"/>
  <c r="D130" i="13" a="1"/>
  <c r="D130" i="13" s="1"/>
  <c r="X129" i="13"/>
  <c r="D129" i="13" a="1"/>
  <c r="D129" i="13" s="1"/>
  <c r="X128" i="13"/>
  <c r="D128" i="13" a="1"/>
  <c r="D128" i="13" s="1"/>
  <c r="X127" i="13"/>
  <c r="D127" i="13" a="1"/>
  <c r="D127" i="13" s="1"/>
  <c r="X126" i="13"/>
  <c r="D126" i="13" a="1"/>
  <c r="D126" i="13" s="1"/>
  <c r="X125" i="13"/>
  <c r="D125" i="13" a="1"/>
  <c r="D125" i="13" s="1"/>
  <c r="X124" i="13"/>
  <c r="D124" i="13" a="1"/>
  <c r="D124" i="13" s="1"/>
  <c r="X123" i="13"/>
  <c r="D123" i="13" a="1"/>
  <c r="D123" i="13" s="1"/>
  <c r="X122" i="13"/>
  <c r="D122" i="13" a="1"/>
  <c r="D122" i="13" s="1"/>
  <c r="X121" i="13"/>
  <c r="D121" i="13" a="1"/>
  <c r="D121" i="13" s="1"/>
  <c r="X120" i="13"/>
  <c r="D120" i="13" a="1"/>
  <c r="D120" i="13" s="1"/>
  <c r="X119" i="13"/>
  <c r="D119" i="13" a="1"/>
  <c r="D119" i="13" s="1"/>
  <c r="X118" i="13"/>
  <c r="D118" i="13" a="1"/>
  <c r="D118" i="13" s="1"/>
  <c r="X117" i="13"/>
  <c r="D117" i="13" a="1"/>
  <c r="D117" i="13" s="1"/>
  <c r="X116" i="13"/>
  <c r="D116" i="13" a="1"/>
  <c r="D116" i="13" s="1"/>
  <c r="X115" i="13"/>
  <c r="D115" i="13" a="1"/>
  <c r="D115" i="13" s="1"/>
  <c r="X114" i="13"/>
  <c r="D114" i="13" a="1"/>
  <c r="D114" i="13" s="1"/>
  <c r="X113" i="13"/>
  <c r="D113" i="13" a="1"/>
  <c r="D113" i="13" s="1"/>
  <c r="X112" i="13"/>
  <c r="D112" i="13" a="1"/>
  <c r="D112" i="13" s="1"/>
  <c r="X111" i="13"/>
  <c r="D111" i="13" a="1"/>
  <c r="D111" i="13" s="1"/>
  <c r="X110" i="13"/>
  <c r="H110" i="13" a="1"/>
  <c r="H110" i="13" s="1"/>
  <c r="D110" i="13" a="1"/>
  <c r="D110" i="13" s="1"/>
  <c r="X109" i="13"/>
  <c r="H109" i="13" a="1"/>
  <c r="H109" i="13" s="1"/>
  <c r="D109" i="13" a="1"/>
  <c r="D109" i="13" s="1"/>
  <c r="X108" i="13"/>
  <c r="H108" i="13" a="1"/>
  <c r="H108" i="13" s="1"/>
  <c r="D108" i="13" a="1"/>
  <c r="D108" i="13" s="1"/>
  <c r="X107" i="13"/>
  <c r="H107" i="13" a="1"/>
  <c r="H107" i="13" s="1"/>
  <c r="D107" i="13" a="1"/>
  <c r="D107" i="13" s="1"/>
  <c r="X106" i="13"/>
  <c r="H106" i="13" a="1"/>
  <c r="H106" i="13" s="1"/>
  <c r="D106" i="13" a="1"/>
  <c r="D106" i="13" s="1"/>
  <c r="X105" i="13"/>
  <c r="H105" i="13" a="1"/>
  <c r="H105" i="13" s="1"/>
  <c r="D105" i="13" a="1"/>
  <c r="D105" i="13" s="1"/>
  <c r="X104" i="13"/>
  <c r="H104" i="13" a="1"/>
  <c r="H104" i="13" s="1"/>
  <c r="D104" i="13" a="1"/>
  <c r="D104" i="13" s="1"/>
  <c r="X103" i="13"/>
  <c r="H103" i="13" a="1"/>
  <c r="H103" i="13" s="1"/>
  <c r="D103" i="13" a="1"/>
  <c r="D103" i="13" s="1"/>
  <c r="X102" i="13"/>
  <c r="H102" i="13" a="1"/>
  <c r="H102" i="13" s="1"/>
  <c r="D102" i="13" a="1"/>
  <c r="D102" i="13" s="1"/>
  <c r="X101" i="13"/>
  <c r="H101" i="13" a="1"/>
  <c r="H101" i="13" s="1"/>
  <c r="D101" i="13" a="1"/>
  <c r="D101" i="13" s="1"/>
  <c r="X100" i="13"/>
  <c r="H100" i="13" a="1"/>
  <c r="H100" i="13" s="1"/>
  <c r="D100" i="13" a="1"/>
  <c r="D100" i="13" s="1"/>
  <c r="X99" i="13"/>
  <c r="H99" i="13" a="1"/>
  <c r="H99" i="13" s="1"/>
  <c r="D99" i="13" a="1"/>
  <c r="D99" i="13" s="1"/>
  <c r="X98" i="13"/>
  <c r="H98" i="13" a="1"/>
  <c r="H98" i="13" s="1"/>
  <c r="D98" i="13" a="1"/>
  <c r="D98" i="13" s="1"/>
  <c r="X97" i="13"/>
  <c r="H97" i="13" a="1"/>
  <c r="H97" i="13" s="1"/>
  <c r="D97" i="13" a="1"/>
  <c r="D97" i="13" s="1"/>
  <c r="X96" i="13"/>
  <c r="W96" i="13"/>
  <c r="H96" i="13" a="1"/>
  <c r="H96" i="13" s="1"/>
  <c r="D96" i="13" a="1"/>
  <c r="D96" i="13" s="1"/>
  <c r="X95" i="13"/>
  <c r="W95" i="13"/>
  <c r="H95" i="13" a="1"/>
  <c r="H95" i="13" s="1"/>
  <c r="D95" i="13" a="1"/>
  <c r="D95" i="13" s="1"/>
  <c r="X94" i="13"/>
  <c r="W94" i="13"/>
  <c r="V94" i="13"/>
  <c r="H94" i="13" a="1"/>
  <c r="H94" i="13" s="1"/>
  <c r="D94" i="13" a="1"/>
  <c r="D94" i="13" s="1"/>
  <c r="X93" i="13"/>
  <c r="W93" i="13"/>
  <c r="V93" i="13"/>
  <c r="H93" i="13" a="1"/>
  <c r="H93" i="13" s="1"/>
  <c r="D93" i="13" a="1"/>
  <c r="D93" i="13" s="1"/>
  <c r="X92" i="13"/>
  <c r="W92" i="13"/>
  <c r="V92" i="13"/>
  <c r="D92" i="13" a="1"/>
  <c r="D92" i="13" s="1"/>
  <c r="X91" i="13"/>
  <c r="W91" i="13"/>
  <c r="V91" i="13"/>
  <c r="D91" i="13" a="1"/>
  <c r="D91" i="13" s="1"/>
  <c r="X90" i="13"/>
  <c r="W90" i="13"/>
  <c r="V90" i="13"/>
  <c r="D90" i="13" a="1"/>
  <c r="D90" i="13" s="1"/>
  <c r="X89" i="13"/>
  <c r="W89" i="13"/>
  <c r="V89" i="13"/>
  <c r="D89" i="13" a="1"/>
  <c r="D89" i="13" s="1"/>
  <c r="X88" i="13"/>
  <c r="W88" i="13"/>
  <c r="V88" i="13"/>
  <c r="D88" i="13" a="1"/>
  <c r="D88" i="13" s="1"/>
  <c r="X87" i="13"/>
  <c r="W87" i="13"/>
  <c r="V87" i="13"/>
  <c r="D87" i="13" a="1"/>
  <c r="D87" i="13" s="1"/>
  <c r="X86" i="13"/>
  <c r="W86" i="13"/>
  <c r="V86" i="13"/>
  <c r="D86" i="13" a="1"/>
  <c r="D86" i="13" s="1"/>
  <c r="X85" i="13"/>
  <c r="W85" i="13"/>
  <c r="V85" i="13"/>
  <c r="D85" i="13" a="1"/>
  <c r="D85" i="13" s="1"/>
  <c r="X84" i="13"/>
  <c r="W84" i="13"/>
  <c r="V84" i="13"/>
  <c r="D84" i="13" a="1"/>
  <c r="D84" i="13" s="1"/>
  <c r="X83" i="13"/>
  <c r="W83" i="13"/>
  <c r="V83" i="13"/>
  <c r="D83" i="13" a="1"/>
  <c r="D83" i="13" s="1"/>
  <c r="X82" i="13"/>
  <c r="W82" i="13"/>
  <c r="V82" i="13"/>
  <c r="D82" i="13" a="1"/>
  <c r="D82" i="13" s="1"/>
  <c r="X81" i="13"/>
  <c r="W81" i="13"/>
  <c r="V81" i="13"/>
  <c r="D81" i="13" a="1"/>
  <c r="D81" i="13" s="1"/>
  <c r="X80" i="13"/>
  <c r="W80" i="13"/>
  <c r="V80" i="13"/>
  <c r="D80" i="13" a="1"/>
  <c r="D80" i="13" s="1"/>
  <c r="X79" i="13"/>
  <c r="W79" i="13"/>
  <c r="V79" i="13"/>
  <c r="D79" i="13" a="1"/>
  <c r="D79" i="13" s="1"/>
  <c r="X78" i="13"/>
  <c r="W78" i="13"/>
  <c r="V78" i="13"/>
  <c r="D78" i="13" a="1"/>
  <c r="D78" i="13" s="1"/>
  <c r="X77" i="13"/>
  <c r="W77" i="13"/>
  <c r="V77" i="13"/>
  <c r="L77" i="13"/>
  <c r="D77" i="13" a="1"/>
  <c r="D77" i="13" s="1"/>
  <c r="X76" i="13"/>
  <c r="W76" i="13"/>
  <c r="V76" i="13"/>
  <c r="L76" i="13"/>
  <c r="D76" i="13" a="1"/>
  <c r="D76" i="13" s="1"/>
  <c r="X75" i="13"/>
  <c r="W75" i="13"/>
  <c r="V75" i="13"/>
  <c r="L75" i="13"/>
  <c r="D75" i="13" a="1"/>
  <c r="D75" i="13" s="1"/>
  <c r="X74" i="13"/>
  <c r="W74" i="13"/>
  <c r="V74" i="13"/>
  <c r="L74" i="13"/>
  <c r="D74" i="13" a="1"/>
  <c r="D74" i="13" s="1"/>
  <c r="X73" i="13"/>
  <c r="W73" i="13"/>
  <c r="V73" i="13"/>
  <c r="L73" i="13"/>
  <c r="D73" i="13" a="1"/>
  <c r="D73" i="13" s="1"/>
  <c r="X72" i="13"/>
  <c r="W72" i="13"/>
  <c r="V72" i="13"/>
  <c r="L72" i="13"/>
  <c r="D72" i="13" a="1"/>
  <c r="D72" i="13" s="1"/>
  <c r="X71" i="13"/>
  <c r="W71" i="13"/>
  <c r="V71" i="13"/>
  <c r="L71" i="13"/>
  <c r="D71" i="13" a="1"/>
  <c r="D71" i="13" s="1"/>
  <c r="X70" i="13"/>
  <c r="W70" i="13"/>
  <c r="V70" i="13"/>
  <c r="L70" i="13"/>
  <c r="D70" i="13" a="1"/>
  <c r="D70" i="13" s="1"/>
  <c r="X69" i="13"/>
  <c r="W69" i="13"/>
  <c r="V69" i="13"/>
  <c r="L69" i="13"/>
  <c r="D69" i="13" a="1"/>
  <c r="D69" i="13" s="1"/>
  <c r="X68" i="13"/>
  <c r="W68" i="13"/>
  <c r="V68" i="13"/>
  <c r="L68" i="13"/>
  <c r="D68" i="13" a="1"/>
  <c r="D68" i="13" s="1"/>
  <c r="X67" i="13"/>
  <c r="W67" i="13"/>
  <c r="V67" i="13"/>
  <c r="L67" i="13"/>
  <c r="D67" i="13" a="1"/>
  <c r="D67" i="13" s="1"/>
  <c r="X66" i="13"/>
  <c r="W66" i="13"/>
  <c r="V66" i="13"/>
  <c r="L66" i="13"/>
  <c r="D66" i="13" a="1"/>
  <c r="D66" i="13" s="1"/>
  <c r="X65" i="13"/>
  <c r="W65" i="13"/>
  <c r="V65" i="13"/>
  <c r="L65" i="13"/>
  <c r="D65" i="13" a="1"/>
  <c r="D65" i="13" s="1"/>
  <c r="X64" i="13"/>
  <c r="W64" i="13"/>
  <c r="V64" i="13"/>
  <c r="L64" i="13"/>
  <c r="D64" i="13" a="1"/>
  <c r="D64" i="13" s="1"/>
  <c r="X63" i="13"/>
  <c r="W63" i="13"/>
  <c r="V63" i="13"/>
  <c r="L63" i="13"/>
  <c r="D63" i="13" a="1"/>
  <c r="D63" i="13" s="1"/>
  <c r="X62" i="13"/>
  <c r="W62" i="13"/>
  <c r="V62" i="13"/>
  <c r="L62" i="13"/>
  <c r="D62" i="13" a="1"/>
  <c r="D62" i="13" s="1"/>
  <c r="X61" i="13"/>
  <c r="W61" i="13"/>
  <c r="V61" i="13"/>
  <c r="S61" i="13"/>
  <c r="L61" i="13"/>
  <c r="D61" i="13" a="1"/>
  <c r="D61" i="13" s="1"/>
  <c r="X60" i="13"/>
  <c r="W60" i="13"/>
  <c r="V60" i="13"/>
  <c r="S60" i="13"/>
  <c r="L60" i="13"/>
  <c r="D60" i="13" a="1"/>
  <c r="D60" i="13" s="1"/>
  <c r="X59" i="13"/>
  <c r="W59" i="13"/>
  <c r="V59" i="13"/>
  <c r="S59" i="13"/>
  <c r="L59" i="13"/>
  <c r="D59" i="13" a="1"/>
  <c r="D59" i="13" s="1"/>
  <c r="X58" i="13"/>
  <c r="W58" i="13"/>
  <c r="V58" i="13"/>
  <c r="S58" i="13"/>
  <c r="L58" i="13"/>
  <c r="D58" i="13" a="1"/>
  <c r="D58" i="13" s="1"/>
  <c r="X57" i="13"/>
  <c r="W57" i="13"/>
  <c r="V57" i="13"/>
  <c r="S57" i="13"/>
  <c r="L57" i="13"/>
  <c r="D57" i="13" a="1"/>
  <c r="D57" i="13" s="1"/>
  <c r="X56" i="13"/>
  <c r="W56" i="13"/>
  <c r="V56" i="13"/>
  <c r="S56" i="13"/>
  <c r="L56" i="13"/>
  <c r="D56" i="13" a="1"/>
  <c r="D56" i="13" s="1"/>
  <c r="X55" i="13"/>
  <c r="W55" i="13"/>
  <c r="V55" i="13"/>
  <c r="S55" i="13"/>
  <c r="L55" i="13"/>
  <c r="D55" i="13" a="1"/>
  <c r="D55" i="13" s="1"/>
  <c r="X54" i="13"/>
  <c r="W54" i="13"/>
  <c r="V54" i="13"/>
  <c r="S54" i="13"/>
  <c r="L54" i="13"/>
  <c r="D54" i="13" a="1"/>
  <c r="D54" i="13" s="1"/>
  <c r="X53" i="13"/>
  <c r="W53" i="13"/>
  <c r="V53" i="13"/>
  <c r="S53" i="13"/>
  <c r="L53" i="13"/>
  <c r="D53" i="13" a="1"/>
  <c r="D53" i="13" s="1"/>
  <c r="X52" i="13"/>
  <c r="W52" i="13"/>
  <c r="V52" i="13"/>
  <c r="S52" i="13"/>
  <c r="L52" i="13"/>
  <c r="D52" i="13" a="1"/>
  <c r="D52" i="13" s="1"/>
  <c r="X51" i="13"/>
  <c r="W51" i="13"/>
  <c r="V51" i="13"/>
  <c r="S51" i="13"/>
  <c r="L51" i="13"/>
  <c r="D51" i="13" a="1"/>
  <c r="D51" i="13" s="1"/>
  <c r="X50" i="13"/>
  <c r="W50" i="13"/>
  <c r="V50" i="13"/>
  <c r="S50" i="13"/>
  <c r="L50" i="13"/>
  <c r="D50" i="13" a="1"/>
  <c r="D50" i="13" s="1"/>
  <c r="X49" i="13"/>
  <c r="W49" i="13"/>
  <c r="V49" i="13"/>
  <c r="S49" i="13"/>
  <c r="L49" i="13"/>
  <c r="D49" i="13" a="1"/>
  <c r="D49" i="13" s="1"/>
  <c r="X48" i="13"/>
  <c r="W48" i="13"/>
  <c r="V48" i="13"/>
  <c r="S48" i="13"/>
  <c r="L48" i="13"/>
  <c r="D48" i="13" a="1"/>
  <c r="D48" i="13" s="1"/>
  <c r="X47" i="13"/>
  <c r="W47" i="13"/>
  <c r="V47" i="13"/>
  <c r="S47" i="13"/>
  <c r="L47" i="13"/>
  <c r="D47" i="13" a="1"/>
  <c r="D47" i="13" s="1"/>
  <c r="X46" i="13"/>
  <c r="W46" i="13"/>
  <c r="V46" i="13"/>
  <c r="S46" i="13"/>
  <c r="L46" i="13"/>
  <c r="D46" i="13" a="1"/>
  <c r="D46" i="13" s="1"/>
  <c r="X45" i="13"/>
  <c r="W45" i="13"/>
  <c r="V45" i="13"/>
  <c r="S45" i="13"/>
  <c r="L45" i="13"/>
  <c r="D45" i="13" a="1"/>
  <c r="D45" i="13" s="1"/>
  <c r="X44" i="13"/>
  <c r="W44" i="13"/>
  <c r="V44" i="13"/>
  <c r="S44" i="13"/>
  <c r="L44" i="13"/>
  <c r="D44" i="13" a="1"/>
  <c r="D44" i="13" s="1"/>
  <c r="X43" i="13"/>
  <c r="W43" i="13"/>
  <c r="V43" i="13"/>
  <c r="S43" i="13"/>
  <c r="L43" i="13"/>
  <c r="D43" i="13" a="1"/>
  <c r="D43" i="13" s="1"/>
  <c r="X42" i="13"/>
  <c r="W42" i="13"/>
  <c r="V42" i="13"/>
  <c r="S42" i="13"/>
  <c r="L42" i="13"/>
  <c r="D42" i="13" a="1"/>
  <c r="D42" i="13" s="1"/>
  <c r="X41" i="13"/>
  <c r="W41" i="13"/>
  <c r="V41" i="13"/>
  <c r="S41" i="13"/>
  <c r="L41" i="13"/>
  <c r="D41" i="13" a="1"/>
  <c r="D41" i="13" s="1"/>
  <c r="X40" i="13"/>
  <c r="W40" i="13"/>
  <c r="V40" i="13"/>
  <c r="S40" i="13"/>
  <c r="L40" i="13"/>
  <c r="D40" i="13" a="1"/>
  <c r="D40" i="13" s="1"/>
  <c r="X39" i="13"/>
  <c r="W39" i="13"/>
  <c r="V39" i="13"/>
  <c r="S39" i="13"/>
  <c r="L39" i="13"/>
  <c r="D39" i="13" a="1"/>
  <c r="D39" i="13" s="1"/>
  <c r="X38" i="13"/>
  <c r="W38" i="13"/>
  <c r="V38" i="13"/>
  <c r="S38" i="13"/>
  <c r="L38" i="13"/>
  <c r="D38" i="13" a="1"/>
  <c r="D38" i="13" s="1"/>
  <c r="X37" i="13"/>
  <c r="W37" i="13"/>
  <c r="V37" i="13"/>
  <c r="S37" i="13"/>
  <c r="L37" i="13"/>
  <c r="D37" i="13" a="1"/>
  <c r="D37" i="13" s="1"/>
  <c r="X36" i="13"/>
  <c r="W36" i="13"/>
  <c r="V36" i="13"/>
  <c r="S36" i="13"/>
  <c r="L36" i="13"/>
  <c r="D36" i="13" a="1"/>
  <c r="D36" i="13" s="1"/>
  <c r="X35" i="13"/>
  <c r="W35" i="13"/>
  <c r="V35" i="13"/>
  <c r="S35" i="13"/>
  <c r="L35" i="13"/>
  <c r="D35" i="13" a="1"/>
  <c r="D35" i="13" s="1"/>
  <c r="X34" i="13"/>
  <c r="W34" i="13"/>
  <c r="V34" i="13"/>
  <c r="S34" i="13"/>
  <c r="L34" i="13"/>
  <c r="D34" i="13" a="1"/>
  <c r="D34" i="13" s="1"/>
  <c r="X33" i="13"/>
  <c r="W33" i="13"/>
  <c r="V33" i="13"/>
  <c r="T33" i="13"/>
  <c r="S33" i="13"/>
  <c r="L33" i="13"/>
  <c r="D33" i="13" a="1"/>
  <c r="D33" i="13" s="1"/>
  <c r="X32" i="13"/>
  <c r="W32" i="13"/>
  <c r="V32" i="13"/>
  <c r="T32" i="13"/>
  <c r="S32" i="13"/>
  <c r="L32" i="13"/>
  <c r="D32" i="13" a="1"/>
  <c r="D32" i="13" s="1"/>
  <c r="X31" i="13"/>
  <c r="W31" i="13"/>
  <c r="V31" i="13"/>
  <c r="T31" i="13"/>
  <c r="S31" i="13"/>
  <c r="L31" i="13"/>
  <c r="D31" i="13" a="1"/>
  <c r="D31" i="13" s="1"/>
  <c r="X30" i="13"/>
  <c r="W30" i="13"/>
  <c r="V30" i="13"/>
  <c r="T30" i="13"/>
  <c r="S30" i="13"/>
  <c r="L30" i="13"/>
  <c r="D30" i="13" a="1"/>
  <c r="D30" i="13" s="1"/>
  <c r="X29" i="13"/>
  <c r="W29" i="13"/>
  <c r="V29" i="13"/>
  <c r="T29" i="13"/>
  <c r="S29" i="13"/>
  <c r="L29" i="13"/>
  <c r="D29" i="13" a="1"/>
  <c r="D29" i="13" s="1"/>
  <c r="X28" i="13"/>
  <c r="W28" i="13"/>
  <c r="V28" i="13"/>
  <c r="T28" i="13"/>
  <c r="S28" i="13"/>
  <c r="L28" i="13"/>
  <c r="D28" i="13" a="1"/>
  <c r="D28" i="13" s="1"/>
  <c r="X27" i="13"/>
  <c r="W27" i="13"/>
  <c r="V27" i="13"/>
  <c r="T27" i="13"/>
  <c r="S27" i="13"/>
  <c r="L27" i="13"/>
  <c r="D27" i="13" a="1"/>
  <c r="D27" i="13" s="1"/>
  <c r="X26" i="13"/>
  <c r="W26" i="13"/>
  <c r="V26" i="13"/>
  <c r="T26" i="13"/>
  <c r="S26" i="13"/>
  <c r="L26" i="13"/>
  <c r="D26" i="13" a="1"/>
  <c r="D26" i="13" s="1"/>
  <c r="X25" i="13"/>
  <c r="W25" i="13"/>
  <c r="V25" i="13"/>
  <c r="T25" i="13"/>
  <c r="S25" i="13"/>
  <c r="R25" i="13"/>
  <c r="N25" i="13"/>
  <c r="L25" i="13"/>
  <c r="K25" i="13"/>
  <c r="D25" i="13" a="1"/>
  <c r="D25" i="13" s="1"/>
  <c r="U20" i="13"/>
  <c r="P20" i="13"/>
  <c r="T20" i="13" s="1"/>
  <c r="I20" i="13"/>
  <c r="N20" i="13" s="1"/>
  <c r="Z20" i="13" s="1"/>
  <c r="F20" i="13"/>
  <c r="P19" i="13"/>
  <c r="I19" i="13"/>
  <c r="N19" i="13" s="1"/>
  <c r="Z19" i="13" s="1"/>
  <c r="F19" i="13"/>
  <c r="G19" i="13" s="1"/>
  <c r="H19" i="13" s="1"/>
  <c r="P18" i="13"/>
  <c r="I18" i="13"/>
  <c r="N18" i="13" s="1"/>
  <c r="Z18" i="13" s="1"/>
  <c r="F18" i="13"/>
  <c r="V18" i="13" s="1"/>
  <c r="P17" i="13"/>
  <c r="I17" i="13"/>
  <c r="N17" i="13" s="1"/>
  <c r="Z17" i="13" s="1"/>
  <c r="F17" i="13"/>
  <c r="P16" i="13"/>
  <c r="I16" i="13"/>
  <c r="N16" i="13" s="1"/>
  <c r="Z16" i="13" s="1"/>
  <c r="F16" i="13"/>
  <c r="G16" i="13" s="1"/>
  <c r="H16" i="13" s="1"/>
  <c r="P15" i="13"/>
  <c r="I15" i="13"/>
  <c r="N15" i="13" s="1"/>
  <c r="Z15" i="13" s="1"/>
  <c r="F15" i="13"/>
  <c r="P14" i="13"/>
  <c r="I14" i="13"/>
  <c r="N14" i="13" s="1"/>
  <c r="Z14" i="13" s="1"/>
  <c r="F14" i="13"/>
  <c r="P13" i="13"/>
  <c r="I13" i="13"/>
  <c r="N13" i="13" s="1"/>
  <c r="Z13" i="13" s="1"/>
  <c r="F13" i="13"/>
  <c r="P12" i="13"/>
  <c r="I12" i="13"/>
  <c r="N12" i="13" s="1"/>
  <c r="Z12" i="13" s="1"/>
  <c r="F12" i="13"/>
  <c r="P11" i="13"/>
  <c r="I11" i="13"/>
  <c r="N11" i="13" s="1"/>
  <c r="Z11" i="13" s="1"/>
  <c r="F11" i="13"/>
  <c r="P10" i="13"/>
  <c r="I10" i="13"/>
  <c r="N10" i="13" s="1"/>
  <c r="Z10" i="13" s="1"/>
  <c r="F10" i="13"/>
  <c r="G10" i="13" s="1"/>
  <c r="P9" i="13"/>
  <c r="I9" i="13"/>
  <c r="N9" i="13" s="1"/>
  <c r="Z9" i="13" s="1"/>
  <c r="F9" i="13"/>
  <c r="G9" i="13" s="1"/>
  <c r="H9" i="13" s="1"/>
  <c r="P8" i="13"/>
  <c r="I8" i="13"/>
  <c r="N8" i="13" s="1"/>
  <c r="Z8" i="13" s="1"/>
  <c r="F8" i="13"/>
  <c r="G8" i="13" s="1"/>
  <c r="H8" i="13" s="1"/>
  <c r="P7" i="13"/>
  <c r="I7" i="13"/>
  <c r="N7" i="13" s="1"/>
  <c r="Z7" i="13" s="1"/>
  <c r="F7" i="13"/>
  <c r="B5" i="13"/>
  <c r="B4" i="13"/>
  <c r="D4" i="13" s="1"/>
  <c r="AK8" i="13" s="1"/>
  <c r="AO8" i="13" s="1"/>
  <c r="B3" i="13"/>
  <c r="L137" i="12"/>
  <c r="K137" i="12"/>
  <c r="J137" i="12"/>
  <c r="I137" i="12"/>
  <c r="H137" i="12"/>
  <c r="G137" i="12"/>
  <c r="F137" i="12"/>
  <c r="L136" i="12"/>
  <c r="K136" i="12"/>
  <c r="J136" i="12"/>
  <c r="I136" i="12"/>
  <c r="H136" i="12"/>
  <c r="G136" i="12"/>
  <c r="F136" i="12"/>
  <c r="L135" i="12"/>
  <c r="K135" i="12"/>
  <c r="J135" i="12"/>
  <c r="I135" i="12"/>
  <c r="H135" i="12"/>
  <c r="G135" i="12"/>
  <c r="F135" i="12"/>
  <c r="L134" i="12"/>
  <c r="K134" i="12"/>
  <c r="J134" i="12"/>
  <c r="I134" i="12"/>
  <c r="H134" i="12"/>
  <c r="G134" i="12"/>
  <c r="F134" i="12"/>
  <c r="L133" i="12"/>
  <c r="K133" i="12"/>
  <c r="J133" i="12"/>
  <c r="I133" i="12"/>
  <c r="H133" i="12"/>
  <c r="G133" i="12"/>
  <c r="F133" i="12"/>
  <c r="L132" i="12"/>
  <c r="K132" i="12"/>
  <c r="J132" i="12"/>
  <c r="I132" i="12"/>
  <c r="H132" i="12"/>
  <c r="G132" i="12"/>
  <c r="F132" i="12"/>
  <c r="L131" i="12"/>
  <c r="K131" i="12"/>
  <c r="J131" i="12"/>
  <c r="I131" i="12"/>
  <c r="H131" i="12"/>
  <c r="G131" i="12"/>
  <c r="F131" i="12"/>
  <c r="L130" i="12"/>
  <c r="K130" i="12"/>
  <c r="J130" i="12"/>
  <c r="I130" i="12"/>
  <c r="H130" i="12"/>
  <c r="G130" i="12"/>
  <c r="F130" i="12"/>
  <c r="L129" i="12"/>
  <c r="K129" i="12"/>
  <c r="J129" i="12"/>
  <c r="I129" i="12"/>
  <c r="H129" i="12"/>
  <c r="G129" i="12"/>
  <c r="F129" i="12"/>
  <c r="L128" i="12"/>
  <c r="K128" i="12"/>
  <c r="J128" i="12"/>
  <c r="I128" i="12"/>
  <c r="H128" i="12"/>
  <c r="G128" i="12"/>
  <c r="F128" i="12"/>
  <c r="L127" i="12"/>
  <c r="K127" i="12"/>
  <c r="J127" i="12"/>
  <c r="I127" i="12"/>
  <c r="H127" i="12"/>
  <c r="G127" i="12"/>
  <c r="F127" i="12"/>
  <c r="L126" i="12"/>
  <c r="K126" i="12"/>
  <c r="J126" i="12"/>
  <c r="I126" i="12"/>
  <c r="H126" i="12"/>
  <c r="G126" i="12"/>
  <c r="F126" i="12"/>
  <c r="L125" i="12"/>
  <c r="K125" i="12"/>
  <c r="J125" i="12"/>
  <c r="I125" i="12"/>
  <c r="H125" i="12"/>
  <c r="G125" i="12"/>
  <c r="F125" i="12"/>
  <c r="L124" i="12"/>
  <c r="K124" i="12"/>
  <c r="J124" i="12"/>
  <c r="I124" i="12"/>
  <c r="H124" i="12"/>
  <c r="G124" i="12"/>
  <c r="F124" i="12"/>
  <c r="L123" i="12"/>
  <c r="K123" i="12"/>
  <c r="J123" i="12"/>
  <c r="I123" i="12"/>
  <c r="H123" i="12"/>
  <c r="G123" i="12"/>
  <c r="F123" i="12"/>
  <c r="L122" i="12"/>
  <c r="K122" i="12"/>
  <c r="J122" i="12"/>
  <c r="I122" i="12"/>
  <c r="H122" i="12"/>
  <c r="G122" i="12"/>
  <c r="F122" i="12"/>
  <c r="L121" i="12"/>
  <c r="K121" i="12"/>
  <c r="J121" i="12"/>
  <c r="I121" i="12"/>
  <c r="H121" i="12"/>
  <c r="G121" i="12"/>
  <c r="F121" i="12"/>
  <c r="L120" i="12"/>
  <c r="K120" i="12"/>
  <c r="J120" i="12"/>
  <c r="I120" i="12"/>
  <c r="H120" i="12"/>
  <c r="G120" i="12"/>
  <c r="F120" i="12"/>
  <c r="L119" i="12"/>
  <c r="K119" i="12"/>
  <c r="J119" i="12"/>
  <c r="I119" i="12"/>
  <c r="H119" i="12"/>
  <c r="G119" i="12"/>
  <c r="F119" i="12"/>
  <c r="L118" i="12"/>
  <c r="K118" i="12"/>
  <c r="J118" i="12"/>
  <c r="I118" i="12"/>
  <c r="H118" i="12"/>
  <c r="G118" i="12"/>
  <c r="F118" i="12"/>
  <c r="L117" i="12"/>
  <c r="K117" i="12"/>
  <c r="J117" i="12"/>
  <c r="I117" i="12"/>
  <c r="H117" i="12"/>
  <c r="G117" i="12"/>
  <c r="F117" i="12"/>
  <c r="L116" i="12"/>
  <c r="K116" i="12"/>
  <c r="J116" i="12"/>
  <c r="I116" i="12"/>
  <c r="H116" i="12"/>
  <c r="G116" i="12"/>
  <c r="F116" i="12"/>
  <c r="L115" i="12"/>
  <c r="K115" i="12"/>
  <c r="J115" i="12"/>
  <c r="I115" i="12"/>
  <c r="H115" i="12"/>
  <c r="G115" i="12"/>
  <c r="F115" i="12"/>
  <c r="L114" i="12"/>
  <c r="K114" i="12"/>
  <c r="J114" i="12"/>
  <c r="I114" i="12"/>
  <c r="H114" i="12"/>
  <c r="G114" i="12"/>
  <c r="F114" i="12"/>
  <c r="L113" i="12"/>
  <c r="K113" i="12"/>
  <c r="J113" i="12"/>
  <c r="I113" i="12"/>
  <c r="H113" i="12"/>
  <c r="G113" i="12"/>
  <c r="F113" i="12"/>
  <c r="L112" i="12"/>
  <c r="K112" i="12"/>
  <c r="J112" i="12"/>
  <c r="I112" i="12"/>
  <c r="H112" i="12"/>
  <c r="G112" i="12"/>
  <c r="F112" i="12"/>
  <c r="L111" i="12"/>
  <c r="K111" i="12"/>
  <c r="J111" i="12"/>
  <c r="I111" i="12"/>
  <c r="H111" i="12"/>
  <c r="G111" i="12"/>
  <c r="F111" i="12"/>
  <c r="L110" i="12"/>
  <c r="K110" i="12"/>
  <c r="J110" i="12"/>
  <c r="I110" i="12"/>
  <c r="H110" i="12"/>
  <c r="G110" i="12"/>
  <c r="F110" i="12"/>
  <c r="L109" i="12"/>
  <c r="K109" i="12"/>
  <c r="J109" i="12"/>
  <c r="I109" i="12"/>
  <c r="H109" i="12"/>
  <c r="G109" i="12"/>
  <c r="F109" i="12"/>
  <c r="L108" i="12"/>
  <c r="K108" i="12"/>
  <c r="J108" i="12"/>
  <c r="I108" i="12"/>
  <c r="H108" i="12"/>
  <c r="G108" i="12"/>
  <c r="F108" i="12"/>
  <c r="L107" i="12"/>
  <c r="K107" i="12"/>
  <c r="J107" i="12"/>
  <c r="I107" i="12"/>
  <c r="H107" i="12"/>
  <c r="G107" i="12"/>
  <c r="F107" i="12"/>
  <c r="L106" i="12"/>
  <c r="K106" i="12"/>
  <c r="J106" i="12"/>
  <c r="I106" i="12"/>
  <c r="H106" i="12"/>
  <c r="G106" i="12"/>
  <c r="F106" i="12"/>
  <c r="L105" i="12"/>
  <c r="K105" i="12"/>
  <c r="J105" i="12"/>
  <c r="I105" i="12"/>
  <c r="H105" i="12"/>
  <c r="G105" i="12"/>
  <c r="F105" i="12"/>
  <c r="L104" i="12"/>
  <c r="K104" i="12"/>
  <c r="J104" i="12"/>
  <c r="I104" i="12"/>
  <c r="H104" i="12"/>
  <c r="G104" i="12"/>
  <c r="F104" i="12"/>
  <c r="L103" i="12"/>
  <c r="K103" i="12"/>
  <c r="J103" i="12"/>
  <c r="I103" i="12"/>
  <c r="H103" i="12"/>
  <c r="G103" i="12"/>
  <c r="F103" i="12"/>
  <c r="L102" i="12"/>
  <c r="K102" i="12"/>
  <c r="J102" i="12"/>
  <c r="I102" i="12"/>
  <c r="H102" i="12"/>
  <c r="G102" i="12"/>
  <c r="F102" i="12"/>
  <c r="L101" i="12"/>
  <c r="K101" i="12"/>
  <c r="J101" i="12"/>
  <c r="I101" i="12"/>
  <c r="H101" i="12"/>
  <c r="G101" i="12"/>
  <c r="F101" i="12"/>
  <c r="L100" i="12"/>
  <c r="K100" i="12"/>
  <c r="J100" i="12"/>
  <c r="I100" i="12"/>
  <c r="H100" i="12"/>
  <c r="G100" i="12"/>
  <c r="F100" i="12"/>
  <c r="L99" i="12"/>
  <c r="K99" i="12"/>
  <c r="J99" i="12"/>
  <c r="I99" i="12"/>
  <c r="H99" i="12"/>
  <c r="G99" i="12"/>
  <c r="F99" i="12"/>
  <c r="L98" i="12"/>
  <c r="K98" i="12"/>
  <c r="J98" i="12"/>
  <c r="I98" i="12"/>
  <c r="H98" i="12"/>
  <c r="G98" i="12"/>
  <c r="F98" i="12"/>
  <c r="L97" i="12"/>
  <c r="K97" i="12"/>
  <c r="J97" i="12"/>
  <c r="I97" i="12"/>
  <c r="H97" i="12"/>
  <c r="G97" i="12"/>
  <c r="F97" i="12"/>
  <c r="L96" i="12"/>
  <c r="K96" i="12"/>
  <c r="J96" i="12"/>
  <c r="I96" i="12"/>
  <c r="H96" i="12"/>
  <c r="G96" i="12"/>
  <c r="F96" i="12"/>
  <c r="L95" i="12"/>
  <c r="K95" i="12"/>
  <c r="J95" i="12"/>
  <c r="I95" i="12"/>
  <c r="H95" i="12"/>
  <c r="G95" i="12"/>
  <c r="F95" i="12"/>
  <c r="L94" i="12"/>
  <c r="K94" i="12"/>
  <c r="J94" i="12"/>
  <c r="I94" i="12"/>
  <c r="H94" i="12"/>
  <c r="G94" i="12"/>
  <c r="F94" i="12"/>
  <c r="L93" i="12"/>
  <c r="K93" i="12"/>
  <c r="J93" i="12"/>
  <c r="I93" i="12"/>
  <c r="H93" i="12"/>
  <c r="G93" i="12"/>
  <c r="F93" i="12"/>
  <c r="L92" i="12"/>
  <c r="K92" i="12"/>
  <c r="J92" i="12"/>
  <c r="I92" i="12"/>
  <c r="H92" i="12"/>
  <c r="G92" i="12"/>
  <c r="F92" i="12"/>
  <c r="L91" i="12"/>
  <c r="K91" i="12"/>
  <c r="J91" i="12"/>
  <c r="I91" i="12"/>
  <c r="H91" i="12"/>
  <c r="G91" i="12"/>
  <c r="F91" i="12"/>
  <c r="L90" i="12"/>
  <c r="K90" i="12"/>
  <c r="J90" i="12"/>
  <c r="I90" i="12"/>
  <c r="H90" i="12"/>
  <c r="G90" i="12"/>
  <c r="F90" i="12"/>
  <c r="L89" i="12"/>
  <c r="K89" i="12"/>
  <c r="J89" i="12"/>
  <c r="I89" i="12"/>
  <c r="H89" i="12"/>
  <c r="G89" i="12"/>
  <c r="F89" i="12"/>
  <c r="L88" i="12"/>
  <c r="K88" i="12"/>
  <c r="J88" i="12"/>
  <c r="I88" i="12"/>
  <c r="H88" i="12"/>
  <c r="G88" i="12"/>
  <c r="F88" i="12"/>
  <c r="L87" i="12"/>
  <c r="K87" i="12"/>
  <c r="J87" i="12"/>
  <c r="I87" i="12"/>
  <c r="H87" i="12"/>
  <c r="G87" i="12"/>
  <c r="F87" i="12"/>
  <c r="L86" i="12"/>
  <c r="K86" i="12"/>
  <c r="J86" i="12"/>
  <c r="I86" i="12"/>
  <c r="H86" i="12"/>
  <c r="G86" i="12"/>
  <c r="F86" i="12"/>
  <c r="L85" i="12"/>
  <c r="K85" i="12"/>
  <c r="J85" i="12"/>
  <c r="I85" i="12"/>
  <c r="H85" i="12"/>
  <c r="G85" i="12"/>
  <c r="F85" i="12"/>
  <c r="L84" i="12"/>
  <c r="K84" i="12"/>
  <c r="J84" i="12"/>
  <c r="I84" i="12"/>
  <c r="H84" i="12"/>
  <c r="G84" i="12"/>
  <c r="F84" i="12"/>
  <c r="L83" i="12"/>
  <c r="K83" i="12"/>
  <c r="J83" i="12"/>
  <c r="I83" i="12"/>
  <c r="H83" i="12"/>
  <c r="G83" i="12"/>
  <c r="F83" i="12"/>
  <c r="L82" i="12"/>
  <c r="K82" i="12"/>
  <c r="J82" i="12"/>
  <c r="I82" i="12"/>
  <c r="H82" i="12"/>
  <c r="G82" i="12"/>
  <c r="F82" i="12"/>
  <c r="L81" i="12"/>
  <c r="K81" i="12"/>
  <c r="J81" i="12"/>
  <c r="I81" i="12"/>
  <c r="H81" i="12"/>
  <c r="G81" i="12"/>
  <c r="F81" i="12"/>
  <c r="L80" i="12"/>
  <c r="K80" i="12"/>
  <c r="J80" i="12"/>
  <c r="I80" i="12"/>
  <c r="H80" i="12"/>
  <c r="G80" i="12"/>
  <c r="F80" i="12"/>
  <c r="L79" i="12"/>
  <c r="K79" i="12"/>
  <c r="J79" i="12"/>
  <c r="I79" i="12"/>
  <c r="H79" i="12"/>
  <c r="G79" i="12"/>
  <c r="F79" i="12"/>
  <c r="L78" i="12"/>
  <c r="K78" i="12"/>
  <c r="J78" i="12"/>
  <c r="I78" i="12"/>
  <c r="H78" i="12"/>
  <c r="G78" i="12"/>
  <c r="F78" i="12"/>
  <c r="L77" i="12"/>
  <c r="K77" i="12"/>
  <c r="J77" i="12"/>
  <c r="I77" i="12"/>
  <c r="H77" i="12"/>
  <c r="G77" i="12"/>
  <c r="F77" i="12"/>
  <c r="L76" i="12"/>
  <c r="K76" i="12"/>
  <c r="J76" i="12"/>
  <c r="I76" i="12"/>
  <c r="H76" i="12"/>
  <c r="G76" i="12"/>
  <c r="F76" i="12"/>
  <c r="L75" i="12"/>
  <c r="K75" i="12"/>
  <c r="J75" i="12"/>
  <c r="I75" i="12"/>
  <c r="H75" i="12"/>
  <c r="G75" i="12"/>
  <c r="F75" i="12"/>
  <c r="L74" i="12"/>
  <c r="K74" i="12"/>
  <c r="J74" i="12"/>
  <c r="I74" i="12"/>
  <c r="H74" i="12"/>
  <c r="G74" i="12"/>
  <c r="F74" i="12"/>
  <c r="L73" i="12"/>
  <c r="K73" i="12"/>
  <c r="J73" i="12"/>
  <c r="I73" i="12"/>
  <c r="H73" i="12"/>
  <c r="G73" i="12"/>
  <c r="F73" i="12"/>
  <c r="L72" i="12"/>
  <c r="K72" i="12"/>
  <c r="J72" i="12"/>
  <c r="I72" i="12"/>
  <c r="H72" i="12"/>
  <c r="G72" i="12"/>
  <c r="F72" i="12"/>
  <c r="L71" i="12"/>
  <c r="K71" i="12"/>
  <c r="J71" i="12"/>
  <c r="I71" i="12"/>
  <c r="H71" i="12"/>
  <c r="G71" i="12"/>
  <c r="F71" i="12"/>
  <c r="L70" i="12"/>
  <c r="K70" i="12"/>
  <c r="J70" i="12"/>
  <c r="I70" i="12"/>
  <c r="H70" i="12"/>
  <c r="G70" i="12"/>
  <c r="F70" i="12"/>
  <c r="L69" i="12"/>
  <c r="K69" i="12"/>
  <c r="J69" i="12"/>
  <c r="I69" i="12"/>
  <c r="H69" i="12"/>
  <c r="G69" i="12"/>
  <c r="F69" i="12"/>
  <c r="L68" i="12"/>
  <c r="K68" i="12"/>
  <c r="J68" i="12"/>
  <c r="I68" i="12"/>
  <c r="H68" i="12"/>
  <c r="G68" i="12"/>
  <c r="F68" i="12"/>
  <c r="L67" i="12"/>
  <c r="K67" i="12"/>
  <c r="J67" i="12"/>
  <c r="I67" i="12"/>
  <c r="H67" i="12"/>
  <c r="G67" i="12"/>
  <c r="F67" i="12"/>
  <c r="L66" i="12"/>
  <c r="K66" i="12"/>
  <c r="J66" i="12"/>
  <c r="I66" i="12"/>
  <c r="H66" i="12"/>
  <c r="G66" i="12"/>
  <c r="F66" i="12"/>
  <c r="L65" i="12"/>
  <c r="K65" i="12"/>
  <c r="J65" i="12"/>
  <c r="I65" i="12"/>
  <c r="H65" i="12"/>
  <c r="G65" i="12"/>
  <c r="F65" i="12"/>
  <c r="L64" i="12"/>
  <c r="K64" i="12"/>
  <c r="J64" i="12"/>
  <c r="I64" i="12"/>
  <c r="H64" i="12"/>
  <c r="G64" i="12"/>
  <c r="F64" i="12"/>
  <c r="L63" i="12"/>
  <c r="K63" i="12"/>
  <c r="J63" i="12"/>
  <c r="I63" i="12"/>
  <c r="H63" i="12"/>
  <c r="G63" i="12"/>
  <c r="F63" i="12"/>
  <c r="L62" i="12"/>
  <c r="K62" i="12"/>
  <c r="J62" i="12"/>
  <c r="I62" i="12"/>
  <c r="H62" i="12"/>
  <c r="G62" i="12"/>
  <c r="F62" i="12"/>
  <c r="L61" i="12"/>
  <c r="K61" i="12"/>
  <c r="J61" i="12"/>
  <c r="I61" i="12"/>
  <c r="H61" i="12"/>
  <c r="G61" i="12"/>
  <c r="F61" i="12"/>
  <c r="L60" i="12"/>
  <c r="K60" i="12"/>
  <c r="J60" i="12"/>
  <c r="I60" i="12"/>
  <c r="H60" i="12"/>
  <c r="G60" i="12"/>
  <c r="F60" i="12"/>
  <c r="L59" i="12"/>
  <c r="K59" i="12"/>
  <c r="J59" i="12"/>
  <c r="I59" i="12"/>
  <c r="H59" i="12"/>
  <c r="G59" i="12"/>
  <c r="F59" i="12"/>
  <c r="L58" i="12"/>
  <c r="K58" i="12"/>
  <c r="J58" i="12"/>
  <c r="I58" i="12"/>
  <c r="H58" i="12"/>
  <c r="G58" i="12"/>
  <c r="F58" i="12"/>
  <c r="L57" i="12"/>
  <c r="K57" i="12"/>
  <c r="J57" i="12"/>
  <c r="I57" i="12"/>
  <c r="H57" i="12"/>
  <c r="G57" i="12"/>
  <c r="F57" i="12"/>
  <c r="L56" i="12"/>
  <c r="K56" i="12"/>
  <c r="J56" i="12"/>
  <c r="I56" i="12"/>
  <c r="H56" i="12"/>
  <c r="G56" i="12"/>
  <c r="F56" i="12"/>
  <c r="L55" i="12"/>
  <c r="K55" i="12"/>
  <c r="J55" i="12"/>
  <c r="I55" i="12"/>
  <c r="H55" i="12"/>
  <c r="G55" i="12"/>
  <c r="F55" i="12"/>
  <c r="L54" i="12"/>
  <c r="K54" i="12"/>
  <c r="J54" i="12"/>
  <c r="I54" i="12"/>
  <c r="H54" i="12"/>
  <c r="G54" i="12"/>
  <c r="F54" i="12"/>
  <c r="L53" i="12"/>
  <c r="K53" i="12"/>
  <c r="J53" i="12"/>
  <c r="I53" i="12"/>
  <c r="H53" i="12"/>
  <c r="G53" i="12"/>
  <c r="F53" i="12"/>
  <c r="L52" i="12"/>
  <c r="K52" i="12"/>
  <c r="J52" i="12"/>
  <c r="I52" i="12"/>
  <c r="H52" i="12"/>
  <c r="G52" i="12"/>
  <c r="F52" i="12"/>
  <c r="L51" i="12"/>
  <c r="K51" i="12"/>
  <c r="J51" i="12"/>
  <c r="I51" i="12"/>
  <c r="H51" i="12"/>
  <c r="G51" i="12"/>
  <c r="F51" i="12"/>
  <c r="L50" i="12"/>
  <c r="K50" i="12"/>
  <c r="J50" i="12"/>
  <c r="I50" i="12"/>
  <c r="H50" i="12"/>
  <c r="G50" i="12"/>
  <c r="F50" i="12"/>
  <c r="L49" i="12"/>
  <c r="K49" i="12"/>
  <c r="J49" i="12"/>
  <c r="I49" i="12"/>
  <c r="H49" i="12"/>
  <c r="G49" i="12"/>
  <c r="F49" i="12"/>
  <c r="L48" i="12"/>
  <c r="K48" i="12"/>
  <c r="J48" i="12"/>
  <c r="I48" i="12"/>
  <c r="H48" i="12"/>
  <c r="G48" i="12"/>
  <c r="F48" i="12"/>
  <c r="L47" i="12"/>
  <c r="K47" i="12"/>
  <c r="J47" i="12"/>
  <c r="I47" i="12"/>
  <c r="H47" i="12"/>
  <c r="G47" i="12"/>
  <c r="F47" i="12"/>
  <c r="L46" i="12"/>
  <c r="K46" i="12"/>
  <c r="J46" i="12"/>
  <c r="I46" i="12"/>
  <c r="H46" i="12"/>
  <c r="G46" i="12"/>
  <c r="F46" i="12"/>
  <c r="L45" i="12"/>
  <c r="K45" i="12"/>
  <c r="J45" i="12"/>
  <c r="I45" i="12"/>
  <c r="H45" i="12"/>
  <c r="G45" i="12"/>
  <c r="F45" i="12"/>
  <c r="L44" i="12"/>
  <c r="K44" i="12"/>
  <c r="J44" i="12"/>
  <c r="I44" i="12"/>
  <c r="H44" i="12"/>
  <c r="G44" i="12"/>
  <c r="F44" i="12"/>
  <c r="L43" i="12"/>
  <c r="K43" i="12"/>
  <c r="J43" i="12"/>
  <c r="I43" i="12"/>
  <c r="H43" i="12"/>
  <c r="G43" i="12"/>
  <c r="F43" i="12"/>
  <c r="L42" i="12"/>
  <c r="K42" i="12"/>
  <c r="J42" i="12"/>
  <c r="I42" i="12"/>
  <c r="H42" i="12"/>
  <c r="G42" i="12"/>
  <c r="F42" i="12"/>
  <c r="L41" i="12"/>
  <c r="K41" i="12"/>
  <c r="J41" i="12"/>
  <c r="I41" i="12"/>
  <c r="H41" i="12"/>
  <c r="G41" i="12"/>
  <c r="F41" i="12"/>
  <c r="L40" i="12"/>
  <c r="K40" i="12"/>
  <c r="J40" i="12"/>
  <c r="I40" i="12"/>
  <c r="H40" i="12"/>
  <c r="G40" i="12"/>
  <c r="F40" i="12"/>
  <c r="L39" i="12"/>
  <c r="K39" i="12"/>
  <c r="J39" i="12"/>
  <c r="I39" i="12"/>
  <c r="H39" i="12"/>
  <c r="G39" i="12"/>
  <c r="F39" i="12"/>
  <c r="L38" i="12"/>
  <c r="K38" i="12"/>
  <c r="J38" i="12"/>
  <c r="I38" i="12"/>
  <c r="H38" i="12"/>
  <c r="G38" i="12"/>
  <c r="F38" i="12"/>
  <c r="L37" i="12"/>
  <c r="K37" i="12"/>
  <c r="J37" i="12"/>
  <c r="I37" i="12"/>
  <c r="H37" i="12"/>
  <c r="G37" i="12"/>
  <c r="F37" i="12"/>
  <c r="L36" i="12"/>
  <c r="K36" i="12"/>
  <c r="J36" i="12"/>
  <c r="I36" i="12"/>
  <c r="H36" i="12"/>
  <c r="G36" i="12"/>
  <c r="F36" i="12"/>
  <c r="L35" i="12"/>
  <c r="K35" i="12"/>
  <c r="J35" i="12"/>
  <c r="I35" i="12"/>
  <c r="H35" i="12"/>
  <c r="G35" i="12"/>
  <c r="F35" i="12"/>
  <c r="L34" i="12"/>
  <c r="K34" i="12"/>
  <c r="J34" i="12"/>
  <c r="I34" i="12"/>
  <c r="H34" i="12"/>
  <c r="G34" i="12"/>
  <c r="F34" i="12"/>
  <c r="L33" i="12"/>
  <c r="K33" i="12"/>
  <c r="J33" i="12"/>
  <c r="I33" i="12"/>
  <c r="H33" i="12"/>
  <c r="G33" i="12"/>
  <c r="F33" i="12"/>
  <c r="L32" i="12"/>
  <c r="K32" i="12"/>
  <c r="J32" i="12"/>
  <c r="I32" i="12"/>
  <c r="H32" i="12"/>
  <c r="G32" i="12"/>
  <c r="F32" i="12"/>
  <c r="N31" i="12"/>
  <c r="O31" i="12" s="1"/>
  <c r="L31" i="12"/>
  <c r="K31" i="12"/>
  <c r="J31" i="12"/>
  <c r="I31" i="12"/>
  <c r="H31" i="12"/>
  <c r="G31" i="12"/>
  <c r="F31" i="12"/>
  <c r="N30" i="12"/>
  <c r="O30" i="12" s="1"/>
  <c r="L30" i="12"/>
  <c r="K30" i="12"/>
  <c r="J30" i="12"/>
  <c r="I30" i="12"/>
  <c r="H30" i="12"/>
  <c r="G30" i="12"/>
  <c r="F30" i="12"/>
  <c r="N29" i="12"/>
  <c r="O29" i="12" s="1"/>
  <c r="L29" i="12"/>
  <c r="K29" i="12"/>
  <c r="J29" i="12"/>
  <c r="I29" i="12"/>
  <c r="H29" i="12"/>
  <c r="G29" i="12"/>
  <c r="F29" i="12"/>
  <c r="N28" i="12"/>
  <c r="O28" i="12" s="1"/>
  <c r="L28" i="12"/>
  <c r="K28" i="12"/>
  <c r="J28" i="12"/>
  <c r="I28" i="12"/>
  <c r="H28" i="12"/>
  <c r="G28" i="12"/>
  <c r="F28" i="12"/>
  <c r="N27" i="12"/>
  <c r="O27" i="12" s="1"/>
  <c r="L27" i="12"/>
  <c r="K27" i="12"/>
  <c r="J27" i="12"/>
  <c r="I27" i="12"/>
  <c r="H27" i="12"/>
  <c r="G27" i="12"/>
  <c r="F27" i="12"/>
  <c r="N26" i="12"/>
  <c r="O26" i="12" s="1"/>
  <c r="L26" i="12"/>
  <c r="K26" i="12"/>
  <c r="J26" i="12"/>
  <c r="I26" i="12"/>
  <c r="H26" i="12"/>
  <c r="G26" i="12"/>
  <c r="F26" i="12"/>
  <c r="N25" i="12"/>
  <c r="L25" i="12"/>
  <c r="K25" i="12"/>
  <c r="J25" i="12"/>
  <c r="I25" i="12"/>
  <c r="H25" i="12"/>
  <c r="G25" i="12"/>
  <c r="F25" i="12"/>
  <c r="N24" i="12"/>
  <c r="L24" i="12"/>
  <c r="K24" i="12"/>
  <c r="J24" i="12"/>
  <c r="I24" i="12"/>
  <c r="H24" i="12"/>
  <c r="G24" i="12"/>
  <c r="F24" i="12"/>
  <c r="N23" i="12"/>
  <c r="L23" i="12"/>
  <c r="K23" i="12"/>
  <c r="J23" i="12"/>
  <c r="I23" i="12"/>
  <c r="H23" i="12"/>
  <c r="G23" i="12"/>
  <c r="F23" i="12"/>
  <c r="N22" i="12"/>
  <c r="G22" i="12"/>
  <c r="F22" i="12"/>
  <c r="I22" i="12" s="1"/>
  <c r="N21" i="12"/>
  <c r="O21" i="12" s="1"/>
  <c r="G21" i="12"/>
  <c r="F21" i="12"/>
  <c r="I21" i="12" s="1"/>
  <c r="N20" i="12"/>
  <c r="O20" i="12" s="1"/>
  <c r="G20" i="12"/>
  <c r="F20" i="12"/>
  <c r="N19" i="12"/>
  <c r="O19" i="12" s="1"/>
  <c r="G19" i="12"/>
  <c r="F19" i="12"/>
  <c r="N18" i="12"/>
  <c r="G18" i="12"/>
  <c r="F18" i="12"/>
  <c r="A55" i="11"/>
  <c r="A53" i="11"/>
  <c r="A52" i="11"/>
  <c r="Q52" i="11" s="1"/>
  <c r="A51" i="11"/>
  <c r="Q51" i="11" s="1"/>
  <c r="A50" i="11"/>
  <c r="Q50" i="11" s="1"/>
  <c r="A49" i="11"/>
  <c r="A48" i="11"/>
  <c r="A47" i="11"/>
  <c r="A46" i="11"/>
  <c r="Q46" i="11" s="1"/>
  <c r="A45" i="11"/>
  <c r="Q45" i="11" s="1"/>
  <c r="A44" i="11"/>
  <c r="A43" i="11"/>
  <c r="A42" i="11"/>
  <c r="Q42" i="11" s="1"/>
  <c r="A41" i="11"/>
  <c r="P41" i="11" s="1"/>
  <c r="A40" i="11"/>
  <c r="Q40" i="11" s="1"/>
  <c r="A39" i="11"/>
  <c r="A38" i="11"/>
  <c r="A37" i="11"/>
  <c r="Q37" i="11" s="1"/>
  <c r="A36" i="11"/>
  <c r="P36" i="11" s="1"/>
  <c r="A35" i="11"/>
  <c r="A34" i="11"/>
  <c r="A33" i="11"/>
  <c r="P33" i="11" s="1"/>
  <c r="A32" i="11"/>
  <c r="Q32" i="11" s="1"/>
  <c r="A31" i="11"/>
  <c r="R26" i="11"/>
  <c r="Q26" i="11"/>
  <c r="P26" i="11"/>
  <c r="R25" i="11"/>
  <c r="Q25" i="11"/>
  <c r="P25" i="11"/>
  <c r="R24" i="11"/>
  <c r="Q24" i="11"/>
  <c r="P24" i="11"/>
  <c r="R23" i="11"/>
  <c r="Q23" i="11"/>
  <c r="P23" i="11"/>
  <c r="R22" i="11"/>
  <c r="Q22" i="11"/>
  <c r="P22" i="11"/>
  <c r="R21" i="11"/>
  <c r="Q21" i="11"/>
  <c r="P21" i="11"/>
  <c r="R20" i="11"/>
  <c r="Q20" i="11"/>
  <c r="P20" i="11"/>
  <c r="R19" i="11"/>
  <c r="Q19" i="11"/>
  <c r="P19" i="11"/>
  <c r="R18" i="11"/>
  <c r="Q18" i="11"/>
  <c r="P18" i="11"/>
  <c r="R17" i="11"/>
  <c r="Q17" i="11"/>
  <c r="P17" i="11"/>
  <c r="R16" i="11"/>
  <c r="Q16" i="11"/>
  <c r="P16" i="11"/>
  <c r="R15" i="11"/>
  <c r="Q15" i="11"/>
  <c r="P15" i="11"/>
  <c r="R14" i="11"/>
  <c r="Q14" i="11"/>
  <c r="P14" i="11"/>
  <c r="R13" i="11"/>
  <c r="Q13" i="11"/>
  <c r="P13" i="11"/>
  <c r="R12" i="11"/>
  <c r="Q12" i="11"/>
  <c r="P12" i="11"/>
  <c r="R11" i="11"/>
  <c r="Q11" i="11"/>
  <c r="P11" i="11"/>
  <c r="Q10" i="11"/>
  <c r="P10" i="11"/>
  <c r="Q9" i="11"/>
  <c r="P9" i="11"/>
  <c r="Q8" i="11"/>
  <c r="P8" i="11"/>
  <c r="Q7" i="11"/>
  <c r="P7" i="11"/>
  <c r="B3" i="11"/>
  <c r="F3" i="11" s="1"/>
  <c r="AB810" i="10"/>
  <c r="AA810" i="10"/>
  <c r="Z810" i="10"/>
  <c r="Y810" i="10"/>
  <c r="X810" i="10"/>
  <c r="W810" i="10"/>
  <c r="V810" i="10"/>
  <c r="U810" i="10"/>
  <c r="T810" i="10"/>
  <c r="S810" i="10"/>
  <c r="R810" i="10"/>
  <c r="Q810" i="10"/>
  <c r="P810" i="10"/>
  <c r="N810" i="10"/>
  <c r="M810" i="10"/>
  <c r="L810" i="10"/>
  <c r="K810" i="10"/>
  <c r="J810" i="10"/>
  <c r="I810" i="10"/>
  <c r="H810" i="10"/>
  <c r="G810" i="10"/>
  <c r="F810" i="10"/>
  <c r="AB809" i="10"/>
  <c r="AA809" i="10"/>
  <c r="Z809" i="10"/>
  <c r="Y809" i="10"/>
  <c r="X809" i="10"/>
  <c r="W809" i="10"/>
  <c r="V809" i="10"/>
  <c r="U809" i="10"/>
  <c r="T809" i="10"/>
  <c r="S809" i="10"/>
  <c r="R809" i="10"/>
  <c r="Q809" i="10"/>
  <c r="P809" i="10"/>
  <c r="N809" i="10"/>
  <c r="M809" i="10"/>
  <c r="L809" i="10"/>
  <c r="K809" i="10"/>
  <c r="J809" i="10"/>
  <c r="I809" i="10"/>
  <c r="H809" i="10"/>
  <c r="G809" i="10"/>
  <c r="F809" i="10"/>
  <c r="AB808" i="10"/>
  <c r="AA808" i="10"/>
  <c r="Z808" i="10"/>
  <c r="Y808" i="10"/>
  <c r="X808" i="10"/>
  <c r="W808" i="10"/>
  <c r="V808" i="10"/>
  <c r="U808" i="10"/>
  <c r="T808" i="10"/>
  <c r="S808" i="10"/>
  <c r="R808" i="10"/>
  <c r="Q808" i="10"/>
  <c r="P808" i="10"/>
  <c r="N808" i="10"/>
  <c r="M808" i="10"/>
  <c r="L808" i="10"/>
  <c r="K808" i="10"/>
  <c r="J808" i="10"/>
  <c r="I808" i="10"/>
  <c r="H808" i="10"/>
  <c r="G808" i="10"/>
  <c r="F808" i="10"/>
  <c r="AB807" i="10"/>
  <c r="AA807" i="10"/>
  <c r="Z807" i="10"/>
  <c r="Y807" i="10"/>
  <c r="X807" i="10"/>
  <c r="W807" i="10"/>
  <c r="V807" i="10"/>
  <c r="U807" i="10"/>
  <c r="T807" i="10"/>
  <c r="S807" i="10"/>
  <c r="R807" i="10"/>
  <c r="Q807" i="10"/>
  <c r="P807" i="10"/>
  <c r="N807" i="10"/>
  <c r="M807" i="10"/>
  <c r="L807" i="10"/>
  <c r="K807" i="10"/>
  <c r="J807" i="10"/>
  <c r="I807" i="10"/>
  <c r="H807" i="10"/>
  <c r="G807" i="10"/>
  <c r="F807" i="10"/>
  <c r="AB806" i="10"/>
  <c r="AA806" i="10"/>
  <c r="Z806" i="10"/>
  <c r="Y806" i="10"/>
  <c r="X806" i="10"/>
  <c r="W806" i="10"/>
  <c r="V806" i="10"/>
  <c r="U806" i="10"/>
  <c r="T806" i="10"/>
  <c r="S806" i="10"/>
  <c r="R806" i="10"/>
  <c r="Q806" i="10"/>
  <c r="P806" i="10"/>
  <c r="N806" i="10"/>
  <c r="M806" i="10"/>
  <c r="L806" i="10"/>
  <c r="K806" i="10"/>
  <c r="J806" i="10"/>
  <c r="I806" i="10"/>
  <c r="H806" i="10"/>
  <c r="G806" i="10"/>
  <c r="F806" i="10"/>
  <c r="AB805" i="10"/>
  <c r="AA805" i="10"/>
  <c r="Z805" i="10"/>
  <c r="Y805" i="10"/>
  <c r="X805" i="10"/>
  <c r="W805" i="10"/>
  <c r="V805" i="10"/>
  <c r="U805" i="10"/>
  <c r="T805" i="10"/>
  <c r="S805" i="10"/>
  <c r="R805" i="10"/>
  <c r="Q805" i="10"/>
  <c r="P805" i="10"/>
  <c r="N805" i="10"/>
  <c r="M805" i="10"/>
  <c r="L805" i="10"/>
  <c r="K805" i="10"/>
  <c r="J805" i="10"/>
  <c r="I805" i="10"/>
  <c r="H805" i="10"/>
  <c r="G805" i="10"/>
  <c r="F805" i="10"/>
  <c r="AB804" i="10"/>
  <c r="AA804" i="10"/>
  <c r="Z804" i="10"/>
  <c r="Y804" i="10"/>
  <c r="X804" i="10"/>
  <c r="W804" i="10"/>
  <c r="V804" i="10"/>
  <c r="U804" i="10"/>
  <c r="T804" i="10"/>
  <c r="S804" i="10"/>
  <c r="R804" i="10"/>
  <c r="Q804" i="10"/>
  <c r="P804" i="10"/>
  <c r="N804" i="10"/>
  <c r="M804" i="10"/>
  <c r="L804" i="10"/>
  <c r="K804" i="10"/>
  <c r="J804" i="10"/>
  <c r="I804" i="10"/>
  <c r="H804" i="10"/>
  <c r="G804" i="10"/>
  <c r="F804" i="10"/>
  <c r="AB803" i="10"/>
  <c r="AA803" i="10"/>
  <c r="Z803" i="10"/>
  <c r="Y803" i="10"/>
  <c r="X803" i="10"/>
  <c r="W803" i="10"/>
  <c r="V803" i="10"/>
  <c r="U803" i="10"/>
  <c r="T803" i="10"/>
  <c r="S803" i="10"/>
  <c r="R803" i="10"/>
  <c r="Q803" i="10"/>
  <c r="P803" i="10"/>
  <c r="N803" i="10"/>
  <c r="M803" i="10"/>
  <c r="L803" i="10"/>
  <c r="K803" i="10"/>
  <c r="J803" i="10"/>
  <c r="I803" i="10"/>
  <c r="H803" i="10"/>
  <c r="G803" i="10"/>
  <c r="F803" i="10"/>
  <c r="AB802" i="10"/>
  <c r="AA802" i="10"/>
  <c r="Z802" i="10"/>
  <c r="Y802" i="10"/>
  <c r="X802" i="10"/>
  <c r="W802" i="10"/>
  <c r="V802" i="10"/>
  <c r="U802" i="10"/>
  <c r="T802" i="10"/>
  <c r="S802" i="10"/>
  <c r="R802" i="10"/>
  <c r="Q802" i="10"/>
  <c r="P802" i="10"/>
  <c r="N802" i="10"/>
  <c r="M802" i="10"/>
  <c r="L802" i="10"/>
  <c r="K802" i="10"/>
  <c r="J802" i="10"/>
  <c r="I802" i="10"/>
  <c r="H802" i="10"/>
  <c r="G802" i="10"/>
  <c r="F802" i="10"/>
  <c r="AB801" i="10"/>
  <c r="AA801" i="10"/>
  <c r="Z801" i="10"/>
  <c r="Y801" i="10"/>
  <c r="X801" i="10"/>
  <c r="W801" i="10"/>
  <c r="V801" i="10"/>
  <c r="U801" i="10"/>
  <c r="T801" i="10"/>
  <c r="S801" i="10"/>
  <c r="R801" i="10"/>
  <c r="Q801" i="10"/>
  <c r="P801" i="10"/>
  <c r="N801" i="10"/>
  <c r="M801" i="10"/>
  <c r="L801" i="10"/>
  <c r="K801" i="10"/>
  <c r="J801" i="10"/>
  <c r="I801" i="10"/>
  <c r="H801" i="10"/>
  <c r="G801" i="10"/>
  <c r="F801" i="10"/>
  <c r="AB800" i="10"/>
  <c r="AA800" i="10"/>
  <c r="Z800" i="10"/>
  <c r="Y800" i="10"/>
  <c r="X800" i="10"/>
  <c r="W800" i="10"/>
  <c r="V800" i="10"/>
  <c r="U800" i="10"/>
  <c r="T800" i="10"/>
  <c r="S800" i="10"/>
  <c r="R800" i="10"/>
  <c r="Q800" i="10"/>
  <c r="P800" i="10"/>
  <c r="N800" i="10"/>
  <c r="M800" i="10"/>
  <c r="L800" i="10"/>
  <c r="K800" i="10"/>
  <c r="J800" i="10"/>
  <c r="I800" i="10"/>
  <c r="H800" i="10"/>
  <c r="G800" i="10"/>
  <c r="F800" i="10"/>
  <c r="AB799" i="10"/>
  <c r="AA799" i="10"/>
  <c r="Z799" i="10"/>
  <c r="Y799" i="10"/>
  <c r="X799" i="10"/>
  <c r="W799" i="10"/>
  <c r="V799" i="10"/>
  <c r="U799" i="10"/>
  <c r="T799" i="10"/>
  <c r="S799" i="10"/>
  <c r="R799" i="10"/>
  <c r="Q799" i="10"/>
  <c r="P799" i="10"/>
  <c r="N799" i="10"/>
  <c r="M799" i="10"/>
  <c r="L799" i="10"/>
  <c r="K799" i="10"/>
  <c r="J799" i="10"/>
  <c r="I799" i="10"/>
  <c r="H799" i="10"/>
  <c r="G799" i="10"/>
  <c r="F799" i="10"/>
  <c r="AB798" i="10"/>
  <c r="AA798" i="10"/>
  <c r="Z798" i="10"/>
  <c r="Y798" i="10"/>
  <c r="X798" i="10"/>
  <c r="W798" i="10"/>
  <c r="V798" i="10"/>
  <c r="U798" i="10"/>
  <c r="T798" i="10"/>
  <c r="S798" i="10"/>
  <c r="R798" i="10"/>
  <c r="Q798" i="10"/>
  <c r="P798" i="10"/>
  <c r="N798" i="10"/>
  <c r="M798" i="10"/>
  <c r="L798" i="10"/>
  <c r="K798" i="10"/>
  <c r="J798" i="10"/>
  <c r="I798" i="10"/>
  <c r="H798" i="10"/>
  <c r="G798" i="10"/>
  <c r="F798" i="10"/>
  <c r="AB797" i="10"/>
  <c r="AA797" i="10"/>
  <c r="Z797" i="10"/>
  <c r="Y797" i="10"/>
  <c r="X797" i="10"/>
  <c r="W797" i="10"/>
  <c r="V797" i="10"/>
  <c r="U797" i="10"/>
  <c r="T797" i="10"/>
  <c r="S797" i="10"/>
  <c r="R797" i="10"/>
  <c r="Q797" i="10"/>
  <c r="P797" i="10"/>
  <c r="N797" i="10"/>
  <c r="M797" i="10"/>
  <c r="L797" i="10"/>
  <c r="K797" i="10"/>
  <c r="J797" i="10"/>
  <c r="I797" i="10"/>
  <c r="H797" i="10"/>
  <c r="G797" i="10"/>
  <c r="F797" i="10"/>
  <c r="AB796" i="10"/>
  <c r="AA796" i="10"/>
  <c r="Z796" i="10"/>
  <c r="Y796" i="10"/>
  <c r="X796" i="10"/>
  <c r="W796" i="10"/>
  <c r="V796" i="10"/>
  <c r="U796" i="10"/>
  <c r="T796" i="10"/>
  <c r="S796" i="10"/>
  <c r="R796" i="10"/>
  <c r="Q796" i="10"/>
  <c r="P796" i="10"/>
  <c r="N796" i="10"/>
  <c r="M796" i="10"/>
  <c r="L796" i="10"/>
  <c r="K796" i="10"/>
  <c r="J796" i="10"/>
  <c r="I796" i="10"/>
  <c r="H796" i="10"/>
  <c r="G796" i="10"/>
  <c r="F796" i="10"/>
  <c r="AB795" i="10"/>
  <c r="AA795" i="10"/>
  <c r="Z795" i="10"/>
  <c r="Y795" i="10"/>
  <c r="X795" i="10"/>
  <c r="W795" i="10"/>
  <c r="V795" i="10"/>
  <c r="U795" i="10"/>
  <c r="T795" i="10"/>
  <c r="S795" i="10"/>
  <c r="R795" i="10"/>
  <c r="Q795" i="10"/>
  <c r="P795" i="10"/>
  <c r="N795" i="10"/>
  <c r="M795" i="10"/>
  <c r="L795" i="10"/>
  <c r="K795" i="10"/>
  <c r="J795" i="10"/>
  <c r="I795" i="10"/>
  <c r="H795" i="10"/>
  <c r="G795" i="10"/>
  <c r="F795" i="10"/>
  <c r="AB794" i="10"/>
  <c r="AA794" i="10"/>
  <c r="Z794" i="10"/>
  <c r="Y794" i="10"/>
  <c r="X794" i="10"/>
  <c r="W794" i="10"/>
  <c r="V794" i="10"/>
  <c r="U794" i="10"/>
  <c r="T794" i="10"/>
  <c r="S794" i="10"/>
  <c r="R794" i="10"/>
  <c r="Q794" i="10"/>
  <c r="P794" i="10"/>
  <c r="N794" i="10"/>
  <c r="M794" i="10"/>
  <c r="L794" i="10"/>
  <c r="K794" i="10"/>
  <c r="J794" i="10"/>
  <c r="I794" i="10"/>
  <c r="H794" i="10"/>
  <c r="G794" i="10"/>
  <c r="F794" i="10"/>
  <c r="AB793" i="10"/>
  <c r="AA793" i="10"/>
  <c r="Z793" i="10"/>
  <c r="Y793" i="10"/>
  <c r="X793" i="10"/>
  <c r="W793" i="10"/>
  <c r="V793" i="10"/>
  <c r="U793" i="10"/>
  <c r="T793" i="10"/>
  <c r="S793" i="10"/>
  <c r="R793" i="10"/>
  <c r="Q793" i="10"/>
  <c r="P793" i="10"/>
  <c r="N793" i="10"/>
  <c r="M793" i="10"/>
  <c r="L793" i="10"/>
  <c r="K793" i="10"/>
  <c r="J793" i="10"/>
  <c r="I793" i="10"/>
  <c r="H793" i="10"/>
  <c r="G793" i="10"/>
  <c r="F793" i="10"/>
  <c r="AB792" i="10"/>
  <c r="AA792" i="10"/>
  <c r="Z792" i="10"/>
  <c r="Y792" i="10"/>
  <c r="X792" i="10"/>
  <c r="W792" i="10"/>
  <c r="V792" i="10"/>
  <c r="U792" i="10"/>
  <c r="T792" i="10"/>
  <c r="S792" i="10"/>
  <c r="R792" i="10"/>
  <c r="Q792" i="10"/>
  <c r="P792" i="10"/>
  <c r="N792" i="10"/>
  <c r="M792" i="10"/>
  <c r="L792" i="10"/>
  <c r="K792" i="10"/>
  <c r="J792" i="10"/>
  <c r="I792" i="10"/>
  <c r="H792" i="10"/>
  <c r="G792" i="10"/>
  <c r="F792" i="10"/>
  <c r="AB791" i="10"/>
  <c r="AA791" i="10"/>
  <c r="Z791" i="10"/>
  <c r="Y791" i="10"/>
  <c r="X791" i="10"/>
  <c r="W791" i="10"/>
  <c r="V791" i="10"/>
  <c r="U791" i="10"/>
  <c r="T791" i="10"/>
  <c r="S791" i="10"/>
  <c r="R791" i="10"/>
  <c r="Q791" i="10"/>
  <c r="P791" i="10"/>
  <c r="N791" i="10"/>
  <c r="M791" i="10"/>
  <c r="L791" i="10"/>
  <c r="K791" i="10"/>
  <c r="J791" i="10"/>
  <c r="I791" i="10"/>
  <c r="H791" i="10"/>
  <c r="G791" i="10"/>
  <c r="F791" i="10"/>
  <c r="AB790" i="10"/>
  <c r="AA790" i="10"/>
  <c r="Z790" i="10"/>
  <c r="Y790" i="10"/>
  <c r="X790" i="10"/>
  <c r="W790" i="10"/>
  <c r="V790" i="10"/>
  <c r="U790" i="10"/>
  <c r="T790" i="10"/>
  <c r="S790" i="10"/>
  <c r="R790" i="10"/>
  <c r="Q790" i="10"/>
  <c r="P790" i="10"/>
  <c r="N790" i="10"/>
  <c r="M790" i="10"/>
  <c r="L790" i="10"/>
  <c r="K790" i="10"/>
  <c r="J790" i="10"/>
  <c r="I790" i="10"/>
  <c r="H790" i="10"/>
  <c r="G790" i="10"/>
  <c r="F790" i="10"/>
  <c r="AB789" i="10"/>
  <c r="AA789" i="10"/>
  <c r="Z789" i="10"/>
  <c r="Y789" i="10"/>
  <c r="X789" i="10"/>
  <c r="W789" i="10"/>
  <c r="V789" i="10"/>
  <c r="U789" i="10"/>
  <c r="T789" i="10"/>
  <c r="S789" i="10"/>
  <c r="R789" i="10"/>
  <c r="Q789" i="10"/>
  <c r="P789" i="10"/>
  <c r="N789" i="10"/>
  <c r="M789" i="10"/>
  <c r="L789" i="10"/>
  <c r="K789" i="10"/>
  <c r="J789" i="10"/>
  <c r="I789" i="10"/>
  <c r="H789" i="10"/>
  <c r="G789" i="10"/>
  <c r="F789" i="10"/>
  <c r="AB788" i="10"/>
  <c r="AA788" i="10"/>
  <c r="Z788" i="10"/>
  <c r="Y788" i="10"/>
  <c r="X788" i="10"/>
  <c r="W788" i="10"/>
  <c r="V788" i="10"/>
  <c r="U788" i="10"/>
  <c r="T788" i="10"/>
  <c r="S788" i="10"/>
  <c r="R788" i="10"/>
  <c r="Q788" i="10"/>
  <c r="P788" i="10"/>
  <c r="N788" i="10"/>
  <c r="M788" i="10"/>
  <c r="L788" i="10"/>
  <c r="K788" i="10"/>
  <c r="J788" i="10"/>
  <c r="I788" i="10"/>
  <c r="H788" i="10"/>
  <c r="G788" i="10"/>
  <c r="F788" i="10"/>
  <c r="AB787" i="10"/>
  <c r="AA787" i="10"/>
  <c r="Z787" i="10"/>
  <c r="Y787" i="10"/>
  <c r="X787" i="10"/>
  <c r="W787" i="10"/>
  <c r="V787" i="10"/>
  <c r="U787" i="10"/>
  <c r="T787" i="10"/>
  <c r="S787" i="10"/>
  <c r="R787" i="10"/>
  <c r="Q787" i="10"/>
  <c r="P787" i="10"/>
  <c r="N787" i="10"/>
  <c r="M787" i="10"/>
  <c r="L787" i="10"/>
  <c r="K787" i="10"/>
  <c r="J787" i="10"/>
  <c r="I787" i="10"/>
  <c r="H787" i="10"/>
  <c r="G787" i="10"/>
  <c r="F787" i="10"/>
  <c r="AB786" i="10"/>
  <c r="AA786" i="10"/>
  <c r="Z786" i="10"/>
  <c r="Y786" i="10"/>
  <c r="X786" i="10"/>
  <c r="W786" i="10"/>
  <c r="V786" i="10"/>
  <c r="U786" i="10"/>
  <c r="T786" i="10"/>
  <c r="S786" i="10"/>
  <c r="R786" i="10"/>
  <c r="Q786" i="10"/>
  <c r="P786" i="10"/>
  <c r="N786" i="10"/>
  <c r="M786" i="10"/>
  <c r="L786" i="10"/>
  <c r="K786" i="10"/>
  <c r="J786" i="10"/>
  <c r="I786" i="10"/>
  <c r="H786" i="10"/>
  <c r="G786" i="10"/>
  <c r="F786" i="10"/>
  <c r="AB785" i="10"/>
  <c r="AA785" i="10"/>
  <c r="Z785" i="10"/>
  <c r="Y785" i="10"/>
  <c r="X785" i="10"/>
  <c r="W785" i="10"/>
  <c r="V785" i="10"/>
  <c r="U785" i="10"/>
  <c r="T785" i="10"/>
  <c r="S785" i="10"/>
  <c r="R785" i="10"/>
  <c r="Q785" i="10"/>
  <c r="P785" i="10"/>
  <c r="N785" i="10"/>
  <c r="M785" i="10"/>
  <c r="L785" i="10"/>
  <c r="K785" i="10"/>
  <c r="J785" i="10"/>
  <c r="I785" i="10"/>
  <c r="H785" i="10"/>
  <c r="G785" i="10"/>
  <c r="F785" i="10"/>
  <c r="AB784" i="10"/>
  <c r="AA784" i="10"/>
  <c r="Z784" i="10"/>
  <c r="Y784" i="10"/>
  <c r="X784" i="10"/>
  <c r="W784" i="10"/>
  <c r="V784" i="10"/>
  <c r="U784" i="10"/>
  <c r="T784" i="10"/>
  <c r="S784" i="10"/>
  <c r="R784" i="10"/>
  <c r="Q784" i="10"/>
  <c r="P784" i="10"/>
  <c r="N784" i="10"/>
  <c r="M784" i="10"/>
  <c r="L784" i="10"/>
  <c r="K784" i="10"/>
  <c r="J784" i="10"/>
  <c r="I784" i="10"/>
  <c r="H784" i="10"/>
  <c r="G784" i="10"/>
  <c r="F784" i="10"/>
  <c r="AB783" i="10"/>
  <c r="AA783" i="10"/>
  <c r="Z783" i="10"/>
  <c r="Y783" i="10"/>
  <c r="X783" i="10"/>
  <c r="W783" i="10"/>
  <c r="V783" i="10"/>
  <c r="U783" i="10"/>
  <c r="T783" i="10"/>
  <c r="S783" i="10"/>
  <c r="R783" i="10"/>
  <c r="Q783" i="10"/>
  <c r="P783" i="10"/>
  <c r="N783" i="10"/>
  <c r="M783" i="10"/>
  <c r="L783" i="10"/>
  <c r="K783" i="10"/>
  <c r="J783" i="10"/>
  <c r="I783" i="10"/>
  <c r="H783" i="10"/>
  <c r="G783" i="10"/>
  <c r="F783" i="10"/>
  <c r="AB782" i="10"/>
  <c r="AA782" i="10"/>
  <c r="Z782" i="10"/>
  <c r="Y782" i="10"/>
  <c r="X782" i="10"/>
  <c r="W782" i="10"/>
  <c r="V782" i="10"/>
  <c r="U782" i="10"/>
  <c r="T782" i="10"/>
  <c r="S782" i="10"/>
  <c r="R782" i="10"/>
  <c r="Q782" i="10"/>
  <c r="P782" i="10"/>
  <c r="N782" i="10"/>
  <c r="M782" i="10"/>
  <c r="L782" i="10"/>
  <c r="K782" i="10"/>
  <c r="J782" i="10"/>
  <c r="I782" i="10"/>
  <c r="H782" i="10"/>
  <c r="G782" i="10"/>
  <c r="F782" i="10"/>
  <c r="AB781" i="10"/>
  <c r="AA781" i="10"/>
  <c r="Z781" i="10"/>
  <c r="Y781" i="10"/>
  <c r="X781" i="10"/>
  <c r="W781" i="10"/>
  <c r="V781" i="10"/>
  <c r="U781" i="10"/>
  <c r="T781" i="10"/>
  <c r="S781" i="10"/>
  <c r="R781" i="10"/>
  <c r="Q781" i="10"/>
  <c r="P781" i="10"/>
  <c r="N781" i="10"/>
  <c r="M781" i="10"/>
  <c r="L781" i="10"/>
  <c r="K781" i="10"/>
  <c r="J781" i="10"/>
  <c r="I781" i="10"/>
  <c r="H781" i="10"/>
  <c r="G781" i="10"/>
  <c r="F781" i="10"/>
  <c r="AB780" i="10"/>
  <c r="AA780" i="10"/>
  <c r="Z780" i="10"/>
  <c r="Y780" i="10"/>
  <c r="X780" i="10"/>
  <c r="W780" i="10"/>
  <c r="V780" i="10"/>
  <c r="U780" i="10"/>
  <c r="T780" i="10"/>
  <c r="S780" i="10"/>
  <c r="R780" i="10"/>
  <c r="Q780" i="10"/>
  <c r="P780" i="10"/>
  <c r="N780" i="10"/>
  <c r="M780" i="10"/>
  <c r="L780" i="10"/>
  <c r="K780" i="10"/>
  <c r="J780" i="10"/>
  <c r="I780" i="10"/>
  <c r="H780" i="10"/>
  <c r="G780" i="10"/>
  <c r="F780" i="10"/>
  <c r="AB779" i="10"/>
  <c r="AA779" i="10"/>
  <c r="Z779" i="10"/>
  <c r="Y779" i="10"/>
  <c r="X779" i="10"/>
  <c r="W779" i="10"/>
  <c r="V779" i="10"/>
  <c r="U779" i="10"/>
  <c r="T779" i="10"/>
  <c r="S779" i="10"/>
  <c r="R779" i="10"/>
  <c r="Q779" i="10"/>
  <c r="P779" i="10"/>
  <c r="N779" i="10"/>
  <c r="M779" i="10"/>
  <c r="L779" i="10"/>
  <c r="K779" i="10"/>
  <c r="J779" i="10"/>
  <c r="I779" i="10"/>
  <c r="H779" i="10"/>
  <c r="G779" i="10"/>
  <c r="F779" i="10"/>
  <c r="AB778" i="10"/>
  <c r="AA778" i="10"/>
  <c r="Z778" i="10"/>
  <c r="Y778" i="10"/>
  <c r="X778" i="10"/>
  <c r="W778" i="10"/>
  <c r="V778" i="10"/>
  <c r="U778" i="10"/>
  <c r="T778" i="10"/>
  <c r="S778" i="10"/>
  <c r="R778" i="10"/>
  <c r="Q778" i="10"/>
  <c r="P778" i="10"/>
  <c r="N778" i="10"/>
  <c r="M778" i="10"/>
  <c r="L778" i="10"/>
  <c r="K778" i="10"/>
  <c r="J778" i="10"/>
  <c r="I778" i="10"/>
  <c r="H778" i="10"/>
  <c r="G778" i="10"/>
  <c r="F778" i="10"/>
  <c r="AB777" i="10"/>
  <c r="AA777" i="10"/>
  <c r="Z777" i="10"/>
  <c r="Y777" i="10"/>
  <c r="X777" i="10"/>
  <c r="W777" i="10"/>
  <c r="V777" i="10"/>
  <c r="U777" i="10"/>
  <c r="T777" i="10"/>
  <c r="S777" i="10"/>
  <c r="R777" i="10"/>
  <c r="Q777" i="10"/>
  <c r="P777" i="10"/>
  <c r="N777" i="10"/>
  <c r="M777" i="10"/>
  <c r="L777" i="10"/>
  <c r="K777" i="10"/>
  <c r="J777" i="10"/>
  <c r="I777" i="10"/>
  <c r="H777" i="10"/>
  <c r="G777" i="10"/>
  <c r="F777" i="10"/>
  <c r="AB776" i="10"/>
  <c r="AA776" i="10"/>
  <c r="Z776" i="10"/>
  <c r="Y776" i="10"/>
  <c r="X776" i="10"/>
  <c r="W776" i="10"/>
  <c r="V776" i="10"/>
  <c r="U776" i="10"/>
  <c r="T776" i="10"/>
  <c r="S776" i="10"/>
  <c r="R776" i="10"/>
  <c r="Q776" i="10"/>
  <c r="P776" i="10"/>
  <c r="N776" i="10"/>
  <c r="M776" i="10"/>
  <c r="L776" i="10"/>
  <c r="K776" i="10"/>
  <c r="J776" i="10"/>
  <c r="I776" i="10"/>
  <c r="H776" i="10"/>
  <c r="G776" i="10"/>
  <c r="F776" i="10"/>
  <c r="AB775" i="10"/>
  <c r="AA775" i="10"/>
  <c r="Z775" i="10"/>
  <c r="Y775" i="10"/>
  <c r="X775" i="10"/>
  <c r="W775" i="10"/>
  <c r="V775" i="10"/>
  <c r="U775" i="10"/>
  <c r="T775" i="10"/>
  <c r="S775" i="10"/>
  <c r="R775" i="10"/>
  <c r="Q775" i="10"/>
  <c r="P775" i="10"/>
  <c r="N775" i="10"/>
  <c r="M775" i="10"/>
  <c r="L775" i="10"/>
  <c r="K775" i="10"/>
  <c r="J775" i="10"/>
  <c r="I775" i="10"/>
  <c r="H775" i="10"/>
  <c r="G775" i="10"/>
  <c r="F775" i="10"/>
  <c r="AB774" i="10"/>
  <c r="AA774" i="10"/>
  <c r="Z774" i="10"/>
  <c r="Y774" i="10"/>
  <c r="X774" i="10"/>
  <c r="W774" i="10"/>
  <c r="V774" i="10"/>
  <c r="U774" i="10"/>
  <c r="T774" i="10"/>
  <c r="S774" i="10"/>
  <c r="R774" i="10"/>
  <c r="Q774" i="10"/>
  <c r="P774" i="10"/>
  <c r="N774" i="10"/>
  <c r="M774" i="10"/>
  <c r="L774" i="10"/>
  <c r="K774" i="10"/>
  <c r="J774" i="10"/>
  <c r="I774" i="10"/>
  <c r="H774" i="10"/>
  <c r="G774" i="10"/>
  <c r="F774" i="10"/>
  <c r="T773" i="10"/>
  <c r="R773" i="10"/>
  <c r="G773" i="10"/>
  <c r="F773" i="10"/>
  <c r="L773" i="10" s="1"/>
  <c r="T772" i="10"/>
  <c r="R772" i="10"/>
  <c r="S773" i="10" s="1"/>
  <c r="I773" i="10" s="1"/>
  <c r="K773" i="10" s="1"/>
  <c r="G772" i="10"/>
  <c r="F772" i="10"/>
  <c r="E351" i="13" s="1"/>
  <c r="H351" i="13" s="1" a="1"/>
  <c r="H351" i="13" s="1"/>
  <c r="T771" i="10"/>
  <c r="R771" i="10"/>
  <c r="G771" i="10"/>
  <c r="F771" i="10"/>
  <c r="L771" i="10" s="1"/>
  <c r="T770" i="10"/>
  <c r="R770" i="10"/>
  <c r="G770" i="10"/>
  <c r="F770" i="10"/>
  <c r="E350" i="13" s="1"/>
  <c r="H350" i="13" s="1" a="1"/>
  <c r="H350" i="13" s="1"/>
  <c r="T769" i="10"/>
  <c r="R769" i="10"/>
  <c r="G769" i="10"/>
  <c r="F769" i="10"/>
  <c r="L769" i="10" s="1"/>
  <c r="T768" i="10"/>
  <c r="R768" i="10"/>
  <c r="G768" i="10"/>
  <c r="F768" i="10"/>
  <c r="E349" i="13" s="1"/>
  <c r="H349" i="13" s="1" a="1"/>
  <c r="H349" i="13" s="1"/>
  <c r="T767" i="10"/>
  <c r="R767" i="10"/>
  <c r="G767" i="10"/>
  <c r="F767" i="10"/>
  <c r="L767" i="10" s="1"/>
  <c r="T766" i="10"/>
  <c r="R766" i="10"/>
  <c r="G766" i="10"/>
  <c r="F766" i="10"/>
  <c r="L766" i="10" s="1"/>
  <c r="T765" i="10"/>
  <c r="R765" i="10"/>
  <c r="G765" i="10"/>
  <c r="F765" i="10"/>
  <c r="E348" i="13" s="1"/>
  <c r="H348" i="13" s="1" a="1"/>
  <c r="H348" i="13" s="1"/>
  <c r="T764" i="10"/>
  <c r="R764" i="10"/>
  <c r="G764" i="10"/>
  <c r="F764" i="10"/>
  <c r="L764" i="10" s="1"/>
  <c r="T763" i="10"/>
  <c r="R763" i="10"/>
  <c r="G763" i="10"/>
  <c r="F763" i="10"/>
  <c r="E347" i="13" s="1"/>
  <c r="H347" i="13" s="1" a="1"/>
  <c r="H347" i="13" s="1"/>
  <c r="T762" i="10"/>
  <c r="R762" i="10"/>
  <c r="G762" i="10"/>
  <c r="F762" i="10"/>
  <c r="L762" i="10" s="1"/>
  <c r="T761" i="10"/>
  <c r="R761" i="10"/>
  <c r="G761" i="10"/>
  <c r="F761" i="10"/>
  <c r="E346" i="13" s="1"/>
  <c r="H346" i="13" s="1" a="1"/>
  <c r="H346" i="13" s="1"/>
  <c r="T760" i="10"/>
  <c r="R760" i="10"/>
  <c r="G760" i="10"/>
  <c r="F760" i="10"/>
  <c r="L760" i="10" s="1"/>
  <c r="T759" i="10"/>
  <c r="R759" i="10"/>
  <c r="G759" i="10"/>
  <c r="F759" i="10"/>
  <c r="E345" i="13" s="1"/>
  <c r="H345" i="13" s="1" a="1"/>
  <c r="H345" i="13" s="1"/>
  <c r="T758" i="10"/>
  <c r="R758" i="10"/>
  <c r="G758" i="10"/>
  <c r="F758" i="10"/>
  <c r="T757" i="10"/>
  <c r="R757" i="10"/>
  <c r="G757" i="10"/>
  <c r="F757" i="10"/>
  <c r="T756" i="10"/>
  <c r="R756" i="10"/>
  <c r="G756" i="10"/>
  <c r="F756" i="10"/>
  <c r="T755" i="10"/>
  <c r="R755" i="10"/>
  <c r="G755" i="10"/>
  <c r="F755" i="10"/>
  <c r="E343" i="13" s="1"/>
  <c r="H343" i="13" s="1" a="1"/>
  <c r="H343" i="13" s="1"/>
  <c r="T754" i="10"/>
  <c r="R754" i="10"/>
  <c r="G754" i="10"/>
  <c r="F754" i="10"/>
  <c r="T753" i="10"/>
  <c r="R753" i="10"/>
  <c r="G753" i="10"/>
  <c r="F753" i="10"/>
  <c r="T752" i="10"/>
  <c r="R752" i="10"/>
  <c r="G752" i="10"/>
  <c r="F752" i="10"/>
  <c r="T751" i="10"/>
  <c r="R751" i="10"/>
  <c r="G751" i="10"/>
  <c r="F751" i="10"/>
  <c r="T750" i="10"/>
  <c r="R750" i="10"/>
  <c r="G750" i="10"/>
  <c r="F750" i="10"/>
  <c r="T749" i="10"/>
  <c r="R749" i="10"/>
  <c r="G749" i="10"/>
  <c r="F749" i="10"/>
  <c r="T748" i="10"/>
  <c r="R748" i="10"/>
  <c r="G748" i="10"/>
  <c r="F748" i="10"/>
  <c r="U747" i="10"/>
  <c r="T747" i="10"/>
  <c r="R747" i="10"/>
  <c r="G747" i="10"/>
  <c r="F747" i="10"/>
  <c r="T746" i="10"/>
  <c r="R746" i="10"/>
  <c r="G746" i="10"/>
  <c r="F746" i="10"/>
  <c r="T745" i="10"/>
  <c r="R745" i="10"/>
  <c r="G745" i="10"/>
  <c r="F745" i="10"/>
  <c r="T744" i="10"/>
  <c r="R744" i="10"/>
  <c r="G744" i="10"/>
  <c r="F744" i="10"/>
  <c r="T743" i="10"/>
  <c r="R743" i="10"/>
  <c r="G743" i="10"/>
  <c r="F743" i="10"/>
  <c r="T742" i="10"/>
  <c r="R742" i="10"/>
  <c r="G742" i="10"/>
  <c r="F742" i="10"/>
  <c r="T741" i="10"/>
  <c r="R741" i="10"/>
  <c r="G741" i="10"/>
  <c r="F741" i="10"/>
  <c r="T740" i="10"/>
  <c r="R740" i="10"/>
  <c r="G740" i="10"/>
  <c r="F740" i="10"/>
  <c r="T739" i="10"/>
  <c r="R739" i="10"/>
  <c r="G739" i="10"/>
  <c r="F739" i="10"/>
  <c r="T738" i="10"/>
  <c r="R738" i="10"/>
  <c r="G738" i="10"/>
  <c r="F738" i="10"/>
  <c r="T737" i="10"/>
  <c r="R737" i="10"/>
  <c r="G737" i="10"/>
  <c r="F737" i="10"/>
  <c r="T736" i="10"/>
  <c r="R736" i="10"/>
  <c r="G736" i="10"/>
  <c r="F736" i="10"/>
  <c r="T735" i="10"/>
  <c r="R735" i="10"/>
  <c r="G735" i="10"/>
  <c r="F735" i="10"/>
  <c r="T734" i="10"/>
  <c r="R734" i="10"/>
  <c r="G734" i="10"/>
  <c r="F734" i="10"/>
  <c r="T733" i="10"/>
  <c r="R733" i="10"/>
  <c r="G733" i="10"/>
  <c r="F733" i="10"/>
  <c r="T732" i="10"/>
  <c r="R732" i="10"/>
  <c r="G732" i="10"/>
  <c r="F732" i="10"/>
  <c r="T731" i="10"/>
  <c r="R731" i="10"/>
  <c r="G731" i="10"/>
  <c r="F731" i="10"/>
  <c r="L731" i="10" s="1"/>
  <c r="T730" i="10"/>
  <c r="R730" i="10"/>
  <c r="G730" i="10"/>
  <c r="F730" i="10"/>
  <c r="T729" i="10"/>
  <c r="R729" i="10"/>
  <c r="G729" i="10"/>
  <c r="F729" i="10"/>
  <c r="T728" i="10"/>
  <c r="R728" i="10"/>
  <c r="G728" i="10"/>
  <c r="F728" i="10"/>
  <c r="T727" i="10"/>
  <c r="R727" i="10"/>
  <c r="G727" i="10"/>
  <c r="F727" i="10"/>
  <c r="T726" i="10"/>
  <c r="R726" i="10"/>
  <c r="G726" i="10"/>
  <c r="F726" i="10"/>
  <c r="T725" i="10"/>
  <c r="R725" i="10"/>
  <c r="G725" i="10"/>
  <c r="F725" i="10"/>
  <c r="T724" i="10"/>
  <c r="R724" i="10"/>
  <c r="G724" i="10"/>
  <c r="F724" i="10"/>
  <c r="T723" i="10"/>
  <c r="R723" i="10"/>
  <c r="G723" i="10"/>
  <c r="F723" i="10"/>
  <c r="T722" i="10"/>
  <c r="R722" i="10"/>
  <c r="G722" i="10"/>
  <c r="F722" i="10"/>
  <c r="T721" i="10"/>
  <c r="R721" i="10"/>
  <c r="G721" i="10"/>
  <c r="F721" i="10"/>
  <c r="T720" i="10"/>
  <c r="R720" i="10"/>
  <c r="G720" i="10"/>
  <c r="F720" i="10"/>
  <c r="T719" i="10"/>
  <c r="R719" i="10"/>
  <c r="G719" i="10"/>
  <c r="F719" i="10"/>
  <c r="E328" i="13" s="1"/>
  <c r="H328" i="13" s="1" a="1"/>
  <c r="H328" i="13" s="1"/>
  <c r="T718" i="10"/>
  <c r="R718" i="10"/>
  <c r="G718" i="10"/>
  <c r="F718" i="10"/>
  <c r="T717" i="10"/>
  <c r="R717" i="10"/>
  <c r="G717" i="10"/>
  <c r="F717" i="10"/>
  <c r="E327" i="13" s="1"/>
  <c r="H327" i="13" s="1" a="1"/>
  <c r="H327" i="13" s="1"/>
  <c r="T716" i="10"/>
  <c r="R716" i="10"/>
  <c r="G716" i="10"/>
  <c r="F716" i="10"/>
  <c r="T715" i="10"/>
  <c r="R715" i="10"/>
  <c r="G715" i="10"/>
  <c r="F715" i="10"/>
  <c r="E326" i="13" s="1"/>
  <c r="H326" i="13" s="1" a="1"/>
  <c r="H326" i="13" s="1"/>
  <c r="T714" i="10"/>
  <c r="R714" i="10"/>
  <c r="G714" i="10"/>
  <c r="F714" i="10"/>
  <c r="T713" i="10"/>
  <c r="R713" i="10"/>
  <c r="G713" i="10"/>
  <c r="F713" i="10"/>
  <c r="E325" i="13" s="1"/>
  <c r="H325" i="13" s="1" a="1"/>
  <c r="H325" i="13" s="1"/>
  <c r="T712" i="10"/>
  <c r="R712" i="10"/>
  <c r="G712" i="10"/>
  <c r="F712" i="10"/>
  <c r="T711" i="10"/>
  <c r="R711" i="10"/>
  <c r="G711" i="10"/>
  <c r="F711" i="10"/>
  <c r="T710" i="10"/>
  <c r="R710" i="10"/>
  <c r="G710" i="10"/>
  <c r="F710" i="10"/>
  <c r="L710" i="10" s="1"/>
  <c r="T709" i="10"/>
  <c r="R709" i="10"/>
  <c r="G709" i="10"/>
  <c r="F709" i="10"/>
  <c r="L709" i="10" s="1"/>
  <c r="T708" i="10"/>
  <c r="R708" i="10"/>
  <c r="G708" i="10"/>
  <c r="F708" i="10"/>
  <c r="L708" i="10" s="1"/>
  <c r="T707" i="10"/>
  <c r="R707" i="10"/>
  <c r="G707" i="10"/>
  <c r="F707" i="10"/>
  <c r="T706" i="10"/>
  <c r="R706" i="10"/>
  <c r="G706" i="10"/>
  <c r="F706" i="10"/>
  <c r="T705" i="10"/>
  <c r="R705" i="10"/>
  <c r="G705" i="10"/>
  <c r="F705" i="10"/>
  <c r="T704" i="10"/>
  <c r="R704" i="10"/>
  <c r="G704" i="10"/>
  <c r="F704" i="10"/>
  <c r="L704" i="10" s="1"/>
  <c r="T703" i="10"/>
  <c r="R703" i="10"/>
  <c r="G703" i="10"/>
  <c r="F703" i="10"/>
  <c r="E320" i="13" s="1"/>
  <c r="H320" i="13" s="1" a="1"/>
  <c r="H320" i="13" s="1"/>
  <c r="T702" i="10"/>
  <c r="R702" i="10"/>
  <c r="G702" i="10"/>
  <c r="F702" i="10"/>
  <c r="L702" i="10" s="1"/>
  <c r="T701" i="10"/>
  <c r="R701" i="10"/>
  <c r="G701" i="10"/>
  <c r="F701" i="10"/>
  <c r="L701" i="10" s="1"/>
  <c r="T700" i="10"/>
  <c r="R700" i="10"/>
  <c r="G700" i="10"/>
  <c r="F700" i="10"/>
  <c r="L700" i="10" s="1"/>
  <c r="T699" i="10"/>
  <c r="R699" i="10"/>
  <c r="G699" i="10"/>
  <c r="F699" i="10"/>
  <c r="L699" i="10" s="1"/>
  <c r="T698" i="10"/>
  <c r="R698" i="10"/>
  <c r="G698" i="10"/>
  <c r="F698" i="10"/>
  <c r="T697" i="10"/>
  <c r="R697" i="10"/>
  <c r="G697" i="10"/>
  <c r="F697" i="10"/>
  <c r="L697" i="10" s="1"/>
  <c r="T696" i="10"/>
  <c r="R696" i="10"/>
  <c r="G696" i="10"/>
  <c r="F696" i="10"/>
  <c r="L696" i="10" s="1"/>
  <c r="T695" i="10"/>
  <c r="R695" i="10"/>
  <c r="G695" i="10"/>
  <c r="F695" i="10"/>
  <c r="T694" i="10"/>
  <c r="R694" i="10"/>
  <c r="G694" i="10"/>
  <c r="F694" i="10"/>
  <c r="L694" i="10" s="1"/>
  <c r="T693" i="10"/>
  <c r="R693" i="10"/>
  <c r="G693" i="10"/>
  <c r="F693" i="10"/>
  <c r="L693" i="10" s="1"/>
  <c r="T692" i="10"/>
  <c r="R692" i="10"/>
  <c r="G692" i="10"/>
  <c r="F692" i="10"/>
  <c r="T691" i="10"/>
  <c r="R691" i="10"/>
  <c r="G691" i="10"/>
  <c r="F691" i="10"/>
  <c r="L691" i="10" s="1"/>
  <c r="T690" i="10"/>
  <c r="R690" i="10"/>
  <c r="G690" i="10"/>
  <c r="F690" i="10"/>
  <c r="L690" i="10" s="1"/>
  <c r="T689" i="10"/>
  <c r="R689" i="10"/>
  <c r="G689" i="10"/>
  <c r="F689" i="10"/>
  <c r="E315" i="13" s="1"/>
  <c r="H315" i="13" s="1" a="1"/>
  <c r="H315" i="13" s="1"/>
  <c r="T688" i="10"/>
  <c r="R688" i="10"/>
  <c r="G688" i="10"/>
  <c r="F688" i="10"/>
  <c r="L688" i="10" s="1"/>
  <c r="T687" i="10"/>
  <c r="R687" i="10"/>
  <c r="G687" i="10"/>
  <c r="F687" i="10"/>
  <c r="T686" i="10"/>
  <c r="R686" i="10"/>
  <c r="G686" i="10"/>
  <c r="F686" i="10"/>
  <c r="L686" i="10" s="1"/>
  <c r="T685" i="10"/>
  <c r="R685" i="10"/>
  <c r="G685" i="10"/>
  <c r="F685" i="10"/>
  <c r="T684" i="10"/>
  <c r="R684" i="10"/>
  <c r="G684" i="10"/>
  <c r="F684" i="10"/>
  <c r="L684" i="10" s="1"/>
  <c r="T683" i="10"/>
  <c r="R683" i="10"/>
  <c r="G683" i="10"/>
  <c r="F683" i="10"/>
  <c r="T682" i="10"/>
  <c r="R682" i="10"/>
  <c r="G682" i="10"/>
  <c r="F682" i="10"/>
  <c r="T681" i="10"/>
  <c r="R681" i="10"/>
  <c r="G681" i="10"/>
  <c r="F681" i="10"/>
  <c r="T680" i="10"/>
  <c r="R680" i="10"/>
  <c r="G680" i="10"/>
  <c r="F680" i="10"/>
  <c r="T679" i="10"/>
  <c r="R679" i="10"/>
  <c r="G679" i="10"/>
  <c r="F679" i="10"/>
  <c r="T678" i="10"/>
  <c r="R678" i="10"/>
  <c r="G678" i="10"/>
  <c r="F678" i="10"/>
  <c r="T677" i="10"/>
  <c r="R677" i="10"/>
  <c r="G677" i="10"/>
  <c r="F677" i="10"/>
  <c r="T676" i="10"/>
  <c r="R676" i="10"/>
  <c r="G676" i="10"/>
  <c r="F676" i="10"/>
  <c r="T675" i="10"/>
  <c r="R675" i="10"/>
  <c r="G675" i="10"/>
  <c r="F675" i="10"/>
  <c r="T674" i="10"/>
  <c r="R674" i="10"/>
  <c r="G674" i="10"/>
  <c r="F674" i="10"/>
  <c r="L674" i="10" s="1"/>
  <c r="T673" i="10"/>
  <c r="R673" i="10"/>
  <c r="G673" i="10"/>
  <c r="F673" i="10"/>
  <c r="L673" i="10" s="1"/>
  <c r="T672" i="10"/>
  <c r="R672" i="10"/>
  <c r="G672" i="10"/>
  <c r="F672" i="10"/>
  <c r="T671" i="10"/>
  <c r="R671" i="10"/>
  <c r="G671" i="10"/>
  <c r="F671" i="10"/>
  <c r="L671" i="10" s="1"/>
  <c r="T670" i="10"/>
  <c r="R670" i="10"/>
  <c r="G670" i="10"/>
  <c r="F670" i="10"/>
  <c r="L670" i="10" s="1"/>
  <c r="T669" i="10"/>
  <c r="R669" i="10"/>
  <c r="G669" i="10"/>
  <c r="F669" i="10"/>
  <c r="T668" i="10"/>
  <c r="R668" i="10"/>
  <c r="G668" i="10"/>
  <c r="F668" i="10"/>
  <c r="L668" i="10" s="1"/>
  <c r="T667" i="10"/>
  <c r="R667" i="10"/>
  <c r="G667" i="10"/>
  <c r="F667" i="10"/>
  <c r="L667" i="10" s="1"/>
  <c r="T666" i="10"/>
  <c r="R666" i="10"/>
  <c r="G666" i="10"/>
  <c r="F666" i="10"/>
  <c r="T665" i="10"/>
  <c r="R665" i="10"/>
  <c r="G665" i="10"/>
  <c r="F665" i="10"/>
  <c r="T664" i="10"/>
  <c r="R664" i="10"/>
  <c r="G664" i="10"/>
  <c r="F664" i="10"/>
  <c r="T663" i="10"/>
  <c r="R663" i="10"/>
  <c r="G663" i="10"/>
  <c r="F663" i="10"/>
  <c r="T662" i="10"/>
  <c r="R662" i="10"/>
  <c r="G662" i="10"/>
  <c r="F662" i="10"/>
  <c r="U659" i="10"/>
  <c r="T659" i="10"/>
  <c r="R659" i="10"/>
  <c r="G659" i="10"/>
  <c r="F659" i="10"/>
  <c r="L659" i="10" s="1"/>
  <c r="U658" i="10"/>
  <c r="T658" i="10"/>
  <c r="R658" i="10"/>
  <c r="G658" i="10"/>
  <c r="F658" i="10"/>
  <c r="L658" i="10" s="1"/>
  <c r="U657" i="10"/>
  <c r="Y659" i="10" s="1"/>
  <c r="T657" i="10"/>
  <c r="R657" i="10"/>
  <c r="G657" i="10"/>
  <c r="F657" i="10"/>
  <c r="T656" i="10"/>
  <c r="R656" i="10"/>
  <c r="G656" i="10"/>
  <c r="F656" i="10"/>
  <c r="L656" i="10" s="1"/>
  <c r="T655" i="10"/>
  <c r="R655" i="10"/>
  <c r="G655" i="10"/>
  <c r="F655" i="10"/>
  <c r="T654" i="10"/>
  <c r="R654" i="10"/>
  <c r="G654" i="10"/>
  <c r="F654" i="10"/>
  <c r="L654" i="10" s="1"/>
  <c r="T653" i="10"/>
  <c r="R653" i="10"/>
  <c r="G653" i="10"/>
  <c r="F653" i="10"/>
  <c r="T652" i="10"/>
  <c r="R652" i="10"/>
  <c r="G652" i="10"/>
  <c r="F652" i="10"/>
  <c r="T651" i="10"/>
  <c r="R651" i="10"/>
  <c r="G651" i="10"/>
  <c r="F651" i="10"/>
  <c r="L651" i="10" s="1"/>
  <c r="U650" i="10"/>
  <c r="T650" i="10"/>
  <c r="R650" i="10"/>
  <c r="G650" i="10"/>
  <c r="F650" i="10"/>
  <c r="U649" i="10"/>
  <c r="T649" i="10"/>
  <c r="R649" i="10"/>
  <c r="G649" i="10"/>
  <c r="F649" i="10"/>
  <c r="U648" i="10"/>
  <c r="T648" i="10"/>
  <c r="R648" i="10"/>
  <c r="G648" i="10"/>
  <c r="F648" i="10"/>
  <c r="T647" i="10"/>
  <c r="R647" i="10"/>
  <c r="G647" i="10"/>
  <c r="F647" i="10"/>
  <c r="T646" i="10"/>
  <c r="R646" i="10"/>
  <c r="G646" i="10"/>
  <c r="F646" i="10"/>
  <c r="T645" i="10"/>
  <c r="R645" i="10"/>
  <c r="G645" i="10"/>
  <c r="F645" i="10"/>
  <c r="T644" i="10"/>
  <c r="R644" i="10"/>
  <c r="G644" i="10"/>
  <c r="F644" i="10"/>
  <c r="T643" i="10"/>
  <c r="R643" i="10"/>
  <c r="G643" i="10"/>
  <c r="F643" i="10"/>
  <c r="T642" i="10"/>
  <c r="R642" i="10"/>
  <c r="G642" i="10"/>
  <c r="F642" i="10"/>
  <c r="L642" i="10" s="1"/>
  <c r="T641" i="10"/>
  <c r="R641" i="10"/>
  <c r="G641" i="10"/>
  <c r="F641" i="10"/>
  <c r="T640" i="10"/>
  <c r="R640" i="10"/>
  <c r="G640" i="10"/>
  <c r="F640" i="10"/>
  <c r="L640" i="10" s="1"/>
  <c r="T639" i="10"/>
  <c r="R639" i="10"/>
  <c r="G639" i="10"/>
  <c r="F639" i="10"/>
  <c r="T638" i="10"/>
  <c r="R638" i="10"/>
  <c r="G638" i="10"/>
  <c r="F638" i="10"/>
  <c r="L638" i="10" s="1"/>
  <c r="T637" i="10"/>
  <c r="R637" i="10"/>
  <c r="G637" i="10"/>
  <c r="F637" i="10"/>
  <c r="T636" i="10"/>
  <c r="R636" i="10"/>
  <c r="G636" i="10"/>
  <c r="F636" i="10"/>
  <c r="L636" i="10" s="1"/>
  <c r="T635" i="10"/>
  <c r="R635" i="10"/>
  <c r="G635" i="10"/>
  <c r="F635" i="10"/>
  <c r="T634" i="10"/>
  <c r="R634" i="10"/>
  <c r="G634" i="10"/>
  <c r="F634" i="10"/>
  <c r="T633" i="10"/>
  <c r="R633" i="10"/>
  <c r="G633" i="10"/>
  <c r="F633" i="10"/>
  <c r="T632" i="10"/>
  <c r="R632" i="10"/>
  <c r="G632" i="10"/>
  <c r="F632" i="10"/>
  <c r="T631" i="10"/>
  <c r="R631" i="10"/>
  <c r="G631" i="10"/>
  <c r="F631" i="10"/>
  <c r="T630" i="10"/>
  <c r="R630" i="10"/>
  <c r="G630" i="10"/>
  <c r="F630" i="10"/>
  <c r="T629" i="10"/>
  <c r="R629" i="10"/>
  <c r="G629" i="10"/>
  <c r="F629" i="10"/>
  <c r="T628" i="10"/>
  <c r="R628" i="10"/>
  <c r="G628" i="10"/>
  <c r="F628" i="10"/>
  <c r="T627" i="10"/>
  <c r="R627" i="10"/>
  <c r="G627" i="10"/>
  <c r="F627" i="10"/>
  <c r="T626" i="10"/>
  <c r="R626" i="10"/>
  <c r="G626" i="10"/>
  <c r="F626" i="10"/>
  <c r="L626" i="10" s="1"/>
  <c r="T625" i="10"/>
  <c r="R625" i="10"/>
  <c r="G625" i="10"/>
  <c r="F625" i="10"/>
  <c r="U624" i="10"/>
  <c r="Y622" i="10" s="1"/>
  <c r="T624" i="10"/>
  <c r="R624" i="10"/>
  <c r="G624" i="10"/>
  <c r="F624" i="10"/>
  <c r="L624" i="10" s="1"/>
  <c r="T623" i="10"/>
  <c r="R623" i="10"/>
  <c r="G623" i="10"/>
  <c r="F623" i="10"/>
  <c r="L623" i="10" s="1"/>
  <c r="U622" i="10"/>
  <c r="T622" i="10"/>
  <c r="R622" i="10"/>
  <c r="G622" i="10"/>
  <c r="F622" i="10"/>
  <c r="T621" i="10"/>
  <c r="R621" i="10"/>
  <c r="G621" i="10"/>
  <c r="F621" i="10"/>
  <c r="T620" i="10"/>
  <c r="R620" i="10"/>
  <c r="G620" i="10"/>
  <c r="F620" i="10"/>
  <c r="L620" i="10" s="1"/>
  <c r="T619" i="10"/>
  <c r="R619" i="10"/>
  <c r="G619" i="10"/>
  <c r="F619" i="10"/>
  <c r="T618" i="10"/>
  <c r="R618" i="10"/>
  <c r="G618" i="10"/>
  <c r="F618" i="10"/>
  <c r="T617" i="10"/>
  <c r="R617" i="10"/>
  <c r="G617" i="10"/>
  <c r="F617" i="10"/>
  <c r="T616" i="10"/>
  <c r="R616" i="10"/>
  <c r="G616" i="10"/>
  <c r="F616" i="10"/>
  <c r="T615" i="10"/>
  <c r="R615" i="10"/>
  <c r="G615" i="10"/>
  <c r="F615" i="10"/>
  <c r="T614" i="10"/>
  <c r="R614" i="10"/>
  <c r="G614" i="10"/>
  <c r="F614" i="10"/>
  <c r="U613" i="10"/>
  <c r="T613" i="10"/>
  <c r="R613" i="10"/>
  <c r="G613" i="10"/>
  <c r="F613" i="10"/>
  <c r="T612" i="10"/>
  <c r="R612" i="10"/>
  <c r="G612" i="10"/>
  <c r="F612" i="10"/>
  <c r="T611" i="10"/>
  <c r="R611" i="10"/>
  <c r="G611" i="10"/>
  <c r="F611" i="10"/>
  <c r="L611" i="10" s="1"/>
  <c r="T610" i="10"/>
  <c r="R610" i="10"/>
  <c r="G610" i="10"/>
  <c r="F610" i="10"/>
  <c r="T609" i="10"/>
  <c r="R609" i="10"/>
  <c r="G609" i="10"/>
  <c r="F609" i="10"/>
  <c r="L609" i="10" s="1"/>
  <c r="T608" i="10"/>
  <c r="R608" i="10"/>
  <c r="G608" i="10"/>
  <c r="F608" i="10"/>
  <c r="L608" i="10" s="1"/>
  <c r="T607" i="10"/>
  <c r="R607" i="10"/>
  <c r="G607" i="10"/>
  <c r="F607" i="10"/>
  <c r="T606" i="10"/>
  <c r="R606" i="10"/>
  <c r="G606" i="10"/>
  <c r="F606" i="10"/>
  <c r="L606" i="10" s="1"/>
  <c r="T605" i="10"/>
  <c r="R605" i="10"/>
  <c r="G605" i="10"/>
  <c r="F605" i="10"/>
  <c r="T604" i="10"/>
  <c r="R604" i="10"/>
  <c r="G604" i="10"/>
  <c r="F604" i="10"/>
  <c r="E280" i="13" s="1"/>
  <c r="T603" i="10"/>
  <c r="R603" i="10"/>
  <c r="G603" i="10"/>
  <c r="F603" i="10"/>
  <c r="L603" i="10" s="1"/>
  <c r="T602" i="10"/>
  <c r="R602" i="10"/>
  <c r="G602" i="10"/>
  <c r="F602" i="10"/>
  <c r="T601" i="10"/>
  <c r="R601" i="10"/>
  <c r="G601" i="10"/>
  <c r="F601" i="10"/>
  <c r="T600" i="10"/>
  <c r="R600" i="10"/>
  <c r="G600" i="10"/>
  <c r="F600" i="10"/>
  <c r="U599" i="10"/>
  <c r="Y599" i="10" s="1"/>
  <c r="T599" i="10"/>
  <c r="R599" i="10"/>
  <c r="G599" i="10"/>
  <c r="F599" i="10"/>
  <c r="T598" i="10"/>
  <c r="R598" i="10"/>
  <c r="G598" i="10"/>
  <c r="F598" i="10"/>
  <c r="T597" i="10"/>
  <c r="R597" i="10"/>
  <c r="G597" i="10"/>
  <c r="F597" i="10"/>
  <c r="T596" i="10"/>
  <c r="R596" i="10"/>
  <c r="G596" i="10"/>
  <c r="F596" i="10"/>
  <c r="T595" i="10"/>
  <c r="R595" i="10"/>
  <c r="G595" i="10"/>
  <c r="F595" i="10"/>
  <c r="E277" i="13" s="1"/>
  <c r="T594" i="10"/>
  <c r="R594" i="10"/>
  <c r="G594" i="10"/>
  <c r="F594" i="10"/>
  <c r="L594" i="10" s="1"/>
  <c r="T593" i="10"/>
  <c r="R593" i="10"/>
  <c r="G593" i="10"/>
  <c r="F593" i="10"/>
  <c r="T592" i="10"/>
  <c r="R592" i="10"/>
  <c r="G592" i="10"/>
  <c r="F592" i="10"/>
  <c r="L592" i="10" s="1"/>
  <c r="T591" i="10"/>
  <c r="R591" i="10"/>
  <c r="G591" i="10"/>
  <c r="F591" i="10"/>
  <c r="T590" i="10"/>
  <c r="R590" i="10"/>
  <c r="G590" i="10"/>
  <c r="F590" i="10"/>
  <c r="L590" i="10" s="1"/>
  <c r="T589" i="10"/>
  <c r="R589" i="10"/>
  <c r="G589" i="10"/>
  <c r="F589" i="10"/>
  <c r="T588" i="10"/>
  <c r="R588" i="10"/>
  <c r="G588" i="10"/>
  <c r="F588" i="10"/>
  <c r="L588" i="10" s="1"/>
  <c r="T587" i="10"/>
  <c r="R587" i="10"/>
  <c r="G587" i="10"/>
  <c r="F587" i="10"/>
  <c r="U586" i="10"/>
  <c r="T586" i="10"/>
  <c r="R586" i="10"/>
  <c r="G586" i="10"/>
  <c r="F586" i="10"/>
  <c r="U585" i="10"/>
  <c r="T585" i="10"/>
  <c r="R585" i="10"/>
  <c r="G585" i="10"/>
  <c r="F585" i="10"/>
  <c r="U584" i="10"/>
  <c r="T584" i="10"/>
  <c r="R584" i="10"/>
  <c r="G584" i="10"/>
  <c r="F584" i="10"/>
  <c r="U583" i="10"/>
  <c r="T583" i="10"/>
  <c r="R583" i="10"/>
  <c r="G583" i="10"/>
  <c r="F583" i="10"/>
  <c r="U582" i="10"/>
  <c r="Y583" i="10" s="1"/>
  <c r="T582" i="10"/>
  <c r="R582" i="10"/>
  <c r="G582" i="10"/>
  <c r="F582" i="10"/>
  <c r="T581" i="10"/>
  <c r="R581" i="10"/>
  <c r="G581" i="10"/>
  <c r="F581" i="10"/>
  <c r="T580" i="10"/>
  <c r="R580" i="10"/>
  <c r="G580" i="10"/>
  <c r="F580" i="10"/>
  <c r="T579" i="10"/>
  <c r="R579" i="10"/>
  <c r="G579" i="10"/>
  <c r="F579" i="10"/>
  <c r="L579" i="10" s="1"/>
  <c r="T578" i="10"/>
  <c r="R578" i="10"/>
  <c r="G578" i="10"/>
  <c r="F578" i="10"/>
  <c r="U577" i="10"/>
  <c r="T577" i="10"/>
  <c r="R577" i="10"/>
  <c r="G577" i="10"/>
  <c r="F577" i="10"/>
  <c r="L577" i="10" s="1"/>
  <c r="T576" i="10"/>
  <c r="R576" i="10"/>
  <c r="G576" i="10"/>
  <c r="F576" i="10"/>
  <c r="L576" i="10" s="1"/>
  <c r="T575" i="10"/>
  <c r="R575" i="10"/>
  <c r="G575" i="10"/>
  <c r="F575" i="10"/>
  <c r="L575" i="10" s="1"/>
  <c r="T574" i="10"/>
  <c r="R574" i="10"/>
  <c r="G574" i="10"/>
  <c r="F574" i="10"/>
  <c r="T573" i="10"/>
  <c r="R573" i="10"/>
  <c r="G573" i="10"/>
  <c r="F573" i="10"/>
  <c r="T572" i="10"/>
  <c r="R572" i="10"/>
  <c r="G572" i="10"/>
  <c r="F572" i="10"/>
  <c r="L572" i="10" s="1"/>
  <c r="U571" i="10"/>
  <c r="T571" i="10"/>
  <c r="R571" i="10"/>
  <c r="G571" i="10"/>
  <c r="F571" i="10"/>
  <c r="T570" i="10"/>
  <c r="R570" i="10"/>
  <c r="G570" i="10"/>
  <c r="F570" i="10"/>
  <c r="T569" i="10"/>
  <c r="R569" i="10"/>
  <c r="G569" i="10"/>
  <c r="F569" i="10"/>
  <c r="T568" i="10"/>
  <c r="R568" i="10"/>
  <c r="G568" i="10"/>
  <c r="F568" i="10"/>
  <c r="T567" i="10"/>
  <c r="R567" i="10"/>
  <c r="G567" i="10"/>
  <c r="F567" i="10"/>
  <c r="T566" i="10"/>
  <c r="R566" i="10"/>
  <c r="G566" i="10"/>
  <c r="F566" i="10"/>
  <c r="T565" i="10"/>
  <c r="R565" i="10"/>
  <c r="G565" i="10"/>
  <c r="F565" i="10"/>
  <c r="T564" i="10"/>
  <c r="R564" i="10"/>
  <c r="G564" i="10"/>
  <c r="F564" i="10"/>
  <c r="T563" i="10"/>
  <c r="R563" i="10"/>
  <c r="G563" i="10"/>
  <c r="F563" i="10"/>
  <c r="L563" i="10" s="1"/>
  <c r="T562" i="10"/>
  <c r="R562" i="10"/>
  <c r="G562" i="10"/>
  <c r="F562" i="10"/>
  <c r="T561" i="10"/>
  <c r="R561" i="10"/>
  <c r="G561" i="10"/>
  <c r="F561" i="10"/>
  <c r="L561" i="10" s="1"/>
  <c r="T560" i="10"/>
  <c r="R560" i="10"/>
  <c r="G560" i="10"/>
  <c r="F560" i="10"/>
  <c r="T559" i="10"/>
  <c r="R559" i="10"/>
  <c r="G559" i="10"/>
  <c r="F559" i="10"/>
  <c r="L559" i="10" s="1"/>
  <c r="T558" i="10"/>
  <c r="R558" i="10"/>
  <c r="G558" i="10"/>
  <c r="F558" i="10"/>
  <c r="T557" i="10"/>
  <c r="R557" i="10"/>
  <c r="G557" i="10"/>
  <c r="F557" i="10"/>
  <c r="T556" i="10"/>
  <c r="R556" i="10"/>
  <c r="G556" i="10"/>
  <c r="F556" i="10"/>
  <c r="T555" i="10"/>
  <c r="R555" i="10"/>
  <c r="G555" i="10"/>
  <c r="F555" i="10"/>
  <c r="L555" i="10" s="1"/>
  <c r="T554" i="10"/>
  <c r="R554" i="10"/>
  <c r="G554" i="10"/>
  <c r="F554" i="10"/>
  <c r="T553" i="10"/>
  <c r="R553" i="10"/>
  <c r="G553" i="10"/>
  <c r="F553" i="10"/>
  <c r="U552" i="10"/>
  <c r="Y553" i="10" s="1"/>
  <c r="T552" i="10"/>
  <c r="R552" i="10"/>
  <c r="G552" i="10"/>
  <c r="F552" i="10"/>
  <c r="T551" i="10"/>
  <c r="R551" i="10"/>
  <c r="G551" i="10"/>
  <c r="F551" i="10"/>
  <c r="T550" i="10"/>
  <c r="R550" i="10"/>
  <c r="G550" i="10"/>
  <c r="F550" i="10"/>
  <c r="T549" i="10"/>
  <c r="R549" i="10"/>
  <c r="G549" i="10"/>
  <c r="F549" i="10"/>
  <c r="T548" i="10"/>
  <c r="R548" i="10"/>
  <c r="G548" i="10"/>
  <c r="F548" i="10"/>
  <c r="T547" i="10"/>
  <c r="R547" i="10"/>
  <c r="G547" i="10"/>
  <c r="F547" i="10"/>
  <c r="T546" i="10"/>
  <c r="R546" i="10"/>
  <c r="G546" i="10"/>
  <c r="F546" i="10"/>
  <c r="L546" i="10" s="1"/>
  <c r="T545" i="10"/>
  <c r="R545" i="10"/>
  <c r="G545" i="10"/>
  <c r="F545" i="10"/>
  <c r="T544" i="10"/>
  <c r="R544" i="10"/>
  <c r="G544" i="10"/>
  <c r="F544" i="10"/>
  <c r="L544" i="10" s="1"/>
  <c r="T543" i="10"/>
  <c r="R543" i="10"/>
  <c r="G543" i="10"/>
  <c r="F543" i="10"/>
  <c r="T542" i="10"/>
  <c r="R542" i="10"/>
  <c r="G542" i="10"/>
  <c r="F542" i="10"/>
  <c r="L542" i="10" s="1"/>
  <c r="T541" i="10"/>
  <c r="R541" i="10"/>
  <c r="G541" i="10"/>
  <c r="F541" i="10"/>
  <c r="T540" i="10"/>
  <c r="R540" i="10"/>
  <c r="G540" i="10"/>
  <c r="F540" i="10"/>
  <c r="L540" i="10" s="1"/>
  <c r="T539" i="10"/>
  <c r="R539" i="10"/>
  <c r="G539" i="10"/>
  <c r="F539" i="10"/>
  <c r="T538" i="10"/>
  <c r="R538" i="10"/>
  <c r="G538" i="10"/>
  <c r="F538" i="10"/>
  <c r="T537" i="10"/>
  <c r="R537" i="10"/>
  <c r="G537" i="10"/>
  <c r="F537" i="10"/>
  <c r="T536" i="10"/>
  <c r="R536" i="10"/>
  <c r="G536" i="10"/>
  <c r="F536" i="10"/>
  <c r="T535" i="10"/>
  <c r="R535" i="10"/>
  <c r="G535" i="10"/>
  <c r="F535" i="10"/>
  <c r="T534" i="10"/>
  <c r="R534" i="10"/>
  <c r="G534" i="10"/>
  <c r="F534" i="10"/>
  <c r="T533" i="10"/>
  <c r="R533" i="10"/>
  <c r="G533" i="10"/>
  <c r="F533" i="10"/>
  <c r="U532" i="10"/>
  <c r="T532" i="10"/>
  <c r="R532" i="10"/>
  <c r="G532" i="10"/>
  <c r="F532" i="10"/>
  <c r="U531" i="10"/>
  <c r="T531" i="10"/>
  <c r="R531" i="10"/>
  <c r="G531" i="10"/>
  <c r="F531" i="10"/>
  <c r="L531" i="10" s="1"/>
  <c r="U530" i="10"/>
  <c r="T530" i="10"/>
  <c r="R530" i="10"/>
  <c r="G530" i="10"/>
  <c r="F530" i="10"/>
  <c r="L530" i="10" s="1"/>
  <c r="U529" i="10"/>
  <c r="Y530" i="10" s="1"/>
  <c r="T529" i="10"/>
  <c r="R529" i="10"/>
  <c r="G529" i="10"/>
  <c r="F529" i="10"/>
  <c r="T528" i="10"/>
  <c r="R528" i="10"/>
  <c r="G528" i="10"/>
  <c r="F528" i="10"/>
  <c r="L528" i="10" s="1"/>
  <c r="T527" i="10"/>
  <c r="R527" i="10"/>
  <c r="G527" i="10"/>
  <c r="F527" i="10"/>
  <c r="L527" i="10" s="1"/>
  <c r="T526" i="10"/>
  <c r="R526" i="10"/>
  <c r="G526" i="10"/>
  <c r="F526" i="10"/>
  <c r="L526" i="10" s="1"/>
  <c r="T525" i="10"/>
  <c r="R525" i="10"/>
  <c r="G525" i="10"/>
  <c r="F525" i="10"/>
  <c r="T524" i="10"/>
  <c r="R524" i="10"/>
  <c r="G524" i="10"/>
  <c r="F524" i="10"/>
  <c r="T523" i="10"/>
  <c r="R523" i="10"/>
  <c r="G523" i="10"/>
  <c r="F523" i="10"/>
  <c r="L523" i="10" s="1"/>
  <c r="T522" i="10"/>
  <c r="R522" i="10"/>
  <c r="G522" i="10"/>
  <c r="F522" i="10"/>
  <c r="U521" i="10"/>
  <c r="T521" i="10"/>
  <c r="R521" i="10"/>
  <c r="G521" i="10"/>
  <c r="F521" i="10"/>
  <c r="U520" i="10"/>
  <c r="T520" i="10"/>
  <c r="R520" i="10"/>
  <c r="G520" i="10"/>
  <c r="F520" i="10"/>
  <c r="T519" i="10"/>
  <c r="R519" i="10"/>
  <c r="G519" i="10"/>
  <c r="F519" i="10"/>
  <c r="T518" i="10"/>
  <c r="R518" i="10"/>
  <c r="G518" i="10"/>
  <c r="F518" i="10"/>
  <c r="T517" i="10"/>
  <c r="R517" i="10"/>
  <c r="G517" i="10"/>
  <c r="F517" i="10"/>
  <c r="T516" i="10"/>
  <c r="R516" i="10"/>
  <c r="G516" i="10"/>
  <c r="F516" i="10"/>
  <c r="T515" i="10"/>
  <c r="R515" i="10"/>
  <c r="G515" i="10"/>
  <c r="F515" i="10"/>
  <c r="T514" i="10"/>
  <c r="R514" i="10"/>
  <c r="G514" i="10"/>
  <c r="F514" i="10"/>
  <c r="L514" i="10" s="1"/>
  <c r="T513" i="10"/>
  <c r="R513" i="10"/>
  <c r="G513" i="10"/>
  <c r="F513" i="10"/>
  <c r="T512" i="10"/>
  <c r="R512" i="10"/>
  <c r="G512" i="10"/>
  <c r="F512" i="10"/>
  <c r="L512" i="10" s="1"/>
  <c r="T511" i="10"/>
  <c r="R511" i="10"/>
  <c r="G511" i="10"/>
  <c r="F511" i="10"/>
  <c r="T510" i="10"/>
  <c r="R510" i="10"/>
  <c r="G510" i="10"/>
  <c r="F510" i="10"/>
  <c r="L510" i="10" s="1"/>
  <c r="T509" i="10"/>
  <c r="R509" i="10"/>
  <c r="G509" i="10"/>
  <c r="F509" i="10"/>
  <c r="T508" i="10"/>
  <c r="R508" i="10"/>
  <c r="G508" i="10"/>
  <c r="F508" i="10"/>
  <c r="L508" i="10" s="1"/>
  <c r="T507" i="10"/>
  <c r="R507" i="10"/>
  <c r="G507" i="10"/>
  <c r="F507" i="10"/>
  <c r="T506" i="10"/>
  <c r="R506" i="10"/>
  <c r="G506" i="10"/>
  <c r="F506" i="10"/>
  <c r="T505" i="10"/>
  <c r="R505" i="10"/>
  <c r="G505" i="10"/>
  <c r="F505" i="10"/>
  <c r="T504" i="10"/>
  <c r="R504" i="10"/>
  <c r="G504" i="10"/>
  <c r="F504" i="10"/>
  <c r="T503" i="10"/>
  <c r="R503" i="10"/>
  <c r="G503" i="10"/>
  <c r="F503" i="10"/>
  <c r="T502" i="10"/>
  <c r="R502" i="10"/>
  <c r="G502" i="10"/>
  <c r="F502" i="10"/>
  <c r="U501" i="10"/>
  <c r="Y501" i="10" s="1"/>
  <c r="Z501" i="10" s="1"/>
  <c r="T501" i="10"/>
  <c r="R501" i="10"/>
  <c r="G501" i="10"/>
  <c r="F501" i="10"/>
  <c r="T500" i="10"/>
  <c r="R500" i="10"/>
  <c r="G500" i="10"/>
  <c r="F500" i="10"/>
  <c r="T499" i="10"/>
  <c r="R499" i="10"/>
  <c r="G499" i="10"/>
  <c r="F499" i="10"/>
  <c r="T498" i="10"/>
  <c r="R498" i="10"/>
  <c r="G498" i="10"/>
  <c r="F498" i="10"/>
  <c r="L498" i="10" s="1"/>
  <c r="T497" i="10"/>
  <c r="R497" i="10"/>
  <c r="G497" i="10"/>
  <c r="F497" i="10"/>
  <c r="U496" i="10"/>
  <c r="T496" i="10"/>
  <c r="R496" i="10"/>
  <c r="G496" i="10"/>
  <c r="F496" i="10"/>
  <c r="L496" i="10" s="1"/>
  <c r="U495" i="10"/>
  <c r="Y496" i="10" s="1"/>
  <c r="T495" i="10"/>
  <c r="R495" i="10"/>
  <c r="G495" i="10"/>
  <c r="F495" i="10"/>
  <c r="T494" i="10"/>
  <c r="R494" i="10"/>
  <c r="G494" i="10"/>
  <c r="F494" i="10"/>
  <c r="T493" i="10"/>
  <c r="R493" i="10"/>
  <c r="G493" i="10"/>
  <c r="F493" i="10"/>
  <c r="T492" i="10"/>
  <c r="R492" i="10"/>
  <c r="G492" i="10"/>
  <c r="F492" i="10"/>
  <c r="T491" i="10"/>
  <c r="R491" i="10"/>
  <c r="G491" i="10"/>
  <c r="F491" i="10"/>
  <c r="T490" i="10"/>
  <c r="R490" i="10"/>
  <c r="G490" i="10"/>
  <c r="F490" i="10"/>
  <c r="T489" i="10"/>
  <c r="R489" i="10"/>
  <c r="G489" i="10"/>
  <c r="F489" i="10"/>
  <c r="U488" i="10"/>
  <c r="T488" i="10"/>
  <c r="R488" i="10"/>
  <c r="G488" i="10"/>
  <c r="F488" i="10"/>
  <c r="T487" i="10"/>
  <c r="R487" i="10"/>
  <c r="G487" i="10"/>
  <c r="F487" i="10"/>
  <c r="T486" i="10"/>
  <c r="R486" i="10"/>
  <c r="G486" i="10"/>
  <c r="F486" i="10"/>
  <c r="T485" i="10"/>
  <c r="R485" i="10"/>
  <c r="G485" i="10"/>
  <c r="F485" i="10"/>
  <c r="T484" i="10"/>
  <c r="R484" i="10"/>
  <c r="G484" i="10"/>
  <c r="F484" i="10"/>
  <c r="T483" i="10"/>
  <c r="R483" i="10"/>
  <c r="G483" i="10"/>
  <c r="F483" i="10"/>
  <c r="L483" i="10" s="1"/>
  <c r="T482" i="10"/>
  <c r="R482" i="10"/>
  <c r="G482" i="10"/>
  <c r="F482" i="10"/>
  <c r="L482" i="10" s="1"/>
  <c r="T481" i="10"/>
  <c r="R481" i="10"/>
  <c r="G481" i="10"/>
  <c r="F481" i="10"/>
  <c r="U480" i="10"/>
  <c r="Y479" i="10" s="1"/>
  <c r="T480" i="10"/>
  <c r="R480" i="10"/>
  <c r="G480" i="10"/>
  <c r="F480" i="10"/>
  <c r="U479" i="10"/>
  <c r="T479" i="10"/>
  <c r="R479" i="10"/>
  <c r="G479" i="10"/>
  <c r="F479" i="10"/>
  <c r="L479" i="10" s="1"/>
  <c r="U478" i="10"/>
  <c r="T478" i="10"/>
  <c r="R478" i="10"/>
  <c r="G478" i="10"/>
  <c r="F478" i="10"/>
  <c r="T477" i="10"/>
  <c r="R477" i="10"/>
  <c r="G477" i="10"/>
  <c r="F477" i="10"/>
  <c r="T476" i="10"/>
  <c r="R476" i="10"/>
  <c r="G476" i="10"/>
  <c r="F476" i="10"/>
  <c r="L476" i="10" s="1"/>
  <c r="T475" i="10"/>
  <c r="R475" i="10"/>
  <c r="G475" i="10"/>
  <c r="F475" i="10"/>
  <c r="E229" i="13" s="1"/>
  <c r="T474" i="10"/>
  <c r="R474" i="10"/>
  <c r="G474" i="10"/>
  <c r="F474" i="10"/>
  <c r="T473" i="10"/>
  <c r="R473" i="10"/>
  <c r="G473" i="10"/>
  <c r="F473" i="10"/>
  <c r="T472" i="10"/>
  <c r="R472" i="10"/>
  <c r="G472" i="10"/>
  <c r="F472" i="10"/>
  <c r="T471" i="10"/>
  <c r="R471" i="10"/>
  <c r="G471" i="10"/>
  <c r="F471" i="10"/>
  <c r="U470" i="10"/>
  <c r="Y472" i="10" s="1"/>
  <c r="T470" i="10"/>
  <c r="R470" i="10"/>
  <c r="G470" i="10"/>
  <c r="F470" i="10"/>
  <c r="T469" i="10"/>
  <c r="R469" i="10"/>
  <c r="G469" i="10"/>
  <c r="F469" i="10"/>
  <c r="T468" i="10"/>
  <c r="R468" i="10"/>
  <c r="G468" i="10"/>
  <c r="F468" i="10"/>
  <c r="T467" i="10"/>
  <c r="R467" i="10"/>
  <c r="G467" i="10"/>
  <c r="F467" i="10"/>
  <c r="L467" i="10" s="1"/>
  <c r="T466" i="10"/>
  <c r="R466" i="10"/>
  <c r="G466" i="10"/>
  <c r="F466" i="10"/>
  <c r="T465" i="10"/>
  <c r="R465" i="10"/>
  <c r="G465" i="10"/>
  <c r="F465" i="10"/>
  <c r="L465" i="10" s="1"/>
  <c r="T464" i="10"/>
  <c r="R464" i="10"/>
  <c r="G464" i="10"/>
  <c r="F464" i="10"/>
  <c r="T463" i="10"/>
  <c r="R463" i="10"/>
  <c r="G463" i="10"/>
  <c r="F463" i="10"/>
  <c r="L463" i="10" s="1"/>
  <c r="T462" i="10"/>
  <c r="R462" i="10"/>
  <c r="G462" i="10"/>
  <c r="F462" i="10"/>
  <c r="T461" i="10"/>
  <c r="R461" i="10"/>
  <c r="G461" i="10"/>
  <c r="F461" i="10"/>
  <c r="T460" i="10"/>
  <c r="R460" i="10"/>
  <c r="G460" i="10"/>
  <c r="F460" i="10"/>
  <c r="T459" i="10"/>
  <c r="R459" i="10"/>
  <c r="G459" i="10"/>
  <c r="F459" i="10"/>
  <c r="L459" i="10" s="1"/>
  <c r="U458" i="10"/>
  <c r="T458" i="10"/>
  <c r="R458" i="10"/>
  <c r="G458" i="10"/>
  <c r="F458" i="10"/>
  <c r="T457" i="10"/>
  <c r="R457" i="10"/>
  <c r="G457" i="10"/>
  <c r="F457" i="10"/>
  <c r="U456" i="10"/>
  <c r="T456" i="10"/>
  <c r="R456" i="10"/>
  <c r="G456" i="10"/>
  <c r="F456" i="10"/>
  <c r="T455" i="10"/>
  <c r="R455" i="10"/>
  <c r="G455" i="10"/>
  <c r="F455" i="10"/>
  <c r="T454" i="10"/>
  <c r="R454" i="10"/>
  <c r="G454" i="10"/>
  <c r="F454" i="10"/>
  <c r="T453" i="10"/>
  <c r="R453" i="10"/>
  <c r="G453" i="10"/>
  <c r="F453" i="10"/>
  <c r="U452" i="10"/>
  <c r="T452" i="10"/>
  <c r="R452" i="10"/>
  <c r="G452" i="10"/>
  <c r="F452" i="10"/>
  <c r="T451" i="10"/>
  <c r="R451" i="10"/>
  <c r="G451" i="10"/>
  <c r="F451" i="10"/>
  <c r="L451" i="10" s="1"/>
  <c r="U450" i="10"/>
  <c r="Y451" i="10" s="1"/>
  <c r="T450" i="10"/>
  <c r="R450" i="10"/>
  <c r="G450" i="10"/>
  <c r="F450" i="10"/>
  <c r="T449" i="10"/>
  <c r="R449" i="10"/>
  <c r="G449" i="10"/>
  <c r="F449" i="10"/>
  <c r="L449" i="10" s="1"/>
  <c r="U448" i="10"/>
  <c r="Y448" i="10" s="1"/>
  <c r="Z448" i="10" s="1"/>
  <c r="T448" i="10"/>
  <c r="R448" i="10"/>
  <c r="G448" i="10"/>
  <c r="F448" i="10"/>
  <c r="T447" i="10"/>
  <c r="R447" i="10"/>
  <c r="G447" i="10"/>
  <c r="F447" i="10"/>
  <c r="L447" i="10" s="1"/>
  <c r="T446" i="10"/>
  <c r="R446" i="10"/>
  <c r="G446" i="10"/>
  <c r="F446" i="10"/>
  <c r="T445" i="10"/>
  <c r="R445" i="10"/>
  <c r="G445" i="10"/>
  <c r="F445" i="10"/>
  <c r="T444" i="10"/>
  <c r="R444" i="10"/>
  <c r="G444" i="10"/>
  <c r="F444" i="10"/>
  <c r="L444" i="10" s="1"/>
  <c r="T443" i="10"/>
  <c r="R443" i="10"/>
  <c r="G443" i="10"/>
  <c r="F443" i="10"/>
  <c r="T442" i="10"/>
  <c r="R442" i="10"/>
  <c r="G442" i="10"/>
  <c r="F442" i="10"/>
  <c r="T441" i="10"/>
  <c r="R441" i="10"/>
  <c r="G441" i="10"/>
  <c r="F441" i="10"/>
  <c r="T440" i="10"/>
  <c r="R440" i="10"/>
  <c r="G440" i="10"/>
  <c r="F440" i="10"/>
  <c r="T439" i="10"/>
  <c r="R439" i="10"/>
  <c r="G439" i="10"/>
  <c r="F439" i="10"/>
  <c r="T438" i="10"/>
  <c r="R438" i="10"/>
  <c r="G438" i="10"/>
  <c r="F438" i="10"/>
  <c r="T437" i="10"/>
  <c r="R437" i="10"/>
  <c r="G437" i="10"/>
  <c r="F437" i="10"/>
  <c r="T436" i="10"/>
  <c r="R436" i="10"/>
  <c r="G436" i="10"/>
  <c r="F436" i="10"/>
  <c r="T435" i="10"/>
  <c r="R435" i="10"/>
  <c r="G435" i="10"/>
  <c r="F435" i="10"/>
  <c r="T434" i="10"/>
  <c r="R434" i="10"/>
  <c r="G434" i="10"/>
  <c r="F434" i="10"/>
  <c r="T433" i="10"/>
  <c r="R433" i="10"/>
  <c r="G433" i="10"/>
  <c r="F433" i="10"/>
  <c r="T432" i="10"/>
  <c r="R432" i="10"/>
  <c r="G432" i="10"/>
  <c r="F432" i="10"/>
  <c r="T431" i="10"/>
  <c r="R431" i="10"/>
  <c r="G431" i="10"/>
  <c r="F431" i="10"/>
  <c r="T430" i="10"/>
  <c r="R430" i="10"/>
  <c r="G430" i="10"/>
  <c r="F430" i="10"/>
  <c r="L430" i="10" s="1"/>
  <c r="T429" i="10"/>
  <c r="R429" i="10"/>
  <c r="G429" i="10"/>
  <c r="F429" i="10"/>
  <c r="T428" i="10"/>
  <c r="R428" i="10"/>
  <c r="G428" i="10"/>
  <c r="F428" i="10"/>
  <c r="L428" i="10" s="1"/>
  <c r="T427" i="10"/>
  <c r="R427" i="10"/>
  <c r="G427" i="10"/>
  <c r="F427" i="10"/>
  <c r="T426" i="10"/>
  <c r="R426" i="10"/>
  <c r="G426" i="10"/>
  <c r="F426" i="10"/>
  <c r="T425" i="10"/>
  <c r="R425" i="10"/>
  <c r="G425" i="10"/>
  <c r="F425" i="10"/>
  <c r="T424" i="10"/>
  <c r="R424" i="10"/>
  <c r="G424" i="10"/>
  <c r="F424" i="10"/>
  <c r="L424" i="10" s="1"/>
  <c r="U423" i="10"/>
  <c r="T423" i="10"/>
  <c r="R423" i="10"/>
  <c r="G423" i="10"/>
  <c r="F423" i="10"/>
  <c r="T422" i="10"/>
  <c r="R422" i="10"/>
  <c r="G422" i="10"/>
  <c r="F422" i="10"/>
  <c r="U421" i="10"/>
  <c r="T421" i="10"/>
  <c r="R421" i="10"/>
  <c r="G421" i="10"/>
  <c r="F421" i="10"/>
  <c r="U420" i="10"/>
  <c r="T420" i="10"/>
  <c r="R420" i="10"/>
  <c r="G420" i="10"/>
  <c r="F420" i="10"/>
  <c r="T419" i="10"/>
  <c r="R419" i="10"/>
  <c r="G419" i="10"/>
  <c r="F419" i="10"/>
  <c r="T418" i="10"/>
  <c r="R418" i="10"/>
  <c r="G418" i="10"/>
  <c r="F418" i="10"/>
  <c r="T417" i="10"/>
  <c r="R417" i="10"/>
  <c r="G417" i="10"/>
  <c r="F417" i="10"/>
  <c r="L417" i="10" s="1"/>
  <c r="T416" i="10"/>
  <c r="R416" i="10"/>
  <c r="G416" i="10"/>
  <c r="F416" i="10"/>
  <c r="E203" i="13" s="1"/>
  <c r="T415" i="10"/>
  <c r="R415" i="10"/>
  <c r="G415" i="10"/>
  <c r="F415" i="10"/>
  <c r="L415" i="10" s="1"/>
  <c r="T414" i="10"/>
  <c r="R414" i="10"/>
  <c r="G414" i="10"/>
  <c r="F414" i="10"/>
  <c r="T413" i="10"/>
  <c r="R413" i="10"/>
  <c r="G413" i="10"/>
  <c r="F413" i="10"/>
  <c r="T412" i="10"/>
  <c r="R412" i="10"/>
  <c r="G412" i="10"/>
  <c r="F412" i="10"/>
  <c r="E201" i="13" s="1"/>
  <c r="U411" i="10"/>
  <c r="T411" i="10"/>
  <c r="R411" i="10"/>
  <c r="G411" i="10"/>
  <c r="F411" i="10"/>
  <c r="L411" i="10" s="1"/>
  <c r="U410" i="10"/>
  <c r="T410" i="10"/>
  <c r="R410" i="10"/>
  <c r="G410" i="10"/>
  <c r="F410" i="10"/>
  <c r="T409" i="10"/>
  <c r="R409" i="10"/>
  <c r="G409" i="10"/>
  <c r="F409" i="10"/>
  <c r="T408" i="10"/>
  <c r="R408" i="10"/>
  <c r="G408" i="10"/>
  <c r="F408" i="10"/>
  <c r="T407" i="10"/>
  <c r="R407" i="10"/>
  <c r="G407" i="10"/>
  <c r="F407" i="10"/>
  <c r="T406" i="10"/>
  <c r="R406" i="10"/>
  <c r="G406" i="10"/>
  <c r="F406" i="10"/>
  <c r="T405" i="10"/>
  <c r="R405" i="10"/>
  <c r="G405" i="10"/>
  <c r="F405" i="10"/>
  <c r="T404" i="10"/>
  <c r="R404" i="10"/>
  <c r="G404" i="10"/>
  <c r="F404" i="10"/>
  <c r="T403" i="10"/>
  <c r="R403" i="10"/>
  <c r="G403" i="10"/>
  <c r="F403" i="10"/>
  <c r="T402" i="10"/>
  <c r="R402" i="10"/>
  <c r="G402" i="10"/>
  <c r="F402" i="10"/>
  <c r="E196" i="13" s="1"/>
  <c r="T401" i="10"/>
  <c r="R401" i="10"/>
  <c r="G401" i="10"/>
  <c r="F401" i="10"/>
  <c r="L401" i="10" s="1"/>
  <c r="T400" i="10"/>
  <c r="R400" i="10"/>
  <c r="G400" i="10"/>
  <c r="F400" i="10"/>
  <c r="L400" i="10" s="1"/>
  <c r="T399" i="10"/>
  <c r="R399" i="10"/>
  <c r="G399" i="10"/>
  <c r="F399" i="10"/>
  <c r="T398" i="10"/>
  <c r="R398" i="10"/>
  <c r="G398" i="10"/>
  <c r="F398" i="10"/>
  <c r="L398" i="10" s="1"/>
  <c r="T397" i="10"/>
  <c r="R397" i="10"/>
  <c r="G397" i="10"/>
  <c r="F397" i="10"/>
  <c r="T396" i="10"/>
  <c r="R396" i="10"/>
  <c r="G396" i="10"/>
  <c r="F396" i="10"/>
  <c r="E194" i="13" s="1"/>
  <c r="T395" i="10"/>
  <c r="R395" i="10"/>
  <c r="G395" i="10"/>
  <c r="F395" i="10"/>
  <c r="L395" i="10" s="1"/>
  <c r="T394" i="10"/>
  <c r="R394" i="10"/>
  <c r="G394" i="10"/>
  <c r="F394" i="10"/>
  <c r="L394" i="10" s="1"/>
  <c r="T393" i="10"/>
  <c r="R393" i="10"/>
  <c r="G393" i="10"/>
  <c r="F393" i="10"/>
  <c r="T392" i="10"/>
  <c r="R392" i="10"/>
  <c r="G392" i="10"/>
  <c r="F392" i="10"/>
  <c r="L392" i="10" s="1"/>
  <c r="T391" i="10"/>
  <c r="R391" i="10"/>
  <c r="G391" i="10"/>
  <c r="F391" i="10"/>
  <c r="T390" i="10"/>
  <c r="R390" i="10"/>
  <c r="G390" i="10"/>
  <c r="F390" i="10"/>
  <c r="T389" i="10"/>
  <c r="R389" i="10"/>
  <c r="G389" i="10"/>
  <c r="F389" i="10"/>
  <c r="T388" i="10"/>
  <c r="R388" i="10"/>
  <c r="G388" i="10"/>
  <c r="F388" i="10"/>
  <c r="T387" i="10"/>
  <c r="R387" i="10"/>
  <c r="G387" i="10"/>
  <c r="F387" i="10"/>
  <c r="T386" i="10"/>
  <c r="R386" i="10"/>
  <c r="G386" i="10"/>
  <c r="F386" i="10"/>
  <c r="L386" i="10" s="1"/>
  <c r="T385" i="10"/>
  <c r="R385" i="10"/>
  <c r="G385" i="10"/>
  <c r="F385" i="10"/>
  <c r="T384" i="10"/>
  <c r="R384" i="10"/>
  <c r="G384" i="10"/>
  <c r="F384" i="10"/>
  <c r="L384" i="10" s="1"/>
  <c r="T383" i="10"/>
  <c r="R383" i="10"/>
  <c r="G383" i="10"/>
  <c r="F383" i="10"/>
  <c r="T382" i="10"/>
  <c r="R382" i="10"/>
  <c r="G382" i="10"/>
  <c r="F382" i="10"/>
  <c r="L382" i="10" s="1"/>
  <c r="T381" i="10"/>
  <c r="R381" i="10"/>
  <c r="G381" i="10"/>
  <c r="F381" i="10"/>
  <c r="U380" i="10"/>
  <c r="Y377" i="10" s="1"/>
  <c r="T380" i="10"/>
  <c r="R380" i="10"/>
  <c r="G380" i="10"/>
  <c r="F380" i="10"/>
  <c r="L380" i="10" s="1"/>
  <c r="T379" i="10"/>
  <c r="R379" i="10"/>
  <c r="G379" i="10"/>
  <c r="F379" i="10"/>
  <c r="L379" i="10" s="1"/>
  <c r="U378" i="10"/>
  <c r="T378" i="10"/>
  <c r="R378" i="10"/>
  <c r="G378" i="10"/>
  <c r="F378" i="10"/>
  <c r="L378" i="10" s="1"/>
  <c r="T377" i="10"/>
  <c r="R377" i="10"/>
  <c r="G377" i="10"/>
  <c r="F377" i="10"/>
  <c r="T376" i="10"/>
  <c r="R376" i="10"/>
  <c r="G376" i="10"/>
  <c r="F376" i="10"/>
  <c r="L376" i="10" s="1"/>
  <c r="T375" i="10"/>
  <c r="R375" i="10"/>
  <c r="G375" i="10"/>
  <c r="F375" i="10"/>
  <c r="U374" i="10"/>
  <c r="T374" i="10"/>
  <c r="R374" i="10"/>
  <c r="G374" i="10"/>
  <c r="F374" i="10"/>
  <c r="T373" i="10"/>
  <c r="R373" i="10"/>
  <c r="G373" i="10"/>
  <c r="F373" i="10"/>
  <c r="T372" i="10"/>
  <c r="R372" i="10"/>
  <c r="G372" i="10"/>
  <c r="F372" i="10"/>
  <c r="T371" i="10"/>
  <c r="R371" i="10"/>
  <c r="G371" i="10"/>
  <c r="F371" i="10"/>
  <c r="T370" i="10"/>
  <c r="R370" i="10"/>
  <c r="G370" i="10"/>
  <c r="F370" i="10"/>
  <c r="E184" i="13" s="1"/>
  <c r="U369" i="10"/>
  <c r="T369" i="10"/>
  <c r="R369" i="10"/>
  <c r="G369" i="10"/>
  <c r="F369" i="10"/>
  <c r="L369" i="10" s="1"/>
  <c r="T368" i="10"/>
  <c r="R368" i="10"/>
  <c r="G368" i="10"/>
  <c r="F368" i="10"/>
  <c r="E183" i="13" s="1"/>
  <c r="U367" i="10"/>
  <c r="T367" i="10"/>
  <c r="R367" i="10"/>
  <c r="G367" i="10"/>
  <c r="F367" i="10"/>
  <c r="L367" i="10" s="1"/>
  <c r="U366" i="10"/>
  <c r="T366" i="10"/>
  <c r="R366" i="10"/>
  <c r="G366" i="10"/>
  <c r="F366" i="10"/>
  <c r="E182" i="13" s="1"/>
  <c r="T365" i="10"/>
  <c r="R365" i="10"/>
  <c r="G365" i="10"/>
  <c r="F365" i="10"/>
  <c r="T364" i="10"/>
  <c r="R364" i="10"/>
  <c r="G364" i="10"/>
  <c r="F364" i="10"/>
  <c r="E181" i="13" s="1"/>
  <c r="T363" i="10"/>
  <c r="R363" i="10"/>
  <c r="G363" i="10"/>
  <c r="F363" i="10"/>
  <c r="L363" i="10" s="1"/>
  <c r="T362" i="10"/>
  <c r="R362" i="10"/>
  <c r="G362" i="10"/>
  <c r="F362" i="10"/>
  <c r="E180" i="13" s="1"/>
  <c r="U361" i="10"/>
  <c r="T361" i="10"/>
  <c r="R361" i="10"/>
  <c r="G361" i="10"/>
  <c r="F361" i="10"/>
  <c r="T360" i="10"/>
  <c r="R360" i="10"/>
  <c r="G360" i="10"/>
  <c r="F360" i="10"/>
  <c r="E179" i="13" s="1"/>
  <c r="U359" i="10"/>
  <c r="T359" i="10"/>
  <c r="R359" i="10"/>
  <c r="G359" i="10"/>
  <c r="F359" i="10"/>
  <c r="L359" i="10" s="1"/>
  <c r="U358" i="10"/>
  <c r="T358" i="10"/>
  <c r="R358" i="10"/>
  <c r="G358" i="10"/>
  <c r="F358" i="10"/>
  <c r="U357" i="10"/>
  <c r="Y359" i="10" s="1"/>
  <c r="T357" i="10"/>
  <c r="R357" i="10"/>
  <c r="G357" i="10"/>
  <c r="F357" i="10"/>
  <c r="U356" i="10"/>
  <c r="T356" i="10"/>
  <c r="R356" i="10"/>
  <c r="G356" i="10"/>
  <c r="F356" i="10"/>
  <c r="L356" i="10" s="1"/>
  <c r="U355" i="10"/>
  <c r="Y356" i="10" s="1"/>
  <c r="T355" i="10"/>
  <c r="R355" i="10"/>
  <c r="G355" i="10"/>
  <c r="F355" i="10"/>
  <c r="T354" i="10"/>
  <c r="R354" i="10"/>
  <c r="G354" i="10"/>
  <c r="F354" i="10"/>
  <c r="T353" i="10"/>
  <c r="R353" i="10"/>
  <c r="G353" i="10"/>
  <c r="F353" i="10"/>
  <c r="U352" i="10"/>
  <c r="T352" i="10"/>
  <c r="R352" i="10"/>
  <c r="G352" i="10"/>
  <c r="F352" i="10"/>
  <c r="L352" i="10" s="1"/>
  <c r="T351" i="10"/>
  <c r="R351" i="10"/>
  <c r="G351" i="10"/>
  <c r="F351" i="10"/>
  <c r="T350" i="10"/>
  <c r="R350" i="10"/>
  <c r="G350" i="10"/>
  <c r="F350" i="10"/>
  <c r="L350" i="10" s="1"/>
  <c r="T349" i="10"/>
  <c r="R349" i="10"/>
  <c r="G349" i="10"/>
  <c r="F349" i="10"/>
  <c r="U348" i="10"/>
  <c r="T348" i="10"/>
  <c r="R348" i="10"/>
  <c r="G348" i="10"/>
  <c r="F348" i="10"/>
  <c r="L348" i="10" s="1"/>
  <c r="U347" i="10"/>
  <c r="Y347" i="10" s="1"/>
  <c r="Z347" i="10" s="1"/>
  <c r="T347" i="10"/>
  <c r="R347" i="10"/>
  <c r="G347" i="10"/>
  <c r="F347" i="10"/>
  <c r="T346" i="10"/>
  <c r="R346" i="10"/>
  <c r="G346" i="10"/>
  <c r="F346" i="10"/>
  <c r="L346" i="10" s="1"/>
  <c r="T345" i="10"/>
  <c r="R345" i="10"/>
  <c r="G345" i="10"/>
  <c r="F345" i="10"/>
  <c r="E172" i="13" s="1"/>
  <c r="T344" i="10"/>
  <c r="R344" i="10"/>
  <c r="G344" i="10"/>
  <c r="F344" i="10"/>
  <c r="L344" i="10" s="1"/>
  <c r="T343" i="10"/>
  <c r="R343" i="10"/>
  <c r="G343" i="10"/>
  <c r="F343" i="10"/>
  <c r="E171" i="13" s="1"/>
  <c r="T342" i="10"/>
  <c r="R342" i="10"/>
  <c r="G342" i="10"/>
  <c r="F342" i="10"/>
  <c r="L342" i="10" s="1"/>
  <c r="T341" i="10"/>
  <c r="R341" i="10"/>
  <c r="G341" i="10"/>
  <c r="F341" i="10"/>
  <c r="E170" i="13" s="1"/>
  <c r="T340" i="10"/>
  <c r="R340" i="10"/>
  <c r="G340" i="10"/>
  <c r="F340" i="10"/>
  <c r="L340" i="10" s="1"/>
  <c r="T339" i="10"/>
  <c r="R339" i="10"/>
  <c r="G339" i="10"/>
  <c r="F339" i="10"/>
  <c r="U338" i="10"/>
  <c r="T338" i="10"/>
  <c r="R338" i="10"/>
  <c r="G338" i="10"/>
  <c r="F338" i="10"/>
  <c r="L338" i="10" s="1"/>
  <c r="U337" i="10"/>
  <c r="Y337" i="10" s="1"/>
  <c r="Z337" i="10" s="1"/>
  <c r="T337" i="10"/>
  <c r="R337" i="10"/>
  <c r="G337" i="10"/>
  <c r="F337" i="10"/>
  <c r="T336" i="10"/>
  <c r="R336" i="10"/>
  <c r="G336" i="10"/>
  <c r="F336" i="10"/>
  <c r="T335" i="10"/>
  <c r="R335" i="10"/>
  <c r="G335" i="10"/>
  <c r="F335" i="10"/>
  <c r="U334" i="10"/>
  <c r="T334" i="10"/>
  <c r="R334" i="10"/>
  <c r="G334" i="10"/>
  <c r="F334" i="10"/>
  <c r="U333" i="10"/>
  <c r="T333" i="10"/>
  <c r="R333" i="10"/>
  <c r="G333" i="10"/>
  <c r="F333" i="10"/>
  <c r="T332" i="10"/>
  <c r="R332" i="10"/>
  <c r="G332" i="10"/>
  <c r="F332" i="10"/>
  <c r="L332" i="10" s="1"/>
  <c r="T331" i="10"/>
  <c r="R331" i="10"/>
  <c r="G331" i="10"/>
  <c r="F331" i="10"/>
  <c r="T330" i="10"/>
  <c r="R330" i="10"/>
  <c r="G330" i="10"/>
  <c r="F330" i="10"/>
  <c r="T329" i="10"/>
  <c r="R329" i="10"/>
  <c r="G329" i="10"/>
  <c r="F329" i="10"/>
  <c r="E164" i="13" s="1"/>
  <c r="U328" i="10"/>
  <c r="T328" i="10"/>
  <c r="R328" i="10"/>
  <c r="G328" i="10"/>
  <c r="F328" i="10"/>
  <c r="L328" i="10" s="1"/>
  <c r="U327" i="10"/>
  <c r="T327" i="10"/>
  <c r="R327" i="10"/>
  <c r="G327" i="10"/>
  <c r="F327" i="10"/>
  <c r="T326" i="10"/>
  <c r="R326" i="10"/>
  <c r="G326" i="10"/>
  <c r="F326" i="10"/>
  <c r="E163" i="13" s="1"/>
  <c r="T325" i="10"/>
  <c r="R325" i="10"/>
  <c r="G325" i="10"/>
  <c r="F325" i="10"/>
  <c r="T324" i="10"/>
  <c r="R324" i="10"/>
  <c r="G324" i="10"/>
  <c r="F324" i="10"/>
  <c r="E162" i="13" s="1"/>
  <c r="T323" i="10"/>
  <c r="R323" i="10"/>
  <c r="G323" i="10"/>
  <c r="F323" i="10"/>
  <c r="L323" i="10" s="1"/>
  <c r="T322" i="10"/>
  <c r="R322" i="10"/>
  <c r="G322" i="10"/>
  <c r="F322" i="10"/>
  <c r="E161" i="13" s="1"/>
  <c r="T321" i="10"/>
  <c r="R321" i="10"/>
  <c r="G321" i="10"/>
  <c r="F321" i="10"/>
  <c r="L321" i="10" s="1"/>
  <c r="T320" i="10"/>
  <c r="R320" i="10"/>
  <c r="G320" i="10"/>
  <c r="F320" i="10"/>
  <c r="E160" i="13" s="1"/>
  <c r="T319" i="10"/>
  <c r="R319" i="10"/>
  <c r="G319" i="10"/>
  <c r="F319" i="10"/>
  <c r="T318" i="10"/>
  <c r="R318" i="10"/>
  <c r="G318" i="10"/>
  <c r="F318" i="10"/>
  <c r="T317" i="10"/>
  <c r="R317" i="10"/>
  <c r="G317" i="10"/>
  <c r="F317" i="10"/>
  <c r="T316" i="10"/>
  <c r="R316" i="10"/>
  <c r="G316" i="10"/>
  <c r="F316" i="10"/>
  <c r="T315" i="10"/>
  <c r="R315" i="10"/>
  <c r="G315" i="10"/>
  <c r="F315" i="10"/>
  <c r="L315" i="10" s="1"/>
  <c r="T314" i="10"/>
  <c r="R314" i="10"/>
  <c r="G314" i="10"/>
  <c r="F314" i="10"/>
  <c r="T313" i="10"/>
  <c r="R313" i="10"/>
  <c r="G313" i="10"/>
  <c r="F313" i="10"/>
  <c r="T312" i="10"/>
  <c r="R312" i="10"/>
  <c r="G312" i="10"/>
  <c r="F312" i="10"/>
  <c r="E156" i="13" s="1"/>
  <c r="T311" i="10"/>
  <c r="R311" i="10"/>
  <c r="G311" i="10"/>
  <c r="F311" i="10"/>
  <c r="T310" i="10"/>
  <c r="R310" i="10"/>
  <c r="G310" i="10"/>
  <c r="F310" i="10"/>
  <c r="E155" i="13" s="1"/>
  <c r="T309" i="10"/>
  <c r="R309" i="10"/>
  <c r="G309" i="10"/>
  <c r="F309" i="10"/>
  <c r="L309" i="10" s="1"/>
  <c r="T308" i="10"/>
  <c r="R308" i="10"/>
  <c r="G308" i="10"/>
  <c r="F308" i="10"/>
  <c r="E154" i="13" s="1"/>
  <c r="U307" i="10"/>
  <c r="T307" i="10"/>
  <c r="R307" i="10"/>
  <c r="G307" i="10"/>
  <c r="F307" i="10"/>
  <c r="L307" i="10" s="1"/>
  <c r="U306" i="10"/>
  <c r="Y307" i="10" s="1"/>
  <c r="T306" i="10"/>
  <c r="R306" i="10"/>
  <c r="G306" i="10"/>
  <c r="F306" i="10"/>
  <c r="E153" i="13" s="1"/>
  <c r="T305" i="10"/>
  <c r="R305" i="10"/>
  <c r="G305" i="10"/>
  <c r="F305" i="10"/>
  <c r="L305" i="10" s="1"/>
  <c r="T304" i="10"/>
  <c r="R304" i="10"/>
  <c r="G304" i="10"/>
  <c r="F304" i="10"/>
  <c r="E152" i="13" s="1"/>
  <c r="T303" i="10"/>
  <c r="R303" i="10"/>
  <c r="G303" i="10"/>
  <c r="F303" i="10"/>
  <c r="L303" i="10" s="1"/>
  <c r="T302" i="10"/>
  <c r="R302" i="10"/>
  <c r="G302" i="10"/>
  <c r="F302" i="10"/>
  <c r="T301" i="10"/>
  <c r="R301" i="10"/>
  <c r="G301" i="10"/>
  <c r="F301" i="10"/>
  <c r="T300" i="10"/>
  <c r="R300" i="10"/>
  <c r="G300" i="10"/>
  <c r="F300" i="10"/>
  <c r="T299" i="10"/>
  <c r="R299" i="10"/>
  <c r="G299" i="10"/>
  <c r="F299" i="10"/>
  <c r="L299" i="10" s="1"/>
  <c r="T298" i="10"/>
  <c r="R298" i="10"/>
  <c r="G298" i="10"/>
  <c r="F298" i="10"/>
  <c r="E149" i="13" s="1"/>
  <c r="U297" i="10"/>
  <c r="T297" i="10"/>
  <c r="R297" i="10"/>
  <c r="G297" i="10"/>
  <c r="F297" i="10"/>
  <c r="T296" i="10"/>
  <c r="R296" i="10"/>
  <c r="G296" i="10"/>
  <c r="F296" i="10"/>
  <c r="T295" i="10"/>
  <c r="R295" i="10"/>
  <c r="G295" i="10"/>
  <c r="F295" i="10"/>
  <c r="T294" i="10"/>
  <c r="R294" i="10"/>
  <c r="G294" i="10"/>
  <c r="F294" i="10"/>
  <c r="E147" i="13" s="1"/>
  <c r="T293" i="10"/>
  <c r="R293" i="10"/>
  <c r="G293" i="10"/>
  <c r="F293" i="10"/>
  <c r="T292" i="10"/>
  <c r="R292" i="10"/>
  <c r="G292" i="10"/>
  <c r="F292" i="10"/>
  <c r="E146" i="13" s="1"/>
  <c r="T291" i="10"/>
  <c r="R291" i="10"/>
  <c r="G291" i="10"/>
  <c r="F291" i="10"/>
  <c r="L291" i="10" s="1"/>
  <c r="T290" i="10"/>
  <c r="R290" i="10"/>
  <c r="G290" i="10"/>
  <c r="F290" i="10"/>
  <c r="E145" i="13" s="1"/>
  <c r="T289" i="10"/>
  <c r="R289" i="10"/>
  <c r="G289" i="10"/>
  <c r="F289" i="10"/>
  <c r="L289" i="10" s="1"/>
  <c r="T288" i="10"/>
  <c r="R288" i="10"/>
  <c r="G288" i="10"/>
  <c r="F288" i="10"/>
  <c r="T287" i="10"/>
  <c r="R287" i="10"/>
  <c r="G287" i="10"/>
  <c r="F287" i="10"/>
  <c r="L287" i="10" s="1"/>
  <c r="T286" i="10"/>
  <c r="R286" i="10"/>
  <c r="G286" i="10"/>
  <c r="F286" i="10"/>
  <c r="T285" i="10"/>
  <c r="R285" i="10"/>
  <c r="G285" i="10"/>
  <c r="F285" i="10"/>
  <c r="T284" i="10"/>
  <c r="R284" i="10"/>
  <c r="G284" i="10"/>
  <c r="F284" i="10"/>
  <c r="T283" i="10"/>
  <c r="R283" i="10"/>
  <c r="G283" i="10"/>
  <c r="F283" i="10"/>
  <c r="T282" i="10"/>
  <c r="R282" i="10"/>
  <c r="G282" i="10"/>
  <c r="F282" i="10"/>
  <c r="T281" i="10"/>
  <c r="R281" i="10"/>
  <c r="G281" i="10"/>
  <c r="F281" i="10"/>
  <c r="L281" i="10" s="1"/>
  <c r="T280" i="10"/>
  <c r="R280" i="10"/>
  <c r="G280" i="10"/>
  <c r="F280" i="10"/>
  <c r="T279" i="10"/>
  <c r="R279" i="10"/>
  <c r="G279" i="10"/>
  <c r="F279" i="10"/>
  <c r="T278" i="10"/>
  <c r="R278" i="10"/>
  <c r="G278" i="10"/>
  <c r="F278" i="10"/>
  <c r="E139" i="13" s="1"/>
  <c r="T277" i="10"/>
  <c r="R277" i="10"/>
  <c r="G277" i="10"/>
  <c r="F277" i="10"/>
  <c r="L277" i="10" s="1"/>
  <c r="T276" i="10"/>
  <c r="R276" i="10"/>
  <c r="G276" i="10"/>
  <c r="F276" i="10"/>
  <c r="E138" i="13" s="1"/>
  <c r="T275" i="10"/>
  <c r="R275" i="10"/>
  <c r="G275" i="10"/>
  <c r="F275" i="10"/>
  <c r="L275" i="10" s="1"/>
  <c r="T274" i="10"/>
  <c r="R274" i="10"/>
  <c r="G274" i="10"/>
  <c r="F274" i="10"/>
  <c r="E137" i="13" s="1"/>
  <c r="T273" i="10"/>
  <c r="R273" i="10"/>
  <c r="G273" i="10"/>
  <c r="F273" i="10"/>
  <c r="L273" i="10" s="1"/>
  <c r="T272" i="10"/>
  <c r="R272" i="10"/>
  <c r="G272" i="10"/>
  <c r="F272" i="10"/>
  <c r="E136" i="13" s="1"/>
  <c r="T271" i="10"/>
  <c r="R271" i="10"/>
  <c r="G271" i="10"/>
  <c r="F271" i="10"/>
  <c r="L271" i="10" s="1"/>
  <c r="U270" i="10"/>
  <c r="Y271" i="10" s="1"/>
  <c r="T270" i="10"/>
  <c r="R270" i="10"/>
  <c r="G270" i="10"/>
  <c r="F270" i="10"/>
  <c r="E135" i="13" s="1"/>
  <c r="T269" i="10"/>
  <c r="R269" i="10"/>
  <c r="G269" i="10"/>
  <c r="F269" i="10"/>
  <c r="T268" i="10"/>
  <c r="R268" i="10"/>
  <c r="G268" i="10"/>
  <c r="F268" i="10"/>
  <c r="T267" i="10"/>
  <c r="R267" i="10"/>
  <c r="G267" i="10"/>
  <c r="F267" i="10"/>
  <c r="T266" i="10"/>
  <c r="R266" i="10"/>
  <c r="G266" i="10"/>
  <c r="F266" i="10"/>
  <c r="T265" i="10"/>
  <c r="R265" i="10"/>
  <c r="G265" i="10"/>
  <c r="F265" i="10"/>
  <c r="T264" i="10"/>
  <c r="R264" i="10"/>
  <c r="G264" i="10"/>
  <c r="F264" i="10"/>
  <c r="T263" i="10"/>
  <c r="R263" i="10"/>
  <c r="G263" i="10"/>
  <c r="F263" i="10"/>
  <c r="T262" i="10"/>
  <c r="R262" i="10"/>
  <c r="G262" i="10"/>
  <c r="F262" i="10"/>
  <c r="T261" i="10"/>
  <c r="R261" i="10"/>
  <c r="G261" i="10"/>
  <c r="F261" i="10"/>
  <c r="L261" i="10" s="1"/>
  <c r="T260" i="10"/>
  <c r="R260" i="10"/>
  <c r="G260" i="10"/>
  <c r="F260" i="10"/>
  <c r="T259" i="10"/>
  <c r="R259" i="10"/>
  <c r="G259" i="10"/>
  <c r="F259" i="10"/>
  <c r="L259" i="10" s="1"/>
  <c r="T258" i="10"/>
  <c r="R258" i="10"/>
  <c r="G258" i="10"/>
  <c r="F258" i="10"/>
  <c r="T257" i="10"/>
  <c r="R257" i="10"/>
  <c r="G257" i="10"/>
  <c r="F257" i="10"/>
  <c r="L257" i="10" s="1"/>
  <c r="U256" i="10"/>
  <c r="T256" i="10"/>
  <c r="R256" i="10"/>
  <c r="G256" i="10"/>
  <c r="F256" i="10"/>
  <c r="U255" i="10"/>
  <c r="T255" i="10"/>
  <c r="R255" i="10"/>
  <c r="G255" i="10"/>
  <c r="F255" i="10"/>
  <c r="T254" i="10"/>
  <c r="R254" i="10"/>
  <c r="G254" i="10"/>
  <c r="F254" i="10"/>
  <c r="T253" i="10"/>
  <c r="R253" i="10"/>
  <c r="G253" i="10"/>
  <c r="F253" i="10"/>
  <c r="T252" i="10"/>
  <c r="R252" i="10"/>
  <c r="G252" i="10"/>
  <c r="F252" i="10"/>
  <c r="T251" i="10"/>
  <c r="R251" i="10"/>
  <c r="G251" i="10"/>
  <c r="F251" i="10"/>
  <c r="T250" i="10"/>
  <c r="R250" i="10"/>
  <c r="G250" i="10"/>
  <c r="F250" i="10"/>
  <c r="T249" i="10"/>
  <c r="R249" i="10"/>
  <c r="G249" i="10"/>
  <c r="F249" i="10"/>
  <c r="T248" i="10"/>
  <c r="R248" i="10"/>
  <c r="G248" i="10"/>
  <c r="F248" i="10"/>
  <c r="U247" i="10"/>
  <c r="T247" i="10"/>
  <c r="R247" i="10"/>
  <c r="G247" i="10"/>
  <c r="F247" i="10"/>
  <c r="L247" i="10" s="1"/>
  <c r="T246" i="10"/>
  <c r="R246" i="10"/>
  <c r="G246" i="10"/>
  <c r="F246" i="10"/>
  <c r="U245" i="10"/>
  <c r="T245" i="10"/>
  <c r="R245" i="10"/>
  <c r="G245" i="10"/>
  <c r="F245" i="10"/>
  <c r="U244" i="10"/>
  <c r="Y244" i="10" s="1"/>
  <c r="Z244" i="10" s="1"/>
  <c r="T244" i="10"/>
  <c r="R244" i="10"/>
  <c r="G244" i="10"/>
  <c r="F244" i="10"/>
  <c r="T243" i="10"/>
  <c r="R243" i="10"/>
  <c r="G243" i="10"/>
  <c r="F243" i="10"/>
  <c r="T242" i="10"/>
  <c r="R242" i="10"/>
  <c r="G242" i="10"/>
  <c r="F242" i="10"/>
  <c r="T241" i="10"/>
  <c r="R241" i="10"/>
  <c r="G241" i="10"/>
  <c r="F241" i="10"/>
  <c r="L241" i="10" s="1"/>
  <c r="T240" i="10"/>
  <c r="R240" i="10"/>
  <c r="G240" i="10"/>
  <c r="F240" i="10"/>
  <c r="T239" i="10"/>
  <c r="R239" i="10"/>
  <c r="G239" i="10"/>
  <c r="F239" i="10"/>
  <c r="L239" i="10" s="1"/>
  <c r="T238" i="10"/>
  <c r="R238" i="10"/>
  <c r="G238" i="10"/>
  <c r="F238" i="10"/>
  <c r="T237" i="10"/>
  <c r="R237" i="10"/>
  <c r="G237" i="10"/>
  <c r="F237" i="10"/>
  <c r="U236" i="10"/>
  <c r="T236" i="10"/>
  <c r="R236" i="10"/>
  <c r="G236" i="10"/>
  <c r="F236" i="10"/>
  <c r="T235" i="10"/>
  <c r="R235" i="10"/>
  <c r="G235" i="10"/>
  <c r="F235" i="10"/>
  <c r="T234" i="10"/>
  <c r="R234" i="10"/>
  <c r="G234" i="10"/>
  <c r="F234" i="10"/>
  <c r="U233" i="10"/>
  <c r="T233" i="10"/>
  <c r="R233" i="10"/>
  <c r="G233" i="10"/>
  <c r="F233" i="10"/>
  <c r="T232" i="10"/>
  <c r="R232" i="10"/>
  <c r="G232" i="10"/>
  <c r="F232" i="10"/>
  <c r="T231" i="10"/>
  <c r="R231" i="10"/>
  <c r="G231" i="10"/>
  <c r="F231" i="10"/>
  <c r="T230" i="10"/>
  <c r="R230" i="10"/>
  <c r="G230" i="10"/>
  <c r="F230" i="10"/>
  <c r="T229" i="10"/>
  <c r="R229" i="10"/>
  <c r="G229" i="10"/>
  <c r="F229" i="10"/>
  <c r="U228" i="10"/>
  <c r="T228" i="10"/>
  <c r="R228" i="10"/>
  <c r="G228" i="10"/>
  <c r="F228" i="10"/>
  <c r="L228" i="10" s="1"/>
  <c r="T227" i="10"/>
  <c r="R227" i="10"/>
  <c r="G227" i="10"/>
  <c r="F227" i="10"/>
  <c r="U226" i="10"/>
  <c r="T226" i="10"/>
  <c r="R226" i="10"/>
  <c r="G226" i="10"/>
  <c r="F226" i="10"/>
  <c r="U225" i="10"/>
  <c r="T225" i="10"/>
  <c r="R225" i="10"/>
  <c r="G225" i="10"/>
  <c r="F225" i="10"/>
  <c r="L225" i="10" s="1"/>
  <c r="U224" i="10"/>
  <c r="Y225" i="10" s="1"/>
  <c r="T224" i="10"/>
  <c r="R224" i="10"/>
  <c r="G224" i="10"/>
  <c r="F224" i="10"/>
  <c r="E113" i="13" s="1"/>
  <c r="T223" i="10"/>
  <c r="R223" i="10"/>
  <c r="G223" i="10"/>
  <c r="F223" i="10"/>
  <c r="L223" i="10" s="1"/>
  <c r="T222" i="10"/>
  <c r="R222" i="10"/>
  <c r="G222" i="10"/>
  <c r="F222" i="10"/>
  <c r="E112" i="13" s="1"/>
  <c r="T221" i="10"/>
  <c r="R221" i="10"/>
  <c r="G221" i="10"/>
  <c r="F221" i="10"/>
  <c r="U220" i="10"/>
  <c r="Y220" i="10" s="1"/>
  <c r="Z220" i="10" s="1"/>
  <c r="T220" i="10"/>
  <c r="R220" i="10"/>
  <c r="G220" i="10"/>
  <c r="F220" i="10"/>
  <c r="T219" i="10"/>
  <c r="R219" i="10"/>
  <c r="G219" i="10"/>
  <c r="F219" i="10"/>
  <c r="L219" i="10" s="1"/>
  <c r="T218" i="10"/>
  <c r="R218" i="10"/>
  <c r="G218" i="10"/>
  <c r="F218" i="10"/>
  <c r="T217" i="10"/>
  <c r="R217" i="10"/>
  <c r="G217" i="10"/>
  <c r="F217" i="10"/>
  <c r="T216" i="10"/>
  <c r="R216" i="10"/>
  <c r="G216" i="10"/>
  <c r="F216" i="10"/>
  <c r="T215" i="10"/>
  <c r="R215" i="10"/>
  <c r="G215" i="10"/>
  <c r="F215" i="10"/>
  <c r="T214" i="10"/>
  <c r="R214" i="10"/>
  <c r="G214" i="10"/>
  <c r="F214" i="10"/>
  <c r="T213" i="10"/>
  <c r="R213" i="10"/>
  <c r="G213" i="10"/>
  <c r="F213" i="10"/>
  <c r="T212" i="10"/>
  <c r="R212" i="10"/>
  <c r="G212" i="10"/>
  <c r="F212" i="10"/>
  <c r="E109" i="13" s="1"/>
  <c r="T211" i="10"/>
  <c r="R211" i="10"/>
  <c r="G211" i="10"/>
  <c r="F211" i="10"/>
  <c r="T210" i="10"/>
  <c r="R210" i="10"/>
  <c r="G210" i="10"/>
  <c r="F210" i="10"/>
  <c r="T209" i="10"/>
  <c r="R209" i="10"/>
  <c r="G209" i="10"/>
  <c r="F209" i="10"/>
  <c r="L209" i="10" s="1"/>
  <c r="T208" i="10"/>
  <c r="R208" i="10"/>
  <c r="G208" i="10"/>
  <c r="F208" i="10"/>
  <c r="T207" i="10"/>
  <c r="R207" i="10"/>
  <c r="G207" i="10"/>
  <c r="F207" i="10"/>
  <c r="L207" i="10" s="1"/>
  <c r="T206" i="10"/>
  <c r="R206" i="10"/>
  <c r="G206" i="10"/>
  <c r="F206" i="10"/>
  <c r="L206" i="10" s="1"/>
  <c r="T205" i="10"/>
  <c r="R205" i="10"/>
  <c r="G205" i="10"/>
  <c r="F205" i="10"/>
  <c r="T204" i="10"/>
  <c r="R204" i="10"/>
  <c r="G204" i="10"/>
  <c r="F204" i="10"/>
  <c r="E107" i="13" s="1"/>
  <c r="T203" i="10"/>
  <c r="R203" i="10"/>
  <c r="G203" i="10"/>
  <c r="F203" i="10"/>
  <c r="L203" i="10" s="1"/>
  <c r="T202" i="10"/>
  <c r="R202" i="10"/>
  <c r="G202" i="10"/>
  <c r="F202" i="10"/>
  <c r="T201" i="10"/>
  <c r="R201" i="10"/>
  <c r="G201" i="10"/>
  <c r="F201" i="10"/>
  <c r="T200" i="10"/>
  <c r="R200" i="10"/>
  <c r="G200" i="10"/>
  <c r="F200" i="10"/>
  <c r="T199" i="10"/>
  <c r="R199" i="10"/>
  <c r="G199" i="10"/>
  <c r="F199" i="10"/>
  <c r="T198" i="10"/>
  <c r="R198" i="10"/>
  <c r="G198" i="10"/>
  <c r="F198" i="10"/>
  <c r="T197" i="10"/>
  <c r="R197" i="10"/>
  <c r="G197" i="10"/>
  <c r="F197" i="10"/>
  <c r="T196" i="10"/>
  <c r="R196" i="10"/>
  <c r="G196" i="10"/>
  <c r="F196" i="10"/>
  <c r="T195" i="10"/>
  <c r="R195" i="10"/>
  <c r="G195" i="10"/>
  <c r="F195" i="10"/>
  <c r="L195" i="10" s="1"/>
  <c r="T194" i="10"/>
  <c r="R194" i="10"/>
  <c r="G194" i="10"/>
  <c r="F194" i="10"/>
  <c r="L194" i="10" s="1"/>
  <c r="T193" i="10"/>
  <c r="R193" i="10"/>
  <c r="G193" i="10"/>
  <c r="F193" i="10"/>
  <c r="L193" i="10" s="1"/>
  <c r="T192" i="10"/>
  <c r="R192" i="10"/>
  <c r="G192" i="10"/>
  <c r="F192" i="10"/>
  <c r="E104" i="13" s="1"/>
  <c r="T191" i="10"/>
  <c r="R191" i="10"/>
  <c r="G191" i="10"/>
  <c r="F191" i="10"/>
  <c r="L191" i="10" s="1"/>
  <c r="T190" i="10"/>
  <c r="R190" i="10"/>
  <c r="G190" i="10"/>
  <c r="F190" i="10"/>
  <c r="T189" i="10"/>
  <c r="R189" i="10"/>
  <c r="G189" i="10"/>
  <c r="F189" i="10"/>
  <c r="T188" i="10"/>
  <c r="R188" i="10"/>
  <c r="G188" i="10"/>
  <c r="F188" i="10"/>
  <c r="T187" i="10"/>
  <c r="R187" i="10"/>
  <c r="G187" i="10"/>
  <c r="F187" i="10"/>
  <c r="T186" i="10"/>
  <c r="R186" i="10"/>
  <c r="G186" i="10"/>
  <c r="F186" i="10"/>
  <c r="T185" i="10"/>
  <c r="R185" i="10"/>
  <c r="G185" i="10"/>
  <c r="F185" i="10"/>
  <c r="T184" i="10"/>
  <c r="R184" i="10"/>
  <c r="G184" i="10"/>
  <c r="F184" i="10"/>
  <c r="T183" i="10"/>
  <c r="R183" i="10"/>
  <c r="G183" i="10"/>
  <c r="F183" i="10"/>
  <c r="T182" i="10"/>
  <c r="R182" i="10"/>
  <c r="G182" i="10"/>
  <c r="F182" i="10"/>
  <c r="T181" i="10"/>
  <c r="R181" i="10"/>
  <c r="G181" i="10"/>
  <c r="F181" i="10"/>
  <c r="T180" i="10"/>
  <c r="R180" i="10"/>
  <c r="G180" i="10"/>
  <c r="F180" i="10"/>
  <c r="T179" i="10"/>
  <c r="R179" i="10"/>
  <c r="G179" i="10"/>
  <c r="F179" i="10"/>
  <c r="L179" i="10" s="1"/>
  <c r="T178" i="10"/>
  <c r="R178" i="10"/>
  <c r="G178" i="10"/>
  <c r="F178" i="10"/>
  <c r="L178" i="10" s="1"/>
  <c r="T177" i="10"/>
  <c r="R177" i="10"/>
  <c r="G177" i="10"/>
  <c r="F177" i="10"/>
  <c r="L177" i="10" s="1"/>
  <c r="T176" i="10"/>
  <c r="R176" i="10"/>
  <c r="G176" i="10"/>
  <c r="F176" i="10"/>
  <c r="E100" i="13" s="1"/>
  <c r="T175" i="10"/>
  <c r="R175" i="10"/>
  <c r="G175" i="10"/>
  <c r="F175" i="10"/>
  <c r="L175" i="10" s="1"/>
  <c r="T174" i="10"/>
  <c r="R174" i="10"/>
  <c r="G174" i="10"/>
  <c r="F174" i="10"/>
  <c r="L174" i="10" s="1"/>
  <c r="T173" i="10"/>
  <c r="R173" i="10"/>
  <c r="G173" i="10"/>
  <c r="F173" i="10"/>
  <c r="T172" i="10"/>
  <c r="R172" i="10"/>
  <c r="G172" i="10"/>
  <c r="F172" i="10"/>
  <c r="E99" i="13" s="1"/>
  <c r="T171" i="10"/>
  <c r="R171" i="10"/>
  <c r="G171" i="10"/>
  <c r="F171" i="10"/>
  <c r="T170" i="10"/>
  <c r="R170" i="10"/>
  <c r="G170" i="10"/>
  <c r="F170" i="10"/>
  <c r="T169" i="10"/>
  <c r="R169" i="10"/>
  <c r="G169" i="10"/>
  <c r="F169" i="10"/>
  <c r="T168" i="10"/>
  <c r="R168" i="10"/>
  <c r="G168" i="10"/>
  <c r="F168" i="10"/>
  <c r="E98" i="13" s="1"/>
  <c r="T167" i="10"/>
  <c r="R167" i="10"/>
  <c r="G167" i="10"/>
  <c r="F167" i="10"/>
  <c r="T166" i="10"/>
  <c r="R166" i="10"/>
  <c r="G166" i="10"/>
  <c r="F166" i="10"/>
  <c r="U165" i="10"/>
  <c r="T165" i="10"/>
  <c r="R165" i="10"/>
  <c r="H165" i="10"/>
  <c r="G165" i="10"/>
  <c r="F165" i="10"/>
  <c r="T164" i="10"/>
  <c r="R164" i="10"/>
  <c r="G164" i="10"/>
  <c r="F164" i="10"/>
  <c r="T163" i="10"/>
  <c r="R163" i="10"/>
  <c r="G163" i="10"/>
  <c r="F163" i="10"/>
  <c r="T162" i="10"/>
  <c r="R162" i="10"/>
  <c r="G162" i="10"/>
  <c r="F162" i="10"/>
  <c r="L162" i="10" s="1"/>
  <c r="T161" i="10"/>
  <c r="R161" i="10"/>
  <c r="G161" i="10"/>
  <c r="F161" i="10"/>
  <c r="L161" i="10" s="1"/>
  <c r="T160" i="10"/>
  <c r="R160" i="10"/>
  <c r="G160" i="10"/>
  <c r="F160" i="10"/>
  <c r="E96" i="13" s="1"/>
  <c r="U159" i="10"/>
  <c r="T159" i="10"/>
  <c r="R159" i="10"/>
  <c r="H159" i="10"/>
  <c r="G159" i="10"/>
  <c r="F159" i="10"/>
  <c r="L159" i="10" s="1"/>
  <c r="T158" i="10"/>
  <c r="R158" i="10"/>
  <c r="G158" i="10"/>
  <c r="F158" i="10"/>
  <c r="L158" i="10" s="1"/>
  <c r="T157" i="10"/>
  <c r="R157" i="10"/>
  <c r="G157" i="10"/>
  <c r="F157" i="10"/>
  <c r="T156" i="10"/>
  <c r="R156" i="10"/>
  <c r="G156" i="10"/>
  <c r="F156" i="10"/>
  <c r="E95" i="13" s="1"/>
  <c r="T155" i="10"/>
  <c r="R155" i="10"/>
  <c r="G155" i="10"/>
  <c r="F155" i="10"/>
  <c r="L155" i="10" s="1"/>
  <c r="T154" i="10"/>
  <c r="R154" i="10"/>
  <c r="G154" i="10"/>
  <c r="F154" i="10"/>
  <c r="L154" i="10" s="1"/>
  <c r="T153" i="10"/>
  <c r="R153" i="10"/>
  <c r="G153" i="10"/>
  <c r="F153" i="10"/>
  <c r="T152" i="10"/>
  <c r="R152" i="10"/>
  <c r="G152" i="10"/>
  <c r="F152" i="10"/>
  <c r="T151" i="10"/>
  <c r="R151" i="10"/>
  <c r="G151" i="10"/>
  <c r="F151" i="10"/>
  <c r="T150" i="10"/>
  <c r="R150" i="10"/>
  <c r="G150" i="10"/>
  <c r="F150" i="10"/>
  <c r="T149" i="10"/>
  <c r="R149" i="10"/>
  <c r="G149" i="10"/>
  <c r="F149" i="10"/>
  <c r="T148" i="10"/>
  <c r="R148" i="10"/>
  <c r="G148" i="10"/>
  <c r="F148" i="10"/>
  <c r="T147" i="10"/>
  <c r="R147" i="10"/>
  <c r="G147" i="10"/>
  <c r="F147" i="10"/>
  <c r="T146" i="10"/>
  <c r="R146" i="10"/>
  <c r="G146" i="10"/>
  <c r="F146" i="10"/>
  <c r="T145" i="10"/>
  <c r="R145" i="10"/>
  <c r="G145" i="10"/>
  <c r="F145" i="10"/>
  <c r="L145" i="10" s="1"/>
  <c r="T144" i="10"/>
  <c r="R144" i="10"/>
  <c r="G144" i="10"/>
  <c r="F144" i="10"/>
  <c r="T143" i="10"/>
  <c r="R143" i="10"/>
  <c r="G143" i="10"/>
  <c r="F143" i="10"/>
  <c r="L143" i="10" s="1"/>
  <c r="T142" i="10"/>
  <c r="R142" i="10"/>
  <c r="G142" i="10"/>
  <c r="F142" i="10"/>
  <c r="T141" i="10"/>
  <c r="R141" i="10"/>
  <c r="G141" i="10"/>
  <c r="F141" i="10"/>
  <c r="T140" i="10"/>
  <c r="R140" i="10"/>
  <c r="G140" i="10"/>
  <c r="F140" i="10"/>
  <c r="T139" i="10"/>
  <c r="R139" i="10"/>
  <c r="G139" i="10"/>
  <c r="F139" i="10"/>
  <c r="L139" i="10" s="1"/>
  <c r="U138" i="10"/>
  <c r="Y138" i="10" s="1"/>
  <c r="Z138" i="10" s="1"/>
  <c r="T138" i="10"/>
  <c r="R138" i="10"/>
  <c r="G138" i="10"/>
  <c r="F138" i="10"/>
  <c r="T137" i="10"/>
  <c r="R137" i="10"/>
  <c r="G137" i="10"/>
  <c r="F137" i="10"/>
  <c r="L137" i="10" s="1"/>
  <c r="T136" i="10"/>
  <c r="R136" i="10"/>
  <c r="G136" i="10"/>
  <c r="F136" i="10"/>
  <c r="T135" i="10"/>
  <c r="R135" i="10"/>
  <c r="G135" i="10"/>
  <c r="F135" i="10"/>
  <c r="T134" i="10"/>
  <c r="R134" i="10"/>
  <c r="G134" i="10"/>
  <c r="F134" i="10"/>
  <c r="T133" i="10"/>
  <c r="R133" i="10"/>
  <c r="G133" i="10"/>
  <c r="F133" i="10"/>
  <c r="U132" i="10"/>
  <c r="Y133" i="10" s="1"/>
  <c r="T132" i="10"/>
  <c r="R132" i="10"/>
  <c r="G132" i="10"/>
  <c r="F132" i="10"/>
  <c r="U131" i="10"/>
  <c r="T131" i="10"/>
  <c r="R131" i="10"/>
  <c r="G131" i="10"/>
  <c r="F131" i="10"/>
  <c r="U130" i="10"/>
  <c r="T130" i="10"/>
  <c r="R130" i="10"/>
  <c r="G130" i="10"/>
  <c r="F130" i="10"/>
  <c r="E84" i="13" s="1"/>
  <c r="T129" i="10"/>
  <c r="R129" i="10"/>
  <c r="G129" i="10"/>
  <c r="F129" i="10"/>
  <c r="L129" i="10" s="1"/>
  <c r="U128" i="10"/>
  <c r="T128" i="10"/>
  <c r="R128" i="10"/>
  <c r="G128" i="10"/>
  <c r="F128" i="10"/>
  <c r="E83" i="13" s="1"/>
  <c r="U127" i="10"/>
  <c r="T127" i="10"/>
  <c r="R127" i="10"/>
  <c r="G127" i="10"/>
  <c r="F127" i="10"/>
  <c r="L127" i="10" s="1"/>
  <c r="U126" i="10"/>
  <c r="T126" i="10"/>
  <c r="R126" i="10"/>
  <c r="G126" i="10"/>
  <c r="F126" i="10"/>
  <c r="U125" i="10"/>
  <c r="T125" i="10"/>
  <c r="R125" i="10"/>
  <c r="G125" i="10"/>
  <c r="F125" i="10"/>
  <c r="U124" i="10"/>
  <c r="Y125" i="10" s="1"/>
  <c r="T124" i="10"/>
  <c r="R124" i="10"/>
  <c r="G124" i="10"/>
  <c r="F124" i="10"/>
  <c r="U123" i="10"/>
  <c r="T123" i="10"/>
  <c r="R123" i="10"/>
  <c r="G123" i="10"/>
  <c r="F123" i="10"/>
  <c r="L123" i="10" s="1"/>
  <c r="U122" i="10"/>
  <c r="Y123" i="10" s="1"/>
  <c r="T122" i="10"/>
  <c r="R122" i="10"/>
  <c r="G122" i="10"/>
  <c r="F122" i="10"/>
  <c r="T121" i="10"/>
  <c r="R121" i="10"/>
  <c r="G121" i="10"/>
  <c r="F121" i="10"/>
  <c r="L121" i="10" s="1"/>
  <c r="U120" i="10"/>
  <c r="T120" i="10"/>
  <c r="R120" i="10"/>
  <c r="G120" i="10"/>
  <c r="F120" i="10"/>
  <c r="U119" i="10"/>
  <c r="T119" i="10"/>
  <c r="R119" i="10"/>
  <c r="H119" i="10"/>
  <c r="G119" i="10"/>
  <c r="F119" i="10"/>
  <c r="T118" i="10"/>
  <c r="R118" i="10"/>
  <c r="G118" i="10"/>
  <c r="F118" i="10"/>
  <c r="T117" i="10"/>
  <c r="R117" i="10"/>
  <c r="G117" i="10"/>
  <c r="F117" i="10"/>
  <c r="L117" i="10" s="1"/>
  <c r="T116" i="10"/>
  <c r="R116" i="10"/>
  <c r="G116" i="10"/>
  <c r="F116" i="10"/>
  <c r="T115" i="10"/>
  <c r="R115" i="10"/>
  <c r="G115" i="10"/>
  <c r="F115" i="10"/>
  <c r="T114" i="10"/>
  <c r="R114" i="10"/>
  <c r="G114" i="10"/>
  <c r="F114" i="10"/>
  <c r="E76" i="13" s="1"/>
  <c r="T113" i="10"/>
  <c r="R113" i="10"/>
  <c r="G113" i="10"/>
  <c r="F113" i="10"/>
  <c r="L113" i="10" s="1"/>
  <c r="T112" i="10"/>
  <c r="R112" i="10"/>
  <c r="G112" i="10"/>
  <c r="F112" i="10"/>
  <c r="T111" i="10"/>
  <c r="R111" i="10"/>
  <c r="G111" i="10"/>
  <c r="F111" i="10"/>
  <c r="L111" i="10" s="1"/>
  <c r="T110" i="10"/>
  <c r="R110" i="10"/>
  <c r="G110" i="10"/>
  <c r="F110" i="10"/>
  <c r="T109" i="10"/>
  <c r="R109" i="10"/>
  <c r="G109" i="10"/>
  <c r="F109" i="10"/>
  <c r="T108" i="10"/>
  <c r="R108" i="10"/>
  <c r="G108" i="10"/>
  <c r="F108" i="10"/>
  <c r="T107" i="10"/>
  <c r="R107" i="10"/>
  <c r="G107" i="10"/>
  <c r="F107" i="10"/>
  <c r="L107" i="10" s="1"/>
  <c r="T106" i="10"/>
  <c r="R106" i="10"/>
  <c r="G106" i="10"/>
  <c r="F106" i="10"/>
  <c r="U105" i="10"/>
  <c r="T105" i="10"/>
  <c r="R105" i="10"/>
  <c r="G105" i="10"/>
  <c r="F105" i="10"/>
  <c r="U104" i="10"/>
  <c r="Y104" i="10" s="1"/>
  <c r="Z104" i="10" s="1"/>
  <c r="T104" i="10"/>
  <c r="R104" i="10"/>
  <c r="G104" i="10"/>
  <c r="F104" i="10"/>
  <c r="T103" i="10"/>
  <c r="R103" i="10"/>
  <c r="G103" i="10"/>
  <c r="F103" i="10"/>
  <c r="L103" i="10" s="1"/>
  <c r="T102" i="10"/>
  <c r="R102" i="10"/>
  <c r="G102" i="10"/>
  <c r="F102" i="10"/>
  <c r="T101" i="10"/>
  <c r="R101" i="10"/>
  <c r="G101" i="10"/>
  <c r="F101" i="10"/>
  <c r="L101" i="10" s="1"/>
  <c r="T100" i="10"/>
  <c r="R100" i="10"/>
  <c r="G100" i="10"/>
  <c r="F100" i="10"/>
  <c r="E69" i="13" s="1"/>
  <c r="T99" i="10"/>
  <c r="R99" i="10"/>
  <c r="G99" i="10"/>
  <c r="F99" i="10"/>
  <c r="T98" i="10"/>
  <c r="R98" i="10"/>
  <c r="G98" i="10"/>
  <c r="F98" i="10"/>
  <c r="E68" i="13" s="1"/>
  <c r="T97" i="10"/>
  <c r="R97" i="10"/>
  <c r="G97" i="10"/>
  <c r="F97" i="10"/>
  <c r="L97" i="10" s="1"/>
  <c r="T96" i="10"/>
  <c r="R96" i="10"/>
  <c r="G96" i="10"/>
  <c r="F96" i="10"/>
  <c r="U95" i="10"/>
  <c r="T95" i="10"/>
  <c r="R95" i="10"/>
  <c r="G95" i="10"/>
  <c r="F95" i="10"/>
  <c r="L95" i="10" s="1"/>
  <c r="T94" i="10"/>
  <c r="R94" i="10"/>
  <c r="G94" i="10"/>
  <c r="F94" i="10"/>
  <c r="T93" i="10"/>
  <c r="R93" i="10"/>
  <c r="G93" i="10"/>
  <c r="F93" i="10"/>
  <c r="L93" i="10" s="1"/>
  <c r="T92" i="10"/>
  <c r="R92" i="10"/>
  <c r="G92" i="10"/>
  <c r="F92" i="10"/>
  <c r="T91" i="10"/>
  <c r="R91" i="10"/>
  <c r="G91" i="10"/>
  <c r="F91" i="10"/>
  <c r="L91" i="10" s="1"/>
  <c r="U90" i="10"/>
  <c r="Y91" i="10" s="1"/>
  <c r="T90" i="10"/>
  <c r="R90" i="10"/>
  <c r="G90" i="10"/>
  <c r="F90" i="10"/>
  <c r="E64" i="13" s="1"/>
  <c r="T89" i="10"/>
  <c r="R89" i="10"/>
  <c r="G89" i="10"/>
  <c r="F89" i="10"/>
  <c r="L89" i="10" s="1"/>
  <c r="T88" i="10"/>
  <c r="R88" i="10"/>
  <c r="G88" i="10"/>
  <c r="F88" i="10"/>
  <c r="U87" i="10"/>
  <c r="T87" i="10"/>
  <c r="R87" i="10"/>
  <c r="G87" i="10"/>
  <c r="F87" i="10"/>
  <c r="U86" i="10"/>
  <c r="Y87" i="10" s="1"/>
  <c r="T86" i="10"/>
  <c r="R86" i="10"/>
  <c r="H86" i="10"/>
  <c r="P87" i="10" s="1"/>
  <c r="G86" i="10"/>
  <c r="F86" i="10"/>
  <c r="T85" i="10"/>
  <c r="R85" i="10"/>
  <c r="G85" i="10"/>
  <c r="F85" i="10"/>
  <c r="T84" i="10"/>
  <c r="R84" i="10"/>
  <c r="G84" i="10"/>
  <c r="F84" i="10"/>
  <c r="T83" i="10"/>
  <c r="R83" i="10"/>
  <c r="G83" i="10"/>
  <c r="F83" i="10"/>
  <c r="T82" i="10"/>
  <c r="R82" i="10"/>
  <c r="G82" i="10"/>
  <c r="F82" i="10"/>
  <c r="T81" i="10"/>
  <c r="R81" i="10"/>
  <c r="G81" i="10"/>
  <c r="F81" i="10"/>
  <c r="T80" i="10"/>
  <c r="R80" i="10"/>
  <c r="G80" i="10"/>
  <c r="F80" i="10"/>
  <c r="U79" i="10"/>
  <c r="T79" i="10"/>
  <c r="R79" i="10"/>
  <c r="G79" i="10"/>
  <c r="F79" i="10"/>
  <c r="U78" i="10"/>
  <c r="T78" i="10"/>
  <c r="R78" i="10"/>
  <c r="G78" i="10"/>
  <c r="F78" i="10"/>
  <c r="U77" i="10"/>
  <c r="T77" i="10"/>
  <c r="R77" i="10"/>
  <c r="G77" i="10"/>
  <c r="F77" i="10"/>
  <c r="T76" i="10"/>
  <c r="R76" i="10"/>
  <c r="G76" i="10"/>
  <c r="F76" i="10"/>
  <c r="L76" i="10" s="1"/>
  <c r="T75" i="10"/>
  <c r="R75" i="10"/>
  <c r="G75" i="10"/>
  <c r="F75" i="10"/>
  <c r="E57" i="13" s="1"/>
  <c r="U74" i="10"/>
  <c r="T74" i="10"/>
  <c r="R74" i="10"/>
  <c r="G74" i="10"/>
  <c r="F74" i="10"/>
  <c r="T73" i="10"/>
  <c r="R73" i="10"/>
  <c r="G73" i="10"/>
  <c r="F73" i="10"/>
  <c r="E56" i="13" s="1"/>
  <c r="U72" i="10"/>
  <c r="T72" i="10"/>
  <c r="R72" i="10"/>
  <c r="G72" i="10"/>
  <c r="F72" i="10"/>
  <c r="U71" i="10"/>
  <c r="T71" i="10"/>
  <c r="R71" i="10"/>
  <c r="G71" i="10"/>
  <c r="F71" i="10"/>
  <c r="T70" i="10"/>
  <c r="R70" i="10"/>
  <c r="G70" i="10"/>
  <c r="F70" i="10"/>
  <c r="T69" i="10"/>
  <c r="R69" i="10"/>
  <c r="G69" i="10"/>
  <c r="F69" i="10"/>
  <c r="E54" i="13" s="1"/>
  <c r="U68" i="10"/>
  <c r="T68" i="10"/>
  <c r="R68" i="10"/>
  <c r="G68" i="10"/>
  <c r="F68" i="10"/>
  <c r="U67" i="10"/>
  <c r="T67" i="10"/>
  <c r="R67" i="10"/>
  <c r="G67" i="10"/>
  <c r="F67" i="10"/>
  <c r="E53" i="13" s="1"/>
  <c r="T66" i="10"/>
  <c r="R66" i="10"/>
  <c r="G66" i="10"/>
  <c r="F66" i="10"/>
  <c r="L66" i="10" s="1"/>
  <c r="T65" i="10"/>
  <c r="R65" i="10"/>
  <c r="G65" i="10"/>
  <c r="F65" i="10"/>
  <c r="E52" i="13" s="1"/>
  <c r="T64" i="10"/>
  <c r="R64" i="10"/>
  <c r="G64" i="10"/>
  <c r="F64" i="10"/>
  <c r="T63" i="10"/>
  <c r="R63" i="10"/>
  <c r="G63" i="10"/>
  <c r="F63" i="10"/>
  <c r="E51" i="13" s="1"/>
  <c r="T62" i="10"/>
  <c r="R62" i="10"/>
  <c r="G62" i="10"/>
  <c r="F62" i="10"/>
  <c r="T61" i="10"/>
  <c r="R61" i="10"/>
  <c r="G61" i="10"/>
  <c r="F61" i="10"/>
  <c r="U60" i="10"/>
  <c r="T60" i="10"/>
  <c r="R60" i="10"/>
  <c r="G60" i="10"/>
  <c r="F60" i="10"/>
  <c r="T59" i="10"/>
  <c r="R59" i="10"/>
  <c r="G59" i="10"/>
  <c r="F59" i="10"/>
  <c r="E49" i="13" s="1"/>
  <c r="T58" i="10"/>
  <c r="R58" i="10"/>
  <c r="G58" i="10"/>
  <c r="F58" i="10"/>
  <c r="T57" i="10"/>
  <c r="R57" i="10"/>
  <c r="G57" i="10"/>
  <c r="F57" i="10"/>
  <c r="T56" i="10"/>
  <c r="R56" i="10"/>
  <c r="G56" i="10"/>
  <c r="F56" i="10"/>
  <c r="T55" i="10"/>
  <c r="R55" i="10"/>
  <c r="G55" i="10"/>
  <c r="F55" i="10"/>
  <c r="E47" i="13" s="1"/>
  <c r="T54" i="10"/>
  <c r="R54" i="10"/>
  <c r="G54" i="10"/>
  <c r="F54" i="10"/>
  <c r="L54" i="10" s="1"/>
  <c r="T53" i="10"/>
  <c r="R53" i="10"/>
  <c r="G53" i="10"/>
  <c r="F53" i="10"/>
  <c r="E46" i="13" s="1"/>
  <c r="T52" i="10"/>
  <c r="R52" i="10"/>
  <c r="G52" i="10"/>
  <c r="F52" i="10"/>
  <c r="L52" i="10" s="1"/>
  <c r="T51" i="10"/>
  <c r="R51" i="10"/>
  <c r="G51" i="10"/>
  <c r="F51" i="10"/>
  <c r="E45" i="13" s="1"/>
  <c r="U50" i="10"/>
  <c r="T50" i="10"/>
  <c r="R50" i="10"/>
  <c r="G50" i="10"/>
  <c r="F50" i="10"/>
  <c r="U49" i="10"/>
  <c r="Y49" i="10" s="1"/>
  <c r="Z49" i="10" s="1"/>
  <c r="T49" i="10"/>
  <c r="R49" i="10"/>
  <c r="G49" i="10"/>
  <c r="F49" i="10"/>
  <c r="E44" i="13" s="1"/>
  <c r="T48" i="10"/>
  <c r="R48" i="10"/>
  <c r="G48" i="10"/>
  <c r="F48" i="10"/>
  <c r="T47" i="10"/>
  <c r="R47" i="10"/>
  <c r="G47" i="10"/>
  <c r="F47" i="10"/>
  <c r="E43" i="13" s="1"/>
  <c r="U46" i="10"/>
  <c r="T46" i="10"/>
  <c r="R46" i="10"/>
  <c r="G46" i="10"/>
  <c r="F46" i="10"/>
  <c r="T45" i="10"/>
  <c r="R45" i="10"/>
  <c r="G45" i="10"/>
  <c r="F45" i="10"/>
  <c r="U44" i="10"/>
  <c r="T44" i="10"/>
  <c r="R44" i="10"/>
  <c r="G44" i="10"/>
  <c r="F44" i="10"/>
  <c r="U43" i="10"/>
  <c r="Y43" i="10" s="1"/>
  <c r="Z43" i="10" s="1"/>
  <c r="T43" i="10"/>
  <c r="R43" i="10"/>
  <c r="G43" i="10"/>
  <c r="F43" i="10"/>
  <c r="T42" i="10"/>
  <c r="R42" i="10"/>
  <c r="G42" i="10"/>
  <c r="F42" i="10"/>
  <c r="T41" i="10"/>
  <c r="R41" i="10"/>
  <c r="G41" i="10"/>
  <c r="F41" i="10"/>
  <c r="T40" i="10"/>
  <c r="R40" i="10"/>
  <c r="G40" i="10"/>
  <c r="F40" i="10"/>
  <c r="T39" i="10"/>
  <c r="R39" i="10"/>
  <c r="G39" i="10"/>
  <c r="F39" i="10"/>
  <c r="E39" i="13" s="1"/>
  <c r="T38" i="10"/>
  <c r="R38" i="10"/>
  <c r="G38" i="10"/>
  <c r="F38" i="10"/>
  <c r="L38" i="10" s="1"/>
  <c r="T37" i="10"/>
  <c r="R37" i="10"/>
  <c r="G37" i="10"/>
  <c r="F37" i="10"/>
  <c r="T36" i="10"/>
  <c r="R36" i="10"/>
  <c r="G36" i="10"/>
  <c r="F36" i="10"/>
  <c r="L36" i="10" s="1"/>
  <c r="T35" i="10"/>
  <c r="R35" i="10"/>
  <c r="G35" i="10"/>
  <c r="F35" i="10"/>
  <c r="T34" i="10"/>
  <c r="R34" i="10"/>
  <c r="G34" i="10"/>
  <c r="F34" i="10"/>
  <c r="T33" i="10"/>
  <c r="R33" i="10"/>
  <c r="G33" i="10"/>
  <c r="F33" i="10"/>
  <c r="E36" i="13" s="1"/>
  <c r="T32" i="10"/>
  <c r="R32" i="10"/>
  <c r="G32" i="10"/>
  <c r="F32" i="10"/>
  <c r="L32" i="10" s="1"/>
  <c r="T31" i="10"/>
  <c r="R31" i="10"/>
  <c r="G31" i="10"/>
  <c r="F31" i="10"/>
  <c r="E35" i="13" s="1"/>
  <c r="U30" i="10"/>
  <c r="T30" i="10"/>
  <c r="R30" i="10"/>
  <c r="H30" i="10"/>
  <c r="G30" i="10"/>
  <c r="F30" i="10"/>
  <c r="U29" i="10"/>
  <c r="Y29" i="10" s="1"/>
  <c r="Z29" i="10" s="1"/>
  <c r="T29" i="10"/>
  <c r="R29" i="10"/>
  <c r="G29" i="10"/>
  <c r="F29" i="10"/>
  <c r="T28" i="10"/>
  <c r="R28" i="10"/>
  <c r="G28" i="10"/>
  <c r="F28" i="10"/>
  <c r="T27" i="10"/>
  <c r="R27" i="10"/>
  <c r="G27" i="10"/>
  <c r="F27" i="10"/>
  <c r="T26" i="10"/>
  <c r="R26" i="10"/>
  <c r="G26" i="10"/>
  <c r="F26" i="10"/>
  <c r="T25" i="10"/>
  <c r="R25" i="10"/>
  <c r="G25" i="10"/>
  <c r="F25" i="10"/>
  <c r="E32" i="13" s="1"/>
  <c r="U24" i="10"/>
  <c r="Y24" i="10" s="1"/>
  <c r="Z24" i="10" s="1"/>
  <c r="T24" i="10"/>
  <c r="R24" i="10"/>
  <c r="G24" i="10"/>
  <c r="F24" i="10"/>
  <c r="U23" i="10"/>
  <c r="T23" i="10"/>
  <c r="R23" i="10"/>
  <c r="G23" i="10"/>
  <c r="F23" i="10"/>
  <c r="T22" i="10"/>
  <c r="R22" i="10"/>
  <c r="G22" i="10"/>
  <c r="F22" i="10"/>
  <c r="T21" i="10"/>
  <c r="R21" i="10"/>
  <c r="G21" i="10"/>
  <c r="F21" i="10"/>
  <c r="T20" i="10"/>
  <c r="R20" i="10"/>
  <c r="G20" i="10"/>
  <c r="F20" i="10"/>
  <c r="L20" i="10" s="1"/>
  <c r="T19" i="10"/>
  <c r="R19" i="10"/>
  <c r="G19" i="10"/>
  <c r="F19" i="10"/>
  <c r="T18" i="10"/>
  <c r="R18" i="10"/>
  <c r="G18" i="10"/>
  <c r="F18" i="10"/>
  <c r="L18" i="10" s="1"/>
  <c r="T17" i="10"/>
  <c r="R17" i="10"/>
  <c r="G17" i="10"/>
  <c r="F17" i="10"/>
  <c r="E28" i="13" s="1"/>
  <c r="U16" i="10"/>
  <c r="Y16" i="10" s="1"/>
  <c r="Z16" i="10" s="1"/>
  <c r="T16" i="10"/>
  <c r="R16" i="10"/>
  <c r="G16" i="10"/>
  <c r="F16" i="10"/>
  <c r="L16" i="10" s="1"/>
  <c r="U15" i="10"/>
  <c r="T15" i="10"/>
  <c r="R15" i="10"/>
  <c r="G15" i="10"/>
  <c r="F15" i="10"/>
  <c r="U14" i="10"/>
  <c r="T14" i="10"/>
  <c r="R14" i="10"/>
  <c r="H14" i="10"/>
  <c r="G14" i="10"/>
  <c r="F14" i="10"/>
  <c r="L14" i="10" s="1"/>
  <c r="U13" i="10"/>
  <c r="T13" i="10"/>
  <c r="R13" i="10"/>
  <c r="G13" i="10"/>
  <c r="F13" i="10"/>
  <c r="U12" i="10"/>
  <c r="T12" i="10"/>
  <c r="R12" i="10"/>
  <c r="H12" i="10"/>
  <c r="G12" i="10"/>
  <c r="F12" i="10"/>
  <c r="U11" i="10"/>
  <c r="T11" i="10"/>
  <c r="R11" i="10"/>
  <c r="H11" i="10"/>
  <c r="G11" i="10"/>
  <c r="F11" i="10"/>
  <c r="U10" i="10"/>
  <c r="T10" i="10"/>
  <c r="R10" i="10"/>
  <c r="G10" i="10"/>
  <c r="F10" i="10"/>
  <c r="U9" i="10"/>
  <c r="T9" i="10"/>
  <c r="R9" i="10"/>
  <c r="H9" i="10"/>
  <c r="G9" i="10"/>
  <c r="F9" i="10"/>
  <c r="U8" i="10"/>
  <c r="T8" i="10"/>
  <c r="R8" i="10"/>
  <c r="G8" i="10"/>
  <c r="F8" i="10"/>
  <c r="L8" i="10" s="1"/>
  <c r="U7" i="10"/>
  <c r="Y7" i="10" s="1"/>
  <c r="Z7" i="10" s="1"/>
  <c r="T7" i="10"/>
  <c r="R7" i="10"/>
  <c r="H7" i="10"/>
  <c r="P14" i="10" s="1"/>
  <c r="G7" i="10"/>
  <c r="F7" i="10"/>
  <c r="U6" i="10"/>
  <c r="T6" i="10"/>
  <c r="R6" i="10"/>
  <c r="H6" i="10"/>
  <c r="G6" i="10"/>
  <c r="F6" i="10"/>
  <c r="U5" i="10"/>
  <c r="T5" i="10"/>
  <c r="R5" i="10"/>
  <c r="H5" i="10"/>
  <c r="G5" i="10"/>
  <c r="F5" i="10"/>
  <c r="U4" i="10"/>
  <c r="Y6" i="10" s="1"/>
  <c r="T4" i="10"/>
  <c r="R4" i="10"/>
  <c r="H4" i="10"/>
  <c r="G4" i="10"/>
  <c r="F4" i="10"/>
  <c r="F22" i="8"/>
  <c r="O130" i="7"/>
  <c r="N130" i="7"/>
  <c r="M130" i="7"/>
  <c r="L130" i="7"/>
  <c r="K130" i="7"/>
  <c r="H130" i="7"/>
  <c r="E130" i="7"/>
  <c r="D130" i="7"/>
  <c r="C130" i="7"/>
  <c r="B130" i="7"/>
  <c r="O128" i="7"/>
  <c r="K128" i="7"/>
  <c r="J128" i="7"/>
  <c r="E128" i="7"/>
  <c r="D128" i="7"/>
  <c r="C128" i="7"/>
  <c r="O127" i="7"/>
  <c r="N127" i="7"/>
  <c r="M127" i="7"/>
  <c r="L127" i="7"/>
  <c r="K127" i="7"/>
  <c r="J127" i="7"/>
  <c r="H127" i="7"/>
  <c r="E127" i="7"/>
  <c r="D127" i="7"/>
  <c r="C127" i="7"/>
  <c r="B127" i="7"/>
  <c r="O126" i="7"/>
  <c r="N126" i="7"/>
  <c r="M126" i="7"/>
  <c r="L126" i="7"/>
  <c r="K126" i="7"/>
  <c r="H126" i="7"/>
  <c r="E126" i="7"/>
  <c r="D126" i="7"/>
  <c r="C126" i="7"/>
  <c r="B126" i="7"/>
  <c r="O125" i="7"/>
  <c r="N125" i="7"/>
  <c r="M125" i="7"/>
  <c r="K125" i="7"/>
  <c r="H125" i="7"/>
  <c r="F125" i="7"/>
  <c r="E125" i="7"/>
  <c r="C125" i="7"/>
  <c r="O124" i="7"/>
  <c r="M124" i="7"/>
  <c r="K124" i="7"/>
  <c r="J124" i="7"/>
  <c r="E124" i="7"/>
  <c r="C124" i="7"/>
  <c r="O123" i="7"/>
  <c r="O122" i="7"/>
  <c r="N122" i="7"/>
  <c r="M122" i="7"/>
  <c r="L122" i="7"/>
  <c r="K122" i="7"/>
  <c r="J122" i="7"/>
  <c r="E122" i="7"/>
  <c r="C122" i="7"/>
  <c r="O121" i="7"/>
  <c r="N121" i="7"/>
  <c r="M121" i="7"/>
  <c r="L121" i="7"/>
  <c r="K121" i="7"/>
  <c r="J121" i="7"/>
  <c r="H121" i="7"/>
  <c r="G121" i="7"/>
  <c r="F121" i="7"/>
  <c r="E121" i="7"/>
  <c r="C121" i="7"/>
  <c r="O120" i="7"/>
  <c r="N120" i="7"/>
  <c r="M120" i="7"/>
  <c r="L120" i="7"/>
  <c r="K120" i="7"/>
  <c r="J120" i="7"/>
  <c r="I120" i="7"/>
  <c r="H120" i="7"/>
  <c r="G120" i="7"/>
  <c r="F120" i="7"/>
  <c r="E120" i="7"/>
  <c r="D120" i="7"/>
  <c r="C120" i="7"/>
  <c r="B120" i="7"/>
  <c r="O119" i="7"/>
  <c r="N119" i="7"/>
  <c r="M119" i="7"/>
  <c r="K119" i="7"/>
  <c r="J119" i="7"/>
  <c r="E119" i="7"/>
  <c r="C119" i="7"/>
  <c r="O118" i="7"/>
  <c r="N118" i="7"/>
  <c r="M118" i="7"/>
  <c r="K118" i="7"/>
  <c r="J118" i="7"/>
  <c r="H118" i="7"/>
  <c r="E118" i="7"/>
  <c r="D118" i="7"/>
  <c r="C118" i="7"/>
  <c r="O117" i="7"/>
  <c r="N117" i="7"/>
  <c r="M117" i="7"/>
  <c r="D117" i="7"/>
  <c r="O116" i="7"/>
  <c r="N116" i="7"/>
  <c r="M116" i="7"/>
  <c r="L116" i="7"/>
  <c r="K116" i="7"/>
  <c r="J116" i="7"/>
  <c r="I116" i="7"/>
  <c r="H116" i="7"/>
  <c r="G116" i="7"/>
  <c r="F116" i="7"/>
  <c r="E116" i="7"/>
  <c r="D116" i="7"/>
  <c r="C116" i="7"/>
  <c r="B116" i="7"/>
  <c r="O115" i="7"/>
  <c r="N115" i="7"/>
  <c r="M115" i="7"/>
  <c r="K115" i="7"/>
  <c r="J115" i="7"/>
  <c r="I115" i="7"/>
  <c r="F115" i="7"/>
  <c r="E115" i="7"/>
  <c r="D115" i="7"/>
  <c r="C115" i="7"/>
  <c r="B115" i="7"/>
  <c r="O114" i="7"/>
  <c r="N114" i="7"/>
  <c r="M114" i="7"/>
  <c r="K114" i="7"/>
  <c r="J114" i="7"/>
  <c r="H114" i="7"/>
  <c r="D114" i="7"/>
  <c r="C114" i="7"/>
  <c r="O113" i="7"/>
  <c r="N113" i="7"/>
  <c r="M113" i="7"/>
  <c r="L113" i="7"/>
  <c r="K113" i="7"/>
  <c r="J113" i="7"/>
  <c r="I113" i="7"/>
  <c r="H113" i="7"/>
  <c r="G113" i="7"/>
  <c r="F113" i="7"/>
  <c r="E113" i="7"/>
  <c r="D113" i="7"/>
  <c r="C113" i="7"/>
  <c r="B113" i="7"/>
  <c r="O112" i="7"/>
  <c r="N112" i="7"/>
  <c r="M112" i="7"/>
  <c r="L112" i="7"/>
  <c r="K112" i="7"/>
  <c r="J112" i="7"/>
  <c r="I112" i="7"/>
  <c r="H112" i="7"/>
  <c r="G112" i="7"/>
  <c r="F112" i="7"/>
  <c r="E112" i="7"/>
  <c r="D112" i="7"/>
  <c r="C112" i="7"/>
  <c r="B112" i="7"/>
  <c r="O111" i="7"/>
  <c r="N111" i="7"/>
  <c r="M111" i="7"/>
  <c r="K111" i="7"/>
  <c r="J111" i="7"/>
  <c r="C111" i="7"/>
  <c r="O110" i="7"/>
  <c r="D110" i="7"/>
  <c r="O109" i="7"/>
  <c r="N109" i="7"/>
  <c r="M109" i="7"/>
  <c r="K109" i="7"/>
  <c r="J109" i="7"/>
  <c r="H109" i="7"/>
  <c r="F109" i="7"/>
  <c r="E109" i="7"/>
  <c r="C109" i="7"/>
  <c r="O108" i="7"/>
  <c r="N108" i="7"/>
  <c r="M108" i="7"/>
  <c r="K108" i="7"/>
  <c r="J108" i="7"/>
  <c r="E108" i="7"/>
  <c r="C108" i="7"/>
  <c r="O107" i="7"/>
  <c r="K107" i="7"/>
  <c r="F107" i="7"/>
  <c r="D107" i="7"/>
  <c r="C107" i="7"/>
  <c r="O106" i="7"/>
  <c r="N106" i="7"/>
  <c r="M106" i="7"/>
  <c r="L106" i="7"/>
  <c r="K106" i="7"/>
  <c r="J106" i="7"/>
  <c r="F106" i="7"/>
  <c r="E106" i="7"/>
  <c r="C106" i="7"/>
  <c r="B106" i="7"/>
  <c r="D102" i="7"/>
  <c r="C102" i="7"/>
  <c r="B102" i="7"/>
  <c r="D101" i="7"/>
  <c r="C101" i="7"/>
  <c r="B101" i="7"/>
  <c r="D100" i="7"/>
  <c r="C100" i="7"/>
  <c r="B100" i="7"/>
  <c r="G100" i="7" s="1"/>
  <c r="S100" i="7" s="1"/>
  <c r="D99" i="7"/>
  <c r="C99" i="7"/>
  <c r="B99" i="7"/>
  <c r="D98" i="7"/>
  <c r="C98" i="7"/>
  <c r="B98" i="7"/>
  <c r="D97" i="7"/>
  <c r="C97" i="7"/>
  <c r="B97" i="7"/>
  <c r="D96" i="7"/>
  <c r="C96" i="7"/>
  <c r="B96" i="7"/>
  <c r="D95" i="7"/>
  <c r="C95" i="7"/>
  <c r="B95" i="7"/>
  <c r="D94" i="7"/>
  <c r="C94" i="7"/>
  <c r="B94" i="7"/>
  <c r="D93" i="7"/>
  <c r="C93" i="7"/>
  <c r="B93" i="7"/>
  <c r="D92" i="7"/>
  <c r="C92" i="7"/>
  <c r="B92" i="7"/>
  <c r="D91" i="7"/>
  <c r="C91" i="7"/>
  <c r="B91" i="7"/>
  <c r="D90" i="7"/>
  <c r="C90" i="7"/>
  <c r="B90" i="7"/>
  <c r="D89" i="7"/>
  <c r="C89" i="7"/>
  <c r="B89" i="7"/>
  <c r="O59" i="7"/>
  <c r="N59" i="7"/>
  <c r="M59" i="7"/>
  <c r="L59" i="7"/>
  <c r="K59" i="7"/>
  <c r="J59" i="7"/>
  <c r="I59" i="7"/>
  <c r="H59" i="7"/>
  <c r="G59" i="7"/>
  <c r="F59" i="7"/>
  <c r="E59" i="7"/>
  <c r="D59" i="7"/>
  <c r="C59" i="7"/>
  <c r="B59" i="7"/>
  <c r="O57" i="7"/>
  <c r="N57" i="7"/>
  <c r="M57" i="7"/>
  <c r="L57" i="7"/>
  <c r="K57" i="7"/>
  <c r="J57" i="7"/>
  <c r="I57" i="7"/>
  <c r="H57" i="7"/>
  <c r="G57" i="7"/>
  <c r="F57" i="7"/>
  <c r="E57" i="7"/>
  <c r="D57" i="7"/>
  <c r="C57" i="7"/>
  <c r="B57" i="7"/>
  <c r="O56" i="7"/>
  <c r="N56" i="7"/>
  <c r="M56" i="7"/>
  <c r="L56" i="7"/>
  <c r="K56" i="7"/>
  <c r="J56" i="7"/>
  <c r="I56" i="7"/>
  <c r="H56" i="7"/>
  <c r="G56" i="7"/>
  <c r="F56" i="7"/>
  <c r="E56" i="7"/>
  <c r="D56" i="7"/>
  <c r="C56" i="7"/>
  <c r="B56" i="7"/>
  <c r="O55" i="7"/>
  <c r="N55" i="7"/>
  <c r="M55" i="7"/>
  <c r="L55" i="7"/>
  <c r="K55" i="7"/>
  <c r="J55" i="7"/>
  <c r="I55" i="7"/>
  <c r="H55" i="7"/>
  <c r="G55" i="7"/>
  <c r="F55" i="7"/>
  <c r="E55" i="7"/>
  <c r="D55" i="7"/>
  <c r="C55" i="7"/>
  <c r="B55" i="7"/>
  <c r="O54" i="7"/>
  <c r="N54" i="7"/>
  <c r="M54" i="7"/>
  <c r="L54" i="7"/>
  <c r="K54" i="7"/>
  <c r="J54" i="7"/>
  <c r="I54" i="7"/>
  <c r="H54" i="7"/>
  <c r="G54" i="7"/>
  <c r="F54" i="7"/>
  <c r="E54" i="7"/>
  <c r="D54" i="7"/>
  <c r="C54" i="7"/>
  <c r="B54" i="7"/>
  <c r="O53" i="7"/>
  <c r="N53" i="7"/>
  <c r="M53" i="7"/>
  <c r="L53" i="7"/>
  <c r="K53" i="7"/>
  <c r="J53" i="7"/>
  <c r="I53" i="7"/>
  <c r="H53" i="7"/>
  <c r="G53" i="7"/>
  <c r="F53" i="7"/>
  <c r="E53" i="7"/>
  <c r="D53" i="7"/>
  <c r="C53" i="7"/>
  <c r="B53" i="7"/>
  <c r="O52" i="7"/>
  <c r="N52" i="7"/>
  <c r="M52" i="7"/>
  <c r="L52" i="7"/>
  <c r="K52" i="7"/>
  <c r="J52" i="7"/>
  <c r="I52" i="7"/>
  <c r="H52" i="7"/>
  <c r="G52" i="7"/>
  <c r="F52" i="7"/>
  <c r="E52" i="7"/>
  <c r="D52" i="7"/>
  <c r="C52" i="7"/>
  <c r="B52" i="7"/>
  <c r="O51" i="7"/>
  <c r="N51" i="7"/>
  <c r="M51" i="7"/>
  <c r="L51" i="7"/>
  <c r="K51" i="7"/>
  <c r="J51" i="7"/>
  <c r="I51" i="7"/>
  <c r="H51" i="7"/>
  <c r="G51" i="7"/>
  <c r="F51" i="7"/>
  <c r="E51" i="7"/>
  <c r="D51" i="7"/>
  <c r="C51" i="7"/>
  <c r="B51" i="7"/>
  <c r="O50" i="7"/>
  <c r="N50" i="7"/>
  <c r="M50" i="7"/>
  <c r="L50" i="7"/>
  <c r="K50" i="7"/>
  <c r="J50" i="7"/>
  <c r="I50" i="7"/>
  <c r="H50" i="7"/>
  <c r="G50" i="7"/>
  <c r="F50" i="7"/>
  <c r="E50" i="7"/>
  <c r="D50" i="7"/>
  <c r="C50" i="7"/>
  <c r="B50" i="7"/>
  <c r="O49" i="7"/>
  <c r="N49" i="7"/>
  <c r="M49" i="7"/>
  <c r="L49" i="7"/>
  <c r="K49" i="7"/>
  <c r="J49" i="7"/>
  <c r="I49" i="7"/>
  <c r="H49" i="7"/>
  <c r="G49" i="7"/>
  <c r="F49" i="7"/>
  <c r="E49" i="7"/>
  <c r="D49" i="7"/>
  <c r="C49" i="7"/>
  <c r="B49" i="7"/>
  <c r="O48" i="7"/>
  <c r="N48" i="7"/>
  <c r="M48" i="7"/>
  <c r="L48" i="7"/>
  <c r="K48" i="7"/>
  <c r="J48" i="7"/>
  <c r="I48" i="7"/>
  <c r="H48" i="7"/>
  <c r="G48" i="7"/>
  <c r="F48" i="7"/>
  <c r="E48" i="7"/>
  <c r="D48" i="7"/>
  <c r="C48" i="7"/>
  <c r="B48" i="7"/>
  <c r="O47" i="7"/>
  <c r="N47" i="7"/>
  <c r="M47" i="7"/>
  <c r="L47" i="7"/>
  <c r="K47" i="7"/>
  <c r="J47" i="7"/>
  <c r="I47" i="7"/>
  <c r="H47" i="7"/>
  <c r="G47" i="7"/>
  <c r="F47" i="7"/>
  <c r="E47" i="7"/>
  <c r="D47" i="7"/>
  <c r="C47" i="7"/>
  <c r="B47" i="7"/>
  <c r="O46" i="7"/>
  <c r="N46" i="7"/>
  <c r="M46" i="7"/>
  <c r="L46" i="7"/>
  <c r="K46" i="7"/>
  <c r="J46" i="7"/>
  <c r="I46" i="7"/>
  <c r="H46" i="7"/>
  <c r="G46" i="7"/>
  <c r="F46" i="7"/>
  <c r="E46" i="7"/>
  <c r="D46" i="7"/>
  <c r="C46" i="7"/>
  <c r="B46" i="7"/>
  <c r="O45" i="7"/>
  <c r="N45" i="7"/>
  <c r="M45" i="7"/>
  <c r="L45" i="7"/>
  <c r="K45" i="7"/>
  <c r="J45" i="7"/>
  <c r="I45" i="7"/>
  <c r="H45" i="7"/>
  <c r="G45" i="7"/>
  <c r="F45" i="7"/>
  <c r="E45" i="7"/>
  <c r="D45" i="7"/>
  <c r="C45" i="7"/>
  <c r="B45" i="7"/>
  <c r="O44" i="7"/>
  <c r="N44" i="7"/>
  <c r="M44" i="7"/>
  <c r="L44" i="7"/>
  <c r="K44" i="7"/>
  <c r="J44" i="7"/>
  <c r="I44" i="7"/>
  <c r="H44" i="7"/>
  <c r="G44" i="7"/>
  <c r="F44" i="7"/>
  <c r="E44" i="7"/>
  <c r="D44" i="7"/>
  <c r="C44" i="7"/>
  <c r="B44" i="7"/>
  <c r="O43" i="7"/>
  <c r="N43" i="7"/>
  <c r="M43" i="7"/>
  <c r="L43" i="7"/>
  <c r="K43" i="7"/>
  <c r="J43" i="7"/>
  <c r="I43" i="7"/>
  <c r="H43" i="7"/>
  <c r="G43" i="7"/>
  <c r="F43" i="7"/>
  <c r="E43" i="7"/>
  <c r="D43" i="7"/>
  <c r="C43" i="7"/>
  <c r="B43" i="7"/>
  <c r="O42" i="7"/>
  <c r="N42" i="7"/>
  <c r="M42" i="7"/>
  <c r="L42" i="7"/>
  <c r="K42" i="7"/>
  <c r="J42" i="7"/>
  <c r="I42" i="7"/>
  <c r="H42" i="7"/>
  <c r="G42" i="7"/>
  <c r="F42" i="7"/>
  <c r="E42" i="7"/>
  <c r="D42" i="7"/>
  <c r="C42" i="7"/>
  <c r="B42" i="7"/>
  <c r="O41" i="7"/>
  <c r="N41" i="7"/>
  <c r="M41" i="7"/>
  <c r="L41" i="7"/>
  <c r="K41" i="7"/>
  <c r="J41" i="7"/>
  <c r="I41" i="7"/>
  <c r="H41" i="7"/>
  <c r="G41" i="7"/>
  <c r="F41" i="7"/>
  <c r="E41" i="7"/>
  <c r="D41" i="7"/>
  <c r="C41" i="7"/>
  <c r="B41" i="7"/>
  <c r="O40" i="7"/>
  <c r="N40" i="7"/>
  <c r="M40" i="7"/>
  <c r="L40" i="7"/>
  <c r="K40" i="7"/>
  <c r="J40" i="7"/>
  <c r="I40" i="7"/>
  <c r="H40" i="7"/>
  <c r="G40" i="7"/>
  <c r="F40" i="7"/>
  <c r="E40" i="7"/>
  <c r="D40" i="7"/>
  <c r="C40" i="7"/>
  <c r="B40" i="7"/>
  <c r="O39" i="7"/>
  <c r="N39" i="7"/>
  <c r="M39" i="7"/>
  <c r="L39" i="7"/>
  <c r="K39" i="7"/>
  <c r="J39" i="7"/>
  <c r="I39" i="7"/>
  <c r="H39" i="7"/>
  <c r="G39" i="7"/>
  <c r="F39" i="7"/>
  <c r="E39" i="7"/>
  <c r="D39" i="7"/>
  <c r="C39" i="7"/>
  <c r="B39" i="7"/>
  <c r="O38" i="7"/>
  <c r="N38" i="7"/>
  <c r="M38" i="7"/>
  <c r="L38" i="7"/>
  <c r="K38" i="7"/>
  <c r="J38" i="7"/>
  <c r="I38" i="7"/>
  <c r="H38" i="7"/>
  <c r="G38" i="7"/>
  <c r="F38" i="7"/>
  <c r="E38" i="7"/>
  <c r="D38" i="7"/>
  <c r="C38" i="7"/>
  <c r="B38" i="7"/>
  <c r="O37" i="7"/>
  <c r="N37" i="7"/>
  <c r="M37" i="7"/>
  <c r="L37" i="7"/>
  <c r="K37" i="7"/>
  <c r="J37" i="7"/>
  <c r="I37" i="7"/>
  <c r="H37" i="7"/>
  <c r="G37" i="7"/>
  <c r="F37" i="7"/>
  <c r="E37" i="7"/>
  <c r="D37" i="7"/>
  <c r="C37" i="7"/>
  <c r="B37" i="7"/>
  <c r="O36" i="7"/>
  <c r="N36" i="7"/>
  <c r="M36" i="7"/>
  <c r="L36" i="7"/>
  <c r="K36" i="7"/>
  <c r="J36" i="7"/>
  <c r="I36" i="7"/>
  <c r="H36" i="7"/>
  <c r="G36" i="7"/>
  <c r="F36" i="7"/>
  <c r="E36" i="7"/>
  <c r="D36" i="7"/>
  <c r="C36" i="7"/>
  <c r="B36" i="7"/>
  <c r="O35" i="7"/>
  <c r="N35" i="7"/>
  <c r="M35" i="7"/>
  <c r="L35" i="7"/>
  <c r="K35" i="7"/>
  <c r="J35" i="7"/>
  <c r="I35" i="7"/>
  <c r="H35" i="7"/>
  <c r="G35" i="7"/>
  <c r="F35" i="7"/>
  <c r="E35" i="7"/>
  <c r="D35" i="7"/>
  <c r="C35" i="7"/>
  <c r="B35" i="7"/>
  <c r="O32" i="7"/>
  <c r="O86" i="7" s="1"/>
  <c r="Z71" i="9" s="1"/>
  <c r="N32" i="7"/>
  <c r="N86" i="7" s="1"/>
  <c r="Z70" i="9" s="1"/>
  <c r="M32" i="7"/>
  <c r="M86" i="7" s="1"/>
  <c r="Z69" i="9" s="1"/>
  <c r="L32" i="7"/>
  <c r="L86" i="7" s="1"/>
  <c r="Z68" i="9" s="1"/>
  <c r="K32" i="7"/>
  <c r="K86" i="7" s="1"/>
  <c r="Z67" i="9" s="1"/>
  <c r="J32" i="7"/>
  <c r="I32" i="7"/>
  <c r="H32" i="7"/>
  <c r="H86" i="7" s="1"/>
  <c r="Z64" i="9" s="1"/>
  <c r="G32" i="7"/>
  <c r="F32" i="7"/>
  <c r="F86" i="7" s="1"/>
  <c r="Z62" i="9" s="1"/>
  <c r="E32" i="7"/>
  <c r="E86" i="7" s="1"/>
  <c r="Z61" i="9" s="1"/>
  <c r="D32" i="7"/>
  <c r="D86" i="7" s="1"/>
  <c r="Z60" i="9" s="1"/>
  <c r="C32" i="7"/>
  <c r="C86" i="7" s="1"/>
  <c r="Z59" i="9" s="1"/>
  <c r="B32" i="7"/>
  <c r="B86" i="7" s="1"/>
  <c r="Z58" i="9" s="1"/>
  <c r="O30" i="7"/>
  <c r="O84" i="7" s="1"/>
  <c r="X71" i="9" s="1"/>
  <c r="N30" i="7"/>
  <c r="M30" i="7"/>
  <c r="M84" i="7" s="1"/>
  <c r="X69" i="9" s="1"/>
  <c r="L30" i="7"/>
  <c r="L84" i="7" s="1"/>
  <c r="X68" i="9" s="1"/>
  <c r="K30" i="7"/>
  <c r="K84" i="7" s="1"/>
  <c r="X67" i="9" s="1"/>
  <c r="J30" i="7"/>
  <c r="J84" i="7" s="1"/>
  <c r="X66" i="9" s="1"/>
  <c r="I30" i="7"/>
  <c r="H30" i="7"/>
  <c r="G30" i="7"/>
  <c r="G84" i="7" s="1"/>
  <c r="X63" i="9" s="1"/>
  <c r="F30" i="7"/>
  <c r="F84" i="7" s="1"/>
  <c r="X62" i="9" s="1"/>
  <c r="E30" i="7"/>
  <c r="E84" i="7" s="1"/>
  <c r="X61" i="9" s="1"/>
  <c r="D30" i="7"/>
  <c r="D84" i="7" s="1"/>
  <c r="X60" i="9" s="1"/>
  <c r="C30" i="7"/>
  <c r="C84" i="7" s="1"/>
  <c r="X59" i="9" s="1"/>
  <c r="B30" i="7"/>
  <c r="B84" i="7" s="1"/>
  <c r="X58" i="9" s="1"/>
  <c r="O29" i="7"/>
  <c r="O83" i="7" s="1"/>
  <c r="W71" i="9" s="1"/>
  <c r="N29" i="7"/>
  <c r="N83" i="7" s="1"/>
  <c r="W70" i="9" s="1"/>
  <c r="M29" i="7"/>
  <c r="M83" i="7" s="1"/>
  <c r="W69" i="9" s="1"/>
  <c r="L29" i="7"/>
  <c r="L83" i="7" s="1"/>
  <c r="W68" i="9" s="1"/>
  <c r="K29" i="7"/>
  <c r="K83" i="7" s="1"/>
  <c r="W67" i="9" s="1"/>
  <c r="J29" i="7"/>
  <c r="J83" i="7" s="1"/>
  <c r="W66" i="9" s="1"/>
  <c r="I29" i="7"/>
  <c r="H29" i="7"/>
  <c r="H83" i="7" s="1"/>
  <c r="W64" i="9" s="1"/>
  <c r="G29" i="7"/>
  <c r="F29" i="7"/>
  <c r="E29" i="7"/>
  <c r="E83" i="7" s="1"/>
  <c r="W61" i="9" s="1"/>
  <c r="D29" i="7"/>
  <c r="D83" i="7" s="1"/>
  <c r="W60" i="9" s="1"/>
  <c r="C29" i="7"/>
  <c r="C83" i="7" s="1"/>
  <c r="W59" i="9" s="1"/>
  <c r="B29" i="7"/>
  <c r="B83" i="7" s="1"/>
  <c r="W58" i="9" s="1"/>
  <c r="O28" i="7"/>
  <c r="O82" i="7" s="1"/>
  <c r="V71" i="9" s="1"/>
  <c r="N28" i="7"/>
  <c r="N82" i="7" s="1"/>
  <c r="V70" i="9" s="1"/>
  <c r="M28" i="7"/>
  <c r="M82" i="7" s="1"/>
  <c r="V69" i="9" s="1"/>
  <c r="L28" i="7"/>
  <c r="L82" i="7" s="1"/>
  <c r="V68" i="9" s="1"/>
  <c r="K28" i="7"/>
  <c r="K82" i="7" s="1"/>
  <c r="V67" i="9" s="1"/>
  <c r="J28" i="7"/>
  <c r="I28" i="7"/>
  <c r="H28" i="7"/>
  <c r="H82" i="7" s="1"/>
  <c r="V64" i="9" s="1"/>
  <c r="G28" i="7"/>
  <c r="F28" i="7"/>
  <c r="E28" i="7"/>
  <c r="E82" i="7" s="1"/>
  <c r="V61" i="9" s="1"/>
  <c r="D28" i="7"/>
  <c r="D82" i="7" s="1"/>
  <c r="V60" i="9" s="1"/>
  <c r="C28" i="7"/>
  <c r="C82" i="7" s="1"/>
  <c r="V59" i="9" s="1"/>
  <c r="B28" i="7"/>
  <c r="B82" i="7" s="1"/>
  <c r="V58" i="9" s="1"/>
  <c r="O27" i="7"/>
  <c r="O81" i="7" s="1"/>
  <c r="U71" i="9" s="1"/>
  <c r="N27" i="7"/>
  <c r="N81" i="7" s="1"/>
  <c r="U70" i="9" s="1"/>
  <c r="M27" i="7"/>
  <c r="M81" i="7" s="1"/>
  <c r="U69" i="9" s="1"/>
  <c r="L27" i="7"/>
  <c r="L81" i="7" s="1"/>
  <c r="U68" i="9" s="1"/>
  <c r="K27" i="7"/>
  <c r="K81" i="7" s="1"/>
  <c r="U67" i="9" s="1"/>
  <c r="J27" i="7"/>
  <c r="J81" i="7" s="1"/>
  <c r="U66" i="9" s="1"/>
  <c r="I27" i="7"/>
  <c r="I81" i="7" s="1"/>
  <c r="U65" i="9" s="1"/>
  <c r="H27" i="7"/>
  <c r="H81" i="7" s="1"/>
  <c r="U64" i="9" s="1"/>
  <c r="G27" i="7"/>
  <c r="G81" i="7" s="1"/>
  <c r="U63" i="9" s="1"/>
  <c r="F27" i="7"/>
  <c r="F81" i="7" s="1"/>
  <c r="U62" i="9" s="1"/>
  <c r="E27" i="7"/>
  <c r="E81" i="7" s="1"/>
  <c r="U61" i="9" s="1"/>
  <c r="D27" i="7"/>
  <c r="C27" i="7"/>
  <c r="C81" i="7" s="1"/>
  <c r="U59" i="9" s="1"/>
  <c r="B27" i="7"/>
  <c r="B81" i="7" s="1"/>
  <c r="U58" i="9" s="1"/>
  <c r="O26" i="7"/>
  <c r="O80" i="7" s="1"/>
  <c r="T71" i="9" s="1"/>
  <c r="N26" i="7"/>
  <c r="M26" i="7"/>
  <c r="M80" i="7" s="1"/>
  <c r="T69" i="9" s="1"/>
  <c r="L26" i="7"/>
  <c r="L80" i="7" s="1"/>
  <c r="T68" i="9" s="1"/>
  <c r="K26" i="7"/>
  <c r="K80" i="7" s="1"/>
  <c r="T67" i="9" s="1"/>
  <c r="J26" i="7"/>
  <c r="J80" i="7" s="1"/>
  <c r="T66" i="9" s="1"/>
  <c r="I26" i="7"/>
  <c r="H26" i="7"/>
  <c r="H80" i="7" s="1"/>
  <c r="T64" i="9" s="1"/>
  <c r="G26" i="7"/>
  <c r="F26" i="7"/>
  <c r="E26" i="7"/>
  <c r="E80" i="7" s="1"/>
  <c r="T61" i="9" s="1"/>
  <c r="D26" i="7"/>
  <c r="C26" i="7"/>
  <c r="C80" i="7" s="1"/>
  <c r="T59" i="9" s="1"/>
  <c r="B26" i="7"/>
  <c r="O25" i="7"/>
  <c r="O79" i="7" s="1"/>
  <c r="S71" i="9" s="1"/>
  <c r="N25" i="7"/>
  <c r="M25" i="7"/>
  <c r="L25" i="7"/>
  <c r="K25" i="7"/>
  <c r="J25" i="7"/>
  <c r="J79" i="7" s="1"/>
  <c r="S66" i="9" s="1"/>
  <c r="I25" i="7"/>
  <c r="H25" i="7"/>
  <c r="G25" i="7"/>
  <c r="F25" i="7"/>
  <c r="E25" i="7"/>
  <c r="D25" i="7"/>
  <c r="C25" i="7"/>
  <c r="B25" i="7"/>
  <c r="O24" i="7"/>
  <c r="O78" i="7" s="1"/>
  <c r="R71" i="9" s="1"/>
  <c r="N24" i="7"/>
  <c r="N78" i="7" s="1"/>
  <c r="R70" i="9" s="1"/>
  <c r="M24" i="7"/>
  <c r="M78" i="7" s="1"/>
  <c r="R69" i="9" s="1"/>
  <c r="L24" i="7"/>
  <c r="L78" i="7" s="1"/>
  <c r="R68" i="9" s="1"/>
  <c r="K24" i="7"/>
  <c r="K78" i="7" s="1"/>
  <c r="R67" i="9" s="1"/>
  <c r="J24" i="7"/>
  <c r="J78" i="7" s="1"/>
  <c r="R66" i="9" s="1"/>
  <c r="I24" i="7"/>
  <c r="H24" i="7"/>
  <c r="G24" i="7"/>
  <c r="F24" i="7"/>
  <c r="E24" i="7"/>
  <c r="E78" i="7" s="1"/>
  <c r="R61" i="9" s="1"/>
  <c r="D24" i="7"/>
  <c r="C24" i="7"/>
  <c r="C78" i="7" s="1"/>
  <c r="R59" i="9" s="1"/>
  <c r="B24" i="7"/>
  <c r="O23" i="7"/>
  <c r="O77" i="7" s="1"/>
  <c r="Q71" i="9" s="1"/>
  <c r="N23" i="7"/>
  <c r="N77" i="7" s="1"/>
  <c r="Q70" i="9" s="1"/>
  <c r="M23" i="7"/>
  <c r="M77" i="7" s="1"/>
  <c r="Q69" i="9" s="1"/>
  <c r="L23" i="7"/>
  <c r="L77" i="7" s="1"/>
  <c r="Q68" i="9" s="1"/>
  <c r="K23" i="7"/>
  <c r="K77" i="7" s="1"/>
  <c r="Q67" i="9" s="1"/>
  <c r="J23" i="7"/>
  <c r="J77" i="7" s="1"/>
  <c r="Q66" i="9" s="1"/>
  <c r="I23" i="7"/>
  <c r="H23" i="7"/>
  <c r="H77" i="7" s="1"/>
  <c r="Q64" i="9" s="1"/>
  <c r="G23" i="7"/>
  <c r="G77" i="7" s="1"/>
  <c r="Q63" i="9" s="1"/>
  <c r="F23" i="7"/>
  <c r="F77" i="7" s="1"/>
  <c r="Q62" i="9" s="1"/>
  <c r="E23" i="7"/>
  <c r="E77" i="7" s="1"/>
  <c r="Q61" i="9" s="1"/>
  <c r="D23" i="7"/>
  <c r="C23" i="7"/>
  <c r="C77" i="7" s="1"/>
  <c r="Q59" i="9" s="1"/>
  <c r="B23" i="7"/>
  <c r="O22" i="7"/>
  <c r="O76" i="7" s="1"/>
  <c r="P71" i="9" s="1"/>
  <c r="N22" i="7"/>
  <c r="N76" i="7" s="1"/>
  <c r="P70" i="9" s="1"/>
  <c r="M22" i="7"/>
  <c r="M76" i="7" s="1"/>
  <c r="P69" i="9" s="1"/>
  <c r="L22" i="7"/>
  <c r="L76" i="7" s="1"/>
  <c r="P68" i="9" s="1"/>
  <c r="K22" i="7"/>
  <c r="K76" i="7" s="1"/>
  <c r="P67" i="9" s="1"/>
  <c r="J22" i="7"/>
  <c r="J76" i="7" s="1"/>
  <c r="P66" i="9" s="1"/>
  <c r="I22" i="7"/>
  <c r="I76" i="7" s="1"/>
  <c r="P65" i="9" s="1"/>
  <c r="H22" i="7"/>
  <c r="H76" i="7" s="1"/>
  <c r="P64" i="9" s="1"/>
  <c r="G22" i="7"/>
  <c r="G76" i="7" s="1"/>
  <c r="P63" i="9" s="1"/>
  <c r="F22" i="7"/>
  <c r="F76" i="7" s="1"/>
  <c r="P62" i="9" s="1"/>
  <c r="E22" i="7"/>
  <c r="E76" i="7" s="1"/>
  <c r="P61" i="9" s="1"/>
  <c r="D22" i="7"/>
  <c r="D76" i="7" s="1"/>
  <c r="P60" i="9" s="1"/>
  <c r="C22" i="7"/>
  <c r="C76" i="7" s="1"/>
  <c r="P59" i="9" s="1"/>
  <c r="B22" i="7"/>
  <c r="B76" i="7" s="1"/>
  <c r="P58" i="9" s="1"/>
  <c r="O21" i="7"/>
  <c r="O75" i="7" s="1"/>
  <c r="O71" i="9" s="1"/>
  <c r="N21" i="7"/>
  <c r="N75" i="7" s="1"/>
  <c r="O70" i="9" s="1"/>
  <c r="M21" i="7"/>
  <c r="M75" i="7" s="1"/>
  <c r="O69" i="9" s="1"/>
  <c r="L21" i="7"/>
  <c r="K21" i="7"/>
  <c r="K75" i="7" s="1"/>
  <c r="O67" i="9" s="1"/>
  <c r="J21" i="7"/>
  <c r="J75" i="7" s="1"/>
  <c r="O66" i="9" s="1"/>
  <c r="I21" i="7"/>
  <c r="H21" i="7"/>
  <c r="G21" i="7"/>
  <c r="F21" i="7"/>
  <c r="E21" i="7"/>
  <c r="E75" i="7" s="1"/>
  <c r="O61" i="9" s="1"/>
  <c r="D21" i="7"/>
  <c r="C21" i="7"/>
  <c r="C75" i="7" s="1"/>
  <c r="O59" i="9" s="1"/>
  <c r="B21" i="7"/>
  <c r="O20" i="7"/>
  <c r="O74" i="7" s="1"/>
  <c r="N71" i="9" s="1"/>
  <c r="N20" i="7"/>
  <c r="N74" i="7" s="1"/>
  <c r="N70" i="9" s="1"/>
  <c r="M20" i="7"/>
  <c r="M74" i="7" s="1"/>
  <c r="N69" i="9" s="1"/>
  <c r="L20" i="7"/>
  <c r="K20" i="7"/>
  <c r="K74" i="7" s="1"/>
  <c r="N67" i="9" s="1"/>
  <c r="J20" i="7"/>
  <c r="J74" i="7" s="1"/>
  <c r="N66" i="9" s="1"/>
  <c r="I20" i="7"/>
  <c r="H20" i="7"/>
  <c r="H74" i="7" s="1"/>
  <c r="N64" i="9" s="1"/>
  <c r="G20" i="7"/>
  <c r="F20" i="7"/>
  <c r="E20" i="7"/>
  <c r="E74" i="7" s="1"/>
  <c r="N61" i="9" s="1"/>
  <c r="D20" i="7"/>
  <c r="D74" i="7" s="1"/>
  <c r="N60" i="9" s="1"/>
  <c r="C20" i="7"/>
  <c r="C74" i="7" s="1"/>
  <c r="N59" i="9" s="1"/>
  <c r="B20" i="7"/>
  <c r="B74" i="7" s="1"/>
  <c r="N58" i="9" s="1"/>
  <c r="O19" i="7"/>
  <c r="O73" i="7" s="1"/>
  <c r="M71" i="9" s="1"/>
  <c r="N19" i="7"/>
  <c r="N73" i="7" s="1"/>
  <c r="M70" i="9" s="1"/>
  <c r="M19" i="7"/>
  <c r="M73" i="7" s="1"/>
  <c r="M69" i="9" s="1"/>
  <c r="L19" i="7"/>
  <c r="K19" i="7"/>
  <c r="J19" i="7"/>
  <c r="I19" i="7"/>
  <c r="H19" i="7"/>
  <c r="G19" i="7"/>
  <c r="F19" i="7"/>
  <c r="E19" i="7"/>
  <c r="D19" i="7"/>
  <c r="D73" i="7" s="1"/>
  <c r="M60" i="9" s="1"/>
  <c r="C19" i="7"/>
  <c r="B19" i="7"/>
  <c r="O18" i="7"/>
  <c r="O72" i="7" s="1"/>
  <c r="L71" i="9" s="1"/>
  <c r="N18" i="7"/>
  <c r="N72" i="7" s="1"/>
  <c r="L70" i="9" s="1"/>
  <c r="M18" i="7"/>
  <c r="M72" i="7" s="1"/>
  <c r="L69" i="9" s="1"/>
  <c r="L18" i="7"/>
  <c r="L72" i="7" s="1"/>
  <c r="L68" i="9" s="1"/>
  <c r="K18" i="7"/>
  <c r="K72" i="7" s="1"/>
  <c r="L67" i="9" s="1"/>
  <c r="J18" i="7"/>
  <c r="J72" i="7" s="1"/>
  <c r="L66" i="9" s="1"/>
  <c r="I18" i="7"/>
  <c r="I72" i="7" s="1"/>
  <c r="L65" i="9" s="1"/>
  <c r="H18" i="7"/>
  <c r="H72" i="7" s="1"/>
  <c r="L64" i="9" s="1"/>
  <c r="G18" i="7"/>
  <c r="G72" i="7" s="1"/>
  <c r="L63" i="9" s="1"/>
  <c r="F18" i="7"/>
  <c r="F72" i="7" s="1"/>
  <c r="L62" i="9" s="1"/>
  <c r="E18" i="7"/>
  <c r="E72" i="7" s="1"/>
  <c r="L61" i="9" s="1"/>
  <c r="D18" i="7"/>
  <c r="D72" i="7" s="1"/>
  <c r="L60" i="9" s="1"/>
  <c r="C18" i="7"/>
  <c r="C72" i="7" s="1"/>
  <c r="L59" i="9" s="1"/>
  <c r="B18" i="7"/>
  <c r="B72" i="7" s="1"/>
  <c r="L58" i="9" s="1"/>
  <c r="O17" i="7"/>
  <c r="O71" i="7" s="1"/>
  <c r="K71" i="9" s="1"/>
  <c r="N17" i="7"/>
  <c r="N71" i="7" s="1"/>
  <c r="K70" i="9" s="1"/>
  <c r="M17" i="7"/>
  <c r="M71" i="7" s="1"/>
  <c r="K69" i="9" s="1"/>
  <c r="L17" i="7"/>
  <c r="L71" i="7" s="1"/>
  <c r="K68" i="9" s="1"/>
  <c r="K17" i="7"/>
  <c r="K71" i="7" s="1"/>
  <c r="K67" i="9" s="1"/>
  <c r="J17" i="7"/>
  <c r="J71" i="7" s="1"/>
  <c r="K66" i="9" s="1"/>
  <c r="I17" i="7"/>
  <c r="I71" i="7" s="1"/>
  <c r="K65" i="9" s="1"/>
  <c r="H17" i="7"/>
  <c r="H71" i="7" s="1"/>
  <c r="K64" i="9" s="1"/>
  <c r="G17" i="7"/>
  <c r="G71" i="7" s="1"/>
  <c r="K63" i="9" s="1"/>
  <c r="F17" i="7"/>
  <c r="F71" i="7" s="1"/>
  <c r="K62" i="9" s="1"/>
  <c r="E17" i="7"/>
  <c r="E71" i="7" s="1"/>
  <c r="K61" i="9" s="1"/>
  <c r="D17" i="7"/>
  <c r="D71" i="7" s="1"/>
  <c r="K60" i="9" s="1"/>
  <c r="C17" i="7"/>
  <c r="C71" i="7" s="1"/>
  <c r="K59" i="9" s="1"/>
  <c r="B17" i="7"/>
  <c r="B71" i="7" s="1"/>
  <c r="K58" i="9" s="1"/>
  <c r="O16" i="7"/>
  <c r="O70" i="7" s="1"/>
  <c r="J71" i="9" s="1"/>
  <c r="N16" i="7"/>
  <c r="N70" i="7" s="1"/>
  <c r="J70" i="9" s="1"/>
  <c r="M16" i="7"/>
  <c r="M70" i="7" s="1"/>
  <c r="J69" i="9" s="1"/>
  <c r="L16" i="7"/>
  <c r="K16" i="7"/>
  <c r="K70" i="7" s="1"/>
  <c r="J67" i="9" s="1"/>
  <c r="J16" i="7"/>
  <c r="J70" i="7" s="1"/>
  <c r="J66" i="9" s="1"/>
  <c r="I16" i="7"/>
  <c r="I70" i="7" s="1"/>
  <c r="J65" i="9" s="1"/>
  <c r="H16" i="7"/>
  <c r="H70" i="7" s="1"/>
  <c r="J64" i="9" s="1"/>
  <c r="G16" i="7"/>
  <c r="G70" i="7" s="1"/>
  <c r="J63" i="9" s="1"/>
  <c r="F16" i="7"/>
  <c r="E16" i="7"/>
  <c r="E70" i="7" s="1"/>
  <c r="J61" i="9" s="1"/>
  <c r="D16" i="7"/>
  <c r="D70" i="7" s="1"/>
  <c r="J60" i="9" s="1"/>
  <c r="C16" i="7"/>
  <c r="C70" i="7" s="1"/>
  <c r="J59" i="9" s="1"/>
  <c r="B16" i="7"/>
  <c r="O15" i="7"/>
  <c r="O69" i="7" s="1"/>
  <c r="I71" i="9" s="1"/>
  <c r="N15" i="7"/>
  <c r="N69" i="7" s="1"/>
  <c r="I70" i="9" s="1"/>
  <c r="M15" i="7"/>
  <c r="M69" i="7" s="1"/>
  <c r="I69" i="9" s="1"/>
  <c r="L15" i="7"/>
  <c r="L69" i="7" s="1"/>
  <c r="I68" i="9" s="1"/>
  <c r="K15" i="7"/>
  <c r="K69" i="7" s="1"/>
  <c r="I67" i="9" s="1"/>
  <c r="J15" i="7"/>
  <c r="J69" i="7" s="1"/>
  <c r="I66" i="9" s="1"/>
  <c r="I15" i="7"/>
  <c r="I69" i="7" s="1"/>
  <c r="I65" i="9" s="1"/>
  <c r="H15" i="7"/>
  <c r="H69" i="7" s="1"/>
  <c r="I64" i="9" s="1"/>
  <c r="G15" i="7"/>
  <c r="G69" i="7" s="1"/>
  <c r="I63" i="9" s="1"/>
  <c r="F15" i="7"/>
  <c r="F69" i="7" s="1"/>
  <c r="I62" i="9" s="1"/>
  <c r="E15" i="7"/>
  <c r="E69" i="7" s="1"/>
  <c r="I61" i="9" s="1"/>
  <c r="D15" i="7"/>
  <c r="D69" i="7" s="1"/>
  <c r="I60" i="9" s="1"/>
  <c r="C15" i="7"/>
  <c r="C69" i="7" s="1"/>
  <c r="I59" i="9" s="1"/>
  <c r="B15" i="7"/>
  <c r="B69" i="7" s="1"/>
  <c r="I58" i="9" s="1"/>
  <c r="O14" i="7"/>
  <c r="O68" i="7" s="1"/>
  <c r="H71" i="9" s="1"/>
  <c r="N14" i="7"/>
  <c r="N68" i="7" s="1"/>
  <c r="H70" i="9" s="1"/>
  <c r="M14" i="7"/>
  <c r="M68" i="7" s="1"/>
  <c r="H69" i="9" s="1"/>
  <c r="L14" i="7"/>
  <c r="L68" i="7" s="1"/>
  <c r="H68" i="9" s="1"/>
  <c r="K14" i="7"/>
  <c r="K68" i="7" s="1"/>
  <c r="H67" i="9" s="1"/>
  <c r="J14" i="7"/>
  <c r="J68" i="7" s="1"/>
  <c r="H66" i="9" s="1"/>
  <c r="I14" i="7"/>
  <c r="I68" i="7" s="1"/>
  <c r="H65" i="9" s="1"/>
  <c r="H14" i="7"/>
  <c r="H68" i="7" s="1"/>
  <c r="H64" i="9" s="1"/>
  <c r="G14" i="7"/>
  <c r="G68" i="7" s="1"/>
  <c r="H63" i="9" s="1"/>
  <c r="F14" i="7"/>
  <c r="F68" i="7" s="1"/>
  <c r="H62" i="9" s="1"/>
  <c r="E14" i="7"/>
  <c r="E68" i="7" s="1"/>
  <c r="H61" i="9" s="1"/>
  <c r="D14" i="7"/>
  <c r="D68" i="7" s="1"/>
  <c r="H60" i="9" s="1"/>
  <c r="C14" i="7"/>
  <c r="C68" i="7" s="1"/>
  <c r="H59" i="9" s="1"/>
  <c r="B14" i="7"/>
  <c r="B68" i="7" s="1"/>
  <c r="H58" i="9" s="1"/>
  <c r="O13" i="7"/>
  <c r="O67" i="7" s="1"/>
  <c r="G71" i="9" s="1"/>
  <c r="N13" i="7"/>
  <c r="N67" i="7" s="1"/>
  <c r="G70" i="9" s="1"/>
  <c r="M13" i="7"/>
  <c r="M67" i="7" s="1"/>
  <c r="G69" i="9" s="1"/>
  <c r="L13" i="7"/>
  <c r="K13" i="7"/>
  <c r="K67" i="7" s="1"/>
  <c r="G67" i="9" s="1"/>
  <c r="J13" i="7"/>
  <c r="J67" i="7" s="1"/>
  <c r="G66" i="9" s="1"/>
  <c r="I13" i="7"/>
  <c r="H13" i="7"/>
  <c r="G13" i="7"/>
  <c r="F13" i="7"/>
  <c r="E13" i="7"/>
  <c r="D13" i="7"/>
  <c r="C13" i="7"/>
  <c r="C67" i="7" s="1"/>
  <c r="G59" i="9" s="1"/>
  <c r="B13" i="7"/>
  <c r="O12" i="7"/>
  <c r="O66" i="7" s="1"/>
  <c r="F71" i="9" s="1"/>
  <c r="N12" i="7"/>
  <c r="M12" i="7"/>
  <c r="L12" i="7"/>
  <c r="K12" i="7"/>
  <c r="J12" i="7"/>
  <c r="I12" i="7"/>
  <c r="H12" i="7"/>
  <c r="G12" i="7"/>
  <c r="F12" i="7"/>
  <c r="E12" i="7"/>
  <c r="E66" i="7" s="1"/>
  <c r="F61" i="9" s="1"/>
  <c r="D12" i="7"/>
  <c r="D66" i="7" s="1"/>
  <c r="F60" i="9" s="1"/>
  <c r="C12" i="7"/>
  <c r="B12" i="7"/>
  <c r="B66" i="7" s="1"/>
  <c r="F58" i="9" s="1"/>
  <c r="O11" i="7"/>
  <c r="O65" i="7" s="1"/>
  <c r="E71" i="9" s="1"/>
  <c r="N11" i="7"/>
  <c r="N65" i="7" s="1"/>
  <c r="E70" i="9" s="1"/>
  <c r="M11" i="7"/>
  <c r="M65" i="7" s="1"/>
  <c r="E69" i="9" s="1"/>
  <c r="L11" i="7"/>
  <c r="L65" i="7" s="1"/>
  <c r="E68" i="9" s="1"/>
  <c r="K11" i="7"/>
  <c r="K65" i="7" s="1"/>
  <c r="E67" i="9" s="1"/>
  <c r="J11" i="7"/>
  <c r="J65" i="7" s="1"/>
  <c r="E66" i="9" s="1"/>
  <c r="I11" i="7"/>
  <c r="I65" i="7" s="1"/>
  <c r="E65" i="9" s="1"/>
  <c r="H11" i="7"/>
  <c r="H65" i="7" s="1"/>
  <c r="E64" i="9" s="1"/>
  <c r="G11" i="7"/>
  <c r="G65" i="7" s="1"/>
  <c r="E63" i="9" s="1"/>
  <c r="F11" i="7"/>
  <c r="F65" i="7" s="1"/>
  <c r="E62" i="9" s="1"/>
  <c r="E11" i="7"/>
  <c r="E65" i="7" s="1"/>
  <c r="E61" i="9" s="1"/>
  <c r="D11" i="7"/>
  <c r="D65" i="7" s="1"/>
  <c r="E60" i="9" s="1"/>
  <c r="C11" i="7"/>
  <c r="C65" i="7" s="1"/>
  <c r="E59" i="9" s="1"/>
  <c r="B11" i="7"/>
  <c r="B65" i="7" s="1"/>
  <c r="E58" i="9" s="1"/>
  <c r="O10" i="7"/>
  <c r="O64" i="7" s="1"/>
  <c r="D71" i="9" s="1"/>
  <c r="N10" i="7"/>
  <c r="N64" i="7" s="1"/>
  <c r="D70" i="9" s="1"/>
  <c r="M10" i="7"/>
  <c r="M64" i="7" s="1"/>
  <c r="D69" i="9" s="1"/>
  <c r="L10" i="7"/>
  <c r="K10" i="7"/>
  <c r="K64" i="7" s="1"/>
  <c r="D67" i="9" s="1"/>
  <c r="J10" i="7"/>
  <c r="J64" i="7" s="1"/>
  <c r="D66" i="9" s="1"/>
  <c r="I10" i="7"/>
  <c r="H10" i="7"/>
  <c r="H64" i="7" s="1"/>
  <c r="D64" i="9" s="1"/>
  <c r="G10" i="7"/>
  <c r="F10" i="7"/>
  <c r="E10" i="7"/>
  <c r="E64" i="7" s="1"/>
  <c r="D61" i="9" s="1"/>
  <c r="D10" i="7"/>
  <c r="C10" i="7"/>
  <c r="C64" i="7" s="1"/>
  <c r="D59" i="9" s="1"/>
  <c r="B10" i="7"/>
  <c r="O9" i="7"/>
  <c r="O63" i="7" s="1"/>
  <c r="C71" i="9" s="1"/>
  <c r="N9" i="7"/>
  <c r="M9" i="7"/>
  <c r="L9" i="7"/>
  <c r="L63" i="7" s="1"/>
  <c r="C68" i="9" s="1"/>
  <c r="K9" i="7"/>
  <c r="K63" i="7" s="1"/>
  <c r="C67" i="9" s="1"/>
  <c r="J9" i="7"/>
  <c r="J63" i="7" s="1"/>
  <c r="C66" i="9" s="1"/>
  <c r="I9" i="7"/>
  <c r="H9" i="7"/>
  <c r="G9" i="7"/>
  <c r="F9" i="7"/>
  <c r="F63" i="7" s="1"/>
  <c r="C62" i="9" s="1"/>
  <c r="E9" i="7"/>
  <c r="D9" i="7"/>
  <c r="D63" i="7" s="1"/>
  <c r="C60" i="9" s="1"/>
  <c r="C9" i="7"/>
  <c r="C63" i="7" s="1"/>
  <c r="C59" i="9" s="1"/>
  <c r="B9" i="7"/>
  <c r="O8" i="7"/>
  <c r="N8" i="7"/>
  <c r="M8" i="7"/>
  <c r="L8" i="7"/>
  <c r="L62" i="7" s="1"/>
  <c r="B68" i="9" s="1"/>
  <c r="K8" i="7"/>
  <c r="K62" i="7" s="1"/>
  <c r="B67" i="9" s="1"/>
  <c r="J8" i="7"/>
  <c r="J62" i="7" s="1"/>
  <c r="B66" i="9" s="1"/>
  <c r="I8" i="7"/>
  <c r="H8" i="7"/>
  <c r="G8" i="7"/>
  <c r="F8" i="7"/>
  <c r="F62" i="7" s="1"/>
  <c r="B62" i="9" s="1"/>
  <c r="E8" i="7"/>
  <c r="E62" i="7" s="1"/>
  <c r="B61" i="9" s="1"/>
  <c r="D8" i="7"/>
  <c r="C8" i="7"/>
  <c r="C62" i="7" s="1"/>
  <c r="B59" i="9" s="1"/>
  <c r="B8" i="7"/>
  <c r="B62" i="7" s="1"/>
  <c r="B58" i="9" s="1"/>
  <c r="O35" i="6"/>
  <c r="N35" i="6"/>
  <c r="M35" i="6"/>
  <c r="L35" i="6"/>
  <c r="K35" i="6"/>
  <c r="J35" i="6"/>
  <c r="I35" i="6"/>
  <c r="H35" i="6"/>
  <c r="G35" i="6"/>
  <c r="F35" i="6"/>
  <c r="E35" i="6"/>
  <c r="D35" i="6"/>
  <c r="C35" i="6"/>
  <c r="B35" i="6"/>
  <c r="O34" i="6"/>
  <c r="N34" i="6"/>
  <c r="M34" i="6"/>
  <c r="L34" i="6"/>
  <c r="K34" i="6"/>
  <c r="J34" i="6"/>
  <c r="I34" i="6"/>
  <c r="H34" i="6"/>
  <c r="G34" i="6"/>
  <c r="F34" i="6"/>
  <c r="E34" i="6"/>
  <c r="D34" i="6"/>
  <c r="C34" i="6"/>
  <c r="B34" i="6"/>
  <c r="O33" i="6"/>
  <c r="N33" i="6"/>
  <c r="M33" i="6"/>
  <c r="L33" i="6"/>
  <c r="K33" i="6"/>
  <c r="J33" i="6"/>
  <c r="I33" i="6"/>
  <c r="H33" i="6"/>
  <c r="G33" i="6"/>
  <c r="F33" i="6"/>
  <c r="E33" i="6"/>
  <c r="D33" i="6"/>
  <c r="C33" i="6"/>
  <c r="B33" i="6"/>
  <c r="O32" i="6"/>
  <c r="N32" i="6"/>
  <c r="M32" i="6"/>
  <c r="L32" i="6"/>
  <c r="K32" i="6"/>
  <c r="J32" i="6"/>
  <c r="I32" i="6"/>
  <c r="H32" i="6"/>
  <c r="G32" i="6"/>
  <c r="F32" i="6"/>
  <c r="E32" i="6"/>
  <c r="D32" i="6"/>
  <c r="C32" i="6"/>
  <c r="B32" i="6"/>
  <c r="O31" i="6"/>
  <c r="N31" i="6"/>
  <c r="M31" i="6"/>
  <c r="L31" i="6"/>
  <c r="K31" i="6"/>
  <c r="J31" i="6"/>
  <c r="I31" i="6"/>
  <c r="H31" i="6"/>
  <c r="G31" i="6"/>
  <c r="F31" i="6"/>
  <c r="E31" i="6"/>
  <c r="D31" i="6"/>
  <c r="C31" i="6"/>
  <c r="B31" i="6"/>
  <c r="O30" i="6"/>
  <c r="N30" i="6"/>
  <c r="M30" i="6"/>
  <c r="L30" i="6"/>
  <c r="K30" i="6"/>
  <c r="J30" i="6"/>
  <c r="I30" i="6"/>
  <c r="H30" i="6"/>
  <c r="G30" i="6"/>
  <c r="F30" i="6"/>
  <c r="E30" i="6"/>
  <c r="D30" i="6"/>
  <c r="C30" i="6"/>
  <c r="B30" i="6"/>
  <c r="O29" i="6"/>
  <c r="N29" i="6"/>
  <c r="M29" i="6"/>
  <c r="L29" i="6"/>
  <c r="K29" i="6"/>
  <c r="J29" i="6"/>
  <c r="I29" i="6"/>
  <c r="H29" i="6"/>
  <c r="G29" i="6"/>
  <c r="F29" i="6"/>
  <c r="E29" i="6"/>
  <c r="D29" i="6"/>
  <c r="C29" i="6"/>
  <c r="B29" i="6"/>
  <c r="O28" i="6"/>
  <c r="N28" i="6"/>
  <c r="M28" i="6"/>
  <c r="L28" i="6"/>
  <c r="K28" i="6"/>
  <c r="J28" i="6"/>
  <c r="I28" i="6"/>
  <c r="H28" i="6"/>
  <c r="G28" i="6"/>
  <c r="F28" i="6"/>
  <c r="E28" i="6"/>
  <c r="D28" i="6"/>
  <c r="C28" i="6"/>
  <c r="B28" i="6"/>
  <c r="O27" i="6"/>
  <c r="N27" i="6"/>
  <c r="M27" i="6"/>
  <c r="L27" i="6"/>
  <c r="K27" i="6"/>
  <c r="J27" i="6"/>
  <c r="I27" i="6"/>
  <c r="H27" i="6"/>
  <c r="G27" i="6"/>
  <c r="F27" i="6"/>
  <c r="E27" i="6"/>
  <c r="D27" i="6"/>
  <c r="C27" i="6"/>
  <c r="B27" i="6"/>
  <c r="O26" i="6"/>
  <c r="N26" i="6"/>
  <c r="M26" i="6"/>
  <c r="L26" i="6"/>
  <c r="K26" i="6"/>
  <c r="J26" i="6"/>
  <c r="I26" i="6"/>
  <c r="H26" i="6"/>
  <c r="G26" i="6"/>
  <c r="F26" i="6"/>
  <c r="E26" i="6"/>
  <c r="D26" i="6"/>
  <c r="C26" i="6"/>
  <c r="B26" i="6"/>
  <c r="O25" i="6"/>
  <c r="N25" i="6"/>
  <c r="M25" i="6"/>
  <c r="L25" i="6"/>
  <c r="K25" i="6"/>
  <c r="J25" i="6"/>
  <c r="I25" i="6"/>
  <c r="H25" i="6"/>
  <c r="G25" i="6"/>
  <c r="F25" i="6"/>
  <c r="E25" i="6"/>
  <c r="D25" i="6"/>
  <c r="C25" i="6"/>
  <c r="B25" i="6"/>
  <c r="O24" i="6"/>
  <c r="N24" i="6"/>
  <c r="M24" i="6"/>
  <c r="L24" i="6"/>
  <c r="K24" i="6"/>
  <c r="J24" i="6"/>
  <c r="I24" i="6"/>
  <c r="H24" i="6"/>
  <c r="G24" i="6"/>
  <c r="F24" i="6"/>
  <c r="E24" i="6"/>
  <c r="D24" i="6"/>
  <c r="C24" i="6"/>
  <c r="B24" i="6"/>
  <c r="O23" i="6"/>
  <c r="N23" i="6"/>
  <c r="M23" i="6"/>
  <c r="L23" i="6"/>
  <c r="K23" i="6"/>
  <c r="J23" i="6"/>
  <c r="I23" i="6"/>
  <c r="H23" i="6"/>
  <c r="G23" i="6"/>
  <c r="F23" i="6"/>
  <c r="E23" i="6"/>
  <c r="D23" i="6"/>
  <c r="C23" i="6"/>
  <c r="B23" i="6"/>
  <c r="O22" i="6"/>
  <c r="N22" i="6"/>
  <c r="M22" i="6"/>
  <c r="L22" i="6"/>
  <c r="K22" i="6"/>
  <c r="J22" i="6"/>
  <c r="I22" i="6"/>
  <c r="H22" i="6"/>
  <c r="G22" i="6"/>
  <c r="F22" i="6"/>
  <c r="E22" i="6"/>
  <c r="D22" i="6"/>
  <c r="C22" i="6"/>
  <c r="B22" i="6"/>
  <c r="O18" i="6"/>
  <c r="N18" i="6"/>
  <c r="M18" i="6"/>
  <c r="L18" i="6"/>
  <c r="K18" i="6"/>
  <c r="J18" i="6"/>
  <c r="I18" i="6"/>
  <c r="H18" i="6"/>
  <c r="G18" i="6"/>
  <c r="F18" i="6"/>
  <c r="E18" i="6"/>
  <c r="D18" i="6"/>
  <c r="C18" i="6"/>
  <c r="B18" i="6"/>
  <c r="O17" i="6"/>
  <c r="N17" i="6"/>
  <c r="M17" i="6"/>
  <c r="L17" i="6"/>
  <c r="K17" i="6"/>
  <c r="J17" i="6"/>
  <c r="I17" i="6"/>
  <c r="H17" i="6"/>
  <c r="G17" i="6"/>
  <c r="F17" i="6"/>
  <c r="E17" i="6"/>
  <c r="D17" i="6"/>
  <c r="C17" i="6"/>
  <c r="B17" i="6"/>
  <c r="O16" i="6"/>
  <c r="N16" i="6"/>
  <c r="M16" i="6"/>
  <c r="L16" i="6"/>
  <c r="K16" i="6"/>
  <c r="J16" i="6"/>
  <c r="I16" i="6"/>
  <c r="H16" i="6"/>
  <c r="G16" i="6"/>
  <c r="F16" i="6"/>
  <c r="E16" i="6"/>
  <c r="D16" i="6"/>
  <c r="C16" i="6"/>
  <c r="B16" i="6"/>
  <c r="O15" i="6"/>
  <c r="N15" i="6"/>
  <c r="M15" i="6"/>
  <c r="L15" i="6"/>
  <c r="K15" i="6"/>
  <c r="J15" i="6"/>
  <c r="I15" i="6"/>
  <c r="H15" i="6"/>
  <c r="G15" i="6"/>
  <c r="F15" i="6"/>
  <c r="E15" i="6"/>
  <c r="D15" i="6"/>
  <c r="C15" i="6"/>
  <c r="B15" i="6"/>
  <c r="O14" i="6"/>
  <c r="N14" i="6"/>
  <c r="M14" i="6"/>
  <c r="L14" i="6"/>
  <c r="K14" i="6"/>
  <c r="J14" i="6"/>
  <c r="I14" i="6"/>
  <c r="H14" i="6"/>
  <c r="G14" i="6"/>
  <c r="F14" i="6"/>
  <c r="E14" i="6"/>
  <c r="D14" i="6"/>
  <c r="C14" i="6"/>
  <c r="B14" i="6"/>
  <c r="O13" i="6"/>
  <c r="N13" i="6"/>
  <c r="M13" i="6"/>
  <c r="L13" i="6"/>
  <c r="K13" i="6"/>
  <c r="J13" i="6"/>
  <c r="I13" i="6"/>
  <c r="H13" i="6"/>
  <c r="G13" i="6"/>
  <c r="F13" i="6"/>
  <c r="E13" i="6"/>
  <c r="D13" i="6"/>
  <c r="C13" i="6"/>
  <c r="B13" i="6"/>
  <c r="O12" i="6"/>
  <c r="N12" i="6"/>
  <c r="M12" i="6"/>
  <c r="L12" i="6"/>
  <c r="K12" i="6"/>
  <c r="J12" i="6"/>
  <c r="I12" i="6"/>
  <c r="H12" i="6"/>
  <c r="G12" i="6"/>
  <c r="F12" i="6"/>
  <c r="E12" i="6"/>
  <c r="D12" i="6"/>
  <c r="C12" i="6"/>
  <c r="B12" i="6"/>
  <c r="O11" i="6"/>
  <c r="N11" i="6"/>
  <c r="M11" i="6"/>
  <c r="L11" i="6"/>
  <c r="K11" i="6"/>
  <c r="J11" i="6"/>
  <c r="I11" i="6"/>
  <c r="H11" i="6"/>
  <c r="G11" i="6"/>
  <c r="F11" i="6"/>
  <c r="E11" i="6"/>
  <c r="D11" i="6"/>
  <c r="C11" i="6"/>
  <c r="B11" i="6"/>
  <c r="O10" i="6"/>
  <c r="N10" i="6"/>
  <c r="M10" i="6"/>
  <c r="L10" i="6"/>
  <c r="K10" i="6"/>
  <c r="J10" i="6"/>
  <c r="I10" i="6"/>
  <c r="H10" i="6"/>
  <c r="G10" i="6"/>
  <c r="F10" i="6"/>
  <c r="E10" i="6"/>
  <c r="D10" i="6"/>
  <c r="C10" i="6"/>
  <c r="B10" i="6"/>
  <c r="O9" i="6"/>
  <c r="N9" i="6"/>
  <c r="M9" i="6"/>
  <c r="L9" i="6"/>
  <c r="K9" i="6"/>
  <c r="J9" i="6"/>
  <c r="I9" i="6"/>
  <c r="H9" i="6"/>
  <c r="G9" i="6"/>
  <c r="F9" i="6"/>
  <c r="E9" i="6"/>
  <c r="D9" i="6"/>
  <c r="C9" i="6"/>
  <c r="B9" i="6"/>
  <c r="O8" i="6"/>
  <c r="N8" i="6"/>
  <c r="M8" i="6"/>
  <c r="L8" i="6"/>
  <c r="K8" i="6"/>
  <c r="J8" i="6"/>
  <c r="I8" i="6"/>
  <c r="H8" i="6"/>
  <c r="G8" i="6"/>
  <c r="F8" i="6"/>
  <c r="E8" i="6"/>
  <c r="D8" i="6"/>
  <c r="C8" i="6"/>
  <c r="B8" i="6"/>
  <c r="O7" i="6"/>
  <c r="N7" i="6"/>
  <c r="M7" i="6"/>
  <c r="L7" i="6"/>
  <c r="K7" i="6"/>
  <c r="J7" i="6"/>
  <c r="I7" i="6"/>
  <c r="H7" i="6"/>
  <c r="G7" i="6"/>
  <c r="F7" i="6"/>
  <c r="E7" i="6"/>
  <c r="D7" i="6"/>
  <c r="C7" i="6"/>
  <c r="B7" i="6"/>
  <c r="O6" i="6"/>
  <c r="N6" i="6"/>
  <c r="M6" i="6"/>
  <c r="L6" i="6"/>
  <c r="K6" i="6"/>
  <c r="J6" i="6"/>
  <c r="I6" i="6"/>
  <c r="H6" i="6"/>
  <c r="G6" i="6"/>
  <c r="F6" i="6"/>
  <c r="E6" i="6"/>
  <c r="D6" i="6"/>
  <c r="C6" i="6"/>
  <c r="B6" i="6"/>
  <c r="O5" i="6"/>
  <c r="N5" i="6"/>
  <c r="M5" i="6"/>
  <c r="L5" i="6"/>
  <c r="K5" i="6"/>
  <c r="J5" i="6"/>
  <c r="I5" i="6"/>
  <c r="H5" i="6"/>
  <c r="G5" i="6"/>
  <c r="F5" i="6"/>
  <c r="E5" i="6"/>
  <c r="D5" i="6"/>
  <c r="C5" i="6"/>
  <c r="B5" i="6"/>
  <c r="F29" i="5"/>
  <c r="E29" i="5"/>
  <c r="F27" i="5"/>
  <c r="E27" i="5"/>
  <c r="B27" i="5"/>
  <c r="F26" i="5"/>
  <c r="E26" i="5"/>
  <c r="F25" i="5"/>
  <c r="E25" i="5"/>
  <c r="F24" i="5"/>
  <c r="E24" i="5"/>
  <c r="H24" i="5" s="1"/>
  <c r="F23" i="5"/>
  <c r="E23" i="5"/>
  <c r="F22" i="5"/>
  <c r="E22" i="5"/>
  <c r="F21" i="5"/>
  <c r="E21" i="5"/>
  <c r="F20" i="5"/>
  <c r="E20" i="5"/>
  <c r="H20" i="5" s="1"/>
  <c r="F19" i="5"/>
  <c r="E19" i="5"/>
  <c r="H19" i="5" s="1"/>
  <c r="F18" i="5"/>
  <c r="E18" i="5"/>
  <c r="F17" i="5"/>
  <c r="E17" i="5"/>
  <c r="F16" i="5"/>
  <c r="E16" i="5"/>
  <c r="F15" i="5"/>
  <c r="E15" i="5"/>
  <c r="G15" i="5" s="1"/>
  <c r="F14" i="5"/>
  <c r="E14" i="5"/>
  <c r="H14" i="5" s="1"/>
  <c r="B14" i="5"/>
  <c r="F13" i="5"/>
  <c r="E13" i="5"/>
  <c r="F12" i="5"/>
  <c r="E12" i="5"/>
  <c r="G12" i="5" s="1"/>
  <c r="F11" i="5"/>
  <c r="E11" i="5"/>
  <c r="H11" i="5" s="1"/>
  <c r="F10" i="5"/>
  <c r="E10" i="5"/>
  <c r="F9" i="5"/>
  <c r="E9" i="5"/>
  <c r="F8" i="5"/>
  <c r="E8" i="5"/>
  <c r="G8" i="5" s="1"/>
  <c r="F7" i="5"/>
  <c r="E7" i="5"/>
  <c r="F6" i="5"/>
  <c r="E6" i="5"/>
  <c r="F5" i="5"/>
  <c r="E5" i="5"/>
  <c r="A5" i="4"/>
  <c r="A6" i="4"/>
  <c r="A7" i="4"/>
  <c r="A8" i="4"/>
  <c r="A9" i="4"/>
  <c r="A10" i="4"/>
  <c r="A11" i="4"/>
  <c r="A12" i="4"/>
  <c r="A13" i="4"/>
  <c r="A14" i="4"/>
  <c r="A15" i="4"/>
  <c r="A16" i="4"/>
  <c r="A17" i="4"/>
  <c r="A18" i="4"/>
  <c r="M2" i="4"/>
  <c r="A28" i="3"/>
  <c r="A27" i="3"/>
  <c r="A26" i="3"/>
  <c r="A25" i="3"/>
  <c r="A24" i="3"/>
  <c r="A23" i="3"/>
  <c r="A22" i="3"/>
  <c r="A21" i="3"/>
  <c r="A20" i="3"/>
  <c r="A19" i="3"/>
  <c r="A18" i="3"/>
  <c r="A17" i="3"/>
  <c r="A16" i="3"/>
  <c r="A15" i="3"/>
  <c r="A14" i="3"/>
  <c r="A13" i="3"/>
  <c r="A12" i="3"/>
  <c r="A11" i="3"/>
  <c r="A10" i="3"/>
  <c r="K53" i="9"/>
  <c r="J53" i="9"/>
  <c r="I53" i="9"/>
  <c r="H53" i="9"/>
  <c r="G53" i="9"/>
  <c r="F53" i="9"/>
  <c r="E53" i="9"/>
  <c r="D53" i="9"/>
  <c r="C53" i="9"/>
  <c r="B53" i="9"/>
  <c r="K52" i="9"/>
  <c r="J52" i="9"/>
  <c r="I52" i="9"/>
  <c r="H52" i="9"/>
  <c r="G52" i="9"/>
  <c r="F52" i="9"/>
  <c r="E52" i="9"/>
  <c r="D52" i="9"/>
  <c r="C52" i="9"/>
  <c r="B52" i="9"/>
  <c r="K51" i="9"/>
  <c r="J51" i="9"/>
  <c r="I51" i="9"/>
  <c r="H51" i="9"/>
  <c r="G51" i="9"/>
  <c r="F51" i="9"/>
  <c r="E51" i="9"/>
  <c r="D51" i="9"/>
  <c r="C51" i="9"/>
  <c r="B51" i="9"/>
  <c r="K50" i="9"/>
  <c r="J50" i="9"/>
  <c r="I50" i="9"/>
  <c r="H50" i="9"/>
  <c r="G50" i="9"/>
  <c r="F50" i="9"/>
  <c r="E50" i="9"/>
  <c r="D50" i="9"/>
  <c r="C50" i="9"/>
  <c r="B50" i="9"/>
  <c r="K49" i="9"/>
  <c r="J49" i="9"/>
  <c r="I49" i="9"/>
  <c r="H49" i="9"/>
  <c r="G49" i="9"/>
  <c r="F49" i="9"/>
  <c r="E49" i="9"/>
  <c r="D49" i="9"/>
  <c r="C49" i="9"/>
  <c r="B49" i="9"/>
  <c r="K48" i="9"/>
  <c r="J48" i="9"/>
  <c r="I48" i="9"/>
  <c r="H48" i="9"/>
  <c r="G48" i="9"/>
  <c r="F48" i="9"/>
  <c r="E48" i="9"/>
  <c r="D48" i="9"/>
  <c r="C48" i="9"/>
  <c r="B48" i="9"/>
  <c r="K47" i="9"/>
  <c r="J47" i="9"/>
  <c r="I47" i="9"/>
  <c r="H47" i="9"/>
  <c r="G47" i="9"/>
  <c r="F47" i="9"/>
  <c r="E47" i="9"/>
  <c r="D47" i="9"/>
  <c r="C47" i="9"/>
  <c r="B47" i="9"/>
  <c r="K46" i="9"/>
  <c r="J46" i="9"/>
  <c r="I46" i="9"/>
  <c r="H46" i="9"/>
  <c r="G46" i="9"/>
  <c r="F46" i="9"/>
  <c r="E46" i="9"/>
  <c r="D46" i="9"/>
  <c r="C46" i="9"/>
  <c r="B46" i="9"/>
  <c r="K45" i="9"/>
  <c r="J45" i="9"/>
  <c r="I45" i="9"/>
  <c r="H45" i="9"/>
  <c r="G45" i="9"/>
  <c r="F45" i="9"/>
  <c r="E45" i="9"/>
  <c r="D45" i="9"/>
  <c r="C45" i="9"/>
  <c r="B45" i="9"/>
  <c r="K44" i="9"/>
  <c r="J44" i="9"/>
  <c r="I44" i="9"/>
  <c r="H44" i="9"/>
  <c r="G44" i="9"/>
  <c r="F44" i="9"/>
  <c r="E44" i="9"/>
  <c r="D44" i="9"/>
  <c r="C44" i="9"/>
  <c r="B44" i="9"/>
  <c r="K43" i="9"/>
  <c r="J43" i="9"/>
  <c r="I43" i="9"/>
  <c r="H43" i="9"/>
  <c r="G43" i="9"/>
  <c r="F43" i="9"/>
  <c r="E43" i="9"/>
  <c r="D43" i="9"/>
  <c r="C43" i="9"/>
  <c r="B43" i="9"/>
  <c r="K42" i="9"/>
  <c r="J42" i="9"/>
  <c r="I42" i="9"/>
  <c r="H42" i="9"/>
  <c r="G42" i="9"/>
  <c r="F42" i="9"/>
  <c r="E42" i="9"/>
  <c r="D42" i="9"/>
  <c r="C42" i="9"/>
  <c r="B42" i="9"/>
  <c r="K41" i="9"/>
  <c r="J41" i="9"/>
  <c r="I41" i="9"/>
  <c r="H41" i="9"/>
  <c r="G41" i="9"/>
  <c r="F41" i="9"/>
  <c r="E41" i="9"/>
  <c r="D41" i="9"/>
  <c r="C41" i="9"/>
  <c r="B41" i="9"/>
  <c r="K40" i="9"/>
  <c r="J40" i="9"/>
  <c r="I40" i="9"/>
  <c r="H40" i="9"/>
  <c r="G40" i="9"/>
  <c r="F40" i="9"/>
  <c r="E40" i="9"/>
  <c r="D40" i="9"/>
  <c r="C40" i="9"/>
  <c r="B40" i="9"/>
  <c r="C36" i="9"/>
  <c r="B36" i="9"/>
  <c r="E36" i="9" s="1"/>
  <c r="F36" i="9" s="1"/>
  <c r="C35" i="9"/>
  <c r="B35" i="9"/>
  <c r="D35" i="9" s="1"/>
  <c r="C34" i="9"/>
  <c r="B34" i="9"/>
  <c r="E34" i="9" s="1"/>
  <c r="F34" i="9" s="1"/>
  <c r="C33" i="9"/>
  <c r="B33" i="9"/>
  <c r="C32" i="9"/>
  <c r="B32" i="9"/>
  <c r="D32" i="9" s="1"/>
  <c r="C31" i="9"/>
  <c r="B31" i="9"/>
  <c r="D31" i="9" s="1"/>
  <c r="C30" i="9"/>
  <c r="B30" i="9"/>
  <c r="C29" i="9"/>
  <c r="B29" i="9"/>
  <c r="D29" i="9" s="1"/>
  <c r="C28" i="9"/>
  <c r="B28" i="9"/>
  <c r="C27" i="9"/>
  <c r="B27" i="9"/>
  <c r="C26" i="9"/>
  <c r="B26" i="9"/>
  <c r="E26" i="9" s="1"/>
  <c r="F26" i="9" s="1"/>
  <c r="C25" i="9"/>
  <c r="B25" i="9"/>
  <c r="D25" i="9" s="1"/>
  <c r="C24" i="9"/>
  <c r="B24" i="9"/>
  <c r="E24" i="9" s="1"/>
  <c r="F24" i="9" s="1"/>
  <c r="C23" i="9"/>
  <c r="B23" i="9"/>
  <c r="F351" i="13" l="1"/>
  <c r="G351" i="13" s="1"/>
  <c r="I351" i="13" s="1"/>
  <c r="Y351" i="13" s="1"/>
  <c r="S772" i="10"/>
  <c r="I772" i="10" s="1"/>
  <c r="K772" i="10" s="1"/>
  <c r="L772" i="10"/>
  <c r="O771" i="10"/>
  <c r="O770" i="10"/>
  <c r="S770" i="10"/>
  <c r="I770" i="10" s="1"/>
  <c r="K770" i="10" s="1"/>
  <c r="S771" i="10"/>
  <c r="I771" i="10" s="1"/>
  <c r="L770" i="10"/>
  <c r="D81" i="7"/>
  <c r="U60" i="9" s="1"/>
  <c r="S769" i="10"/>
  <c r="I769" i="10" s="1"/>
  <c r="K769" i="10" s="1"/>
  <c r="L768" i="10"/>
  <c r="O769" i="10"/>
  <c r="S768" i="10"/>
  <c r="I768" i="10" s="1"/>
  <c r="K768" i="10" s="1"/>
  <c r="O768" i="10"/>
  <c r="O767" i="10"/>
  <c r="S767" i="10"/>
  <c r="I767" i="10" s="1"/>
  <c r="K767" i="10" s="1"/>
  <c r="O766" i="10"/>
  <c r="S766" i="10"/>
  <c r="I766" i="10" s="1"/>
  <c r="K766" i="10" s="1"/>
  <c r="L763" i="10"/>
  <c r="O765" i="10"/>
  <c r="S765" i="10"/>
  <c r="I765" i="10" s="1"/>
  <c r="K765" i="10" s="1"/>
  <c r="L765" i="10"/>
  <c r="O764" i="10"/>
  <c r="O763" i="10"/>
  <c r="S764" i="10"/>
  <c r="I764" i="10" s="1"/>
  <c r="S763" i="10"/>
  <c r="I763" i="10" s="1"/>
  <c r="K763" i="10" s="1"/>
  <c r="O762" i="10"/>
  <c r="S762" i="10"/>
  <c r="I762" i="10" s="1"/>
  <c r="K762" i="10" s="1"/>
  <c r="S761" i="10"/>
  <c r="I761" i="10" s="1"/>
  <c r="K761" i="10" s="1"/>
  <c r="O761" i="10"/>
  <c r="L761" i="10"/>
  <c r="O760" i="10"/>
  <c r="O759" i="10"/>
  <c r="S759" i="10"/>
  <c r="I759" i="10" s="1"/>
  <c r="K759" i="10" s="1"/>
  <c r="S760" i="10"/>
  <c r="I760" i="10" s="1"/>
  <c r="L759" i="10"/>
  <c r="S750" i="10"/>
  <c r="I750" i="10" s="1"/>
  <c r="K750" i="10" s="1"/>
  <c r="S729" i="10"/>
  <c r="I729" i="10" s="1"/>
  <c r="F332" i="13" s="1"/>
  <c r="S747" i="10"/>
  <c r="I747" i="10" s="1"/>
  <c r="K747" i="10" s="1"/>
  <c r="S733" i="10"/>
  <c r="I733" i="10" s="1"/>
  <c r="K733" i="10" s="1"/>
  <c r="S736" i="10"/>
  <c r="I736" i="10" s="1"/>
  <c r="K736" i="10" s="1"/>
  <c r="O758" i="10"/>
  <c r="Q55" i="11"/>
  <c r="P55" i="11"/>
  <c r="P53" i="11"/>
  <c r="Q53" i="11"/>
  <c r="Q47" i="11"/>
  <c r="P47" i="11"/>
  <c r="E344" i="13"/>
  <c r="H344" i="13" s="1" a="1"/>
  <c r="H344" i="13" s="1"/>
  <c r="O757" i="10"/>
  <c r="L757" i="10"/>
  <c r="P5" i="10"/>
  <c r="P6" i="10"/>
  <c r="P4" i="10"/>
  <c r="Q4" i="10" s="1"/>
  <c r="L758" i="10"/>
  <c r="S758" i="10"/>
  <c r="I758" i="10" s="1"/>
  <c r="K758" i="10" s="1"/>
  <c r="S757" i="10"/>
  <c r="I757" i="10" s="1"/>
  <c r="O755" i="10"/>
  <c r="O756" i="10"/>
  <c r="O751" i="10"/>
  <c r="O752" i="10"/>
  <c r="O753" i="10"/>
  <c r="O754" i="10"/>
  <c r="L756" i="10"/>
  <c r="S755" i="10"/>
  <c r="I755" i="10" s="1"/>
  <c r="S756" i="10"/>
  <c r="I756" i="10" s="1"/>
  <c r="K756" i="10" s="1"/>
  <c r="L755" i="10"/>
  <c r="L754" i="10"/>
  <c r="S753" i="10"/>
  <c r="I753" i="10" s="1"/>
  <c r="K753" i="10" s="1"/>
  <c r="S754" i="10"/>
  <c r="I754" i="10" s="1"/>
  <c r="E342" i="13"/>
  <c r="H342" i="13" s="1" a="1"/>
  <c r="H342" i="13" s="1"/>
  <c r="L753" i="10"/>
  <c r="L752" i="10"/>
  <c r="S751" i="10"/>
  <c r="I751" i="10" s="1"/>
  <c r="S752" i="10"/>
  <c r="I752" i="10" s="1"/>
  <c r="K752" i="10" s="1"/>
  <c r="E341" i="13"/>
  <c r="H341" i="13" s="1" a="1"/>
  <c r="H341" i="13" s="1"/>
  <c r="L751" i="10"/>
  <c r="O748" i="10"/>
  <c r="O749" i="10"/>
  <c r="O750" i="10"/>
  <c r="L750" i="10"/>
  <c r="N80" i="7"/>
  <c r="T70" i="9" s="1"/>
  <c r="L749" i="10"/>
  <c r="S748" i="10"/>
  <c r="I748" i="10" s="1"/>
  <c r="S749" i="10"/>
  <c r="I749" i="10" s="1"/>
  <c r="K749" i="10" s="1"/>
  <c r="E340" i="13"/>
  <c r="H340" i="13" s="1" a="1"/>
  <c r="H340" i="13" s="1"/>
  <c r="L748" i="10"/>
  <c r="O745" i="10"/>
  <c r="O746" i="10"/>
  <c r="O747" i="10"/>
  <c r="E336" i="13"/>
  <c r="H336" i="13" s="1" a="1"/>
  <c r="H336" i="13" s="1"/>
  <c r="L739" i="10"/>
  <c r="E334" i="13"/>
  <c r="H334" i="13" s="1" a="1"/>
  <c r="H334" i="13" s="1"/>
  <c r="L734" i="10"/>
  <c r="E333" i="13"/>
  <c r="H333" i="13" s="1" a="1"/>
  <c r="H333" i="13" s="1"/>
  <c r="L730" i="10"/>
  <c r="L747" i="10"/>
  <c r="L746" i="10"/>
  <c r="S745" i="10"/>
  <c r="I745" i="10" s="1"/>
  <c r="K745" i="10" s="1"/>
  <c r="S746" i="10"/>
  <c r="I746" i="10" s="1"/>
  <c r="E339" i="13"/>
  <c r="H339" i="13" s="1" a="1"/>
  <c r="H339" i="13" s="1"/>
  <c r="L745" i="10"/>
  <c r="O743" i="10"/>
  <c r="O744" i="10"/>
  <c r="L744" i="10"/>
  <c r="S743" i="10"/>
  <c r="I743" i="10" s="1"/>
  <c r="K743" i="10" s="1"/>
  <c r="S744" i="10"/>
  <c r="I744" i="10" s="1"/>
  <c r="E338" i="13"/>
  <c r="H338" i="13" s="1" a="1"/>
  <c r="H338" i="13" s="1"/>
  <c r="L743" i="10"/>
  <c r="O741" i="10"/>
  <c r="O742" i="10"/>
  <c r="L742" i="10"/>
  <c r="S741" i="10"/>
  <c r="I741" i="10" s="1"/>
  <c r="K741" i="10" s="1"/>
  <c r="S742" i="10"/>
  <c r="I742" i="10" s="1"/>
  <c r="E337" i="13"/>
  <c r="H337" i="13" s="1" a="1"/>
  <c r="H337" i="13" s="1"/>
  <c r="L741" i="10"/>
  <c r="O739" i="10"/>
  <c r="O740" i="10"/>
  <c r="L740" i="10"/>
  <c r="S740" i="10"/>
  <c r="I740" i="10" s="1"/>
  <c r="S739" i="10"/>
  <c r="I739" i="10" s="1"/>
  <c r="K739" i="10" s="1"/>
  <c r="O737" i="10"/>
  <c r="O738" i="10"/>
  <c r="L738" i="10"/>
  <c r="S737" i="10"/>
  <c r="I737" i="10" s="1"/>
  <c r="S738" i="10"/>
  <c r="I738" i="10" s="1"/>
  <c r="K738" i="10" s="1"/>
  <c r="E335" i="13"/>
  <c r="H335" i="13" s="1" a="1"/>
  <c r="H335" i="13" s="1"/>
  <c r="L737" i="10"/>
  <c r="O734" i="10"/>
  <c r="O735" i="10"/>
  <c r="O736" i="10"/>
  <c r="L736" i="10"/>
  <c r="L735" i="10"/>
  <c r="S735" i="10"/>
  <c r="I735" i="10" s="1"/>
  <c r="K735" i="10" s="1"/>
  <c r="S734" i="10"/>
  <c r="I734" i="10" s="1"/>
  <c r="O730" i="10"/>
  <c r="O731" i="10"/>
  <c r="O732" i="10"/>
  <c r="O733" i="10"/>
  <c r="L733" i="10"/>
  <c r="L732" i="10"/>
  <c r="S732" i="10"/>
  <c r="I732" i="10" s="1"/>
  <c r="K732" i="10" s="1"/>
  <c r="S731" i="10"/>
  <c r="I731" i="10" s="1"/>
  <c r="K731" i="10" s="1"/>
  <c r="S730" i="10"/>
  <c r="I730" i="10" s="1"/>
  <c r="O727" i="10"/>
  <c r="O728" i="10"/>
  <c r="O729" i="10"/>
  <c r="E332" i="13"/>
  <c r="H332" i="13" s="1" a="1"/>
  <c r="H332" i="13" s="1"/>
  <c r="L727" i="10"/>
  <c r="K729" i="10"/>
  <c r="L729" i="10"/>
  <c r="L728" i="10"/>
  <c r="S728" i="10"/>
  <c r="I728" i="10" s="1"/>
  <c r="K728" i="10" s="1"/>
  <c r="S727" i="10"/>
  <c r="I727" i="10" s="1"/>
  <c r="K727" i="10" s="1"/>
  <c r="O726" i="10"/>
  <c r="L726" i="10"/>
  <c r="S725" i="10"/>
  <c r="I725" i="10" s="1"/>
  <c r="F331" i="13" s="1"/>
  <c r="S726" i="10"/>
  <c r="I726" i="10" s="1"/>
  <c r="K726" i="10" s="1"/>
  <c r="O725" i="10"/>
  <c r="E331" i="13"/>
  <c r="H331" i="13" s="1" a="1"/>
  <c r="H331" i="13" s="1"/>
  <c r="L725" i="10"/>
  <c r="O724" i="10"/>
  <c r="L724" i="10"/>
  <c r="S723" i="10"/>
  <c r="I723" i="10" s="1"/>
  <c r="K723" i="10" s="1"/>
  <c r="S724" i="10"/>
  <c r="I724" i="10" s="1"/>
  <c r="K724" i="10" s="1"/>
  <c r="O723" i="10"/>
  <c r="E330" i="13"/>
  <c r="H330" i="13" s="1" a="1"/>
  <c r="H330" i="13" s="1"/>
  <c r="L723" i="10"/>
  <c r="O722" i="10"/>
  <c r="L722" i="10"/>
  <c r="S721" i="10"/>
  <c r="I721" i="10" s="1"/>
  <c r="K721" i="10" s="1"/>
  <c r="S722" i="10"/>
  <c r="I722" i="10" s="1"/>
  <c r="K722" i="10" s="1"/>
  <c r="O721" i="10"/>
  <c r="E329" i="13"/>
  <c r="H329" i="13" s="1" a="1"/>
  <c r="H329" i="13" s="1"/>
  <c r="L721" i="10"/>
  <c r="O720" i="10"/>
  <c r="L720" i="10"/>
  <c r="S719" i="10"/>
  <c r="I719" i="10" s="1"/>
  <c r="S720" i="10"/>
  <c r="I720" i="10" s="1"/>
  <c r="K720" i="10" s="1"/>
  <c r="O719" i="10"/>
  <c r="L719" i="10"/>
  <c r="O718" i="10"/>
  <c r="L718" i="10"/>
  <c r="S717" i="10"/>
  <c r="I717" i="10" s="1"/>
  <c r="S718" i="10"/>
  <c r="I718" i="10" s="1"/>
  <c r="K718" i="10" s="1"/>
  <c r="O717" i="10"/>
  <c r="L717" i="10"/>
  <c r="O716" i="10"/>
  <c r="L716" i="10"/>
  <c r="S715" i="10"/>
  <c r="I715" i="10" s="1"/>
  <c r="K715" i="10" s="1"/>
  <c r="S716" i="10"/>
  <c r="I716" i="10" s="1"/>
  <c r="K716" i="10" s="1"/>
  <c r="O715" i="10"/>
  <c r="L715" i="10"/>
  <c r="O714" i="10"/>
  <c r="L714" i="10"/>
  <c r="S713" i="10"/>
  <c r="I713" i="10" s="1"/>
  <c r="S714" i="10"/>
  <c r="I714" i="10" s="1"/>
  <c r="K714" i="10" s="1"/>
  <c r="O713" i="10"/>
  <c r="O712" i="10"/>
  <c r="L713" i="10"/>
  <c r="O711" i="10"/>
  <c r="L712" i="10"/>
  <c r="S711" i="10"/>
  <c r="I711" i="10" s="1"/>
  <c r="S712" i="10"/>
  <c r="I712" i="10" s="1"/>
  <c r="K712" i="10" s="1"/>
  <c r="O709" i="10"/>
  <c r="E324" i="13"/>
  <c r="H324" i="13" s="1" a="1"/>
  <c r="H324" i="13" s="1"/>
  <c r="L711" i="10"/>
  <c r="O685" i="10"/>
  <c r="O681" i="10"/>
  <c r="O679" i="10"/>
  <c r="O677" i="10"/>
  <c r="O669" i="10"/>
  <c r="O631" i="10"/>
  <c r="O629" i="10"/>
  <c r="O617" i="10"/>
  <c r="O615" i="10"/>
  <c r="O613" i="10"/>
  <c r="O597" i="10"/>
  <c r="O589" i="10"/>
  <c r="O582" i="10"/>
  <c r="O568" i="10"/>
  <c r="O566" i="10"/>
  <c r="O551" i="10"/>
  <c r="O549" i="10"/>
  <c r="O541" i="10"/>
  <c r="O537" i="10"/>
  <c r="O533" i="10"/>
  <c r="O519" i="10"/>
  <c r="O517" i="10"/>
  <c r="O509" i="10"/>
  <c r="O505" i="10"/>
  <c r="O503" i="10"/>
  <c r="O501" i="10"/>
  <c r="O493" i="10"/>
  <c r="O489" i="10"/>
  <c r="O488" i="10"/>
  <c r="O486" i="10"/>
  <c r="O470" i="10"/>
  <c r="O454" i="10"/>
  <c r="O440" i="10"/>
  <c r="O438" i="10"/>
  <c r="O437" i="10"/>
  <c r="O429" i="10"/>
  <c r="O425" i="10"/>
  <c r="O422" i="10"/>
  <c r="O413" i="10"/>
  <c r="O391" i="10"/>
  <c r="O389" i="10"/>
  <c r="O387" i="10"/>
  <c r="O381" i="10"/>
  <c r="O355" i="10"/>
  <c r="O335" i="10"/>
  <c r="O334" i="10"/>
  <c r="O333" i="10"/>
  <c r="O327" i="10"/>
  <c r="O317" i="10"/>
  <c r="O297" i="10"/>
  <c r="O286" i="10"/>
  <c r="O284" i="10"/>
  <c r="O262" i="10"/>
  <c r="O253" i="10"/>
  <c r="O252" i="10"/>
  <c r="O246" i="10"/>
  <c r="O237" i="10"/>
  <c r="O235" i="10"/>
  <c r="O233" i="10"/>
  <c r="O232" i="10"/>
  <c r="O231" i="10"/>
  <c r="O214" i="10"/>
  <c r="O201" i="10"/>
  <c r="O200" i="10"/>
  <c r="O185" i="10"/>
  <c r="O184" i="10"/>
  <c r="O182" i="10"/>
  <c r="O180" i="10"/>
  <c r="O134" i="10"/>
  <c r="O132" i="10"/>
  <c r="O118" i="10"/>
  <c r="O45" i="10"/>
  <c r="O40" i="10"/>
  <c r="O30" i="10"/>
  <c r="O27" i="10"/>
  <c r="O24" i="10"/>
  <c r="O23" i="10"/>
  <c r="O11" i="10"/>
  <c r="O7" i="10"/>
  <c r="O710" i="10"/>
  <c r="S709" i="10"/>
  <c r="I709" i="10" s="1"/>
  <c r="K709" i="10" s="1"/>
  <c r="O663" i="10"/>
  <c r="O649" i="10"/>
  <c r="O645" i="10"/>
  <c r="O637" i="10"/>
  <c r="O633" i="10"/>
  <c r="O102" i="10"/>
  <c r="O60" i="10"/>
  <c r="E322" i="13"/>
  <c r="H322" i="13" s="1" a="1"/>
  <c r="H322" i="13" s="1"/>
  <c r="L707" i="10"/>
  <c r="E321" i="13"/>
  <c r="H321" i="13" s="1" a="1"/>
  <c r="H321" i="13" s="1"/>
  <c r="L705" i="10"/>
  <c r="E318" i="13"/>
  <c r="H318" i="13" s="1" a="1"/>
  <c r="H318" i="13" s="1"/>
  <c r="L698" i="10"/>
  <c r="E317" i="13"/>
  <c r="H317" i="13" s="1" a="1"/>
  <c r="H317" i="13" s="1"/>
  <c r="L695" i="10"/>
  <c r="E316" i="13"/>
  <c r="H316" i="13" s="1" a="1"/>
  <c r="H316" i="13" s="1"/>
  <c r="L692" i="10"/>
  <c r="O705" i="10"/>
  <c r="S710" i="10"/>
  <c r="I710" i="10" s="1"/>
  <c r="E323" i="13"/>
  <c r="H323" i="13" s="1" a="1"/>
  <c r="H323" i="13" s="1"/>
  <c r="S708" i="10"/>
  <c r="I708" i="10" s="1"/>
  <c r="K708" i="10" s="1"/>
  <c r="O708" i="10"/>
  <c r="O707" i="10"/>
  <c r="S707" i="10"/>
  <c r="I707" i="10" s="1"/>
  <c r="K707" i="10" s="1"/>
  <c r="O706" i="10"/>
  <c r="S706" i="10"/>
  <c r="I706" i="10" s="1"/>
  <c r="S705" i="10"/>
  <c r="I705" i="10" s="1"/>
  <c r="K705" i="10" s="1"/>
  <c r="L706" i="10"/>
  <c r="O442" i="10"/>
  <c r="S701" i="10"/>
  <c r="I701" i="10" s="1"/>
  <c r="K701" i="10" s="1"/>
  <c r="O266" i="10"/>
  <c r="O554" i="10"/>
  <c r="O570" i="10"/>
  <c r="O186" i="10"/>
  <c r="O218" i="10"/>
  <c r="S704" i="10"/>
  <c r="I704" i="10" s="1"/>
  <c r="K704" i="10" s="1"/>
  <c r="O490" i="10"/>
  <c r="O704" i="10"/>
  <c r="O703" i="10"/>
  <c r="S703" i="10"/>
  <c r="I703" i="10" s="1"/>
  <c r="K703" i="10" s="1"/>
  <c r="L703" i="10"/>
  <c r="E319" i="13"/>
  <c r="H319" i="13" s="1" a="1"/>
  <c r="H319" i="13" s="1"/>
  <c r="O697" i="10"/>
  <c r="O701" i="10"/>
  <c r="L677" i="10"/>
  <c r="O702" i="10"/>
  <c r="S702" i="10"/>
  <c r="I702" i="10" s="1"/>
  <c r="O699" i="10"/>
  <c r="O698" i="10"/>
  <c r="S700" i="10"/>
  <c r="I700" i="10" s="1"/>
  <c r="K700" i="10" s="1"/>
  <c r="O700" i="10"/>
  <c r="S698" i="10"/>
  <c r="I698" i="10" s="1"/>
  <c r="K698" i="10" s="1"/>
  <c r="S699" i="10"/>
  <c r="I699" i="10" s="1"/>
  <c r="K699" i="10" s="1"/>
  <c r="O696" i="10"/>
  <c r="H84" i="7"/>
  <c r="X64" i="9" s="1"/>
  <c r="S695" i="10"/>
  <c r="I695" i="10" s="1"/>
  <c r="K695" i="10" s="1"/>
  <c r="O695" i="10"/>
  <c r="S696" i="10"/>
  <c r="I696" i="10" s="1"/>
  <c r="S697" i="10"/>
  <c r="I697" i="10" s="1"/>
  <c r="K697" i="10" s="1"/>
  <c r="O694" i="10"/>
  <c r="O693" i="10"/>
  <c r="O692" i="10"/>
  <c r="S693" i="10"/>
  <c r="I693" i="10" s="1"/>
  <c r="S694" i="10"/>
  <c r="I694" i="10" s="1"/>
  <c r="K694" i="10" s="1"/>
  <c r="B20" i="13"/>
  <c r="S692" i="10"/>
  <c r="I692" i="10" s="1"/>
  <c r="K692" i="10" s="1"/>
  <c r="S689" i="10"/>
  <c r="I689" i="10" s="1"/>
  <c r="K689" i="10" s="1"/>
  <c r="O691" i="10"/>
  <c r="L689" i="10"/>
  <c r="O690" i="10"/>
  <c r="O689" i="10"/>
  <c r="S690" i="10"/>
  <c r="I690" i="10" s="1"/>
  <c r="K690" i="10" s="1"/>
  <c r="O661" i="10"/>
  <c r="O660" i="10"/>
  <c r="S691" i="10"/>
  <c r="I691" i="10" s="1"/>
  <c r="K691" i="10" s="1"/>
  <c r="O420" i="10"/>
  <c r="O564" i="10"/>
  <c r="O468" i="10"/>
  <c r="L9" i="10"/>
  <c r="O9" i="10"/>
  <c r="E93" i="13"/>
  <c r="O148" i="10"/>
  <c r="E94" i="13"/>
  <c r="O152" i="10"/>
  <c r="L167" i="10"/>
  <c r="O167" i="10"/>
  <c r="L183" i="10"/>
  <c r="O183" i="10"/>
  <c r="L199" i="10"/>
  <c r="O199" i="10"/>
  <c r="L211" i="10"/>
  <c r="O211" i="10"/>
  <c r="L215" i="10"/>
  <c r="O215" i="10"/>
  <c r="L245" i="10"/>
  <c r="O245" i="10"/>
  <c r="E134" i="13"/>
  <c r="H134" i="13" s="1" a="1"/>
  <c r="H134" i="13" s="1"/>
  <c r="O268" i="10"/>
  <c r="L421" i="10"/>
  <c r="O421" i="10"/>
  <c r="E218" i="13"/>
  <c r="H218" i="13" s="1" a="1"/>
  <c r="H218" i="13" s="1"/>
  <c r="O452" i="10"/>
  <c r="L471" i="10"/>
  <c r="O471" i="10"/>
  <c r="L521" i="10"/>
  <c r="O521" i="10"/>
  <c r="L532" i="10"/>
  <c r="O532" i="10"/>
  <c r="L586" i="10"/>
  <c r="O586" i="10"/>
  <c r="L665" i="10"/>
  <c r="O665" i="10"/>
  <c r="O686" i="10"/>
  <c r="O670" i="10"/>
  <c r="O654" i="10"/>
  <c r="O638" i="10"/>
  <c r="O622" i="10"/>
  <c r="O606" i="10"/>
  <c r="O590" i="10"/>
  <c r="O574" i="10"/>
  <c r="O558" i="10"/>
  <c r="O542" i="10"/>
  <c r="O526" i="10"/>
  <c r="O510" i="10"/>
  <c r="O494" i="10"/>
  <c r="O478" i="10"/>
  <c r="O462" i="10"/>
  <c r="O446" i="10"/>
  <c r="O430" i="10"/>
  <c r="O414" i="10"/>
  <c r="O398" i="10"/>
  <c r="O382" i="10"/>
  <c r="O366" i="10"/>
  <c r="O350" i="10"/>
  <c r="O270" i="10"/>
  <c r="O254" i="10"/>
  <c r="O238" i="10"/>
  <c r="O222" i="10"/>
  <c r="O206" i="10"/>
  <c r="O190" i="10"/>
  <c r="O174" i="10"/>
  <c r="O158" i="10"/>
  <c r="O142" i="10"/>
  <c r="O126" i="10"/>
  <c r="O110" i="10"/>
  <c r="O94" i="10"/>
  <c r="O14" i="10"/>
  <c r="L12" i="10"/>
  <c r="O12" i="10"/>
  <c r="E40" i="13"/>
  <c r="H40" i="13" s="1" a="1"/>
  <c r="H40" i="13" s="1"/>
  <c r="O41" i="10"/>
  <c r="E55" i="13"/>
  <c r="H55" i="13" s="1" a="1"/>
  <c r="H55" i="13" s="1"/>
  <c r="O71" i="10"/>
  <c r="L78" i="10"/>
  <c r="O78" i="10"/>
  <c r="E140" i="13"/>
  <c r="H140" i="13" s="1" a="1"/>
  <c r="H140" i="13" s="1"/>
  <c r="O280" i="10"/>
  <c r="E148" i="13"/>
  <c r="H148" i="13" s="1" a="1"/>
  <c r="H148" i="13" s="1"/>
  <c r="O296" i="10"/>
  <c r="L390" i="10"/>
  <c r="O390" i="10"/>
  <c r="E198" i="13"/>
  <c r="H198" i="13" s="1" a="1"/>
  <c r="H198" i="13" s="1"/>
  <c r="O406" i="10"/>
  <c r="E220" i="13"/>
  <c r="H220" i="13" s="1" a="1"/>
  <c r="H220" i="13" s="1"/>
  <c r="O456" i="10"/>
  <c r="L525" i="10"/>
  <c r="O525" i="10"/>
  <c r="L536" i="10"/>
  <c r="O536" i="10"/>
  <c r="L548" i="10"/>
  <c r="O548" i="10"/>
  <c r="L552" i="10"/>
  <c r="O552" i="10"/>
  <c r="L583" i="10"/>
  <c r="O583" i="10"/>
  <c r="L598" i="10"/>
  <c r="O598" i="10"/>
  <c r="O349" i="10"/>
  <c r="O93" i="10"/>
  <c r="L26" i="10"/>
  <c r="O26" i="10"/>
  <c r="E77" i="13"/>
  <c r="H77" i="13" s="1" a="1"/>
  <c r="H77" i="13" s="1"/>
  <c r="O116" i="10"/>
  <c r="E97" i="13"/>
  <c r="O164" i="10"/>
  <c r="L234" i="10"/>
  <c r="O234" i="10"/>
  <c r="L249" i="10"/>
  <c r="O249" i="10"/>
  <c r="E150" i="13"/>
  <c r="H150" i="13" s="1" a="1"/>
  <c r="H150" i="13" s="1"/>
  <c r="O300" i="10"/>
  <c r="L371" i="10"/>
  <c r="O371" i="10"/>
  <c r="L441" i="10"/>
  <c r="O441" i="10"/>
  <c r="L445" i="10"/>
  <c r="O445" i="10"/>
  <c r="L602" i="10"/>
  <c r="O602" i="10"/>
  <c r="O684" i="10"/>
  <c r="O668" i="10"/>
  <c r="O652" i="10"/>
  <c r="O636" i="10"/>
  <c r="O620" i="10"/>
  <c r="O604" i="10"/>
  <c r="O588" i="10"/>
  <c r="O572" i="10"/>
  <c r="O556" i="10"/>
  <c r="O540" i="10"/>
  <c r="O524" i="10"/>
  <c r="O508" i="10"/>
  <c r="O492" i="10"/>
  <c r="O476" i="10"/>
  <c r="O460" i="10"/>
  <c r="O444" i="10"/>
  <c r="O428" i="10"/>
  <c r="O412" i="10"/>
  <c r="O396" i="10"/>
  <c r="O380" i="10"/>
  <c r="O364" i="10"/>
  <c r="O348" i="10"/>
  <c r="O332" i="10"/>
  <c r="O236" i="10"/>
  <c r="O220" i="10"/>
  <c r="O204" i="10"/>
  <c r="O188" i="10"/>
  <c r="O172" i="10"/>
  <c r="O156" i="10"/>
  <c r="O140" i="10"/>
  <c r="O124" i="10"/>
  <c r="O108" i="10"/>
  <c r="O92" i="10"/>
  <c r="O76" i="10"/>
  <c r="L133" i="10"/>
  <c r="O133" i="10"/>
  <c r="L375" i="10"/>
  <c r="O375" i="10"/>
  <c r="E233" i="13"/>
  <c r="H233" i="13" s="1" a="1"/>
  <c r="H233" i="13" s="1"/>
  <c r="O487" i="10"/>
  <c r="L502" i="10"/>
  <c r="O502" i="10"/>
  <c r="L506" i="10"/>
  <c r="O506" i="10"/>
  <c r="L518" i="10"/>
  <c r="O518" i="10"/>
  <c r="L614" i="10"/>
  <c r="O614" i="10"/>
  <c r="L618" i="10"/>
  <c r="O618" i="10"/>
  <c r="O683" i="10"/>
  <c r="O667" i="10"/>
  <c r="O651" i="10"/>
  <c r="O635" i="10"/>
  <c r="O619" i="10"/>
  <c r="O603" i="10"/>
  <c r="O587" i="10"/>
  <c r="O571" i="10"/>
  <c r="O555" i="10"/>
  <c r="O539" i="10"/>
  <c r="O523" i="10"/>
  <c r="O507" i="10"/>
  <c r="O491" i="10"/>
  <c r="O475" i="10"/>
  <c r="O459" i="10"/>
  <c r="O443" i="10"/>
  <c r="O427" i="10"/>
  <c r="O411" i="10"/>
  <c r="O395" i="10"/>
  <c r="O379" i="10"/>
  <c r="O363" i="10"/>
  <c r="O347" i="10"/>
  <c r="O331" i="10"/>
  <c r="O315" i="10"/>
  <c r="O299" i="10"/>
  <c r="O219" i="10"/>
  <c r="O203" i="10"/>
  <c r="O187" i="10"/>
  <c r="O171" i="10"/>
  <c r="O155" i="10"/>
  <c r="O139" i="10"/>
  <c r="O123" i="10"/>
  <c r="O107" i="10"/>
  <c r="O91" i="10"/>
  <c r="O75" i="10"/>
  <c r="O59" i="10"/>
  <c r="O43" i="10"/>
  <c r="L141" i="10"/>
  <c r="O141" i="10"/>
  <c r="L149" i="10"/>
  <c r="O149" i="10"/>
  <c r="L153" i="10"/>
  <c r="O153" i="10"/>
  <c r="L157" i="10"/>
  <c r="O157" i="10"/>
  <c r="E110" i="13"/>
  <c r="O216" i="10"/>
  <c r="L265" i="10"/>
  <c r="O265" i="10"/>
  <c r="L269" i="10"/>
  <c r="O269" i="10"/>
  <c r="E158" i="13"/>
  <c r="H158" i="13" s="1" a="1"/>
  <c r="H158" i="13" s="1"/>
  <c r="O316" i="10"/>
  <c r="L472" i="10"/>
  <c r="O472" i="10"/>
  <c r="L580" i="10"/>
  <c r="O580" i="10"/>
  <c r="L653" i="10"/>
  <c r="O653" i="10"/>
  <c r="L662" i="10"/>
  <c r="O662" i="10"/>
  <c r="E305" i="13"/>
  <c r="H305" i="13" s="1" a="1"/>
  <c r="H305" i="13" s="1"/>
  <c r="O666" i="10"/>
  <c r="O410" i="10"/>
  <c r="O394" i="10"/>
  <c r="O378" i="10"/>
  <c r="O362" i="10"/>
  <c r="O346" i="10"/>
  <c r="O298" i="10"/>
  <c r="O154" i="10"/>
  <c r="O138" i="10"/>
  <c r="O122" i="10"/>
  <c r="O106" i="10"/>
  <c r="O90" i="10"/>
  <c r="O42" i="10"/>
  <c r="L105" i="10"/>
  <c r="O105" i="10"/>
  <c r="L285" i="10"/>
  <c r="O285" i="10"/>
  <c r="L403" i="10"/>
  <c r="O403" i="10"/>
  <c r="L407" i="10"/>
  <c r="O407" i="10"/>
  <c r="L453" i="10"/>
  <c r="O453" i="10"/>
  <c r="L522" i="10"/>
  <c r="O522" i="10"/>
  <c r="L599" i="10"/>
  <c r="O599" i="10"/>
  <c r="L630" i="10"/>
  <c r="O630" i="10"/>
  <c r="L634" i="10"/>
  <c r="O634" i="10"/>
  <c r="L646" i="10"/>
  <c r="O646" i="10"/>
  <c r="L678" i="10"/>
  <c r="O678" i="10"/>
  <c r="L682" i="10"/>
  <c r="O682" i="10"/>
  <c r="O393" i="10"/>
  <c r="O377" i="10"/>
  <c r="O361" i="10"/>
  <c r="O345" i="10"/>
  <c r="O329" i="10"/>
  <c r="O281" i="10"/>
  <c r="O137" i="10"/>
  <c r="O121" i="10"/>
  <c r="O89" i="10"/>
  <c r="O73" i="10"/>
  <c r="O25" i="10"/>
  <c r="L10" i="10"/>
  <c r="O10" i="10"/>
  <c r="E48" i="13"/>
  <c r="H48" i="13" s="1" a="1"/>
  <c r="H48" i="13" s="1"/>
  <c r="O57" i="10"/>
  <c r="L79" i="10"/>
  <c r="O79" i="10"/>
  <c r="L109" i="10"/>
  <c r="O109" i="10"/>
  <c r="L165" i="10"/>
  <c r="O165" i="10"/>
  <c r="E125" i="13"/>
  <c r="H125" i="13" s="1" a="1"/>
  <c r="H125" i="13" s="1"/>
  <c r="O250" i="10"/>
  <c r="L301" i="10"/>
  <c r="O301" i="10"/>
  <c r="L372" i="10"/>
  <c r="O372" i="10"/>
  <c r="L426" i="10"/>
  <c r="O426" i="10"/>
  <c r="L457" i="10"/>
  <c r="O457" i="10"/>
  <c r="L553" i="10"/>
  <c r="O553" i="10"/>
  <c r="L557" i="10"/>
  <c r="O557" i="10"/>
  <c r="L565" i="10"/>
  <c r="O565" i="10"/>
  <c r="L569" i="10"/>
  <c r="O569" i="10"/>
  <c r="L584" i="10"/>
  <c r="O584" i="10"/>
  <c r="O424" i="10"/>
  <c r="O392" i="10"/>
  <c r="O376" i="10"/>
  <c r="O360" i="10"/>
  <c r="O344" i="10"/>
  <c r="O328" i="10"/>
  <c r="O312" i="10"/>
  <c r="O264" i="10"/>
  <c r="O168" i="10"/>
  <c r="O120" i="10"/>
  <c r="O104" i="10"/>
  <c r="O88" i="10"/>
  <c r="O72" i="10"/>
  <c r="O56" i="10"/>
  <c r="O8" i="10"/>
  <c r="L13" i="10"/>
  <c r="O13" i="10"/>
  <c r="L46" i="10"/>
  <c r="O46" i="10"/>
  <c r="E50" i="13"/>
  <c r="H50" i="13" s="1" a="1"/>
  <c r="H50" i="13" s="1"/>
  <c r="O61" i="10"/>
  <c r="L365" i="10"/>
  <c r="O365" i="10"/>
  <c r="L419" i="10"/>
  <c r="O419" i="10"/>
  <c r="L461" i="10"/>
  <c r="O461" i="10"/>
  <c r="L469" i="10"/>
  <c r="O469" i="10"/>
  <c r="E232" i="13"/>
  <c r="H232" i="13" s="1" a="1"/>
  <c r="H232" i="13" s="1"/>
  <c r="O484" i="10"/>
  <c r="L573" i="10"/>
  <c r="O573" i="10"/>
  <c r="L650" i="10"/>
  <c r="O650" i="10"/>
  <c r="O359" i="10"/>
  <c r="O343" i="10"/>
  <c r="O311" i="10"/>
  <c r="O295" i="10"/>
  <c r="O247" i="10"/>
  <c r="O103" i="10"/>
  <c r="O87" i="10"/>
  <c r="O55" i="10"/>
  <c r="O39" i="10"/>
  <c r="L150" i="10"/>
  <c r="O150" i="10"/>
  <c r="L169" i="10"/>
  <c r="O169" i="10"/>
  <c r="L173" i="10"/>
  <c r="O173" i="10"/>
  <c r="L181" i="10"/>
  <c r="O181" i="10"/>
  <c r="L189" i="10"/>
  <c r="O189" i="10"/>
  <c r="L197" i="10"/>
  <c r="O197" i="10"/>
  <c r="L205" i="10"/>
  <c r="O205" i="10"/>
  <c r="L217" i="10"/>
  <c r="O217" i="10"/>
  <c r="L313" i="10"/>
  <c r="O313" i="10"/>
  <c r="L358" i="10"/>
  <c r="O358" i="10"/>
  <c r="E228" i="13"/>
  <c r="H228" i="13" s="1" a="1"/>
  <c r="H228" i="13" s="1"/>
  <c r="O473" i="10"/>
  <c r="L477" i="10"/>
  <c r="O477" i="10"/>
  <c r="L581" i="10"/>
  <c r="O581" i="10"/>
  <c r="O342" i="10"/>
  <c r="O326" i="10"/>
  <c r="O310" i="10"/>
  <c r="O294" i="10"/>
  <c r="O278" i="10"/>
  <c r="O230" i="10"/>
  <c r="O86" i="10"/>
  <c r="O70" i="10"/>
  <c r="O54" i="10"/>
  <c r="O38" i="10"/>
  <c r="O22" i="10"/>
  <c r="L131" i="10"/>
  <c r="O131" i="10"/>
  <c r="L221" i="10"/>
  <c r="O221" i="10"/>
  <c r="E141" i="13"/>
  <c r="H141" i="13" s="1" a="1"/>
  <c r="H141" i="13" s="1"/>
  <c r="O282" i="10"/>
  <c r="L388" i="10"/>
  <c r="O388" i="10"/>
  <c r="E197" i="13"/>
  <c r="H197" i="13" s="1" a="1"/>
  <c r="H197" i="13" s="1"/>
  <c r="O404" i="10"/>
  <c r="E199" i="13"/>
  <c r="H199" i="13" s="1" a="1"/>
  <c r="H199" i="13" s="1"/>
  <c r="O408" i="10"/>
  <c r="L423" i="10"/>
  <c r="O423" i="10"/>
  <c r="L534" i="10"/>
  <c r="O534" i="10"/>
  <c r="L538" i="10"/>
  <c r="O538" i="10"/>
  <c r="L550" i="10"/>
  <c r="O550" i="10"/>
  <c r="L596" i="10"/>
  <c r="O596" i="10"/>
  <c r="E298" i="13"/>
  <c r="H298" i="13" s="1" a="1"/>
  <c r="H298" i="13" s="1"/>
  <c r="O647" i="10"/>
  <c r="O373" i="10"/>
  <c r="O357" i="10"/>
  <c r="O341" i="10"/>
  <c r="O325" i="10"/>
  <c r="O309" i="10"/>
  <c r="O293" i="10"/>
  <c r="O277" i="10"/>
  <c r="O261" i="10"/>
  <c r="O229" i="10"/>
  <c r="O213" i="10"/>
  <c r="O117" i="10"/>
  <c r="O101" i="10"/>
  <c r="O85" i="10"/>
  <c r="O69" i="10"/>
  <c r="O53" i="10"/>
  <c r="O37" i="10"/>
  <c r="O21" i="10"/>
  <c r="O5" i="10"/>
  <c r="L28" i="10"/>
  <c r="O28" i="10"/>
  <c r="L58" i="10"/>
  <c r="O58" i="10"/>
  <c r="L251" i="10"/>
  <c r="O251" i="10"/>
  <c r="E151" i="13"/>
  <c r="O302" i="10"/>
  <c r="L439" i="10"/>
  <c r="O439" i="10"/>
  <c r="E221" i="13"/>
  <c r="H221" i="13" s="1" a="1"/>
  <c r="H221" i="13" s="1"/>
  <c r="O458" i="10"/>
  <c r="L500" i="10"/>
  <c r="O500" i="10"/>
  <c r="E279" i="13"/>
  <c r="H279" i="13" s="1" a="1"/>
  <c r="H279" i="13" s="1"/>
  <c r="O600" i="10"/>
  <c r="L612" i="10"/>
  <c r="O612" i="10"/>
  <c r="O356" i="10"/>
  <c r="O340" i="10"/>
  <c r="O324" i="10"/>
  <c r="O308" i="10"/>
  <c r="O292" i="10"/>
  <c r="O276" i="10"/>
  <c r="O260" i="10"/>
  <c r="O244" i="10"/>
  <c r="O228" i="10"/>
  <c r="O212" i="10"/>
  <c r="O196" i="10"/>
  <c r="O100" i="10"/>
  <c r="O84" i="10"/>
  <c r="O68" i="10"/>
  <c r="O52" i="10"/>
  <c r="O36" i="10"/>
  <c r="O20" i="10"/>
  <c r="O4" i="10"/>
  <c r="L62" i="10"/>
  <c r="O62" i="10"/>
  <c r="L135" i="10"/>
  <c r="O135" i="10"/>
  <c r="L485" i="10"/>
  <c r="O485" i="10"/>
  <c r="L504" i="10"/>
  <c r="O504" i="10"/>
  <c r="L516" i="10"/>
  <c r="O516" i="10"/>
  <c r="L520" i="10"/>
  <c r="O520" i="10"/>
  <c r="L585" i="10"/>
  <c r="O585" i="10"/>
  <c r="L616" i="10"/>
  <c r="O616" i="10"/>
  <c r="O675" i="10"/>
  <c r="O659" i="10"/>
  <c r="O643" i="10"/>
  <c r="O627" i="10"/>
  <c r="O611" i="10"/>
  <c r="O595" i="10"/>
  <c r="O579" i="10"/>
  <c r="O563" i="10"/>
  <c r="O547" i="10"/>
  <c r="O531" i="10"/>
  <c r="O515" i="10"/>
  <c r="O499" i="10"/>
  <c r="O483" i="10"/>
  <c r="O467" i="10"/>
  <c r="O451" i="10"/>
  <c r="O435" i="10"/>
  <c r="O339" i="10"/>
  <c r="O323" i="10"/>
  <c r="O307" i="10"/>
  <c r="O291" i="10"/>
  <c r="O275" i="10"/>
  <c r="O259" i="10"/>
  <c r="O243" i="10"/>
  <c r="O227" i="10"/>
  <c r="O195" i="10"/>
  <c r="O179" i="10"/>
  <c r="O83" i="10"/>
  <c r="O67" i="10"/>
  <c r="O51" i="10"/>
  <c r="O35" i="10"/>
  <c r="O19" i="10"/>
  <c r="E58" i="13"/>
  <c r="H58" i="13" s="1" a="1"/>
  <c r="H58" i="13" s="1"/>
  <c r="O77" i="10"/>
  <c r="L99" i="10"/>
  <c r="O99" i="10"/>
  <c r="L125" i="10"/>
  <c r="O125" i="10"/>
  <c r="L147" i="10"/>
  <c r="O147" i="10"/>
  <c r="L151" i="10"/>
  <c r="O151" i="10"/>
  <c r="L166" i="10"/>
  <c r="O166" i="10"/>
  <c r="L170" i="10"/>
  <c r="O170" i="10"/>
  <c r="L198" i="10"/>
  <c r="O198" i="10"/>
  <c r="L202" i="10"/>
  <c r="O202" i="10"/>
  <c r="L263" i="10"/>
  <c r="O263" i="10"/>
  <c r="L267" i="10"/>
  <c r="O267" i="10"/>
  <c r="E157" i="13"/>
  <c r="O314" i="10"/>
  <c r="E159" i="13"/>
  <c r="H159" i="13" s="1" a="1"/>
  <c r="H159" i="13" s="1"/>
  <c r="O318" i="10"/>
  <c r="L474" i="10"/>
  <c r="O474" i="10"/>
  <c r="L664" i="10"/>
  <c r="O664" i="10"/>
  <c r="L676" i="10"/>
  <c r="O676" i="10"/>
  <c r="O674" i="10"/>
  <c r="O658" i="10"/>
  <c r="O642" i="10"/>
  <c r="O626" i="10"/>
  <c r="O610" i="10"/>
  <c r="O594" i="10"/>
  <c r="O578" i="10"/>
  <c r="O562" i="10"/>
  <c r="O546" i="10"/>
  <c r="O530" i="10"/>
  <c r="O514" i="10"/>
  <c r="O498" i="10"/>
  <c r="O482" i="10"/>
  <c r="O466" i="10"/>
  <c r="O450" i="10"/>
  <c r="L279" i="10"/>
  <c r="O279" i="10"/>
  <c r="L283" i="10"/>
  <c r="O283" i="10"/>
  <c r="L397" i="10"/>
  <c r="O397" i="10"/>
  <c r="L405" i="10"/>
  <c r="O405" i="10"/>
  <c r="L409" i="10"/>
  <c r="O409" i="10"/>
  <c r="L455" i="10"/>
  <c r="O455" i="10"/>
  <c r="L535" i="10"/>
  <c r="O535" i="10"/>
  <c r="L628" i="10"/>
  <c r="O628" i="10"/>
  <c r="L632" i="10"/>
  <c r="O632" i="10"/>
  <c r="L644" i="10"/>
  <c r="O644" i="10"/>
  <c r="L648" i="10"/>
  <c r="O648" i="10"/>
  <c r="L680" i="10"/>
  <c r="O680" i="10"/>
  <c r="O673" i="10"/>
  <c r="O657" i="10"/>
  <c r="O641" i="10"/>
  <c r="O625" i="10"/>
  <c r="O609" i="10"/>
  <c r="O593" i="10"/>
  <c r="O577" i="10"/>
  <c r="O561" i="10"/>
  <c r="O545" i="10"/>
  <c r="O529" i="10"/>
  <c r="O513" i="10"/>
  <c r="O497" i="10"/>
  <c r="O481" i="10"/>
  <c r="O465" i="10"/>
  <c r="O449" i="10"/>
  <c r="O433" i="10"/>
  <c r="O417" i="10"/>
  <c r="O401" i="10"/>
  <c r="O385" i="10"/>
  <c r="O369" i="10"/>
  <c r="O353" i="10"/>
  <c r="O337" i="10"/>
  <c r="O321" i="10"/>
  <c r="O305" i="10"/>
  <c r="O289" i="10"/>
  <c r="O273" i="10"/>
  <c r="O257" i="10"/>
  <c r="O241" i="10"/>
  <c r="O225" i="10"/>
  <c r="O209" i="10"/>
  <c r="O193" i="10"/>
  <c r="O177" i="10"/>
  <c r="O161" i="10"/>
  <c r="O145" i="10"/>
  <c r="O129" i="10"/>
  <c r="O113" i="10"/>
  <c r="O97" i="10"/>
  <c r="O81" i="10"/>
  <c r="O65" i="10"/>
  <c r="O49" i="10"/>
  <c r="O33" i="10"/>
  <c r="O17" i="10"/>
  <c r="L6" i="10"/>
  <c r="O6" i="10"/>
  <c r="E34" i="13"/>
  <c r="H34" i="13" s="1" a="1"/>
  <c r="H34" i="13" s="1"/>
  <c r="O29" i="10"/>
  <c r="L44" i="10"/>
  <c r="O44" i="10"/>
  <c r="L115" i="10"/>
  <c r="O115" i="10"/>
  <c r="L119" i="10"/>
  <c r="O119" i="10"/>
  <c r="L163" i="10"/>
  <c r="O163" i="10"/>
  <c r="E124" i="13"/>
  <c r="H124" i="13" s="1" a="1"/>
  <c r="H124" i="13" s="1"/>
  <c r="O248" i="10"/>
  <c r="L330" i="10"/>
  <c r="O330" i="10"/>
  <c r="L374" i="10"/>
  <c r="O374" i="10"/>
  <c r="L436" i="10"/>
  <c r="O436" i="10"/>
  <c r="L567" i="10"/>
  <c r="O567" i="10"/>
  <c r="L601" i="10"/>
  <c r="O601" i="10"/>
  <c r="L605" i="10"/>
  <c r="O605" i="10"/>
  <c r="O688" i="10"/>
  <c r="O672" i="10"/>
  <c r="O656" i="10"/>
  <c r="O640" i="10"/>
  <c r="O624" i="10"/>
  <c r="O608" i="10"/>
  <c r="O592" i="10"/>
  <c r="O576" i="10"/>
  <c r="O560" i="10"/>
  <c r="O544" i="10"/>
  <c r="O528" i="10"/>
  <c r="O512" i="10"/>
  <c r="O496" i="10"/>
  <c r="O480" i="10"/>
  <c r="O464" i="10"/>
  <c r="O448" i="10"/>
  <c r="O432" i="10"/>
  <c r="O416" i="10"/>
  <c r="O400" i="10"/>
  <c r="O384" i="10"/>
  <c r="O368" i="10"/>
  <c r="O352" i="10"/>
  <c r="O336" i="10"/>
  <c r="O320" i="10"/>
  <c r="O304" i="10"/>
  <c r="O288" i="10"/>
  <c r="O272" i="10"/>
  <c r="O256" i="10"/>
  <c r="O240" i="10"/>
  <c r="O224" i="10"/>
  <c r="O208" i="10"/>
  <c r="O192" i="10"/>
  <c r="O176" i="10"/>
  <c r="O160" i="10"/>
  <c r="O144" i="10"/>
  <c r="O128" i="10"/>
  <c r="O112" i="10"/>
  <c r="O96" i="10"/>
  <c r="O80" i="10"/>
  <c r="O64" i="10"/>
  <c r="O48" i="10"/>
  <c r="O32" i="10"/>
  <c r="O16" i="10"/>
  <c r="L74" i="10"/>
  <c r="O74" i="10"/>
  <c r="E87" i="13"/>
  <c r="H87" i="13" s="1" a="1"/>
  <c r="H87" i="13" s="1"/>
  <c r="O136" i="10"/>
  <c r="L621" i="10"/>
  <c r="O621" i="10"/>
  <c r="O687" i="10"/>
  <c r="O671" i="10"/>
  <c r="O655" i="10"/>
  <c r="O639" i="10"/>
  <c r="O623" i="10"/>
  <c r="O607" i="10"/>
  <c r="O591" i="10"/>
  <c r="O575" i="10"/>
  <c r="O559" i="10"/>
  <c r="O543" i="10"/>
  <c r="O527" i="10"/>
  <c r="O511" i="10"/>
  <c r="O495" i="10"/>
  <c r="O479" i="10"/>
  <c r="O463" i="10"/>
  <c r="O447" i="10"/>
  <c r="O431" i="10"/>
  <c r="O415" i="10"/>
  <c r="O399" i="10"/>
  <c r="O383" i="10"/>
  <c r="O367" i="10"/>
  <c r="O351" i="10"/>
  <c r="O319" i="10"/>
  <c r="O303" i="10"/>
  <c r="O287" i="10"/>
  <c r="O271" i="10"/>
  <c r="O255" i="10"/>
  <c r="O239" i="10"/>
  <c r="O223" i="10"/>
  <c r="O207" i="10"/>
  <c r="O191" i="10"/>
  <c r="O175" i="10"/>
  <c r="O159" i="10"/>
  <c r="O143" i="10"/>
  <c r="O127" i="10"/>
  <c r="O111" i="10"/>
  <c r="O95" i="10"/>
  <c r="O63" i="10"/>
  <c r="O47" i="10"/>
  <c r="O31" i="10"/>
  <c r="O15" i="10"/>
  <c r="O434" i="10"/>
  <c r="O418" i="10"/>
  <c r="O402" i="10"/>
  <c r="O386" i="10"/>
  <c r="O370" i="10"/>
  <c r="O354" i="10"/>
  <c r="O338" i="10"/>
  <c r="O322" i="10"/>
  <c r="O306" i="10"/>
  <c r="O290" i="10"/>
  <c r="O274" i="10"/>
  <c r="O258" i="10"/>
  <c r="O242" i="10"/>
  <c r="O226" i="10"/>
  <c r="O210" i="10"/>
  <c r="O194" i="10"/>
  <c r="O178" i="10"/>
  <c r="O162" i="10"/>
  <c r="O146" i="10"/>
  <c r="O130" i="10"/>
  <c r="O114" i="10"/>
  <c r="O98" i="10"/>
  <c r="O82" i="10"/>
  <c r="O66" i="10"/>
  <c r="O50" i="10"/>
  <c r="O34" i="10"/>
  <c r="O18" i="10"/>
  <c r="E25" i="13"/>
  <c r="H25" i="13" s="1" a="1"/>
  <c r="H25" i="13" s="1"/>
  <c r="L7" i="10"/>
  <c r="E26" i="13"/>
  <c r="H26" i="13" s="1" a="1"/>
  <c r="H26" i="13" s="1"/>
  <c r="L15" i="10"/>
  <c r="E27" i="13"/>
  <c r="H27" i="13" s="1" a="1"/>
  <c r="H27" i="13" s="1"/>
  <c r="L19" i="10"/>
  <c r="E29" i="13"/>
  <c r="H29" i="13" s="1" a="1"/>
  <c r="H29" i="13" s="1"/>
  <c r="E30" i="13"/>
  <c r="H30" i="13" s="1" a="1"/>
  <c r="H30" i="13" s="1"/>
  <c r="E31" i="13"/>
  <c r="H31" i="13" s="1" a="1"/>
  <c r="H31" i="13" s="1"/>
  <c r="E33" i="13"/>
  <c r="H33" i="13" s="1" a="1"/>
  <c r="H33" i="13" s="1"/>
  <c r="E37" i="13"/>
  <c r="H37" i="13" s="1" a="1"/>
  <c r="H37" i="13" s="1"/>
  <c r="E38" i="13"/>
  <c r="H38" i="13" s="1" a="1"/>
  <c r="H38" i="13" s="1"/>
  <c r="E41" i="13"/>
  <c r="H41" i="13" s="1" a="1"/>
  <c r="H41" i="13" s="1"/>
  <c r="E42" i="13"/>
  <c r="H42" i="13" s="1" a="1"/>
  <c r="H42" i="13" s="1"/>
  <c r="E59" i="13"/>
  <c r="H59" i="13" s="1" a="1"/>
  <c r="H59" i="13" s="1"/>
  <c r="E60" i="13"/>
  <c r="H60" i="13" s="1" a="1"/>
  <c r="H60" i="13" s="1"/>
  <c r="E61" i="13"/>
  <c r="H61" i="13" s="1" a="1"/>
  <c r="H61" i="13" s="1"/>
  <c r="E62" i="13"/>
  <c r="H62" i="13" s="1" a="1"/>
  <c r="H62" i="13" s="1"/>
  <c r="E63" i="13"/>
  <c r="H63" i="13" s="1" a="1"/>
  <c r="H63" i="13" s="1"/>
  <c r="E65" i="13"/>
  <c r="H65" i="13" s="1" a="1"/>
  <c r="H65" i="13" s="1"/>
  <c r="E66" i="13"/>
  <c r="H66" i="13" s="1" a="1"/>
  <c r="H66" i="13" s="1"/>
  <c r="E67" i="13"/>
  <c r="H67" i="13" s="1" a="1"/>
  <c r="H67" i="13" s="1"/>
  <c r="E70" i="13"/>
  <c r="H70" i="13" s="1" a="1"/>
  <c r="H70" i="13" s="1"/>
  <c r="E71" i="13"/>
  <c r="H71" i="13" s="1" a="1"/>
  <c r="H71" i="13" s="1"/>
  <c r="E72" i="13"/>
  <c r="H72" i="13" s="1" a="1"/>
  <c r="H72" i="13" s="1"/>
  <c r="E73" i="13"/>
  <c r="H73" i="13" s="1" a="1"/>
  <c r="H73" i="13" s="1"/>
  <c r="E74" i="13"/>
  <c r="H74" i="13" s="1" a="1"/>
  <c r="H74" i="13" s="1"/>
  <c r="L112" i="10"/>
  <c r="E75" i="13"/>
  <c r="H75" i="13" s="1" a="1"/>
  <c r="H75" i="13" s="1"/>
  <c r="E78" i="13"/>
  <c r="H78" i="13" s="1" a="1"/>
  <c r="H78" i="13" s="1"/>
  <c r="E79" i="13"/>
  <c r="H79" i="13" s="1" a="1"/>
  <c r="H79" i="13" s="1"/>
  <c r="E80" i="13"/>
  <c r="H80" i="13" s="1" a="1"/>
  <c r="H80" i="13" s="1"/>
  <c r="E81" i="13"/>
  <c r="H81" i="13" s="1" a="1"/>
  <c r="H81" i="13" s="1"/>
  <c r="E82" i="13"/>
  <c r="H82" i="13" s="1" a="1"/>
  <c r="H82" i="13" s="1"/>
  <c r="E85" i="13"/>
  <c r="H85" i="13" s="1" a="1"/>
  <c r="H85" i="13" s="1"/>
  <c r="E86" i="13"/>
  <c r="H86" i="13" s="1" a="1"/>
  <c r="H86" i="13" s="1"/>
  <c r="E88" i="13"/>
  <c r="H88" i="13" s="1" a="1"/>
  <c r="H88" i="13" s="1"/>
  <c r="E89" i="13"/>
  <c r="H89" i="13" s="1" a="1"/>
  <c r="H89" i="13" s="1"/>
  <c r="E90" i="13"/>
  <c r="H90" i="13" s="1" a="1"/>
  <c r="H90" i="13" s="1"/>
  <c r="E91" i="13"/>
  <c r="H91" i="13" s="1" a="1"/>
  <c r="H91" i="13" s="1"/>
  <c r="E92" i="13"/>
  <c r="H92" i="13" s="1" a="1"/>
  <c r="H92" i="13" s="1"/>
  <c r="L180" i="10"/>
  <c r="E101" i="13"/>
  <c r="L184" i="10"/>
  <c r="E102" i="13"/>
  <c r="L188" i="10"/>
  <c r="E103" i="13"/>
  <c r="L196" i="10"/>
  <c r="E105" i="13"/>
  <c r="L200" i="10"/>
  <c r="E106" i="13"/>
  <c r="L208" i="10"/>
  <c r="E108" i="13"/>
  <c r="L220" i="10"/>
  <c r="E111" i="13"/>
  <c r="H111" i="13" s="1" a="1"/>
  <c r="H111" i="13" s="1"/>
  <c r="E114" i="13"/>
  <c r="H114" i="13" s="1" a="1"/>
  <c r="H114" i="13" s="1"/>
  <c r="E115" i="13"/>
  <c r="H115" i="13" s="1" a="1"/>
  <c r="H115" i="13" s="1"/>
  <c r="E116" i="13"/>
  <c r="H116" i="13" s="1" a="1"/>
  <c r="H116" i="13" s="1"/>
  <c r="E117" i="13"/>
  <c r="H117" i="13" s="1" a="1"/>
  <c r="H117" i="13" s="1"/>
  <c r="E118" i="13"/>
  <c r="H118" i="13" s="1" a="1"/>
  <c r="H118" i="13" s="1"/>
  <c r="E119" i="13"/>
  <c r="H119" i="13" s="1" a="1"/>
  <c r="H119" i="13" s="1"/>
  <c r="E120" i="13"/>
  <c r="H120" i="13" s="1" a="1"/>
  <c r="H120" i="13" s="1"/>
  <c r="E121" i="13"/>
  <c r="H121" i="13" s="1" a="1"/>
  <c r="H121" i="13" s="1"/>
  <c r="E122" i="13"/>
  <c r="H122" i="13" s="1" a="1"/>
  <c r="H122" i="13" s="1"/>
  <c r="E123" i="13"/>
  <c r="H123" i="13" s="1" a="1"/>
  <c r="H123" i="13" s="1"/>
  <c r="E126" i="13"/>
  <c r="H126" i="13" s="1" a="1"/>
  <c r="H126" i="13" s="1"/>
  <c r="E127" i="13"/>
  <c r="H127" i="13" s="1" a="1"/>
  <c r="H127" i="13" s="1"/>
  <c r="E128" i="13"/>
  <c r="H128" i="13" s="1" a="1"/>
  <c r="H128" i="13" s="1"/>
  <c r="E129" i="13"/>
  <c r="H129" i="13" s="1" a="1"/>
  <c r="H129" i="13" s="1"/>
  <c r="E130" i="13"/>
  <c r="H130" i="13" s="1" a="1"/>
  <c r="H130" i="13" s="1"/>
  <c r="E131" i="13"/>
  <c r="H131" i="13" s="1" a="1"/>
  <c r="H131" i="13" s="1"/>
  <c r="E132" i="13"/>
  <c r="H132" i="13" s="1" a="1"/>
  <c r="H132" i="13" s="1"/>
  <c r="E133" i="13"/>
  <c r="H133" i="13" s="1" a="1"/>
  <c r="H133" i="13" s="1"/>
  <c r="E142" i="13"/>
  <c r="H142" i="13" s="1" a="1"/>
  <c r="H142" i="13" s="1"/>
  <c r="E143" i="13"/>
  <c r="H143" i="13" s="1" a="1"/>
  <c r="H143" i="13" s="1"/>
  <c r="E144" i="13"/>
  <c r="H144" i="13" s="1" a="1"/>
  <c r="H144" i="13" s="1"/>
  <c r="E165" i="13"/>
  <c r="H165" i="13" s="1" a="1"/>
  <c r="H165" i="13" s="1"/>
  <c r="E166" i="13"/>
  <c r="H166" i="13" s="1" a="1"/>
  <c r="H166" i="13" s="1"/>
  <c r="E167" i="13"/>
  <c r="H167" i="13" s="1" a="1"/>
  <c r="H167" i="13" s="1"/>
  <c r="E168" i="13"/>
  <c r="H168" i="13" s="1" a="1"/>
  <c r="H168" i="13" s="1"/>
  <c r="E169" i="13"/>
  <c r="H169" i="13" s="1" a="1"/>
  <c r="H169" i="13" s="1"/>
  <c r="E173" i="13"/>
  <c r="H173" i="13" s="1" a="1"/>
  <c r="H173" i="13" s="1"/>
  <c r="E174" i="13"/>
  <c r="H174" i="13" s="1" a="1"/>
  <c r="H174" i="13" s="1"/>
  <c r="E175" i="13"/>
  <c r="H175" i="13" s="1" a="1"/>
  <c r="H175" i="13" s="1"/>
  <c r="E176" i="13"/>
  <c r="H176" i="13" s="1" a="1"/>
  <c r="H176" i="13" s="1"/>
  <c r="E177" i="13"/>
  <c r="H177" i="13" s="1" a="1"/>
  <c r="H177" i="13" s="1"/>
  <c r="E178" i="13"/>
  <c r="H178" i="13" s="1" a="1"/>
  <c r="H178" i="13" s="1"/>
  <c r="E185" i="13"/>
  <c r="H185" i="13" s="1" a="1"/>
  <c r="H185" i="13" s="1"/>
  <c r="E186" i="13"/>
  <c r="H186" i="13" s="1" a="1"/>
  <c r="H186" i="13" s="1"/>
  <c r="E187" i="13"/>
  <c r="H187" i="13" s="1" a="1"/>
  <c r="H187" i="13" s="1"/>
  <c r="E188" i="13"/>
  <c r="H188" i="13" s="1" a="1"/>
  <c r="H188" i="13" s="1"/>
  <c r="E189" i="13"/>
  <c r="H189" i="13" s="1" a="1"/>
  <c r="H189" i="13" s="1"/>
  <c r="E190" i="13"/>
  <c r="H190" i="13" s="1" a="1"/>
  <c r="H190" i="13" s="1"/>
  <c r="E191" i="13"/>
  <c r="H191" i="13" s="1" a="1"/>
  <c r="H191" i="13" s="1"/>
  <c r="E192" i="13"/>
  <c r="H192" i="13" s="1" a="1"/>
  <c r="H192" i="13" s="1"/>
  <c r="E193" i="13"/>
  <c r="H193" i="13" s="1" a="1"/>
  <c r="H193" i="13" s="1"/>
  <c r="E195" i="13"/>
  <c r="H195" i="13" s="1" a="1"/>
  <c r="H195" i="13" s="1"/>
  <c r="L410" i="10"/>
  <c r="E200" i="13"/>
  <c r="H200" i="13" s="1" a="1"/>
  <c r="H200" i="13" s="1"/>
  <c r="L414" i="10"/>
  <c r="E202" i="13"/>
  <c r="H202" i="13" s="1" a="1"/>
  <c r="H202" i="13" s="1"/>
  <c r="L418" i="10"/>
  <c r="E204" i="13"/>
  <c r="H204" i="13" s="1" a="1"/>
  <c r="H204" i="13" s="1"/>
  <c r="L420" i="10"/>
  <c r="E205" i="13"/>
  <c r="H205" i="13" s="1" a="1"/>
  <c r="H205" i="13" s="1"/>
  <c r="L425" i="10"/>
  <c r="E206" i="13"/>
  <c r="H206" i="13" s="1" a="1"/>
  <c r="H206" i="13" s="1"/>
  <c r="E207" i="13"/>
  <c r="H207" i="13" s="1" a="1"/>
  <c r="H207" i="13" s="1"/>
  <c r="E208" i="13"/>
  <c r="H208" i="13" s="1" a="1"/>
  <c r="H208" i="13" s="1"/>
  <c r="E209" i="13"/>
  <c r="H209" i="13" s="1" a="1"/>
  <c r="H209" i="13" s="1"/>
  <c r="E210" i="13"/>
  <c r="H210" i="13" s="1" a="1"/>
  <c r="H210" i="13" s="1"/>
  <c r="E211" i="13"/>
  <c r="H211" i="13" s="1" a="1"/>
  <c r="H211" i="13" s="1"/>
  <c r="E212" i="13"/>
  <c r="H212" i="13" s="1" a="1"/>
  <c r="H212" i="13" s="1"/>
  <c r="E213" i="13"/>
  <c r="H213" i="13" s="1" a="1"/>
  <c r="H213" i="13" s="1"/>
  <c r="E214" i="13"/>
  <c r="H214" i="13" s="1" a="1"/>
  <c r="H214" i="13" s="1"/>
  <c r="E215" i="13"/>
  <c r="H215" i="13" s="1" a="1"/>
  <c r="H215" i="13" s="1"/>
  <c r="L448" i="10"/>
  <c r="E216" i="13"/>
  <c r="H216" i="13" s="1" a="1"/>
  <c r="H216" i="13" s="1"/>
  <c r="E217" i="13"/>
  <c r="H217" i="13" s="1" a="1"/>
  <c r="H217" i="13" s="1"/>
  <c r="E219" i="13"/>
  <c r="H219" i="13" s="1" a="1"/>
  <c r="H219" i="13" s="1"/>
  <c r="E222" i="13"/>
  <c r="H222" i="13" s="1" a="1"/>
  <c r="H222" i="13" s="1"/>
  <c r="E223" i="13"/>
  <c r="H223" i="13" s="1" a="1"/>
  <c r="H223" i="13" s="1"/>
  <c r="E224" i="13"/>
  <c r="H224" i="13" s="1" a="1"/>
  <c r="H224" i="13" s="1"/>
  <c r="E225" i="13"/>
  <c r="H225" i="13" s="1" a="1"/>
  <c r="H225" i="13" s="1"/>
  <c r="E226" i="13"/>
  <c r="H226" i="13" s="1" a="1"/>
  <c r="H226" i="13" s="1"/>
  <c r="E227" i="13"/>
  <c r="H227" i="13" s="1" a="1"/>
  <c r="H227" i="13" s="1"/>
  <c r="E230" i="13"/>
  <c r="H230" i="13" s="1" a="1"/>
  <c r="H230" i="13" s="1"/>
  <c r="E231" i="13"/>
  <c r="H231" i="13" s="1" a="1"/>
  <c r="H231" i="13" s="1"/>
  <c r="E234" i="13"/>
  <c r="H234" i="13" s="1" a="1"/>
  <c r="H234" i="13" s="1"/>
  <c r="E235" i="13"/>
  <c r="H235" i="13" s="1" a="1"/>
  <c r="H235" i="13" s="1"/>
  <c r="E236" i="13"/>
  <c r="H236" i="13" s="1" a="1"/>
  <c r="H236" i="13" s="1"/>
  <c r="E237" i="13"/>
  <c r="H237" i="13" s="1" a="1"/>
  <c r="H237" i="13" s="1"/>
  <c r="E238" i="13"/>
  <c r="H238" i="13" s="1" a="1"/>
  <c r="H238" i="13" s="1"/>
  <c r="E239" i="13"/>
  <c r="H239" i="13" s="1" a="1"/>
  <c r="H239" i="13" s="1"/>
  <c r="E240" i="13"/>
  <c r="H240" i="13" s="1" a="1"/>
  <c r="H240" i="13" s="1"/>
  <c r="E241" i="13"/>
  <c r="H241" i="13" s="1" a="1"/>
  <c r="H241" i="13" s="1"/>
  <c r="E242" i="13"/>
  <c r="H242" i="13" s="1" a="1"/>
  <c r="H242" i="13" s="1"/>
  <c r="E243" i="13"/>
  <c r="H243" i="13" s="1" a="1"/>
  <c r="H243" i="13" s="1"/>
  <c r="E244" i="13"/>
  <c r="H244" i="13" s="1" a="1"/>
  <c r="H244" i="13" s="1"/>
  <c r="E245" i="13"/>
  <c r="H245" i="13" s="1" a="1"/>
  <c r="H245" i="13" s="1"/>
  <c r="E246" i="13"/>
  <c r="H246" i="13" s="1" a="1"/>
  <c r="H246" i="13" s="1"/>
  <c r="E247" i="13"/>
  <c r="H247" i="13" s="1" a="1"/>
  <c r="H247" i="13" s="1"/>
  <c r="E248" i="13"/>
  <c r="H248" i="13" s="1" a="1"/>
  <c r="H248" i="13" s="1"/>
  <c r="E249" i="13"/>
  <c r="H249" i="13" s="1" a="1"/>
  <c r="H249" i="13" s="1"/>
  <c r="E250" i="13"/>
  <c r="H250" i="13" s="1" a="1"/>
  <c r="H250" i="13" s="1"/>
  <c r="E251" i="13"/>
  <c r="H251" i="13" s="1" a="1"/>
  <c r="H251" i="13" s="1"/>
  <c r="E252" i="13"/>
  <c r="H252" i="13" s="1" a="1"/>
  <c r="H252" i="13" s="1"/>
  <c r="E253" i="13"/>
  <c r="H253" i="13" s="1" a="1"/>
  <c r="H253" i="13" s="1"/>
  <c r="E254" i="13"/>
  <c r="H254" i="13" s="1" a="1"/>
  <c r="H254" i="13" s="1"/>
  <c r="E255" i="13"/>
  <c r="H255" i="13" s="1" a="1"/>
  <c r="H255" i="13" s="1"/>
  <c r="E256" i="13"/>
  <c r="H256" i="13" s="1" a="1"/>
  <c r="H256" i="13" s="1"/>
  <c r="E257" i="13"/>
  <c r="H257" i="13" s="1" a="1"/>
  <c r="H257" i="13" s="1"/>
  <c r="E258" i="13"/>
  <c r="H258" i="13" s="1" a="1"/>
  <c r="H258" i="13" s="1"/>
  <c r="L549" i="10"/>
  <c r="E259" i="13"/>
  <c r="H259" i="13" s="1" a="1"/>
  <c r="H259" i="13" s="1"/>
  <c r="L551" i="10"/>
  <c r="E260" i="13"/>
  <c r="H260" i="13" s="1" a="1"/>
  <c r="H260" i="13" s="1"/>
  <c r="E261" i="13"/>
  <c r="H261" i="13" s="1" a="1"/>
  <c r="H261" i="13" s="1"/>
  <c r="L556" i="10"/>
  <c r="E262" i="13"/>
  <c r="H262" i="13" s="1" a="1"/>
  <c r="H262" i="13" s="1"/>
  <c r="E263" i="13"/>
  <c r="H263" i="13" s="1" a="1"/>
  <c r="H263" i="13" s="1"/>
  <c r="E264" i="13"/>
  <c r="H264" i="13" s="1" a="1"/>
  <c r="H264" i="13" s="1"/>
  <c r="E265" i="13"/>
  <c r="H265" i="13" s="1" a="1"/>
  <c r="H265" i="13" s="1"/>
  <c r="E266" i="13"/>
  <c r="H266" i="13" s="1" a="1"/>
  <c r="H266" i="13" s="1"/>
  <c r="E267" i="13"/>
  <c r="H267" i="13" s="1" a="1"/>
  <c r="H267" i="13" s="1"/>
  <c r="E268" i="13"/>
  <c r="H268" i="13" s="1" a="1"/>
  <c r="H268" i="13" s="1"/>
  <c r="E269" i="13"/>
  <c r="H269" i="13" s="1" a="1"/>
  <c r="H269" i="13" s="1"/>
  <c r="E270" i="13"/>
  <c r="H270" i="13" s="1" a="1"/>
  <c r="H270" i="13" s="1"/>
  <c r="L578" i="10"/>
  <c r="E271" i="13"/>
  <c r="H271" i="13" s="1" a="1"/>
  <c r="H271" i="13" s="1"/>
  <c r="L582" i="10"/>
  <c r="E272" i="13"/>
  <c r="H272" i="13" s="1" a="1"/>
  <c r="H272" i="13" s="1"/>
  <c r="E273" i="13"/>
  <c r="H273" i="13" s="1" a="1"/>
  <c r="H273" i="13" s="1"/>
  <c r="E274" i="13"/>
  <c r="H274" i="13" s="1" a="1"/>
  <c r="H274" i="13" s="1"/>
  <c r="E275" i="13"/>
  <c r="H275" i="13" s="1" a="1"/>
  <c r="H275" i="13" s="1"/>
  <c r="E276" i="13"/>
  <c r="H276" i="13" s="1" a="1"/>
  <c r="H276" i="13" s="1"/>
  <c r="E278" i="13"/>
  <c r="H278" i="13" s="1" a="1"/>
  <c r="H278" i="13" s="1"/>
  <c r="E281" i="13"/>
  <c r="H281" i="13" s="1" a="1"/>
  <c r="H281" i="13" s="1"/>
  <c r="L610" i="10"/>
  <c r="E282" i="13"/>
  <c r="H282" i="13" s="1" a="1"/>
  <c r="H282" i="13" s="1"/>
  <c r="E283" i="13"/>
  <c r="H283" i="13" s="1" a="1"/>
  <c r="H283" i="13" s="1"/>
  <c r="E284" i="13"/>
  <c r="H284" i="13" s="1" a="1"/>
  <c r="H284" i="13" s="1"/>
  <c r="E285" i="13"/>
  <c r="H285" i="13" s="1" a="1"/>
  <c r="H285" i="13" s="1"/>
  <c r="E286" i="13"/>
  <c r="H286" i="13" s="1" a="1"/>
  <c r="H286" i="13" s="1"/>
  <c r="E287" i="13"/>
  <c r="H287" i="13" s="1" a="1"/>
  <c r="H287" i="13" s="1"/>
  <c r="L627" i="10"/>
  <c r="E288" i="13"/>
  <c r="H288" i="13" s="1" a="1"/>
  <c r="H288" i="13" s="1"/>
  <c r="E289" i="13"/>
  <c r="H289" i="13" s="1" a="1"/>
  <c r="H289" i="13" s="1"/>
  <c r="E290" i="13"/>
  <c r="H290" i="13" s="1" a="1"/>
  <c r="H290" i="13" s="1"/>
  <c r="E291" i="13"/>
  <c r="H291" i="13" s="1" a="1"/>
  <c r="H291" i="13" s="1"/>
  <c r="E292" i="13"/>
  <c r="H292" i="13" s="1" a="1"/>
  <c r="H292" i="13" s="1"/>
  <c r="E293" i="13"/>
  <c r="H293" i="13" s="1" a="1"/>
  <c r="H293" i="13" s="1"/>
  <c r="E294" i="13"/>
  <c r="H294" i="13" s="1" a="1"/>
  <c r="H294" i="13" s="1"/>
  <c r="E295" i="13"/>
  <c r="H295" i="13" s="1" a="1"/>
  <c r="H295" i="13" s="1"/>
  <c r="E296" i="13"/>
  <c r="H296" i="13" s="1" a="1"/>
  <c r="H296" i="13" s="1"/>
  <c r="E297" i="13"/>
  <c r="H297" i="13" s="1" a="1"/>
  <c r="H297" i="13" s="1"/>
  <c r="L649" i="10"/>
  <c r="E299" i="13"/>
  <c r="H299" i="13" s="1" a="1"/>
  <c r="H299" i="13" s="1"/>
  <c r="E300" i="13"/>
  <c r="H300" i="13" s="1" a="1"/>
  <c r="H300" i="13" s="1"/>
  <c r="E301" i="13"/>
  <c r="H301" i="13" s="1" a="1"/>
  <c r="H301" i="13" s="1"/>
  <c r="E302" i="13"/>
  <c r="H302" i="13" s="1" a="1"/>
  <c r="H302" i="13" s="1"/>
  <c r="E304" i="13"/>
  <c r="H304" i="13" s="1" a="1"/>
  <c r="H304" i="13" s="1"/>
  <c r="E306" i="13"/>
  <c r="H306" i="13" s="1" a="1"/>
  <c r="H306" i="13" s="1"/>
  <c r="L672" i="10"/>
  <c r="E307" i="13"/>
  <c r="H307" i="13" s="1" a="1"/>
  <c r="H307" i="13" s="1"/>
  <c r="L675" i="10"/>
  <c r="E308" i="13"/>
  <c r="H308" i="13" s="1" a="1"/>
  <c r="H308" i="13" s="1"/>
  <c r="E309" i="13"/>
  <c r="H309" i="13" s="1" a="1"/>
  <c r="H309" i="13" s="1"/>
  <c r="E310" i="13"/>
  <c r="H310" i="13" s="1" a="1"/>
  <c r="H310" i="13" s="1"/>
  <c r="E311" i="13"/>
  <c r="H311" i="13" s="1" a="1"/>
  <c r="H311" i="13" s="1"/>
  <c r="L683" i="10"/>
  <c r="E312" i="13"/>
  <c r="H312" i="13" s="1" a="1"/>
  <c r="H312" i="13" s="1"/>
  <c r="E313" i="13"/>
  <c r="H313" i="13" s="1" a="1"/>
  <c r="H313" i="13" s="1"/>
  <c r="E314" i="13"/>
  <c r="H314" i="13" s="1" a="1"/>
  <c r="H314" i="13" s="1"/>
  <c r="Y720" i="13"/>
  <c r="Y636" i="13"/>
  <c r="Y680" i="13"/>
  <c r="H280" i="13" a="1"/>
  <c r="H280" i="13" s="1"/>
  <c r="Y724" i="13"/>
  <c r="Y692" i="13"/>
  <c r="Y707" i="13"/>
  <c r="Y716" i="13"/>
  <c r="Y718" i="13"/>
  <c r="Y686" i="13"/>
  <c r="Y693" i="13"/>
  <c r="Y711" i="13"/>
  <c r="Y723" i="13"/>
  <c r="Y710" i="13"/>
  <c r="Y678" i="13"/>
  <c r="Y714" i="13"/>
  <c r="Y705" i="13"/>
  <c r="Y709" i="13"/>
  <c r="Y713" i="13"/>
  <c r="Y717" i="13"/>
  <c r="Y691" i="13"/>
  <c r="Y676" i="13"/>
  <c r="Y669" i="13"/>
  <c r="Y653" i="13"/>
  <c r="Y706" i="13"/>
  <c r="Y702" i="13"/>
  <c r="Y687" i="13"/>
  <c r="Y719" i="13"/>
  <c r="Y694" i="13"/>
  <c r="Y683" i="13"/>
  <c r="Y665" i="13"/>
  <c r="Y659" i="13"/>
  <c r="Y701" i="13"/>
  <c r="Y697" i="13"/>
  <c r="Y689" i="13"/>
  <c r="Y661" i="13"/>
  <c r="Y715" i="13"/>
  <c r="Y700" i="13"/>
  <c r="Y712" i="13"/>
  <c r="Y690" i="13"/>
  <c r="Y675" i="13"/>
  <c r="Y722" i="13"/>
  <c r="Y708" i="13"/>
  <c r="Y671" i="13"/>
  <c r="Y721" i="13"/>
  <c r="Y696" i="13"/>
  <c r="Y674" i="13"/>
  <c r="Y703" i="13"/>
  <c r="Y685" i="13"/>
  <c r="Y681" i="13"/>
  <c r="Y667" i="13"/>
  <c r="Y651" i="13"/>
  <c r="Y628" i="13"/>
  <c r="Y532" i="13"/>
  <c r="Y528" i="13"/>
  <c r="Y514" i="13"/>
  <c r="Y485" i="13"/>
  <c r="Y482" i="13"/>
  <c r="Y468" i="13"/>
  <c r="Y464" i="13"/>
  <c r="Y704" i="13"/>
  <c r="Y688" i="13"/>
  <c r="Y672" i="13"/>
  <c r="Y624" i="13"/>
  <c r="Y592" i="13"/>
  <c r="Y576" i="13"/>
  <c r="Y553" i="13"/>
  <c r="Y546" i="13"/>
  <c r="Y517" i="13"/>
  <c r="Y695" i="13"/>
  <c r="Y679" i="13"/>
  <c r="Y605" i="13"/>
  <c r="Y596" i="13"/>
  <c r="Y580" i="13"/>
  <c r="Y562" i="13"/>
  <c r="Y549" i="13"/>
  <c r="Y525" i="13"/>
  <c r="Y453" i="13"/>
  <c r="Y670" i="13"/>
  <c r="Y652" i="13"/>
  <c r="Y650" i="13"/>
  <c r="Y645" i="13"/>
  <c r="Y609" i="13"/>
  <c r="Y558" i="13"/>
  <c r="Y542" i="13"/>
  <c r="Y510" i="13"/>
  <c r="Y505" i="13"/>
  <c r="Y677" i="13"/>
  <c r="Y668" i="13"/>
  <c r="Y663" i="13"/>
  <c r="Y642" i="13"/>
  <c r="Y638" i="13"/>
  <c r="Y623" i="13"/>
  <c r="Y599" i="13"/>
  <c r="Y585" i="13"/>
  <c r="Y519" i="13"/>
  <c r="Y467" i="13"/>
  <c r="Y684" i="13"/>
  <c r="Y666" i="13"/>
  <c r="Y662" i="13"/>
  <c r="Y648" i="13"/>
  <c r="Y633" i="13"/>
  <c r="Y616" i="13"/>
  <c r="Y555" i="13"/>
  <c r="Y537" i="13"/>
  <c r="Y487" i="13"/>
  <c r="Y478" i="13"/>
  <c r="Y473" i="13"/>
  <c r="Y450" i="13"/>
  <c r="Y664" i="13"/>
  <c r="Y660" i="13"/>
  <c r="Y657" i="13"/>
  <c r="Y619" i="13"/>
  <c r="Y552" i="13"/>
  <c r="Y507" i="13"/>
  <c r="Y455" i="13"/>
  <c r="Y698" i="13"/>
  <c r="Y682" i="13"/>
  <c r="Y658" i="13"/>
  <c r="Y656" i="13"/>
  <c r="Y635" i="13"/>
  <c r="Y622" i="13"/>
  <c r="Y612" i="13"/>
  <c r="Y590" i="13"/>
  <c r="Y574" i="13"/>
  <c r="Y561" i="13"/>
  <c r="Y539" i="13"/>
  <c r="Y501" i="13"/>
  <c r="Y498" i="13"/>
  <c r="Y484" i="13"/>
  <c r="Y446" i="13"/>
  <c r="Y673" i="13"/>
  <c r="Y644" i="13"/>
  <c r="Y634" i="13"/>
  <c r="Y568" i="13"/>
  <c r="Y516" i="13"/>
  <c r="Y480" i="13"/>
  <c r="Y475" i="13"/>
  <c r="Y647" i="13"/>
  <c r="Y643" i="13"/>
  <c r="Y641" i="13"/>
  <c r="Y629" i="13"/>
  <c r="Y626" i="13"/>
  <c r="Y615" i="13"/>
  <c r="Y587" i="13"/>
  <c r="Y571" i="13"/>
  <c r="Y557" i="13"/>
  <c r="Y548" i="13"/>
  <c r="Y544" i="13"/>
  <c r="Y533" i="13"/>
  <c r="Y530" i="13"/>
  <c r="Y512" i="13"/>
  <c r="Y469" i="13"/>
  <c r="Y466" i="13"/>
  <c r="Y452" i="13"/>
  <c r="Y654" i="13"/>
  <c r="Y637" i="13"/>
  <c r="Y601" i="13"/>
  <c r="Y594" i="13"/>
  <c r="Y578" i="13"/>
  <c r="Y564" i="13"/>
  <c r="Y551" i="13"/>
  <c r="Y526" i="13"/>
  <c r="Y521" i="13"/>
  <c r="Y494" i="13"/>
  <c r="Y489" i="13"/>
  <c r="Y632" i="13"/>
  <c r="Y581" i="13"/>
  <c r="Y497" i="13"/>
  <c r="Y462" i="13"/>
  <c r="Y457" i="13"/>
  <c r="Y621" i="13"/>
  <c r="Y606" i="13"/>
  <c r="Y567" i="13"/>
  <c r="Y503" i="13"/>
  <c r="Y448" i="13"/>
  <c r="AH13" i="13"/>
  <c r="Y565" i="13"/>
  <c r="Y613" i="13"/>
  <c r="Y560" i="13"/>
  <c r="Y608" i="13"/>
  <c r="Y640" i="13"/>
  <c r="Y569" i="13"/>
  <c r="Y617" i="13"/>
  <c r="Y649" i="13"/>
  <c r="Y445" i="13"/>
  <c r="Y461" i="13"/>
  <c r="Y477" i="13"/>
  <c r="Y493" i="13"/>
  <c r="Y509" i="13"/>
  <c r="Y541" i="13"/>
  <c r="Y589" i="13"/>
  <c r="Y454" i="13"/>
  <c r="Y470" i="13"/>
  <c r="Y486" i="13"/>
  <c r="Y502" i="13"/>
  <c r="Y518" i="13"/>
  <c r="Y534" i="13"/>
  <c r="Y550" i="13"/>
  <c r="Y566" i="13"/>
  <c r="Y582" i="13"/>
  <c r="Y598" i="13"/>
  <c r="Y614" i="13"/>
  <c r="Y630" i="13"/>
  <c r="Y646" i="13"/>
  <c r="Y447" i="13"/>
  <c r="Y463" i="13"/>
  <c r="Y479" i="13"/>
  <c r="Y495" i="13"/>
  <c r="Y511" i="13"/>
  <c r="Y527" i="13"/>
  <c r="Y543" i="13"/>
  <c r="Y559" i="13"/>
  <c r="Y575" i="13"/>
  <c r="Y591" i="13"/>
  <c r="Y607" i="13"/>
  <c r="Y639" i="13"/>
  <c r="Y456" i="13"/>
  <c r="Y472" i="13"/>
  <c r="Y488" i="13"/>
  <c r="Y504" i="13"/>
  <c r="Y520" i="13"/>
  <c r="Y536" i="13"/>
  <c r="Y584" i="13"/>
  <c r="Y600" i="13"/>
  <c r="Y449" i="13"/>
  <c r="Y465" i="13"/>
  <c r="Y481" i="13"/>
  <c r="Y513" i="13"/>
  <c r="Y545" i="13"/>
  <c r="Y593" i="13"/>
  <c r="Y458" i="13"/>
  <c r="Y474" i="13"/>
  <c r="Y490" i="13"/>
  <c r="Y506" i="13"/>
  <c r="Y522" i="13"/>
  <c r="Y538" i="13"/>
  <c r="Y554" i="13"/>
  <c r="Y570" i="13"/>
  <c r="Y586" i="13"/>
  <c r="Y602" i="13"/>
  <c r="Y618" i="13"/>
  <c r="Y451" i="13"/>
  <c r="Y483" i="13"/>
  <c r="Y499" i="13"/>
  <c r="Y515" i="13"/>
  <c r="Y531" i="13"/>
  <c r="Y547" i="13"/>
  <c r="Y563" i="13"/>
  <c r="Y579" i="13"/>
  <c r="Y595" i="13"/>
  <c r="Y611" i="13"/>
  <c r="Y627" i="13"/>
  <c r="Y460" i="13"/>
  <c r="Y476" i="13"/>
  <c r="Y492" i="13"/>
  <c r="Y508" i="13"/>
  <c r="Y524" i="13"/>
  <c r="Y540" i="13"/>
  <c r="Y556" i="13"/>
  <c r="Y572" i="13"/>
  <c r="Y588" i="13"/>
  <c r="Y604" i="13"/>
  <c r="Y620" i="13"/>
  <c r="Y573" i="13"/>
  <c r="Y529" i="13"/>
  <c r="Y523" i="13"/>
  <c r="Y491" i="13"/>
  <c r="Y699" i="13"/>
  <c r="Y655" i="13"/>
  <c r="Y625" i="13"/>
  <c r="Y603" i="13"/>
  <c r="Y597" i="13"/>
  <c r="Y583" i="13"/>
  <c r="Y577" i="13"/>
  <c r="Y535" i="13"/>
  <c r="Y500" i="13"/>
  <c r="Y459" i="13"/>
  <c r="Y631" i="13"/>
  <c r="Y610" i="13"/>
  <c r="Y496" i="13"/>
  <c r="Y471" i="13"/>
  <c r="L685" i="10"/>
  <c r="L681" i="10"/>
  <c r="H22" i="12"/>
  <c r="J22" i="12" s="1"/>
  <c r="K22" i="12" s="1"/>
  <c r="O22" i="12" s="1"/>
  <c r="D3" i="11"/>
  <c r="H21" i="12"/>
  <c r="J21" i="12" s="1"/>
  <c r="K21" i="12" s="1"/>
  <c r="P54" i="11"/>
  <c r="AN18" i="13"/>
  <c r="AN16" i="13"/>
  <c r="AM14" i="13"/>
  <c r="AM13" i="13"/>
  <c r="AN20" i="13"/>
  <c r="AN19" i="13"/>
  <c r="AM20" i="13"/>
  <c r="AM19" i="13"/>
  <c r="AM18" i="13"/>
  <c r="AN10" i="13"/>
  <c r="AN17" i="13"/>
  <c r="AM17" i="13"/>
  <c r="AN9" i="13"/>
  <c r="AM16" i="13"/>
  <c r="AN8" i="13"/>
  <c r="AN15" i="13"/>
  <c r="AM15" i="13"/>
  <c r="AM11" i="13"/>
  <c r="AM10" i="13"/>
  <c r="AM12" i="13"/>
  <c r="AK12" i="13"/>
  <c r="AO12" i="13" s="1"/>
  <c r="AM9" i="13"/>
  <c r="AK11" i="13"/>
  <c r="AO11" i="13" s="1"/>
  <c r="AM8" i="13"/>
  <c r="AL20" i="13"/>
  <c r="AM7" i="13"/>
  <c r="AK15" i="13"/>
  <c r="AO15" i="13" s="1"/>
  <c r="AK20" i="13"/>
  <c r="AO20" i="13" s="1"/>
  <c r="AK18" i="13"/>
  <c r="AO18" i="13" s="1"/>
  <c r="AK14" i="13"/>
  <c r="AO14" i="13" s="1"/>
  <c r="AK19" i="13"/>
  <c r="AO19" i="13" s="1"/>
  <c r="AK17" i="13"/>
  <c r="AO17" i="13" s="1"/>
  <c r="AK16" i="13"/>
  <c r="AO16" i="13" s="1"/>
  <c r="AK13" i="13"/>
  <c r="AO13" i="13" s="1"/>
  <c r="AK10" i="13"/>
  <c r="AO10" i="13" s="1"/>
  <c r="AK9" i="13"/>
  <c r="AO9" i="13" s="1"/>
  <c r="AK7" i="13"/>
  <c r="AO7" i="13" s="1"/>
  <c r="S687" i="10"/>
  <c r="I687" i="10" s="1"/>
  <c r="K687" i="10" s="1"/>
  <c r="S688" i="10"/>
  <c r="I688" i="10" s="1"/>
  <c r="F314" i="13" s="1"/>
  <c r="L687" i="10"/>
  <c r="S685" i="10"/>
  <c r="I685" i="10" s="1"/>
  <c r="F313" i="13" s="1"/>
  <c r="S686" i="10"/>
  <c r="I686" i="10" s="1"/>
  <c r="K686" i="10" s="1"/>
  <c r="S683" i="10"/>
  <c r="I683" i="10" s="1"/>
  <c r="S684" i="10"/>
  <c r="I684" i="10" s="1"/>
  <c r="K684" i="10" s="1"/>
  <c r="S682" i="10"/>
  <c r="I682" i="10" s="1"/>
  <c r="K682" i="10" s="1"/>
  <c r="S681" i="10"/>
  <c r="I681" i="10" s="1"/>
  <c r="F311" i="13" s="1"/>
  <c r="S680" i="10"/>
  <c r="I680" i="10" s="1"/>
  <c r="K680" i="10" s="1"/>
  <c r="L679" i="10"/>
  <c r="S679" i="10"/>
  <c r="I679" i="10" s="1"/>
  <c r="S678" i="10"/>
  <c r="I678" i="10" s="1"/>
  <c r="K678" i="10" s="1"/>
  <c r="S676" i="10"/>
  <c r="I676" i="10" s="1"/>
  <c r="K676" i="10" s="1"/>
  <c r="S677" i="10"/>
  <c r="I677" i="10" s="1"/>
  <c r="F309" i="13" s="1"/>
  <c r="S675" i="10"/>
  <c r="I675" i="10" s="1"/>
  <c r="S674" i="10"/>
  <c r="I674" i="10" s="1"/>
  <c r="K674" i="10" s="1"/>
  <c r="S661" i="10"/>
  <c r="I661" i="10" s="1"/>
  <c r="S660" i="10"/>
  <c r="I660" i="10" s="1"/>
  <c r="K660" i="10" s="1"/>
  <c r="L660" i="10"/>
  <c r="S673" i="10"/>
  <c r="I673" i="10" s="1"/>
  <c r="F307" i="13" s="1"/>
  <c r="S672" i="10"/>
  <c r="I672" i="10" s="1"/>
  <c r="K672" i="10" s="1"/>
  <c r="L669" i="10"/>
  <c r="L657" i="10"/>
  <c r="S669" i="10"/>
  <c r="I669" i="10" s="1"/>
  <c r="K669" i="10" s="1"/>
  <c r="S671" i="10"/>
  <c r="I671" i="10" s="1"/>
  <c r="K671" i="10" s="1"/>
  <c r="S665" i="10"/>
  <c r="I665" i="10" s="1"/>
  <c r="K665" i="10" s="1"/>
  <c r="S667" i="10"/>
  <c r="I667" i="10" s="1"/>
  <c r="F305" i="13" s="1"/>
  <c r="S670" i="10"/>
  <c r="I670" i="10" s="1"/>
  <c r="F306" i="13" s="1"/>
  <c r="L666" i="10"/>
  <c r="S663" i="10"/>
  <c r="I663" i="10" s="1"/>
  <c r="K663" i="10" s="1"/>
  <c r="S668" i="10"/>
  <c r="I668" i="10" s="1"/>
  <c r="K668" i="10" s="1"/>
  <c r="S666" i="10"/>
  <c r="I666" i="10" s="1"/>
  <c r="K666" i="10" s="1"/>
  <c r="S664" i="10"/>
  <c r="I664" i="10" s="1"/>
  <c r="S662" i="10"/>
  <c r="I662" i="10" s="1"/>
  <c r="K662" i="10" s="1"/>
  <c r="L663" i="10"/>
  <c r="S658" i="10"/>
  <c r="I658" i="10" s="1"/>
  <c r="K658" i="10" s="1"/>
  <c r="Y658" i="10"/>
  <c r="Z658" i="10" s="1"/>
  <c r="AA658" i="10" s="1"/>
  <c r="AB658" i="10" s="1"/>
  <c r="U661" i="10" s="1"/>
  <c r="Y657" i="10"/>
  <c r="Z657" i="10" s="1"/>
  <c r="Z659" i="10"/>
  <c r="AA659" i="10" s="1"/>
  <c r="AB659" i="10" s="1"/>
  <c r="S659" i="10"/>
  <c r="I659" i="10" s="1"/>
  <c r="K659" i="10" s="1"/>
  <c r="S657" i="10"/>
  <c r="I657" i="10" s="1"/>
  <c r="F302" i="13" s="1"/>
  <c r="L641" i="10"/>
  <c r="E63" i="7"/>
  <c r="C61" i="9" s="1"/>
  <c r="L652" i="10"/>
  <c r="L633" i="10"/>
  <c r="L645" i="10"/>
  <c r="L637" i="10"/>
  <c r="L643" i="10"/>
  <c r="S655" i="10"/>
  <c r="I655" i="10" s="1"/>
  <c r="S656" i="10"/>
  <c r="I656" i="10" s="1"/>
  <c r="K656" i="10" s="1"/>
  <c r="Y651" i="10"/>
  <c r="L655" i="10"/>
  <c r="Y649" i="10"/>
  <c r="Z649" i="10" s="1"/>
  <c r="Y650" i="10"/>
  <c r="Z650" i="10" s="1"/>
  <c r="S654" i="10"/>
  <c r="I654" i="10" s="1"/>
  <c r="F300" i="13" s="1"/>
  <c r="S652" i="10"/>
  <c r="I652" i="10" s="1"/>
  <c r="K652" i="10" s="1"/>
  <c r="S653" i="10"/>
  <c r="I653" i="10" s="1"/>
  <c r="K653" i="10" s="1"/>
  <c r="S651" i="10"/>
  <c r="I651" i="10" s="1"/>
  <c r="K651" i="10" s="1"/>
  <c r="S649" i="10"/>
  <c r="I649" i="10" s="1"/>
  <c r="S650" i="10"/>
  <c r="I650" i="10" s="1"/>
  <c r="S648" i="10"/>
  <c r="I648" i="10" s="1"/>
  <c r="K648" i="10" s="1"/>
  <c r="S647" i="10"/>
  <c r="I647" i="10" s="1"/>
  <c r="F298" i="13" s="1"/>
  <c r="L647" i="10"/>
  <c r="S645" i="10"/>
  <c r="I645" i="10" s="1"/>
  <c r="F297" i="13" s="1"/>
  <c r="S644" i="10"/>
  <c r="I644" i="10" s="1"/>
  <c r="K644" i="10" s="1"/>
  <c r="S646" i="10"/>
  <c r="I646" i="10" s="1"/>
  <c r="K646" i="10" s="1"/>
  <c r="S643" i="10"/>
  <c r="I643" i="10" s="1"/>
  <c r="F296" i="13" s="1"/>
  <c r="S640" i="10"/>
  <c r="I640" i="10" s="1"/>
  <c r="K640" i="10" s="1"/>
  <c r="S638" i="10"/>
  <c r="I638" i="10" s="1"/>
  <c r="K638" i="10" s="1"/>
  <c r="S633" i="10"/>
  <c r="I633" i="10" s="1"/>
  <c r="F291" i="13" s="1"/>
  <c r="S635" i="10"/>
  <c r="I635" i="10" s="1"/>
  <c r="F292" i="13" s="1"/>
  <c r="S642" i="10"/>
  <c r="I642" i="10" s="1"/>
  <c r="K642" i="10" s="1"/>
  <c r="S636" i="10"/>
  <c r="I636" i="10" s="1"/>
  <c r="K636" i="10" s="1"/>
  <c r="L635" i="10"/>
  <c r="S641" i="10"/>
  <c r="I641" i="10" s="1"/>
  <c r="F295" i="13" s="1"/>
  <c r="S639" i="10"/>
  <c r="I639" i="10" s="1"/>
  <c r="F294" i="13" s="1"/>
  <c r="S637" i="10"/>
  <c r="I637" i="10" s="1"/>
  <c r="F293" i="13" s="1"/>
  <c r="L639" i="10"/>
  <c r="S634" i="10"/>
  <c r="I634" i="10" s="1"/>
  <c r="K634" i="10" s="1"/>
  <c r="S631" i="10"/>
  <c r="I631" i="10" s="1"/>
  <c r="L613" i="10"/>
  <c r="S632" i="10"/>
  <c r="I632" i="10" s="1"/>
  <c r="K632" i="10" s="1"/>
  <c r="S629" i="10"/>
  <c r="I629" i="10" s="1"/>
  <c r="K629" i="10" s="1"/>
  <c r="L631" i="10"/>
  <c r="L607" i="10"/>
  <c r="L625" i="10"/>
  <c r="S630" i="10"/>
  <c r="I630" i="10" s="1"/>
  <c r="F289" i="13" s="1"/>
  <c r="L629" i="10"/>
  <c r="S628" i="10"/>
  <c r="I628" i="10" s="1"/>
  <c r="K628" i="10" s="1"/>
  <c r="S627" i="10"/>
  <c r="I627" i="10" s="1"/>
  <c r="F288" i="13" s="1"/>
  <c r="L617" i="10"/>
  <c r="L604" i="10"/>
  <c r="Y623" i="10"/>
  <c r="S625" i="10"/>
  <c r="I625" i="10" s="1"/>
  <c r="F287" i="13" s="1"/>
  <c r="Y624" i="10"/>
  <c r="Z624" i="10" s="1"/>
  <c r="S626" i="10"/>
  <c r="I626" i="10" s="1"/>
  <c r="K626" i="10" s="1"/>
  <c r="Z622" i="10"/>
  <c r="AA622" i="10" s="1"/>
  <c r="AB622" i="10" s="1"/>
  <c r="S624" i="10"/>
  <c r="I624" i="10" s="1"/>
  <c r="F286" i="13" s="1"/>
  <c r="S623" i="10"/>
  <c r="I623" i="10" s="1"/>
  <c r="K623" i="10" s="1"/>
  <c r="S622" i="10"/>
  <c r="I622" i="10" s="1"/>
  <c r="K622" i="10" s="1"/>
  <c r="L622" i="10"/>
  <c r="S621" i="10"/>
  <c r="I621" i="10" s="1"/>
  <c r="K621" i="10" s="1"/>
  <c r="S620" i="10"/>
  <c r="I620" i="10" s="1"/>
  <c r="K620" i="10" s="1"/>
  <c r="S619" i="10"/>
  <c r="I619" i="10" s="1"/>
  <c r="K619" i="10" s="1"/>
  <c r="L619" i="10"/>
  <c r="S618" i="10"/>
  <c r="I618" i="10" s="1"/>
  <c r="F285" i="13" s="1"/>
  <c r="S617" i="10"/>
  <c r="I617" i="10" s="1"/>
  <c r="K617" i="10" s="1"/>
  <c r="S615" i="10"/>
  <c r="I615" i="10" s="1"/>
  <c r="K615" i="10" s="1"/>
  <c r="S616" i="10"/>
  <c r="I616" i="10" s="1"/>
  <c r="F284" i="13" s="1"/>
  <c r="S613" i="10"/>
  <c r="I613" i="10" s="1"/>
  <c r="K613" i="10" s="1"/>
  <c r="L615" i="10"/>
  <c r="S614" i="10"/>
  <c r="I614" i="10" s="1"/>
  <c r="F283" i="13" s="1"/>
  <c r="H63" i="7"/>
  <c r="C64" i="9" s="1"/>
  <c r="S611" i="10"/>
  <c r="I611" i="10" s="1"/>
  <c r="F282" i="13" s="1"/>
  <c r="S612" i="10"/>
  <c r="I612" i="10" s="1"/>
  <c r="K612" i="10" s="1"/>
  <c r="S609" i="10"/>
  <c r="I609" i="10" s="1"/>
  <c r="K609" i="10" s="1"/>
  <c r="S610" i="10"/>
  <c r="I610" i="10" s="1"/>
  <c r="K610" i="10" s="1"/>
  <c r="S608" i="10"/>
  <c r="I608" i="10" s="1"/>
  <c r="K608" i="10" s="1"/>
  <c r="S606" i="10"/>
  <c r="I606" i="10" s="1"/>
  <c r="K606" i="10" s="1"/>
  <c r="S607" i="10"/>
  <c r="I607" i="10" s="1"/>
  <c r="F281" i="13" s="1"/>
  <c r="S604" i="10"/>
  <c r="I604" i="10" s="1"/>
  <c r="F280" i="13" s="1"/>
  <c r="S605" i="10"/>
  <c r="I605" i="10" s="1"/>
  <c r="K605" i="10" s="1"/>
  <c r="L597" i="10"/>
  <c r="L600" i="10"/>
  <c r="Y597" i="10"/>
  <c r="Y598" i="10"/>
  <c r="Z599" i="10"/>
  <c r="S603" i="10"/>
  <c r="I603" i="10" s="1"/>
  <c r="F279" i="13" s="1"/>
  <c r="S602" i="10"/>
  <c r="I602" i="10" s="1"/>
  <c r="K602" i="10" s="1"/>
  <c r="S601" i="10"/>
  <c r="I601" i="10" s="1"/>
  <c r="K601" i="10" s="1"/>
  <c r="S600" i="10"/>
  <c r="I600" i="10" s="1"/>
  <c r="K600" i="10" s="1"/>
  <c r="S599" i="10"/>
  <c r="I599" i="10" s="1"/>
  <c r="F278" i="13" s="1"/>
  <c r="S597" i="10"/>
  <c r="I597" i="10" s="1"/>
  <c r="K597" i="10" s="1"/>
  <c r="S598" i="10"/>
  <c r="I598" i="10" s="1"/>
  <c r="K598" i="10" s="1"/>
  <c r="L593" i="10"/>
  <c r="S595" i="10"/>
  <c r="I595" i="10" s="1"/>
  <c r="S596" i="10"/>
  <c r="I596" i="10" s="1"/>
  <c r="K596" i="10" s="1"/>
  <c r="S593" i="10"/>
  <c r="I593" i="10" s="1"/>
  <c r="L589" i="10"/>
  <c r="S594" i="10"/>
  <c r="I594" i="10" s="1"/>
  <c r="K594" i="10" s="1"/>
  <c r="L595" i="10"/>
  <c r="H277" i="13" a="1"/>
  <c r="H277" i="13" s="1"/>
  <c r="S591" i="10"/>
  <c r="I591" i="10" s="1"/>
  <c r="S592" i="10"/>
  <c r="I592" i="10" s="1"/>
  <c r="K592" i="10" s="1"/>
  <c r="S590" i="10"/>
  <c r="I590" i="10" s="1"/>
  <c r="K590" i="10" s="1"/>
  <c r="L591" i="10"/>
  <c r="S589" i="10"/>
  <c r="I589" i="10" s="1"/>
  <c r="F274" i="13" s="1"/>
  <c r="S588" i="10"/>
  <c r="I588" i="10" s="1"/>
  <c r="S587" i="10"/>
  <c r="I587" i="10" s="1"/>
  <c r="K587" i="10" s="1"/>
  <c r="L587" i="10"/>
  <c r="Y585" i="10"/>
  <c r="Z585" i="10" s="1"/>
  <c r="AA585" i="10" s="1"/>
  <c r="AB585" i="10" s="1"/>
  <c r="L109" i="7" s="1"/>
  <c r="Y582" i="10"/>
  <c r="Z582" i="10" s="1"/>
  <c r="Y584" i="10"/>
  <c r="Z584" i="10" s="1"/>
  <c r="AA584" i="10" s="1"/>
  <c r="AB584" i="10" s="1"/>
  <c r="B109" i="7" s="1"/>
  <c r="Y586" i="10"/>
  <c r="Z586" i="10" s="1"/>
  <c r="AA586" i="10" s="1"/>
  <c r="AB586" i="10" s="1"/>
  <c r="D109" i="7" s="1"/>
  <c r="S586" i="10"/>
  <c r="I586" i="10" s="1"/>
  <c r="K586" i="10" s="1"/>
  <c r="L574" i="10"/>
  <c r="S584" i="10"/>
  <c r="I584" i="10" s="1"/>
  <c r="K584" i="10" s="1"/>
  <c r="S585" i="10"/>
  <c r="I585" i="10" s="1"/>
  <c r="K585" i="10" s="1"/>
  <c r="S582" i="10"/>
  <c r="I582" i="10" s="1"/>
  <c r="F272" i="13" s="1"/>
  <c r="S583" i="10"/>
  <c r="I583" i="10" s="1"/>
  <c r="K583" i="10" s="1"/>
  <c r="Z583" i="10"/>
  <c r="AA583" i="10" s="1"/>
  <c r="AB583" i="10" s="1"/>
  <c r="I109" i="7" s="1"/>
  <c r="S580" i="10"/>
  <c r="I580" i="10" s="1"/>
  <c r="K580" i="10" s="1"/>
  <c r="S581" i="10"/>
  <c r="I581" i="10" s="1"/>
  <c r="K581" i="10" s="1"/>
  <c r="S579" i="10"/>
  <c r="I579" i="10" s="1"/>
  <c r="K579" i="10" s="1"/>
  <c r="S578" i="10"/>
  <c r="I578" i="10" s="1"/>
  <c r="F271" i="13" s="1"/>
  <c r="S577" i="10"/>
  <c r="I577" i="10" s="1"/>
  <c r="K577" i="10" s="1"/>
  <c r="S575" i="10"/>
  <c r="I575" i="10" s="1"/>
  <c r="K575" i="10" s="1"/>
  <c r="S574" i="10"/>
  <c r="I574" i="10" s="1"/>
  <c r="F270" i="13" s="1"/>
  <c r="S576" i="10"/>
  <c r="I576" i="10" s="1"/>
  <c r="K576" i="10" s="1"/>
  <c r="S572" i="10"/>
  <c r="I572" i="10" s="1"/>
  <c r="K572" i="10" s="1"/>
  <c r="S573" i="10"/>
  <c r="I573" i="10" s="1"/>
  <c r="K573" i="10" s="1"/>
  <c r="S570" i="10"/>
  <c r="I570" i="10" s="1"/>
  <c r="F269" i="13" s="1"/>
  <c r="S571" i="10"/>
  <c r="I571" i="10" s="1"/>
  <c r="K571" i="10" s="1"/>
  <c r="L571" i="10"/>
  <c r="L570" i="10"/>
  <c r="L568" i="10"/>
  <c r="S568" i="10"/>
  <c r="I568" i="10" s="1"/>
  <c r="F268" i="13" s="1"/>
  <c r="S569" i="10"/>
  <c r="I569" i="10" s="1"/>
  <c r="K569" i="10" s="1"/>
  <c r="S567" i="10"/>
  <c r="I567" i="10" s="1"/>
  <c r="K567" i="10" s="1"/>
  <c r="S566" i="10"/>
  <c r="I566" i="10" s="1"/>
  <c r="F267" i="13" s="1"/>
  <c r="L566" i="10"/>
  <c r="L564" i="10"/>
  <c r="S565" i="10"/>
  <c r="I565" i="10" s="1"/>
  <c r="S564" i="10"/>
  <c r="I564" i="10" s="1"/>
  <c r="S563" i="10"/>
  <c r="I563" i="10" s="1"/>
  <c r="F265" i="13" s="1"/>
  <c r="S562" i="10"/>
  <c r="I562" i="10" s="1"/>
  <c r="K562" i="10" s="1"/>
  <c r="L562" i="10"/>
  <c r="L560" i="10"/>
  <c r="L543" i="10"/>
  <c r="S560" i="10"/>
  <c r="I560" i="10" s="1"/>
  <c r="F264" i="13" s="1"/>
  <c r="S561" i="10"/>
  <c r="I561" i="10" s="1"/>
  <c r="K561" i="10" s="1"/>
  <c r="S558" i="10"/>
  <c r="I558" i="10" s="1"/>
  <c r="F263" i="13" s="1"/>
  <c r="S559" i="10"/>
  <c r="I559" i="10" s="1"/>
  <c r="K559" i="10" s="1"/>
  <c r="L558" i="10"/>
  <c r="L554" i="10"/>
  <c r="L547" i="10"/>
  <c r="S556" i="10"/>
  <c r="I556" i="10" s="1"/>
  <c r="F262" i="13" s="1"/>
  <c r="S557" i="10"/>
  <c r="I557" i="10" s="1"/>
  <c r="K557" i="10" s="1"/>
  <c r="S554" i="10"/>
  <c r="I554" i="10" s="1"/>
  <c r="K554" i="10" s="1"/>
  <c r="S555" i="10"/>
  <c r="I555" i="10" s="1"/>
  <c r="Y551" i="10"/>
  <c r="Y552" i="10"/>
  <c r="Z552" i="10" s="1"/>
  <c r="S553" i="10"/>
  <c r="I553" i="10" s="1"/>
  <c r="K553" i="10" s="1"/>
  <c r="S552" i="10"/>
  <c r="I552" i="10" s="1"/>
  <c r="F260" i="13" s="1"/>
  <c r="S551" i="10"/>
  <c r="I551" i="10" s="1"/>
  <c r="K551" i="10" s="1"/>
  <c r="S549" i="10"/>
  <c r="I549" i="10" s="1"/>
  <c r="K549" i="10" s="1"/>
  <c r="S550" i="10"/>
  <c r="I550" i="10" s="1"/>
  <c r="F259" i="13" s="1"/>
  <c r="S548" i="10"/>
  <c r="I548" i="10" s="1"/>
  <c r="K548" i="10" s="1"/>
  <c r="S547" i="10"/>
  <c r="I547" i="10" s="1"/>
  <c r="F258" i="13" s="1"/>
  <c r="S545" i="10"/>
  <c r="I545" i="10" s="1"/>
  <c r="K545" i="10" s="1"/>
  <c r="S546" i="10"/>
  <c r="I546" i="10" s="1"/>
  <c r="F257" i="13" s="1"/>
  <c r="L545" i="10"/>
  <c r="S543" i="10"/>
  <c r="I543" i="10" s="1"/>
  <c r="S544" i="10"/>
  <c r="I544" i="10" s="1"/>
  <c r="K544" i="10" s="1"/>
  <c r="S541" i="10"/>
  <c r="I541" i="10" s="1"/>
  <c r="F255" i="13" s="1"/>
  <c r="S542" i="10"/>
  <c r="I542" i="10" s="1"/>
  <c r="K542" i="10" s="1"/>
  <c r="L541" i="10"/>
  <c r="S540" i="10"/>
  <c r="I540" i="10" s="1"/>
  <c r="K540" i="10" s="1"/>
  <c r="S539" i="10"/>
  <c r="I539" i="10" s="1"/>
  <c r="F254" i="13" s="1"/>
  <c r="L539" i="10"/>
  <c r="S537" i="10"/>
  <c r="I537" i="10" s="1"/>
  <c r="Y5" i="10"/>
  <c r="Z5" i="10" s="1"/>
  <c r="AA5" i="10" s="1"/>
  <c r="AB5" i="10" s="1"/>
  <c r="U326" i="10" s="1"/>
  <c r="V4" i="10"/>
  <c r="W4" i="10" s="1"/>
  <c r="X4" i="10" s="1"/>
  <c r="Y4" i="10"/>
  <c r="Z4" i="10" s="1"/>
  <c r="S538" i="10"/>
  <c r="I538" i="10" s="1"/>
  <c r="K538" i="10" s="1"/>
  <c r="L537" i="10"/>
  <c r="L533" i="10"/>
  <c r="S536" i="10"/>
  <c r="I536" i="10" s="1"/>
  <c r="K536" i="10" s="1"/>
  <c r="S533" i="10"/>
  <c r="I533" i="10" s="1"/>
  <c r="S535" i="10"/>
  <c r="I535" i="10" s="1"/>
  <c r="K535" i="10" s="1"/>
  <c r="S534" i="10"/>
  <c r="I534" i="10" s="1"/>
  <c r="K534" i="10" s="1"/>
  <c r="L529" i="10"/>
  <c r="Y532" i="10"/>
  <c r="Z532" i="10" s="1"/>
  <c r="AA532" i="10" s="1"/>
  <c r="AB532" i="10" s="1"/>
  <c r="S529" i="10"/>
  <c r="I529" i="10" s="1"/>
  <c r="S531" i="10"/>
  <c r="I531" i="10" s="1"/>
  <c r="K531" i="10" s="1"/>
  <c r="Y529" i="10"/>
  <c r="Z529" i="10" s="1"/>
  <c r="Y531" i="10"/>
  <c r="Z531" i="10" s="1"/>
  <c r="AA531" i="10" s="1"/>
  <c r="AB531" i="10" s="1"/>
  <c r="S530" i="10"/>
  <c r="I530" i="10" s="1"/>
  <c r="K530" i="10" s="1"/>
  <c r="S532" i="10"/>
  <c r="I532" i="10" s="1"/>
  <c r="K532" i="10" s="1"/>
  <c r="Z530" i="10"/>
  <c r="AA530" i="10" s="1"/>
  <c r="AB530" i="10" s="1"/>
  <c r="L524" i="10"/>
  <c r="S527" i="10"/>
  <c r="I527" i="10" s="1"/>
  <c r="F250" i="13" s="1"/>
  <c r="S528" i="10"/>
  <c r="I528" i="10" s="1"/>
  <c r="K528" i="10" s="1"/>
  <c r="S525" i="10"/>
  <c r="I525" i="10" s="1"/>
  <c r="K525" i="10" s="1"/>
  <c r="S526" i="10"/>
  <c r="I526" i="10" s="1"/>
  <c r="K526" i="10" s="1"/>
  <c r="S524" i="10"/>
  <c r="I524" i="10" s="1"/>
  <c r="K524" i="10" s="1"/>
  <c r="S523" i="10"/>
  <c r="I523" i="10" s="1"/>
  <c r="K523" i="10" s="1"/>
  <c r="S519" i="10"/>
  <c r="I519" i="10" s="1"/>
  <c r="F249" i="13" s="1"/>
  <c r="S522" i="10"/>
  <c r="I522" i="10" s="1"/>
  <c r="K522" i="10" s="1"/>
  <c r="S521" i="10"/>
  <c r="I521" i="10" s="1"/>
  <c r="K521" i="10" s="1"/>
  <c r="S520" i="10"/>
  <c r="I520" i="10" s="1"/>
  <c r="K520" i="10" s="1"/>
  <c r="L519" i="10"/>
  <c r="L515" i="10"/>
  <c r="L517" i="10"/>
  <c r="S518" i="10"/>
  <c r="I518" i="10" s="1"/>
  <c r="F248" i="13" s="1"/>
  <c r="S517" i="10"/>
  <c r="I517" i="10" s="1"/>
  <c r="K517" i="10" s="1"/>
  <c r="S515" i="10"/>
  <c r="I515" i="10" s="1"/>
  <c r="F247" i="13" s="1"/>
  <c r="S516" i="10"/>
  <c r="I516" i="10" s="1"/>
  <c r="K516" i="10" s="1"/>
  <c r="L513" i="10"/>
  <c r="S514" i="10"/>
  <c r="I514" i="10" s="1"/>
  <c r="K514" i="10" s="1"/>
  <c r="S513" i="10"/>
  <c r="I513" i="10" s="1"/>
  <c r="F246" i="13" s="1"/>
  <c r="S512" i="10"/>
  <c r="I512" i="10" s="1"/>
  <c r="K512" i="10" s="1"/>
  <c r="L509" i="10"/>
  <c r="L511" i="10"/>
  <c r="S511" i="10"/>
  <c r="I511" i="10" s="1"/>
  <c r="F245" i="13" s="1"/>
  <c r="S509" i="10"/>
  <c r="I509" i="10" s="1"/>
  <c r="G27" i="5"/>
  <c r="S510" i="10"/>
  <c r="I510" i="10" s="1"/>
  <c r="K510" i="10" s="1"/>
  <c r="S508" i="10"/>
  <c r="I508" i="10" s="1"/>
  <c r="F243" i="13" s="1"/>
  <c r="S507" i="10"/>
  <c r="I507" i="10" s="1"/>
  <c r="K507" i="10" s="1"/>
  <c r="L507" i="10"/>
  <c r="S506" i="10"/>
  <c r="I506" i="10" s="1"/>
  <c r="K506" i="10" s="1"/>
  <c r="L505" i="10"/>
  <c r="S504" i="10"/>
  <c r="I504" i="10" s="1"/>
  <c r="S505" i="10"/>
  <c r="I505" i="10" s="1"/>
  <c r="L351" i="10"/>
  <c r="L503" i="10"/>
  <c r="S503" i="10"/>
  <c r="I503" i="10" s="1"/>
  <c r="K503" i="10" s="1"/>
  <c r="L501" i="10"/>
  <c r="L470" i="10"/>
  <c r="L493" i="10"/>
  <c r="S502" i="10"/>
  <c r="I502" i="10" s="1"/>
  <c r="K502" i="10" s="1"/>
  <c r="Y502" i="10"/>
  <c r="S501" i="10"/>
  <c r="I501" i="10" s="1"/>
  <c r="L21" i="10"/>
  <c r="L499" i="10"/>
  <c r="S499" i="10"/>
  <c r="I499" i="10" s="1"/>
  <c r="S500" i="10"/>
  <c r="I500" i="10" s="1"/>
  <c r="K500" i="10" s="1"/>
  <c r="L286" i="10"/>
  <c r="L333" i="10"/>
  <c r="L43" i="10"/>
  <c r="L240" i="10"/>
  <c r="I62" i="7"/>
  <c r="B65" i="9" s="1"/>
  <c r="G29" i="5"/>
  <c r="S498" i="10"/>
  <c r="I498" i="10" s="1"/>
  <c r="L37" i="10"/>
  <c r="L435" i="10"/>
  <c r="L440" i="10"/>
  <c r="S497" i="10"/>
  <c r="I497" i="10" s="1"/>
  <c r="K497" i="10" s="1"/>
  <c r="G10" i="5"/>
  <c r="L146" i="10"/>
  <c r="L102" i="10"/>
  <c r="L497" i="10"/>
  <c r="G17" i="5"/>
  <c r="S496" i="10"/>
  <c r="I496" i="10" s="1"/>
  <c r="K496" i="10" s="1"/>
  <c r="L124" i="10"/>
  <c r="L126" i="10"/>
  <c r="L168" i="10"/>
  <c r="L156" i="10"/>
  <c r="L427" i="10"/>
  <c r="L495" i="10"/>
  <c r="L399" i="10"/>
  <c r="L108" i="10"/>
  <c r="L134" i="10"/>
  <c r="L231" i="10"/>
  <c r="L443" i="10"/>
  <c r="L244" i="10"/>
  <c r="I85" i="7"/>
  <c r="Y65" i="9" s="1"/>
  <c r="L266" i="10"/>
  <c r="L337" i="10"/>
  <c r="S495" i="10"/>
  <c r="I495" i="10" s="1"/>
  <c r="L23" i="10"/>
  <c r="L387" i="10"/>
  <c r="L466" i="10"/>
  <c r="L454" i="10"/>
  <c r="L110" i="10"/>
  <c r="L252" i="10"/>
  <c r="L331" i="10"/>
  <c r="L433" i="10"/>
  <c r="L489" i="10"/>
  <c r="L138" i="10"/>
  <c r="L383" i="10"/>
  <c r="L288" i="10"/>
  <c r="S75" i="10"/>
  <c r="I75" i="10" s="1"/>
  <c r="F57" i="13" s="1"/>
  <c r="S33" i="10"/>
  <c r="I33" i="10" s="1"/>
  <c r="F36" i="13" s="1"/>
  <c r="G18" i="5"/>
  <c r="G26" i="5"/>
  <c r="Z496" i="10"/>
  <c r="AA496" i="10" s="1"/>
  <c r="AB496" i="10" s="1"/>
  <c r="O19" i="13"/>
  <c r="Y355" i="10"/>
  <c r="Z355" i="10" s="1"/>
  <c r="Y357" i="10"/>
  <c r="Z357" i="10" s="1"/>
  <c r="S235" i="10"/>
  <c r="I235" i="10" s="1"/>
  <c r="F118" i="13" s="1"/>
  <c r="S331" i="10"/>
  <c r="I331" i="10" s="1"/>
  <c r="K331" i="10" s="1"/>
  <c r="S36" i="10"/>
  <c r="I36" i="10" s="1"/>
  <c r="K36" i="10" s="1"/>
  <c r="S84" i="10"/>
  <c r="I84" i="10" s="1"/>
  <c r="S132" i="10"/>
  <c r="I132" i="10" s="1"/>
  <c r="F85" i="13" s="1"/>
  <c r="Y30" i="10"/>
  <c r="Z30" i="10" s="1"/>
  <c r="S80" i="10"/>
  <c r="I80" i="10" s="1"/>
  <c r="F59" i="13" s="1"/>
  <c r="S154" i="10"/>
  <c r="I154" i="10" s="1"/>
  <c r="K154" i="10" s="1"/>
  <c r="Q18" i="13"/>
  <c r="R18" i="13" s="1"/>
  <c r="S289" i="10"/>
  <c r="I289" i="10" s="1"/>
  <c r="K289" i="10" s="1"/>
  <c r="S366" i="10"/>
  <c r="I366" i="10" s="1"/>
  <c r="K366" i="10" s="1"/>
  <c r="S415" i="10"/>
  <c r="I415" i="10" s="1"/>
  <c r="K415" i="10" s="1"/>
  <c r="O10" i="13"/>
  <c r="Q5" i="10"/>
  <c r="S389" i="10"/>
  <c r="I389" i="10" s="1"/>
  <c r="K389" i="10" s="1"/>
  <c r="S419" i="10"/>
  <c r="I419" i="10" s="1"/>
  <c r="K419" i="10" s="1"/>
  <c r="S313" i="10"/>
  <c r="I313" i="10" s="1"/>
  <c r="F156" i="13" s="1"/>
  <c r="S386" i="10"/>
  <c r="I386" i="10" s="1"/>
  <c r="F189" i="13" s="1"/>
  <c r="G7" i="13"/>
  <c r="H7" i="13" s="1"/>
  <c r="S112" i="10"/>
  <c r="I112" i="10" s="1"/>
  <c r="F75" i="13" s="1"/>
  <c r="S238" i="10"/>
  <c r="I238" i="10" s="1"/>
  <c r="K238" i="10" s="1"/>
  <c r="S316" i="10"/>
  <c r="I316" i="10" s="1"/>
  <c r="F158" i="13" s="1"/>
  <c r="S363" i="10"/>
  <c r="I363" i="10" s="1"/>
  <c r="F180" i="13" s="1"/>
  <c r="S433" i="10"/>
  <c r="I433" i="10" s="1"/>
  <c r="K433" i="10" s="1"/>
  <c r="S220" i="10"/>
  <c r="I220" i="10" s="1"/>
  <c r="F111" i="13" s="1"/>
  <c r="S334" i="10"/>
  <c r="I334" i="10" s="1"/>
  <c r="K334" i="10" s="1"/>
  <c r="S349" i="10"/>
  <c r="I349" i="10" s="1"/>
  <c r="F174" i="13" s="1"/>
  <c r="S448" i="10"/>
  <c r="I448" i="10" s="1"/>
  <c r="F216" i="13" s="1"/>
  <c r="S82" i="10"/>
  <c r="I82" i="10" s="1"/>
  <c r="S152" i="10"/>
  <c r="I152" i="10" s="1"/>
  <c r="S287" i="10"/>
  <c r="I287" i="10" s="1"/>
  <c r="K287" i="10" s="1"/>
  <c r="S340" i="10"/>
  <c r="I340" i="10" s="1"/>
  <c r="F169" i="13" s="1"/>
  <c r="S347" i="10"/>
  <c r="I347" i="10" s="1"/>
  <c r="F173" i="13" s="1"/>
  <c r="O8" i="13"/>
  <c r="S148" i="10"/>
  <c r="I148" i="10" s="1"/>
  <c r="S323" i="10"/>
  <c r="I323" i="10" s="1"/>
  <c r="F161" i="13" s="1"/>
  <c r="S11" i="10"/>
  <c r="I11" i="10" s="1"/>
  <c r="K11" i="10" s="1"/>
  <c r="S64" i="10"/>
  <c r="I64" i="10" s="1"/>
  <c r="K64" i="10" s="1"/>
  <c r="S38" i="10"/>
  <c r="I38" i="10" s="1"/>
  <c r="F38" i="13" s="1"/>
  <c r="S30" i="10"/>
  <c r="I30" i="10" s="1"/>
  <c r="K30" i="10" s="1"/>
  <c r="Y50" i="10"/>
  <c r="Z50" i="10" s="1"/>
  <c r="AA49" i="10" s="1"/>
  <c r="AB49" i="10" s="1"/>
  <c r="U51" i="10" s="1"/>
  <c r="S98" i="10"/>
  <c r="I98" i="10" s="1"/>
  <c r="S24" i="10"/>
  <c r="I24" i="10" s="1"/>
  <c r="S72" i="10"/>
  <c r="I72" i="10" s="1"/>
  <c r="K72" i="10" s="1"/>
  <c r="Z479" i="10"/>
  <c r="AA479" i="10" s="1"/>
  <c r="AB479" i="10" s="1"/>
  <c r="U482" i="10" s="1"/>
  <c r="S493" i="10"/>
  <c r="I493" i="10" s="1"/>
  <c r="K493" i="10" s="1"/>
  <c r="S34" i="10"/>
  <c r="I34" i="10" s="1"/>
  <c r="K34" i="10" s="1"/>
  <c r="S388" i="10"/>
  <c r="I388" i="10" s="1"/>
  <c r="F190" i="13" s="1"/>
  <c r="S399" i="10"/>
  <c r="I399" i="10" s="1"/>
  <c r="F195" i="13" s="1"/>
  <c r="S404" i="10"/>
  <c r="I404" i="10" s="1"/>
  <c r="K404" i="10" s="1"/>
  <c r="Y449" i="10"/>
  <c r="S51" i="10"/>
  <c r="I51" i="10" s="1"/>
  <c r="F45" i="13" s="1"/>
  <c r="Y86" i="10"/>
  <c r="Z86" i="10" s="1"/>
  <c r="Y495" i="10"/>
  <c r="Z495" i="10" s="1"/>
  <c r="S219" i="10"/>
  <c r="I219" i="10" s="1"/>
  <c r="K219" i="10" s="1"/>
  <c r="S451" i="10"/>
  <c r="I451" i="10" s="1"/>
  <c r="K451" i="10" s="1"/>
  <c r="Y471" i="10"/>
  <c r="S482" i="10"/>
  <c r="I482" i="10" s="1"/>
  <c r="K482" i="10" s="1"/>
  <c r="O9" i="13"/>
  <c r="G13" i="13"/>
  <c r="H13" i="13" s="1"/>
  <c r="F85" i="7"/>
  <c r="Y62" i="9" s="1"/>
  <c r="G13" i="5"/>
  <c r="P18" i="7"/>
  <c r="R18" i="7" s="1"/>
  <c r="V5" i="10"/>
  <c r="S301" i="10"/>
  <c r="I301" i="10" s="1"/>
  <c r="K301" i="10" s="1"/>
  <c r="S311" i="10"/>
  <c r="I311" i="10" s="1"/>
  <c r="K311" i="10" s="1"/>
  <c r="S343" i="10"/>
  <c r="I343" i="10" s="1"/>
  <c r="F171" i="13" s="1"/>
  <c r="S373" i="10"/>
  <c r="I373" i="10" s="1"/>
  <c r="F185" i="13" s="1"/>
  <c r="L64" i="7"/>
  <c r="D68" i="9" s="1"/>
  <c r="S425" i="10"/>
  <c r="I425" i="10" s="1"/>
  <c r="K425" i="10" s="1"/>
  <c r="S462" i="10"/>
  <c r="I462" i="10" s="1"/>
  <c r="K462" i="10" s="1"/>
  <c r="S110" i="10"/>
  <c r="I110" i="10" s="1"/>
  <c r="S125" i="10"/>
  <c r="I125" i="10" s="1"/>
  <c r="K125" i="10" s="1"/>
  <c r="G18" i="13"/>
  <c r="H18" i="13" s="1"/>
  <c r="S32" i="10"/>
  <c r="I32" i="10" s="1"/>
  <c r="K32" i="10" s="1"/>
  <c r="S50" i="10"/>
  <c r="I50" i="10" s="1"/>
  <c r="K50" i="10" s="1"/>
  <c r="S81" i="10"/>
  <c r="I81" i="10" s="1"/>
  <c r="K81" i="10" s="1"/>
  <c r="S101" i="10"/>
  <c r="I101" i="10" s="1"/>
  <c r="K101" i="10" s="1"/>
  <c r="S134" i="10"/>
  <c r="I134" i="10" s="1"/>
  <c r="U18" i="13"/>
  <c r="S274" i="10"/>
  <c r="I274" i="10" s="1"/>
  <c r="S298" i="10"/>
  <c r="I298" i="10" s="1"/>
  <c r="K298" i="10" s="1"/>
  <c r="S337" i="10"/>
  <c r="I337" i="10" s="1"/>
  <c r="S49" i="10"/>
  <c r="I49" i="10" s="1"/>
  <c r="F44" i="13" s="1"/>
  <c r="S97" i="10"/>
  <c r="I97" i="10" s="1"/>
  <c r="S108" i="10"/>
  <c r="I108" i="10" s="1"/>
  <c r="K108" i="10" s="1"/>
  <c r="Z125" i="10"/>
  <c r="AA125" i="10" s="1"/>
  <c r="AB125" i="10" s="1"/>
  <c r="U129" i="10" s="1"/>
  <c r="S330" i="10"/>
  <c r="I330" i="10" s="1"/>
  <c r="K330" i="10" s="1"/>
  <c r="S364" i="10"/>
  <c r="I364" i="10" s="1"/>
  <c r="F181" i="13" s="1"/>
  <c r="S85" i="10"/>
  <c r="I85" i="10" s="1"/>
  <c r="K85" i="10" s="1"/>
  <c r="S121" i="10"/>
  <c r="I121" i="10" s="1"/>
  <c r="F79" i="13" s="1"/>
  <c r="S193" i="10"/>
  <c r="I193" i="10" s="1"/>
  <c r="K193" i="10" s="1"/>
  <c r="S346" i="10"/>
  <c r="I346" i="10" s="1"/>
  <c r="K346" i="10" s="1"/>
  <c r="S406" i="10"/>
  <c r="I406" i="10" s="1"/>
  <c r="K406" i="10" s="1"/>
  <c r="P17" i="7"/>
  <c r="R17" i="7" s="1"/>
  <c r="S53" i="10"/>
  <c r="I53" i="10" s="1"/>
  <c r="F46" i="13" s="1"/>
  <c r="S99" i="10"/>
  <c r="I99" i="10" s="1"/>
  <c r="K99" i="10" s="1"/>
  <c r="S336" i="10"/>
  <c r="I336" i="10" s="1"/>
  <c r="K336" i="10" s="1"/>
  <c r="G11" i="13"/>
  <c r="V11" i="13" s="1"/>
  <c r="G15" i="13"/>
  <c r="V15" i="13" s="1"/>
  <c r="P22" i="7"/>
  <c r="R22" i="7" s="1"/>
  <c r="P21" i="7"/>
  <c r="Q21" i="7" s="1"/>
  <c r="S143" i="10"/>
  <c r="I143" i="10" s="1"/>
  <c r="K143" i="10" s="1"/>
  <c r="S256" i="10"/>
  <c r="I256" i="10" s="1"/>
  <c r="K256" i="10" s="1"/>
  <c r="S432" i="10"/>
  <c r="I432" i="10" s="1"/>
  <c r="S439" i="10"/>
  <c r="I439" i="10" s="1"/>
  <c r="K439" i="10" s="1"/>
  <c r="Y23" i="10"/>
  <c r="Z23" i="10" s="1"/>
  <c r="AA23" i="10" s="1"/>
  <c r="AB23" i="10" s="1"/>
  <c r="U25" i="10" s="1"/>
  <c r="S57" i="10"/>
  <c r="I57" i="10" s="1"/>
  <c r="F48" i="13" s="1"/>
  <c r="S128" i="10"/>
  <c r="I128" i="10" s="1"/>
  <c r="S270" i="10"/>
  <c r="I270" i="10" s="1"/>
  <c r="F135" i="13" s="1"/>
  <c r="S293" i="10"/>
  <c r="I293" i="10" s="1"/>
  <c r="K293" i="10" s="1"/>
  <c r="P28" i="7"/>
  <c r="E30" i="3" s="1"/>
  <c r="P19" i="7"/>
  <c r="E21" i="3" s="1"/>
  <c r="P20" i="7"/>
  <c r="E22" i="3" s="1"/>
  <c r="S102" i="10"/>
  <c r="I102" i="10" s="1"/>
  <c r="K102" i="10" s="1"/>
  <c r="S147" i="10"/>
  <c r="I147" i="10" s="1"/>
  <c r="K147" i="10" s="1"/>
  <c r="S20" i="10"/>
  <c r="I20" i="10" s="1"/>
  <c r="F29" i="13" s="1"/>
  <c r="S92" i="10"/>
  <c r="I92" i="10" s="1"/>
  <c r="K92" i="10" s="1"/>
  <c r="S216" i="10"/>
  <c r="I216" i="10" s="1"/>
  <c r="S435" i="10"/>
  <c r="I435" i="10" s="1"/>
  <c r="K435" i="10" s="1"/>
  <c r="L66" i="7"/>
  <c r="F68" i="9" s="1"/>
  <c r="V14" i="10"/>
  <c r="S172" i="10"/>
  <c r="I172" i="10" s="1"/>
  <c r="K172" i="10" s="1"/>
  <c r="O16" i="13"/>
  <c r="S375" i="10"/>
  <c r="I375" i="10" s="1"/>
  <c r="K375" i="10" s="1"/>
  <c r="S292" i="10"/>
  <c r="I292" i="10" s="1"/>
  <c r="D33" i="9"/>
  <c r="Z6" i="10"/>
  <c r="AA6" i="10" s="1"/>
  <c r="AB6" i="10" s="1"/>
  <c r="S26" i="10"/>
  <c r="I26" i="10" s="1"/>
  <c r="F32" i="13" s="1"/>
  <c r="S63" i="10"/>
  <c r="I63" i="10" s="1"/>
  <c r="S129" i="10"/>
  <c r="I129" i="10" s="1"/>
  <c r="K129" i="10" s="1"/>
  <c r="S153" i="10"/>
  <c r="I153" i="10" s="1"/>
  <c r="K153" i="10" s="1"/>
  <c r="S215" i="10"/>
  <c r="I215" i="10" s="1"/>
  <c r="K215" i="10" s="1"/>
  <c r="Y245" i="10"/>
  <c r="Z245" i="10" s="1"/>
  <c r="AA244" i="10" s="1"/>
  <c r="AB244" i="10" s="1"/>
  <c r="U276" i="10" s="1"/>
  <c r="S260" i="10"/>
  <c r="I260" i="10" s="1"/>
  <c r="S335" i="10"/>
  <c r="I335" i="10" s="1"/>
  <c r="S106" i="10"/>
  <c r="I106" i="10" s="1"/>
  <c r="S122" i="10"/>
  <c r="I122" i="10" s="1"/>
  <c r="S205" i="10"/>
  <c r="I205" i="10" s="1"/>
  <c r="K205" i="10" s="1"/>
  <c r="S291" i="10"/>
  <c r="I291" i="10" s="1"/>
  <c r="F145" i="13" s="1"/>
  <c r="S333" i="10"/>
  <c r="I333" i="10" s="1"/>
  <c r="S458" i="10"/>
  <c r="I458" i="10" s="1"/>
  <c r="K458" i="10" s="1"/>
  <c r="S465" i="10"/>
  <c r="I465" i="10" s="1"/>
  <c r="S54" i="10"/>
  <c r="I54" i="10" s="1"/>
  <c r="K54" i="10" s="1"/>
  <c r="S83" i="10"/>
  <c r="I83" i="10" s="1"/>
  <c r="K83" i="10" s="1"/>
  <c r="S104" i="10"/>
  <c r="I104" i="10" s="1"/>
  <c r="S120" i="10"/>
  <c r="I120" i="10" s="1"/>
  <c r="K120" i="10" s="1"/>
  <c r="S327" i="10"/>
  <c r="I327" i="10" s="1"/>
  <c r="K327" i="10" s="1"/>
  <c r="S392" i="10"/>
  <c r="I392" i="10" s="1"/>
  <c r="S443" i="10"/>
  <c r="I443" i="10" s="1"/>
  <c r="K443" i="10" s="1"/>
  <c r="F70" i="7"/>
  <c r="J62" i="9" s="1"/>
  <c r="Z123" i="10"/>
  <c r="AA123" i="10" s="1"/>
  <c r="AB123" i="10" s="1"/>
  <c r="U149" i="10" s="1"/>
  <c r="Y124" i="10"/>
  <c r="Z124" i="10" s="1"/>
  <c r="S157" i="10"/>
  <c r="I157" i="10" s="1"/>
  <c r="K157" i="10" s="1"/>
  <c r="S259" i="10"/>
  <c r="I259" i="10" s="1"/>
  <c r="K259" i="10" s="1"/>
  <c r="S308" i="10"/>
  <c r="I308" i="10" s="1"/>
  <c r="F154" i="13" s="1"/>
  <c r="S350" i="10"/>
  <c r="I350" i="10" s="1"/>
  <c r="K350" i="10" s="1"/>
  <c r="I73" i="7"/>
  <c r="M65" i="9" s="1"/>
  <c r="S22" i="10"/>
  <c r="I22" i="10" s="1"/>
  <c r="K22" i="10" s="1"/>
  <c r="S436" i="10"/>
  <c r="I436" i="10" s="1"/>
  <c r="K436" i="10" s="1"/>
  <c r="S35" i="10"/>
  <c r="I35" i="10" s="1"/>
  <c r="S42" i="10"/>
  <c r="I42" i="10" s="1"/>
  <c r="F40" i="13" s="1"/>
  <c r="S52" i="10"/>
  <c r="I52" i="10" s="1"/>
  <c r="K52" i="10" s="1"/>
  <c r="S111" i="10"/>
  <c r="I111" i="10" s="1"/>
  <c r="K111" i="10" s="1"/>
  <c r="S250" i="10"/>
  <c r="I250" i="10" s="1"/>
  <c r="F125" i="13" s="1"/>
  <c r="S257" i="10"/>
  <c r="I257" i="10" s="1"/>
  <c r="S286" i="10"/>
  <c r="I286" i="10" s="1"/>
  <c r="Z359" i="10"/>
  <c r="AA359" i="10" s="1"/>
  <c r="AB359" i="10" s="1"/>
  <c r="J130" i="7" s="1"/>
  <c r="S486" i="10"/>
  <c r="I486" i="10" s="1"/>
  <c r="S489" i="10"/>
  <c r="I489" i="10" s="1"/>
  <c r="K489" i="10" s="1"/>
  <c r="S62" i="10"/>
  <c r="I62" i="10" s="1"/>
  <c r="F50" i="13" s="1"/>
  <c r="S431" i="10"/>
  <c r="I431" i="10" s="1"/>
  <c r="K431" i="10" s="1"/>
  <c r="E35" i="9"/>
  <c r="F35" i="9" s="1"/>
  <c r="G21" i="5"/>
  <c r="S27" i="10"/>
  <c r="I27" i="10" s="1"/>
  <c r="K27" i="10" s="1"/>
  <c r="S47" i="10"/>
  <c r="I47" i="10" s="1"/>
  <c r="S66" i="10"/>
  <c r="I66" i="10" s="1"/>
  <c r="K66" i="10" s="1"/>
  <c r="S87" i="10"/>
  <c r="I87" i="10" s="1"/>
  <c r="K87" i="10" s="1"/>
  <c r="S89" i="10"/>
  <c r="I89" i="10" s="1"/>
  <c r="K89" i="10" s="1"/>
  <c r="S100" i="10"/>
  <c r="I100" i="10" s="1"/>
  <c r="S117" i="10"/>
  <c r="I117" i="10" s="1"/>
  <c r="K117" i="10" s="1"/>
  <c r="S131" i="10"/>
  <c r="I131" i="10" s="1"/>
  <c r="K131" i="10" s="1"/>
  <c r="S166" i="10"/>
  <c r="I166" i="10" s="1"/>
  <c r="K166" i="10" s="1"/>
  <c r="S230" i="10"/>
  <c r="I230" i="10" s="1"/>
  <c r="K230" i="10" s="1"/>
  <c r="S233" i="10"/>
  <c r="I233" i="10" s="1"/>
  <c r="K233" i="10" s="1"/>
  <c r="S267" i="10"/>
  <c r="I267" i="10" s="1"/>
  <c r="K267" i="10" s="1"/>
  <c r="S277" i="10"/>
  <c r="I277" i="10" s="1"/>
  <c r="K277" i="10" s="1"/>
  <c r="S348" i="10"/>
  <c r="I348" i="10" s="1"/>
  <c r="K348" i="10" s="1"/>
  <c r="G25" i="5"/>
  <c r="Q14" i="10"/>
  <c r="G7" i="5"/>
  <c r="S60" i="10"/>
  <c r="I60" i="10" s="1"/>
  <c r="K60" i="10" s="1"/>
  <c r="S65" i="10"/>
  <c r="I65" i="10" s="1"/>
  <c r="F52" i="13" s="1"/>
  <c r="S86" i="10"/>
  <c r="I86" i="10" s="1"/>
  <c r="S88" i="10"/>
  <c r="I88" i="10" s="1"/>
  <c r="S139" i="10"/>
  <c r="I139" i="10" s="1"/>
  <c r="K139" i="10" s="1"/>
  <c r="S174" i="10"/>
  <c r="I174" i="10" s="1"/>
  <c r="K174" i="10" s="1"/>
  <c r="S221" i="10"/>
  <c r="I221" i="10" s="1"/>
  <c r="K221" i="10" s="1"/>
  <c r="S329" i="10"/>
  <c r="I329" i="10" s="1"/>
  <c r="F164" i="13" s="1"/>
  <c r="S354" i="10"/>
  <c r="I354" i="10" s="1"/>
  <c r="K354" i="10" s="1"/>
  <c r="S403" i="10"/>
  <c r="I403" i="10" s="1"/>
  <c r="K403" i="10" s="1"/>
  <c r="S434" i="10"/>
  <c r="I434" i="10" s="1"/>
  <c r="S487" i="10"/>
  <c r="I487" i="10" s="1"/>
  <c r="F233" i="13" s="1"/>
  <c r="S55" i="10"/>
  <c r="I55" i="10" s="1"/>
  <c r="F47" i="13" s="1"/>
  <c r="S255" i="10"/>
  <c r="I255" i="10" s="1"/>
  <c r="K255" i="10" s="1"/>
  <c r="S285" i="10"/>
  <c r="I285" i="10" s="1"/>
  <c r="S305" i="10"/>
  <c r="I305" i="10" s="1"/>
  <c r="F152" i="13" s="1"/>
  <c r="S314" i="10"/>
  <c r="I314" i="10" s="1"/>
  <c r="K314" i="10" s="1"/>
  <c r="L70" i="7"/>
  <c r="J68" i="9" s="1"/>
  <c r="S39" i="10"/>
  <c r="I39" i="10" s="1"/>
  <c r="K39" i="10" s="1"/>
  <c r="S115" i="10"/>
  <c r="I115" i="10" s="1"/>
  <c r="K115" i="10" s="1"/>
  <c r="S126" i="10"/>
  <c r="I126" i="10" s="1"/>
  <c r="S137" i="10"/>
  <c r="I137" i="10" s="1"/>
  <c r="K137" i="10" s="1"/>
  <c r="S203" i="10"/>
  <c r="I203" i="10" s="1"/>
  <c r="K203" i="10" s="1"/>
  <c r="S239" i="10"/>
  <c r="I239" i="10" s="1"/>
  <c r="K239" i="10" s="1"/>
  <c r="S243" i="10"/>
  <c r="I243" i="10" s="1"/>
  <c r="K243" i="10" s="1"/>
  <c r="S248" i="10"/>
  <c r="I248" i="10" s="1"/>
  <c r="S265" i="10"/>
  <c r="I265" i="10" s="1"/>
  <c r="S411" i="10"/>
  <c r="I411" i="10" s="1"/>
  <c r="K411" i="10" s="1"/>
  <c r="S413" i="10"/>
  <c r="I413" i="10" s="1"/>
  <c r="K413" i="10" s="1"/>
  <c r="S23" i="10"/>
  <c r="I23" i="10" s="1"/>
  <c r="K23" i="10" s="1"/>
  <c r="S181" i="10"/>
  <c r="I181" i="10" s="1"/>
  <c r="K181" i="10" s="1"/>
  <c r="S282" i="10"/>
  <c r="I282" i="10" s="1"/>
  <c r="K282" i="10" s="1"/>
  <c r="S449" i="10"/>
  <c r="I449" i="10" s="1"/>
  <c r="K449" i="10" s="1"/>
  <c r="S74" i="10"/>
  <c r="I74" i="10" s="1"/>
  <c r="K74" i="10" s="1"/>
  <c r="S103" i="10"/>
  <c r="I103" i="10" s="1"/>
  <c r="S113" i="10"/>
  <c r="I113" i="10" s="1"/>
  <c r="K113" i="10" s="1"/>
  <c r="S189" i="10"/>
  <c r="I189" i="10" s="1"/>
  <c r="K189" i="10" s="1"/>
  <c r="S253" i="10"/>
  <c r="I253" i="10" s="1"/>
  <c r="K253" i="10" s="1"/>
  <c r="S303" i="10"/>
  <c r="I303" i="10" s="1"/>
  <c r="K303" i="10" s="1"/>
  <c r="S307" i="10"/>
  <c r="I307" i="10" s="1"/>
  <c r="K307" i="10" s="1"/>
  <c r="S409" i="10"/>
  <c r="I409" i="10" s="1"/>
  <c r="K409" i="10" s="1"/>
  <c r="S456" i="10"/>
  <c r="I456" i="10" s="1"/>
  <c r="F220" i="13" s="1"/>
  <c r="S480" i="10"/>
  <c r="I480" i="10" s="1"/>
  <c r="U10" i="13"/>
  <c r="Q20" i="13"/>
  <c r="R20" i="13"/>
  <c r="U12" i="13"/>
  <c r="U13" i="13"/>
  <c r="U9" i="13"/>
  <c r="U7" i="13"/>
  <c r="U11" i="13"/>
  <c r="P16" i="7"/>
  <c r="E18" i="3" s="1"/>
  <c r="S19" i="10"/>
  <c r="I19" i="10" s="1"/>
  <c r="K19" i="10" s="1"/>
  <c r="S71" i="10"/>
  <c r="I71" i="10" s="1"/>
  <c r="F55" i="13" s="1"/>
  <c r="S96" i="10"/>
  <c r="I96" i="10" s="1"/>
  <c r="K96" i="10" s="1"/>
  <c r="S114" i="10"/>
  <c r="I114" i="10" s="1"/>
  <c r="S116" i="10"/>
  <c r="I116" i="10" s="1"/>
  <c r="F77" i="13" s="1"/>
  <c r="S290" i="10"/>
  <c r="I290" i="10" s="1"/>
  <c r="K290" i="10" s="1"/>
  <c r="Y306" i="10"/>
  <c r="Z306" i="10" s="1"/>
  <c r="S339" i="10"/>
  <c r="I339" i="10" s="1"/>
  <c r="K339" i="10" s="1"/>
  <c r="S407" i="10"/>
  <c r="I407" i="10" s="1"/>
  <c r="F198" i="13" s="1"/>
  <c r="P15" i="7"/>
  <c r="Q15" i="7" s="1"/>
  <c r="P32" i="7"/>
  <c r="E34" i="3" s="1"/>
  <c r="Y11" i="10"/>
  <c r="Z11" i="10" s="1"/>
  <c r="AA11" i="10" s="1"/>
  <c r="AB11" i="10" s="1"/>
  <c r="H111" i="7" s="1"/>
  <c r="L35" i="10"/>
  <c r="S160" i="10"/>
  <c r="I160" i="10" s="1"/>
  <c r="S202" i="10"/>
  <c r="I202" i="10" s="1"/>
  <c r="K202" i="10" s="1"/>
  <c r="S418" i="10"/>
  <c r="I418" i="10" s="1"/>
  <c r="F204" i="13" s="1"/>
  <c r="S437" i="10"/>
  <c r="I437" i="10" s="1"/>
  <c r="P14" i="7"/>
  <c r="R14" i="7" s="1"/>
  <c r="P30" i="7"/>
  <c r="Q30" i="7" s="1"/>
  <c r="Q6" i="10"/>
  <c r="Y122" i="10"/>
  <c r="Z122" i="10" s="1"/>
  <c r="S186" i="10"/>
  <c r="I186" i="10" s="1"/>
  <c r="K186" i="10" s="1"/>
  <c r="Z225" i="10"/>
  <c r="AA225" i="10" s="1"/>
  <c r="AB225" i="10" s="1"/>
  <c r="U239" i="10" s="1"/>
  <c r="S236" i="10"/>
  <c r="I236" i="10" s="1"/>
  <c r="K236" i="10" s="1"/>
  <c r="L254" i="10"/>
  <c r="S319" i="10"/>
  <c r="I319" i="10" s="1"/>
  <c r="F159" i="13" s="1"/>
  <c r="L355" i="10"/>
  <c r="Z356" i="10"/>
  <c r="AA356" i="10" s="1"/>
  <c r="AB356" i="10" s="1"/>
  <c r="I127" i="7" s="1"/>
  <c r="S416" i="10"/>
  <c r="I416" i="10" s="1"/>
  <c r="S438" i="10"/>
  <c r="I438" i="10" s="1"/>
  <c r="K438" i="10" s="1"/>
  <c r="S441" i="10"/>
  <c r="I441" i="10" s="1"/>
  <c r="S446" i="10"/>
  <c r="I446" i="10" s="1"/>
  <c r="P13" i="7"/>
  <c r="E15" i="3" s="1"/>
  <c r="P29" i="7"/>
  <c r="E31" i="3" s="1"/>
  <c r="S16" i="10"/>
  <c r="I16" i="10" s="1"/>
  <c r="F27" i="13" s="1"/>
  <c r="S58" i="10"/>
  <c r="I58" i="10" s="1"/>
  <c r="K58" i="10" s="1"/>
  <c r="Y90" i="10"/>
  <c r="Z90" i="10" s="1"/>
  <c r="L148" i="10"/>
  <c r="S151" i="10"/>
  <c r="I151" i="10" s="1"/>
  <c r="K151" i="10" s="1"/>
  <c r="S191" i="10"/>
  <c r="I191" i="10" s="1"/>
  <c r="K191" i="10" s="1"/>
  <c r="L256" i="10"/>
  <c r="S279" i="10"/>
  <c r="I279" i="10" s="1"/>
  <c r="F139" i="13" s="1"/>
  <c r="S365" i="10"/>
  <c r="I365" i="10" s="1"/>
  <c r="K365" i="10" s="1"/>
  <c r="L381" i="10"/>
  <c r="S459" i="10"/>
  <c r="I459" i="10" s="1"/>
  <c r="F221" i="13" s="1"/>
  <c r="P12" i="7"/>
  <c r="E14" i="3" s="1"/>
  <c r="V6" i="10"/>
  <c r="S31" i="10"/>
  <c r="I31" i="10" s="1"/>
  <c r="F35" i="13" s="1"/>
  <c r="L347" i="10"/>
  <c r="L353" i="10"/>
  <c r="S356" i="10"/>
  <c r="I356" i="10" s="1"/>
  <c r="K356" i="10" s="1"/>
  <c r="S414" i="10"/>
  <c r="I414" i="10" s="1"/>
  <c r="F202" i="13" s="1"/>
  <c r="S445" i="10"/>
  <c r="I445" i="10" s="1"/>
  <c r="K445" i="10" s="1"/>
  <c r="P11" i="7"/>
  <c r="R11" i="7" s="1"/>
  <c r="P27" i="7"/>
  <c r="R27" i="7" s="1"/>
  <c r="B32" i="8"/>
  <c r="S28" i="10"/>
  <c r="I28" i="10" s="1"/>
  <c r="F33" i="13" s="1"/>
  <c r="S48" i="10"/>
  <c r="I48" i="10" s="1"/>
  <c r="K48" i="10" s="1"/>
  <c r="S56" i="10"/>
  <c r="I56" i="10" s="1"/>
  <c r="K56" i="10" s="1"/>
  <c r="L80" i="10"/>
  <c r="L82" i="10"/>
  <c r="L84" i="10"/>
  <c r="S124" i="10"/>
  <c r="I124" i="10" s="1"/>
  <c r="S133" i="10"/>
  <c r="I133" i="10" s="1"/>
  <c r="K133" i="10" s="1"/>
  <c r="S135" i="10"/>
  <c r="I135" i="10" s="1"/>
  <c r="K135" i="10" s="1"/>
  <c r="S149" i="10"/>
  <c r="I149" i="10" s="1"/>
  <c r="K149" i="10" s="1"/>
  <c r="S165" i="10"/>
  <c r="I165" i="10" s="1"/>
  <c r="K165" i="10" s="1"/>
  <c r="Y221" i="10"/>
  <c r="S229" i="10"/>
  <c r="I229" i="10" s="1"/>
  <c r="S231" i="10"/>
  <c r="I231" i="10" s="1"/>
  <c r="F116" i="13" s="1"/>
  <c r="S254" i="10"/>
  <c r="I254" i="10" s="1"/>
  <c r="S258" i="10"/>
  <c r="I258" i="10" s="1"/>
  <c r="S264" i="10"/>
  <c r="I264" i="10" s="1"/>
  <c r="K264" i="10" s="1"/>
  <c r="S273" i="10"/>
  <c r="I273" i="10" s="1"/>
  <c r="K273" i="10" s="1"/>
  <c r="S300" i="10"/>
  <c r="I300" i="10" s="1"/>
  <c r="S317" i="10"/>
  <c r="I317" i="10" s="1"/>
  <c r="K317" i="10" s="1"/>
  <c r="S332" i="10"/>
  <c r="I332" i="10" s="1"/>
  <c r="S355" i="10"/>
  <c r="I355" i="10" s="1"/>
  <c r="S412" i="10"/>
  <c r="I412" i="10" s="1"/>
  <c r="F201" i="13" s="1"/>
  <c r="P10" i="7"/>
  <c r="E12" i="3" s="1"/>
  <c r="P26" i="7"/>
  <c r="S29" i="10"/>
  <c r="I29" i="10" s="1"/>
  <c r="F34" i="13" s="1"/>
  <c r="S41" i="10"/>
  <c r="I41" i="10" s="1"/>
  <c r="K41" i="10" s="1"/>
  <c r="S46" i="10"/>
  <c r="I46" i="10" s="1"/>
  <c r="K46" i="10" s="1"/>
  <c r="S170" i="10"/>
  <c r="I170" i="10" s="1"/>
  <c r="K170" i="10" s="1"/>
  <c r="S175" i="10"/>
  <c r="I175" i="10" s="1"/>
  <c r="K175" i="10" s="1"/>
  <c r="L349" i="10"/>
  <c r="S400" i="10"/>
  <c r="I400" i="10" s="1"/>
  <c r="K400" i="10" s="1"/>
  <c r="S464" i="10"/>
  <c r="I464" i="10" s="1"/>
  <c r="K464" i="10" s="1"/>
  <c r="P9" i="7"/>
  <c r="E11" i="3" s="1"/>
  <c r="P25" i="7"/>
  <c r="E27" i="3" s="1"/>
  <c r="Y8" i="10"/>
  <c r="Z8" i="10" s="1"/>
  <c r="AA8" i="10" s="1"/>
  <c r="AB8" i="10" s="1"/>
  <c r="G111" i="7" s="1"/>
  <c r="P12" i="10"/>
  <c r="Q12" i="10" s="1"/>
  <c r="S73" i="10"/>
  <c r="I73" i="10" s="1"/>
  <c r="F56" i="13" s="1"/>
  <c r="L86" i="10"/>
  <c r="S105" i="10"/>
  <c r="I105" i="10" s="1"/>
  <c r="K105" i="10" s="1"/>
  <c r="S107" i="10"/>
  <c r="I107" i="10" s="1"/>
  <c r="K107" i="10" s="1"/>
  <c r="S118" i="10"/>
  <c r="I118" i="10" s="1"/>
  <c r="S127" i="10"/>
  <c r="I127" i="10" s="1"/>
  <c r="K127" i="10" s="1"/>
  <c r="Y139" i="10"/>
  <c r="S226" i="10"/>
  <c r="I226" i="10" s="1"/>
  <c r="K226" i="10" s="1"/>
  <c r="S227" i="10"/>
  <c r="I227" i="10" s="1"/>
  <c r="S299" i="10"/>
  <c r="I299" i="10" s="1"/>
  <c r="F149" i="13" s="1"/>
  <c r="S309" i="10"/>
  <c r="I309" i="10" s="1"/>
  <c r="K309" i="10" s="1"/>
  <c r="S353" i="10"/>
  <c r="I353" i="10" s="1"/>
  <c r="S358" i="10"/>
  <c r="I358" i="10" s="1"/>
  <c r="K358" i="10" s="1"/>
  <c r="S391" i="10"/>
  <c r="I391" i="10" s="1"/>
  <c r="K391" i="10" s="1"/>
  <c r="S430" i="10"/>
  <c r="I430" i="10" s="1"/>
  <c r="K430" i="10" s="1"/>
  <c r="S463" i="10"/>
  <c r="I463" i="10" s="1"/>
  <c r="P8" i="7"/>
  <c r="E10" i="3" s="1"/>
  <c r="P24" i="7"/>
  <c r="E26" i="3" s="1"/>
  <c r="S17" i="10"/>
  <c r="I17" i="10" s="1"/>
  <c r="K17" i="10" s="1"/>
  <c r="V30" i="10"/>
  <c r="S61" i="10"/>
  <c r="I61" i="10" s="1"/>
  <c r="K61" i="10" s="1"/>
  <c r="S70" i="10"/>
  <c r="I70" i="10" s="1"/>
  <c r="K70" i="10" s="1"/>
  <c r="S78" i="10"/>
  <c r="I78" i="10" s="1"/>
  <c r="K78" i="10" s="1"/>
  <c r="S144" i="10"/>
  <c r="I144" i="10" s="1"/>
  <c r="S195" i="10"/>
  <c r="I195" i="10" s="1"/>
  <c r="K195" i="10" s="1"/>
  <c r="Y379" i="10"/>
  <c r="L450" i="10"/>
  <c r="S455" i="10"/>
  <c r="I455" i="10" s="1"/>
  <c r="K455" i="10" s="1"/>
  <c r="S461" i="10"/>
  <c r="I461" i="10" s="1"/>
  <c r="K461" i="10" s="1"/>
  <c r="S471" i="10"/>
  <c r="I471" i="10" s="1"/>
  <c r="K471" i="10" s="1"/>
  <c r="L491" i="10"/>
  <c r="P23" i="7"/>
  <c r="E25" i="3" s="1"/>
  <c r="L4" i="10"/>
  <c r="S40" i="10"/>
  <c r="I40" i="10" s="1"/>
  <c r="F39" i="13" s="1"/>
  <c r="S76" i="10"/>
  <c r="I76" i="10" s="1"/>
  <c r="K76" i="10" s="1"/>
  <c r="P86" i="10"/>
  <c r="Q86" i="10" s="1"/>
  <c r="S93" i="10"/>
  <c r="I93" i="10" s="1"/>
  <c r="S179" i="10"/>
  <c r="I179" i="10" s="1"/>
  <c r="K179" i="10" s="1"/>
  <c r="S194" i="10"/>
  <c r="I194" i="10" s="1"/>
  <c r="K194" i="10" s="1"/>
  <c r="S201" i="10"/>
  <c r="I201" i="10" s="1"/>
  <c r="K201" i="10" s="1"/>
  <c r="S209" i="10"/>
  <c r="I209" i="10" s="1"/>
  <c r="K209" i="10" s="1"/>
  <c r="L237" i="10"/>
  <c r="S249" i="10"/>
  <c r="I249" i="10" s="1"/>
  <c r="K249" i="10" s="1"/>
  <c r="S261" i="10"/>
  <c r="I261" i="10" s="1"/>
  <c r="K261" i="10" s="1"/>
  <c r="S275" i="10"/>
  <c r="I275" i="10" s="1"/>
  <c r="K275" i="10" s="1"/>
  <c r="S281" i="10"/>
  <c r="I281" i="10" s="1"/>
  <c r="F140" i="13" s="1"/>
  <c r="S344" i="10"/>
  <c r="I344" i="10" s="1"/>
  <c r="K344" i="10" s="1"/>
  <c r="S367" i="10"/>
  <c r="I367" i="10" s="1"/>
  <c r="F182" i="13" s="1"/>
  <c r="S390" i="10"/>
  <c r="I390" i="10" s="1"/>
  <c r="S393" i="10"/>
  <c r="I393" i="10" s="1"/>
  <c r="S405" i="10"/>
  <c r="I405" i="10" s="1"/>
  <c r="F197" i="13" s="1"/>
  <c r="S417" i="10"/>
  <c r="I417" i="10" s="1"/>
  <c r="K417" i="10" s="1"/>
  <c r="S428" i="10"/>
  <c r="I428" i="10" s="1"/>
  <c r="K428" i="10" s="1"/>
  <c r="L437" i="10"/>
  <c r="L446" i="10"/>
  <c r="S453" i="10"/>
  <c r="I453" i="10" s="1"/>
  <c r="L27" i="10"/>
  <c r="S123" i="10"/>
  <c r="I123" i="10" s="1"/>
  <c r="K123" i="10" s="1"/>
  <c r="S130" i="10"/>
  <c r="I130" i="10" s="1"/>
  <c r="F84" i="13" s="1"/>
  <c r="S138" i="10"/>
  <c r="I138" i="10" s="1"/>
  <c r="S161" i="10"/>
  <c r="I161" i="10" s="1"/>
  <c r="K161" i="10" s="1"/>
  <c r="S190" i="10"/>
  <c r="I190" i="10" s="1"/>
  <c r="K190" i="10" s="1"/>
  <c r="S213" i="10"/>
  <c r="I213" i="10" s="1"/>
  <c r="K213" i="10" s="1"/>
  <c r="S296" i="10"/>
  <c r="I296" i="10" s="1"/>
  <c r="S374" i="10"/>
  <c r="I374" i="10" s="1"/>
  <c r="K374" i="10" s="1"/>
  <c r="P31" i="7"/>
  <c r="S68" i="10"/>
  <c r="I68" i="10" s="1"/>
  <c r="F53" i="13" s="1"/>
  <c r="S136" i="10"/>
  <c r="I136" i="10" s="1"/>
  <c r="S142" i="10"/>
  <c r="I142" i="10" s="1"/>
  <c r="S237" i="10"/>
  <c r="I237" i="10" s="1"/>
  <c r="V11" i="10"/>
  <c r="S141" i="10"/>
  <c r="I141" i="10" s="1"/>
  <c r="K141" i="10" s="1"/>
  <c r="S188" i="10"/>
  <c r="I188" i="10" s="1"/>
  <c r="S247" i="10"/>
  <c r="I247" i="10" s="1"/>
  <c r="K247" i="10" s="1"/>
  <c r="S252" i="10"/>
  <c r="I252" i="10" s="1"/>
  <c r="S322" i="10"/>
  <c r="I322" i="10" s="1"/>
  <c r="K322" i="10" s="1"/>
  <c r="L335" i="10"/>
  <c r="S402" i="10"/>
  <c r="I402" i="10" s="1"/>
  <c r="F196" i="13" s="1"/>
  <c r="L431" i="10"/>
  <c r="S444" i="10"/>
  <c r="I444" i="10" s="1"/>
  <c r="L473" i="10"/>
  <c r="Y14" i="10"/>
  <c r="Z14" i="10" s="1"/>
  <c r="AA14" i="10" s="1"/>
  <c r="AB14" i="10" s="1"/>
  <c r="D111" i="7" s="1"/>
  <c r="L45" i="10"/>
  <c r="L96" i="10"/>
  <c r="L106" i="10"/>
  <c r="L118" i="10"/>
  <c r="L122" i="10"/>
  <c r="S146" i="10"/>
  <c r="I146" i="10" s="1"/>
  <c r="S156" i="10"/>
  <c r="I156" i="10" s="1"/>
  <c r="S207" i="10"/>
  <c r="I207" i="10" s="1"/>
  <c r="K207" i="10" s="1"/>
  <c r="L264" i="10"/>
  <c r="L339" i="10"/>
  <c r="S345" i="10"/>
  <c r="I345" i="10" s="1"/>
  <c r="F172" i="13" s="1"/>
  <c r="S352" i="10"/>
  <c r="I352" i="10" s="1"/>
  <c r="K352" i="10" s="1"/>
  <c r="S362" i="10"/>
  <c r="I362" i="10" s="1"/>
  <c r="K362" i="10" s="1"/>
  <c r="L385" i="10"/>
  <c r="S387" i="10"/>
  <c r="I387" i="10" s="1"/>
  <c r="K387" i="10" s="1"/>
  <c r="L462" i="10"/>
  <c r="L464" i="10"/>
  <c r="S467" i="10"/>
  <c r="I467" i="10" s="1"/>
  <c r="L478" i="10"/>
  <c r="S9" i="10"/>
  <c r="I9" i="10" s="1"/>
  <c r="K9" i="10" s="1"/>
  <c r="S21" i="10"/>
  <c r="I21" i="10" s="1"/>
  <c r="V86" i="10"/>
  <c r="L88" i="10"/>
  <c r="L94" i="10"/>
  <c r="S109" i="10"/>
  <c r="I109" i="10" s="1"/>
  <c r="Y132" i="10"/>
  <c r="Z132" i="10" s="1"/>
  <c r="L227" i="10"/>
  <c r="S242" i="10"/>
  <c r="I242" i="10" s="1"/>
  <c r="L262" i="10"/>
  <c r="S283" i="10"/>
  <c r="I283" i="10" s="1"/>
  <c r="S315" i="10"/>
  <c r="I315" i="10" s="1"/>
  <c r="S360" i="10"/>
  <c r="I360" i="10" s="1"/>
  <c r="S379" i="10"/>
  <c r="I379" i="10" s="1"/>
  <c r="K379" i="10" s="1"/>
  <c r="S422" i="10"/>
  <c r="I422" i="10" s="1"/>
  <c r="K422" i="10" s="1"/>
  <c r="L429" i="10"/>
  <c r="S474" i="10"/>
  <c r="I474" i="10" s="1"/>
  <c r="K474" i="10" s="1"/>
  <c r="P37" i="11"/>
  <c r="P51" i="11"/>
  <c r="Q33" i="11"/>
  <c r="P46" i="11"/>
  <c r="R46" i="11" s="1"/>
  <c r="E32" i="9"/>
  <c r="F32" i="9" s="1"/>
  <c r="D27" i="9"/>
  <c r="E25" i="9"/>
  <c r="F25" i="9" s="1"/>
  <c r="D28" i="9"/>
  <c r="E31" i="9"/>
  <c r="F31" i="9" s="1"/>
  <c r="G28" i="5"/>
  <c r="B20" i="5"/>
  <c r="G11" i="5"/>
  <c r="G22" i="5"/>
  <c r="G14" i="5"/>
  <c r="Q36" i="11"/>
  <c r="P45" i="11"/>
  <c r="P38" i="11"/>
  <c r="Q38" i="11"/>
  <c r="P39" i="11"/>
  <c r="Q39" i="11"/>
  <c r="P34" i="11"/>
  <c r="P40" i="11"/>
  <c r="Q34" i="11"/>
  <c r="P42" i="11"/>
  <c r="R42" i="11" s="1"/>
  <c r="P50" i="11"/>
  <c r="E79" i="7"/>
  <c r="S61" i="9" s="1"/>
  <c r="I79" i="7"/>
  <c r="S65" i="9" s="1"/>
  <c r="K66" i="7"/>
  <c r="F67" i="9" s="1"/>
  <c r="I63" i="7"/>
  <c r="C65" i="9" s="1"/>
  <c r="K79" i="7"/>
  <c r="S67" i="9" s="1"/>
  <c r="E67" i="7"/>
  <c r="G61" i="9" s="1"/>
  <c r="G86" i="7"/>
  <c r="Z63" i="9" s="1"/>
  <c r="C66" i="7"/>
  <c r="F59" i="9" s="1"/>
  <c r="H73" i="7"/>
  <c r="M64" i="9" s="1"/>
  <c r="D79" i="7"/>
  <c r="S60" i="9" s="1"/>
  <c r="M63" i="7"/>
  <c r="C69" i="9" s="1"/>
  <c r="M79" i="7"/>
  <c r="S69" i="9" s="1"/>
  <c r="I83" i="7"/>
  <c r="W65" i="9" s="1"/>
  <c r="G64" i="7"/>
  <c r="D63" i="9" s="1"/>
  <c r="I66" i="7"/>
  <c r="F65" i="9" s="1"/>
  <c r="H66" i="7"/>
  <c r="F64" i="9" s="1"/>
  <c r="B75" i="7"/>
  <c r="O58" i="9" s="1"/>
  <c r="I82" i="7"/>
  <c r="V65" i="9" s="1"/>
  <c r="B64" i="7"/>
  <c r="D58" i="9" s="1"/>
  <c r="F74" i="7"/>
  <c r="N62" i="9" s="1"/>
  <c r="G90" i="7"/>
  <c r="F64" i="7"/>
  <c r="D62" i="9" s="1"/>
  <c r="F73" i="7"/>
  <c r="M62" i="9" s="1"/>
  <c r="G95" i="7"/>
  <c r="G98" i="7"/>
  <c r="G96" i="7"/>
  <c r="E100" i="7"/>
  <c r="N84" i="7"/>
  <c r="X70" i="9" s="1"/>
  <c r="I74" i="7"/>
  <c r="N65" i="9" s="1"/>
  <c r="G74" i="7"/>
  <c r="N63" i="9" s="1"/>
  <c r="I75" i="7"/>
  <c r="O65" i="9" s="1"/>
  <c r="G91" i="7"/>
  <c r="B63" i="7"/>
  <c r="C58" i="9" s="1"/>
  <c r="G94" i="7"/>
  <c r="E91" i="7"/>
  <c r="E96" i="7"/>
  <c r="D64" i="7"/>
  <c r="D60" i="9" s="1"/>
  <c r="C79" i="7"/>
  <c r="S59" i="9" s="1"/>
  <c r="D80" i="7"/>
  <c r="T60" i="9" s="1"/>
  <c r="F82" i="7"/>
  <c r="V62" i="9" s="1"/>
  <c r="G83" i="7"/>
  <c r="W63" i="9" s="1"/>
  <c r="I86" i="7"/>
  <c r="Z65" i="9" s="1"/>
  <c r="G97" i="7"/>
  <c r="E102" i="7"/>
  <c r="B73" i="7"/>
  <c r="M58" i="9" s="1"/>
  <c r="G89" i="7"/>
  <c r="G73" i="7"/>
  <c r="M63" i="9" s="1"/>
  <c r="H67" i="7"/>
  <c r="G64" i="9" s="1"/>
  <c r="B77" i="7"/>
  <c r="Q58" i="9" s="1"/>
  <c r="B78" i="7"/>
  <c r="R58" i="9" s="1"/>
  <c r="F80" i="7"/>
  <c r="T62" i="9" s="1"/>
  <c r="G99" i="7"/>
  <c r="P113" i="7"/>
  <c r="B17" i="3" s="1"/>
  <c r="N63" i="7"/>
  <c r="C70" i="9" s="1"/>
  <c r="D67" i="7"/>
  <c r="G60" i="9" s="1"/>
  <c r="D62" i="7"/>
  <c r="B60" i="9" s="1"/>
  <c r="J73" i="7"/>
  <c r="M66" i="9" s="1"/>
  <c r="L74" i="7"/>
  <c r="N68" i="9" s="1"/>
  <c r="D78" i="7"/>
  <c r="R60" i="9" s="1"/>
  <c r="F79" i="7"/>
  <c r="S62" i="9" s="1"/>
  <c r="E95" i="7"/>
  <c r="P112" i="7"/>
  <c r="B16" i="3" s="1"/>
  <c r="C16" i="3" s="1"/>
  <c r="L79" i="7"/>
  <c r="S68" i="9" s="1"/>
  <c r="G80" i="7"/>
  <c r="T63" i="9" s="1"/>
  <c r="N79" i="7"/>
  <c r="S70" i="9" s="1"/>
  <c r="G63" i="7"/>
  <c r="C63" i="9" s="1"/>
  <c r="I64" i="7"/>
  <c r="D65" i="9" s="1"/>
  <c r="K73" i="7"/>
  <c r="M67" i="9" s="1"/>
  <c r="G79" i="7"/>
  <c r="S63" i="9" s="1"/>
  <c r="I80" i="7"/>
  <c r="T65" i="9" s="1"/>
  <c r="L67" i="7"/>
  <c r="G68" i="9" s="1"/>
  <c r="L75" i="7"/>
  <c r="O68" i="9" s="1"/>
  <c r="N66" i="7"/>
  <c r="F70" i="9" s="1"/>
  <c r="L73" i="7"/>
  <c r="M68" i="9" s="1"/>
  <c r="F78" i="7"/>
  <c r="R62" i="9" s="1"/>
  <c r="H79" i="7"/>
  <c r="S64" i="9" s="1"/>
  <c r="F67" i="7"/>
  <c r="G62" i="9" s="1"/>
  <c r="F66" i="7"/>
  <c r="F62" i="9" s="1"/>
  <c r="G67" i="7"/>
  <c r="G63" i="9" s="1"/>
  <c r="G62" i="7"/>
  <c r="B63" i="9" s="1"/>
  <c r="G78" i="7"/>
  <c r="R63" i="9" s="1"/>
  <c r="P116" i="7"/>
  <c r="B20" i="3" s="1"/>
  <c r="D20" i="3" s="1"/>
  <c r="G66" i="7"/>
  <c r="F63" i="9" s="1"/>
  <c r="H62" i="7"/>
  <c r="B64" i="9" s="1"/>
  <c r="H78" i="7"/>
  <c r="R64" i="9" s="1"/>
  <c r="P120" i="7"/>
  <c r="B24" i="3" s="1"/>
  <c r="I67" i="7"/>
  <c r="G65" i="9" s="1"/>
  <c r="B79" i="7"/>
  <c r="S58" i="9" s="1"/>
  <c r="F83" i="7"/>
  <c r="W62" i="9" s="1"/>
  <c r="I78" i="7"/>
  <c r="R65" i="9" s="1"/>
  <c r="G92" i="7"/>
  <c r="J66" i="7"/>
  <c r="F66" i="9" s="1"/>
  <c r="G82" i="7"/>
  <c r="V63" i="9" s="1"/>
  <c r="I84" i="7"/>
  <c r="X65" i="9" s="1"/>
  <c r="J86" i="7"/>
  <c r="Z66" i="9" s="1"/>
  <c r="I77" i="7"/>
  <c r="Q65" i="9" s="1"/>
  <c r="G101" i="7"/>
  <c r="G93" i="7"/>
  <c r="E97" i="7"/>
  <c r="C73" i="7"/>
  <c r="M59" i="9" s="1"/>
  <c r="D75" i="7"/>
  <c r="O60" i="9" s="1"/>
  <c r="J82" i="7"/>
  <c r="V66" i="9" s="1"/>
  <c r="H75" i="7"/>
  <c r="O64" i="9" s="1"/>
  <c r="B80" i="7"/>
  <c r="T58" i="9" s="1"/>
  <c r="E89" i="7"/>
  <c r="G102" i="7"/>
  <c r="B70" i="7"/>
  <c r="J58" i="9" s="1"/>
  <c r="E73" i="7"/>
  <c r="M61" i="9" s="1"/>
  <c r="F75" i="7"/>
  <c r="O62" i="9" s="1"/>
  <c r="E98" i="7"/>
  <c r="G75" i="7"/>
  <c r="O63" i="9" s="1"/>
  <c r="E90" i="7"/>
  <c r="Q14" i="13"/>
  <c r="T14" i="13" s="1"/>
  <c r="Q8" i="13"/>
  <c r="T8" i="13" s="1"/>
  <c r="Q19" i="13"/>
  <c r="T19" i="13" s="1"/>
  <c r="Q7" i="13"/>
  <c r="T7" i="13" s="1"/>
  <c r="AH16" i="13"/>
  <c r="AG7" i="13"/>
  <c r="E29" i="9"/>
  <c r="F29" i="9" s="1"/>
  <c r="H8" i="5"/>
  <c r="H15" i="5"/>
  <c r="G5" i="5"/>
  <c r="H12" i="5"/>
  <c r="G19" i="5"/>
  <c r="G23" i="5"/>
  <c r="D23" i="9"/>
  <c r="D30" i="9"/>
  <c r="G9" i="5"/>
  <c r="G16" i="5"/>
  <c r="D36" i="9"/>
  <c r="D34" i="9"/>
  <c r="G6" i="5"/>
  <c r="G20" i="5"/>
  <c r="G24" i="5"/>
  <c r="D26" i="9"/>
  <c r="D24" i="9"/>
  <c r="M66" i="7"/>
  <c r="F69" i="9" s="1"/>
  <c r="H39" i="13" a="1"/>
  <c r="H39" i="13" s="1"/>
  <c r="D77" i="7"/>
  <c r="Q60" i="9" s="1"/>
  <c r="H28" i="13" a="1"/>
  <c r="H28" i="13" s="1"/>
  <c r="Y67" i="10"/>
  <c r="Z67" i="10" s="1"/>
  <c r="AA67" i="10" s="1"/>
  <c r="AB67" i="10" s="1"/>
  <c r="U69" i="10" s="1"/>
  <c r="Y68" i="10"/>
  <c r="Z68" i="10" s="1"/>
  <c r="S15" i="10"/>
  <c r="I15" i="10" s="1"/>
  <c r="K15" i="10" s="1"/>
  <c r="H35" i="13" a="1"/>
  <c r="H35" i="13" s="1"/>
  <c r="L39" i="10"/>
  <c r="L48" i="10"/>
  <c r="H56" i="13" a="1"/>
  <c r="H56" i="13" s="1"/>
  <c r="L73" i="10"/>
  <c r="B67" i="7"/>
  <c r="G58" i="9" s="1"/>
  <c r="E94" i="7"/>
  <c r="H32" i="13" a="1"/>
  <c r="H32" i="13" s="1"/>
  <c r="E101" i="7"/>
  <c r="H36" i="13" a="1"/>
  <c r="H36" i="13" s="1"/>
  <c r="L33" i="10"/>
  <c r="L56" i="10"/>
  <c r="E92" i="7"/>
  <c r="V9" i="10"/>
  <c r="P10" i="10"/>
  <c r="V12" i="10"/>
  <c r="L24" i="10"/>
  <c r="H43" i="13" a="1"/>
  <c r="H43" i="13" s="1"/>
  <c r="L47" i="10"/>
  <c r="E99" i="7"/>
  <c r="L11" i="10"/>
  <c r="L17" i="10"/>
  <c r="L42" i="10"/>
  <c r="H45" i="13" a="1"/>
  <c r="H45" i="13" s="1"/>
  <c r="L51" i="10"/>
  <c r="L60" i="10"/>
  <c r="L5" i="10"/>
  <c r="S14" i="10"/>
  <c r="I14" i="10" s="1"/>
  <c r="K14" i="10" s="1"/>
  <c r="S12" i="10"/>
  <c r="I12" i="10" s="1"/>
  <c r="K12" i="10" s="1"/>
  <c r="S10" i="10"/>
  <c r="I10" i="10" s="1"/>
  <c r="K10" i="10" s="1"/>
  <c r="S8" i="10"/>
  <c r="I8" i="10" s="1"/>
  <c r="K8" i="10" s="1"/>
  <c r="Y12" i="10"/>
  <c r="Z12" i="10" s="1"/>
  <c r="AA12" i="10" s="1"/>
  <c r="AB12" i="10" s="1"/>
  <c r="E111" i="7" s="1"/>
  <c r="S13" i="10"/>
  <c r="I13" i="10" s="1"/>
  <c r="K13" i="10" s="1"/>
  <c r="L25" i="10"/>
  <c r="L31" i="10"/>
  <c r="S44" i="10"/>
  <c r="I44" i="10" s="1"/>
  <c r="K44" i="10" s="1"/>
  <c r="S43" i="10"/>
  <c r="I43" i="10" s="1"/>
  <c r="F41" i="13" s="1"/>
  <c r="M62" i="7"/>
  <c r="B69" i="9" s="1"/>
  <c r="S6" i="10"/>
  <c r="I6" i="10" s="1"/>
  <c r="K6" i="10" s="1"/>
  <c r="S4" i="10"/>
  <c r="I4" i="10" s="1"/>
  <c r="F25" i="13" s="1"/>
  <c r="S7" i="10"/>
  <c r="I7" i="10" s="1"/>
  <c r="F26" i="13" s="1"/>
  <c r="Y9" i="10"/>
  <c r="Z9" i="10" s="1"/>
  <c r="Y15" i="10"/>
  <c r="Z15" i="10" s="1"/>
  <c r="AA16" i="10" s="1"/>
  <c r="AB16" i="10" s="1"/>
  <c r="U18" i="10" s="1"/>
  <c r="L34" i="10"/>
  <c r="N62" i="7"/>
  <c r="B70" i="9" s="1"/>
  <c r="O62" i="7"/>
  <c r="B71" i="9" s="1"/>
  <c r="L50" i="10"/>
  <c r="L72" i="10"/>
  <c r="V7" i="10"/>
  <c r="P8" i="10"/>
  <c r="U14" i="13"/>
  <c r="S18" i="10"/>
  <c r="I18" i="10" s="1"/>
  <c r="F28" i="13" s="1"/>
  <c r="E93" i="7"/>
  <c r="U17" i="13"/>
  <c r="Y10" i="10"/>
  <c r="Z10" i="10" s="1"/>
  <c r="AA10" i="10" s="1"/>
  <c r="AB10" i="10" s="1"/>
  <c r="F111" i="7" s="1"/>
  <c r="S5" i="10"/>
  <c r="I5" i="10" s="1"/>
  <c r="K5" i="10" s="1"/>
  <c r="Y13" i="10"/>
  <c r="Z13" i="10" s="1"/>
  <c r="AA13" i="10" s="1"/>
  <c r="AB13" i="10" s="1"/>
  <c r="L111" i="7" s="1"/>
  <c r="L22" i="10"/>
  <c r="S25" i="10"/>
  <c r="I25" i="10" s="1"/>
  <c r="K25" i="10" s="1"/>
  <c r="L29" i="10"/>
  <c r="S37" i="10"/>
  <c r="I37" i="10" s="1"/>
  <c r="K37" i="10" s="1"/>
  <c r="P13" i="10"/>
  <c r="P11" i="10"/>
  <c r="Q11" i="10" s="1"/>
  <c r="P9" i="10"/>
  <c r="Q9" i="10" s="1"/>
  <c r="P7" i="10"/>
  <c r="Q7" i="10" s="1"/>
  <c r="H49" i="13" a="1"/>
  <c r="H49" i="13" s="1"/>
  <c r="L59" i="10"/>
  <c r="Z87" i="10"/>
  <c r="AA86" i="10" s="1"/>
  <c r="AB86" i="10" s="1"/>
  <c r="U88" i="10" s="1"/>
  <c r="S91" i="10"/>
  <c r="I91" i="10" s="1"/>
  <c r="K91" i="10" s="1"/>
  <c r="S90" i="10"/>
  <c r="I90" i="10" s="1"/>
  <c r="F64" i="13" s="1"/>
  <c r="Y44" i="10"/>
  <c r="Z44" i="10" s="1"/>
  <c r="AA44" i="10" s="1"/>
  <c r="AB44" i="10" s="1"/>
  <c r="F108" i="7" s="1"/>
  <c r="S45" i="10"/>
  <c r="I45" i="10" s="1"/>
  <c r="F42" i="13" s="1"/>
  <c r="H46" i="13" a="1"/>
  <c r="H46" i="13" s="1"/>
  <c r="L53" i="10"/>
  <c r="S69" i="10"/>
  <c r="I69" i="10" s="1"/>
  <c r="F54" i="13" s="1"/>
  <c r="S77" i="10"/>
  <c r="I77" i="10" s="1"/>
  <c r="F58" i="13" s="1"/>
  <c r="H51" i="13" a="1"/>
  <c r="H51" i="13" s="1"/>
  <c r="L63" i="10"/>
  <c r="H53" i="13" a="1"/>
  <c r="H53" i="13" s="1"/>
  <c r="L67" i="10"/>
  <c r="S79" i="10"/>
  <c r="I79" i="10" s="1"/>
  <c r="K79" i="10" s="1"/>
  <c r="Y79" i="10"/>
  <c r="Z79" i="10" s="1"/>
  <c r="Y78" i="10"/>
  <c r="Z78" i="10" s="1"/>
  <c r="AA78" i="10" s="1"/>
  <c r="AB78" i="10" s="1"/>
  <c r="U422" i="10" s="1"/>
  <c r="L57" i="10"/>
  <c r="Y77" i="10"/>
  <c r="Z77" i="10" s="1"/>
  <c r="U15" i="13"/>
  <c r="H54" i="13" a="1"/>
  <c r="H54" i="13" s="1"/>
  <c r="L69" i="10"/>
  <c r="L61" i="10"/>
  <c r="L77" i="10"/>
  <c r="H52" i="13" a="1"/>
  <c r="H52" i="13" s="1"/>
  <c r="L65" i="10"/>
  <c r="L68" i="10"/>
  <c r="Y72" i="10"/>
  <c r="Z72" i="10" s="1"/>
  <c r="AA71" i="10" s="1"/>
  <c r="AB71" i="10" s="1"/>
  <c r="U73" i="10" s="1"/>
  <c r="L81" i="10"/>
  <c r="S95" i="10"/>
  <c r="I95" i="10" s="1"/>
  <c r="K95" i="10" s="1"/>
  <c r="S94" i="10"/>
  <c r="I94" i="10" s="1"/>
  <c r="F66" i="13" s="1"/>
  <c r="S59" i="10"/>
  <c r="I59" i="10" s="1"/>
  <c r="F49" i="13" s="1"/>
  <c r="L64" i="10"/>
  <c r="H64" i="13" a="1"/>
  <c r="H64" i="13" s="1"/>
  <c r="L90" i="10"/>
  <c r="H47" i="13" a="1"/>
  <c r="H47" i="13" s="1"/>
  <c r="L55" i="10"/>
  <c r="L30" i="10"/>
  <c r="U16" i="13"/>
  <c r="H44" i="13" a="1"/>
  <c r="H44" i="13" s="1"/>
  <c r="L49" i="10"/>
  <c r="S67" i="10"/>
  <c r="I67" i="10" s="1"/>
  <c r="K67" i="10" s="1"/>
  <c r="L71" i="10"/>
  <c r="Y71" i="10"/>
  <c r="Z71" i="10" s="1"/>
  <c r="L40" i="10"/>
  <c r="L41" i="10"/>
  <c r="H84" i="13" a="1"/>
  <c r="H84" i="13" s="1"/>
  <c r="L130" i="10"/>
  <c r="L116" i="10"/>
  <c r="H57" i="13" a="1"/>
  <c r="H57" i="13" s="1"/>
  <c r="L75" i="10"/>
  <c r="L87" i="10"/>
  <c r="H68" i="13" a="1"/>
  <c r="H68" i="13" s="1"/>
  <c r="H69" i="13" a="1"/>
  <c r="H69" i="13" s="1"/>
  <c r="L100" i="10"/>
  <c r="L92" i="10"/>
  <c r="S119" i="10"/>
  <c r="I119" i="10" s="1"/>
  <c r="K119" i="10" s="1"/>
  <c r="L98" i="10"/>
  <c r="H76" i="13" a="1"/>
  <c r="H76" i="13" s="1"/>
  <c r="L114" i="10"/>
  <c r="L104" i="10"/>
  <c r="V119" i="10"/>
  <c r="S140" i="10"/>
  <c r="I140" i="10" s="1"/>
  <c r="F89" i="13" s="1"/>
  <c r="L83" i="10"/>
  <c r="Y126" i="10"/>
  <c r="Z126" i="10" s="1"/>
  <c r="Y127" i="10"/>
  <c r="Z127" i="10" s="1"/>
  <c r="H83" i="13" a="1"/>
  <c r="H83" i="13" s="1"/>
  <c r="L128" i="10"/>
  <c r="Y131" i="10"/>
  <c r="Z131" i="10" s="1"/>
  <c r="AA131" i="10" s="1"/>
  <c r="AB131" i="10" s="1"/>
  <c r="U139" i="10" s="1"/>
  <c r="L70" i="10"/>
  <c r="Y130" i="10"/>
  <c r="Z130" i="10" s="1"/>
  <c r="L136" i="10"/>
  <c r="L85" i="10"/>
  <c r="Y105" i="10"/>
  <c r="Z105" i="10" s="1"/>
  <c r="AA105" i="10" s="1"/>
  <c r="AB105" i="10" s="1"/>
  <c r="U107" i="10" s="1"/>
  <c r="L120" i="10"/>
  <c r="Y129" i="10"/>
  <c r="Y128" i="10"/>
  <c r="Z128" i="10" s="1"/>
  <c r="U19" i="13"/>
  <c r="S171" i="10"/>
  <c r="I171" i="10" s="1"/>
  <c r="K171" i="10" s="1"/>
  <c r="S176" i="10"/>
  <c r="I176" i="10" s="1"/>
  <c r="L185" i="10"/>
  <c r="L160" i="10"/>
  <c r="S164" i="10"/>
  <c r="I164" i="10" s="1"/>
  <c r="L213" i="10"/>
  <c r="S218" i="10"/>
  <c r="I218" i="10" s="1"/>
  <c r="K218" i="10" s="1"/>
  <c r="S217" i="10"/>
  <c r="I217" i="10" s="1"/>
  <c r="K217" i="10" s="1"/>
  <c r="L232" i="10"/>
  <c r="S159" i="10"/>
  <c r="I159" i="10" s="1"/>
  <c r="K159" i="10" s="1"/>
  <c r="S167" i="10"/>
  <c r="I167" i="10" s="1"/>
  <c r="K167" i="10" s="1"/>
  <c r="S187" i="10"/>
  <c r="I187" i="10" s="1"/>
  <c r="K187" i="10" s="1"/>
  <c r="V159" i="10"/>
  <c r="S162" i="10"/>
  <c r="I162" i="10" s="1"/>
  <c r="K162" i="10" s="1"/>
  <c r="L204" i="10"/>
  <c r="L210" i="10"/>
  <c r="S211" i="10"/>
  <c r="I211" i="10" s="1"/>
  <c r="K211" i="10" s="1"/>
  <c r="S184" i="10"/>
  <c r="I184" i="10" s="1"/>
  <c r="S208" i="10"/>
  <c r="I208" i="10" s="1"/>
  <c r="S150" i="10"/>
  <c r="I150" i="10" s="1"/>
  <c r="K150" i="10" s="1"/>
  <c r="S168" i="10"/>
  <c r="I168" i="10" s="1"/>
  <c r="S183" i="10"/>
  <c r="I183" i="10" s="1"/>
  <c r="K183" i="10" s="1"/>
  <c r="S180" i="10"/>
  <c r="I180" i="10" s="1"/>
  <c r="S185" i="10"/>
  <c r="I185" i="10" s="1"/>
  <c r="K185" i="10" s="1"/>
  <c r="L190" i="10"/>
  <c r="S145" i="10"/>
  <c r="I145" i="10" s="1"/>
  <c r="K145" i="10" s="1"/>
  <c r="S173" i="10"/>
  <c r="I173" i="10" s="1"/>
  <c r="K173" i="10" s="1"/>
  <c r="L132" i="10"/>
  <c r="S155" i="10"/>
  <c r="I155" i="10" s="1"/>
  <c r="K155" i="10" s="1"/>
  <c r="S182" i="10"/>
  <c r="I182" i="10" s="1"/>
  <c r="K182" i="10" s="1"/>
  <c r="S210" i="10"/>
  <c r="I210" i="10" s="1"/>
  <c r="K210" i="10" s="1"/>
  <c r="L144" i="10"/>
  <c r="S198" i="10"/>
  <c r="I198" i="10" s="1"/>
  <c r="K198" i="10" s="1"/>
  <c r="S197" i="10"/>
  <c r="I197" i="10" s="1"/>
  <c r="K197" i="10" s="1"/>
  <c r="S199" i="10"/>
  <c r="I199" i="10" s="1"/>
  <c r="K199" i="10" s="1"/>
  <c r="S196" i="10"/>
  <c r="I196" i="10" s="1"/>
  <c r="L212" i="10"/>
  <c r="S158" i="10"/>
  <c r="I158" i="10" s="1"/>
  <c r="K158" i="10" s="1"/>
  <c r="V165" i="10"/>
  <c r="S169" i="10"/>
  <c r="I169" i="10" s="1"/>
  <c r="K169" i="10" s="1"/>
  <c r="L176" i="10"/>
  <c r="L164" i="10"/>
  <c r="L171" i="10"/>
  <c r="L187" i="10"/>
  <c r="S223" i="10"/>
  <c r="I223" i="10" s="1"/>
  <c r="K223" i="10" s="1"/>
  <c r="S222" i="10"/>
  <c r="I222" i="10" s="1"/>
  <c r="F112" i="13" s="1"/>
  <c r="L142" i="10"/>
  <c r="S163" i="10"/>
  <c r="I163" i="10" s="1"/>
  <c r="K163" i="10" s="1"/>
  <c r="U8" i="13"/>
  <c r="L152" i="10"/>
  <c r="L172" i="10"/>
  <c r="L201" i="10"/>
  <c r="L140" i="10"/>
  <c r="S178" i="10"/>
  <c r="I178" i="10" s="1"/>
  <c r="K178" i="10" s="1"/>
  <c r="S177" i="10"/>
  <c r="I177" i="10" s="1"/>
  <c r="K177" i="10" s="1"/>
  <c r="L186" i="10"/>
  <c r="L192" i="10"/>
  <c r="L218" i="10"/>
  <c r="H113" i="13" a="1"/>
  <c r="H113" i="13" s="1"/>
  <c r="S246" i="10"/>
  <c r="I246" i="10" s="1"/>
  <c r="F123" i="13" s="1"/>
  <c r="S269" i="10"/>
  <c r="I269" i="10" s="1"/>
  <c r="K269" i="10" s="1"/>
  <c r="S268" i="10"/>
  <c r="I268" i="10" s="1"/>
  <c r="F134" i="13" s="1"/>
  <c r="L242" i="10"/>
  <c r="S245" i="10"/>
  <c r="I245" i="10" s="1"/>
  <c r="K245" i="10" s="1"/>
  <c r="S251" i="10"/>
  <c r="I251" i="10" s="1"/>
  <c r="K251" i="10" s="1"/>
  <c r="S262" i="10"/>
  <c r="I262" i="10" s="1"/>
  <c r="K262" i="10" s="1"/>
  <c r="S263" i="10"/>
  <c r="I263" i="10" s="1"/>
  <c r="F131" i="13" s="1"/>
  <c r="S214" i="10"/>
  <c r="I214" i="10" s="1"/>
  <c r="K214" i="10" s="1"/>
  <c r="L224" i="10"/>
  <c r="L238" i="10"/>
  <c r="L248" i="10"/>
  <c r="H112" i="13" a="1"/>
  <c r="H112" i="13" s="1"/>
  <c r="L233" i="10"/>
  <c r="S278" i="10"/>
  <c r="I278" i="10" s="1"/>
  <c r="K278" i="10" s="1"/>
  <c r="L253" i="10"/>
  <c r="S200" i="10"/>
  <c r="I200" i="10" s="1"/>
  <c r="S206" i="10"/>
  <c r="I206" i="10" s="1"/>
  <c r="K206" i="10" s="1"/>
  <c r="L216" i="10"/>
  <c r="S232" i="10"/>
  <c r="I232" i="10" s="1"/>
  <c r="K232" i="10" s="1"/>
  <c r="L236" i="10"/>
  <c r="S240" i="10"/>
  <c r="I240" i="10" s="1"/>
  <c r="F120" i="13" s="1"/>
  <c r="S241" i="10"/>
  <c r="I241" i="10" s="1"/>
  <c r="K241" i="10" s="1"/>
  <c r="S212" i="10"/>
  <c r="I212" i="10" s="1"/>
  <c r="L222" i="10"/>
  <c r="L229" i="10"/>
  <c r="L235" i="10"/>
  <c r="S225" i="10"/>
  <c r="I225" i="10" s="1"/>
  <c r="K225" i="10" s="1"/>
  <c r="S192" i="10"/>
  <c r="I192" i="10" s="1"/>
  <c r="S224" i="10"/>
  <c r="I224" i="10" s="1"/>
  <c r="F113" i="13" s="1"/>
  <c r="S228" i="10"/>
  <c r="I228" i="10" s="1"/>
  <c r="K228" i="10" s="1"/>
  <c r="L230" i="10"/>
  <c r="L255" i="10"/>
  <c r="L182" i="10"/>
  <c r="S204" i="10"/>
  <c r="I204" i="10" s="1"/>
  <c r="L214" i="10"/>
  <c r="Y226" i="10"/>
  <c r="Z226" i="10" s="1"/>
  <c r="AA226" i="10" s="1"/>
  <c r="AB226" i="10" s="1"/>
  <c r="U238" i="10" s="1"/>
  <c r="Y224" i="10"/>
  <c r="Z224" i="10" s="1"/>
  <c r="L226" i="10"/>
  <c r="S234" i="10"/>
  <c r="I234" i="10" s="1"/>
  <c r="F117" i="13" s="1"/>
  <c r="L243" i="10"/>
  <c r="L250" i="10"/>
  <c r="H135" i="13" a="1"/>
  <c r="H135" i="13" s="1"/>
  <c r="L270" i="10"/>
  <c r="S271" i="10"/>
  <c r="I271" i="10" s="1"/>
  <c r="K271" i="10" s="1"/>
  <c r="S294" i="10"/>
  <c r="I294" i="10" s="1"/>
  <c r="K294" i="10" s="1"/>
  <c r="S295" i="10"/>
  <c r="I295" i="10" s="1"/>
  <c r="F147" i="13" s="1"/>
  <c r="H155" i="13" a="1"/>
  <c r="H155" i="13" s="1"/>
  <c r="L310" i="10"/>
  <c r="L297" i="10"/>
  <c r="S320" i="10"/>
  <c r="I320" i="10" s="1"/>
  <c r="K320" i="10" s="1"/>
  <c r="S321" i="10"/>
  <c r="I321" i="10" s="1"/>
  <c r="F160" i="13" s="1"/>
  <c r="S306" i="10"/>
  <c r="I306" i="10" s="1"/>
  <c r="F153" i="13" s="1"/>
  <c r="H137" i="13" a="1"/>
  <c r="H137" i="13" s="1"/>
  <c r="L274" i="10"/>
  <c r="H139" i="13" a="1"/>
  <c r="H139" i="13" s="1"/>
  <c r="L278" i="10"/>
  <c r="L282" i="10"/>
  <c r="L296" i="10"/>
  <c r="S266" i="10"/>
  <c r="I266" i="10" s="1"/>
  <c r="F133" i="13" s="1"/>
  <c r="S284" i="10"/>
  <c r="I284" i="10" s="1"/>
  <c r="K284" i="10" s="1"/>
  <c r="H160" i="13" a="1"/>
  <c r="H160" i="13" s="1"/>
  <c r="L320" i="10"/>
  <c r="H161" i="13" a="1"/>
  <c r="H161" i="13" s="1"/>
  <c r="L322" i="10"/>
  <c r="S370" i="10"/>
  <c r="I370" i="10" s="1"/>
  <c r="K370" i="10" s="1"/>
  <c r="S372" i="10"/>
  <c r="I372" i="10" s="1"/>
  <c r="K372" i="10" s="1"/>
  <c r="S371" i="10"/>
  <c r="I371" i="10" s="1"/>
  <c r="F184" i="13" s="1"/>
  <c r="S244" i="10"/>
  <c r="I244" i="10" s="1"/>
  <c r="F122" i="13" s="1"/>
  <c r="L268" i="10"/>
  <c r="S272" i="10"/>
  <c r="I272" i="10" s="1"/>
  <c r="F136" i="13" s="1"/>
  <c r="S276" i="10"/>
  <c r="I276" i="10" s="1"/>
  <c r="F138" i="13" s="1"/>
  <c r="S280" i="10"/>
  <c r="I280" i="10" s="1"/>
  <c r="K280" i="10" s="1"/>
  <c r="L295" i="10"/>
  <c r="S297" i="10"/>
  <c r="I297" i="10" s="1"/>
  <c r="K297" i="10" s="1"/>
  <c r="Z307" i="10"/>
  <c r="AA307" i="10" s="1"/>
  <c r="AB307" i="10" s="1"/>
  <c r="U309" i="10" s="1"/>
  <c r="L260" i="10"/>
  <c r="S318" i="10"/>
  <c r="I318" i="10" s="1"/>
  <c r="K318" i="10" s="1"/>
  <c r="S288" i="10"/>
  <c r="I288" i="10" s="1"/>
  <c r="F144" i="13" s="1"/>
  <c r="H154" i="13" a="1"/>
  <c r="H154" i="13" s="1"/>
  <c r="L308" i="10"/>
  <c r="L317" i="10"/>
  <c r="S304" i="10"/>
  <c r="I304" i="10" s="1"/>
  <c r="K304" i="10" s="1"/>
  <c r="L258" i="10"/>
  <c r="L246" i="10"/>
  <c r="H136" i="13" a="1"/>
  <c r="H136" i="13" s="1"/>
  <c r="L272" i="10"/>
  <c r="H138" i="13" a="1"/>
  <c r="H138" i="13" s="1"/>
  <c r="L276" i="10"/>
  <c r="L280" i="10"/>
  <c r="H146" i="13" a="1"/>
  <c r="H146" i="13" s="1"/>
  <c r="L292" i="10"/>
  <c r="L319" i="10"/>
  <c r="L293" i="10"/>
  <c r="H153" i="13" a="1"/>
  <c r="H153" i="13" s="1"/>
  <c r="L306" i="10"/>
  <c r="Y270" i="10"/>
  <c r="Z270" i="10" s="1"/>
  <c r="H145" i="13" a="1"/>
  <c r="H145" i="13" s="1"/>
  <c r="L290" i="10"/>
  <c r="S342" i="10"/>
  <c r="I342" i="10" s="1"/>
  <c r="K342" i="10" s="1"/>
  <c r="S341" i="10"/>
  <c r="I341" i="10" s="1"/>
  <c r="F170" i="13" s="1"/>
  <c r="S326" i="10"/>
  <c r="I326" i="10" s="1"/>
  <c r="F163" i="13" s="1"/>
  <c r="S328" i="10"/>
  <c r="I328" i="10" s="1"/>
  <c r="K328" i="10" s="1"/>
  <c r="L361" i="10"/>
  <c r="Y366" i="10"/>
  <c r="Z366" i="10" s="1"/>
  <c r="AA367" i="10" s="1"/>
  <c r="AB367" i="10" s="1"/>
  <c r="S397" i="10"/>
  <c r="I397" i="10" s="1"/>
  <c r="K397" i="10" s="1"/>
  <c r="S396" i="10"/>
  <c r="I396" i="10" s="1"/>
  <c r="K396" i="10" s="1"/>
  <c r="S398" i="10"/>
  <c r="I398" i="10" s="1"/>
  <c r="F194" i="13" s="1"/>
  <c r="H162" i="13" a="1"/>
  <c r="H162" i="13" s="1"/>
  <c r="L324" i="10"/>
  <c r="L336" i="10"/>
  <c r="Y367" i="10"/>
  <c r="Z367" i="10" s="1"/>
  <c r="S381" i="10"/>
  <c r="I381" i="10" s="1"/>
  <c r="K381" i="10" s="1"/>
  <c r="S382" i="10"/>
  <c r="I382" i="10" s="1"/>
  <c r="F187" i="13" s="1"/>
  <c r="Y334" i="10"/>
  <c r="Z334" i="10" s="1"/>
  <c r="AA333" i="10" s="1"/>
  <c r="AB333" i="10" s="1"/>
  <c r="U336" i="10" s="1"/>
  <c r="L325" i="10"/>
  <c r="Y338" i="10"/>
  <c r="Z338" i="10" s="1"/>
  <c r="AA337" i="10" s="1"/>
  <c r="AB337" i="10" s="1"/>
  <c r="U471" i="10" s="1"/>
  <c r="L354" i="10"/>
  <c r="S378" i="10"/>
  <c r="I378" i="10" s="1"/>
  <c r="K378" i="10" s="1"/>
  <c r="S380" i="10"/>
  <c r="I380" i="10" s="1"/>
  <c r="F186" i="13" s="1"/>
  <c r="S384" i="10"/>
  <c r="I384" i="10" s="1"/>
  <c r="F188" i="13" s="1"/>
  <c r="S383" i="10"/>
  <c r="I383" i="10" s="1"/>
  <c r="K383" i="10" s="1"/>
  <c r="S302" i="10"/>
  <c r="I302" i="10" s="1"/>
  <c r="F151" i="13" s="1"/>
  <c r="H152" i="13" a="1"/>
  <c r="H152" i="13" s="1"/>
  <c r="L304" i="10"/>
  <c r="S312" i="10"/>
  <c r="I312" i="10" s="1"/>
  <c r="K312" i="10" s="1"/>
  <c r="Y333" i="10"/>
  <c r="Z333" i="10" s="1"/>
  <c r="H147" i="13" a="1"/>
  <c r="H147" i="13" s="1"/>
  <c r="L294" i="10"/>
  <c r="L311" i="10"/>
  <c r="L327" i="10"/>
  <c r="S361" i="10"/>
  <c r="I361" i="10" s="1"/>
  <c r="K361" i="10" s="1"/>
  <c r="S377" i="10"/>
  <c r="I377" i="10" s="1"/>
  <c r="K377" i="10" s="1"/>
  <c r="L318" i="10"/>
  <c r="S368" i="10"/>
  <c r="I368" i="10" s="1"/>
  <c r="F183" i="13" s="1"/>
  <c r="S369" i="10"/>
  <c r="I369" i="10" s="1"/>
  <c r="K369" i="10" s="1"/>
  <c r="S359" i="10"/>
  <c r="I359" i="10" s="1"/>
  <c r="K359" i="10" s="1"/>
  <c r="H156" i="13" a="1"/>
  <c r="H156" i="13" s="1"/>
  <c r="L312" i="10"/>
  <c r="S324" i="10"/>
  <c r="I324" i="10" s="1"/>
  <c r="F162" i="13" s="1"/>
  <c r="H164" i="13" a="1"/>
  <c r="H164" i="13" s="1"/>
  <c r="L329" i="10"/>
  <c r="L334" i="10"/>
  <c r="H170" i="13" a="1"/>
  <c r="H170" i="13" s="1"/>
  <c r="L341" i="10"/>
  <c r="H171" i="13" a="1"/>
  <c r="H171" i="13" s="1"/>
  <c r="L343" i="10"/>
  <c r="S357" i="10"/>
  <c r="I357" i="10" s="1"/>
  <c r="F178" i="13" s="1"/>
  <c r="L284" i="10"/>
  <c r="H151" i="13" a="1"/>
  <c r="H151" i="13" s="1"/>
  <c r="L302" i="10"/>
  <c r="H172" i="13" a="1"/>
  <c r="H172" i="13" s="1"/>
  <c r="L345" i="10"/>
  <c r="Y348" i="10"/>
  <c r="Z348" i="10" s="1"/>
  <c r="S310" i="10"/>
  <c r="I310" i="10" s="1"/>
  <c r="F155" i="13" s="1"/>
  <c r="S325" i="10"/>
  <c r="I325" i="10" s="1"/>
  <c r="K325" i="10" s="1"/>
  <c r="S338" i="10"/>
  <c r="I338" i="10" s="1"/>
  <c r="K338" i="10" s="1"/>
  <c r="S351" i="10"/>
  <c r="I351" i="10" s="1"/>
  <c r="F175" i="13" s="1"/>
  <c r="Y358" i="10"/>
  <c r="Z358" i="10" s="1"/>
  <c r="H184" i="13" a="1"/>
  <c r="H184" i="13" s="1"/>
  <c r="L370" i="10"/>
  <c r="H183" i="13" a="1"/>
  <c r="H183" i="13" s="1"/>
  <c r="L368" i="10"/>
  <c r="S401" i="10"/>
  <c r="I401" i="10" s="1"/>
  <c r="K401" i="10" s="1"/>
  <c r="L406" i="10"/>
  <c r="H201" i="13" a="1"/>
  <c r="H201" i="13" s="1"/>
  <c r="L412" i="10"/>
  <c r="S421" i="10"/>
  <c r="I421" i="10" s="1"/>
  <c r="K421" i="10" s="1"/>
  <c r="H203" i="13" a="1"/>
  <c r="H203" i="13" s="1"/>
  <c r="H182" i="13" a="1"/>
  <c r="H182" i="13" s="1"/>
  <c r="L366" i="10"/>
  <c r="S394" i="10"/>
  <c r="I394" i="10" s="1"/>
  <c r="K394" i="10" s="1"/>
  <c r="S408" i="10"/>
  <c r="I408" i="10" s="1"/>
  <c r="F199" i="13" s="1"/>
  <c r="S385" i="10"/>
  <c r="I385" i="10" s="1"/>
  <c r="K385" i="10" s="1"/>
  <c r="L300" i="10"/>
  <c r="L316" i="10"/>
  <c r="H181" i="13" a="1"/>
  <c r="H181" i="13" s="1"/>
  <c r="L364" i="10"/>
  <c r="S376" i="10"/>
  <c r="I376" i="10" s="1"/>
  <c r="K376" i="10" s="1"/>
  <c r="L377" i="10"/>
  <c r="L393" i="10"/>
  <c r="H194" i="13" a="1"/>
  <c r="H194" i="13" s="1"/>
  <c r="L396" i="10"/>
  <c r="L413" i="10"/>
  <c r="L422" i="10"/>
  <c r="S410" i="10"/>
  <c r="I410" i="10" s="1"/>
  <c r="F200" i="13" s="1"/>
  <c r="L416" i="10"/>
  <c r="H149" i="13" a="1"/>
  <c r="H149" i="13" s="1"/>
  <c r="L298" i="10"/>
  <c r="H157" i="13" a="1"/>
  <c r="H157" i="13" s="1"/>
  <c r="L314" i="10"/>
  <c r="H180" i="13" a="1"/>
  <c r="H180" i="13" s="1"/>
  <c r="L362" i="10"/>
  <c r="Y380" i="10"/>
  <c r="Z380" i="10" s="1"/>
  <c r="L391" i="10"/>
  <c r="L404" i="10"/>
  <c r="S424" i="10"/>
  <c r="I424" i="10" s="1"/>
  <c r="F205" i="13" s="1"/>
  <c r="Y411" i="10"/>
  <c r="Z411" i="10" s="1"/>
  <c r="AA411" i="10" s="1"/>
  <c r="AB411" i="10" s="1"/>
  <c r="U412" i="10" s="1"/>
  <c r="Y410" i="10"/>
  <c r="Z410" i="10" s="1"/>
  <c r="L357" i="10"/>
  <c r="H179" i="13" a="1"/>
  <c r="H179" i="13" s="1"/>
  <c r="L360" i="10"/>
  <c r="L373" i="10"/>
  <c r="Y378" i="10"/>
  <c r="Z378" i="10" s="1"/>
  <c r="AA378" i="10" s="1"/>
  <c r="AB378" i="10" s="1"/>
  <c r="H119" i="7" s="1"/>
  <c r="L389" i="10"/>
  <c r="L408" i="10"/>
  <c r="S395" i="10"/>
  <c r="I395" i="10" s="1"/>
  <c r="K395" i="10" s="1"/>
  <c r="H163" i="13" a="1"/>
  <c r="H163" i="13" s="1"/>
  <c r="L326" i="10"/>
  <c r="H196" i="13" a="1"/>
  <c r="H196" i="13" s="1"/>
  <c r="L402" i="10"/>
  <c r="L432" i="10"/>
  <c r="S426" i="10"/>
  <c r="I426" i="10" s="1"/>
  <c r="F206" i="13" s="1"/>
  <c r="S429" i="10"/>
  <c r="I429" i="10" s="1"/>
  <c r="F208" i="13" s="1"/>
  <c r="Y457" i="10"/>
  <c r="Y456" i="10"/>
  <c r="Z456" i="10" s="1"/>
  <c r="Y450" i="10"/>
  <c r="Z450" i="10" s="1"/>
  <c r="L452" i="10"/>
  <c r="L442" i="10"/>
  <c r="L458" i="10"/>
  <c r="S427" i="10"/>
  <c r="I427" i="10" s="1"/>
  <c r="F207" i="13" s="1"/>
  <c r="S447" i="10"/>
  <c r="I447" i="10" s="1"/>
  <c r="K447" i="10" s="1"/>
  <c r="S420" i="10"/>
  <c r="I420" i="10" s="1"/>
  <c r="K420" i="10" s="1"/>
  <c r="S454" i="10"/>
  <c r="I454" i="10" s="1"/>
  <c r="F219" i="13" s="1"/>
  <c r="S477" i="10"/>
  <c r="I477" i="10" s="1"/>
  <c r="F229" i="13" s="1"/>
  <c r="S476" i="10"/>
  <c r="I476" i="10" s="1"/>
  <c r="K476" i="10" s="1"/>
  <c r="S475" i="10"/>
  <c r="I475" i="10" s="1"/>
  <c r="K475" i="10" s="1"/>
  <c r="L438" i="10"/>
  <c r="H10" i="13"/>
  <c r="V10" i="13"/>
  <c r="Q48" i="11"/>
  <c r="P48" i="11"/>
  <c r="S452" i="10"/>
  <c r="I452" i="10" s="1"/>
  <c r="K452" i="10" s="1"/>
  <c r="L456" i="10"/>
  <c r="S423" i="10"/>
  <c r="I423" i="10" s="1"/>
  <c r="K423" i="10" s="1"/>
  <c r="L434" i="10"/>
  <c r="S469" i="10"/>
  <c r="I469" i="10" s="1"/>
  <c r="K469" i="10" s="1"/>
  <c r="S468" i="10"/>
  <c r="I468" i="10" s="1"/>
  <c r="F226" i="13" s="1"/>
  <c r="S442" i="10"/>
  <c r="I442" i="10" s="1"/>
  <c r="K442" i="10" s="1"/>
  <c r="S440" i="10"/>
  <c r="I440" i="10" s="1"/>
  <c r="K440" i="10" s="1"/>
  <c r="S460" i="10"/>
  <c r="I460" i="10" s="1"/>
  <c r="F222" i="13" s="1"/>
  <c r="S483" i="10"/>
  <c r="I483" i="10" s="1"/>
  <c r="K483" i="10" s="1"/>
  <c r="S481" i="10"/>
  <c r="I481" i="10" s="1"/>
  <c r="F231" i="13" s="1"/>
  <c r="S457" i="10"/>
  <c r="I457" i="10" s="1"/>
  <c r="K457" i="10" s="1"/>
  <c r="Q43" i="11"/>
  <c r="P43" i="11"/>
  <c r="S472" i="10"/>
  <c r="I472" i="10" s="1"/>
  <c r="K472" i="10" s="1"/>
  <c r="L484" i="10"/>
  <c r="S491" i="10"/>
  <c r="I491" i="10" s="1"/>
  <c r="F235" i="13" s="1"/>
  <c r="S492" i="10"/>
  <c r="I492" i="10" s="1"/>
  <c r="K492" i="10" s="1"/>
  <c r="V13" i="13"/>
  <c r="G14" i="13"/>
  <c r="H14" i="13" s="1"/>
  <c r="P49" i="11"/>
  <c r="S470" i="10"/>
  <c r="I470" i="10" s="1"/>
  <c r="F227" i="13" s="1"/>
  <c r="S478" i="10"/>
  <c r="I478" i="10" s="1"/>
  <c r="K478" i="10" s="1"/>
  <c r="Q49" i="11"/>
  <c r="G12" i="13"/>
  <c r="H12" i="13" s="1"/>
  <c r="Q15" i="13"/>
  <c r="Q16" i="13"/>
  <c r="T16" i="13" s="1"/>
  <c r="Q44" i="11"/>
  <c r="P44" i="11"/>
  <c r="H20" i="12"/>
  <c r="Q9" i="13"/>
  <c r="T9" i="13" s="1"/>
  <c r="L490" i="10"/>
  <c r="S494" i="10"/>
  <c r="I494" i="10" s="1"/>
  <c r="F236" i="13" s="1"/>
  <c r="I20" i="12"/>
  <c r="V9" i="13"/>
  <c r="H229" i="13" a="1"/>
  <c r="H229" i="13" s="1"/>
  <c r="L480" i="10"/>
  <c r="P35" i="11"/>
  <c r="H19" i="12"/>
  <c r="Q10" i="13"/>
  <c r="O20" i="13"/>
  <c r="G20" i="13"/>
  <c r="H20" i="13" s="1"/>
  <c r="S450" i="10"/>
  <c r="I450" i="10" s="1"/>
  <c r="F217" i="13" s="1"/>
  <c r="L460" i="10"/>
  <c r="S466" i="10"/>
  <c r="I466" i="10" s="1"/>
  <c r="K466" i="10" s="1"/>
  <c r="S473" i="10"/>
  <c r="I473" i="10" s="1"/>
  <c r="F228" i="13" s="1"/>
  <c r="S479" i="10"/>
  <c r="I479" i="10" s="1"/>
  <c r="K479" i="10" s="1"/>
  <c r="Q35" i="11"/>
  <c r="H18" i="12"/>
  <c r="Q12" i="13"/>
  <c r="T12" i="13" s="1"/>
  <c r="AG16" i="13"/>
  <c r="L486" i="10"/>
  <c r="S488" i="10"/>
  <c r="I488" i="10" s="1"/>
  <c r="K488" i="10" s="1"/>
  <c r="I18" i="12"/>
  <c r="Q13" i="13"/>
  <c r="T13" i="13" s="1"/>
  <c r="Y470" i="10"/>
  <c r="Z470" i="10" s="1"/>
  <c r="G17" i="13"/>
  <c r="O17" i="13" s="1"/>
  <c r="S485" i="10"/>
  <c r="I485" i="10" s="1"/>
  <c r="K485" i="10" s="1"/>
  <c r="L492" i="10"/>
  <c r="Q31" i="11"/>
  <c r="AH8" i="13"/>
  <c r="L475" i="10"/>
  <c r="L481" i="10"/>
  <c r="S484" i="10"/>
  <c r="I484" i="10" s="1"/>
  <c r="K484" i="10" s="1"/>
  <c r="P31" i="11"/>
  <c r="Q41" i="11"/>
  <c r="AH14" i="13"/>
  <c r="AH15" i="13"/>
  <c r="P32" i="11"/>
  <c r="P52" i="11"/>
  <c r="AG9" i="13"/>
  <c r="AG18" i="13"/>
  <c r="L494" i="10"/>
  <c r="AG13" i="13"/>
  <c r="V20" i="13"/>
  <c r="L488" i="10"/>
  <c r="L468" i="10"/>
  <c r="Y480" i="10"/>
  <c r="Z480" i="10" s="1"/>
  <c r="Y478" i="10"/>
  <c r="Z478" i="10" s="1"/>
  <c r="AA478" i="10" s="1"/>
  <c r="AB478" i="10" s="1"/>
  <c r="U481" i="10" s="1"/>
  <c r="L487" i="10"/>
  <c r="S490" i="10"/>
  <c r="I490" i="10" s="1"/>
  <c r="F234" i="13" s="1"/>
  <c r="Y374" i="13"/>
  <c r="Y358" i="13"/>
  <c r="Y437" i="13"/>
  <c r="Y421" i="13"/>
  <c r="Y405" i="13"/>
  <c r="Y389" i="13"/>
  <c r="Y373" i="13"/>
  <c r="Y444" i="13"/>
  <c r="Y428" i="13"/>
  <c r="Y412" i="13"/>
  <c r="Y396" i="13"/>
  <c r="Y380" i="13"/>
  <c r="Y364" i="13"/>
  <c r="Y435" i="13"/>
  <c r="Y419" i="13"/>
  <c r="Y403" i="13"/>
  <c r="Y387" i="13"/>
  <c r="Y371" i="13"/>
  <c r="Y442" i="13"/>
  <c r="Y426" i="13"/>
  <c r="Y410" i="13"/>
  <c r="Y394" i="13"/>
  <c r="Y378" i="13"/>
  <c r="Y362" i="13"/>
  <c r="Y440" i="13"/>
  <c r="Y424" i="13"/>
  <c r="Y408" i="13"/>
  <c r="Y392" i="13"/>
  <c r="Y431" i="13"/>
  <c r="Y415" i="13"/>
  <c r="Y399" i="13"/>
  <c r="Y383" i="13"/>
  <c r="Y433" i="13"/>
  <c r="Y417" i="13"/>
  <c r="Y401" i="13"/>
  <c r="Y385" i="13"/>
  <c r="Y367" i="13"/>
  <c r="Y355" i="13"/>
  <c r="Y360" i="13"/>
  <c r="Y369" i="13"/>
  <c r="Y357" i="13"/>
  <c r="Y376" i="13"/>
  <c r="Y353" i="13"/>
  <c r="AG19" i="13"/>
  <c r="AG11" i="13"/>
  <c r="AH18" i="13"/>
  <c r="AH10" i="13"/>
  <c r="AH17" i="13"/>
  <c r="AH9" i="13"/>
  <c r="AG17" i="13"/>
  <c r="AH19" i="13"/>
  <c r="AG10" i="13"/>
  <c r="AG14" i="13"/>
  <c r="AH11" i="13"/>
  <c r="AH7" i="13"/>
  <c r="AH20" i="13"/>
  <c r="AG20" i="13"/>
  <c r="AG15" i="13"/>
  <c r="AH12" i="13"/>
  <c r="AG8" i="13"/>
  <c r="AG12" i="13"/>
  <c r="I19" i="12"/>
  <c r="V19" i="13"/>
  <c r="Q11" i="13"/>
  <c r="Q17" i="13"/>
  <c r="R17" i="13" s="1"/>
  <c r="V8" i="13"/>
  <c r="V16" i="13"/>
  <c r="Y379" i="13"/>
  <c r="Y386" i="13"/>
  <c r="Y402" i="13"/>
  <c r="Y418" i="13"/>
  <c r="Y434" i="13"/>
  <c r="Y372" i="13"/>
  <c r="Y391" i="13"/>
  <c r="Y407" i="13"/>
  <c r="Y423" i="13"/>
  <c r="Y366" i="13"/>
  <c r="Y354" i="13"/>
  <c r="Y395" i="13"/>
  <c r="Y411" i="13"/>
  <c r="Y427" i="13"/>
  <c r="Y439" i="13"/>
  <c r="Y352" i="13"/>
  <c r="Y363" i="13"/>
  <c r="Y384" i="13"/>
  <c r="Y377" i="13"/>
  <c r="Y400" i="13"/>
  <c r="Y416" i="13"/>
  <c r="Y432" i="13"/>
  <c r="Y443" i="13"/>
  <c r="Y381" i="13"/>
  <c r="Y388" i="13"/>
  <c r="Y404" i="13"/>
  <c r="Y420" i="13"/>
  <c r="Y370" i="13"/>
  <c r="Y436" i="13"/>
  <c r="Y361" i="13"/>
  <c r="Y393" i="13"/>
  <c r="Y397" i="13"/>
  <c r="Y409" i="13"/>
  <c r="Y413" i="13"/>
  <c r="Y425" i="13"/>
  <c r="Y429" i="13"/>
  <c r="Y382" i="13"/>
  <c r="Y375" i="13"/>
  <c r="Y441" i="13"/>
  <c r="Y356" i="13"/>
  <c r="Y359" i="13"/>
  <c r="Y365" i="13"/>
  <c r="Y368" i="13"/>
  <c r="Y390" i="13"/>
  <c r="Y398" i="13"/>
  <c r="Y406" i="13"/>
  <c r="Y414" i="13"/>
  <c r="Y422" i="13"/>
  <c r="Y430" i="13"/>
  <c r="Y438" i="13"/>
  <c r="K771" i="10" l="1"/>
  <c r="F350" i="13"/>
  <c r="G350" i="13" s="1"/>
  <c r="I350" i="13" s="1"/>
  <c r="Y350" i="13" s="1"/>
  <c r="F349" i="13"/>
  <c r="G349" i="13" s="1"/>
  <c r="I349" i="13" s="1"/>
  <c r="Y349" i="13" s="1"/>
  <c r="F348" i="13"/>
  <c r="G348" i="13" s="1"/>
  <c r="I348" i="13" s="1"/>
  <c r="Y348" i="13" s="1"/>
  <c r="K764" i="10"/>
  <c r="F347" i="13"/>
  <c r="G347" i="13" s="1"/>
  <c r="I347" i="13" s="1"/>
  <c r="Y347" i="13" s="1"/>
  <c r="G332" i="13"/>
  <c r="I332" i="13" s="1"/>
  <c r="Y332" i="13" s="1"/>
  <c r="F346" i="13"/>
  <c r="G346" i="13" s="1"/>
  <c r="I346" i="13" s="1"/>
  <c r="Y346" i="13" s="1"/>
  <c r="K725" i="10"/>
  <c r="K760" i="10"/>
  <c r="F345" i="13"/>
  <c r="G345" i="13" s="1"/>
  <c r="I345" i="13" s="1"/>
  <c r="Y345" i="13" s="1"/>
  <c r="F329" i="13"/>
  <c r="G329" i="13" s="1"/>
  <c r="I329" i="13" s="1"/>
  <c r="Y329" i="13" s="1"/>
  <c r="F330" i="13"/>
  <c r="G330" i="13" s="1"/>
  <c r="I330" i="13" s="1"/>
  <c r="Y330" i="13" s="1"/>
  <c r="F326" i="13"/>
  <c r="G326" i="13" s="1"/>
  <c r="I326" i="13" s="1"/>
  <c r="Y326" i="13" s="1"/>
  <c r="R37" i="11"/>
  <c r="R51" i="11"/>
  <c r="R45" i="11"/>
  <c r="R39" i="11"/>
  <c r="R40" i="11"/>
  <c r="R50" i="11"/>
  <c r="R43" i="11"/>
  <c r="J20" i="12"/>
  <c r="K20" i="12" s="1"/>
  <c r="O25" i="12" s="1"/>
  <c r="R41" i="11"/>
  <c r="R32" i="11"/>
  <c r="R52" i="11"/>
  <c r="R7" i="11"/>
  <c r="R8" i="11"/>
  <c r="R53" i="11"/>
  <c r="R10" i="11"/>
  <c r="R47" i="11"/>
  <c r="R33" i="11"/>
  <c r="R9" i="11"/>
  <c r="R36" i="11"/>
  <c r="R55" i="11"/>
  <c r="AN13" i="13"/>
  <c r="O24" i="12"/>
  <c r="K757" i="10"/>
  <c r="F344" i="13"/>
  <c r="G344" i="13" s="1"/>
  <c r="I344" i="13" s="1"/>
  <c r="Y344" i="13" s="1"/>
  <c r="K755" i="10"/>
  <c r="F343" i="13"/>
  <c r="G343" i="13" s="1"/>
  <c r="I343" i="13" s="1"/>
  <c r="Y343" i="13" s="1"/>
  <c r="K754" i="10"/>
  <c r="F342" i="13"/>
  <c r="G342" i="13" s="1"/>
  <c r="I342" i="13" s="1"/>
  <c r="Y342" i="13" s="1"/>
  <c r="K751" i="10"/>
  <c r="F341" i="13"/>
  <c r="G341" i="13" s="1"/>
  <c r="I341" i="13" s="1"/>
  <c r="Y341" i="13" s="1"/>
  <c r="K748" i="10"/>
  <c r="F340" i="13"/>
  <c r="G340" i="13" s="1"/>
  <c r="I340" i="13" s="1"/>
  <c r="Y340" i="13" s="1"/>
  <c r="K746" i="10"/>
  <c r="F339" i="13"/>
  <c r="G339" i="13" s="1"/>
  <c r="I339" i="13" s="1"/>
  <c r="Y339" i="13" s="1"/>
  <c r="K744" i="10"/>
  <c r="F338" i="13"/>
  <c r="G338" i="13" s="1"/>
  <c r="I338" i="13" s="1"/>
  <c r="Y338" i="13" s="1"/>
  <c r="K742" i="10"/>
  <c r="F337" i="13"/>
  <c r="G337" i="13" s="1"/>
  <c r="I337" i="13" s="1"/>
  <c r="Y337" i="13" s="1"/>
  <c r="K740" i="10"/>
  <c r="F336" i="13"/>
  <c r="G336" i="13" s="1"/>
  <c r="I336" i="13" s="1"/>
  <c r="Y336" i="13" s="1"/>
  <c r="K737" i="10"/>
  <c r="F335" i="13"/>
  <c r="G335" i="13" s="1"/>
  <c r="I335" i="13" s="1"/>
  <c r="Y335" i="13" s="1"/>
  <c r="K734" i="10"/>
  <c r="F334" i="13"/>
  <c r="G334" i="13" s="1"/>
  <c r="I334" i="13" s="1"/>
  <c r="Y334" i="13" s="1"/>
  <c r="K730" i="10"/>
  <c r="F333" i="13"/>
  <c r="G333" i="13" s="1"/>
  <c r="I333" i="13" s="1"/>
  <c r="Y333" i="13" s="1"/>
  <c r="G331" i="13"/>
  <c r="I331" i="13" s="1"/>
  <c r="Y331" i="13" s="1"/>
  <c r="K719" i="10"/>
  <c r="F328" i="13"/>
  <c r="G328" i="13" s="1"/>
  <c r="I328" i="13" s="1"/>
  <c r="Y328" i="13" s="1"/>
  <c r="K717" i="10"/>
  <c r="F327" i="13"/>
  <c r="G327" i="13" s="1"/>
  <c r="I327" i="13" s="1"/>
  <c r="Y327" i="13" s="1"/>
  <c r="K713" i="10"/>
  <c r="F325" i="13"/>
  <c r="G325" i="13" s="1"/>
  <c r="I325" i="13" s="1"/>
  <c r="Y325" i="13" s="1"/>
  <c r="F324" i="13"/>
  <c r="G324" i="13" s="1"/>
  <c r="I324" i="13" s="1"/>
  <c r="Y324" i="13" s="1"/>
  <c r="K711" i="10"/>
  <c r="G38" i="13"/>
  <c r="I38" i="13" s="1"/>
  <c r="Y38" i="13" s="1"/>
  <c r="S20" i="13"/>
  <c r="G79" i="13"/>
  <c r="I79" i="13" s="1"/>
  <c r="Y79" i="13" s="1"/>
  <c r="G118" i="13"/>
  <c r="I118" i="13" s="1"/>
  <c r="Y118" i="13" s="1"/>
  <c r="G85" i="13"/>
  <c r="I85" i="13" s="1"/>
  <c r="Y85" i="13" s="1"/>
  <c r="G59" i="13"/>
  <c r="I59" i="13" s="1"/>
  <c r="Y59" i="13" s="1"/>
  <c r="G189" i="13"/>
  <c r="I189" i="13" s="1"/>
  <c r="Y189" i="13" s="1"/>
  <c r="G174" i="13"/>
  <c r="I174" i="13" s="1"/>
  <c r="Y174" i="13" s="1"/>
  <c r="G173" i="13"/>
  <c r="I173" i="13" s="1"/>
  <c r="Y173" i="13" s="1"/>
  <c r="G190" i="13"/>
  <c r="I190" i="13" s="1"/>
  <c r="Y190" i="13" s="1"/>
  <c r="K710" i="10"/>
  <c r="F323" i="13"/>
  <c r="G323" i="13" s="1"/>
  <c r="I323" i="13" s="1"/>
  <c r="Y323" i="13" s="1"/>
  <c r="F322" i="13"/>
  <c r="G322" i="13" s="1"/>
  <c r="I322" i="13" s="1"/>
  <c r="Y322" i="13" s="1"/>
  <c r="K706" i="10"/>
  <c r="F321" i="13"/>
  <c r="G321" i="13" s="1"/>
  <c r="I321" i="13" s="1"/>
  <c r="Y321" i="13" s="1"/>
  <c r="G195" i="13"/>
  <c r="I195" i="13" s="1"/>
  <c r="Y195" i="13" s="1"/>
  <c r="G169" i="13"/>
  <c r="I169" i="13" s="1"/>
  <c r="Y169" i="13" s="1"/>
  <c r="F320" i="13"/>
  <c r="G320" i="13" s="1"/>
  <c r="I320" i="13" s="1"/>
  <c r="Y320" i="13" s="1"/>
  <c r="F318" i="13"/>
  <c r="G318" i="13" s="1"/>
  <c r="I318" i="13" s="1"/>
  <c r="Y318" i="13" s="1"/>
  <c r="G185" i="13"/>
  <c r="I185" i="13" s="1"/>
  <c r="Y185" i="13" s="1"/>
  <c r="K702" i="10"/>
  <c r="F319" i="13"/>
  <c r="G319" i="13" s="1"/>
  <c r="I319" i="13" s="1"/>
  <c r="Y319" i="13" s="1"/>
  <c r="K448" i="10"/>
  <c r="K51" i="10"/>
  <c r="O15" i="13"/>
  <c r="H15" i="13"/>
  <c r="K112" i="10"/>
  <c r="K696" i="10"/>
  <c r="F317" i="13"/>
  <c r="G317" i="13" s="1"/>
  <c r="I317" i="13" s="1"/>
  <c r="Y317" i="13" s="1"/>
  <c r="K316" i="10"/>
  <c r="K349" i="10"/>
  <c r="K220" i="10"/>
  <c r="F106" i="13"/>
  <c r="G106" i="13" s="1"/>
  <c r="I106" i="13" s="1"/>
  <c r="Y106" i="13" s="1"/>
  <c r="AA122" i="10"/>
  <c r="AB122" i="10" s="1"/>
  <c r="U133" i="10" s="1"/>
  <c r="Z133" i="10" s="1"/>
  <c r="K121" i="10"/>
  <c r="K693" i="10"/>
  <c r="F316" i="13"/>
  <c r="G316" i="13" s="1"/>
  <c r="I316" i="13" s="1"/>
  <c r="Y316" i="13" s="1"/>
  <c r="K347" i="10"/>
  <c r="F101" i="13"/>
  <c r="G101" i="13" s="1"/>
  <c r="I101" i="13" s="1"/>
  <c r="Y101" i="13" s="1"/>
  <c r="K323" i="10"/>
  <c r="F315" i="13"/>
  <c r="G315" i="13" s="1"/>
  <c r="I315" i="13" s="1"/>
  <c r="Y315" i="13" s="1"/>
  <c r="K49" i="10"/>
  <c r="O18" i="13"/>
  <c r="K388" i="10"/>
  <c r="F107" i="13"/>
  <c r="G107" i="13" s="1"/>
  <c r="I107" i="13" s="1"/>
  <c r="Y107" i="13" s="1"/>
  <c r="K340" i="10"/>
  <c r="K373" i="10"/>
  <c r="F108" i="13"/>
  <c r="G108" i="13" s="1"/>
  <c r="I108" i="13" s="1"/>
  <c r="Y108" i="13" s="1"/>
  <c r="K386" i="10"/>
  <c r="F110" i="13"/>
  <c r="G110" i="13" s="1"/>
  <c r="I110" i="13" s="1"/>
  <c r="Y110" i="13" s="1"/>
  <c r="F109" i="13"/>
  <c r="G109" i="13" s="1"/>
  <c r="I109" i="13" s="1"/>
  <c r="Y109" i="13" s="1"/>
  <c r="F97" i="13"/>
  <c r="G97" i="13" s="1"/>
  <c r="I97" i="13" s="1"/>
  <c r="Y97" i="13" s="1"/>
  <c r="F105" i="13"/>
  <c r="G105" i="13" s="1"/>
  <c r="I105" i="13" s="1"/>
  <c r="Y105" i="13" s="1"/>
  <c r="F99" i="13"/>
  <c r="G99" i="13" s="1"/>
  <c r="I99" i="13" s="1"/>
  <c r="Y99" i="13" s="1"/>
  <c r="K363" i="10"/>
  <c r="F104" i="13"/>
  <c r="G104" i="13" s="1"/>
  <c r="I104" i="13" s="1"/>
  <c r="Y104" i="13" s="1"/>
  <c r="K216" i="10"/>
  <c r="K132" i="10"/>
  <c r="F95" i="13"/>
  <c r="G95" i="13" s="1"/>
  <c r="I95" i="13" s="1"/>
  <c r="Y95" i="13" s="1"/>
  <c r="F98" i="13"/>
  <c r="G98" i="13" s="1"/>
  <c r="I98" i="13" s="1"/>
  <c r="Y98" i="13" s="1"/>
  <c r="K235" i="10"/>
  <c r="F102" i="13"/>
  <c r="G102" i="13" s="1"/>
  <c r="I102" i="13" s="1"/>
  <c r="Y102" i="13" s="1"/>
  <c r="K399" i="10"/>
  <c r="F100" i="13"/>
  <c r="G100" i="13" s="1"/>
  <c r="I100" i="13" s="1"/>
  <c r="Y100" i="13" s="1"/>
  <c r="K360" i="10"/>
  <c r="F179" i="13"/>
  <c r="G179" i="13" s="1"/>
  <c r="I179" i="13" s="1"/>
  <c r="Y179" i="13" s="1"/>
  <c r="K315" i="10"/>
  <c r="F157" i="13"/>
  <c r="G157" i="13" s="1"/>
  <c r="I157" i="13" s="1"/>
  <c r="Y157" i="13" s="1"/>
  <c r="K283" i="10"/>
  <c r="F141" i="13"/>
  <c r="G141" i="13" s="1"/>
  <c r="I141" i="13" s="1"/>
  <c r="Y141" i="13" s="1"/>
  <c r="F121" i="13"/>
  <c r="G121" i="13" s="1"/>
  <c r="I121" i="13" s="1"/>
  <c r="Y121" i="13" s="1"/>
  <c r="K109" i="10"/>
  <c r="F73" i="13"/>
  <c r="G73" i="13" s="1"/>
  <c r="I73" i="13" s="1"/>
  <c r="Y73" i="13" s="1"/>
  <c r="F30" i="13"/>
  <c r="G30" i="13" s="1"/>
  <c r="I30" i="13" s="1"/>
  <c r="Y30" i="13" s="1"/>
  <c r="K467" i="10"/>
  <c r="F225" i="13"/>
  <c r="G225" i="13" s="1"/>
  <c r="I225" i="13" s="1"/>
  <c r="Y225" i="13" s="1"/>
  <c r="F92" i="13"/>
  <c r="G92" i="13" s="1"/>
  <c r="I92" i="13" s="1"/>
  <c r="Y92" i="13" s="1"/>
  <c r="F214" i="13"/>
  <c r="G214" i="13" s="1"/>
  <c r="I214" i="13" s="1"/>
  <c r="Y214" i="13" s="1"/>
  <c r="F126" i="13"/>
  <c r="G126" i="13" s="1"/>
  <c r="I126" i="13" s="1"/>
  <c r="Y126" i="13" s="1"/>
  <c r="K188" i="10"/>
  <c r="F103" i="13"/>
  <c r="G103" i="13" s="1"/>
  <c r="I103" i="13" s="1"/>
  <c r="Y103" i="13" s="1"/>
  <c r="F119" i="13"/>
  <c r="G119" i="13" s="1"/>
  <c r="I119" i="13" s="1"/>
  <c r="Y119" i="13" s="1"/>
  <c r="K142" i="10"/>
  <c r="F90" i="13"/>
  <c r="G90" i="13" s="1"/>
  <c r="I90" i="13" s="1"/>
  <c r="Y90" i="13" s="1"/>
  <c r="K136" i="10"/>
  <c r="F87" i="13"/>
  <c r="G87" i="13" s="1"/>
  <c r="I87" i="13" s="1"/>
  <c r="Y87" i="13" s="1"/>
  <c r="K296" i="10"/>
  <c r="F148" i="13"/>
  <c r="G148" i="13" s="1"/>
  <c r="I148" i="13" s="1"/>
  <c r="Y148" i="13" s="1"/>
  <c r="K138" i="10"/>
  <c r="F88" i="13"/>
  <c r="G88" i="13" s="1"/>
  <c r="I88" i="13" s="1"/>
  <c r="Y88" i="13" s="1"/>
  <c r="K453" i="10"/>
  <c r="F218" i="13"/>
  <c r="G218" i="13" s="1"/>
  <c r="I218" i="13" s="1"/>
  <c r="Y218" i="13" s="1"/>
  <c r="K393" i="10"/>
  <c r="F193" i="13"/>
  <c r="G193" i="13" s="1"/>
  <c r="I193" i="13" s="1"/>
  <c r="Y193" i="13" s="1"/>
  <c r="F191" i="13"/>
  <c r="G191" i="13" s="1"/>
  <c r="I191" i="13" s="1"/>
  <c r="Y191" i="13" s="1"/>
  <c r="K93" i="10"/>
  <c r="F65" i="13"/>
  <c r="G65" i="13" s="1"/>
  <c r="I65" i="13" s="1"/>
  <c r="Y65" i="13" s="1"/>
  <c r="K144" i="10"/>
  <c r="F91" i="13"/>
  <c r="G91" i="13" s="1"/>
  <c r="I91" i="13" s="1"/>
  <c r="Y91" i="13" s="1"/>
  <c r="K463" i="10"/>
  <c r="F223" i="13"/>
  <c r="G223" i="13" s="1"/>
  <c r="I223" i="13" s="1"/>
  <c r="Y223" i="13" s="1"/>
  <c r="F176" i="13"/>
  <c r="G176" i="13" s="1"/>
  <c r="I176" i="13" s="1"/>
  <c r="Y176" i="13" s="1"/>
  <c r="K227" i="10"/>
  <c r="F114" i="13"/>
  <c r="G114" i="13" s="1"/>
  <c r="I114" i="13" s="1"/>
  <c r="Y114" i="13" s="1"/>
  <c r="F78" i="13"/>
  <c r="G78" i="13" s="1"/>
  <c r="I78" i="13" s="1"/>
  <c r="Y78" i="13" s="1"/>
  <c r="R26" i="7"/>
  <c r="E28" i="3"/>
  <c r="K355" i="10"/>
  <c r="F177" i="13"/>
  <c r="G177" i="13" s="1"/>
  <c r="I177" i="13" s="1"/>
  <c r="Y177" i="13" s="1"/>
  <c r="K332" i="10"/>
  <c r="F165" i="13"/>
  <c r="G165" i="13" s="1"/>
  <c r="I165" i="13" s="1"/>
  <c r="Y165" i="13" s="1"/>
  <c r="K300" i="10"/>
  <c r="F150" i="13"/>
  <c r="G150" i="13" s="1"/>
  <c r="I150" i="13" s="1"/>
  <c r="Y150" i="13" s="1"/>
  <c r="F129" i="13"/>
  <c r="G129" i="13" s="1"/>
  <c r="I129" i="13" s="1"/>
  <c r="Y129" i="13" s="1"/>
  <c r="F127" i="13"/>
  <c r="G127" i="13" s="1"/>
  <c r="I127" i="13" s="1"/>
  <c r="Y127" i="13" s="1"/>
  <c r="F115" i="13"/>
  <c r="G115" i="13" s="1"/>
  <c r="I115" i="13" s="1"/>
  <c r="Y115" i="13" s="1"/>
  <c r="F81" i="13"/>
  <c r="G81" i="13" s="1"/>
  <c r="I81" i="13" s="1"/>
  <c r="Y81" i="13" s="1"/>
  <c r="K446" i="10"/>
  <c r="F215" i="13"/>
  <c r="G215" i="13" s="1"/>
  <c r="I215" i="13" s="1"/>
  <c r="Y215" i="13" s="1"/>
  <c r="F213" i="13"/>
  <c r="G213" i="13" s="1"/>
  <c r="I213" i="13" s="1"/>
  <c r="Y213" i="13" s="1"/>
  <c r="K416" i="10"/>
  <c r="F203" i="13"/>
  <c r="G203" i="13" s="1"/>
  <c r="I203" i="13" s="1"/>
  <c r="Y203" i="13" s="1"/>
  <c r="F212" i="13"/>
  <c r="G212" i="13" s="1"/>
  <c r="I212" i="13" s="1"/>
  <c r="Y212" i="13" s="1"/>
  <c r="K160" i="10"/>
  <c r="F96" i="13"/>
  <c r="G96" i="13" s="1"/>
  <c r="I96" i="13" s="1"/>
  <c r="Y96" i="13" s="1"/>
  <c r="K114" i="10"/>
  <c r="F76" i="13"/>
  <c r="G76" i="13" s="1"/>
  <c r="I76" i="13" s="1"/>
  <c r="Y76" i="13" s="1"/>
  <c r="K480" i="10"/>
  <c r="F230" i="13"/>
  <c r="G230" i="13" s="1"/>
  <c r="I230" i="13" s="1"/>
  <c r="Y230" i="13" s="1"/>
  <c r="F70" i="13"/>
  <c r="G70" i="13" s="1"/>
  <c r="I70" i="13" s="1"/>
  <c r="Y70" i="13" s="1"/>
  <c r="K265" i="10"/>
  <c r="F132" i="13"/>
  <c r="G132" i="13" s="1"/>
  <c r="I132" i="13" s="1"/>
  <c r="Y132" i="13" s="1"/>
  <c r="K248" i="10"/>
  <c r="F124" i="13"/>
  <c r="G124" i="13" s="1"/>
  <c r="I124" i="13" s="1"/>
  <c r="Y124" i="13" s="1"/>
  <c r="F82" i="13"/>
  <c r="G82" i="13" s="1"/>
  <c r="I82" i="13" s="1"/>
  <c r="Y82" i="13" s="1"/>
  <c r="F142" i="13"/>
  <c r="G142" i="13" s="1"/>
  <c r="I142" i="13" s="1"/>
  <c r="Y142" i="13" s="1"/>
  <c r="F210" i="13"/>
  <c r="G210" i="13" s="1"/>
  <c r="I210" i="13" s="1"/>
  <c r="Y210" i="13" s="1"/>
  <c r="F63" i="13"/>
  <c r="G63" i="13" s="1"/>
  <c r="I63" i="13" s="1"/>
  <c r="Y63" i="13" s="1"/>
  <c r="F62" i="13"/>
  <c r="G62" i="13" s="1"/>
  <c r="I62" i="13" s="1"/>
  <c r="Y62" i="13" s="1"/>
  <c r="K100" i="10"/>
  <c r="F69" i="13"/>
  <c r="G69" i="13" s="1"/>
  <c r="I69" i="13" s="1"/>
  <c r="Y69" i="13" s="1"/>
  <c r="K47" i="10"/>
  <c r="F43" i="13"/>
  <c r="G43" i="13" s="1"/>
  <c r="I43" i="13" s="1"/>
  <c r="Y43" i="13" s="1"/>
  <c r="K486" i="10"/>
  <c r="F232" i="13"/>
  <c r="G232" i="13" s="1"/>
  <c r="I232" i="13" s="1"/>
  <c r="Y232" i="13" s="1"/>
  <c r="K286" i="10"/>
  <c r="F143" i="13"/>
  <c r="G143" i="13" s="1"/>
  <c r="I143" i="13" s="1"/>
  <c r="Y143" i="13" s="1"/>
  <c r="F128" i="13"/>
  <c r="G128" i="13" s="1"/>
  <c r="I128" i="13" s="1"/>
  <c r="Y128" i="13" s="1"/>
  <c r="F37" i="13"/>
  <c r="G37" i="13" s="1"/>
  <c r="I37" i="13" s="1"/>
  <c r="Y37" i="13" s="1"/>
  <c r="F192" i="13"/>
  <c r="G192" i="13" s="1"/>
  <c r="I192" i="13" s="1"/>
  <c r="Y192" i="13" s="1"/>
  <c r="K104" i="10"/>
  <c r="F71" i="13"/>
  <c r="G71" i="13" s="1"/>
  <c r="I71" i="13" s="1"/>
  <c r="Y71" i="13" s="1"/>
  <c r="F224" i="13"/>
  <c r="G224" i="13" s="1"/>
  <c r="I224" i="13" s="1"/>
  <c r="Y224" i="13" s="1"/>
  <c r="F166" i="13"/>
  <c r="G166" i="13" s="1"/>
  <c r="I166" i="13" s="1"/>
  <c r="Y166" i="13" s="1"/>
  <c r="F80" i="13"/>
  <c r="G80" i="13" s="1"/>
  <c r="I80" i="13" s="1"/>
  <c r="Y80" i="13" s="1"/>
  <c r="F72" i="13"/>
  <c r="G72" i="13" s="1"/>
  <c r="I72" i="13" s="1"/>
  <c r="Y72" i="13" s="1"/>
  <c r="F167" i="13"/>
  <c r="G167" i="13" s="1"/>
  <c r="I167" i="13" s="1"/>
  <c r="Y167" i="13" s="1"/>
  <c r="K260" i="10"/>
  <c r="F130" i="13"/>
  <c r="G130" i="13" s="1"/>
  <c r="I130" i="13" s="1"/>
  <c r="Y130" i="13" s="1"/>
  <c r="K63" i="10"/>
  <c r="F51" i="13"/>
  <c r="G51" i="13" s="1"/>
  <c r="I51" i="13" s="1"/>
  <c r="Y51" i="13" s="1"/>
  <c r="K292" i="10"/>
  <c r="F146" i="13"/>
  <c r="G146" i="13" s="1"/>
  <c r="I146" i="13" s="1"/>
  <c r="Y146" i="13" s="1"/>
  <c r="F211" i="13"/>
  <c r="G211" i="13" s="1"/>
  <c r="I211" i="13" s="1"/>
  <c r="Y211" i="13" s="1"/>
  <c r="K128" i="10"/>
  <c r="F83" i="13"/>
  <c r="G83" i="13" s="1"/>
  <c r="I83" i="13" s="1"/>
  <c r="Y83" i="13" s="1"/>
  <c r="K432" i="10"/>
  <c r="F209" i="13"/>
  <c r="G209" i="13" s="1"/>
  <c r="I209" i="13" s="1"/>
  <c r="Y209" i="13" s="1"/>
  <c r="K97" i="10"/>
  <c r="F67" i="13"/>
  <c r="G67" i="13" s="1"/>
  <c r="I67" i="13" s="1"/>
  <c r="Y67" i="13" s="1"/>
  <c r="F168" i="13"/>
  <c r="G168" i="13" s="1"/>
  <c r="I168" i="13" s="1"/>
  <c r="Y168" i="13" s="1"/>
  <c r="K274" i="10"/>
  <c r="F137" i="13"/>
  <c r="G137" i="13" s="1"/>
  <c r="I137" i="13" s="1"/>
  <c r="Y137" i="13" s="1"/>
  <c r="F86" i="13"/>
  <c r="G86" i="13" s="1"/>
  <c r="I86" i="13" s="1"/>
  <c r="Y86" i="13" s="1"/>
  <c r="K110" i="10"/>
  <c r="F74" i="13"/>
  <c r="G74" i="13" s="1"/>
  <c r="I74" i="13" s="1"/>
  <c r="Y74" i="13" s="1"/>
  <c r="K24" i="10"/>
  <c r="F31" i="13"/>
  <c r="G31" i="13" s="1"/>
  <c r="I31" i="13" s="1"/>
  <c r="Y31" i="13" s="1"/>
  <c r="K98" i="10"/>
  <c r="F68" i="13"/>
  <c r="G68" i="13" s="1"/>
  <c r="I68" i="13" s="1"/>
  <c r="Y68" i="13" s="1"/>
  <c r="K148" i="10"/>
  <c r="F93" i="13"/>
  <c r="G93" i="13" s="1"/>
  <c r="I93" i="13" s="1"/>
  <c r="Y93" i="13" s="1"/>
  <c r="K152" i="10"/>
  <c r="F94" i="13"/>
  <c r="G94" i="13" s="1"/>
  <c r="I94" i="13" s="1"/>
  <c r="Y94" i="13" s="1"/>
  <c r="F60" i="13"/>
  <c r="G60" i="13" s="1"/>
  <c r="I60" i="13" s="1"/>
  <c r="Y60" i="13" s="1"/>
  <c r="F61" i="13"/>
  <c r="G61" i="13" s="1"/>
  <c r="I61" i="13" s="1"/>
  <c r="Y61" i="13" s="1"/>
  <c r="K495" i="10"/>
  <c r="F237" i="13"/>
  <c r="G237" i="13" s="1"/>
  <c r="I237" i="13" s="1"/>
  <c r="Y237" i="13" s="1"/>
  <c r="K498" i="10"/>
  <c r="F238" i="13"/>
  <c r="G238" i="13" s="1"/>
  <c r="I238" i="13" s="1"/>
  <c r="Y238" i="13" s="1"/>
  <c r="K499" i="10"/>
  <c r="F239" i="13"/>
  <c r="G239" i="13" s="1"/>
  <c r="I239" i="13" s="1"/>
  <c r="Y239" i="13" s="1"/>
  <c r="K501" i="10"/>
  <c r="F240" i="13"/>
  <c r="G240" i="13" s="1"/>
  <c r="I240" i="13" s="1"/>
  <c r="Y240" i="13" s="1"/>
  <c r="K505" i="10"/>
  <c r="F242" i="13"/>
  <c r="G242" i="13" s="1"/>
  <c r="I242" i="13" s="1"/>
  <c r="Y242" i="13" s="1"/>
  <c r="K504" i="10"/>
  <c r="F241" i="13"/>
  <c r="G241" i="13" s="1"/>
  <c r="I241" i="13" s="1"/>
  <c r="Y241" i="13" s="1"/>
  <c r="K509" i="10"/>
  <c r="F244" i="13"/>
  <c r="G244" i="13" s="1"/>
  <c r="I244" i="13" s="1"/>
  <c r="Y244" i="13" s="1"/>
  <c r="K529" i="10"/>
  <c r="F251" i="13"/>
  <c r="G251" i="13" s="1"/>
  <c r="I251" i="13" s="1"/>
  <c r="Y251" i="13" s="1"/>
  <c r="K533" i="10"/>
  <c r="F252" i="13"/>
  <c r="G252" i="13" s="1"/>
  <c r="I252" i="13" s="1"/>
  <c r="Y252" i="13" s="1"/>
  <c r="K537" i="10"/>
  <c r="F253" i="13"/>
  <c r="G253" i="13" s="1"/>
  <c r="I253" i="13" s="1"/>
  <c r="Y253" i="13" s="1"/>
  <c r="K543" i="10"/>
  <c r="F256" i="13"/>
  <c r="G256" i="13" s="1"/>
  <c r="I256" i="13" s="1"/>
  <c r="Y256" i="13" s="1"/>
  <c r="K555" i="10"/>
  <c r="F261" i="13"/>
  <c r="G261" i="13" s="1"/>
  <c r="I261" i="13" s="1"/>
  <c r="Y261" i="13" s="1"/>
  <c r="K565" i="10"/>
  <c r="F266" i="13"/>
  <c r="G266" i="13" s="1"/>
  <c r="I266" i="13" s="1"/>
  <c r="Y266" i="13" s="1"/>
  <c r="K588" i="10"/>
  <c r="F273" i="13"/>
  <c r="G273" i="13" s="1"/>
  <c r="I273" i="13" s="1"/>
  <c r="Y273" i="13" s="1"/>
  <c r="K591" i="10"/>
  <c r="F275" i="13"/>
  <c r="G275" i="13" s="1"/>
  <c r="I275" i="13" s="1"/>
  <c r="Y275" i="13" s="1"/>
  <c r="K593" i="10"/>
  <c r="F276" i="13"/>
  <c r="G276" i="13" s="1"/>
  <c r="I276" i="13" s="1"/>
  <c r="Y276" i="13" s="1"/>
  <c r="K595" i="10"/>
  <c r="F277" i="13"/>
  <c r="G277" i="13" s="1"/>
  <c r="I277" i="13" s="1"/>
  <c r="Y277" i="13" s="1"/>
  <c r="K631" i="10"/>
  <c r="F290" i="13"/>
  <c r="G290" i="13" s="1"/>
  <c r="I290" i="13" s="1"/>
  <c r="Y290" i="13" s="1"/>
  <c r="K650" i="10"/>
  <c r="F299" i="13"/>
  <c r="G299" i="13" s="1"/>
  <c r="I299" i="13" s="1"/>
  <c r="Y299" i="13" s="1"/>
  <c r="K655" i="10"/>
  <c r="F301" i="13"/>
  <c r="G301" i="13" s="1"/>
  <c r="I301" i="13" s="1"/>
  <c r="Y301" i="13" s="1"/>
  <c r="K664" i="10"/>
  <c r="F304" i="13"/>
  <c r="G304" i="13" s="1"/>
  <c r="I304" i="13" s="1"/>
  <c r="Y304" i="13" s="1"/>
  <c r="K661" i="10"/>
  <c r="F303" i="13"/>
  <c r="G303" i="13" s="1"/>
  <c r="I303" i="13" s="1"/>
  <c r="Y303" i="13" s="1"/>
  <c r="K675" i="10"/>
  <c r="F308" i="13"/>
  <c r="G308" i="13" s="1"/>
  <c r="I308" i="13" s="1"/>
  <c r="Y308" i="13" s="1"/>
  <c r="K679" i="10"/>
  <c r="F310" i="13"/>
  <c r="G310" i="13" s="1"/>
  <c r="I310" i="13" s="1"/>
  <c r="Y310" i="13" s="1"/>
  <c r="K683" i="10"/>
  <c r="F312" i="13"/>
  <c r="G312" i="13" s="1"/>
  <c r="I312" i="13" s="1"/>
  <c r="Y312" i="13" s="1"/>
  <c r="R35" i="11"/>
  <c r="AN14" i="13"/>
  <c r="R31" i="11"/>
  <c r="R54" i="11"/>
  <c r="AN11" i="13"/>
  <c r="J20" i="13"/>
  <c r="K688" i="10"/>
  <c r="G314" i="13"/>
  <c r="I314" i="13" s="1"/>
  <c r="Y314" i="13" s="1"/>
  <c r="K685" i="10"/>
  <c r="G313" i="13"/>
  <c r="I313" i="13" s="1"/>
  <c r="Y313" i="13" s="1"/>
  <c r="K313" i="10"/>
  <c r="K681" i="10"/>
  <c r="G311" i="13"/>
  <c r="I311" i="13" s="1"/>
  <c r="Y311" i="13" s="1"/>
  <c r="U680" i="10"/>
  <c r="K414" i="10"/>
  <c r="K84" i="10"/>
  <c r="K677" i="10"/>
  <c r="G309" i="13"/>
  <c r="I309" i="13" s="1"/>
  <c r="Y309" i="13" s="1"/>
  <c r="Y660" i="10"/>
  <c r="Y662" i="10"/>
  <c r="Y661" i="10"/>
  <c r="Z661" i="10" s="1"/>
  <c r="K673" i="10"/>
  <c r="G307" i="13"/>
  <c r="I307" i="13" s="1"/>
  <c r="Y307" i="13" s="1"/>
  <c r="K392" i="10"/>
  <c r="K670" i="10"/>
  <c r="G306" i="13"/>
  <c r="I306" i="13" s="1"/>
  <c r="Y306" i="13" s="1"/>
  <c r="K667" i="10"/>
  <c r="G305" i="13"/>
  <c r="I305" i="13" s="1"/>
  <c r="Y305" i="13" s="1"/>
  <c r="K270" i="10"/>
  <c r="K82" i="10"/>
  <c r="K308" i="10"/>
  <c r="AA657" i="10"/>
  <c r="AB657" i="10" s="1"/>
  <c r="U660" i="10" s="1"/>
  <c r="U662" i="10"/>
  <c r="K657" i="10"/>
  <c r="G302" i="13"/>
  <c r="I302" i="13" s="1"/>
  <c r="Y302" i="13" s="1"/>
  <c r="K434" i="10"/>
  <c r="K654" i="10"/>
  <c r="G300" i="13"/>
  <c r="I300" i="13" s="1"/>
  <c r="Y300" i="13" s="1"/>
  <c r="K649" i="10"/>
  <c r="U651" i="10"/>
  <c r="K407" i="10"/>
  <c r="K647" i="10"/>
  <c r="G298" i="13"/>
  <c r="I298" i="13" s="1"/>
  <c r="Y298" i="13" s="1"/>
  <c r="K645" i="10"/>
  <c r="G297" i="13"/>
  <c r="I297" i="13" s="1"/>
  <c r="Y297" i="13" s="1"/>
  <c r="K643" i="10"/>
  <c r="G296" i="13"/>
  <c r="I296" i="13" s="1"/>
  <c r="Y296" i="13" s="1"/>
  <c r="K333" i="10"/>
  <c r="K38" i="10"/>
  <c r="K641" i="10"/>
  <c r="G295" i="13"/>
  <c r="I295" i="13" s="1"/>
  <c r="Y295" i="13" s="1"/>
  <c r="O13" i="13"/>
  <c r="K343" i="10"/>
  <c r="K639" i="10"/>
  <c r="G294" i="13"/>
  <c r="I294" i="13" s="1"/>
  <c r="Y294" i="13" s="1"/>
  <c r="K637" i="10"/>
  <c r="G293" i="13"/>
  <c r="I293" i="13" s="1"/>
  <c r="Y293" i="13" s="1"/>
  <c r="K635" i="10"/>
  <c r="G292" i="13"/>
  <c r="I292" i="13" s="1"/>
  <c r="Y292" i="13" s="1"/>
  <c r="K633" i="10"/>
  <c r="G291" i="13"/>
  <c r="I291" i="13" s="1"/>
  <c r="Y291" i="13" s="1"/>
  <c r="K257" i="10"/>
  <c r="Z139" i="10"/>
  <c r="AA139" i="10" s="1"/>
  <c r="AB139" i="10" s="1"/>
  <c r="U140" i="10" s="1"/>
  <c r="K630" i="10"/>
  <c r="G289" i="13"/>
  <c r="I289" i="13" s="1"/>
  <c r="Y289" i="13" s="1"/>
  <c r="K364" i="10"/>
  <c r="K456" i="10"/>
  <c r="K627" i="10"/>
  <c r="G288" i="13"/>
  <c r="I288" i="13" s="1"/>
  <c r="Y288" i="13" s="1"/>
  <c r="K106" i="10"/>
  <c r="K625" i="10"/>
  <c r="G287" i="13"/>
  <c r="I287" i="13" s="1"/>
  <c r="Y287" i="13" s="1"/>
  <c r="K624" i="10"/>
  <c r="G286" i="13"/>
  <c r="I286" i="13" s="1"/>
  <c r="Y286" i="13" s="1"/>
  <c r="K618" i="10"/>
  <c r="G285" i="13"/>
  <c r="I285" i="13" s="1"/>
  <c r="Y285" i="13" s="1"/>
  <c r="K616" i="10"/>
  <c r="G284" i="13"/>
  <c r="I284" i="13" s="1"/>
  <c r="Y284" i="13" s="1"/>
  <c r="K614" i="10"/>
  <c r="G283" i="13"/>
  <c r="I283" i="13" s="1"/>
  <c r="Y283" i="13" s="1"/>
  <c r="K53" i="10"/>
  <c r="K607" i="10"/>
  <c r="G281" i="13"/>
  <c r="I281" i="13" s="1"/>
  <c r="Y281" i="13" s="1"/>
  <c r="K611" i="10"/>
  <c r="G282" i="13"/>
  <c r="I282" i="13" s="1"/>
  <c r="Y282" i="13" s="1"/>
  <c r="K604" i="10"/>
  <c r="G280" i="13"/>
  <c r="I280" i="13" s="1"/>
  <c r="Y280" i="13" s="1"/>
  <c r="K603" i="10"/>
  <c r="G279" i="13"/>
  <c r="I279" i="13" s="1"/>
  <c r="Y279" i="13" s="1"/>
  <c r="K599" i="10"/>
  <c r="G278" i="13"/>
  <c r="I278" i="13" s="1"/>
  <c r="Y278" i="13" s="1"/>
  <c r="AA124" i="10"/>
  <c r="AB124" i="10" s="1"/>
  <c r="U135" i="10" s="1"/>
  <c r="K487" i="10"/>
  <c r="K80" i="10"/>
  <c r="K589" i="10"/>
  <c r="G274" i="13"/>
  <c r="I274" i="13" s="1"/>
  <c r="Y274" i="13" s="1"/>
  <c r="AA582" i="10"/>
  <c r="AB582" i="10" s="1"/>
  <c r="G109" i="7" s="1"/>
  <c r="P109" i="7" s="1"/>
  <c r="B13" i="3" s="1"/>
  <c r="K582" i="10"/>
  <c r="G272" i="13"/>
  <c r="I272" i="13" s="1"/>
  <c r="Y272" i="13" s="1"/>
  <c r="K578" i="10"/>
  <c r="G271" i="13"/>
  <c r="I271" i="13" s="1"/>
  <c r="Y271" i="13" s="1"/>
  <c r="U580" i="10"/>
  <c r="K574" i="10"/>
  <c r="G270" i="13"/>
  <c r="I270" i="13" s="1"/>
  <c r="Y270" i="13" s="1"/>
  <c r="K570" i="10"/>
  <c r="G269" i="13"/>
  <c r="I269" i="13" s="1"/>
  <c r="Y269" i="13" s="1"/>
  <c r="G36" i="13"/>
  <c r="I36" i="13" s="1"/>
  <c r="Y36" i="13" s="1"/>
  <c r="K568" i="10"/>
  <c r="G268" i="13"/>
  <c r="I268" i="13" s="1"/>
  <c r="Y268" i="13" s="1"/>
  <c r="K566" i="10"/>
  <c r="G267" i="13"/>
  <c r="I267" i="13" s="1"/>
  <c r="Y267" i="13" s="1"/>
  <c r="W6" i="10"/>
  <c r="X6" i="10" s="1"/>
  <c r="J6" i="10" s="1"/>
  <c r="M6" i="10" s="1"/>
  <c r="N6" i="10" s="1"/>
  <c r="K564" i="10"/>
  <c r="K291" i="10"/>
  <c r="K563" i="10"/>
  <c r="G265" i="13"/>
  <c r="I265" i="13" s="1"/>
  <c r="Y265" i="13" s="1"/>
  <c r="K337" i="10"/>
  <c r="K560" i="10"/>
  <c r="G264" i="13"/>
  <c r="I264" i="13" s="1"/>
  <c r="Y264" i="13" s="1"/>
  <c r="K134" i="10"/>
  <c r="K558" i="10"/>
  <c r="G263" i="13"/>
  <c r="I263" i="13" s="1"/>
  <c r="Y263" i="13" s="1"/>
  <c r="W5" i="10"/>
  <c r="X5" i="10" s="1"/>
  <c r="J5" i="10" s="1"/>
  <c r="M5" i="10" s="1"/>
  <c r="N5" i="10" s="1"/>
  <c r="K556" i="10"/>
  <c r="G262" i="13"/>
  <c r="I262" i="13" s="1"/>
  <c r="Y262" i="13" s="1"/>
  <c r="K75" i="10"/>
  <c r="K552" i="10"/>
  <c r="G260" i="13"/>
  <c r="I260" i="13" s="1"/>
  <c r="Y260" i="13" s="1"/>
  <c r="K550" i="10"/>
  <c r="G259" i="13"/>
  <c r="I259" i="13" s="1"/>
  <c r="Y259" i="13" s="1"/>
  <c r="K547" i="10"/>
  <c r="G258" i="13"/>
  <c r="I258" i="13" s="1"/>
  <c r="Y258" i="13" s="1"/>
  <c r="K546" i="10"/>
  <c r="G257" i="13"/>
  <c r="I257" i="13" s="1"/>
  <c r="Y257" i="13" s="1"/>
  <c r="K541" i="10"/>
  <c r="G255" i="13"/>
  <c r="I255" i="13" s="1"/>
  <c r="Y255" i="13" s="1"/>
  <c r="K254" i="10"/>
  <c r="K539" i="10"/>
  <c r="G254" i="13"/>
  <c r="I254" i="13" s="1"/>
  <c r="Y254" i="13" s="1"/>
  <c r="U535" i="10"/>
  <c r="U536" i="10"/>
  <c r="U534" i="10"/>
  <c r="AA245" i="10"/>
  <c r="AB245" i="10" s="1"/>
  <c r="U277" i="10" s="1"/>
  <c r="AA529" i="10"/>
  <c r="AB529" i="10" s="1"/>
  <c r="K418" i="10"/>
  <c r="K527" i="10"/>
  <c r="G250" i="13"/>
  <c r="I250" i="13" s="1"/>
  <c r="Y250" i="13" s="1"/>
  <c r="K519" i="10"/>
  <c r="G249" i="13"/>
  <c r="I249" i="13" s="1"/>
  <c r="Y249" i="13" s="1"/>
  <c r="K126" i="10"/>
  <c r="K518" i="10"/>
  <c r="G248" i="13"/>
  <c r="I248" i="13" s="1"/>
  <c r="Y248" i="13" s="1"/>
  <c r="O7" i="13"/>
  <c r="V12" i="13"/>
  <c r="K515" i="10"/>
  <c r="G247" i="13"/>
  <c r="I247" i="13" s="1"/>
  <c r="Y247" i="13" s="1"/>
  <c r="K513" i="10"/>
  <c r="G246" i="13"/>
  <c r="I246" i="13" s="1"/>
  <c r="Y246" i="13" s="1"/>
  <c r="K511" i="10"/>
  <c r="G245" i="13"/>
  <c r="I245" i="13" s="1"/>
  <c r="Y245" i="13" s="1"/>
  <c r="H10" i="5"/>
  <c r="K459" i="10"/>
  <c r="K508" i="10"/>
  <c r="G243" i="13"/>
  <c r="I243" i="13" s="1"/>
  <c r="Y243" i="13" s="1"/>
  <c r="K57" i="10"/>
  <c r="AA24" i="10"/>
  <c r="AB24" i="10" s="1"/>
  <c r="U26" i="10" s="1"/>
  <c r="Y26" i="10" s="1"/>
  <c r="Z26" i="10" s="1"/>
  <c r="K116" i="10"/>
  <c r="T18" i="13"/>
  <c r="K465" i="10"/>
  <c r="K88" i="10"/>
  <c r="K412" i="10"/>
  <c r="K441" i="10"/>
  <c r="K20" i="10"/>
  <c r="K124" i="10"/>
  <c r="K122" i="10"/>
  <c r="K437" i="10"/>
  <c r="K250" i="10"/>
  <c r="K229" i="10"/>
  <c r="E23" i="3"/>
  <c r="K390" i="10"/>
  <c r="K33" i="10"/>
  <c r="K71" i="10"/>
  <c r="Q18" i="7"/>
  <c r="K62" i="10"/>
  <c r="K237" i="10"/>
  <c r="K285" i="10"/>
  <c r="AA495" i="10"/>
  <c r="AB495" i="10" s="1"/>
  <c r="U497" i="10" s="1"/>
  <c r="U498" i="10"/>
  <c r="K65" i="10"/>
  <c r="G77" i="13"/>
  <c r="I77" i="13" s="1"/>
  <c r="Y77" i="13" s="1"/>
  <c r="K279" i="10"/>
  <c r="K353" i="10"/>
  <c r="K242" i="10"/>
  <c r="K444" i="10"/>
  <c r="K86" i="10"/>
  <c r="G29" i="13"/>
  <c r="I29" i="13" s="1"/>
  <c r="Y29" i="13" s="1"/>
  <c r="V14" i="13"/>
  <c r="G57" i="13"/>
  <c r="I57" i="13" s="1"/>
  <c r="Y57" i="13" s="1"/>
  <c r="K103" i="10"/>
  <c r="G171" i="13"/>
  <c r="I171" i="13" s="1"/>
  <c r="Y171" i="13" s="1"/>
  <c r="AA355" i="10"/>
  <c r="AB355" i="10" s="1"/>
  <c r="U457" i="10" s="1"/>
  <c r="Z457" i="10" s="1"/>
  <c r="K367" i="10"/>
  <c r="K402" i="10"/>
  <c r="G44" i="13"/>
  <c r="I44" i="13" s="1"/>
  <c r="Y44" i="13" s="1"/>
  <c r="Q17" i="7"/>
  <c r="G111" i="13"/>
  <c r="I111" i="13" s="1"/>
  <c r="Y111" i="13" s="1"/>
  <c r="K281" i="10"/>
  <c r="G34" i="13"/>
  <c r="I34" i="13" s="1"/>
  <c r="Y34" i="13" s="1"/>
  <c r="R20" i="7"/>
  <c r="G84" i="13"/>
  <c r="I84" i="13" s="1"/>
  <c r="Y84" i="13" s="1"/>
  <c r="K68" i="10"/>
  <c r="R21" i="7"/>
  <c r="K156" i="10"/>
  <c r="G158" i="13"/>
  <c r="I158" i="13" s="1"/>
  <c r="Y158" i="13" s="1"/>
  <c r="G40" i="13"/>
  <c r="I40" i="13" s="1"/>
  <c r="Y40" i="13" s="1"/>
  <c r="K55" i="10"/>
  <c r="AA29" i="10"/>
  <c r="AB29" i="10" s="1"/>
  <c r="U31" i="10" s="1"/>
  <c r="Y32" i="10" s="1"/>
  <c r="AA30" i="10"/>
  <c r="AB30" i="10" s="1"/>
  <c r="U32" i="10" s="1"/>
  <c r="Z129" i="10"/>
  <c r="AA129" i="10" s="1"/>
  <c r="AB129" i="10" s="1"/>
  <c r="U163" i="10" s="1"/>
  <c r="K42" i="10"/>
  <c r="K130" i="10"/>
  <c r="K405" i="10"/>
  <c r="G198" i="13"/>
  <c r="I198" i="13" s="1"/>
  <c r="Y198" i="13" s="1"/>
  <c r="G125" i="13"/>
  <c r="I125" i="13" s="1"/>
  <c r="Y125" i="13" s="1"/>
  <c r="Q25" i="7"/>
  <c r="Q19" i="7"/>
  <c r="E24" i="3"/>
  <c r="G52" i="13"/>
  <c r="I52" i="13" s="1"/>
  <c r="Y52" i="13" s="1"/>
  <c r="Q12" i="7"/>
  <c r="K16" i="10"/>
  <c r="G182" i="13"/>
  <c r="I182" i="13" s="1"/>
  <c r="Y182" i="13" s="1"/>
  <c r="Q14" i="7"/>
  <c r="Q20" i="7"/>
  <c r="G154" i="13"/>
  <c r="I154" i="13" s="1"/>
  <c r="Y154" i="13" s="1"/>
  <c r="Q16" i="7"/>
  <c r="K146" i="10"/>
  <c r="K252" i="10"/>
  <c r="E20" i="3"/>
  <c r="R19" i="7"/>
  <c r="E19" i="3"/>
  <c r="AA4" i="10"/>
  <c r="AB4" i="10" s="1"/>
  <c r="U487" i="10" s="1"/>
  <c r="Y488" i="10" s="1"/>
  <c r="Z488" i="10" s="1"/>
  <c r="Q28" i="7"/>
  <c r="Q32" i="7"/>
  <c r="R28" i="7"/>
  <c r="G39" i="13"/>
  <c r="I39" i="13" s="1"/>
  <c r="Y39" i="13" s="1"/>
  <c r="K258" i="10"/>
  <c r="Q22" i="7"/>
  <c r="K319" i="10"/>
  <c r="R32" i="7"/>
  <c r="G201" i="13"/>
  <c r="I201" i="13" s="1"/>
  <c r="Y201" i="13" s="1"/>
  <c r="G180" i="13"/>
  <c r="I180" i="13" s="1"/>
  <c r="Y180" i="13" s="1"/>
  <c r="G202" i="13"/>
  <c r="I202" i="13" s="1"/>
  <c r="Y202" i="13" s="1"/>
  <c r="G53" i="13"/>
  <c r="I53" i="13" s="1"/>
  <c r="Y53" i="13" s="1"/>
  <c r="R13" i="7"/>
  <c r="R15" i="7"/>
  <c r="G220" i="13"/>
  <c r="I220" i="13" s="1"/>
  <c r="Y220" i="13" s="1"/>
  <c r="G145" i="13"/>
  <c r="I145" i="13" s="1"/>
  <c r="Y145" i="13" s="1"/>
  <c r="V7" i="13"/>
  <c r="G181" i="13"/>
  <c r="I181" i="13" s="1"/>
  <c r="Y181" i="13" s="1"/>
  <c r="R29" i="7"/>
  <c r="K299" i="10"/>
  <c r="AA77" i="10"/>
  <c r="AB77" i="10" s="1"/>
  <c r="U424" i="10" s="1"/>
  <c r="Y420" i="10" s="1"/>
  <c r="Z420" i="10" s="1"/>
  <c r="K35" i="10"/>
  <c r="K329" i="10"/>
  <c r="R30" i="7"/>
  <c r="R10" i="7"/>
  <c r="R8" i="7"/>
  <c r="K29" i="10"/>
  <c r="H11" i="13"/>
  <c r="B13" i="5" s="1"/>
  <c r="O11" i="13"/>
  <c r="Q13" i="7"/>
  <c r="G75" i="13"/>
  <c r="I75" i="13" s="1"/>
  <c r="Y75" i="13" s="1"/>
  <c r="AA72" i="10"/>
  <c r="AB72" i="10" s="1"/>
  <c r="U75" i="10" s="1"/>
  <c r="Y75" i="10" s="1"/>
  <c r="Z75" i="10" s="1"/>
  <c r="G204" i="13"/>
  <c r="I204" i="13" s="1"/>
  <c r="Y204" i="13" s="1"/>
  <c r="G27" i="13"/>
  <c r="I27" i="13" s="1"/>
  <c r="Y27" i="13" s="1"/>
  <c r="K305" i="10"/>
  <c r="G197" i="13"/>
  <c r="I197" i="13" s="1"/>
  <c r="Y197" i="13" s="1"/>
  <c r="G172" i="13"/>
  <c r="I172" i="13" s="1"/>
  <c r="Y172" i="13" s="1"/>
  <c r="G164" i="13"/>
  <c r="I164" i="13" s="1"/>
  <c r="Y164" i="13" s="1"/>
  <c r="G152" i="13"/>
  <c r="I152" i="13" s="1"/>
  <c r="Y152" i="13" s="1"/>
  <c r="G45" i="13"/>
  <c r="I45" i="13" s="1"/>
  <c r="Y45" i="13" s="1"/>
  <c r="K26" i="10"/>
  <c r="R24" i="7"/>
  <c r="Q26" i="7"/>
  <c r="G233" i="13"/>
  <c r="I233" i="13" s="1"/>
  <c r="Y233" i="13" s="1"/>
  <c r="G46" i="13"/>
  <c r="I46" i="13" s="1"/>
  <c r="Y46" i="13" s="1"/>
  <c r="Q10" i="7"/>
  <c r="K335" i="10"/>
  <c r="G196" i="13"/>
  <c r="I196" i="13" s="1"/>
  <c r="Y196" i="13" s="1"/>
  <c r="K40" i="10"/>
  <c r="G159" i="13"/>
  <c r="I159" i="13" s="1"/>
  <c r="Y159" i="13" s="1"/>
  <c r="R9" i="7"/>
  <c r="K345" i="10"/>
  <c r="Q27" i="7"/>
  <c r="Q9" i="7"/>
  <c r="R16" i="7"/>
  <c r="E29" i="3"/>
  <c r="AA334" i="10"/>
  <c r="AB334" i="10" s="1"/>
  <c r="U335" i="10" s="1"/>
  <c r="Y335" i="10" s="1"/>
  <c r="Z335" i="10" s="1"/>
  <c r="AA130" i="10"/>
  <c r="AB130" i="10" s="1"/>
  <c r="U164" i="10" s="1"/>
  <c r="Y165" i="10" s="1"/>
  <c r="Z165" i="10" s="1"/>
  <c r="E17" i="3"/>
  <c r="R12" i="7"/>
  <c r="AA79" i="10"/>
  <c r="AB79" i="10" s="1"/>
  <c r="D122" i="7" s="1"/>
  <c r="C23" i="8"/>
  <c r="A12" i="9"/>
  <c r="G116" i="13"/>
  <c r="I116" i="13" s="1"/>
  <c r="Y116" i="13" s="1"/>
  <c r="K231" i="10"/>
  <c r="G161" i="13"/>
  <c r="I161" i="13" s="1"/>
  <c r="Y161" i="13" s="1"/>
  <c r="O14" i="13"/>
  <c r="AA7" i="10"/>
  <c r="AB7" i="10" s="1"/>
  <c r="B111" i="7" s="1"/>
  <c r="Q24" i="7"/>
  <c r="K21" i="10"/>
  <c r="E32" i="3"/>
  <c r="Q8" i="7"/>
  <c r="Q29" i="7"/>
  <c r="Q23" i="7"/>
  <c r="E16" i="3"/>
  <c r="Q31" i="7"/>
  <c r="E33" i="3"/>
  <c r="G50" i="13"/>
  <c r="I50" i="13" s="1"/>
  <c r="Y50" i="13" s="1"/>
  <c r="Q11" i="7"/>
  <c r="G35" i="13"/>
  <c r="I35" i="13" s="1"/>
  <c r="Y35" i="13" s="1"/>
  <c r="K31" i="10"/>
  <c r="AA87" i="10"/>
  <c r="AB87" i="10" s="1"/>
  <c r="U89" i="10" s="1"/>
  <c r="E13" i="3"/>
  <c r="G56" i="13"/>
  <c r="I56" i="13" s="1"/>
  <c r="Y56" i="13" s="1"/>
  <c r="K73" i="10"/>
  <c r="B23" i="8"/>
  <c r="G140" i="13"/>
  <c r="I140" i="13" s="1"/>
  <c r="Y140" i="13" s="1"/>
  <c r="AA366" i="10"/>
  <c r="AB366" i="10" s="1"/>
  <c r="H106" i="7" s="1"/>
  <c r="AA224" i="10"/>
  <c r="AB224" i="10" s="1"/>
  <c r="U237" i="10" s="1"/>
  <c r="Y237" i="10" s="1"/>
  <c r="Z237" i="10" s="1"/>
  <c r="G55" i="13"/>
  <c r="I55" i="13" s="1"/>
  <c r="Y55" i="13" s="1"/>
  <c r="G47" i="13"/>
  <c r="I47" i="13" s="1"/>
  <c r="Y47" i="13" s="1"/>
  <c r="AA15" i="10"/>
  <c r="AB15" i="10" s="1"/>
  <c r="U17" i="10" s="1"/>
  <c r="K118" i="10"/>
  <c r="C3" i="7"/>
  <c r="R23" i="7"/>
  <c r="R25" i="7"/>
  <c r="W87" i="10"/>
  <c r="W86" i="10"/>
  <c r="X86" i="10" s="1"/>
  <c r="G33" i="13"/>
  <c r="I33" i="13" s="1"/>
  <c r="Y33" i="13" s="1"/>
  <c r="K28" i="10"/>
  <c r="G156" i="13"/>
  <c r="I156" i="13" s="1"/>
  <c r="Y156" i="13" s="1"/>
  <c r="R31" i="7"/>
  <c r="G221" i="13"/>
  <c r="I221" i="13" s="1"/>
  <c r="Y221" i="13" s="1"/>
  <c r="AA43" i="10"/>
  <c r="AB43" i="10" s="1"/>
  <c r="U45" i="10" s="1"/>
  <c r="Y46" i="10" s="1"/>
  <c r="Z46" i="10" s="1"/>
  <c r="R34" i="11"/>
  <c r="R38" i="11"/>
  <c r="R48" i="11"/>
  <c r="R49" i="11"/>
  <c r="R44" i="11"/>
  <c r="AC16" i="13"/>
  <c r="R14" i="13"/>
  <c r="R8" i="13"/>
  <c r="AC17" i="13"/>
  <c r="AC14" i="13"/>
  <c r="AC15" i="13"/>
  <c r="D16" i="3"/>
  <c r="AC12" i="13"/>
  <c r="AC10" i="13"/>
  <c r="R7" i="13"/>
  <c r="AC8" i="13"/>
  <c r="AC18" i="13"/>
  <c r="AC11" i="13"/>
  <c r="AC9" i="13"/>
  <c r="C24" i="3"/>
  <c r="D24" i="3"/>
  <c r="AC13" i="13"/>
  <c r="C17" i="3"/>
  <c r="D17" i="3"/>
  <c r="AC7" i="13"/>
  <c r="C20" i="3"/>
  <c r="R19" i="13"/>
  <c r="R12" i="13"/>
  <c r="R16" i="13"/>
  <c r="R13" i="13"/>
  <c r="Y328" i="10"/>
  <c r="Z328" i="10" s="1"/>
  <c r="AA328" i="10" s="1"/>
  <c r="AB328" i="10" s="1"/>
  <c r="E114" i="7" s="1"/>
  <c r="Y327" i="10"/>
  <c r="Z327" i="10" s="1"/>
  <c r="Y326" i="10"/>
  <c r="Z326" i="10" s="1"/>
  <c r="Y70" i="10"/>
  <c r="Y69" i="10"/>
  <c r="Z69" i="10" s="1"/>
  <c r="T17" i="13"/>
  <c r="Y482" i="10"/>
  <c r="Z482" i="10" s="1"/>
  <c r="Y483" i="10"/>
  <c r="Y481" i="10"/>
  <c r="Z481" i="10" s="1"/>
  <c r="G229" i="13"/>
  <c r="I229" i="13" s="1"/>
  <c r="Y229" i="13" s="1"/>
  <c r="K477" i="10"/>
  <c r="Y18" i="10"/>
  <c r="Z18" i="10" s="1"/>
  <c r="Y17" i="10"/>
  <c r="Z471" i="10"/>
  <c r="G219" i="13"/>
  <c r="I219" i="13" s="1"/>
  <c r="Y219" i="13" s="1"/>
  <c r="K454" i="10"/>
  <c r="G208" i="13"/>
  <c r="I208" i="13" s="1"/>
  <c r="Y208" i="13" s="1"/>
  <c r="K429" i="10"/>
  <c r="G205" i="13"/>
  <c r="I205" i="13" s="1"/>
  <c r="Y205" i="13" s="1"/>
  <c r="K424" i="10"/>
  <c r="G136" i="13"/>
  <c r="I136" i="13" s="1"/>
  <c r="Y136" i="13" s="1"/>
  <c r="K272" i="10"/>
  <c r="G120" i="13"/>
  <c r="I120" i="13" s="1"/>
  <c r="Y120" i="13" s="1"/>
  <c r="K240" i="10"/>
  <c r="Y73" i="10"/>
  <c r="Z73" i="10" s="1"/>
  <c r="Y74" i="10"/>
  <c r="Z74" i="10" s="1"/>
  <c r="G41" i="13"/>
  <c r="I41" i="13" s="1"/>
  <c r="Y41" i="13" s="1"/>
  <c r="K43" i="10"/>
  <c r="H17" i="13"/>
  <c r="V17" i="13"/>
  <c r="G231" i="13"/>
  <c r="I231" i="13" s="1"/>
  <c r="Y231" i="13" s="1"/>
  <c r="K481" i="10"/>
  <c r="G183" i="13"/>
  <c r="I183" i="13" s="1"/>
  <c r="Y183" i="13" s="1"/>
  <c r="K368" i="10"/>
  <c r="Y276" i="10"/>
  <c r="Z276" i="10" s="1"/>
  <c r="Y277" i="10"/>
  <c r="G131" i="13"/>
  <c r="I131" i="13" s="1"/>
  <c r="Y131" i="13" s="1"/>
  <c r="K263" i="10"/>
  <c r="G235" i="13"/>
  <c r="I235" i="13" s="1"/>
  <c r="Y235" i="13" s="1"/>
  <c r="K491" i="10"/>
  <c r="K208" i="10"/>
  <c r="G49" i="13"/>
  <c r="I49" i="13" s="1"/>
  <c r="Y49" i="13" s="1"/>
  <c r="K59" i="10"/>
  <c r="G153" i="13"/>
  <c r="I153" i="13" s="1"/>
  <c r="Y153" i="13" s="1"/>
  <c r="K306" i="10"/>
  <c r="Y51" i="10"/>
  <c r="Z51" i="10" s="1"/>
  <c r="Y52" i="10"/>
  <c r="G64" i="13"/>
  <c r="I64" i="13" s="1"/>
  <c r="Y64" i="13" s="1"/>
  <c r="K90" i="10"/>
  <c r="G28" i="13"/>
  <c r="I28" i="13" s="1"/>
  <c r="Y28" i="13" s="1"/>
  <c r="K18" i="10"/>
  <c r="R10" i="13"/>
  <c r="T10" i="13"/>
  <c r="K204" i="10"/>
  <c r="K184" i="10"/>
  <c r="K176" i="10"/>
  <c r="J19" i="12"/>
  <c r="K19" i="12" s="1"/>
  <c r="G236" i="13"/>
  <c r="I236" i="13" s="1"/>
  <c r="Y236" i="13" s="1"/>
  <c r="K494" i="10"/>
  <c r="O12" i="13"/>
  <c r="G222" i="13"/>
  <c r="I222" i="13" s="1"/>
  <c r="Y222" i="13" s="1"/>
  <c r="K460" i="10"/>
  <c r="G163" i="13"/>
  <c r="I163" i="13" s="1"/>
  <c r="Y163" i="13" s="1"/>
  <c r="K326" i="10"/>
  <c r="G133" i="13"/>
  <c r="I133" i="13" s="1"/>
  <c r="Y133" i="13" s="1"/>
  <c r="K266" i="10"/>
  <c r="G139" i="13"/>
  <c r="I139" i="13" s="1"/>
  <c r="Y139" i="13" s="1"/>
  <c r="G112" i="13"/>
  <c r="I112" i="13" s="1"/>
  <c r="Y112" i="13" s="1"/>
  <c r="K222" i="10"/>
  <c r="AA104" i="10"/>
  <c r="AB104" i="10" s="1"/>
  <c r="U106" i="10" s="1"/>
  <c r="AA68" i="10"/>
  <c r="AB68" i="10" s="1"/>
  <c r="U99" i="10" s="1"/>
  <c r="G199" i="13"/>
  <c r="I199" i="13" s="1"/>
  <c r="Y199" i="13" s="1"/>
  <c r="K408" i="10"/>
  <c r="AA410" i="10"/>
  <c r="AB410" i="10" s="1"/>
  <c r="U413" i="10" s="1"/>
  <c r="G151" i="13"/>
  <c r="I151" i="13" s="1"/>
  <c r="Y151" i="13" s="1"/>
  <c r="K302" i="10"/>
  <c r="G122" i="13"/>
  <c r="I122" i="13" s="1"/>
  <c r="Y122" i="13" s="1"/>
  <c r="K244" i="10"/>
  <c r="G113" i="13"/>
  <c r="I113" i="13" s="1"/>
  <c r="Y113" i="13" s="1"/>
  <c r="K224" i="10"/>
  <c r="AA306" i="10"/>
  <c r="AB306" i="10" s="1"/>
  <c r="U308" i="10" s="1"/>
  <c r="G149" i="13"/>
  <c r="I149" i="13" s="1"/>
  <c r="Y149" i="13" s="1"/>
  <c r="G89" i="13"/>
  <c r="I89" i="13" s="1"/>
  <c r="Y89" i="13" s="1"/>
  <c r="K140" i="10"/>
  <c r="Y89" i="10"/>
  <c r="Y88" i="10"/>
  <c r="Z88" i="10" s="1"/>
  <c r="G48" i="13"/>
  <c r="I48" i="13" s="1"/>
  <c r="Y48" i="13" s="1"/>
  <c r="AA348" i="10"/>
  <c r="AB348" i="10" s="1"/>
  <c r="U350" i="10" s="1"/>
  <c r="AA347" i="10"/>
  <c r="AB347" i="10" s="1"/>
  <c r="U349" i="10" s="1"/>
  <c r="G207" i="13"/>
  <c r="I207" i="13" s="1"/>
  <c r="Y207" i="13" s="1"/>
  <c r="K427" i="10"/>
  <c r="G184" i="13"/>
  <c r="I184" i="13" s="1"/>
  <c r="Y184" i="13" s="1"/>
  <c r="K371" i="10"/>
  <c r="K164" i="10"/>
  <c r="G66" i="13"/>
  <c r="I66" i="13" s="1"/>
  <c r="Y66" i="13" s="1"/>
  <c r="K94" i="10"/>
  <c r="W7" i="10"/>
  <c r="X7" i="10" s="1"/>
  <c r="W13" i="10"/>
  <c r="W10" i="10"/>
  <c r="W12" i="10"/>
  <c r="X12" i="10" s="1"/>
  <c r="J12" i="10" s="1"/>
  <c r="M12" i="10" s="1"/>
  <c r="N12" i="10" s="1"/>
  <c r="W9" i="10"/>
  <c r="X9" i="10" s="1"/>
  <c r="J9" i="10" s="1"/>
  <c r="M9" i="10" s="1"/>
  <c r="N9" i="10" s="1"/>
  <c r="W14" i="10"/>
  <c r="X14" i="10" s="1"/>
  <c r="J14" i="10" s="1"/>
  <c r="M14" i="10" s="1"/>
  <c r="N14" i="10" s="1"/>
  <c r="W8" i="10"/>
  <c r="W11" i="10"/>
  <c r="X11" i="10" s="1"/>
  <c r="J11" i="10" s="1"/>
  <c r="M11" i="10" s="1"/>
  <c r="N11" i="10" s="1"/>
  <c r="T11" i="13"/>
  <c r="B17" i="5" s="1"/>
  <c r="R11" i="13"/>
  <c r="J18" i="12"/>
  <c r="K18" i="12" s="1"/>
  <c r="AN12" i="13" s="1"/>
  <c r="AA358" i="10"/>
  <c r="AB358" i="10" s="1"/>
  <c r="U459" i="10" s="1"/>
  <c r="AA357" i="10"/>
  <c r="AB357" i="10" s="1"/>
  <c r="U490" i="10" s="1"/>
  <c r="G188" i="13"/>
  <c r="I188" i="13" s="1"/>
  <c r="Y188" i="13" s="1"/>
  <c r="K384" i="10"/>
  <c r="K200" i="10"/>
  <c r="G135" i="13"/>
  <c r="I135" i="13" s="1"/>
  <c r="Y135" i="13" s="1"/>
  <c r="K196" i="10"/>
  <c r="G58" i="13"/>
  <c r="I58" i="13" s="1"/>
  <c r="Y58" i="13" s="1"/>
  <c r="K77" i="10"/>
  <c r="G226" i="13"/>
  <c r="I226" i="13" s="1"/>
  <c r="Y226" i="13" s="1"/>
  <c r="K468" i="10"/>
  <c r="K192" i="10"/>
  <c r="G32" i="13"/>
  <c r="I32" i="13" s="1"/>
  <c r="Y32" i="13" s="1"/>
  <c r="G175" i="13"/>
  <c r="I175" i="13" s="1"/>
  <c r="Y175" i="13" s="1"/>
  <c r="K351" i="10"/>
  <c r="G194" i="13"/>
  <c r="I194" i="13" s="1"/>
  <c r="Y194" i="13" s="1"/>
  <c r="K398" i="10"/>
  <c r="R9" i="13"/>
  <c r="G187" i="13"/>
  <c r="I187" i="13" s="1"/>
  <c r="Y187" i="13" s="1"/>
  <c r="K382" i="10"/>
  <c r="G170" i="13"/>
  <c r="I170" i="13" s="1"/>
  <c r="Y170" i="13" s="1"/>
  <c r="K341" i="10"/>
  <c r="G160" i="13"/>
  <c r="I160" i="13" s="1"/>
  <c r="Y160" i="13" s="1"/>
  <c r="K321" i="10"/>
  <c r="K212" i="10"/>
  <c r="AA126" i="10"/>
  <c r="AB126" i="10" s="1"/>
  <c r="U134" i="10" s="1"/>
  <c r="AA127" i="10"/>
  <c r="AB127" i="10" s="1"/>
  <c r="U151" i="10" s="1"/>
  <c r="AA480" i="10"/>
  <c r="AB480" i="10" s="1"/>
  <c r="U483" i="10" s="1"/>
  <c r="G206" i="13"/>
  <c r="I206" i="13" s="1"/>
  <c r="Y206" i="13" s="1"/>
  <c r="K426" i="10"/>
  <c r="G162" i="13"/>
  <c r="I162" i="13" s="1"/>
  <c r="Y162" i="13" s="1"/>
  <c r="K324" i="10"/>
  <c r="G54" i="13"/>
  <c r="I54" i="13" s="1"/>
  <c r="Y54" i="13" s="1"/>
  <c r="K69" i="10"/>
  <c r="AA9" i="10"/>
  <c r="AB9" i="10" s="1"/>
  <c r="I111" i="7" s="1"/>
  <c r="G227" i="13"/>
  <c r="I227" i="13" s="1"/>
  <c r="Y227" i="13" s="1"/>
  <c r="K470" i="10"/>
  <c r="G228" i="13"/>
  <c r="I228" i="13" s="1"/>
  <c r="Y228" i="13" s="1"/>
  <c r="K473" i="10"/>
  <c r="G186" i="13"/>
  <c r="I186" i="13" s="1"/>
  <c r="Y186" i="13" s="1"/>
  <c r="K380" i="10"/>
  <c r="G147" i="13"/>
  <c r="I147" i="13" s="1"/>
  <c r="Y147" i="13" s="1"/>
  <c r="K295" i="10"/>
  <c r="G117" i="13"/>
  <c r="I117" i="13" s="1"/>
  <c r="Y117" i="13" s="1"/>
  <c r="K234" i="10"/>
  <c r="G134" i="13"/>
  <c r="I134" i="13" s="1"/>
  <c r="Y134" i="13" s="1"/>
  <c r="K268" i="10"/>
  <c r="K180" i="10"/>
  <c r="G26" i="13"/>
  <c r="I26" i="13" s="1"/>
  <c r="Y26" i="13" s="1"/>
  <c r="K7" i="10"/>
  <c r="G234" i="13"/>
  <c r="I234" i="13" s="1"/>
  <c r="Y234" i="13" s="1"/>
  <c r="K490" i="10"/>
  <c r="AA338" i="10"/>
  <c r="AB338" i="10" s="1"/>
  <c r="U472" i="10" s="1"/>
  <c r="G144" i="13"/>
  <c r="I144" i="13" s="1"/>
  <c r="Y144" i="13" s="1"/>
  <c r="K288" i="10"/>
  <c r="AA50" i="10"/>
  <c r="AB50" i="10" s="1"/>
  <c r="U52" i="10" s="1"/>
  <c r="G25" i="13"/>
  <c r="K4" i="10"/>
  <c r="Y413" i="10"/>
  <c r="Y412" i="10"/>
  <c r="Z412" i="10" s="1"/>
  <c r="G200" i="13"/>
  <c r="I200" i="13" s="1"/>
  <c r="Y200" i="13" s="1"/>
  <c r="K410" i="10"/>
  <c r="G155" i="13"/>
  <c r="I155" i="13" s="1"/>
  <c r="Y155" i="13" s="1"/>
  <c r="K310" i="10"/>
  <c r="G178" i="13"/>
  <c r="I178" i="13" s="1"/>
  <c r="Y178" i="13" s="1"/>
  <c r="K357" i="10"/>
  <c r="G217" i="13"/>
  <c r="I217" i="13" s="1"/>
  <c r="Y217" i="13" s="1"/>
  <c r="K450" i="10"/>
  <c r="G138" i="13"/>
  <c r="I138" i="13" s="1"/>
  <c r="Y138" i="13" s="1"/>
  <c r="K276" i="10"/>
  <c r="G42" i="13"/>
  <c r="I42" i="13" s="1"/>
  <c r="Y42" i="13" s="1"/>
  <c r="K45" i="10"/>
  <c r="T15" i="13"/>
  <c r="R15" i="13"/>
  <c r="G216" i="13"/>
  <c r="I216" i="13" s="1"/>
  <c r="Y216" i="13" s="1"/>
  <c r="G123" i="13"/>
  <c r="I123" i="13" s="1"/>
  <c r="Y123" i="13" s="1"/>
  <c r="K246" i="10"/>
  <c r="K168" i="10"/>
  <c r="AC20" i="13"/>
  <c r="AC19" i="13"/>
  <c r="A11" i="9" l="1"/>
  <c r="AI20" i="13"/>
  <c r="W20" i="13"/>
  <c r="F100" i="7"/>
  <c r="AA138" i="10"/>
  <c r="AB138" i="10" s="1"/>
  <c r="D123" i="7" s="1"/>
  <c r="O18" i="12"/>
  <c r="AN7" i="13"/>
  <c r="Z660" i="10"/>
  <c r="Z662" i="10"/>
  <c r="AA662" i="10" s="1"/>
  <c r="AB662" i="10" s="1"/>
  <c r="Z651" i="10"/>
  <c r="D13" i="3"/>
  <c r="C13" i="3"/>
  <c r="Y76" i="10"/>
  <c r="Y25" i="10"/>
  <c r="Z25" i="10" s="1"/>
  <c r="AA25" i="10" s="1"/>
  <c r="AB25" i="10" s="1"/>
  <c r="U27" i="10" s="1"/>
  <c r="J4" i="10"/>
  <c r="M4" i="10" s="1"/>
  <c r="Z277" i="10"/>
  <c r="AA277" i="10" s="1"/>
  <c r="AB277" i="10" s="1"/>
  <c r="U365" i="10" s="1"/>
  <c r="AA128" i="10"/>
  <c r="AB128" i="10" s="1"/>
  <c r="U136" i="10" s="1"/>
  <c r="Y137" i="10" s="1"/>
  <c r="U533" i="10"/>
  <c r="Y31" i="10"/>
  <c r="Z31" i="10" s="1"/>
  <c r="P111" i="7"/>
  <c r="B15" i="3" s="1"/>
  <c r="D15" i="3" s="1"/>
  <c r="Z32" i="10"/>
  <c r="AA31" i="10" s="1"/>
  <c r="AB31" i="10" s="1"/>
  <c r="U33" i="10" s="1"/>
  <c r="Y498" i="10"/>
  <c r="Z498" i="10" s="1"/>
  <c r="Y497" i="10"/>
  <c r="Z497" i="10" s="1"/>
  <c r="AA497" i="10" s="1"/>
  <c r="AB497" i="10" s="1"/>
  <c r="Z17" i="10"/>
  <c r="AA17" i="10" s="1"/>
  <c r="AB17" i="10" s="1"/>
  <c r="U19" i="10" s="1"/>
  <c r="Y424" i="10"/>
  <c r="Z424" i="10" s="1"/>
  <c r="A7" i="9"/>
  <c r="Y487" i="10"/>
  <c r="Z487" i="10" s="1"/>
  <c r="Y421" i="10"/>
  <c r="Z421" i="10" s="1"/>
  <c r="AA421" i="10" s="1"/>
  <c r="AB421" i="10" s="1"/>
  <c r="B122" i="7" s="1"/>
  <c r="Y423" i="10"/>
  <c r="Z423" i="10" s="1"/>
  <c r="AA423" i="10" s="1"/>
  <c r="AB423" i="10" s="1"/>
  <c r="H122" i="7" s="1"/>
  <c r="Z89" i="10"/>
  <c r="AA89" i="10" s="1"/>
  <c r="AB89" i="10" s="1"/>
  <c r="U116" i="10" s="1"/>
  <c r="Y422" i="10"/>
  <c r="Z422" i="10" s="1"/>
  <c r="AA422" i="10" s="1"/>
  <c r="AB422" i="10" s="1"/>
  <c r="I122" i="7" s="1"/>
  <c r="Y164" i="10"/>
  <c r="Z164" i="10" s="1"/>
  <c r="Z413" i="10"/>
  <c r="AA412" i="10" s="1"/>
  <c r="AB412" i="10" s="1"/>
  <c r="U415" i="10" s="1"/>
  <c r="Y336" i="10"/>
  <c r="Z336" i="10" s="1"/>
  <c r="AA335" i="10" s="1"/>
  <c r="AB335" i="10" s="1"/>
  <c r="Y167" i="10"/>
  <c r="Y166" i="10"/>
  <c r="Y238" i="10"/>
  <c r="Z238" i="10" s="1"/>
  <c r="AA238" i="10" s="1"/>
  <c r="AB238" i="10" s="1"/>
  <c r="U257" i="10" s="1"/>
  <c r="Y45" i="10"/>
  <c r="Z45" i="10" s="1"/>
  <c r="Y239" i="10"/>
  <c r="Z239" i="10" s="1"/>
  <c r="AA239" i="10" s="1"/>
  <c r="AB239" i="10" s="1"/>
  <c r="U285" i="10" s="1"/>
  <c r="Y284" i="10" s="1"/>
  <c r="AA482" i="10"/>
  <c r="AB482" i="10" s="1"/>
  <c r="U485" i="10" s="1"/>
  <c r="Y350" i="10"/>
  <c r="Z350" i="10" s="1"/>
  <c r="Y349" i="10"/>
  <c r="Z349" i="10" s="1"/>
  <c r="AA420" i="10"/>
  <c r="AB420" i="10" s="1"/>
  <c r="G122" i="7" s="1"/>
  <c r="AA133" i="10"/>
  <c r="AB133" i="10" s="1"/>
  <c r="U148" i="10" s="1"/>
  <c r="AA132" i="10"/>
  <c r="AB132" i="10" s="1"/>
  <c r="U137" i="10" s="1"/>
  <c r="N48" i="13"/>
  <c r="N39" i="13"/>
  <c r="N46" i="13"/>
  <c r="N44" i="13"/>
  <c r="N47" i="13"/>
  <c r="N38" i="13"/>
  <c r="N36" i="13"/>
  <c r="N40" i="13"/>
  <c r="N45" i="13"/>
  <c r="N32" i="13"/>
  <c r="N30" i="13"/>
  <c r="N43" i="13"/>
  <c r="N42" i="13"/>
  <c r="N37" i="13"/>
  <c r="N28" i="13"/>
  <c r="N35" i="13"/>
  <c r="N26" i="13"/>
  <c r="N33" i="13"/>
  <c r="N41" i="13"/>
  <c r="N29" i="13"/>
  <c r="N27" i="13"/>
  <c r="N34" i="13"/>
  <c r="N31" i="13"/>
  <c r="H60" i="10"/>
  <c r="I25" i="13"/>
  <c r="M10" i="13"/>
  <c r="M9" i="13"/>
  <c r="M16" i="13"/>
  <c r="M8" i="13"/>
  <c r="M7" i="13"/>
  <c r="M13" i="13"/>
  <c r="M19" i="13"/>
  <c r="M17" i="13"/>
  <c r="M14" i="13"/>
  <c r="M11" i="13"/>
  <c r="M20" i="13"/>
  <c r="M15" i="13"/>
  <c r="M12" i="13"/>
  <c r="M18" i="13"/>
  <c r="Y459" i="10"/>
  <c r="Z459" i="10" s="1"/>
  <c r="Y458" i="10"/>
  <c r="Z458" i="10" s="1"/>
  <c r="C24" i="8"/>
  <c r="B24" i="8"/>
  <c r="A6" i="9"/>
  <c r="Y490" i="10"/>
  <c r="Z490" i="10" s="1"/>
  <c r="Y489" i="10"/>
  <c r="AA471" i="10"/>
  <c r="AB471" i="10" s="1"/>
  <c r="U474" i="10" s="1"/>
  <c r="L21" i="12"/>
  <c r="L18" i="12"/>
  <c r="L20" i="12"/>
  <c r="L22" i="12"/>
  <c r="O23" i="12"/>
  <c r="L19" i="12"/>
  <c r="Y140" i="10"/>
  <c r="Z140" i="10" s="1"/>
  <c r="Y141" i="10"/>
  <c r="R26" i="13"/>
  <c r="H15" i="10"/>
  <c r="AA456" i="10"/>
  <c r="AB456" i="10" s="1"/>
  <c r="G127" i="7" s="1"/>
  <c r="AA457" i="10"/>
  <c r="AB457" i="10" s="1"/>
  <c r="F127" i="7" s="1"/>
  <c r="Z472" i="10"/>
  <c r="AA472" i="10" s="1"/>
  <c r="AB472" i="10" s="1"/>
  <c r="U477" i="10" s="1"/>
  <c r="Y107" i="10"/>
  <c r="Z107" i="10" s="1"/>
  <c r="Y106" i="10"/>
  <c r="Z106" i="10" s="1"/>
  <c r="AA326" i="10"/>
  <c r="AB326" i="10" s="1"/>
  <c r="AA327" i="10"/>
  <c r="AB327" i="10" s="1"/>
  <c r="AA487" i="10"/>
  <c r="AB487" i="10" s="1"/>
  <c r="F114" i="7" s="1"/>
  <c r="AA488" i="10"/>
  <c r="AB488" i="10" s="1"/>
  <c r="H8" i="10"/>
  <c r="H13" i="10"/>
  <c r="Y308" i="10"/>
  <c r="Z308" i="10" s="1"/>
  <c r="Y309" i="10"/>
  <c r="Z309" i="10" s="1"/>
  <c r="Z483" i="10"/>
  <c r="AA483" i="10" s="1"/>
  <c r="AB483" i="10" s="1"/>
  <c r="U486" i="10" s="1"/>
  <c r="M29" i="13"/>
  <c r="M38" i="13"/>
  <c r="M36" i="13"/>
  <c r="M40" i="13"/>
  <c r="M32" i="13"/>
  <c r="M37" i="13"/>
  <c r="M39" i="13"/>
  <c r="M28" i="13"/>
  <c r="M35" i="13"/>
  <c r="M41" i="13"/>
  <c r="M33" i="13"/>
  <c r="M26" i="13"/>
  <c r="M27" i="13"/>
  <c r="M34" i="13"/>
  <c r="M30" i="13"/>
  <c r="M31" i="13"/>
  <c r="H46" i="10"/>
  <c r="Y135" i="10"/>
  <c r="Z135" i="10" s="1"/>
  <c r="Y134" i="10"/>
  <c r="Z134" i="10" s="1"/>
  <c r="H128" i="10"/>
  <c r="Z52" i="10"/>
  <c r="AA74" i="10"/>
  <c r="AB74" i="10" s="1"/>
  <c r="U76" i="10" s="1"/>
  <c r="AA73" i="10"/>
  <c r="AB73" i="10" s="1"/>
  <c r="U382" i="10" s="1"/>
  <c r="AA46" i="10"/>
  <c r="AB46" i="10" s="1"/>
  <c r="AA45" i="10"/>
  <c r="AB45" i="10" s="1"/>
  <c r="U47" i="10" s="1"/>
  <c r="Z76" i="10" l="1"/>
  <c r="AA32" i="10"/>
  <c r="AB32" i="10" s="1"/>
  <c r="U34" i="10" s="1"/>
  <c r="AA661" i="10"/>
  <c r="AB661" i="10" s="1"/>
  <c r="U664" i="10" s="1"/>
  <c r="AA660" i="10"/>
  <c r="AB660" i="10" s="1"/>
  <c r="U663" i="10" s="1"/>
  <c r="Y136" i="10"/>
  <c r="Z136" i="10" s="1"/>
  <c r="AA276" i="10"/>
  <c r="AB276" i="10" s="1"/>
  <c r="U364" i="10" s="1"/>
  <c r="U665" i="10"/>
  <c r="AA651" i="10"/>
  <c r="AB651" i="10" s="1"/>
  <c r="U654" i="10" s="1"/>
  <c r="AA650" i="10"/>
  <c r="AB650" i="10" s="1"/>
  <c r="U653" i="10" s="1"/>
  <c r="AA649" i="10"/>
  <c r="AB649" i="10" s="1"/>
  <c r="U652" i="10" s="1"/>
  <c r="AA26" i="10"/>
  <c r="AB26" i="10" s="1"/>
  <c r="U28" i="10" s="1"/>
  <c r="Y27" i="10" s="1"/>
  <c r="Z27" i="10" s="1"/>
  <c r="AA18" i="10"/>
  <c r="AB18" i="10" s="1"/>
  <c r="U20" i="10" s="1"/>
  <c r="Y19" i="10" s="1"/>
  <c r="Z19" i="10" s="1"/>
  <c r="U581" i="10"/>
  <c r="U579" i="10"/>
  <c r="U578" i="10"/>
  <c r="Y533" i="10"/>
  <c r="Z533" i="10" s="1"/>
  <c r="Y534" i="10"/>
  <c r="Z534" i="10" s="1"/>
  <c r="AA534" i="10" s="1"/>
  <c r="AB534" i="10" s="1"/>
  <c r="Y535" i="10"/>
  <c r="Z535" i="10" s="1"/>
  <c r="AA535" i="10" s="1"/>
  <c r="AB535" i="10" s="1"/>
  <c r="Y536" i="10"/>
  <c r="Z536" i="10" s="1"/>
  <c r="AA536" i="10" s="1"/>
  <c r="AB536" i="10" s="1"/>
  <c r="J125" i="7" s="1"/>
  <c r="U522" i="10"/>
  <c r="C15" i="3"/>
  <c r="H13" i="5"/>
  <c r="H26" i="5"/>
  <c r="AA336" i="10"/>
  <c r="AB336" i="10" s="1"/>
  <c r="AA498" i="10"/>
  <c r="AB498" i="10" s="1"/>
  <c r="U500" i="10" s="1"/>
  <c r="AA88" i="10"/>
  <c r="AB88" i="10" s="1"/>
  <c r="U91" i="10" s="1"/>
  <c r="Z91" i="10" s="1"/>
  <c r="U499" i="10"/>
  <c r="AA413" i="10"/>
  <c r="AB413" i="10" s="1"/>
  <c r="U414" i="10" s="1"/>
  <c r="Y415" i="10" s="1"/>
  <c r="Z415" i="10" s="1"/>
  <c r="Z137" i="10"/>
  <c r="AA137" i="10" s="1"/>
  <c r="AB137" i="10" s="1"/>
  <c r="U141" i="10" s="1"/>
  <c r="AA237" i="10"/>
  <c r="AB237" i="10" s="1"/>
  <c r="U254" i="10" s="1"/>
  <c r="Y255" i="10" s="1"/>
  <c r="Z255" i="10" s="1"/>
  <c r="AA424" i="10"/>
  <c r="AB424" i="10" s="1"/>
  <c r="F122" i="7" s="1"/>
  <c r="P122" i="7" s="1"/>
  <c r="B26" i="3" s="1"/>
  <c r="C26" i="3" s="1"/>
  <c r="Y285" i="10"/>
  <c r="Z285" i="10" s="1"/>
  <c r="Y476" i="10"/>
  <c r="Y475" i="10"/>
  <c r="Y477" i="10"/>
  <c r="Z477" i="10" s="1"/>
  <c r="Y486" i="10"/>
  <c r="Z486" i="10" s="1"/>
  <c r="Y484" i="10"/>
  <c r="Y485" i="10"/>
  <c r="Z485" i="10" s="1"/>
  <c r="AA485" i="10" s="1"/>
  <c r="AB485" i="10" s="1"/>
  <c r="N128" i="7" s="1"/>
  <c r="N4" i="10"/>
  <c r="AA309" i="10"/>
  <c r="AB309" i="10" s="1"/>
  <c r="U311" i="10" s="1"/>
  <c r="AA308" i="10"/>
  <c r="AB308" i="10" s="1"/>
  <c r="U310" i="10" s="1"/>
  <c r="Y117" i="10"/>
  <c r="Y116" i="10"/>
  <c r="Z116" i="10" s="1"/>
  <c r="AA349" i="10"/>
  <c r="AB349" i="10" s="1"/>
  <c r="U351" i="10" s="1"/>
  <c r="AA350" i="10"/>
  <c r="AB350" i="10" s="1"/>
  <c r="I126" i="7" s="1"/>
  <c r="AA459" i="10"/>
  <c r="AB459" i="10" s="1"/>
  <c r="U461" i="10" s="1"/>
  <c r="AA458" i="10"/>
  <c r="AB458" i="10" s="1"/>
  <c r="U460" i="10" s="1"/>
  <c r="P127" i="7"/>
  <c r="B31" i="3" s="1"/>
  <c r="AA135" i="10"/>
  <c r="AB135" i="10" s="1"/>
  <c r="U158" i="10" s="1"/>
  <c r="AA134" i="10"/>
  <c r="AB134" i="10" s="1"/>
  <c r="U150" i="10" s="1"/>
  <c r="AA107" i="10"/>
  <c r="AB107" i="10" s="1"/>
  <c r="U109" i="10" s="1"/>
  <c r="AA106" i="10"/>
  <c r="AB106" i="10" s="1"/>
  <c r="U108" i="10" s="1"/>
  <c r="AA481" i="10"/>
  <c r="AB481" i="10" s="1"/>
  <c r="U484" i="10" s="1"/>
  <c r="Y48" i="10"/>
  <c r="Y47" i="10"/>
  <c r="Z47" i="10" s="1"/>
  <c r="Y382" i="10"/>
  <c r="Z382" i="10" s="1"/>
  <c r="Y381" i="10"/>
  <c r="V13" i="10"/>
  <c r="X13" i="10" s="1"/>
  <c r="J13" i="10" s="1"/>
  <c r="M13" i="10" s="1"/>
  <c r="N13" i="10" s="1"/>
  <c r="Q13" i="10"/>
  <c r="V15" i="10"/>
  <c r="AA470" i="10"/>
  <c r="AB470" i="10" s="1"/>
  <c r="U473" i="10" s="1"/>
  <c r="B29" i="8"/>
  <c r="A9" i="9"/>
  <c r="Y148" i="10"/>
  <c r="Z148" i="10" s="1"/>
  <c r="Y150" i="10"/>
  <c r="Y149" i="10"/>
  <c r="Z149" i="10" s="1"/>
  <c r="Y151" i="10"/>
  <c r="Z151" i="10" s="1"/>
  <c r="AA151" i="10" s="1"/>
  <c r="AB151" i="10" s="1"/>
  <c r="U173" i="10" s="1"/>
  <c r="V46" i="10"/>
  <c r="AA52" i="10"/>
  <c r="AB52" i="10" s="1"/>
  <c r="U54" i="10" s="1"/>
  <c r="AA51" i="10"/>
  <c r="AB51" i="10" s="1"/>
  <c r="U53" i="10" s="1"/>
  <c r="V8" i="10"/>
  <c r="X8" i="10" s="1"/>
  <c r="Q8" i="10"/>
  <c r="Y256" i="10"/>
  <c r="Z256" i="10" s="1"/>
  <c r="Y257" i="10"/>
  <c r="Z257" i="10" s="1"/>
  <c r="P128" i="10"/>
  <c r="Q128" i="10" s="1"/>
  <c r="P129" i="10"/>
  <c r="V128" i="10"/>
  <c r="E11" i="8"/>
  <c r="D8" i="8"/>
  <c r="E12" i="8"/>
  <c r="D9" i="8"/>
  <c r="C6" i="8"/>
  <c r="F20" i="8" s="1"/>
  <c r="D11" i="8"/>
  <c r="F7" i="8"/>
  <c r="C11" i="8"/>
  <c r="E7" i="8"/>
  <c r="B11" i="8"/>
  <c r="D7" i="8"/>
  <c r="F10" i="8"/>
  <c r="C7" i="8"/>
  <c r="E10" i="8"/>
  <c r="B7" i="8"/>
  <c r="D10" i="8"/>
  <c r="F6" i="8"/>
  <c r="E20" i="8" s="1"/>
  <c r="F13" i="8"/>
  <c r="C10" i="8"/>
  <c r="E6" i="8"/>
  <c r="B20" i="8" s="1"/>
  <c r="E13" i="8"/>
  <c r="B10" i="8"/>
  <c r="D6" i="8"/>
  <c r="D20" i="8" s="1"/>
  <c r="D13" i="8"/>
  <c r="F9" i="8"/>
  <c r="B6" i="8"/>
  <c r="C20" i="8" s="1"/>
  <c r="C13" i="8"/>
  <c r="E9" i="8"/>
  <c r="B13" i="8"/>
  <c r="C9" i="8"/>
  <c r="F12" i="8"/>
  <c r="B9" i="8"/>
  <c r="D12" i="8"/>
  <c r="F8" i="8"/>
  <c r="C12" i="8"/>
  <c r="E8" i="8"/>
  <c r="B12" i="8"/>
  <c r="C8" i="8"/>
  <c r="F11" i="8"/>
  <c r="B8" i="8"/>
  <c r="Y25" i="13"/>
  <c r="Y33" i="10"/>
  <c r="Z33" i="10" s="1"/>
  <c r="Y34" i="10"/>
  <c r="V60" i="10"/>
  <c r="Z34" i="10" l="1"/>
  <c r="AA75" i="10"/>
  <c r="AB75" i="10" s="1"/>
  <c r="U381" i="10" s="1"/>
  <c r="Z381" i="10" s="1"/>
  <c r="AA381" i="10" s="1"/>
  <c r="AB381" i="10" s="1"/>
  <c r="U383" i="10" s="1"/>
  <c r="AA76" i="10"/>
  <c r="AB76" i="10" s="1"/>
  <c r="D121" i="7" s="1"/>
  <c r="Y364" i="10"/>
  <c r="Z364" i="10" s="1"/>
  <c r="Y365" i="10"/>
  <c r="Z365" i="10" s="1"/>
  <c r="Y28" i="10"/>
  <c r="Z28" i="10" s="1"/>
  <c r="Y665" i="10"/>
  <c r="Z665" i="10" s="1"/>
  <c r="AA665" i="10" s="1"/>
  <c r="AB665" i="10" s="1"/>
  <c r="Y663" i="10"/>
  <c r="Z663" i="10" s="1"/>
  <c r="Y664" i="10"/>
  <c r="Z664" i="10" s="1"/>
  <c r="Y653" i="10"/>
  <c r="Z653" i="10" s="1"/>
  <c r="AA653" i="10" s="1"/>
  <c r="AB653" i="10" s="1"/>
  <c r="H128" i="7" s="1"/>
  <c r="Y654" i="10"/>
  <c r="Z654" i="10" s="1"/>
  <c r="Y652" i="10"/>
  <c r="Z652" i="10" s="1"/>
  <c r="AA652" i="10" s="1"/>
  <c r="AB652" i="10" s="1"/>
  <c r="L128" i="7" s="1"/>
  <c r="Y20" i="10"/>
  <c r="Z20" i="10" s="1"/>
  <c r="Y580" i="10"/>
  <c r="Z580" i="10" s="1"/>
  <c r="AA580" i="10" s="1"/>
  <c r="AB580" i="10" s="1"/>
  <c r="L114" i="7" s="1"/>
  <c r="Y578" i="10"/>
  <c r="Z578" i="10" s="1"/>
  <c r="Y581" i="10"/>
  <c r="Z581" i="10" s="1"/>
  <c r="AA581" i="10" s="1"/>
  <c r="AB581" i="10" s="1"/>
  <c r="I114" i="7" s="1"/>
  <c r="Y579" i="10"/>
  <c r="Z579" i="10" s="1"/>
  <c r="AA579" i="10" s="1"/>
  <c r="AB579" i="10" s="1"/>
  <c r="B114" i="7" s="1"/>
  <c r="U573" i="10"/>
  <c r="U572" i="10"/>
  <c r="AA533" i="10"/>
  <c r="AB533" i="10" s="1"/>
  <c r="U519" i="10"/>
  <c r="H21" i="5"/>
  <c r="AA136" i="10"/>
  <c r="AB136" i="10" s="1"/>
  <c r="U142" i="10" s="1"/>
  <c r="Y143" i="10" s="1"/>
  <c r="Y254" i="10"/>
  <c r="Z254" i="10" s="1"/>
  <c r="Y499" i="10"/>
  <c r="Z499" i="10" s="1"/>
  <c r="Y500" i="10"/>
  <c r="Z500" i="10" s="1"/>
  <c r="Y414" i="10"/>
  <c r="Z414" i="10" s="1"/>
  <c r="D26" i="3"/>
  <c r="Z141" i="10"/>
  <c r="Z484" i="10"/>
  <c r="J8" i="10"/>
  <c r="M8" i="10" s="1"/>
  <c r="N8" i="10" s="1"/>
  <c r="H68" i="10"/>
  <c r="Y311" i="10"/>
  <c r="Z311" i="10" s="1"/>
  <c r="Y310" i="10"/>
  <c r="Z310" i="10" s="1"/>
  <c r="Z150" i="10"/>
  <c r="W129" i="10"/>
  <c r="W128" i="10"/>
  <c r="X128" i="10" s="1"/>
  <c r="AA91" i="10"/>
  <c r="AB91" i="10" s="1"/>
  <c r="U117" i="10" s="1"/>
  <c r="Z117" i="10" s="1"/>
  <c r="AA90" i="10"/>
  <c r="AB90" i="10" s="1"/>
  <c r="U235" i="10" s="1"/>
  <c r="Y461" i="10"/>
  <c r="Z461" i="10" s="1"/>
  <c r="Y460" i="10"/>
  <c r="Z460" i="10" s="1"/>
  <c r="AA27" i="10"/>
  <c r="AB27" i="10" s="1"/>
  <c r="U58" i="10" s="1"/>
  <c r="AA28" i="10"/>
  <c r="AB28" i="10" s="1"/>
  <c r="U286" i="10" s="1"/>
  <c r="C31" i="3"/>
  <c r="D31" i="3"/>
  <c r="Y54" i="10"/>
  <c r="Z54" i="10" s="1"/>
  <c r="Y53" i="10"/>
  <c r="Z53" i="10" s="1"/>
  <c r="AA20" i="10"/>
  <c r="AB20" i="10" s="1"/>
  <c r="U22" i="10" s="1"/>
  <c r="AA19" i="10"/>
  <c r="AB19" i="10" s="1"/>
  <c r="U21" i="10" s="1"/>
  <c r="O25" i="13"/>
  <c r="H10" i="10"/>
  <c r="AA415" i="10"/>
  <c r="AB415" i="10" s="1"/>
  <c r="U418" i="10" s="1"/>
  <c r="AA414" i="10"/>
  <c r="AB414" i="10" s="1"/>
  <c r="U416" i="10" s="1"/>
  <c r="Y474" i="10"/>
  <c r="Z474" i="10" s="1"/>
  <c r="Y473" i="10"/>
  <c r="Z473" i="10" s="1"/>
  <c r="Y352" i="10"/>
  <c r="Z352" i="10" s="1"/>
  <c r="Y351" i="10"/>
  <c r="Z351" i="10" s="1"/>
  <c r="AA254" i="10"/>
  <c r="AB254" i="10" s="1"/>
  <c r="U291" i="10" s="1"/>
  <c r="AA255" i="10"/>
  <c r="AB255" i="10" s="1"/>
  <c r="F118" i="7" s="1"/>
  <c r="E27" i="9" s="1"/>
  <c r="AA256" i="10"/>
  <c r="AB256" i="10" s="1"/>
  <c r="U258" i="10" s="1"/>
  <c r="AA257" i="10"/>
  <c r="AB257" i="10" s="1"/>
  <c r="U259" i="10" s="1"/>
  <c r="Y108" i="10"/>
  <c r="Z108" i="10" s="1"/>
  <c r="Y109" i="10"/>
  <c r="Z109" i="10" s="1"/>
  <c r="AA34" i="10" l="1"/>
  <c r="AB34" i="10" s="1"/>
  <c r="U81" i="10" s="1"/>
  <c r="AA33" i="10"/>
  <c r="AB33" i="10" s="1"/>
  <c r="U57" i="10" s="1"/>
  <c r="AA365" i="10"/>
  <c r="AB365" i="10" s="1"/>
  <c r="U469" i="10" s="1"/>
  <c r="AA364" i="10"/>
  <c r="AB364" i="10" s="1"/>
  <c r="U468" i="10" s="1"/>
  <c r="AA663" i="10"/>
  <c r="AB663" i="10" s="1"/>
  <c r="U666" i="10" s="1"/>
  <c r="AA664" i="10"/>
  <c r="AB664" i="10" s="1"/>
  <c r="U667" i="10" s="1"/>
  <c r="U668" i="10"/>
  <c r="AA654" i="10"/>
  <c r="AB654" i="10" s="1"/>
  <c r="G128" i="7" s="1"/>
  <c r="Y142" i="10"/>
  <c r="Z142" i="10" s="1"/>
  <c r="AA578" i="10"/>
  <c r="AB578" i="10" s="1"/>
  <c r="G114" i="7" s="1"/>
  <c r="P114" i="7" s="1"/>
  <c r="B18" i="3" s="1"/>
  <c r="D18" i="3" s="1"/>
  <c r="U570" i="10"/>
  <c r="Y523" i="10"/>
  <c r="Y520" i="10"/>
  <c r="Z520" i="10" s="1"/>
  <c r="AA520" i="10" s="1"/>
  <c r="AB520" i="10" s="1"/>
  <c r="Y521" i="10"/>
  <c r="Z521" i="10" s="1"/>
  <c r="AA521" i="10" s="1"/>
  <c r="AB521" i="10" s="1"/>
  <c r="Y522" i="10"/>
  <c r="Z522" i="10" s="1"/>
  <c r="AA522" i="10" s="1"/>
  <c r="AB522" i="10" s="1"/>
  <c r="Y519" i="10"/>
  <c r="Z519" i="10" s="1"/>
  <c r="AA500" i="10"/>
  <c r="AB500" i="10" s="1"/>
  <c r="I129" i="7" s="1"/>
  <c r="AA499" i="10"/>
  <c r="AB499" i="10" s="1"/>
  <c r="F129" i="7" s="1"/>
  <c r="H28" i="5" s="1"/>
  <c r="AA382" i="10"/>
  <c r="AB382" i="10" s="1"/>
  <c r="U384" i="10" s="1"/>
  <c r="Y384" i="10" s="1"/>
  <c r="Z384" i="10" s="1"/>
  <c r="AA117" i="10"/>
  <c r="AB117" i="10" s="1"/>
  <c r="U221" i="10" s="1"/>
  <c r="AA116" i="10"/>
  <c r="AB116" i="10" s="1"/>
  <c r="U118" i="10" s="1"/>
  <c r="AA109" i="10"/>
  <c r="AB109" i="10" s="1"/>
  <c r="U121" i="10" s="1"/>
  <c r="AA108" i="10"/>
  <c r="AB108" i="10" s="1"/>
  <c r="U492" i="10" s="1"/>
  <c r="AA54" i="10"/>
  <c r="AB54" i="10" s="1"/>
  <c r="U56" i="10" s="1"/>
  <c r="AA53" i="10"/>
  <c r="AB53" i="10" s="1"/>
  <c r="U55" i="10" s="1"/>
  <c r="Y236" i="10"/>
  <c r="Z236" i="10" s="1"/>
  <c r="Y235" i="10"/>
  <c r="Z235" i="10" s="1"/>
  <c r="Y291" i="10"/>
  <c r="Z291" i="10" s="1"/>
  <c r="Y290" i="10"/>
  <c r="H16" i="10"/>
  <c r="Y258" i="10"/>
  <c r="Z258" i="10" s="1"/>
  <c r="Y259" i="10"/>
  <c r="Z259" i="10" s="1"/>
  <c r="AA311" i="10"/>
  <c r="AB311" i="10" s="1"/>
  <c r="U317" i="10" s="1"/>
  <c r="AA310" i="10"/>
  <c r="AB310" i="10" s="1"/>
  <c r="U316" i="10" s="1"/>
  <c r="Y419" i="10"/>
  <c r="Y418" i="10"/>
  <c r="Z418" i="10" s="1"/>
  <c r="AA150" i="10"/>
  <c r="AB150" i="10" s="1"/>
  <c r="U172" i="10" s="1"/>
  <c r="AA149" i="10"/>
  <c r="AB149" i="10" s="1"/>
  <c r="U155" i="10" s="1"/>
  <c r="AA148" i="10"/>
  <c r="AB148" i="10" s="1"/>
  <c r="U154" i="10" s="1"/>
  <c r="Y417" i="10"/>
  <c r="Y416" i="10"/>
  <c r="Z416" i="10" s="1"/>
  <c r="V10" i="10"/>
  <c r="X10" i="10" s="1"/>
  <c r="Q10" i="10"/>
  <c r="Y22" i="10"/>
  <c r="Z22" i="10" s="1"/>
  <c r="Y21" i="10"/>
  <c r="Z21" i="10" s="1"/>
  <c r="AA473" i="10"/>
  <c r="AB473" i="10" s="1"/>
  <c r="U475" i="10" s="1"/>
  <c r="AA474" i="10"/>
  <c r="AB474" i="10" s="1"/>
  <c r="U476" i="10" s="1"/>
  <c r="AA461" i="10"/>
  <c r="AB461" i="10" s="1"/>
  <c r="U463" i="10" s="1"/>
  <c r="AA460" i="10"/>
  <c r="AB460" i="10" s="1"/>
  <c r="U462" i="10" s="1"/>
  <c r="Y286" i="10"/>
  <c r="Z286" i="10" s="1"/>
  <c r="Y287" i="10"/>
  <c r="AA351" i="10"/>
  <c r="AB351" i="10" s="1"/>
  <c r="U353" i="10" s="1"/>
  <c r="AA352" i="10"/>
  <c r="AB352" i="10" s="1"/>
  <c r="U354" i="10" s="1"/>
  <c r="P68" i="10"/>
  <c r="Q68" i="10" s="1"/>
  <c r="P67" i="10"/>
  <c r="V68" i="10"/>
  <c r="AA484" i="10"/>
  <c r="AB484" i="10" s="1"/>
  <c r="AA486" i="10"/>
  <c r="AB486" i="10" s="1"/>
  <c r="M128" i="7" s="1"/>
  <c r="AA141" i="10"/>
  <c r="AB141" i="10" s="1"/>
  <c r="U143" i="10" s="1"/>
  <c r="Z143" i="10" s="1"/>
  <c r="AA140" i="10"/>
  <c r="AB140" i="10" s="1"/>
  <c r="U144" i="10" s="1"/>
  <c r="Y57" i="10" l="1"/>
  <c r="Z57" i="10" s="1"/>
  <c r="Y58" i="10"/>
  <c r="Z58" i="10" s="1"/>
  <c r="Y468" i="10"/>
  <c r="Z468" i="10" s="1"/>
  <c r="Y469" i="10"/>
  <c r="Z469" i="10" s="1"/>
  <c r="Y667" i="10"/>
  <c r="Z667" i="10" s="1"/>
  <c r="Y668" i="10"/>
  <c r="Z668" i="10" s="1"/>
  <c r="AA668" i="10" s="1"/>
  <c r="AB668" i="10" s="1"/>
  <c r="Y666" i="10"/>
  <c r="Z666" i="10" s="1"/>
  <c r="AA666" i="10" s="1"/>
  <c r="AB666" i="10" s="1"/>
  <c r="C18" i="3"/>
  <c r="Y573" i="10"/>
  <c r="Z573" i="10" s="1"/>
  <c r="AA573" i="10" s="1"/>
  <c r="AB573" i="10" s="1"/>
  <c r="Y571" i="10"/>
  <c r="Z571" i="10" s="1"/>
  <c r="AA571" i="10" s="1"/>
  <c r="AB571" i="10" s="1"/>
  <c r="L125" i="7" s="1"/>
  <c r="Y572" i="10"/>
  <c r="Z572" i="10" s="1"/>
  <c r="AA572" i="10" s="1"/>
  <c r="AB572" i="10" s="1"/>
  <c r="Y570" i="10"/>
  <c r="Z570" i="10" s="1"/>
  <c r="U527" i="10"/>
  <c r="U526" i="10"/>
  <c r="U525" i="10"/>
  <c r="U502" i="10"/>
  <c r="P129" i="7"/>
  <c r="B33" i="3" s="1"/>
  <c r="D33" i="3" s="1"/>
  <c r="Y383" i="10"/>
  <c r="Z383" i="10" s="1"/>
  <c r="AA384" i="10" s="1"/>
  <c r="AB384" i="10" s="1"/>
  <c r="U386" i="10" s="1"/>
  <c r="Z476" i="10"/>
  <c r="AA476" i="10" s="1"/>
  <c r="AB476" i="10" s="1"/>
  <c r="N107" i="7" s="1"/>
  <c r="Y316" i="10"/>
  <c r="Z316" i="10" s="1"/>
  <c r="Y317" i="10"/>
  <c r="Z317" i="10" s="1"/>
  <c r="AA235" i="10"/>
  <c r="AB235" i="10" s="1"/>
  <c r="U241" i="10" s="1"/>
  <c r="AA236" i="10"/>
  <c r="AB236" i="10" s="1"/>
  <c r="U417" i="10" s="1"/>
  <c r="AA258" i="10"/>
  <c r="AB258" i="10" s="1"/>
  <c r="U321" i="10" s="1"/>
  <c r="AA259" i="10"/>
  <c r="AB259" i="10" s="1"/>
  <c r="U284" i="10" s="1"/>
  <c r="Z475" i="10"/>
  <c r="W67" i="10"/>
  <c r="W68" i="10"/>
  <c r="X68" i="10" s="1"/>
  <c r="AA21" i="10"/>
  <c r="AB21" i="10" s="1"/>
  <c r="U36" i="10" s="1"/>
  <c r="AA22" i="10"/>
  <c r="AB22" i="10" s="1"/>
  <c r="U35" i="10" s="1"/>
  <c r="AA143" i="10"/>
  <c r="AB143" i="10" s="1"/>
  <c r="U145" i="10" s="1"/>
  <c r="AA142" i="10"/>
  <c r="AB142" i="10" s="1"/>
  <c r="U146" i="10" s="1"/>
  <c r="Y174" i="10"/>
  <c r="Y172" i="10"/>
  <c r="Z172" i="10" s="1"/>
  <c r="Y173" i="10"/>
  <c r="Z173" i="10" s="1"/>
  <c r="Y175" i="10"/>
  <c r="P15" i="10"/>
  <c r="Q15" i="10" s="1"/>
  <c r="V16" i="10"/>
  <c r="P16" i="10"/>
  <c r="Q16" i="10" s="1"/>
  <c r="Y55" i="10"/>
  <c r="Z55" i="10" s="1"/>
  <c r="Y56" i="10"/>
  <c r="Z56" i="10" s="1"/>
  <c r="Y354" i="10"/>
  <c r="Z354" i="10" s="1"/>
  <c r="Y353" i="10"/>
  <c r="Z353" i="10" s="1"/>
  <c r="J10" i="10"/>
  <c r="M10" i="10" s="1"/>
  <c r="N10" i="10" s="1"/>
  <c r="J7" i="10"/>
  <c r="M7" i="10" s="1"/>
  <c r="Y121" i="10"/>
  <c r="Z121" i="10" s="1"/>
  <c r="Y120" i="10"/>
  <c r="Z120" i="10" s="1"/>
  <c r="Y145" i="10"/>
  <c r="Y144" i="10"/>
  <c r="Z144" i="10" s="1"/>
  <c r="Z221" i="10"/>
  <c r="Y119" i="10"/>
  <c r="Z119" i="10" s="1"/>
  <c r="Y118" i="10"/>
  <c r="Z118" i="10" s="1"/>
  <c r="Y463" i="10"/>
  <c r="Z463" i="10" s="1"/>
  <c r="Y462" i="10"/>
  <c r="Z462" i="10" s="1"/>
  <c r="AA57" i="10" l="1"/>
  <c r="AB57" i="10" s="1"/>
  <c r="U59" i="10" s="1"/>
  <c r="AA58" i="10"/>
  <c r="AB58" i="10" s="1"/>
  <c r="U62" i="10" s="1"/>
  <c r="AA469" i="10"/>
  <c r="AB469" i="10" s="1"/>
  <c r="U656" i="10" s="1"/>
  <c r="AA468" i="10"/>
  <c r="AB468" i="10" s="1"/>
  <c r="U655" i="10" s="1"/>
  <c r="AA667" i="10"/>
  <c r="AB667" i="10" s="1"/>
  <c r="U670" i="10" s="1"/>
  <c r="Y671" i="10" s="1"/>
  <c r="AA383" i="10"/>
  <c r="AB383" i="10" s="1"/>
  <c r="U385" i="10" s="1"/>
  <c r="U669" i="10"/>
  <c r="U671" i="10"/>
  <c r="AA570" i="10"/>
  <c r="AB570" i="10" s="1"/>
  <c r="U597" i="10" s="1"/>
  <c r="U602" i="10"/>
  <c r="U598" i="10"/>
  <c r="Y526" i="10"/>
  <c r="Z526" i="10" s="1"/>
  <c r="AA526" i="10" s="1"/>
  <c r="AB526" i="10" s="1"/>
  <c r="Y524" i="10"/>
  <c r="Y527" i="10"/>
  <c r="Z527" i="10" s="1"/>
  <c r="Y525" i="10"/>
  <c r="Z525" i="10" s="1"/>
  <c r="AA525" i="10" s="1"/>
  <c r="AB525" i="10" s="1"/>
  <c r="Y528" i="10"/>
  <c r="Z502" i="10"/>
  <c r="C33" i="3"/>
  <c r="Y147" i="10"/>
  <c r="Y146" i="10"/>
  <c r="Z146" i="10" s="1"/>
  <c r="H5" i="5"/>
  <c r="AA477" i="10"/>
  <c r="AB477" i="10" s="1"/>
  <c r="M107" i="7" s="1"/>
  <c r="AA475" i="10"/>
  <c r="AB475" i="10" s="1"/>
  <c r="AA316" i="10"/>
  <c r="AB316" i="10" s="1"/>
  <c r="U318" i="10" s="1"/>
  <c r="AA317" i="10"/>
  <c r="AB317" i="10" s="1"/>
  <c r="U319" i="10" s="1"/>
  <c r="Y385" i="10"/>
  <c r="Y386" i="10"/>
  <c r="Z386" i="10" s="1"/>
  <c r="Z145" i="10"/>
  <c r="AA121" i="10"/>
  <c r="AB121" i="10" s="1"/>
  <c r="U279" i="10" s="1"/>
  <c r="AA120" i="10"/>
  <c r="AB120" i="10" s="1"/>
  <c r="U271" i="10" s="1"/>
  <c r="O30" i="13"/>
  <c r="O26" i="13"/>
  <c r="O33" i="13"/>
  <c r="O29" i="13"/>
  <c r="O27" i="13"/>
  <c r="O31" i="13"/>
  <c r="O32" i="13"/>
  <c r="O28" i="13"/>
  <c r="H29" i="10"/>
  <c r="W16" i="10"/>
  <c r="X16" i="10" s="1"/>
  <c r="W15" i="10"/>
  <c r="X15" i="10" s="1"/>
  <c r="AA353" i="10"/>
  <c r="AB353" i="10" s="1"/>
  <c r="J126" i="7" s="1"/>
  <c r="AA354" i="10"/>
  <c r="AB354" i="10" s="1"/>
  <c r="U453" i="10" s="1"/>
  <c r="Z284" i="10"/>
  <c r="Y321" i="10"/>
  <c r="Z321" i="10" s="1"/>
  <c r="Y320" i="10"/>
  <c r="Z417" i="10"/>
  <c r="AA221" i="10"/>
  <c r="AB221" i="10" s="1"/>
  <c r="U223" i="10" s="1"/>
  <c r="AA220" i="10"/>
  <c r="AB220" i="10" s="1"/>
  <c r="U222" i="10" s="1"/>
  <c r="AA463" i="10"/>
  <c r="AB463" i="10" s="1"/>
  <c r="U489" i="10" s="1"/>
  <c r="AA462" i="10"/>
  <c r="AB462" i="10" s="1"/>
  <c r="G130" i="7" s="1"/>
  <c r="N7" i="10"/>
  <c r="AA55" i="10"/>
  <c r="AB55" i="10" s="1"/>
  <c r="U376" i="10" s="1"/>
  <c r="AA56" i="10"/>
  <c r="AB56" i="10" s="1"/>
  <c r="U246" i="10" s="1"/>
  <c r="Y35" i="10"/>
  <c r="Z35" i="10" s="1"/>
  <c r="Y36" i="10"/>
  <c r="Z36" i="10" s="1"/>
  <c r="AA119" i="10"/>
  <c r="AB119" i="10" s="1"/>
  <c r="C110" i="7" s="1"/>
  <c r="AA118" i="10"/>
  <c r="AB118" i="10" s="1"/>
  <c r="L110" i="7" s="1"/>
  <c r="Y60" i="10" l="1"/>
  <c r="Z60" i="10" s="1"/>
  <c r="Y59" i="10"/>
  <c r="Z59" i="10" s="1"/>
  <c r="Y62" i="10"/>
  <c r="Z62" i="10" s="1"/>
  <c r="Y61" i="10"/>
  <c r="Y669" i="10"/>
  <c r="Z669" i="10" s="1"/>
  <c r="AA669" i="10" s="1"/>
  <c r="AB669" i="10" s="1"/>
  <c r="Y670" i="10"/>
  <c r="Z670" i="10" s="1"/>
  <c r="Z385" i="10"/>
  <c r="Z671" i="10"/>
  <c r="AA671" i="10" s="1"/>
  <c r="AB671" i="10" s="1"/>
  <c r="Y655" i="10"/>
  <c r="Z655" i="10" s="1"/>
  <c r="Y656" i="10"/>
  <c r="Z656" i="10" s="1"/>
  <c r="AA656" i="10" s="1"/>
  <c r="AB656" i="10" s="1"/>
  <c r="I106" i="7" s="1"/>
  <c r="Z598" i="10"/>
  <c r="AA598" i="10" s="1"/>
  <c r="AB598" i="10" s="1"/>
  <c r="Z597" i="10"/>
  <c r="U553" i="10"/>
  <c r="U551" i="10"/>
  <c r="U523" i="10"/>
  <c r="AA502" i="10"/>
  <c r="AB502" i="10" s="1"/>
  <c r="AA501" i="10"/>
  <c r="AB501" i="10" s="1"/>
  <c r="Z271" i="10"/>
  <c r="Y278" i="10"/>
  <c r="Y279" i="10"/>
  <c r="Z279" i="10" s="1"/>
  <c r="K39" i="13"/>
  <c r="K31" i="13"/>
  <c r="K27" i="13"/>
  <c r="K40" i="13"/>
  <c r="K34" i="13"/>
  <c r="K32" i="13"/>
  <c r="K30" i="13"/>
  <c r="K37" i="13"/>
  <c r="K35" i="13"/>
  <c r="K33" i="13"/>
  <c r="K36" i="13"/>
  <c r="K28" i="13"/>
  <c r="K29" i="13"/>
  <c r="K26" i="13"/>
  <c r="K38" i="13"/>
  <c r="H43" i="10"/>
  <c r="Z489" i="10"/>
  <c r="AA145" i="10"/>
  <c r="AB145" i="10" s="1"/>
  <c r="U152" i="10" s="1"/>
  <c r="AA144" i="10"/>
  <c r="AB144" i="10" s="1"/>
  <c r="U147" i="10" s="1"/>
  <c r="Z147" i="10" s="1"/>
  <c r="AA284" i="10"/>
  <c r="AB284" i="10" s="1"/>
  <c r="U290" i="10" s="1"/>
  <c r="AA285" i="10"/>
  <c r="AB285" i="10" s="1"/>
  <c r="Y452" i="10"/>
  <c r="Z452" i="10" s="1"/>
  <c r="Y453" i="10"/>
  <c r="Z453" i="10" s="1"/>
  <c r="Y222" i="10"/>
  <c r="Z222" i="10" s="1"/>
  <c r="Y223" i="10"/>
  <c r="Z223" i="10" s="1"/>
  <c r="AA36" i="10"/>
  <c r="AB36" i="10" s="1"/>
  <c r="U38" i="10" s="1"/>
  <c r="AA35" i="10"/>
  <c r="AB35" i="10" s="1"/>
  <c r="U37" i="10" s="1"/>
  <c r="J16" i="10"/>
  <c r="M16" i="10" s="1"/>
  <c r="N16" i="10" s="1"/>
  <c r="J15" i="10"/>
  <c r="M15" i="10" s="1"/>
  <c r="Y246" i="10"/>
  <c r="Z246" i="10" s="1"/>
  <c r="Y247" i="10"/>
  <c r="Z247" i="10" s="1"/>
  <c r="V29" i="10"/>
  <c r="P30" i="10"/>
  <c r="Q30" i="10" s="1"/>
  <c r="P29" i="10"/>
  <c r="Q29" i="10" s="1"/>
  <c r="Y318" i="10"/>
  <c r="Z318" i="10" s="1"/>
  <c r="Y319" i="10"/>
  <c r="Z319" i="10" s="1"/>
  <c r="AA417" i="10"/>
  <c r="AB417" i="10" s="1"/>
  <c r="U419" i="10" s="1"/>
  <c r="AA416" i="10"/>
  <c r="AB416" i="10" s="1"/>
  <c r="N110" i="7" s="1"/>
  <c r="AA60" i="10" l="1"/>
  <c r="AB60" i="10" s="1"/>
  <c r="U61" i="10" s="1"/>
  <c r="Z61" i="10" s="1"/>
  <c r="AA59" i="10"/>
  <c r="AB59" i="10" s="1"/>
  <c r="U63" i="10" s="1"/>
  <c r="AA386" i="10"/>
  <c r="AB386" i="10" s="1"/>
  <c r="U403" i="10" s="1"/>
  <c r="AA385" i="10"/>
  <c r="AB385" i="10" s="1"/>
  <c r="U402" i="10" s="1"/>
  <c r="U674" i="10"/>
  <c r="U672" i="10"/>
  <c r="AA670" i="10"/>
  <c r="AB670" i="10" s="1"/>
  <c r="AA655" i="10"/>
  <c r="AB655" i="10" s="1"/>
  <c r="AA597" i="10"/>
  <c r="AB597" i="10" s="1"/>
  <c r="AA599" i="10"/>
  <c r="AB599" i="10" s="1"/>
  <c r="U603" i="10" s="1"/>
  <c r="U601" i="10"/>
  <c r="U600" i="10"/>
  <c r="Z553" i="10"/>
  <c r="AA553" i="10" s="1"/>
  <c r="AB553" i="10" s="1"/>
  <c r="Z551" i="10"/>
  <c r="Z523" i="10"/>
  <c r="U504" i="10"/>
  <c r="U503" i="10"/>
  <c r="AA147" i="10"/>
  <c r="AB147" i="10" s="1"/>
  <c r="U162" i="10" s="1"/>
  <c r="AA146" i="10"/>
  <c r="AB146" i="10" s="1"/>
  <c r="U153" i="10" s="1"/>
  <c r="Y152" i="10" s="1"/>
  <c r="Z152" i="10" s="1"/>
  <c r="AA223" i="10"/>
  <c r="AB223" i="10" s="1"/>
  <c r="U240" i="10" s="1"/>
  <c r="AA222" i="10"/>
  <c r="AB222" i="10" s="1"/>
  <c r="H110" i="7" s="1"/>
  <c r="P44" i="10"/>
  <c r="V43" i="10"/>
  <c r="P43" i="10"/>
  <c r="Q43" i="10" s="1"/>
  <c r="H18" i="10"/>
  <c r="AA247" i="10"/>
  <c r="AB247" i="10" s="1"/>
  <c r="U249" i="10" s="1"/>
  <c r="AA246" i="10"/>
  <c r="AB246" i="10" s="1"/>
  <c r="U248" i="10" s="1"/>
  <c r="W30" i="10"/>
  <c r="X30" i="10" s="1"/>
  <c r="W29" i="10"/>
  <c r="X29" i="10" s="1"/>
  <c r="Z419" i="10"/>
  <c r="AA453" i="10"/>
  <c r="AB453" i="10" s="1"/>
  <c r="U455" i="10" s="1"/>
  <c r="AA452" i="10"/>
  <c r="AB452" i="10" s="1"/>
  <c r="U454" i="10" s="1"/>
  <c r="AA270" i="10"/>
  <c r="AB270" i="10" s="1"/>
  <c r="U272" i="10" s="1"/>
  <c r="AA271" i="10"/>
  <c r="AB271" i="10" s="1"/>
  <c r="U273" i="10" s="1"/>
  <c r="Z290" i="10"/>
  <c r="N15" i="10"/>
  <c r="AA319" i="10"/>
  <c r="AB319" i="10" s="1"/>
  <c r="U323" i="10" s="1"/>
  <c r="AA318" i="10"/>
  <c r="AB318" i="10" s="1"/>
  <c r="U322" i="10" s="1"/>
  <c r="Y37" i="10"/>
  <c r="Z37" i="10" s="1"/>
  <c r="Y38" i="10"/>
  <c r="Z38" i="10" s="1"/>
  <c r="AA489" i="10"/>
  <c r="AB489" i="10" s="1"/>
  <c r="F130" i="7" s="1"/>
  <c r="H29" i="5" s="1"/>
  <c r="AA490" i="10"/>
  <c r="AB490" i="10" s="1"/>
  <c r="I130" i="7" s="1"/>
  <c r="Y64" i="10" l="1"/>
  <c r="Y63" i="10"/>
  <c r="Z63" i="10" s="1"/>
  <c r="Y402" i="10"/>
  <c r="Z402" i="10" s="1"/>
  <c r="Y403" i="10"/>
  <c r="Z403" i="10" s="1"/>
  <c r="U679" i="10"/>
  <c r="U673" i="10"/>
  <c r="Y603" i="10"/>
  <c r="Z603" i="10" s="1"/>
  <c r="Y601" i="10"/>
  <c r="Z601" i="10" s="1"/>
  <c r="AA601" i="10" s="1"/>
  <c r="AB601" i="10" s="1"/>
  <c r="Y602" i="10"/>
  <c r="Z602" i="10" s="1"/>
  <c r="AA602" i="10" s="1"/>
  <c r="AB602" i="10" s="1"/>
  <c r="B125" i="7" s="1"/>
  <c r="Y600" i="10"/>
  <c r="Z600" i="10" s="1"/>
  <c r="AA600" i="10" s="1"/>
  <c r="AB600" i="10" s="1"/>
  <c r="U563" i="10"/>
  <c r="AA551" i="10"/>
  <c r="AB551" i="10" s="1"/>
  <c r="AA552" i="10"/>
  <c r="AB552" i="10" s="1"/>
  <c r="AA523" i="10"/>
  <c r="AB523" i="10" s="1"/>
  <c r="AA519" i="10"/>
  <c r="AB519" i="10" s="1"/>
  <c r="Y504" i="10"/>
  <c r="Z504" i="10" s="1"/>
  <c r="Y503" i="10"/>
  <c r="Z503" i="10" s="1"/>
  <c r="AA503" i="10" s="1"/>
  <c r="AB503" i="10" s="1"/>
  <c r="Y155" i="10"/>
  <c r="Z155" i="10" s="1"/>
  <c r="AA155" i="10" s="1"/>
  <c r="AB155" i="10" s="1"/>
  <c r="U168" i="10" s="1"/>
  <c r="Y153" i="10"/>
  <c r="Z153" i="10" s="1"/>
  <c r="Y248" i="10"/>
  <c r="Z248" i="10" s="1"/>
  <c r="Y249" i="10"/>
  <c r="Z249" i="10" s="1"/>
  <c r="P17" i="10"/>
  <c r="P18" i="10"/>
  <c r="Q18" i="10" s="1"/>
  <c r="V18" i="10"/>
  <c r="Y454" i="10"/>
  <c r="Z454" i="10" s="1"/>
  <c r="Y455" i="10"/>
  <c r="Z455" i="10" s="1"/>
  <c r="AA38" i="10"/>
  <c r="AB38" i="10" s="1"/>
  <c r="U40" i="10" s="1"/>
  <c r="AA37" i="10"/>
  <c r="AB37" i="10" s="1"/>
  <c r="U39" i="10" s="1"/>
  <c r="R27" i="13"/>
  <c r="H17" i="10"/>
  <c r="AA418" i="10"/>
  <c r="AB418" i="10" s="1"/>
  <c r="M110" i="7" s="1"/>
  <c r="AA419" i="10"/>
  <c r="AB419" i="10" s="1"/>
  <c r="K110" i="7" s="1"/>
  <c r="Y323" i="10"/>
  <c r="Z323" i="10" s="1"/>
  <c r="Y322" i="10"/>
  <c r="Z322" i="10" s="1"/>
  <c r="AA291" i="10"/>
  <c r="AB291" i="10" s="1"/>
  <c r="U293" i="10" s="1"/>
  <c r="AA290" i="10"/>
  <c r="AB290" i="10" s="1"/>
  <c r="U292" i="10" s="1"/>
  <c r="W44" i="10"/>
  <c r="W43" i="10"/>
  <c r="X43" i="10" s="1"/>
  <c r="P130" i="7"/>
  <c r="B34" i="3" s="1"/>
  <c r="Y272" i="10"/>
  <c r="Z272" i="10" s="1"/>
  <c r="Y273" i="10"/>
  <c r="Z273" i="10" s="1"/>
  <c r="AA61" i="10"/>
  <c r="AB61" i="10" s="1"/>
  <c r="U66" i="10" s="1"/>
  <c r="AA62" i="10"/>
  <c r="AB62" i="10" s="1"/>
  <c r="U64" i="10" s="1"/>
  <c r="Z64" i="10" s="1"/>
  <c r="Y240" i="10"/>
  <c r="Z240" i="10" s="1"/>
  <c r="Y241" i="10"/>
  <c r="Z241" i="10" s="1"/>
  <c r="J29" i="10"/>
  <c r="M29" i="10" s="1"/>
  <c r="N29" i="10" s="1"/>
  <c r="J30" i="10"/>
  <c r="M30" i="10" s="1"/>
  <c r="N30" i="10" s="1"/>
  <c r="Y154" i="10"/>
  <c r="Z154" i="10" s="1"/>
  <c r="U759" i="10" l="1"/>
  <c r="AA403" i="10"/>
  <c r="AB403" i="10" s="1"/>
  <c r="U405" i="10" s="1"/>
  <c r="AA402" i="10"/>
  <c r="AB402" i="10" s="1"/>
  <c r="U404" i="10" s="1"/>
  <c r="Y679" i="10"/>
  <c r="Z679" i="10" s="1"/>
  <c r="Y680" i="10"/>
  <c r="Z680" i="10" s="1"/>
  <c r="Y672" i="10"/>
  <c r="Z672" i="10" s="1"/>
  <c r="AA672" i="10" s="1"/>
  <c r="AB672" i="10" s="1"/>
  <c r="G115" i="7" s="1"/>
  <c r="Y673" i="10"/>
  <c r="Z673" i="10" s="1"/>
  <c r="Y674" i="10"/>
  <c r="Z674" i="10" s="1"/>
  <c r="AA674" i="10" s="1"/>
  <c r="AB674" i="10" s="1"/>
  <c r="L115" i="7" s="1"/>
  <c r="U643" i="10"/>
  <c r="U644" i="10"/>
  <c r="AA603" i="10"/>
  <c r="AB603" i="10" s="1"/>
  <c r="D125" i="7" s="1"/>
  <c r="Y563" i="10"/>
  <c r="Z563" i="10" s="1"/>
  <c r="Y562" i="10"/>
  <c r="U562" i="10"/>
  <c r="U528" i="10"/>
  <c r="U524" i="10"/>
  <c r="AA504" i="10"/>
  <c r="AB504" i="10" s="1"/>
  <c r="U506" i="10" s="1"/>
  <c r="U505" i="10"/>
  <c r="AA63" i="10"/>
  <c r="AB63" i="10" s="1"/>
  <c r="U65" i="10" s="1"/>
  <c r="AA64" i="10"/>
  <c r="AB64" i="10" s="1"/>
  <c r="U92" i="10" s="1"/>
  <c r="V17" i="10"/>
  <c r="AA153" i="10"/>
  <c r="AB153" i="10" s="1"/>
  <c r="U156" i="10" s="1"/>
  <c r="AA152" i="10"/>
  <c r="AB152" i="10" s="1"/>
  <c r="U157" i="10" s="1"/>
  <c r="AA154" i="10"/>
  <c r="AB154" i="10" s="1"/>
  <c r="U169" i="10" s="1"/>
  <c r="D34" i="3"/>
  <c r="C34" i="3"/>
  <c r="T34" i="13"/>
  <c r="H32" i="10"/>
  <c r="Y40" i="10"/>
  <c r="Z40" i="10" s="1"/>
  <c r="Y39" i="10"/>
  <c r="Z39" i="10" s="1"/>
  <c r="W18" i="10"/>
  <c r="X18" i="10" s="1"/>
  <c r="W17" i="10"/>
  <c r="Y292" i="10"/>
  <c r="Z292" i="10" s="1"/>
  <c r="Y293" i="10"/>
  <c r="Z293" i="10" s="1"/>
  <c r="AA454" i="10"/>
  <c r="AB454" i="10" s="1"/>
  <c r="G126" i="7" s="1"/>
  <c r="AA455" i="10"/>
  <c r="AB455" i="10" s="1"/>
  <c r="F126" i="7" s="1"/>
  <c r="O34" i="13"/>
  <c r="H31" i="10"/>
  <c r="Q17" i="10"/>
  <c r="AA323" i="10"/>
  <c r="AB323" i="10" s="1"/>
  <c r="U325" i="10" s="1"/>
  <c r="AA322" i="10"/>
  <c r="AB322" i="10" s="1"/>
  <c r="U324" i="10" s="1"/>
  <c r="AA273" i="10"/>
  <c r="AB273" i="10" s="1"/>
  <c r="U275" i="10" s="1"/>
  <c r="AA272" i="10"/>
  <c r="AB272" i="10" s="1"/>
  <c r="U274" i="10" s="1"/>
  <c r="AA241" i="10"/>
  <c r="AB241" i="10" s="1"/>
  <c r="U243" i="10" s="1"/>
  <c r="AA240" i="10"/>
  <c r="AB240" i="10" s="1"/>
  <c r="U242" i="10" s="1"/>
  <c r="AA249" i="10"/>
  <c r="AB249" i="10" s="1"/>
  <c r="U250" i="10" s="1"/>
  <c r="AA248" i="10"/>
  <c r="AB248" i="10" s="1"/>
  <c r="U251" i="10" s="1"/>
  <c r="Y405" i="10" l="1"/>
  <c r="Z405" i="10" s="1"/>
  <c r="Y404" i="10"/>
  <c r="Z404" i="10" s="1"/>
  <c r="AA673" i="10"/>
  <c r="AB673" i="10" s="1"/>
  <c r="H115" i="7" s="1"/>
  <c r="P115" i="7" s="1"/>
  <c r="B19" i="3" s="1"/>
  <c r="C19" i="3" s="1"/>
  <c r="AA680" i="10"/>
  <c r="AB680" i="10" s="1"/>
  <c r="U726" i="10" s="1"/>
  <c r="AA679" i="10"/>
  <c r="AB679" i="10" s="1"/>
  <c r="U725" i="10" s="1"/>
  <c r="X17" i="10"/>
  <c r="Y644" i="10"/>
  <c r="Z644" i="10" s="1"/>
  <c r="AA644" i="10" s="1"/>
  <c r="AB644" i="10" s="1"/>
  <c r="Y643" i="10"/>
  <c r="Z643" i="10" s="1"/>
  <c r="Z562" i="10"/>
  <c r="AA562" i="10" s="1"/>
  <c r="AB562" i="10" s="1"/>
  <c r="Z528" i="10"/>
  <c r="AA528" i="10" s="1"/>
  <c r="AB528" i="10" s="1"/>
  <c r="Z524" i="10"/>
  <c r="H25" i="5"/>
  <c r="Y505" i="10"/>
  <c r="Z505" i="10" s="1"/>
  <c r="Y506" i="10"/>
  <c r="Z506" i="10" s="1"/>
  <c r="P126" i="7"/>
  <c r="B30" i="3" s="1"/>
  <c r="C30" i="3" s="1"/>
  <c r="P32" i="10"/>
  <c r="Q32" i="10" s="1"/>
  <c r="P31" i="10"/>
  <c r="Q31" i="10" s="1"/>
  <c r="V31" i="10"/>
  <c r="Y250" i="10"/>
  <c r="Z250" i="10" s="1"/>
  <c r="Y251" i="10"/>
  <c r="Z251" i="10" s="1"/>
  <c r="Y242" i="10"/>
  <c r="Z242" i="10" s="1"/>
  <c r="Y243" i="10"/>
  <c r="Z243" i="10" s="1"/>
  <c r="AA292" i="10"/>
  <c r="AB292" i="10" s="1"/>
  <c r="U294" i="10" s="1"/>
  <c r="AA293" i="10"/>
  <c r="AB293" i="10" s="1"/>
  <c r="U295" i="10" s="1"/>
  <c r="Y170" i="10"/>
  <c r="Y168" i="10"/>
  <c r="Z168" i="10" s="1"/>
  <c r="Y169" i="10"/>
  <c r="Z169" i="10" s="1"/>
  <c r="Y171" i="10"/>
  <c r="Y157" i="10"/>
  <c r="Z157" i="10" s="1"/>
  <c r="Y159" i="10"/>
  <c r="Z159" i="10" s="1"/>
  <c r="AA159" i="10" s="1"/>
  <c r="AB159" i="10" s="1"/>
  <c r="U179" i="10" s="1"/>
  <c r="Y156" i="10"/>
  <c r="Z156" i="10" s="1"/>
  <c r="Y158" i="10"/>
  <c r="Z158" i="10" s="1"/>
  <c r="Y324" i="10"/>
  <c r="Z324" i="10" s="1"/>
  <c r="Y325" i="10"/>
  <c r="Z325" i="10" s="1"/>
  <c r="AA40" i="10"/>
  <c r="AB40" i="10" s="1"/>
  <c r="U42" i="10" s="1"/>
  <c r="AA39" i="10"/>
  <c r="AB39" i="10" s="1"/>
  <c r="U41" i="10" s="1"/>
  <c r="Y274" i="10"/>
  <c r="Z274" i="10" s="1"/>
  <c r="Y275" i="10"/>
  <c r="Z275" i="10" s="1"/>
  <c r="V32" i="10"/>
  <c r="Y66" i="10"/>
  <c r="Z66" i="10" s="1"/>
  <c r="Y65" i="10"/>
  <c r="Z65" i="10" s="1"/>
  <c r="Y725" i="10" l="1"/>
  <c r="Z725" i="10" s="1"/>
  <c r="Y726" i="10"/>
  <c r="Z726" i="10" s="1"/>
  <c r="AA404" i="10"/>
  <c r="AB404" i="10" s="1"/>
  <c r="U406" i="10" s="1"/>
  <c r="AA405" i="10"/>
  <c r="AB405" i="10" s="1"/>
  <c r="U407" i="10" s="1"/>
  <c r="J17" i="10"/>
  <c r="M17" i="10" s="1"/>
  <c r="N17" i="10" s="1"/>
  <c r="J18" i="10"/>
  <c r="M18" i="10" s="1"/>
  <c r="N18" i="10" s="1"/>
  <c r="H20" i="10" s="1"/>
  <c r="D19" i="3"/>
  <c r="AA643" i="10"/>
  <c r="AB643" i="10" s="1"/>
  <c r="U646" i="10"/>
  <c r="U645" i="10"/>
  <c r="U620" i="10"/>
  <c r="U575" i="10"/>
  <c r="AA563" i="10"/>
  <c r="AB563" i="10" s="1"/>
  <c r="J107" i="7" s="1"/>
  <c r="AA524" i="10"/>
  <c r="AB524" i="10" s="1"/>
  <c r="AA527" i="10"/>
  <c r="AB527" i="10" s="1"/>
  <c r="U576" i="10" s="1"/>
  <c r="H6" i="5"/>
  <c r="D30" i="3"/>
  <c r="AA506" i="10"/>
  <c r="AB506" i="10" s="1"/>
  <c r="AA505" i="10"/>
  <c r="AB505" i="10" s="1"/>
  <c r="Y42" i="10"/>
  <c r="Z42" i="10" s="1"/>
  <c r="Y41" i="10"/>
  <c r="Z41" i="10" s="1"/>
  <c r="AA242" i="10"/>
  <c r="AB242" i="10" s="1"/>
  <c r="U363" i="10" s="1"/>
  <c r="AA243" i="10"/>
  <c r="AB243" i="10" s="1"/>
  <c r="U360" i="10" s="1"/>
  <c r="AA250" i="10"/>
  <c r="AB250" i="10" s="1"/>
  <c r="U252" i="10" s="1"/>
  <c r="AA251" i="10"/>
  <c r="AB251" i="10" s="1"/>
  <c r="U253" i="10" s="1"/>
  <c r="AA66" i="10"/>
  <c r="AB66" i="10" s="1"/>
  <c r="U70" i="10" s="1"/>
  <c r="AA65" i="10"/>
  <c r="AB65" i="10" s="1"/>
  <c r="U82" i="10" s="1"/>
  <c r="AA324" i="10"/>
  <c r="AB324" i="10" s="1"/>
  <c r="U329" i="10" s="1"/>
  <c r="AA325" i="10"/>
  <c r="AB325" i="10" s="1"/>
  <c r="U330" i="10" s="1"/>
  <c r="AA157" i="10"/>
  <c r="AB157" i="10" s="1"/>
  <c r="U161" i="10" s="1"/>
  <c r="AA156" i="10"/>
  <c r="AB156" i="10" s="1"/>
  <c r="U160" i="10" s="1"/>
  <c r="AA158" i="10"/>
  <c r="AB158" i="10" s="1"/>
  <c r="U178" i="10" s="1"/>
  <c r="W31" i="10"/>
  <c r="X31" i="10" s="1"/>
  <c r="W32" i="10"/>
  <c r="X32" i="10" s="1"/>
  <c r="AA274" i="10"/>
  <c r="AB274" i="10" s="1"/>
  <c r="B119" i="7" s="1"/>
  <c r="AA275" i="10"/>
  <c r="AB275" i="10" s="1"/>
  <c r="U278" i="10" s="1"/>
  <c r="Y295" i="10"/>
  <c r="Z295" i="10" s="1"/>
  <c r="Y294" i="10"/>
  <c r="Z294" i="10" s="1"/>
  <c r="AA726" i="10" l="1"/>
  <c r="AB726" i="10" s="1"/>
  <c r="D106" i="7" s="1"/>
  <c r="AA725" i="10"/>
  <c r="AB725" i="10" s="1"/>
  <c r="G106" i="7" s="1"/>
  <c r="Y406" i="10"/>
  <c r="Z406" i="10" s="1"/>
  <c r="Y407" i="10"/>
  <c r="Z407" i="10" s="1"/>
  <c r="Y645" i="10"/>
  <c r="Z645" i="10" s="1"/>
  <c r="Y646" i="10"/>
  <c r="Z646" i="10" s="1"/>
  <c r="AA646" i="10" s="1"/>
  <c r="AB646" i="10" s="1"/>
  <c r="I125" i="7" s="1"/>
  <c r="U574" i="10"/>
  <c r="U508" i="10"/>
  <c r="U507" i="10"/>
  <c r="P19" i="10"/>
  <c r="P20" i="10"/>
  <c r="Q20" i="10" s="1"/>
  <c r="V20" i="10"/>
  <c r="Y83" i="10"/>
  <c r="Y82" i="10"/>
  <c r="Z82" i="10" s="1"/>
  <c r="Z70" i="10"/>
  <c r="J32" i="10"/>
  <c r="M32" i="10" s="1"/>
  <c r="N32" i="10" s="1"/>
  <c r="J31" i="10"/>
  <c r="M31" i="10" s="1"/>
  <c r="N31" i="10" s="1"/>
  <c r="Y252" i="10"/>
  <c r="Z252" i="10" s="1"/>
  <c r="Y253" i="10"/>
  <c r="Z253" i="10" s="1"/>
  <c r="AA294" i="10"/>
  <c r="AB294" i="10" s="1"/>
  <c r="U320" i="10" s="1"/>
  <c r="AA295" i="10"/>
  <c r="AB295" i="10" s="1"/>
  <c r="I118" i="7" s="1"/>
  <c r="E30" i="9" s="1"/>
  <c r="Y330" i="10"/>
  <c r="Z330" i="10" s="1"/>
  <c r="Y329" i="10"/>
  <c r="Z329" i="10" s="1"/>
  <c r="Y362" i="10"/>
  <c r="Y363" i="10"/>
  <c r="Z363" i="10" s="1"/>
  <c r="Z278" i="10"/>
  <c r="AA41" i="10"/>
  <c r="AB41" i="10" s="1"/>
  <c r="U261" i="10" s="1"/>
  <c r="AA42" i="10"/>
  <c r="AB42" i="10" s="1"/>
  <c r="U48" i="10" s="1"/>
  <c r="R28" i="13"/>
  <c r="H19" i="10"/>
  <c r="Y160" i="10"/>
  <c r="Z160" i="10" s="1"/>
  <c r="Y162" i="10"/>
  <c r="Z162" i="10" s="1"/>
  <c r="Y161" i="10"/>
  <c r="Z161" i="10" s="1"/>
  <c r="Y163" i="10"/>
  <c r="Z163" i="10" s="1"/>
  <c r="AA163" i="10" s="1"/>
  <c r="AB163" i="10" s="1"/>
  <c r="U183" i="10" s="1"/>
  <c r="Y360" i="10"/>
  <c r="Z360" i="10" s="1"/>
  <c r="Y361" i="10"/>
  <c r="Z361" i="10" s="1"/>
  <c r="P106" i="7" l="1"/>
  <c r="B10" i="3" s="1"/>
  <c r="D10" i="3" s="1"/>
  <c r="AA406" i="10"/>
  <c r="AB406" i="10" s="1"/>
  <c r="U408" i="10" s="1"/>
  <c r="AA407" i="10"/>
  <c r="AB407" i="10" s="1"/>
  <c r="U409" i="10" s="1"/>
  <c r="AA645" i="10"/>
  <c r="AB645" i="10" s="1"/>
  <c r="G125" i="7" s="1"/>
  <c r="P125" i="7" s="1"/>
  <c r="B29" i="3" s="1"/>
  <c r="D29" i="3" s="1"/>
  <c r="Y574" i="10"/>
  <c r="Z574" i="10" s="1"/>
  <c r="Y577" i="10"/>
  <c r="Z577" i="10" s="1"/>
  <c r="AA577" i="10" s="1"/>
  <c r="AB577" i="10" s="1"/>
  <c r="Y575" i="10"/>
  <c r="Z575" i="10" s="1"/>
  <c r="AA575" i="10" s="1"/>
  <c r="AB575" i="10" s="1"/>
  <c r="U605" i="10" s="1"/>
  <c r="Y576" i="10"/>
  <c r="Z576" i="10" s="1"/>
  <c r="AA576" i="10" s="1"/>
  <c r="AB576" i="10" s="1"/>
  <c r="U604" i="10" s="1"/>
  <c r="Y507" i="10"/>
  <c r="Z507" i="10" s="1"/>
  <c r="AA507" i="10" s="1"/>
  <c r="AB507" i="10" s="1"/>
  <c r="Y508" i="10"/>
  <c r="Z508" i="10" s="1"/>
  <c r="AA330" i="10"/>
  <c r="AB330" i="10" s="1"/>
  <c r="U332" i="10" s="1"/>
  <c r="AA329" i="10"/>
  <c r="AB329" i="10" s="1"/>
  <c r="U331" i="10" s="1"/>
  <c r="V19" i="10"/>
  <c r="AA70" i="10"/>
  <c r="AB70" i="10" s="1"/>
  <c r="U80" i="10" s="1"/>
  <c r="AA69" i="10"/>
  <c r="AB69" i="10" s="1"/>
  <c r="Z48" i="10"/>
  <c r="AA360" i="10"/>
  <c r="AB360" i="10" s="1"/>
  <c r="U362" i="10" s="1"/>
  <c r="AA361" i="10"/>
  <c r="AB361" i="10" s="1"/>
  <c r="U451" i="10" s="1"/>
  <c r="AA278" i="10"/>
  <c r="AB278" i="10" s="1"/>
  <c r="U280" i="10" s="1"/>
  <c r="AA279" i="10"/>
  <c r="AB279" i="10" s="1"/>
  <c r="U281" i="10" s="1"/>
  <c r="W20" i="10"/>
  <c r="X20" i="10" s="1"/>
  <c r="W19" i="10"/>
  <c r="T35" i="13"/>
  <c r="H34" i="10"/>
  <c r="AA252" i="10"/>
  <c r="AB252" i="10" s="1"/>
  <c r="F124" i="7" s="1"/>
  <c r="AA253" i="10"/>
  <c r="AB253" i="10" s="1"/>
  <c r="U372" i="10" s="1"/>
  <c r="Q19" i="10"/>
  <c r="Z320" i="10"/>
  <c r="AA162" i="10"/>
  <c r="AB162" i="10" s="1"/>
  <c r="U182" i="10" s="1"/>
  <c r="AA161" i="10"/>
  <c r="AB161" i="10" s="1"/>
  <c r="U166" i="10" s="1"/>
  <c r="AA160" i="10"/>
  <c r="AB160" i="10" s="1"/>
  <c r="U167" i="10" s="1"/>
  <c r="O35" i="13"/>
  <c r="H33" i="10"/>
  <c r="C10" i="3" l="1"/>
  <c r="Y408" i="10"/>
  <c r="Z408" i="10" s="1"/>
  <c r="Y409" i="10"/>
  <c r="Z409" i="10" s="1"/>
  <c r="AA508" i="10"/>
  <c r="AB508" i="10" s="1"/>
  <c r="C29" i="3"/>
  <c r="U619" i="10"/>
  <c r="Y605" i="10"/>
  <c r="Z605" i="10" s="1"/>
  <c r="AA605" i="10" s="1"/>
  <c r="AB605" i="10" s="1"/>
  <c r="U608" i="10" s="1"/>
  <c r="Y606" i="10"/>
  <c r="Y604" i="10"/>
  <c r="Z604" i="10" s="1"/>
  <c r="AA574" i="10"/>
  <c r="AB574" i="10" s="1"/>
  <c r="X19" i="10"/>
  <c r="J19" i="10" s="1"/>
  <c r="M19" i="10" s="1"/>
  <c r="U512" i="10"/>
  <c r="U510" i="10"/>
  <c r="U509" i="10"/>
  <c r="P34" i="10"/>
  <c r="Q34" i="10" s="1"/>
  <c r="P33" i="10"/>
  <c r="Q33" i="10" s="1"/>
  <c r="V33" i="10"/>
  <c r="V34" i="10"/>
  <c r="AA47" i="10"/>
  <c r="AB47" i="10" s="1"/>
  <c r="U260" i="10" s="1"/>
  <c r="AA48" i="10"/>
  <c r="AB48" i="10" s="1"/>
  <c r="Z167" i="10"/>
  <c r="AA167" i="10" s="1"/>
  <c r="AB167" i="10" s="1"/>
  <c r="U189" i="10" s="1"/>
  <c r="Y280" i="10"/>
  <c r="Z280" i="10" s="1"/>
  <c r="Y281" i="10"/>
  <c r="Z281" i="10" s="1"/>
  <c r="Y80" i="10"/>
  <c r="Z80" i="10" s="1"/>
  <c r="Y81" i="10"/>
  <c r="Z81" i="10" s="1"/>
  <c r="Z166" i="10"/>
  <c r="Z451" i="10"/>
  <c r="AA321" i="10"/>
  <c r="AB321" i="10" s="1"/>
  <c r="U340" i="10" s="1"/>
  <c r="AA320" i="10"/>
  <c r="AB320" i="10" s="1"/>
  <c r="U339" i="10" s="1"/>
  <c r="Z362" i="10"/>
  <c r="Y332" i="10"/>
  <c r="Z332" i="10" s="1"/>
  <c r="Y331" i="10"/>
  <c r="Z331" i="10" s="1"/>
  <c r="AA408" i="10" l="1"/>
  <c r="AB408" i="10" s="1"/>
  <c r="AA409" i="10"/>
  <c r="AB409" i="10" s="1"/>
  <c r="J20" i="10"/>
  <c r="M20" i="10" s="1"/>
  <c r="N20" i="10" s="1"/>
  <c r="H22" i="10" s="1"/>
  <c r="U606" i="10"/>
  <c r="U565" i="10"/>
  <c r="Y509" i="10"/>
  <c r="Z509" i="10" s="1"/>
  <c r="Y510" i="10"/>
  <c r="Z510" i="10" s="1"/>
  <c r="AA450" i="10"/>
  <c r="AB450" i="10" s="1"/>
  <c r="G110" i="7" s="1"/>
  <c r="AA451" i="10"/>
  <c r="AB451" i="10" s="1"/>
  <c r="AA362" i="10"/>
  <c r="AB362" i="10" s="1"/>
  <c r="AA363" i="10"/>
  <c r="AB363" i="10" s="1"/>
  <c r="AA332" i="10"/>
  <c r="AB332" i="10" s="1"/>
  <c r="AA331" i="10"/>
  <c r="AB331" i="10" s="1"/>
  <c r="U368" i="10" s="1"/>
  <c r="AA165" i="10"/>
  <c r="AB165" i="10" s="1"/>
  <c r="U170" i="10" s="1"/>
  <c r="AA166" i="10"/>
  <c r="AB166" i="10" s="1"/>
  <c r="U188" i="10" s="1"/>
  <c r="AA164" i="10"/>
  <c r="AB164" i="10" s="1"/>
  <c r="U171" i="10" s="1"/>
  <c r="W33" i="10"/>
  <c r="X33" i="10" s="1"/>
  <c r="W34" i="10"/>
  <c r="X34" i="10" s="1"/>
  <c r="Y260" i="10"/>
  <c r="Z260" i="10" s="1"/>
  <c r="Y261" i="10"/>
  <c r="Z261" i="10" s="1"/>
  <c r="Y340" i="10"/>
  <c r="Z340" i="10" s="1"/>
  <c r="Y339" i="10"/>
  <c r="Z339" i="10" s="1"/>
  <c r="N19" i="10"/>
  <c r="AA80" i="10"/>
  <c r="AB80" i="10" s="1"/>
  <c r="U83" i="10" s="1"/>
  <c r="AA81" i="10"/>
  <c r="AB81" i="10" s="1"/>
  <c r="U85" i="10" s="1"/>
  <c r="AA281" i="10"/>
  <c r="AB281" i="10" s="1"/>
  <c r="U283" i="10" s="1"/>
  <c r="AA280" i="10"/>
  <c r="AB280" i="10" s="1"/>
  <c r="U282" i="10" s="1"/>
  <c r="U769" i="10" l="1"/>
  <c r="U768" i="10"/>
  <c r="U691" i="10"/>
  <c r="U676" i="10"/>
  <c r="U675" i="10"/>
  <c r="U614" i="10"/>
  <c r="Z606" i="10"/>
  <c r="AA510" i="10"/>
  <c r="AB510" i="10" s="1"/>
  <c r="AA509" i="10"/>
  <c r="AB509" i="10" s="1"/>
  <c r="F128" i="7" s="1"/>
  <c r="Z83" i="10"/>
  <c r="AA260" i="10"/>
  <c r="AB260" i="10" s="1"/>
  <c r="U262" i="10" s="1"/>
  <c r="AA261" i="10"/>
  <c r="AB261" i="10" s="1"/>
  <c r="U263" i="10" s="1"/>
  <c r="R29" i="13"/>
  <c r="H21" i="10"/>
  <c r="J34" i="10"/>
  <c r="M34" i="10" s="1"/>
  <c r="N34" i="10" s="1"/>
  <c r="J33" i="10"/>
  <c r="M33" i="10" s="1"/>
  <c r="N33" i="10" s="1"/>
  <c r="Z171" i="10"/>
  <c r="AA171" i="10" s="1"/>
  <c r="AB171" i="10" s="1"/>
  <c r="U184" i="10" s="1"/>
  <c r="Y190" i="10"/>
  <c r="Y188" i="10"/>
  <c r="Z188" i="10" s="1"/>
  <c r="Y191" i="10"/>
  <c r="Y189" i="10"/>
  <c r="Z189" i="10" s="1"/>
  <c r="V22" i="10"/>
  <c r="Z170" i="10"/>
  <c r="Y368" i="10"/>
  <c r="Z368" i="10" s="1"/>
  <c r="Y369" i="10"/>
  <c r="Z369" i="10" s="1"/>
  <c r="AA340" i="10"/>
  <c r="AB340" i="10" s="1"/>
  <c r="U342" i="10" s="1"/>
  <c r="AA339" i="10"/>
  <c r="AB339" i="10" s="1"/>
  <c r="U341" i="10" s="1"/>
  <c r="Y282" i="10"/>
  <c r="Z282" i="10" s="1"/>
  <c r="Y283" i="10"/>
  <c r="Z283" i="10" s="1"/>
  <c r="Y768" i="10" l="1"/>
  <c r="Z768" i="10" s="1"/>
  <c r="Y769" i="10"/>
  <c r="Z769" i="10" s="1"/>
  <c r="Y676" i="10"/>
  <c r="Z676" i="10" s="1"/>
  <c r="AA676" i="10" s="1"/>
  <c r="AB676" i="10" s="1"/>
  <c r="Y675" i="10"/>
  <c r="Z675" i="10" s="1"/>
  <c r="U623" i="10"/>
  <c r="Y614" i="10"/>
  <c r="Z614" i="10" s="1"/>
  <c r="Y613" i="10"/>
  <c r="Z613" i="10" s="1"/>
  <c r="AA613" i="10" s="1"/>
  <c r="AB613" i="10" s="1"/>
  <c r="U615" i="10" s="1"/>
  <c r="AA606" i="10"/>
  <c r="AB606" i="10" s="1"/>
  <c r="AA604" i="10"/>
  <c r="AB604" i="10" s="1"/>
  <c r="U607" i="10" s="1"/>
  <c r="U609" i="10"/>
  <c r="H27" i="5"/>
  <c r="AA369" i="10"/>
  <c r="AB369" i="10" s="1"/>
  <c r="U371" i="10" s="1"/>
  <c r="AA368" i="10"/>
  <c r="AB368" i="10" s="1"/>
  <c r="U370" i="10" s="1"/>
  <c r="O40" i="13"/>
  <c r="O37" i="13"/>
  <c r="O39" i="13"/>
  <c r="O38" i="13"/>
  <c r="O36" i="13"/>
  <c r="H44" i="10"/>
  <c r="T55" i="13"/>
  <c r="T58" i="13"/>
  <c r="T42" i="13"/>
  <c r="T49" i="13"/>
  <c r="T56" i="13"/>
  <c r="T47" i="13"/>
  <c r="T54" i="13"/>
  <c r="T45" i="13"/>
  <c r="T50" i="13"/>
  <c r="T48" i="13"/>
  <c r="T53" i="13"/>
  <c r="T44" i="13"/>
  <c r="T43" i="13"/>
  <c r="T57" i="13"/>
  <c r="T41" i="13"/>
  <c r="T38" i="13"/>
  <c r="T36" i="13"/>
  <c r="T51" i="13"/>
  <c r="T40" i="13"/>
  <c r="T52" i="13"/>
  <c r="T46" i="13"/>
  <c r="T39" i="13"/>
  <c r="T37" i="13"/>
  <c r="H81" i="10"/>
  <c r="AA283" i="10"/>
  <c r="AB283" i="10" s="1"/>
  <c r="U379" i="10" s="1"/>
  <c r="AA282" i="10"/>
  <c r="AB282" i="10" s="1"/>
  <c r="U377" i="10" s="1"/>
  <c r="P21" i="10"/>
  <c r="Q21" i="10" s="1"/>
  <c r="P22" i="10"/>
  <c r="Q22" i="10" s="1"/>
  <c r="V21" i="10"/>
  <c r="Y262" i="10"/>
  <c r="Z262" i="10" s="1"/>
  <c r="Y263" i="10"/>
  <c r="Z263" i="10" s="1"/>
  <c r="AA168" i="10"/>
  <c r="AB168" i="10" s="1"/>
  <c r="U174" i="10" s="1"/>
  <c r="AA170" i="10"/>
  <c r="AB170" i="10" s="1"/>
  <c r="U185" i="10" s="1"/>
  <c r="Y187" i="10" s="1"/>
  <c r="AA169" i="10"/>
  <c r="AB169" i="10" s="1"/>
  <c r="U175" i="10" s="1"/>
  <c r="AA82" i="10"/>
  <c r="AB82" i="10" s="1"/>
  <c r="U84" i="10" s="1"/>
  <c r="AA83" i="10"/>
  <c r="AB83" i="10" s="1"/>
  <c r="Y342" i="10"/>
  <c r="Z342" i="10" s="1"/>
  <c r="Y341" i="10"/>
  <c r="Z341" i="10" s="1"/>
  <c r="AA769" i="10" l="1"/>
  <c r="AB769" i="10" s="1"/>
  <c r="AA768" i="10"/>
  <c r="AB768" i="10" s="1"/>
  <c r="AA675" i="10"/>
  <c r="AB675" i="10" s="1"/>
  <c r="U678" i="10"/>
  <c r="U677" i="10"/>
  <c r="Z623" i="10"/>
  <c r="AA614" i="10"/>
  <c r="AB614" i="10" s="1"/>
  <c r="U616" i="10" s="1"/>
  <c r="Y616" i="10" s="1"/>
  <c r="Z616" i="10" s="1"/>
  <c r="Y608" i="10"/>
  <c r="Z608" i="10" s="1"/>
  <c r="AA608" i="10" s="1"/>
  <c r="AB608" i="10" s="1"/>
  <c r="U611" i="10" s="1"/>
  <c r="Y609" i="10"/>
  <c r="Z609" i="10" s="1"/>
  <c r="AA609" i="10" s="1"/>
  <c r="AB609" i="10" s="1"/>
  <c r="Y607" i="10"/>
  <c r="Z607" i="10" s="1"/>
  <c r="U538" i="10"/>
  <c r="V44" i="10"/>
  <c r="X44" i="10" s="1"/>
  <c r="Q44" i="10"/>
  <c r="W22" i="10"/>
  <c r="X22" i="10" s="1"/>
  <c r="W21" i="10"/>
  <c r="X21" i="10" s="1"/>
  <c r="Z377" i="10"/>
  <c r="Y370" i="10"/>
  <c r="Z370" i="10" s="1"/>
  <c r="Y372" i="10"/>
  <c r="Z372" i="10" s="1"/>
  <c r="AA372" i="10" s="1"/>
  <c r="AB372" i="10" s="1"/>
  <c r="U426" i="10" s="1"/>
  <c r="Y371" i="10"/>
  <c r="Z371" i="10" s="1"/>
  <c r="Z379" i="10"/>
  <c r="AA379" i="10" s="1"/>
  <c r="AB379" i="10" s="1"/>
  <c r="U388" i="10" s="1"/>
  <c r="Y84" i="10"/>
  <c r="Z84" i="10" s="1"/>
  <c r="Y85" i="10"/>
  <c r="Z85" i="10" s="1"/>
  <c r="V81" i="10"/>
  <c r="AA262" i="10"/>
  <c r="AB262" i="10" s="1"/>
  <c r="U264" i="10" s="1"/>
  <c r="AA263" i="10"/>
  <c r="AB263" i="10" s="1"/>
  <c r="U265" i="10" s="1"/>
  <c r="Z175" i="10"/>
  <c r="AA175" i="10" s="1"/>
  <c r="AB175" i="10" s="1"/>
  <c r="U193" i="10" s="1"/>
  <c r="Y185" i="10"/>
  <c r="Z185" i="10" s="1"/>
  <c r="Z174" i="10"/>
  <c r="Y184" i="10"/>
  <c r="Z184" i="10" s="1"/>
  <c r="AA342" i="10"/>
  <c r="AB342" i="10" s="1"/>
  <c r="U344" i="10" s="1"/>
  <c r="AA341" i="10"/>
  <c r="AB341" i="10" s="1"/>
  <c r="U343" i="10" s="1"/>
  <c r="Y186" i="10"/>
  <c r="U771" i="10" l="1"/>
  <c r="U770" i="10"/>
  <c r="Y678" i="10"/>
  <c r="Z678" i="10" s="1"/>
  <c r="AA678" i="10" s="1"/>
  <c r="AB678" i="10" s="1"/>
  <c r="U713" i="10" s="1"/>
  <c r="Y677" i="10"/>
  <c r="Z677" i="10" s="1"/>
  <c r="AA623" i="10"/>
  <c r="AB623" i="10" s="1"/>
  <c r="I128" i="7" s="1"/>
  <c r="AA624" i="10"/>
  <c r="AB624" i="10" s="1"/>
  <c r="B128" i="7" s="1"/>
  <c r="Y615" i="10"/>
  <c r="Z615" i="10" s="1"/>
  <c r="AA615" i="10" s="1"/>
  <c r="AB615" i="10" s="1"/>
  <c r="E110" i="7" s="1"/>
  <c r="B110" i="7"/>
  <c r="AA607" i="10"/>
  <c r="AB607" i="10" s="1"/>
  <c r="U610" i="10" s="1"/>
  <c r="Y610" i="10"/>
  <c r="Y611" i="10"/>
  <c r="Z611" i="10" s="1"/>
  <c r="Y612" i="10"/>
  <c r="U612" i="10"/>
  <c r="Y387" i="10"/>
  <c r="Y388" i="10"/>
  <c r="Z388" i="10" s="1"/>
  <c r="AA371" i="10"/>
  <c r="AB371" i="10" s="1"/>
  <c r="U375" i="10" s="1"/>
  <c r="AA370" i="10"/>
  <c r="AB370" i="10" s="1"/>
  <c r="U373" i="10" s="1"/>
  <c r="Y264" i="10"/>
  <c r="Z264" i="10" s="1"/>
  <c r="Y265" i="10"/>
  <c r="Z265" i="10" s="1"/>
  <c r="AA380" i="10"/>
  <c r="AB380" i="10" s="1"/>
  <c r="D119" i="7" s="1"/>
  <c r="AA377" i="10"/>
  <c r="AB377" i="10" s="1"/>
  <c r="U387" i="10" s="1"/>
  <c r="AA84" i="10"/>
  <c r="AB84" i="10" s="1"/>
  <c r="U93" i="10" s="1"/>
  <c r="AA85" i="10"/>
  <c r="AB85" i="10" s="1"/>
  <c r="K117" i="7" s="1"/>
  <c r="Y426" i="10"/>
  <c r="Z426" i="10" s="1"/>
  <c r="Y425" i="10"/>
  <c r="Y344" i="10"/>
  <c r="Z344" i="10" s="1"/>
  <c r="Y343" i="10"/>
  <c r="Z343" i="10" s="1"/>
  <c r="AA173" i="10"/>
  <c r="AB173" i="10" s="1"/>
  <c r="U177" i="10" s="1"/>
  <c r="AA174" i="10"/>
  <c r="AB174" i="10" s="1"/>
  <c r="U192" i="10" s="1"/>
  <c r="AA172" i="10"/>
  <c r="AB172" i="10" s="1"/>
  <c r="U176" i="10" s="1"/>
  <c r="J44" i="10"/>
  <c r="M44" i="10" s="1"/>
  <c r="N44" i="10" s="1"/>
  <c r="J43" i="10"/>
  <c r="M43" i="10" s="1"/>
  <c r="N43" i="10" s="1"/>
  <c r="J21" i="10"/>
  <c r="M21" i="10" s="1"/>
  <c r="N21" i="10" s="1"/>
  <c r="J22" i="10"/>
  <c r="M22" i="10" s="1"/>
  <c r="N22" i="10" s="1"/>
  <c r="Y771" i="10" l="1"/>
  <c r="Z771" i="10" s="1"/>
  <c r="AA771" i="10" s="1"/>
  <c r="AB771" i="10" s="1"/>
  <c r="Y770" i="10"/>
  <c r="Z770" i="10" s="1"/>
  <c r="AA770" i="10" s="1"/>
  <c r="AB770" i="10" s="1"/>
  <c r="Y713" i="10"/>
  <c r="Z713" i="10" s="1"/>
  <c r="Y714" i="10"/>
  <c r="AA677" i="10"/>
  <c r="AB677" i="10" s="1"/>
  <c r="U757" i="10" s="1"/>
  <c r="P128" i="7"/>
  <c r="B32" i="3" s="1"/>
  <c r="AA616" i="10"/>
  <c r="AB616" i="10" s="1"/>
  <c r="U714" i="10" s="1"/>
  <c r="Z610" i="10"/>
  <c r="AA610" i="10" s="1"/>
  <c r="AB610" i="10" s="1"/>
  <c r="Z612" i="10"/>
  <c r="AA612" i="10" s="1"/>
  <c r="AB612" i="10" s="1"/>
  <c r="AA264" i="10"/>
  <c r="AB264" i="10" s="1"/>
  <c r="U266" i="10" s="1"/>
  <c r="AA265" i="10"/>
  <c r="AB265" i="10" s="1"/>
  <c r="U267" i="10" s="1"/>
  <c r="Y374" i="10"/>
  <c r="Z374" i="10" s="1"/>
  <c r="Y376" i="10"/>
  <c r="Z376" i="10" s="1"/>
  <c r="AA376" i="10" s="1"/>
  <c r="AB376" i="10" s="1"/>
  <c r="U395" i="10" s="1"/>
  <c r="Y373" i="10"/>
  <c r="Z373" i="10" s="1"/>
  <c r="Y375" i="10"/>
  <c r="Z375" i="10" s="1"/>
  <c r="AA375" i="10" s="1"/>
  <c r="AB375" i="10" s="1"/>
  <c r="U394" i="10" s="1"/>
  <c r="Y178" i="10"/>
  <c r="Z178" i="10" s="1"/>
  <c r="Y176" i="10"/>
  <c r="Z176" i="10" s="1"/>
  <c r="Y179" i="10"/>
  <c r="Z179" i="10" s="1"/>
  <c r="AA179" i="10" s="1"/>
  <c r="AB179" i="10" s="1"/>
  <c r="U203" i="10" s="1"/>
  <c r="Y177" i="10"/>
  <c r="Z177" i="10" s="1"/>
  <c r="K41" i="13"/>
  <c r="H45" i="10"/>
  <c r="O46" i="13"/>
  <c r="O44" i="13"/>
  <c r="O45" i="13"/>
  <c r="O43" i="13"/>
  <c r="O42" i="13"/>
  <c r="O41" i="13"/>
  <c r="O47" i="13"/>
  <c r="H57" i="10"/>
  <c r="Y194" i="10"/>
  <c r="Y192" i="10"/>
  <c r="Z192" i="10" s="1"/>
  <c r="Y193" i="10"/>
  <c r="Z193" i="10" s="1"/>
  <c r="Y195" i="10"/>
  <c r="Z387" i="10"/>
  <c r="Y93" i="10"/>
  <c r="Z93" i="10" s="1"/>
  <c r="Y92" i="10"/>
  <c r="Z92" i="10" s="1"/>
  <c r="AA344" i="10"/>
  <c r="AB344" i="10" s="1"/>
  <c r="U346" i="10" s="1"/>
  <c r="AA343" i="10"/>
  <c r="AB343" i="10" s="1"/>
  <c r="U345" i="10" s="1"/>
  <c r="H24" i="10"/>
  <c r="R30" i="13"/>
  <c r="H23" i="10"/>
  <c r="U773" i="10" l="1"/>
  <c r="U772" i="10"/>
  <c r="Y758" i="10"/>
  <c r="Y757" i="10"/>
  <c r="Z757" i="10" s="1"/>
  <c r="Z714" i="10"/>
  <c r="D32" i="3"/>
  <c r="C32" i="3"/>
  <c r="U618" i="10"/>
  <c r="U617" i="10"/>
  <c r="AA611" i="10"/>
  <c r="AB611" i="10" s="1"/>
  <c r="P57" i="10"/>
  <c r="Q57" i="10" s="1"/>
  <c r="P58" i="10"/>
  <c r="V57" i="10"/>
  <c r="AA178" i="10"/>
  <c r="AB178" i="10" s="1"/>
  <c r="U202" i="10" s="1"/>
  <c r="AA177" i="10"/>
  <c r="AB177" i="10" s="1"/>
  <c r="U181" i="10" s="1"/>
  <c r="AA176" i="10"/>
  <c r="AB176" i="10" s="1"/>
  <c r="U180" i="10" s="1"/>
  <c r="Y346" i="10"/>
  <c r="Z346" i="10" s="1"/>
  <c r="Y345" i="10"/>
  <c r="Z345" i="10" s="1"/>
  <c r="AA374" i="10"/>
  <c r="AB374" i="10" s="1"/>
  <c r="H124" i="7" s="1"/>
  <c r="AA373" i="10"/>
  <c r="AB373" i="10" s="1"/>
  <c r="U393" i="10" s="1"/>
  <c r="P24" i="10"/>
  <c r="Q24" i="10" s="1"/>
  <c r="P23" i="10"/>
  <c r="Q23" i="10" s="1"/>
  <c r="V24" i="10"/>
  <c r="Y266" i="10"/>
  <c r="Z266" i="10" s="1"/>
  <c r="Y267" i="10"/>
  <c r="Z267" i="10" s="1"/>
  <c r="AA92" i="10"/>
  <c r="AB92" i="10" s="1"/>
  <c r="AA93" i="10"/>
  <c r="AB93" i="10" s="1"/>
  <c r="U94" i="10" s="1"/>
  <c r="P45" i="10"/>
  <c r="Q45" i="10" s="1"/>
  <c r="P46" i="10"/>
  <c r="Q46" i="10" s="1"/>
  <c r="V45" i="10"/>
  <c r="AA387" i="10"/>
  <c r="AB387" i="10" s="1"/>
  <c r="U389" i="10" s="1"/>
  <c r="AA388" i="10"/>
  <c r="AB388" i="10" s="1"/>
  <c r="U390" i="10" s="1"/>
  <c r="V23" i="10"/>
  <c r="Y773" i="10" l="1"/>
  <c r="Z773" i="10" s="1"/>
  <c r="AA773" i="10" s="1"/>
  <c r="AB773" i="10" s="1"/>
  <c r="B121" i="7" s="1"/>
  <c r="Y772" i="10"/>
  <c r="Z772" i="10" s="1"/>
  <c r="AA772" i="10" s="1"/>
  <c r="AB772" i="10" s="1"/>
  <c r="I121" i="7" s="1"/>
  <c r="AA714" i="10"/>
  <c r="AB714" i="10" s="1"/>
  <c r="U715" i="10" s="1"/>
  <c r="AA713" i="10"/>
  <c r="AB713" i="10" s="1"/>
  <c r="U716" i="10" s="1"/>
  <c r="Y621" i="10"/>
  <c r="Y619" i="10"/>
  <c r="Z619" i="10" s="1"/>
  <c r="AA619" i="10" s="1"/>
  <c r="AB619" i="10" s="1"/>
  <c r="Y617" i="10"/>
  <c r="Z617" i="10" s="1"/>
  <c r="AA617" i="10" s="1"/>
  <c r="AB617" i="10" s="1"/>
  <c r="Y620" i="10"/>
  <c r="Z620" i="10" s="1"/>
  <c r="AA620" i="10" s="1"/>
  <c r="AB620" i="10" s="1"/>
  <c r="E107" i="7" s="1"/>
  <c r="Y618" i="10"/>
  <c r="Z618" i="10" s="1"/>
  <c r="U621" i="10"/>
  <c r="U540" i="10"/>
  <c r="AA266" i="10"/>
  <c r="AB266" i="10" s="1"/>
  <c r="U268" i="10" s="1"/>
  <c r="AA267" i="10"/>
  <c r="AB267" i="10" s="1"/>
  <c r="U269" i="10" s="1"/>
  <c r="AA346" i="10"/>
  <c r="AB346" i="10" s="1"/>
  <c r="B118" i="7" s="1"/>
  <c r="AA345" i="10"/>
  <c r="AB345" i="10" s="1"/>
  <c r="Y182" i="10"/>
  <c r="Z182" i="10" s="1"/>
  <c r="Y180" i="10"/>
  <c r="Z180" i="10" s="1"/>
  <c r="Y181" i="10"/>
  <c r="Z181" i="10" s="1"/>
  <c r="Y183" i="10"/>
  <c r="Z183" i="10" s="1"/>
  <c r="AA183" i="10" s="1"/>
  <c r="AB183" i="10" s="1"/>
  <c r="U204" i="10" s="1"/>
  <c r="Y95" i="10"/>
  <c r="Z95" i="10" s="1"/>
  <c r="Y94" i="10"/>
  <c r="Z94" i="10" s="1"/>
  <c r="W58" i="10"/>
  <c r="W57" i="10"/>
  <c r="X57" i="10" s="1"/>
  <c r="W45" i="10"/>
  <c r="X45" i="10" s="1"/>
  <c r="W46" i="10"/>
  <c r="X46" i="10" s="1"/>
  <c r="W24" i="10"/>
  <c r="X24" i="10" s="1"/>
  <c r="W23" i="10"/>
  <c r="X23" i="10" s="1"/>
  <c r="Y390" i="10"/>
  <c r="Z390" i="10" s="1"/>
  <c r="Y389" i="10"/>
  <c r="Z389" i="10" s="1"/>
  <c r="Y394" i="10"/>
  <c r="Z394" i="10" s="1"/>
  <c r="Y393" i="10"/>
  <c r="Z393" i="10" s="1"/>
  <c r="Y395" i="10"/>
  <c r="Z395" i="10" s="1"/>
  <c r="AA395" i="10" s="1"/>
  <c r="AB395" i="10" s="1"/>
  <c r="U397" i="10" s="1"/>
  <c r="P121" i="7" l="1"/>
  <c r="B25" i="3" s="1"/>
  <c r="D25" i="3" s="1"/>
  <c r="Y715" i="10"/>
  <c r="Z715" i="10" s="1"/>
  <c r="Y716" i="10"/>
  <c r="Z716" i="10" s="1"/>
  <c r="U626" i="10"/>
  <c r="U625" i="10"/>
  <c r="Z621" i="10"/>
  <c r="AA621" i="10" s="1"/>
  <c r="AB621" i="10" s="1"/>
  <c r="I107" i="7" s="1"/>
  <c r="AA394" i="10"/>
  <c r="AB394" i="10" s="1"/>
  <c r="U398" i="10" s="1"/>
  <c r="AA393" i="10"/>
  <c r="AB393" i="10" s="1"/>
  <c r="U396" i="10" s="1"/>
  <c r="AA94" i="10"/>
  <c r="AB94" i="10" s="1"/>
  <c r="U96" i="10" s="1"/>
  <c r="AA95" i="10"/>
  <c r="AB95" i="10" s="1"/>
  <c r="U97" i="10" s="1"/>
  <c r="J23" i="10"/>
  <c r="M23" i="10" s="1"/>
  <c r="N23" i="10" s="1"/>
  <c r="J24" i="10"/>
  <c r="M24" i="10" s="1"/>
  <c r="N24" i="10" s="1"/>
  <c r="J45" i="10"/>
  <c r="M45" i="10" s="1"/>
  <c r="N45" i="10" s="1"/>
  <c r="J46" i="10"/>
  <c r="M46" i="10" s="1"/>
  <c r="N46" i="10" s="1"/>
  <c r="AA389" i="10"/>
  <c r="AB389" i="10" s="1"/>
  <c r="U391" i="10" s="1"/>
  <c r="AA390" i="10"/>
  <c r="AB390" i="10" s="1"/>
  <c r="U392" i="10" s="1"/>
  <c r="AA182" i="10"/>
  <c r="AB182" i="10" s="1"/>
  <c r="K123" i="7" s="1"/>
  <c r="AA180" i="10"/>
  <c r="AB180" i="10" s="1"/>
  <c r="U186" i="10" s="1"/>
  <c r="AA181" i="10"/>
  <c r="AB181" i="10" s="1"/>
  <c r="U187" i="10" s="1"/>
  <c r="H17" i="5"/>
  <c r="E23" i="9"/>
  <c r="Y268" i="10"/>
  <c r="Z268" i="10" s="1"/>
  <c r="Y269" i="10"/>
  <c r="Z269" i="10" s="1"/>
  <c r="C25" i="3" l="1"/>
  <c r="AA716" i="10"/>
  <c r="AB716" i="10" s="1"/>
  <c r="U717" i="10" s="1"/>
  <c r="AA715" i="10"/>
  <c r="AB715" i="10" s="1"/>
  <c r="U718" i="10" s="1"/>
  <c r="Y626" i="10"/>
  <c r="Z626" i="10" s="1"/>
  <c r="AA626" i="10" s="1"/>
  <c r="AB626" i="10" s="1"/>
  <c r="Y625" i="10"/>
  <c r="Z625" i="10" s="1"/>
  <c r="AA618" i="10"/>
  <c r="AB618" i="10" s="1"/>
  <c r="B107" i="7" s="1"/>
  <c r="M43" i="13"/>
  <c r="M42" i="13"/>
  <c r="H49" i="10"/>
  <c r="H26" i="10"/>
  <c r="AA268" i="10"/>
  <c r="AB268" i="10" s="1"/>
  <c r="U303" i="10" s="1"/>
  <c r="AA269" i="10"/>
  <c r="AB269" i="10" s="1"/>
  <c r="U296" i="10" s="1"/>
  <c r="R31" i="13"/>
  <c r="H25" i="10"/>
  <c r="K42" i="13"/>
  <c r="H47" i="10"/>
  <c r="Y392" i="10"/>
  <c r="Z392" i="10" s="1"/>
  <c r="Y391" i="10"/>
  <c r="Z391" i="10" s="1"/>
  <c r="Z187" i="10"/>
  <c r="AA187" i="10" s="1"/>
  <c r="AB187" i="10" s="1"/>
  <c r="U197" i="10" s="1"/>
  <c r="Z186" i="10"/>
  <c r="Y97" i="10"/>
  <c r="Z97" i="10" s="1"/>
  <c r="Y96" i="10"/>
  <c r="Z96" i="10" s="1"/>
  <c r="Y396" i="10"/>
  <c r="Z396" i="10" s="1"/>
  <c r="Y398" i="10"/>
  <c r="Z398" i="10" s="1"/>
  <c r="Y397" i="10"/>
  <c r="Z397" i="10" s="1"/>
  <c r="AA397" i="10" s="1"/>
  <c r="AB397" i="10" s="1"/>
  <c r="U400" i="10" s="1"/>
  <c r="U767" i="10" l="1"/>
  <c r="Y717" i="10"/>
  <c r="Z717" i="10" s="1"/>
  <c r="Y718" i="10"/>
  <c r="Z718" i="10" s="1"/>
  <c r="AA625" i="10"/>
  <c r="AB625" i="10" s="1"/>
  <c r="Y296" i="10"/>
  <c r="Z296" i="10" s="1"/>
  <c r="Y297" i="10"/>
  <c r="Z297" i="10" s="1"/>
  <c r="AA184" i="10"/>
  <c r="AB184" i="10" s="1"/>
  <c r="U190" i="10" s="1"/>
  <c r="AA185" i="10"/>
  <c r="AB185" i="10" s="1"/>
  <c r="U191" i="10" s="1"/>
  <c r="AA186" i="10"/>
  <c r="AB186" i="10" s="1"/>
  <c r="U196" i="10" s="1"/>
  <c r="AA396" i="10"/>
  <c r="AB396" i="10" s="1"/>
  <c r="U399" i="10" s="1"/>
  <c r="AA398" i="10"/>
  <c r="AB398" i="10" s="1"/>
  <c r="U401" i="10" s="1"/>
  <c r="AA392" i="10"/>
  <c r="AB392" i="10" s="1"/>
  <c r="U754" i="10" s="1"/>
  <c r="AA391" i="10"/>
  <c r="AB391" i="10" s="1"/>
  <c r="U449" i="10" s="1"/>
  <c r="P26" i="10"/>
  <c r="Q26" i="10" s="1"/>
  <c r="P25" i="10"/>
  <c r="Q25" i="10" s="1"/>
  <c r="V26" i="10"/>
  <c r="V25" i="10"/>
  <c r="P50" i="10"/>
  <c r="V49" i="10"/>
  <c r="P49" i="10"/>
  <c r="Q49" i="10" s="1"/>
  <c r="AA97" i="10"/>
  <c r="AB97" i="10" s="1"/>
  <c r="U110" i="10" s="1"/>
  <c r="AA96" i="10"/>
  <c r="AB96" i="10" s="1"/>
  <c r="U98" i="10" s="1"/>
  <c r="P47" i="10"/>
  <c r="Q47" i="10" s="1"/>
  <c r="P48" i="10"/>
  <c r="V47" i="10"/>
  <c r="U760" i="10" l="1"/>
  <c r="Y754" i="10"/>
  <c r="Z754" i="10" s="1"/>
  <c r="Y753" i="10"/>
  <c r="L118" i="7"/>
  <c r="E33" i="9" s="1"/>
  <c r="AA718" i="10"/>
  <c r="AB718" i="10" s="1"/>
  <c r="J110" i="7" s="1"/>
  <c r="AA717" i="10"/>
  <c r="AB717" i="10" s="1"/>
  <c r="U758" i="10" s="1"/>
  <c r="Y110" i="10"/>
  <c r="Z110" i="10" s="1"/>
  <c r="Y111" i="10"/>
  <c r="Z191" i="10"/>
  <c r="AA191" i="10" s="1"/>
  <c r="AB191" i="10" s="1"/>
  <c r="N123" i="7" s="1"/>
  <c r="W49" i="10"/>
  <c r="X49" i="10" s="1"/>
  <c r="W50" i="10"/>
  <c r="W48" i="10"/>
  <c r="W47" i="10"/>
  <c r="X47" i="10" s="1"/>
  <c r="Z190" i="10"/>
  <c r="Y198" i="10"/>
  <c r="Y196" i="10"/>
  <c r="Z196" i="10" s="1"/>
  <c r="Y197" i="10"/>
  <c r="Z197" i="10" s="1"/>
  <c r="Y199" i="10"/>
  <c r="Y399" i="10"/>
  <c r="Z399" i="10" s="1"/>
  <c r="Y401" i="10"/>
  <c r="Z401" i="10" s="1"/>
  <c r="AA401" i="10" s="1"/>
  <c r="AB401" i="10" s="1"/>
  <c r="U436" i="10" s="1"/>
  <c r="Y400" i="10"/>
  <c r="Z400" i="10" s="1"/>
  <c r="AA296" i="10"/>
  <c r="AB296" i="10" s="1"/>
  <c r="U298" i="10" s="1"/>
  <c r="AA297" i="10"/>
  <c r="AB297" i="10" s="1"/>
  <c r="U299" i="10" s="1"/>
  <c r="W26" i="10"/>
  <c r="X26" i="10" s="1"/>
  <c r="W25" i="10"/>
  <c r="X25" i="10" s="1"/>
  <c r="Y99" i="10"/>
  <c r="Z99" i="10" s="1"/>
  <c r="Y98" i="10"/>
  <c r="Z98" i="10" s="1"/>
  <c r="Z449" i="10"/>
  <c r="Y759" i="10" l="1"/>
  <c r="Z759" i="10" s="1"/>
  <c r="AA759" i="10" s="1"/>
  <c r="AB759" i="10" s="1"/>
  <c r="Y760" i="10"/>
  <c r="Z760" i="10" s="1"/>
  <c r="AA760" i="10" s="1"/>
  <c r="AB760" i="10" s="1"/>
  <c r="Z758" i="10"/>
  <c r="AA449" i="10"/>
  <c r="AB449" i="10" s="1"/>
  <c r="U464" i="10" s="1"/>
  <c r="AA448" i="10"/>
  <c r="AB448" i="10" s="1"/>
  <c r="U465" i="10" s="1"/>
  <c r="Y299" i="10"/>
  <c r="Z299" i="10" s="1"/>
  <c r="Y298" i="10"/>
  <c r="Z298" i="10" s="1"/>
  <c r="AA399" i="10"/>
  <c r="AB399" i="10" s="1"/>
  <c r="U425" i="10" s="1"/>
  <c r="AA400" i="10"/>
  <c r="AB400" i="10" s="1"/>
  <c r="U731" i="10" s="1"/>
  <c r="AA99" i="10"/>
  <c r="AB99" i="10" s="1"/>
  <c r="U101" i="10" s="1"/>
  <c r="AA98" i="10"/>
  <c r="AB98" i="10" s="1"/>
  <c r="U100" i="10" s="1"/>
  <c r="AA188" i="10"/>
  <c r="AB188" i="10" s="1"/>
  <c r="U195" i="10" s="1"/>
  <c r="AA189" i="10"/>
  <c r="AB189" i="10" s="1"/>
  <c r="U194" i="10" s="1"/>
  <c r="AA190" i="10"/>
  <c r="AB190" i="10" s="1"/>
  <c r="U205" i="10" s="1"/>
  <c r="J25" i="10"/>
  <c r="M25" i="10" s="1"/>
  <c r="N25" i="10" s="1"/>
  <c r="J26" i="10"/>
  <c r="M26" i="10" s="1"/>
  <c r="N26" i="10" s="1"/>
  <c r="U762" i="10" l="1"/>
  <c r="U761" i="10"/>
  <c r="AA758" i="10"/>
  <c r="AB758" i="10" s="1"/>
  <c r="I110" i="7" s="1"/>
  <c r="AA757" i="10"/>
  <c r="AB757" i="10" s="1"/>
  <c r="F110" i="7" s="1"/>
  <c r="Y206" i="10"/>
  <c r="Y204" i="10"/>
  <c r="Z204" i="10" s="1"/>
  <c r="Y205" i="10"/>
  <c r="Z205" i="10" s="1"/>
  <c r="Y207" i="10"/>
  <c r="Z425" i="10"/>
  <c r="R32" i="13"/>
  <c r="H27" i="10"/>
  <c r="H28" i="10"/>
  <c r="AA298" i="10"/>
  <c r="AB298" i="10" s="1"/>
  <c r="U300" i="10" s="1"/>
  <c r="AA299" i="10"/>
  <c r="AB299" i="10" s="1"/>
  <c r="U301" i="10" s="1"/>
  <c r="Y464" i="10"/>
  <c r="Z464" i="10" s="1"/>
  <c r="Y465" i="10"/>
  <c r="Z465" i="10" s="1"/>
  <c r="Z194" i="10"/>
  <c r="Z195" i="10"/>
  <c r="AA195" i="10" s="1"/>
  <c r="AB195" i="10" s="1"/>
  <c r="U211" i="10" s="1"/>
  <c r="Y101" i="10"/>
  <c r="Z101" i="10" s="1"/>
  <c r="Y100" i="10"/>
  <c r="Z100" i="10" s="1"/>
  <c r="Y761" i="10" l="1"/>
  <c r="Z761" i="10" s="1"/>
  <c r="Y762" i="10"/>
  <c r="Z762" i="10" s="1"/>
  <c r="P110" i="7"/>
  <c r="B14" i="3" s="1"/>
  <c r="H9" i="5"/>
  <c r="P28" i="10"/>
  <c r="Q28" i="10" s="1"/>
  <c r="P27" i="10"/>
  <c r="Q27" i="10" s="1"/>
  <c r="V28" i="10"/>
  <c r="V27" i="10"/>
  <c r="AA101" i="10"/>
  <c r="AB101" i="10" s="1"/>
  <c r="U103" i="10" s="1"/>
  <c r="AA100" i="10"/>
  <c r="AB100" i="10" s="1"/>
  <c r="U102" i="10" s="1"/>
  <c r="AA425" i="10"/>
  <c r="AB425" i="10" s="1"/>
  <c r="U427" i="10" s="1"/>
  <c r="AA426" i="10"/>
  <c r="AB426" i="10" s="1"/>
  <c r="U428" i="10" s="1"/>
  <c r="AA193" i="10"/>
  <c r="AB193" i="10" s="1"/>
  <c r="U199" i="10" s="1"/>
  <c r="AA194" i="10"/>
  <c r="AB194" i="10" s="1"/>
  <c r="U210" i="10" s="1"/>
  <c r="AA192" i="10"/>
  <c r="AB192" i="10" s="1"/>
  <c r="U198" i="10" s="1"/>
  <c r="AA465" i="10"/>
  <c r="AB465" i="10" s="1"/>
  <c r="U467" i="10" s="1"/>
  <c r="AA464" i="10"/>
  <c r="AB464" i="10" s="1"/>
  <c r="U466" i="10" s="1"/>
  <c r="Y300" i="10"/>
  <c r="Z300" i="10" s="1"/>
  <c r="Y301" i="10"/>
  <c r="Z301" i="10" s="1"/>
  <c r="AA762" i="10" l="1"/>
  <c r="AB762" i="10" s="1"/>
  <c r="AA761" i="10"/>
  <c r="AB761" i="10" s="1"/>
  <c r="D14" i="3"/>
  <c r="C14" i="3"/>
  <c r="Y427" i="10"/>
  <c r="Z427" i="10" s="1"/>
  <c r="Y428" i="10"/>
  <c r="Z428" i="10" s="1"/>
  <c r="Y103" i="10"/>
  <c r="Z103" i="10" s="1"/>
  <c r="Y102" i="10"/>
  <c r="Z102" i="10" s="1"/>
  <c r="Z199" i="10"/>
  <c r="AA199" i="10" s="1"/>
  <c r="AB199" i="10" s="1"/>
  <c r="U218" i="10" s="1"/>
  <c r="AA300" i="10"/>
  <c r="AB300" i="10" s="1"/>
  <c r="U302" i="10" s="1"/>
  <c r="AA301" i="10"/>
  <c r="AB301" i="10" s="1"/>
  <c r="W28" i="10"/>
  <c r="X28" i="10" s="1"/>
  <c r="W27" i="10"/>
  <c r="X27" i="10" s="1"/>
  <c r="Z198" i="10"/>
  <c r="Y466" i="10"/>
  <c r="Z466" i="10" s="1"/>
  <c r="Y467" i="10"/>
  <c r="Z467" i="10" s="1"/>
  <c r="U764" i="10" l="1"/>
  <c r="U763" i="10"/>
  <c r="U569" i="10"/>
  <c r="Y302" i="10"/>
  <c r="Z302" i="10" s="1"/>
  <c r="Y303" i="10"/>
  <c r="Z303" i="10" s="1"/>
  <c r="AA103" i="10"/>
  <c r="AB103" i="10" s="1"/>
  <c r="U111" i="10" s="1"/>
  <c r="AA102" i="10"/>
  <c r="AB102" i="10" s="1"/>
  <c r="F117" i="7" s="1"/>
  <c r="AA197" i="10"/>
  <c r="AB197" i="10" s="1"/>
  <c r="U201" i="10" s="1"/>
  <c r="AA198" i="10"/>
  <c r="AB198" i="10" s="1"/>
  <c r="U219" i="10" s="1"/>
  <c r="AA196" i="10"/>
  <c r="AB196" i="10" s="1"/>
  <c r="U200" i="10" s="1"/>
  <c r="AA466" i="10"/>
  <c r="AB466" i="10" s="1"/>
  <c r="U753" i="10" s="1"/>
  <c r="Z753" i="10" s="1"/>
  <c r="AA467" i="10"/>
  <c r="AB467" i="10" s="1"/>
  <c r="U491" i="10" s="1"/>
  <c r="AA428" i="10"/>
  <c r="AB428" i="10" s="1"/>
  <c r="U430" i="10" s="1"/>
  <c r="AA427" i="10"/>
  <c r="AB427" i="10" s="1"/>
  <c r="U429" i="10" s="1"/>
  <c r="J27" i="10"/>
  <c r="M27" i="10" s="1"/>
  <c r="N27" i="10" s="1"/>
  <c r="J28" i="10"/>
  <c r="M28" i="10" s="1"/>
  <c r="N28" i="10" s="1"/>
  <c r="Y763" i="10" l="1"/>
  <c r="Z763" i="10" s="1"/>
  <c r="AA763" i="10" s="1"/>
  <c r="AB763" i="10" s="1"/>
  <c r="Y764" i="10"/>
  <c r="Z764" i="10" s="1"/>
  <c r="AA764" i="10" s="1"/>
  <c r="AB764" i="10" s="1"/>
  <c r="AA753" i="10"/>
  <c r="AB753" i="10" s="1"/>
  <c r="U755" i="10" s="1"/>
  <c r="AA754" i="10"/>
  <c r="AB754" i="10" s="1"/>
  <c r="U756" i="10" s="1"/>
  <c r="G118" i="7"/>
  <c r="R35" i="13"/>
  <c r="R33" i="13"/>
  <c r="R36" i="13"/>
  <c r="R34" i="13"/>
  <c r="H36" i="10"/>
  <c r="Y429" i="10"/>
  <c r="Z429" i="10" s="1"/>
  <c r="Y430" i="10"/>
  <c r="Z430" i="10" s="1"/>
  <c r="Y492" i="10"/>
  <c r="Z492" i="10" s="1"/>
  <c r="Y491" i="10"/>
  <c r="Z491" i="10" s="1"/>
  <c r="Y202" i="10"/>
  <c r="Z202" i="10" s="1"/>
  <c r="Y200" i="10"/>
  <c r="Z200" i="10" s="1"/>
  <c r="Y203" i="10"/>
  <c r="Z203" i="10" s="1"/>
  <c r="AA203" i="10" s="1"/>
  <c r="AB203" i="10" s="1"/>
  <c r="U212" i="10" s="1"/>
  <c r="Y201" i="10"/>
  <c r="Z201" i="10" s="1"/>
  <c r="Z111" i="10"/>
  <c r="AA303" i="10"/>
  <c r="AB303" i="10" s="1"/>
  <c r="U305" i="10" s="1"/>
  <c r="AA302" i="10"/>
  <c r="AB302" i="10" s="1"/>
  <c r="U304" i="10" s="1"/>
  <c r="H35" i="10"/>
  <c r="U766" i="10" l="1"/>
  <c r="U765" i="10"/>
  <c r="Y767" i="10" s="1"/>
  <c r="Z767" i="10" s="1"/>
  <c r="AA767" i="10" s="1"/>
  <c r="AB767" i="10" s="1"/>
  <c r="G107" i="7" s="1"/>
  <c r="Y756" i="10"/>
  <c r="Z756" i="10" s="1"/>
  <c r="AA756" i="10" s="1"/>
  <c r="AB756" i="10" s="1"/>
  <c r="L119" i="7" s="1"/>
  <c r="Y755" i="10"/>
  <c r="Z755" i="10" s="1"/>
  <c r="P118" i="7"/>
  <c r="B22" i="3" s="1"/>
  <c r="E28" i="9"/>
  <c r="P36" i="10"/>
  <c r="Q36" i="10" s="1"/>
  <c r="P35" i="10"/>
  <c r="Q35" i="10" s="1"/>
  <c r="V35" i="10"/>
  <c r="AA202" i="10"/>
  <c r="AB202" i="10" s="1"/>
  <c r="U213" i="10" s="1"/>
  <c r="AA201" i="10"/>
  <c r="AB201" i="10" s="1"/>
  <c r="U207" i="10" s="1"/>
  <c r="AA200" i="10"/>
  <c r="AB200" i="10" s="1"/>
  <c r="U206" i="10" s="1"/>
  <c r="Y305" i="10"/>
  <c r="Z305" i="10" s="1"/>
  <c r="Y304" i="10"/>
  <c r="Z304" i="10" s="1"/>
  <c r="AA110" i="10"/>
  <c r="AB110" i="10" s="1"/>
  <c r="U112" i="10" s="1"/>
  <c r="AA111" i="10"/>
  <c r="AB111" i="10" s="1"/>
  <c r="U113" i="10" s="1"/>
  <c r="AA491" i="10"/>
  <c r="AB491" i="10" s="1"/>
  <c r="U493" i="10" s="1"/>
  <c r="AA492" i="10"/>
  <c r="AB492" i="10" s="1"/>
  <c r="U494" i="10" s="1"/>
  <c r="AA429" i="10"/>
  <c r="AB429" i="10" s="1"/>
  <c r="U431" i="10" s="1"/>
  <c r="AA430" i="10"/>
  <c r="AB430" i="10" s="1"/>
  <c r="U432" i="10" s="1"/>
  <c r="V36" i="10"/>
  <c r="Y765" i="10" l="1"/>
  <c r="Z765" i="10" s="1"/>
  <c r="Y766" i="10"/>
  <c r="Z766" i="10" s="1"/>
  <c r="AA755" i="10"/>
  <c r="AB755" i="10" s="1"/>
  <c r="G119" i="7" s="1"/>
  <c r="C22" i="3"/>
  <c r="D22" i="3"/>
  <c r="F28" i="9"/>
  <c r="F30" i="9"/>
  <c r="F33" i="9"/>
  <c r="F27" i="9"/>
  <c r="F23" i="9"/>
  <c r="Y113" i="10"/>
  <c r="Z113" i="10" s="1"/>
  <c r="Y112" i="10"/>
  <c r="Z112" i="10" s="1"/>
  <c r="Z206" i="10"/>
  <c r="Z207" i="10"/>
  <c r="AA207" i="10" s="1"/>
  <c r="AB207" i="10" s="1"/>
  <c r="I123" i="7" s="1"/>
  <c r="Y431" i="10"/>
  <c r="Z431" i="10" s="1"/>
  <c r="Y432" i="10"/>
  <c r="Z432" i="10" s="1"/>
  <c r="Y213" i="10"/>
  <c r="Z213" i="10" s="1"/>
  <c r="W35" i="10"/>
  <c r="X35" i="10" s="1"/>
  <c r="W36" i="10"/>
  <c r="X36" i="10" s="1"/>
  <c r="Y494" i="10"/>
  <c r="Z494" i="10" s="1"/>
  <c r="Y493" i="10"/>
  <c r="Z493" i="10" s="1"/>
  <c r="AA305" i="10"/>
  <c r="AB305" i="10" s="1"/>
  <c r="U313" i="10" s="1"/>
  <c r="AA304" i="10"/>
  <c r="AB304" i="10" s="1"/>
  <c r="U312" i="10" s="1"/>
  <c r="Y212" i="10"/>
  <c r="Z212" i="10" s="1"/>
  <c r="Y214" i="10"/>
  <c r="Y215" i="10"/>
  <c r="AA766" i="10" l="1"/>
  <c r="AB766" i="10" s="1"/>
  <c r="L107" i="7" s="1"/>
  <c r="AA765" i="10"/>
  <c r="AB765" i="10" s="1"/>
  <c r="H107" i="7" s="1"/>
  <c r="AA493" i="10"/>
  <c r="AB493" i="10" s="1"/>
  <c r="U721" i="10" s="1"/>
  <c r="AA494" i="10"/>
  <c r="AB494" i="10" s="1"/>
  <c r="U722" i="10" s="1"/>
  <c r="Y312" i="10"/>
  <c r="Z312" i="10" s="1"/>
  <c r="Y313" i="10"/>
  <c r="Z313" i="10" s="1"/>
  <c r="AA205" i="10"/>
  <c r="AB205" i="10" s="1"/>
  <c r="U209" i="10" s="1"/>
  <c r="AA206" i="10"/>
  <c r="AB206" i="10" s="1"/>
  <c r="J123" i="7" s="1"/>
  <c r="AA204" i="10"/>
  <c r="AB204" i="10" s="1"/>
  <c r="U208" i="10" s="1"/>
  <c r="J35" i="10"/>
  <c r="M35" i="10" s="1"/>
  <c r="N35" i="10" s="1"/>
  <c r="J36" i="10"/>
  <c r="M36" i="10" s="1"/>
  <c r="N36" i="10" s="1"/>
  <c r="AA431" i="10"/>
  <c r="AB431" i="10" s="1"/>
  <c r="U433" i="10" s="1"/>
  <c r="AA432" i="10"/>
  <c r="AB432" i="10" s="1"/>
  <c r="U434" i="10" s="1"/>
  <c r="AA113" i="10"/>
  <c r="AB113" i="10" s="1"/>
  <c r="U115" i="10" s="1"/>
  <c r="AA112" i="10"/>
  <c r="AB112" i="10" s="1"/>
  <c r="U114" i="10" s="1"/>
  <c r="P107" i="7" l="1"/>
  <c r="B11" i="3" s="1"/>
  <c r="D11" i="3" s="1"/>
  <c r="Y721" i="10"/>
  <c r="Z721" i="10" s="1"/>
  <c r="Y722" i="10"/>
  <c r="Z722" i="10" s="1"/>
  <c r="H37" i="10"/>
  <c r="Y210" i="10"/>
  <c r="Z210" i="10" s="1"/>
  <c r="Y208" i="10"/>
  <c r="Z208" i="10" s="1"/>
  <c r="Y211" i="10"/>
  <c r="Z211" i="10" s="1"/>
  <c r="AA211" i="10" s="1"/>
  <c r="AB211" i="10" s="1"/>
  <c r="L123" i="7" s="1"/>
  <c r="Y209" i="10"/>
  <c r="Z209" i="10" s="1"/>
  <c r="Y433" i="10"/>
  <c r="Z433" i="10" s="1"/>
  <c r="Y434" i="10"/>
  <c r="Z434" i="10" s="1"/>
  <c r="R37" i="13"/>
  <c r="H38" i="10"/>
  <c r="AA313" i="10"/>
  <c r="AB313" i="10" s="1"/>
  <c r="U315" i="10" s="1"/>
  <c r="AA312" i="10"/>
  <c r="AB312" i="10" s="1"/>
  <c r="U314" i="10" s="1"/>
  <c r="Y115" i="10"/>
  <c r="Z115" i="10" s="1"/>
  <c r="Y114" i="10"/>
  <c r="Z114" i="10" s="1"/>
  <c r="C11" i="3" l="1"/>
  <c r="AA722" i="10"/>
  <c r="AB722" i="10" s="1"/>
  <c r="U724" i="10" s="1"/>
  <c r="AA721" i="10"/>
  <c r="AB721" i="10" s="1"/>
  <c r="U723" i="10" s="1"/>
  <c r="AA433" i="10"/>
  <c r="AB433" i="10" s="1"/>
  <c r="U435" i="10" s="1"/>
  <c r="AA434" i="10"/>
  <c r="AB434" i="10" s="1"/>
  <c r="U438" i="10" s="1"/>
  <c r="AA115" i="10"/>
  <c r="AB115" i="10" s="1"/>
  <c r="U227" i="10" s="1"/>
  <c r="AA114" i="10"/>
  <c r="AB114" i="10" s="1"/>
  <c r="Y315" i="10"/>
  <c r="Z315" i="10" s="1"/>
  <c r="Y314" i="10"/>
  <c r="Z314" i="10" s="1"/>
  <c r="P38" i="10"/>
  <c r="Q38" i="10" s="1"/>
  <c r="P37" i="10"/>
  <c r="Q37" i="10" s="1"/>
  <c r="V38" i="10"/>
  <c r="AA208" i="10"/>
  <c r="AB208" i="10" s="1"/>
  <c r="U214" i="10" s="1"/>
  <c r="AA209" i="10"/>
  <c r="AB209" i="10" s="1"/>
  <c r="U215" i="10" s="1"/>
  <c r="AA210" i="10"/>
  <c r="AB210" i="10" s="1"/>
  <c r="H123" i="7" s="1"/>
  <c r="V37" i="10"/>
  <c r="Y723" i="10" l="1"/>
  <c r="Z723" i="10" s="1"/>
  <c r="Y724" i="10"/>
  <c r="Z724" i="10" s="1"/>
  <c r="U542" i="10"/>
  <c r="Z215" i="10"/>
  <c r="AA215" i="10" s="1"/>
  <c r="AB215" i="10" s="1"/>
  <c r="C123" i="7" s="1"/>
  <c r="Z214" i="10"/>
  <c r="W38" i="10"/>
  <c r="X38" i="10" s="1"/>
  <c r="W37" i="10"/>
  <c r="X37" i="10" s="1"/>
  <c r="AA315" i="10"/>
  <c r="AB315" i="10" s="1"/>
  <c r="AA314" i="10"/>
  <c r="AB314" i="10" s="1"/>
  <c r="Y228" i="10"/>
  <c r="Z228" i="10" s="1"/>
  <c r="Y227" i="10"/>
  <c r="Z227" i="10" s="1"/>
  <c r="Y435" i="10"/>
  <c r="Z435" i="10" s="1"/>
  <c r="Y436" i="10"/>
  <c r="Z436" i="10" s="1"/>
  <c r="AA724" i="10" l="1"/>
  <c r="AB724" i="10" s="1"/>
  <c r="I119" i="7" s="1"/>
  <c r="AA723" i="10"/>
  <c r="AB723" i="10" s="1"/>
  <c r="F119" i="7" s="1"/>
  <c r="U566" i="10"/>
  <c r="U564" i="10"/>
  <c r="AA227" i="10"/>
  <c r="AB227" i="10" s="1"/>
  <c r="U229" i="10" s="1"/>
  <c r="AA228" i="10"/>
  <c r="AB228" i="10" s="1"/>
  <c r="U230" i="10" s="1"/>
  <c r="AA214" i="10"/>
  <c r="AB214" i="10" s="1"/>
  <c r="B123" i="7" s="1"/>
  <c r="AA213" i="10"/>
  <c r="AB213" i="10" s="1"/>
  <c r="U217" i="10" s="1"/>
  <c r="AA212" i="10"/>
  <c r="AB212" i="10" s="1"/>
  <c r="U216" i="10" s="1"/>
  <c r="J37" i="10"/>
  <c r="M37" i="10" s="1"/>
  <c r="N37" i="10" s="1"/>
  <c r="J38" i="10"/>
  <c r="M38" i="10" s="1"/>
  <c r="N38" i="10" s="1"/>
  <c r="AA436" i="10"/>
  <c r="AB436" i="10" s="1"/>
  <c r="U439" i="10" s="1"/>
  <c r="AA435" i="10"/>
  <c r="AB435" i="10" s="1"/>
  <c r="U437" i="10" s="1"/>
  <c r="H18" i="5" l="1"/>
  <c r="P119" i="7"/>
  <c r="B23" i="3" s="1"/>
  <c r="Y566" i="10"/>
  <c r="Z566" i="10" s="1"/>
  <c r="Y567" i="10"/>
  <c r="Y565" i="10"/>
  <c r="Z565" i="10" s="1"/>
  <c r="Y564" i="10"/>
  <c r="Z564" i="10" s="1"/>
  <c r="AA564" i="10" s="1"/>
  <c r="AB564" i="10" s="1"/>
  <c r="Y437" i="10"/>
  <c r="Z437" i="10" s="1"/>
  <c r="Y439" i="10"/>
  <c r="Z439" i="10" s="1"/>
  <c r="AA439" i="10" s="1"/>
  <c r="AB439" i="10" s="1"/>
  <c r="U442" i="10" s="1"/>
  <c r="Y438" i="10"/>
  <c r="Z438" i="10" s="1"/>
  <c r="R38" i="13"/>
  <c r="H40" i="10"/>
  <c r="Y218" i="10"/>
  <c r="Z218" i="10" s="1"/>
  <c r="Y216" i="10"/>
  <c r="Z216" i="10" s="1"/>
  <c r="Y217" i="10"/>
  <c r="Z217" i="10" s="1"/>
  <c r="Y219" i="10"/>
  <c r="Z219" i="10" s="1"/>
  <c r="AA219" i="10" s="1"/>
  <c r="AB219" i="10" s="1"/>
  <c r="F123" i="7" s="1"/>
  <c r="H39" i="10"/>
  <c r="Y230" i="10"/>
  <c r="Z230" i="10" s="1"/>
  <c r="Y229" i="10"/>
  <c r="Z229" i="10" s="1"/>
  <c r="D23" i="3" l="1"/>
  <c r="C23" i="3"/>
  <c r="AA565" i="10"/>
  <c r="AB565" i="10" s="1"/>
  <c r="U627" i="10"/>
  <c r="U567" i="10"/>
  <c r="H7" i="5"/>
  <c r="AA438" i="10"/>
  <c r="AB438" i="10" s="1"/>
  <c r="U441" i="10" s="1"/>
  <c r="AA437" i="10"/>
  <c r="AB437" i="10" s="1"/>
  <c r="U440" i="10" s="1"/>
  <c r="AA229" i="10"/>
  <c r="AB229" i="10" s="1"/>
  <c r="U231" i="10" s="1"/>
  <c r="AA230" i="10"/>
  <c r="AB230" i="10" s="1"/>
  <c r="U232" i="10" s="1"/>
  <c r="AA217" i="10"/>
  <c r="AB217" i="10" s="1"/>
  <c r="E123" i="7" s="1"/>
  <c r="AA216" i="10"/>
  <c r="AB216" i="10" s="1"/>
  <c r="M123" i="7" s="1"/>
  <c r="AA218" i="10"/>
  <c r="AB218" i="10" s="1"/>
  <c r="G123" i="7" s="1"/>
  <c r="H22" i="5" s="1"/>
  <c r="P39" i="10"/>
  <c r="Q39" i="10" s="1"/>
  <c r="P40" i="10"/>
  <c r="Q40" i="10" s="1"/>
  <c r="V40" i="10"/>
  <c r="V39" i="10"/>
  <c r="Y628" i="10" l="1"/>
  <c r="Y627" i="10"/>
  <c r="Z627" i="10" s="1"/>
  <c r="Z567" i="10"/>
  <c r="W39" i="10"/>
  <c r="X39" i="10" s="1"/>
  <c r="W40" i="10"/>
  <c r="X40" i="10" s="1"/>
  <c r="P123" i="7"/>
  <c r="B27" i="3" s="1"/>
  <c r="Y232" i="10"/>
  <c r="Z232" i="10" s="1"/>
  <c r="Y231" i="10"/>
  <c r="Z231" i="10" s="1"/>
  <c r="Y441" i="10"/>
  <c r="Z441" i="10" s="1"/>
  <c r="Y440" i="10"/>
  <c r="Z440" i="10" s="1"/>
  <c r="Y442" i="10"/>
  <c r="Z442" i="10" s="1"/>
  <c r="AA442" i="10" s="1"/>
  <c r="AB442" i="10" s="1"/>
  <c r="U445" i="10" s="1"/>
  <c r="AA567" i="10" l="1"/>
  <c r="AB567" i="10" s="1"/>
  <c r="AA566" i="10"/>
  <c r="AB566" i="10" s="1"/>
  <c r="AA231" i="10"/>
  <c r="AB231" i="10" s="1"/>
  <c r="U234" i="10" s="1"/>
  <c r="AA232" i="10"/>
  <c r="AB232" i="10" s="1"/>
  <c r="D27" i="3"/>
  <c r="C27" i="3"/>
  <c r="AA440" i="10"/>
  <c r="AB440" i="10" s="1"/>
  <c r="U443" i="10" s="1"/>
  <c r="AA441" i="10"/>
  <c r="AB441" i="10" s="1"/>
  <c r="U444" i="10" s="1"/>
  <c r="J40" i="10"/>
  <c r="M40" i="10" s="1"/>
  <c r="N40" i="10" s="1"/>
  <c r="J39" i="10"/>
  <c r="M39" i="10" s="1"/>
  <c r="N39" i="10" s="1"/>
  <c r="U628" i="10" l="1"/>
  <c r="U568" i="10"/>
  <c r="U544" i="10"/>
  <c r="H41" i="10"/>
  <c r="R39" i="13"/>
  <c r="H42" i="10"/>
  <c r="Y445" i="10"/>
  <c r="Z445" i="10" s="1"/>
  <c r="AA445" i="10" s="1"/>
  <c r="AB445" i="10" s="1"/>
  <c r="U447" i="10" s="1"/>
  <c r="Y443" i="10"/>
  <c r="Z443" i="10" s="1"/>
  <c r="Y444" i="10"/>
  <c r="Z444" i="10" s="1"/>
  <c r="Y234" i="10"/>
  <c r="Z234" i="10" s="1"/>
  <c r="Y233" i="10"/>
  <c r="Z233" i="10" s="1"/>
  <c r="Z628" i="10" l="1"/>
  <c r="Y568" i="10"/>
  <c r="Z568" i="10" s="1"/>
  <c r="Y569" i="10"/>
  <c r="Z569" i="10" s="1"/>
  <c r="AA569" i="10" s="1"/>
  <c r="AB569" i="10" s="1"/>
  <c r="AA234" i="10"/>
  <c r="AB234" i="10" s="1"/>
  <c r="U287" i="10" s="1"/>
  <c r="AA233" i="10"/>
  <c r="AB233" i="10" s="1"/>
  <c r="C117" i="7" s="1"/>
  <c r="AA443" i="10"/>
  <c r="AB443" i="10" s="1"/>
  <c r="U446" i="10" s="1"/>
  <c r="AA444" i="10"/>
  <c r="AB444" i="10" s="1"/>
  <c r="P42" i="10"/>
  <c r="Q42" i="10" s="1"/>
  <c r="P41" i="10"/>
  <c r="Q41" i="10" s="1"/>
  <c r="V42" i="10"/>
  <c r="V41" i="10"/>
  <c r="U681" i="10" l="1"/>
  <c r="AA628" i="10"/>
  <c r="AB628" i="10" s="1"/>
  <c r="AA627" i="10"/>
  <c r="AB627" i="10" s="1"/>
  <c r="U720" i="10" s="1"/>
  <c r="AA568" i="10"/>
  <c r="AB568" i="10" s="1"/>
  <c r="B108" i="7" s="1"/>
  <c r="D108" i="7"/>
  <c r="W41" i="10"/>
  <c r="X41" i="10" s="1"/>
  <c r="W42" i="10"/>
  <c r="X42" i="10" s="1"/>
  <c r="Y447" i="10"/>
  <c r="Z447" i="10" s="1"/>
  <c r="Y446" i="10"/>
  <c r="Z446" i="10" s="1"/>
  <c r="Z287" i="10"/>
  <c r="Y681" i="10" l="1"/>
  <c r="Z681" i="10" s="1"/>
  <c r="Y682" i="10"/>
  <c r="U630" i="10"/>
  <c r="U629" i="10"/>
  <c r="AA447" i="10"/>
  <c r="AB447" i="10" s="1"/>
  <c r="L124" i="7" s="1"/>
  <c r="AA446" i="10"/>
  <c r="AB446" i="10" s="1"/>
  <c r="AA287" i="10"/>
  <c r="AB287" i="10" s="1"/>
  <c r="U289" i="10" s="1"/>
  <c r="AA286" i="10"/>
  <c r="AB286" i="10" s="1"/>
  <c r="U288" i="10" s="1"/>
  <c r="J41" i="10"/>
  <c r="M41" i="10" s="1"/>
  <c r="N41" i="10" s="1"/>
  <c r="J42" i="10"/>
  <c r="M42" i="10" s="1"/>
  <c r="N42" i="10" s="1"/>
  <c r="U682" i="10" l="1"/>
  <c r="Y630" i="10"/>
  <c r="Z630" i="10" s="1"/>
  <c r="Y629" i="10"/>
  <c r="Z629" i="10" s="1"/>
  <c r="AA629" i="10" s="1"/>
  <c r="AB629" i="10" s="1"/>
  <c r="U631" i="10" s="1"/>
  <c r="R42" i="13"/>
  <c r="R40" i="13"/>
  <c r="R41" i="13"/>
  <c r="H48" i="10"/>
  <c r="H120" i="10"/>
  <c r="Y289" i="10"/>
  <c r="Z289" i="10" s="1"/>
  <c r="Y288" i="10"/>
  <c r="Z288" i="10" s="1"/>
  <c r="H23" i="5"/>
  <c r="Z682" i="10" l="1"/>
  <c r="AA630" i="10"/>
  <c r="AB630" i="10" s="1"/>
  <c r="Y631" i="10"/>
  <c r="Z631" i="10" s="1"/>
  <c r="Y632" i="10"/>
  <c r="U632" i="10"/>
  <c r="V120" i="10"/>
  <c r="V48" i="10"/>
  <c r="X48" i="10" s="1"/>
  <c r="Q48" i="10"/>
  <c r="AA288" i="10"/>
  <c r="AB288" i="10" s="1"/>
  <c r="AA289" i="10"/>
  <c r="AB289" i="10" s="1"/>
  <c r="AA682" i="10" l="1"/>
  <c r="AB682" i="10" s="1"/>
  <c r="AA681" i="10"/>
  <c r="AB681" i="10" s="1"/>
  <c r="U634" i="10"/>
  <c r="AA631" i="10"/>
  <c r="AB631" i="10" s="1"/>
  <c r="Z632" i="10"/>
  <c r="AA632" i="10" s="1"/>
  <c r="AB632" i="10" s="1"/>
  <c r="I108" i="7" s="1"/>
  <c r="U511" i="10"/>
  <c r="H16" i="5"/>
  <c r="B19" i="5" s="1"/>
  <c r="J48" i="10"/>
  <c r="M48" i="10" s="1"/>
  <c r="N48" i="10" s="1"/>
  <c r="J47" i="10"/>
  <c r="M47" i="10" s="1"/>
  <c r="N47" i="10" s="1"/>
  <c r="U683" i="10" l="1"/>
  <c r="U684" i="10"/>
  <c r="U647" i="10"/>
  <c r="Y511" i="10"/>
  <c r="Z511" i="10" s="1"/>
  <c r="Y512" i="10"/>
  <c r="Z512" i="10" s="1"/>
  <c r="AA512" i="10" s="1"/>
  <c r="AB512" i="10" s="1"/>
  <c r="K43" i="13"/>
  <c r="K50" i="13"/>
  <c r="K48" i="13"/>
  <c r="K46" i="13"/>
  <c r="K51" i="13"/>
  <c r="K49" i="13"/>
  <c r="K47" i="13"/>
  <c r="K52" i="13"/>
  <c r="K44" i="13"/>
  <c r="K45" i="13"/>
  <c r="H67" i="10"/>
  <c r="R43" i="13"/>
  <c r="H50" i="10"/>
  <c r="Y683" i="10" l="1"/>
  <c r="Z683" i="10" s="1"/>
  <c r="Y684" i="10"/>
  <c r="Z684" i="10" s="1"/>
  <c r="Y647" i="10"/>
  <c r="Z647" i="10" s="1"/>
  <c r="Y648" i="10"/>
  <c r="Z648" i="10" s="1"/>
  <c r="AA648" i="10" s="1"/>
  <c r="AB648" i="10" s="1"/>
  <c r="H108" i="7" s="1"/>
  <c r="AA511" i="10"/>
  <c r="AB511" i="10" s="1"/>
  <c r="U514" i="10"/>
  <c r="U513" i="10"/>
  <c r="V67" i="10"/>
  <c r="X67" i="10" s="1"/>
  <c r="Q67" i="10"/>
  <c r="V50" i="10"/>
  <c r="X50" i="10" s="1"/>
  <c r="Q50" i="10"/>
  <c r="AA684" i="10" l="1"/>
  <c r="AB684" i="10" s="1"/>
  <c r="AA683" i="10"/>
  <c r="AB683" i="10" s="1"/>
  <c r="AA647" i="10"/>
  <c r="AB647" i="10" s="1"/>
  <c r="U719" i="10" s="1"/>
  <c r="Y513" i="10"/>
  <c r="Z513" i="10" s="1"/>
  <c r="Y514" i="10"/>
  <c r="Z514" i="10" s="1"/>
  <c r="AA514" i="10" s="1"/>
  <c r="AB514" i="10" s="1"/>
  <c r="J49" i="10"/>
  <c r="M49" i="10" s="1"/>
  <c r="N49" i="10" s="1"/>
  <c r="J50" i="10"/>
  <c r="M50" i="10" s="1"/>
  <c r="N50" i="10" s="1"/>
  <c r="J67" i="10"/>
  <c r="M67" i="10" s="1"/>
  <c r="N67" i="10" s="1"/>
  <c r="J68" i="10"/>
  <c r="M68" i="10" s="1"/>
  <c r="N68" i="10" s="1"/>
  <c r="Y719" i="10" l="1"/>
  <c r="Z719" i="10" s="1"/>
  <c r="Y720" i="10"/>
  <c r="Z720" i="10" s="1"/>
  <c r="U685" i="10"/>
  <c r="U686" i="10"/>
  <c r="AA513" i="10"/>
  <c r="AB513" i="10" s="1"/>
  <c r="U516" i="10"/>
  <c r="U515" i="10"/>
  <c r="K53" i="13"/>
  <c r="H69" i="10"/>
  <c r="H87" i="10"/>
  <c r="R44" i="13"/>
  <c r="H52" i="10"/>
  <c r="M44" i="13"/>
  <c r="H51" i="10"/>
  <c r="AA720" i="10" l="1"/>
  <c r="AB720" i="10" s="1"/>
  <c r="G108" i="7" s="1"/>
  <c r="AA719" i="10"/>
  <c r="AB719" i="10" s="1"/>
  <c r="L108" i="7" s="1"/>
  <c r="Y686" i="10"/>
  <c r="Z686" i="10" s="1"/>
  <c r="AA686" i="10" s="1"/>
  <c r="AB686" i="10" s="1"/>
  <c r="Y685" i="10"/>
  <c r="Z685" i="10" s="1"/>
  <c r="Y516" i="10"/>
  <c r="Z516" i="10" s="1"/>
  <c r="AA516" i="10" s="1"/>
  <c r="AB516" i="10" s="1"/>
  <c r="Y515" i="10"/>
  <c r="Z515" i="10" s="1"/>
  <c r="V52" i="10"/>
  <c r="P52" i="10"/>
  <c r="Q52" i="10" s="1"/>
  <c r="P51" i="10"/>
  <c r="Q51" i="10" s="1"/>
  <c r="V51" i="10"/>
  <c r="V87" i="10"/>
  <c r="X87" i="10" s="1"/>
  <c r="Q87" i="10"/>
  <c r="P69" i="10"/>
  <c r="Q69" i="10" s="1"/>
  <c r="P70" i="10"/>
  <c r="V69" i="10"/>
  <c r="P108" i="7" l="1"/>
  <c r="B12" i="3" s="1"/>
  <c r="AA685" i="10"/>
  <c r="AB685" i="10" s="1"/>
  <c r="U688" i="10"/>
  <c r="U687" i="10"/>
  <c r="AA515" i="10"/>
  <c r="AB515" i="10" s="1"/>
  <c r="U518" i="10"/>
  <c r="U517" i="10"/>
  <c r="W70" i="10"/>
  <c r="W69" i="10"/>
  <c r="X69" i="10" s="1"/>
  <c r="J86" i="10"/>
  <c r="M86" i="10" s="1"/>
  <c r="N86" i="10" s="1"/>
  <c r="J87" i="10"/>
  <c r="M87" i="10" s="1"/>
  <c r="N87" i="10" s="1"/>
  <c r="W52" i="10"/>
  <c r="X52" i="10" s="1"/>
  <c r="W51" i="10"/>
  <c r="X51" i="10" s="1"/>
  <c r="D12" i="3" l="1"/>
  <c r="C12" i="3"/>
  <c r="Y688" i="10"/>
  <c r="Z688" i="10" s="1"/>
  <c r="Y687" i="10"/>
  <c r="Z687" i="10" s="1"/>
  <c r="AA687" i="10" s="1"/>
  <c r="AB687" i="10" s="1"/>
  <c r="Y517" i="10"/>
  <c r="Z517" i="10" s="1"/>
  <c r="AA517" i="10" s="1"/>
  <c r="AB517" i="10" s="1"/>
  <c r="Y518" i="10"/>
  <c r="Z518" i="10" s="1"/>
  <c r="J51" i="10"/>
  <c r="M51" i="10" s="1"/>
  <c r="N51" i="10" s="1"/>
  <c r="J52" i="10"/>
  <c r="M52" i="10" s="1"/>
  <c r="N52" i="10" s="1"/>
  <c r="S62" i="13"/>
  <c r="H88" i="10"/>
  <c r="H89" i="10"/>
  <c r="AA688" i="10" l="1"/>
  <c r="AB688" i="10" s="1"/>
  <c r="U690" i="10"/>
  <c r="U689" i="10"/>
  <c r="U556" i="10"/>
  <c r="AA518" i="10"/>
  <c r="AB518" i="10" s="1"/>
  <c r="V89" i="10"/>
  <c r="P89" i="10"/>
  <c r="Q89" i="10" s="1"/>
  <c r="P88" i="10"/>
  <c r="Q88" i="10" s="1"/>
  <c r="V88" i="10"/>
  <c r="R45" i="13"/>
  <c r="H54" i="10"/>
  <c r="M45" i="13"/>
  <c r="H53" i="10"/>
  <c r="Y691" i="10" l="1"/>
  <c r="Z691" i="10" s="1"/>
  <c r="AA691" i="10" s="1"/>
  <c r="AB691" i="10" s="1"/>
  <c r="Y689" i="10"/>
  <c r="Z689" i="10" s="1"/>
  <c r="Y690" i="10"/>
  <c r="Z690" i="10" s="1"/>
  <c r="Y556" i="10"/>
  <c r="Z556" i="10" s="1"/>
  <c r="Y557" i="10"/>
  <c r="U537" i="10"/>
  <c r="P53" i="10"/>
  <c r="Q53" i="10" s="1"/>
  <c r="P54" i="10"/>
  <c r="Q54" i="10" s="1"/>
  <c r="V53" i="10"/>
  <c r="V54" i="10"/>
  <c r="W89" i="10"/>
  <c r="X89" i="10" s="1"/>
  <c r="W88" i="10"/>
  <c r="X88" i="10" s="1"/>
  <c r="AA689" i="10" l="1"/>
  <c r="AB689" i="10" s="1"/>
  <c r="AA690" i="10"/>
  <c r="AB690" i="10" s="1"/>
  <c r="U694" i="10"/>
  <c r="U693" i="10"/>
  <c r="U692" i="10"/>
  <c r="Y538" i="10"/>
  <c r="Z538" i="10" s="1"/>
  <c r="AA538" i="10" s="1"/>
  <c r="AB538" i="10" s="1"/>
  <c r="Y537" i="10"/>
  <c r="Z537" i="10" s="1"/>
  <c r="J89" i="10"/>
  <c r="M89" i="10" s="1"/>
  <c r="N89" i="10" s="1"/>
  <c r="J88" i="10"/>
  <c r="M88" i="10" s="1"/>
  <c r="N88" i="10" s="1"/>
  <c r="W54" i="10"/>
  <c r="X54" i="10" s="1"/>
  <c r="W53" i="10"/>
  <c r="X53" i="10" s="1"/>
  <c r="Y693" i="10" l="1"/>
  <c r="Z693" i="10" s="1"/>
  <c r="Y692" i="10"/>
  <c r="Z692" i="10" s="1"/>
  <c r="AA692" i="10" s="1"/>
  <c r="AB692" i="10" s="1"/>
  <c r="Y694" i="10"/>
  <c r="Z694" i="10" s="1"/>
  <c r="AA694" i="10" s="1"/>
  <c r="AB694" i="10" s="1"/>
  <c r="AA537" i="10"/>
  <c r="AB537" i="10" s="1"/>
  <c r="U548" i="10"/>
  <c r="U539" i="10"/>
  <c r="J53" i="10"/>
  <c r="M53" i="10" s="1"/>
  <c r="N53" i="10" s="1"/>
  <c r="J54" i="10"/>
  <c r="M54" i="10" s="1"/>
  <c r="N54" i="10" s="1"/>
  <c r="S63" i="13"/>
  <c r="H91" i="10"/>
  <c r="H99" i="10"/>
  <c r="AA693" i="10" l="1"/>
  <c r="AB693" i="10" s="1"/>
  <c r="U697" i="10"/>
  <c r="U695" i="10"/>
  <c r="U696" i="10"/>
  <c r="Y539" i="10"/>
  <c r="Z539" i="10" s="1"/>
  <c r="Y540" i="10"/>
  <c r="Z540" i="10" s="1"/>
  <c r="AA540" i="10" s="1"/>
  <c r="AB540" i="10" s="1"/>
  <c r="V99" i="10"/>
  <c r="V91" i="10"/>
  <c r="R46" i="13"/>
  <c r="H56" i="10"/>
  <c r="M46" i="13"/>
  <c r="H55" i="10"/>
  <c r="Y697" i="10" l="1"/>
  <c r="Z697" i="10" s="1"/>
  <c r="AA697" i="10" s="1"/>
  <c r="AB697" i="10" s="1"/>
  <c r="Y695" i="10"/>
  <c r="Z695" i="10" s="1"/>
  <c r="AA695" i="10" s="1"/>
  <c r="AB695" i="10" s="1"/>
  <c r="Y696" i="10"/>
  <c r="Z696" i="10" s="1"/>
  <c r="AA539" i="10"/>
  <c r="AB539" i="10" s="1"/>
  <c r="U546" i="10"/>
  <c r="U541" i="10"/>
  <c r="P56" i="10"/>
  <c r="Q56" i="10" s="1"/>
  <c r="P55" i="10"/>
  <c r="Q55" i="10" s="1"/>
  <c r="V55" i="10"/>
  <c r="V56" i="10"/>
  <c r="AA696" i="10" l="1"/>
  <c r="AB696" i="10" s="1"/>
  <c r="U699" i="10"/>
  <c r="U698" i="10"/>
  <c r="U700" i="10"/>
  <c r="Y546" i="10"/>
  <c r="Z546" i="10" s="1"/>
  <c r="Y545" i="10"/>
  <c r="Y541" i="10"/>
  <c r="Z541" i="10" s="1"/>
  <c r="Y542" i="10"/>
  <c r="Z542" i="10" s="1"/>
  <c r="AA542" i="10" s="1"/>
  <c r="AB542" i="10" s="1"/>
  <c r="W55" i="10"/>
  <c r="X55" i="10" s="1"/>
  <c r="W56" i="10"/>
  <c r="X56" i="10" s="1"/>
  <c r="Y698" i="10" l="1"/>
  <c r="Z698" i="10" s="1"/>
  <c r="Y699" i="10"/>
  <c r="Z699" i="10" s="1"/>
  <c r="AA699" i="10" s="1"/>
  <c r="AB699" i="10" s="1"/>
  <c r="Y700" i="10"/>
  <c r="Z700" i="10" s="1"/>
  <c r="AA700" i="10" s="1"/>
  <c r="AB700" i="10" s="1"/>
  <c r="U712" i="10" s="1"/>
  <c r="AA541" i="10"/>
  <c r="AB541" i="10" s="1"/>
  <c r="U550" i="10"/>
  <c r="U543" i="10"/>
  <c r="J55" i="10"/>
  <c r="M55" i="10" s="1"/>
  <c r="N55" i="10" s="1"/>
  <c r="J56" i="10"/>
  <c r="M56" i="10" s="1"/>
  <c r="N56" i="10" s="1"/>
  <c r="AA698" i="10" l="1"/>
  <c r="AB698" i="10" s="1"/>
  <c r="U702" i="10"/>
  <c r="U701" i="10"/>
  <c r="Y549" i="10"/>
  <c r="Y550" i="10"/>
  <c r="Z550" i="10" s="1"/>
  <c r="Y544" i="10"/>
  <c r="Z544" i="10" s="1"/>
  <c r="AA544" i="10" s="1"/>
  <c r="AB544" i="10" s="1"/>
  <c r="Y543" i="10"/>
  <c r="Z543" i="10" s="1"/>
  <c r="R47" i="13"/>
  <c r="H58" i="10"/>
  <c r="M54" i="13"/>
  <c r="M48" i="13"/>
  <c r="M55" i="13"/>
  <c r="M53" i="13"/>
  <c r="M47" i="13"/>
  <c r="M52" i="13"/>
  <c r="M49" i="13"/>
  <c r="M50" i="13"/>
  <c r="M51" i="13"/>
  <c r="H74" i="10"/>
  <c r="Y702" i="10" l="1"/>
  <c r="Z702" i="10" s="1"/>
  <c r="Y701" i="10"/>
  <c r="Z701" i="10" s="1"/>
  <c r="AA701" i="10" s="1"/>
  <c r="AB701" i="10" s="1"/>
  <c r="AA543" i="10"/>
  <c r="AB543" i="10" s="1"/>
  <c r="U555" i="10"/>
  <c r="U545" i="10"/>
  <c r="V74" i="10"/>
  <c r="V58" i="10"/>
  <c r="X58" i="10" s="1"/>
  <c r="Q58" i="10"/>
  <c r="AA702" i="10" l="1"/>
  <c r="AB702" i="10" s="1"/>
  <c r="U704" i="10"/>
  <c r="U703" i="10"/>
  <c r="Y554" i="10"/>
  <c r="Y555" i="10"/>
  <c r="Z555" i="10" s="1"/>
  <c r="Z545" i="10"/>
  <c r="J57" i="10"/>
  <c r="M57" i="10" s="1"/>
  <c r="N57" i="10" s="1"/>
  <c r="J58" i="10"/>
  <c r="M58" i="10" s="1"/>
  <c r="N58" i="10" s="1"/>
  <c r="Y703" i="10" l="1"/>
  <c r="Z703" i="10" s="1"/>
  <c r="AA703" i="10" s="1"/>
  <c r="AB703" i="10" s="1"/>
  <c r="Y704" i="10"/>
  <c r="Z704" i="10" s="1"/>
  <c r="AA545" i="10"/>
  <c r="AB545" i="10" s="1"/>
  <c r="AA546" i="10"/>
  <c r="AB546" i="10" s="1"/>
  <c r="R49" i="13"/>
  <c r="R48" i="13"/>
  <c r="H62" i="10"/>
  <c r="O48" i="13"/>
  <c r="H59" i="10"/>
  <c r="AA704" i="10" l="1"/>
  <c r="AB704" i="10" s="1"/>
  <c r="U706" i="10"/>
  <c r="U705" i="10"/>
  <c r="U633" i="10"/>
  <c r="U547" i="10"/>
  <c r="P60" i="10"/>
  <c r="Q60" i="10" s="1"/>
  <c r="P59" i="10"/>
  <c r="Q59" i="10" s="1"/>
  <c r="V59" i="10"/>
  <c r="P62" i="10"/>
  <c r="Q62" i="10" s="1"/>
  <c r="P61" i="10"/>
  <c r="V62" i="10"/>
  <c r="Y705" i="10" l="1"/>
  <c r="Z705" i="10" s="1"/>
  <c r="AA705" i="10" s="1"/>
  <c r="AB705" i="10" s="1"/>
  <c r="Y706" i="10"/>
  <c r="Z706" i="10" s="1"/>
  <c r="Y633" i="10"/>
  <c r="Z633" i="10" s="1"/>
  <c r="Y634" i="10"/>
  <c r="Z634" i="10" s="1"/>
  <c r="AA634" i="10" s="1"/>
  <c r="AB634" i="10" s="1"/>
  <c r="U636" i="10" s="1"/>
  <c r="Y548" i="10"/>
  <c r="Z548" i="10" s="1"/>
  <c r="AA548" i="10" s="1"/>
  <c r="AB548" i="10" s="1"/>
  <c r="Y547" i="10"/>
  <c r="Z547" i="10" s="1"/>
  <c r="W62" i="10"/>
  <c r="X62" i="10" s="1"/>
  <c r="W61" i="10"/>
  <c r="W59" i="10"/>
  <c r="X59" i="10" s="1"/>
  <c r="W60" i="10"/>
  <c r="X60" i="10" s="1"/>
  <c r="AA706" i="10" l="1"/>
  <c r="AB706" i="10" s="1"/>
  <c r="U708" i="10"/>
  <c r="U707" i="10"/>
  <c r="AA633" i="10"/>
  <c r="AB633" i="10" s="1"/>
  <c r="U635" i="10"/>
  <c r="AA547" i="10"/>
  <c r="AB547" i="10" s="1"/>
  <c r="U554" i="10"/>
  <c r="U549" i="10"/>
  <c r="J59" i="10"/>
  <c r="M59" i="10" s="1"/>
  <c r="N59" i="10" s="1"/>
  <c r="J60" i="10"/>
  <c r="M60" i="10" s="1"/>
  <c r="N60" i="10" s="1"/>
  <c r="Y707" i="10" l="1"/>
  <c r="Z707" i="10" s="1"/>
  <c r="AA707" i="10" s="1"/>
  <c r="AB707" i="10" s="1"/>
  <c r="Y708" i="10"/>
  <c r="Z708" i="10" s="1"/>
  <c r="Y635" i="10"/>
  <c r="Z635" i="10" s="1"/>
  <c r="Y636" i="10"/>
  <c r="Z636" i="10" s="1"/>
  <c r="AA636" i="10" s="1"/>
  <c r="AB636" i="10" s="1"/>
  <c r="U638" i="10" s="1"/>
  <c r="Z554" i="10"/>
  <c r="Z549" i="10"/>
  <c r="N49" i="13"/>
  <c r="H61" i="10"/>
  <c r="O49" i="13"/>
  <c r="O50" i="13"/>
  <c r="H63" i="10"/>
  <c r="AA708" i="10" l="1"/>
  <c r="AB708" i="10" s="1"/>
  <c r="U710" i="10"/>
  <c r="U709" i="10"/>
  <c r="AA635" i="10"/>
  <c r="AB635" i="10" s="1"/>
  <c r="U637" i="10" s="1"/>
  <c r="Y637" i="10" s="1"/>
  <c r="Z637" i="10" s="1"/>
  <c r="AA554" i="10"/>
  <c r="AB554" i="10" s="1"/>
  <c r="E117" i="7" s="1"/>
  <c r="AA555" i="10"/>
  <c r="AB555" i="10" s="1"/>
  <c r="AA549" i="10"/>
  <c r="AB549" i="10" s="1"/>
  <c r="AA550" i="10"/>
  <c r="AB550" i="10" s="1"/>
  <c r="J117" i="7" s="1"/>
  <c r="P64" i="10"/>
  <c r="P63" i="10"/>
  <c r="Q63" i="10" s="1"/>
  <c r="V63" i="10"/>
  <c r="V61" i="10"/>
  <c r="X61" i="10" s="1"/>
  <c r="Q61" i="10"/>
  <c r="Y709" i="10" l="1"/>
  <c r="Z709" i="10" s="1"/>
  <c r="Y710" i="10"/>
  <c r="Z710" i="10" s="1"/>
  <c r="Y638" i="10"/>
  <c r="Z638" i="10" s="1"/>
  <c r="AA638" i="10" s="1"/>
  <c r="AB638" i="10" s="1"/>
  <c r="U640" i="10" s="1"/>
  <c r="U559" i="10"/>
  <c r="U557" i="10"/>
  <c r="J61" i="10"/>
  <c r="M61" i="10" s="1"/>
  <c r="N61" i="10" s="1"/>
  <c r="J62" i="10"/>
  <c r="M62" i="10" s="1"/>
  <c r="N62" i="10" s="1"/>
  <c r="W64" i="10"/>
  <c r="W63" i="10"/>
  <c r="X63" i="10" s="1"/>
  <c r="AA710" i="10" l="1"/>
  <c r="AB710" i="10" s="1"/>
  <c r="U711" i="10" s="1"/>
  <c r="AA709" i="10"/>
  <c r="AB709" i="10" s="1"/>
  <c r="U727" i="10" s="1"/>
  <c r="AA637" i="10"/>
  <c r="AB637" i="10" s="1"/>
  <c r="U639" i="10" s="1"/>
  <c r="Z557" i="10"/>
  <c r="R50" i="13"/>
  <c r="H64" i="10"/>
  <c r="N51" i="13"/>
  <c r="N50" i="13"/>
  <c r="H66" i="10"/>
  <c r="Y711" i="10" l="1"/>
  <c r="Z711" i="10" s="1"/>
  <c r="Y712" i="10"/>
  <c r="Z712" i="10" s="1"/>
  <c r="Y639" i="10"/>
  <c r="Z639" i="10" s="1"/>
  <c r="Y640" i="10"/>
  <c r="Z640" i="10" s="1"/>
  <c r="AA640" i="10" s="1"/>
  <c r="AB640" i="10" s="1"/>
  <c r="U642" i="10" s="1"/>
  <c r="AA557" i="10"/>
  <c r="AB557" i="10" s="1"/>
  <c r="AA556" i="10"/>
  <c r="AB556" i="10" s="1"/>
  <c r="V66" i="10"/>
  <c r="V64" i="10"/>
  <c r="X64" i="10" s="1"/>
  <c r="Q64" i="10"/>
  <c r="AA712" i="10" l="1"/>
  <c r="AB712" i="10" s="1"/>
  <c r="U728" i="10" s="1"/>
  <c r="AA711" i="10"/>
  <c r="AB711" i="10" s="1"/>
  <c r="U729" i="10" s="1"/>
  <c r="AA639" i="10"/>
  <c r="AB639" i="10" s="1"/>
  <c r="U641" i="10" s="1"/>
  <c r="Y642" i="10" s="1"/>
  <c r="Z642" i="10" s="1"/>
  <c r="AA642" i="10" s="1"/>
  <c r="AB642" i="10" s="1"/>
  <c r="L117" i="7" s="1"/>
  <c r="U560" i="10"/>
  <c r="U558" i="10"/>
  <c r="J63" i="10"/>
  <c r="M63" i="10" s="1"/>
  <c r="N63" i="10" s="1"/>
  <c r="J64" i="10"/>
  <c r="M64" i="10" s="1"/>
  <c r="N64" i="10" s="1"/>
  <c r="Y729" i="10" l="1"/>
  <c r="Z729" i="10" s="1"/>
  <c r="Y728" i="10"/>
  <c r="Z728" i="10" s="1"/>
  <c r="AA728" i="10" s="1"/>
  <c r="AB728" i="10" s="1"/>
  <c r="U732" i="10" s="1"/>
  <c r="Y727" i="10"/>
  <c r="Z727" i="10" s="1"/>
  <c r="AA727" i="10" s="1"/>
  <c r="AB727" i="10" s="1"/>
  <c r="U730" i="10" s="1"/>
  <c r="Y641" i="10"/>
  <c r="Z641" i="10" s="1"/>
  <c r="AA641" i="10" s="1"/>
  <c r="AB641" i="10" s="1"/>
  <c r="H117" i="7" s="1"/>
  <c r="Y561" i="10"/>
  <c r="Y560" i="10"/>
  <c r="Z560" i="10" s="1"/>
  <c r="Y558" i="10"/>
  <c r="Z558" i="10" s="1"/>
  <c r="Y559" i="10"/>
  <c r="Z559" i="10" s="1"/>
  <c r="AA559" i="10" s="1"/>
  <c r="AB559" i="10" s="1"/>
  <c r="R51" i="13"/>
  <c r="R52" i="13"/>
  <c r="R54" i="13"/>
  <c r="R53" i="13"/>
  <c r="H71" i="10"/>
  <c r="O51" i="13"/>
  <c r="H65" i="10"/>
  <c r="AA729" i="10" l="1"/>
  <c r="AB729" i="10" s="1"/>
  <c r="U733" i="10" s="1"/>
  <c r="Y733" i="10"/>
  <c r="Y732" i="10"/>
  <c r="Z732" i="10" s="1"/>
  <c r="AA732" i="10" s="1"/>
  <c r="AB732" i="10" s="1"/>
  <c r="B124" i="7" s="1"/>
  <c r="Y731" i="10"/>
  <c r="Z731" i="10" s="1"/>
  <c r="AA731" i="10" s="1"/>
  <c r="AB731" i="10" s="1"/>
  <c r="U735" i="10" s="1"/>
  <c r="Y730" i="10"/>
  <c r="Z730" i="10" s="1"/>
  <c r="U561" i="10"/>
  <c r="AA558" i="10"/>
  <c r="AB558" i="10" s="1"/>
  <c r="P66" i="10"/>
  <c r="Q66" i="10" s="1"/>
  <c r="P65" i="10"/>
  <c r="Q65" i="10" s="1"/>
  <c r="V65" i="10"/>
  <c r="P72" i="10"/>
  <c r="P71" i="10"/>
  <c r="Q71" i="10" s="1"/>
  <c r="V71" i="10"/>
  <c r="Z733" i="10" l="1"/>
  <c r="AA733" i="10" s="1"/>
  <c r="AB733" i="10" s="1"/>
  <c r="U736" i="10" s="1"/>
  <c r="AA730" i="10"/>
  <c r="AB730" i="10" s="1"/>
  <c r="U734" i="10" s="1"/>
  <c r="U588" i="10"/>
  <c r="Z561" i="10"/>
  <c r="W72" i="10"/>
  <c r="W71" i="10"/>
  <c r="X71" i="10" s="1"/>
  <c r="W66" i="10"/>
  <c r="X66" i="10" s="1"/>
  <c r="W65" i="10"/>
  <c r="X65" i="10" s="1"/>
  <c r="Y736" i="10" l="1"/>
  <c r="Z736" i="10" s="1"/>
  <c r="AA736" i="10" s="1"/>
  <c r="AB736" i="10" s="1"/>
  <c r="U738" i="10" s="1"/>
  <c r="Y735" i="10"/>
  <c r="Z735" i="10" s="1"/>
  <c r="AA735" i="10" s="1"/>
  <c r="AB735" i="10" s="1"/>
  <c r="D124" i="7" s="1"/>
  <c r="Y734" i="10"/>
  <c r="Z734" i="10" s="1"/>
  <c r="Y588" i="10"/>
  <c r="Z588" i="10" s="1"/>
  <c r="Y587" i="10"/>
  <c r="AA561" i="10"/>
  <c r="AB561" i="10" s="1"/>
  <c r="AA560" i="10"/>
  <c r="AB560" i="10" s="1"/>
  <c r="J65" i="10"/>
  <c r="M65" i="10" s="1"/>
  <c r="N65" i="10" s="1"/>
  <c r="J66" i="10"/>
  <c r="M66" i="10" s="1"/>
  <c r="N66" i="10" s="1"/>
  <c r="AA734" i="10" l="1"/>
  <c r="AB734" i="10" s="1"/>
  <c r="U737" i="10" s="1"/>
  <c r="U592" i="10"/>
  <c r="U587" i="10"/>
  <c r="N52" i="13"/>
  <c r="N53" i="13"/>
  <c r="H70" i="10"/>
  <c r="O52" i="13"/>
  <c r="O55" i="13"/>
  <c r="O53" i="13"/>
  <c r="O56" i="13"/>
  <c r="O54" i="13"/>
  <c r="O57" i="13"/>
  <c r="H77" i="10"/>
  <c r="Y738" i="10" l="1"/>
  <c r="Z738" i="10" s="1"/>
  <c r="Y737" i="10"/>
  <c r="Z737" i="10" s="1"/>
  <c r="Z587" i="10"/>
  <c r="P79" i="10"/>
  <c r="P77" i="10"/>
  <c r="Q77" i="10" s="1"/>
  <c r="P78" i="10"/>
  <c r="V77" i="10"/>
  <c r="V70" i="10"/>
  <c r="X70" i="10" s="1"/>
  <c r="Q70" i="10"/>
  <c r="AA738" i="10" l="1"/>
  <c r="AB738" i="10" s="1"/>
  <c r="U740" i="10" s="1"/>
  <c r="AA737" i="10"/>
  <c r="AB737" i="10" s="1"/>
  <c r="U739" i="10" s="1"/>
  <c r="AA587" i="10"/>
  <c r="AB587" i="10" s="1"/>
  <c r="AA588" i="10"/>
  <c r="AB588" i="10" s="1"/>
  <c r="J69" i="10"/>
  <c r="M69" i="10" s="1"/>
  <c r="N69" i="10" s="1"/>
  <c r="J70" i="10"/>
  <c r="M70" i="10" s="1"/>
  <c r="N70" i="10" s="1"/>
  <c r="W79" i="10"/>
  <c r="W78" i="10"/>
  <c r="W77" i="10"/>
  <c r="X77" i="10" s="1"/>
  <c r="Y740" i="10" l="1"/>
  <c r="Z740" i="10" s="1"/>
  <c r="Y739" i="10"/>
  <c r="Z739" i="10" s="1"/>
  <c r="U590" i="10"/>
  <c r="U589" i="10"/>
  <c r="N55" i="13"/>
  <c r="N56" i="13"/>
  <c r="N54" i="13"/>
  <c r="N58" i="13"/>
  <c r="N57" i="13"/>
  <c r="H80" i="10"/>
  <c r="K54" i="13"/>
  <c r="H72" i="10"/>
  <c r="AA739" i="10" l="1"/>
  <c r="AB739" i="10" s="1"/>
  <c r="U741" i="10" s="1"/>
  <c r="AA740" i="10"/>
  <c r="AB740" i="10" s="1"/>
  <c r="U742" i="10" s="1"/>
  <c r="Y590" i="10"/>
  <c r="Z590" i="10" s="1"/>
  <c r="AA590" i="10" s="1"/>
  <c r="AB590" i="10" s="1"/>
  <c r="Y589" i="10"/>
  <c r="Z589" i="10" s="1"/>
  <c r="V72" i="10"/>
  <c r="X72" i="10" s="1"/>
  <c r="Q72" i="10"/>
  <c r="P81" i="10"/>
  <c r="Q81" i="10" s="1"/>
  <c r="P80" i="10"/>
  <c r="Q80" i="10" s="1"/>
  <c r="V80" i="10"/>
  <c r="Y742" i="10" l="1"/>
  <c r="Z742" i="10" s="1"/>
  <c r="AA742" i="10" s="1"/>
  <c r="AB742" i="10" s="1"/>
  <c r="U744" i="10" s="1"/>
  <c r="Y741" i="10"/>
  <c r="Z741" i="10" s="1"/>
  <c r="AA741" i="10" s="1"/>
  <c r="AB741" i="10" s="1"/>
  <c r="U743" i="10" s="1"/>
  <c r="AA589" i="10"/>
  <c r="AB589" i="10" s="1"/>
  <c r="U593" i="10"/>
  <c r="U591" i="10"/>
  <c r="W80" i="10"/>
  <c r="X80" i="10" s="1"/>
  <c r="W81" i="10"/>
  <c r="X81" i="10" s="1"/>
  <c r="J71" i="10"/>
  <c r="M71" i="10" s="1"/>
  <c r="N71" i="10" s="1"/>
  <c r="J72" i="10"/>
  <c r="M72" i="10" s="1"/>
  <c r="N72" i="10" s="1"/>
  <c r="Y744" i="10" l="1"/>
  <c r="Z744" i="10" s="1"/>
  <c r="Y743" i="10"/>
  <c r="Z743" i="10" s="1"/>
  <c r="AA743" i="10" s="1"/>
  <c r="AB743" i="10" s="1"/>
  <c r="U745" i="10" s="1"/>
  <c r="Y593" i="10"/>
  <c r="Z593" i="10" s="1"/>
  <c r="Y594" i="10"/>
  <c r="Y592" i="10"/>
  <c r="Z592" i="10" s="1"/>
  <c r="AA592" i="10" s="1"/>
  <c r="AB592" i="10" s="1"/>
  <c r="Y591" i="10"/>
  <c r="Z591" i="10" s="1"/>
  <c r="K56" i="13"/>
  <c r="K55" i="13"/>
  <c r="H75" i="10"/>
  <c r="R55" i="13"/>
  <c r="H73" i="10"/>
  <c r="J81" i="10"/>
  <c r="M81" i="10" s="1"/>
  <c r="N81" i="10" s="1"/>
  <c r="J80" i="10"/>
  <c r="M80" i="10" s="1"/>
  <c r="N80" i="10" s="1"/>
  <c r="AA744" i="10" l="1"/>
  <c r="AB744" i="10" s="1"/>
  <c r="U746" i="10" s="1"/>
  <c r="AA591" i="10"/>
  <c r="AB591" i="10" s="1"/>
  <c r="B117" i="7" s="1"/>
  <c r="U594" i="10"/>
  <c r="N59" i="13"/>
  <c r="H83" i="10"/>
  <c r="T59" i="13"/>
  <c r="T60" i="13"/>
  <c r="H85" i="10"/>
  <c r="P74" i="10"/>
  <c r="Q74" i="10" s="1"/>
  <c r="P73" i="10"/>
  <c r="Q73" i="10" s="1"/>
  <c r="V73" i="10"/>
  <c r="P76" i="10"/>
  <c r="P75" i="10"/>
  <c r="Q75" i="10" s="1"/>
  <c r="V75" i="10"/>
  <c r="Y747" i="10" l="1"/>
  <c r="Z747" i="10" s="1"/>
  <c r="Y746" i="10"/>
  <c r="Z746" i="10" s="1"/>
  <c r="Y745" i="10"/>
  <c r="Z745" i="10" s="1"/>
  <c r="AA745" i="10" s="1"/>
  <c r="AB745" i="10" s="1"/>
  <c r="U748" i="10" s="1"/>
  <c r="Z594" i="10"/>
  <c r="W73" i="10"/>
  <c r="X73" i="10" s="1"/>
  <c r="W74" i="10"/>
  <c r="X74" i="10" s="1"/>
  <c r="W75" i="10"/>
  <c r="X75" i="10" s="1"/>
  <c r="W76" i="10"/>
  <c r="V85" i="10"/>
  <c r="V83" i="10"/>
  <c r="AA747" i="10" l="1"/>
  <c r="AB747" i="10" s="1"/>
  <c r="U749" i="10" s="1"/>
  <c r="AA746" i="10"/>
  <c r="AB746" i="10" s="1"/>
  <c r="U750" i="10" s="1"/>
  <c r="AA594" i="10"/>
  <c r="AB594" i="10" s="1"/>
  <c r="AA593" i="10"/>
  <c r="AB593" i="10" s="1"/>
  <c r="U595" i="10" s="1"/>
  <c r="J74" i="10"/>
  <c r="M74" i="10" s="1"/>
  <c r="N74" i="10" s="1"/>
  <c r="J73" i="10"/>
  <c r="M73" i="10" s="1"/>
  <c r="N73" i="10" s="1"/>
  <c r="Y748" i="10" l="1"/>
  <c r="Z748" i="10" s="1"/>
  <c r="Y750" i="10"/>
  <c r="Z750" i="10" s="1"/>
  <c r="Y749" i="10"/>
  <c r="Z749" i="10" s="1"/>
  <c r="AA749" i="10" s="1"/>
  <c r="AB749" i="10" s="1"/>
  <c r="N124" i="7" s="1"/>
  <c r="Y596" i="10"/>
  <c r="Y595" i="10"/>
  <c r="Z595" i="10" s="1"/>
  <c r="U596" i="10"/>
  <c r="R57" i="13"/>
  <c r="R56" i="13"/>
  <c r="H78" i="10"/>
  <c r="M56" i="13"/>
  <c r="H76" i="10"/>
  <c r="AA750" i="10" l="1"/>
  <c r="AB750" i="10" s="1"/>
  <c r="U752" i="10" s="1"/>
  <c r="AA748" i="10"/>
  <c r="AB748" i="10" s="1"/>
  <c r="U751" i="10" s="1"/>
  <c r="Y752" i="10" s="1"/>
  <c r="Z596" i="10"/>
  <c r="AA596" i="10" s="1"/>
  <c r="AB596" i="10" s="1"/>
  <c r="I117" i="7" s="1"/>
  <c r="V76" i="10"/>
  <c r="X76" i="10" s="1"/>
  <c r="Q76" i="10"/>
  <c r="V78" i="10"/>
  <c r="X78" i="10" s="1"/>
  <c r="Q78" i="10"/>
  <c r="Z752" i="10" l="1"/>
  <c r="Y751" i="10"/>
  <c r="Z751" i="10" s="1"/>
  <c r="AA752" i="10"/>
  <c r="AB752" i="10" s="1"/>
  <c r="I124" i="7" s="1"/>
  <c r="AA751" i="10"/>
  <c r="AB751" i="10" s="1"/>
  <c r="G124" i="7" s="1"/>
  <c r="AA595" i="10"/>
  <c r="AB595" i="10" s="1"/>
  <c r="G117" i="7" s="1"/>
  <c r="P117" i="7" s="1"/>
  <c r="B21" i="3" s="1"/>
  <c r="C21" i="3" s="1"/>
  <c r="J78" i="10"/>
  <c r="M78" i="10" s="1"/>
  <c r="N78" i="10" s="1"/>
  <c r="J75" i="10"/>
  <c r="M75" i="10" s="1"/>
  <c r="N75" i="10" s="1"/>
  <c r="J76" i="10"/>
  <c r="M76" i="10" s="1"/>
  <c r="N76" i="10" s="1"/>
  <c r="P124" i="7" l="1"/>
  <c r="B28" i="3" s="1"/>
  <c r="D28" i="3" s="1"/>
  <c r="D21" i="3"/>
  <c r="M57" i="13"/>
  <c r="H79" i="10"/>
  <c r="K72" i="13"/>
  <c r="K79" i="13"/>
  <c r="K63" i="13"/>
  <c r="K77" i="13"/>
  <c r="K68" i="13"/>
  <c r="K75" i="13"/>
  <c r="K59" i="13"/>
  <c r="K66" i="13"/>
  <c r="K73" i="13"/>
  <c r="K57" i="13"/>
  <c r="K80" i="13"/>
  <c r="K64" i="13"/>
  <c r="K71" i="13"/>
  <c r="K78" i="13"/>
  <c r="K62" i="13"/>
  <c r="K76" i="13"/>
  <c r="K60" i="13"/>
  <c r="K67" i="13"/>
  <c r="K74" i="13"/>
  <c r="K65" i="13"/>
  <c r="K61" i="13"/>
  <c r="K69" i="13"/>
  <c r="K58" i="13"/>
  <c r="K70" i="13"/>
  <c r="H125" i="10"/>
  <c r="R60" i="13"/>
  <c r="R58" i="13"/>
  <c r="R63" i="13"/>
  <c r="R61" i="13"/>
  <c r="R62" i="13"/>
  <c r="R59" i="13"/>
  <c r="H90" i="10"/>
  <c r="C28" i="3" l="1"/>
  <c r="V125" i="10"/>
  <c r="P91" i="10"/>
  <c r="Q91" i="10" s="1"/>
  <c r="P90" i="10"/>
  <c r="Q90" i="10" s="1"/>
  <c r="V90" i="10"/>
  <c r="V79" i="10"/>
  <c r="X79" i="10" s="1"/>
  <c r="Q79" i="10"/>
  <c r="J79" i="10" l="1"/>
  <c r="M79" i="10" s="1"/>
  <c r="N79" i="10" s="1"/>
  <c r="J77" i="10"/>
  <c r="M77" i="10" s="1"/>
  <c r="N77" i="10" s="1"/>
  <c r="W91" i="10"/>
  <c r="X91" i="10" s="1"/>
  <c r="W90" i="10"/>
  <c r="X90" i="10" s="1"/>
  <c r="J91" i="10" l="1"/>
  <c r="M91" i="10" s="1"/>
  <c r="N91" i="10" s="1"/>
  <c r="J90" i="10"/>
  <c r="M90" i="10" s="1"/>
  <c r="N90" i="10" s="1"/>
  <c r="O59" i="13"/>
  <c r="O58" i="13"/>
  <c r="H82" i="10"/>
  <c r="M86" i="13"/>
  <c r="M70" i="13"/>
  <c r="M77" i="13"/>
  <c r="M61" i="13"/>
  <c r="M75" i="13"/>
  <c r="M82" i="13"/>
  <c r="M66" i="13"/>
  <c r="M73" i="13"/>
  <c r="M80" i="13"/>
  <c r="M64" i="13"/>
  <c r="M87" i="13"/>
  <c r="M71" i="13"/>
  <c r="M78" i="13"/>
  <c r="M62" i="13"/>
  <c r="M85" i="13"/>
  <c r="M69" i="13"/>
  <c r="M76" i="13"/>
  <c r="M60" i="13"/>
  <c r="M83" i="13"/>
  <c r="M74" i="13"/>
  <c r="M81" i="13"/>
  <c r="M65" i="13"/>
  <c r="M72" i="13"/>
  <c r="M79" i="13"/>
  <c r="M63" i="13"/>
  <c r="M68" i="13"/>
  <c r="M84" i="13"/>
  <c r="M58" i="13"/>
  <c r="M67" i="13"/>
  <c r="M59" i="13"/>
  <c r="H138" i="10"/>
  <c r="P83" i="10" l="1"/>
  <c r="Q83" i="10" s="1"/>
  <c r="P82" i="10"/>
  <c r="Q82" i="10" s="1"/>
  <c r="V82" i="10"/>
  <c r="P139" i="10"/>
  <c r="P138" i="10"/>
  <c r="Q138" i="10" s="1"/>
  <c r="V138" i="10"/>
  <c r="R64" i="13"/>
  <c r="H92" i="10"/>
  <c r="S64" i="13"/>
  <c r="S65" i="13"/>
  <c r="H95" i="10"/>
  <c r="V95" i="10" l="1"/>
  <c r="W138" i="10"/>
  <c r="X138" i="10" s="1"/>
  <c r="W139" i="10"/>
  <c r="W83" i="10"/>
  <c r="X83" i="10" s="1"/>
  <c r="W82" i="10"/>
  <c r="X82" i="10" s="1"/>
  <c r="V92" i="10"/>
  <c r="J82" i="10" l="1"/>
  <c r="M82" i="10" s="1"/>
  <c r="N82" i="10" s="1"/>
  <c r="J83" i="10"/>
  <c r="M83" i="10" s="1"/>
  <c r="N83" i="10" s="1"/>
  <c r="N77" i="13" l="1"/>
  <c r="N61" i="13"/>
  <c r="N68" i="13"/>
  <c r="N66" i="13"/>
  <c r="N73" i="13"/>
  <c r="N80" i="13"/>
  <c r="N64" i="13"/>
  <c r="N71" i="13"/>
  <c r="N78" i="13"/>
  <c r="N62" i="13"/>
  <c r="N69" i="13"/>
  <c r="N76" i="13"/>
  <c r="N60" i="13"/>
  <c r="N67" i="13"/>
  <c r="N65" i="13"/>
  <c r="N72" i="13"/>
  <c r="N79" i="13"/>
  <c r="N70" i="13"/>
  <c r="N74" i="13"/>
  <c r="N63" i="13"/>
  <c r="N75" i="13"/>
  <c r="H124" i="10"/>
  <c r="O60" i="13"/>
  <c r="H84" i="10"/>
  <c r="P85" i="10" l="1"/>
  <c r="Q85" i="10" s="1"/>
  <c r="P84" i="10"/>
  <c r="Q84" i="10" s="1"/>
  <c r="V84" i="10"/>
  <c r="P125" i="10"/>
  <c r="Q125" i="10" s="1"/>
  <c r="P124" i="10"/>
  <c r="Q124" i="10" s="1"/>
  <c r="V124" i="10"/>
  <c r="W124" i="10" l="1"/>
  <c r="X124" i="10" s="1"/>
  <c r="W125" i="10"/>
  <c r="X125" i="10" s="1"/>
  <c r="W85" i="10"/>
  <c r="X85" i="10" s="1"/>
  <c r="W84" i="10"/>
  <c r="X84" i="10" s="1"/>
  <c r="J85" i="10" l="1"/>
  <c r="M85" i="10" s="1"/>
  <c r="N85" i="10" s="1"/>
  <c r="J84" i="10"/>
  <c r="M84" i="10" s="1"/>
  <c r="N84" i="10" s="1"/>
  <c r="J125" i="10"/>
  <c r="M125" i="10" s="1"/>
  <c r="N125" i="10" s="1"/>
  <c r="J124" i="10"/>
  <c r="M124" i="10" s="1"/>
  <c r="N124" i="10" s="1"/>
  <c r="N84" i="13" l="1"/>
  <c r="N82" i="13"/>
  <c r="N85" i="13"/>
  <c r="N83" i="13"/>
  <c r="N81" i="13"/>
  <c r="H135" i="10"/>
  <c r="K82" i="13"/>
  <c r="K81" i="13"/>
  <c r="H129" i="10"/>
  <c r="O64" i="13"/>
  <c r="O62" i="13"/>
  <c r="O63" i="13"/>
  <c r="O61" i="13"/>
  <c r="H93" i="10"/>
  <c r="T71" i="13"/>
  <c r="T78" i="13"/>
  <c r="T62" i="13"/>
  <c r="T76" i="13"/>
  <c r="T83" i="13"/>
  <c r="T67" i="13"/>
  <c r="T74" i="13"/>
  <c r="T81" i="13"/>
  <c r="T65" i="13"/>
  <c r="T72" i="13"/>
  <c r="T79" i="13"/>
  <c r="T63" i="13"/>
  <c r="T70" i="13"/>
  <c r="T77" i="13"/>
  <c r="T61" i="13"/>
  <c r="T75" i="13"/>
  <c r="T82" i="13"/>
  <c r="T66" i="13"/>
  <c r="T73" i="13"/>
  <c r="T80" i="13"/>
  <c r="T64" i="13"/>
  <c r="T69" i="13"/>
  <c r="T68" i="13"/>
  <c r="H131" i="10"/>
  <c r="P93" i="10" l="1"/>
  <c r="Q93" i="10" s="1"/>
  <c r="P92" i="10"/>
  <c r="Q92" i="10" s="1"/>
  <c r="V93" i="10"/>
  <c r="V129" i="10"/>
  <c r="X129" i="10" s="1"/>
  <c r="Q129" i="10"/>
  <c r="V131" i="10"/>
  <c r="V135" i="10"/>
  <c r="W93" i="10" l="1"/>
  <c r="X93" i="10" s="1"/>
  <c r="W92" i="10"/>
  <c r="X92" i="10" s="1"/>
  <c r="J129" i="10"/>
  <c r="M129" i="10" s="1"/>
  <c r="N129" i="10" s="1"/>
  <c r="J128" i="10"/>
  <c r="M128" i="10" s="1"/>
  <c r="N128" i="10" s="1"/>
  <c r="H136" i="10" l="1"/>
  <c r="K88" i="13"/>
  <c r="K95" i="13"/>
  <c r="K86" i="13"/>
  <c r="K93" i="13"/>
  <c r="K84" i="13"/>
  <c r="K91" i="13"/>
  <c r="K89" i="13"/>
  <c r="K87" i="13"/>
  <c r="K94" i="13"/>
  <c r="K85" i="13"/>
  <c r="K92" i="13"/>
  <c r="K83" i="13"/>
  <c r="K90" i="13"/>
  <c r="H163" i="10"/>
  <c r="J93" i="10"/>
  <c r="M93" i="10" s="1"/>
  <c r="N93" i="10" s="1"/>
  <c r="J92" i="10"/>
  <c r="M92" i="10" s="1"/>
  <c r="N92" i="10" s="1"/>
  <c r="R69" i="13" l="1"/>
  <c r="R67" i="13"/>
  <c r="R65" i="13"/>
  <c r="R68" i="13"/>
  <c r="R66" i="13"/>
  <c r="R70" i="13"/>
  <c r="H104" i="10"/>
  <c r="P137" i="10"/>
  <c r="P136" i="10"/>
  <c r="Q136" i="10" s="1"/>
  <c r="V136" i="10"/>
  <c r="O65" i="13"/>
  <c r="H94" i="10"/>
  <c r="V163" i="10"/>
  <c r="P95" i="10" l="1"/>
  <c r="Q95" i="10" s="1"/>
  <c r="P94" i="10"/>
  <c r="Q94" i="10" s="1"/>
  <c r="V94" i="10"/>
  <c r="W137" i="10"/>
  <c r="W136" i="10"/>
  <c r="X136" i="10" s="1"/>
  <c r="P105" i="10"/>
  <c r="P104" i="10"/>
  <c r="Q104" i="10" s="1"/>
  <c r="V104" i="10"/>
  <c r="W95" i="10" l="1"/>
  <c r="X95" i="10" s="1"/>
  <c r="W94" i="10"/>
  <c r="X94" i="10" s="1"/>
  <c r="W105" i="10"/>
  <c r="W104" i="10"/>
  <c r="X104" i="10" s="1"/>
  <c r="J94" i="10" l="1"/>
  <c r="M94" i="10" s="1"/>
  <c r="N94" i="10" s="1"/>
  <c r="J95" i="10"/>
  <c r="M95" i="10" s="1"/>
  <c r="N95" i="10" s="1"/>
  <c r="S66" i="13" l="1"/>
  <c r="H97" i="10"/>
  <c r="O66" i="13"/>
  <c r="H96" i="10"/>
  <c r="V96" i="10" l="1"/>
  <c r="P96" i="10"/>
  <c r="Q96" i="10" s="1"/>
  <c r="P97" i="10"/>
  <c r="Q97" i="10" s="1"/>
  <c r="V97" i="10"/>
  <c r="W97" i="10" l="1"/>
  <c r="X97" i="10" s="1"/>
  <c r="W96" i="10"/>
  <c r="X96" i="10" s="1"/>
  <c r="J97" i="10" l="1"/>
  <c r="M97" i="10" s="1"/>
  <c r="N97" i="10" s="1"/>
  <c r="J96" i="10"/>
  <c r="M96" i="10" s="1"/>
  <c r="N96" i="10" s="1"/>
  <c r="O67" i="13" l="1"/>
  <c r="H98" i="10"/>
  <c r="S71" i="13"/>
  <c r="S69" i="13"/>
  <c r="S67" i="13"/>
  <c r="S72" i="13"/>
  <c r="S70" i="13"/>
  <c r="S68" i="13"/>
  <c r="S73" i="13"/>
  <c r="H110" i="10"/>
  <c r="P111" i="10" l="1"/>
  <c r="P110" i="10"/>
  <c r="Q110" i="10" s="1"/>
  <c r="V110" i="10"/>
  <c r="P98" i="10"/>
  <c r="Q98" i="10" s="1"/>
  <c r="P99" i="10"/>
  <c r="Q99" i="10" s="1"/>
  <c r="V98" i="10"/>
  <c r="W99" i="10" l="1"/>
  <c r="X99" i="10" s="1"/>
  <c r="W98" i="10"/>
  <c r="X98" i="10" s="1"/>
  <c r="W111" i="10"/>
  <c r="W110" i="10"/>
  <c r="X110" i="10" s="1"/>
  <c r="J99" i="10" l="1"/>
  <c r="M99" i="10" s="1"/>
  <c r="N99" i="10" s="1"/>
  <c r="J98" i="10"/>
  <c r="M98" i="10" s="1"/>
  <c r="N98" i="10" s="1"/>
  <c r="O68" i="13" l="1"/>
  <c r="H100" i="10"/>
  <c r="H101" i="10"/>
  <c r="V101" i="10" l="1"/>
  <c r="P100" i="10"/>
  <c r="Q100" i="10" s="1"/>
  <c r="P101" i="10"/>
  <c r="Q101" i="10" s="1"/>
  <c r="V100" i="10"/>
  <c r="W101" i="10" l="1"/>
  <c r="X101" i="10" s="1"/>
  <c r="W100" i="10"/>
  <c r="X100" i="10" s="1"/>
  <c r="J101" i="10" l="1"/>
  <c r="M101" i="10" s="1"/>
  <c r="N101" i="10" s="1"/>
  <c r="J100" i="10"/>
  <c r="M100" i="10" s="1"/>
  <c r="N100" i="10" s="1"/>
  <c r="O69" i="13" l="1"/>
  <c r="H102" i="10"/>
  <c r="H103" i="10"/>
  <c r="P102" i="10" l="1"/>
  <c r="Q102" i="10" s="1"/>
  <c r="P103" i="10"/>
  <c r="Q103" i="10" s="1"/>
  <c r="V103" i="10"/>
  <c r="V102" i="10"/>
  <c r="W103" i="10" l="1"/>
  <c r="X103" i="10" s="1"/>
  <c r="W102" i="10"/>
  <c r="X102" i="10" s="1"/>
  <c r="J103" i="10" l="1"/>
  <c r="M103" i="10" s="1"/>
  <c r="N103" i="10" s="1"/>
  <c r="J102" i="10"/>
  <c r="M102" i="10" s="1"/>
  <c r="N102" i="10" s="1"/>
  <c r="O75" i="13" l="1"/>
  <c r="O73" i="13"/>
  <c r="O71" i="13"/>
  <c r="O78" i="13"/>
  <c r="O76" i="13"/>
  <c r="O74" i="13"/>
  <c r="O72" i="13"/>
  <c r="O79" i="13"/>
  <c r="O77" i="13"/>
  <c r="O70" i="13"/>
  <c r="H123" i="10"/>
  <c r="H105" i="10"/>
  <c r="V105" i="10" l="1"/>
  <c r="X105" i="10" s="1"/>
  <c r="Q105" i="10"/>
  <c r="V123" i="10"/>
  <c r="J105" i="10" l="1"/>
  <c r="M105" i="10" s="1"/>
  <c r="N105" i="10" s="1"/>
  <c r="J104" i="10"/>
  <c r="M104" i="10" s="1"/>
  <c r="N104" i="10" s="1"/>
  <c r="R71" i="13" l="1"/>
  <c r="H106" i="10"/>
  <c r="H107" i="10"/>
  <c r="V107" i="10" l="1"/>
  <c r="P107" i="10"/>
  <c r="Q107" i="10" s="1"/>
  <c r="P106" i="10"/>
  <c r="Q106" i="10" s="1"/>
  <c r="V106" i="10"/>
  <c r="W107" i="10" l="1"/>
  <c r="X107" i="10" s="1"/>
  <c r="W106" i="10"/>
  <c r="X106" i="10" s="1"/>
  <c r="J107" i="10" l="1"/>
  <c r="M107" i="10" s="1"/>
  <c r="N107" i="10" s="1"/>
  <c r="J106" i="10"/>
  <c r="M106" i="10" s="1"/>
  <c r="N106" i="10" s="1"/>
  <c r="R72" i="13" l="1"/>
  <c r="H108" i="10"/>
  <c r="H109" i="10"/>
  <c r="P109" i="10" l="1"/>
  <c r="Q109" i="10" s="1"/>
  <c r="P108" i="10"/>
  <c r="Q108" i="10" s="1"/>
  <c r="V109" i="10"/>
  <c r="V108" i="10"/>
  <c r="W108" i="10" l="1"/>
  <c r="X108" i="10" s="1"/>
  <c r="W109" i="10"/>
  <c r="X109" i="10" s="1"/>
  <c r="J108" i="10" l="1"/>
  <c r="M108" i="10" s="1"/>
  <c r="N108" i="10" s="1"/>
  <c r="J109" i="10"/>
  <c r="M109" i="10" s="1"/>
  <c r="N109" i="10" s="1"/>
  <c r="H111" i="10" l="1"/>
  <c r="R73" i="13"/>
  <c r="R80" i="13"/>
  <c r="R78" i="13"/>
  <c r="R76" i="13"/>
  <c r="R74" i="13"/>
  <c r="R81" i="13"/>
  <c r="R79" i="13"/>
  <c r="R77" i="13"/>
  <c r="R75" i="13"/>
  <c r="H127" i="10"/>
  <c r="V127" i="10" l="1"/>
  <c r="V111" i="10"/>
  <c r="X111" i="10" s="1"/>
  <c r="Q111" i="10"/>
  <c r="J111" i="10" l="1"/>
  <c r="M111" i="10" s="1"/>
  <c r="N111" i="10" s="1"/>
  <c r="J110" i="10"/>
  <c r="M110" i="10" s="1"/>
  <c r="N110" i="10" s="1"/>
  <c r="S74" i="13" l="1"/>
  <c r="H112" i="10"/>
  <c r="H113" i="10"/>
  <c r="V113" i="10" l="1"/>
  <c r="P112" i="10"/>
  <c r="Q112" i="10" s="1"/>
  <c r="P113" i="10"/>
  <c r="Q113" i="10" s="1"/>
  <c r="V112" i="10"/>
  <c r="W113" i="10" l="1"/>
  <c r="X113" i="10" s="1"/>
  <c r="W112" i="10"/>
  <c r="X112" i="10" s="1"/>
  <c r="J113" i="10" l="1"/>
  <c r="M113" i="10" s="1"/>
  <c r="N113" i="10" s="1"/>
  <c r="J112" i="10"/>
  <c r="M112" i="10" s="1"/>
  <c r="N112" i="10" s="1"/>
  <c r="S75" i="13" l="1"/>
  <c r="H114" i="10"/>
  <c r="H115" i="10"/>
  <c r="V115" i="10" l="1"/>
  <c r="P114" i="10"/>
  <c r="Q114" i="10" s="1"/>
  <c r="P115" i="10"/>
  <c r="Q115" i="10" s="1"/>
  <c r="V114" i="10"/>
  <c r="W115" i="10" l="1"/>
  <c r="X115" i="10" s="1"/>
  <c r="W114" i="10"/>
  <c r="X114" i="10" s="1"/>
  <c r="J115" i="10" l="1"/>
  <c r="M115" i="10" s="1"/>
  <c r="N115" i="10" s="1"/>
  <c r="J114" i="10"/>
  <c r="M114" i="10" s="1"/>
  <c r="N114" i="10" s="1"/>
  <c r="S76" i="13" l="1"/>
  <c r="H117" i="10"/>
  <c r="H116" i="10"/>
  <c r="P116" i="10" l="1"/>
  <c r="Q116" i="10" s="1"/>
  <c r="P117" i="10"/>
  <c r="Q117" i="10" s="1"/>
  <c r="V116" i="10"/>
  <c r="V117" i="10"/>
  <c r="W117" i="10" l="1"/>
  <c r="X117" i="10" s="1"/>
  <c r="W116" i="10"/>
  <c r="X116" i="10" s="1"/>
  <c r="J117" i="10" l="1"/>
  <c r="M117" i="10" s="1"/>
  <c r="N117" i="10" s="1"/>
  <c r="J116" i="10"/>
  <c r="M116" i="10" s="1"/>
  <c r="N116" i="10" s="1"/>
  <c r="H118" i="10" l="1"/>
  <c r="S80" i="13"/>
  <c r="S81" i="13"/>
  <c r="S79" i="13"/>
  <c r="S77" i="13"/>
  <c r="S78" i="13"/>
  <c r="H126" i="10"/>
  <c r="P127" i="10" l="1"/>
  <c r="Q127" i="10" s="1"/>
  <c r="P126" i="10"/>
  <c r="Q126" i="10" s="1"/>
  <c r="V126" i="10"/>
  <c r="P118" i="10"/>
  <c r="Q118" i="10" s="1"/>
  <c r="P119" i="10"/>
  <c r="Q119" i="10" s="1"/>
  <c r="V118" i="10"/>
  <c r="W119" i="10" l="1"/>
  <c r="X119" i="10" s="1"/>
  <c r="W118" i="10"/>
  <c r="X118" i="10" s="1"/>
  <c r="W127" i="10"/>
  <c r="X127" i="10" s="1"/>
  <c r="W126" i="10"/>
  <c r="X126" i="10" s="1"/>
  <c r="J126" i="10" l="1"/>
  <c r="M126" i="10" s="1"/>
  <c r="N126" i="10" s="1"/>
  <c r="J127" i="10"/>
  <c r="M127" i="10" s="1"/>
  <c r="N127" i="10" s="1"/>
  <c r="J119" i="10"/>
  <c r="M119" i="10" s="1"/>
  <c r="N119" i="10" s="1"/>
  <c r="J118" i="10"/>
  <c r="M118" i="10" s="1"/>
  <c r="N118" i="10" s="1"/>
  <c r="H121" i="10" l="1"/>
  <c r="L79" i="13"/>
  <c r="L82" i="13"/>
  <c r="L80" i="13"/>
  <c r="L78" i="13"/>
  <c r="L83" i="13"/>
  <c r="L81" i="13"/>
  <c r="H130" i="10"/>
  <c r="R89" i="13"/>
  <c r="R87" i="13"/>
  <c r="R85" i="13"/>
  <c r="R92" i="13"/>
  <c r="R83" i="13"/>
  <c r="R90" i="13"/>
  <c r="R88" i="13"/>
  <c r="R86" i="13"/>
  <c r="R84" i="13"/>
  <c r="R91" i="13"/>
  <c r="R82" i="13"/>
  <c r="H151" i="10"/>
  <c r="S85" i="13"/>
  <c r="S83" i="13"/>
  <c r="S84" i="13"/>
  <c r="S82" i="13"/>
  <c r="H134" i="10"/>
  <c r="P134" i="10" l="1"/>
  <c r="Q134" i="10" s="1"/>
  <c r="P135" i="10"/>
  <c r="Q135" i="10" s="1"/>
  <c r="V134" i="10"/>
  <c r="P130" i="10"/>
  <c r="Q130" i="10" s="1"/>
  <c r="P131" i="10"/>
  <c r="Q131" i="10" s="1"/>
  <c r="V130" i="10"/>
  <c r="V151" i="10"/>
  <c r="P121" i="10"/>
  <c r="Q121" i="10" s="1"/>
  <c r="P120" i="10"/>
  <c r="Q120" i="10" s="1"/>
  <c r="V121" i="10"/>
  <c r="W135" i="10" l="1"/>
  <c r="X135" i="10" s="1"/>
  <c r="W134" i="10"/>
  <c r="X134" i="10" s="1"/>
  <c r="W120" i="10"/>
  <c r="X120" i="10" s="1"/>
  <c r="W121" i="10"/>
  <c r="X121" i="10" s="1"/>
  <c r="W131" i="10"/>
  <c r="X131" i="10" s="1"/>
  <c r="W130" i="10"/>
  <c r="X130" i="10" s="1"/>
  <c r="J131" i="10" l="1"/>
  <c r="M131" i="10" s="1"/>
  <c r="N131" i="10" s="1"/>
  <c r="J130" i="10"/>
  <c r="M130" i="10" s="1"/>
  <c r="N130" i="10" s="1"/>
  <c r="J121" i="10"/>
  <c r="M121" i="10" s="1"/>
  <c r="N121" i="10" s="1"/>
  <c r="J120" i="10"/>
  <c r="M120" i="10" s="1"/>
  <c r="N120" i="10" s="1"/>
  <c r="J135" i="10"/>
  <c r="M135" i="10" s="1"/>
  <c r="N135" i="10" s="1"/>
  <c r="J134" i="10"/>
  <c r="M134" i="10" s="1"/>
  <c r="N134" i="10" s="1"/>
  <c r="N93" i="13" l="1"/>
  <c r="N91" i="13"/>
  <c r="N89" i="13"/>
  <c r="N87" i="13"/>
  <c r="N94" i="13"/>
  <c r="N92" i="13"/>
  <c r="N90" i="13"/>
  <c r="N88" i="13"/>
  <c r="N86" i="13"/>
  <c r="H158" i="10"/>
  <c r="H122" i="10"/>
  <c r="S87" i="13"/>
  <c r="S92" i="13"/>
  <c r="S90" i="13"/>
  <c r="S88" i="13"/>
  <c r="S86" i="13"/>
  <c r="S91" i="13"/>
  <c r="S89" i="13"/>
  <c r="H150" i="10"/>
  <c r="H132" i="10"/>
  <c r="L95" i="13"/>
  <c r="L86" i="13"/>
  <c r="L93" i="13"/>
  <c r="L84" i="13"/>
  <c r="L91" i="13"/>
  <c r="L89" i="13"/>
  <c r="L87" i="13"/>
  <c r="L96" i="13"/>
  <c r="L94" i="13"/>
  <c r="L85" i="13"/>
  <c r="L92" i="13"/>
  <c r="L90" i="13"/>
  <c r="L88" i="13"/>
  <c r="H164" i="10"/>
  <c r="T87" i="13"/>
  <c r="T86" i="13"/>
  <c r="T84" i="13"/>
  <c r="T85" i="13"/>
  <c r="H139" i="10"/>
  <c r="P123" i="10" l="1"/>
  <c r="Q123" i="10" s="1"/>
  <c r="P122" i="10"/>
  <c r="Q122" i="10" s="1"/>
  <c r="V122" i="10"/>
  <c r="P132" i="10"/>
  <c r="Q132" i="10" s="1"/>
  <c r="P133" i="10"/>
  <c r="V132" i="10"/>
  <c r="V158" i="10"/>
  <c r="P167" i="10"/>
  <c r="P165" i="10"/>
  <c r="Q165" i="10" s="1"/>
  <c r="P164" i="10"/>
  <c r="Q164" i="10" s="1"/>
  <c r="P166" i="10"/>
  <c r="V164" i="10"/>
  <c r="V150" i="10"/>
  <c r="V139" i="10"/>
  <c r="X139" i="10" s="1"/>
  <c r="Q139" i="10"/>
  <c r="W165" i="10" l="1"/>
  <c r="X165" i="10" s="1"/>
  <c r="W167" i="10"/>
  <c r="W164" i="10"/>
  <c r="X164" i="10" s="1"/>
  <c r="W166" i="10"/>
  <c r="W122" i="10"/>
  <c r="X122" i="10" s="1"/>
  <c r="W123" i="10"/>
  <c r="X123" i="10" s="1"/>
  <c r="W133" i="10"/>
  <c r="W132" i="10"/>
  <c r="X132" i="10" s="1"/>
  <c r="J139" i="10"/>
  <c r="M139" i="10" s="1"/>
  <c r="N139" i="10" s="1"/>
  <c r="J138" i="10"/>
  <c r="M138" i="10" s="1"/>
  <c r="N138" i="10" s="1"/>
  <c r="M179" i="13" l="1"/>
  <c r="M163" i="13"/>
  <c r="M170" i="13"/>
  <c r="M154" i="13"/>
  <c r="M177" i="13"/>
  <c r="M175" i="13"/>
  <c r="M159" i="13"/>
  <c r="M166" i="13"/>
  <c r="M150" i="13"/>
  <c r="M173" i="13"/>
  <c r="M180" i="13"/>
  <c r="M164" i="13"/>
  <c r="M171" i="13"/>
  <c r="M155" i="13"/>
  <c r="M178" i="13"/>
  <c r="M162" i="13"/>
  <c r="M176" i="13"/>
  <c r="M160" i="13"/>
  <c r="M174" i="13"/>
  <c r="M181" i="13"/>
  <c r="M165" i="13"/>
  <c r="M149" i="13"/>
  <c r="M172" i="13"/>
  <c r="M138" i="13"/>
  <c r="M122" i="13"/>
  <c r="M106" i="13"/>
  <c r="M147" i="13"/>
  <c r="M145" i="13"/>
  <c r="M129" i="13"/>
  <c r="M136" i="13"/>
  <c r="M120" i="13"/>
  <c r="M104" i="13"/>
  <c r="M156" i="13"/>
  <c r="M143" i="13"/>
  <c r="M127" i="13"/>
  <c r="M111" i="13"/>
  <c r="M134" i="13"/>
  <c r="M118" i="13"/>
  <c r="M102" i="13"/>
  <c r="M158" i="13"/>
  <c r="M157" i="13"/>
  <c r="M141" i="13"/>
  <c r="M125" i="13"/>
  <c r="M109" i="13"/>
  <c r="M169" i="13"/>
  <c r="M132" i="13"/>
  <c r="M116" i="13"/>
  <c r="M100" i="13"/>
  <c r="M167" i="13"/>
  <c r="M139" i="13"/>
  <c r="M123" i="13"/>
  <c r="M107" i="13"/>
  <c r="M146" i="13"/>
  <c r="M130" i="13"/>
  <c r="M114" i="13"/>
  <c r="M151" i="13"/>
  <c r="M137" i="13"/>
  <c r="M121" i="13"/>
  <c r="M105" i="13"/>
  <c r="M144" i="13"/>
  <c r="M128" i="13"/>
  <c r="M112" i="13"/>
  <c r="M135" i="13"/>
  <c r="M153" i="13"/>
  <c r="M152" i="13"/>
  <c r="M142" i="13"/>
  <c r="M148" i="13"/>
  <c r="M133" i="13"/>
  <c r="M168" i="13"/>
  <c r="M140" i="13"/>
  <c r="M161" i="13"/>
  <c r="M131" i="13"/>
  <c r="M110" i="13"/>
  <c r="M95" i="13"/>
  <c r="M113" i="13"/>
  <c r="M97" i="13"/>
  <c r="M93" i="13"/>
  <c r="M117" i="13"/>
  <c r="M99" i="13"/>
  <c r="M91" i="13"/>
  <c r="M89" i="13"/>
  <c r="M98" i="13"/>
  <c r="M96" i="13"/>
  <c r="M94" i="13"/>
  <c r="M115" i="13"/>
  <c r="M92" i="13"/>
  <c r="M119" i="13"/>
  <c r="M124" i="13"/>
  <c r="M90" i="13"/>
  <c r="M126" i="13"/>
  <c r="M108" i="13"/>
  <c r="M103" i="13"/>
  <c r="M101" i="13"/>
  <c r="M88" i="13"/>
  <c r="H367" i="10"/>
  <c r="T88" i="13"/>
  <c r="H140" i="10"/>
  <c r="J123" i="10"/>
  <c r="M123" i="10" s="1"/>
  <c r="N123" i="10" s="1"/>
  <c r="J122" i="10"/>
  <c r="M122" i="10" s="1"/>
  <c r="N122" i="10" s="1"/>
  <c r="P367" i="10" l="1"/>
  <c r="Q367" i="10" s="1"/>
  <c r="P366" i="10"/>
  <c r="V367" i="10"/>
  <c r="H133" i="10"/>
  <c r="O84" i="13"/>
  <c r="O91" i="13"/>
  <c r="O89" i="13"/>
  <c r="O80" i="13"/>
  <c r="O87" i="13"/>
  <c r="O85" i="13"/>
  <c r="O92" i="13"/>
  <c r="O83" i="13"/>
  <c r="O90" i="13"/>
  <c r="O81" i="13"/>
  <c r="O88" i="13"/>
  <c r="O86" i="13"/>
  <c r="O82" i="13"/>
  <c r="H149" i="10"/>
  <c r="P141" i="10"/>
  <c r="P140" i="10"/>
  <c r="Q140" i="10" s="1"/>
  <c r="V140" i="10"/>
  <c r="W140" i="10" l="1"/>
  <c r="X140" i="10" s="1"/>
  <c r="W141" i="10"/>
  <c r="V133" i="10"/>
  <c r="X133" i="10" s="1"/>
  <c r="Q133" i="10"/>
  <c r="V149" i="10"/>
  <c r="W366" i="10"/>
  <c r="W367" i="10"/>
  <c r="X367" i="10" s="1"/>
  <c r="J133" i="10" l="1"/>
  <c r="M133" i="10" s="1"/>
  <c r="N133" i="10" s="1"/>
  <c r="J132" i="10"/>
  <c r="M132" i="10" s="1"/>
  <c r="N132" i="10" s="1"/>
  <c r="H137" i="10" l="1"/>
  <c r="H148" i="10"/>
  <c r="P149" i="10" l="1"/>
  <c r="Q149" i="10" s="1"/>
  <c r="P151" i="10"/>
  <c r="Q151" i="10" s="1"/>
  <c r="P148" i="10"/>
  <c r="Q148" i="10" s="1"/>
  <c r="P150" i="10"/>
  <c r="Q150" i="10" s="1"/>
  <c r="V148" i="10"/>
  <c r="V137" i="10"/>
  <c r="X137" i="10" s="1"/>
  <c r="Q137" i="10"/>
  <c r="J137" i="10" l="1"/>
  <c r="M137" i="10" s="1"/>
  <c r="N137" i="10" s="1"/>
  <c r="J136" i="10"/>
  <c r="M136" i="10" s="1"/>
  <c r="N136" i="10" s="1"/>
  <c r="W148" i="10"/>
  <c r="X148" i="10" s="1"/>
  <c r="W150" i="10"/>
  <c r="X150" i="10" s="1"/>
  <c r="W149" i="10"/>
  <c r="X149" i="10" s="1"/>
  <c r="W151" i="10"/>
  <c r="X151" i="10" s="1"/>
  <c r="J151" i="10" s="1"/>
  <c r="M151" i="10" s="1"/>
  <c r="N151" i="10" s="1"/>
  <c r="R96" i="13" l="1"/>
  <c r="R94" i="13"/>
  <c r="R98" i="13"/>
  <c r="R95" i="13"/>
  <c r="R97" i="13"/>
  <c r="R93" i="13"/>
  <c r="H173" i="10"/>
  <c r="H142" i="10"/>
  <c r="J150" i="10"/>
  <c r="M150" i="10" s="1"/>
  <c r="N150" i="10" s="1"/>
  <c r="J149" i="10"/>
  <c r="M149" i="10" s="1"/>
  <c r="N149" i="10" s="1"/>
  <c r="J148" i="10"/>
  <c r="M148" i="10" s="1"/>
  <c r="N148" i="10" s="1"/>
  <c r="H141" i="10"/>
  <c r="O93" i="13" l="1"/>
  <c r="H155" i="10"/>
  <c r="S96" i="13"/>
  <c r="S94" i="13"/>
  <c r="S98" i="13"/>
  <c r="S95" i="13"/>
  <c r="S97" i="13"/>
  <c r="S93" i="13"/>
  <c r="H172" i="10"/>
  <c r="V141" i="10"/>
  <c r="X141" i="10" s="1"/>
  <c r="Q141" i="10"/>
  <c r="P142" i="10"/>
  <c r="Q142" i="10" s="1"/>
  <c r="P143" i="10"/>
  <c r="V142" i="10"/>
  <c r="H154" i="10"/>
  <c r="V173" i="10"/>
  <c r="W143" i="10" l="1"/>
  <c r="W142" i="10"/>
  <c r="X142" i="10" s="1"/>
  <c r="V154" i="10"/>
  <c r="J141" i="10"/>
  <c r="M141" i="10" s="1"/>
  <c r="N141" i="10" s="1"/>
  <c r="J140" i="10"/>
  <c r="M140" i="10" s="1"/>
  <c r="N140" i="10" s="1"/>
  <c r="P175" i="10"/>
  <c r="P174" i="10"/>
  <c r="P173" i="10"/>
  <c r="Q173" i="10" s="1"/>
  <c r="P172" i="10"/>
  <c r="Q172" i="10" s="1"/>
  <c r="V172" i="10"/>
  <c r="V155" i="10"/>
  <c r="W175" i="10" l="1"/>
  <c r="W174" i="10"/>
  <c r="W173" i="10"/>
  <c r="X173" i="10" s="1"/>
  <c r="W172" i="10"/>
  <c r="X172" i="10" s="1"/>
  <c r="H143" i="10"/>
  <c r="T90" i="13"/>
  <c r="T89" i="13"/>
  <c r="H144" i="10"/>
  <c r="P144" i="10" l="1"/>
  <c r="Q144" i="10" s="1"/>
  <c r="P145" i="10"/>
  <c r="V144" i="10"/>
  <c r="V143" i="10"/>
  <c r="X143" i="10" s="1"/>
  <c r="Q143" i="10"/>
  <c r="J143" i="10" l="1"/>
  <c r="M143" i="10" s="1"/>
  <c r="N143" i="10" s="1"/>
  <c r="J142" i="10"/>
  <c r="M142" i="10" s="1"/>
  <c r="N142" i="10" s="1"/>
  <c r="W145" i="10"/>
  <c r="W144" i="10"/>
  <c r="X144" i="10" s="1"/>
  <c r="H146" i="10" l="1"/>
  <c r="H145" i="10"/>
  <c r="V145" i="10" l="1"/>
  <c r="X145" i="10" s="1"/>
  <c r="Q145" i="10"/>
  <c r="P146" i="10"/>
  <c r="Q146" i="10" s="1"/>
  <c r="P147" i="10"/>
  <c r="V146" i="10"/>
  <c r="W147" i="10" l="1"/>
  <c r="W146" i="10"/>
  <c r="X146" i="10" s="1"/>
  <c r="J145" i="10"/>
  <c r="M145" i="10" s="1"/>
  <c r="N145" i="10" s="1"/>
  <c r="J144" i="10"/>
  <c r="M144" i="10" s="1"/>
  <c r="N144" i="10" s="1"/>
  <c r="H152" i="10" l="1"/>
  <c r="T91" i="13"/>
  <c r="H147" i="10"/>
  <c r="V147" i="10" l="1"/>
  <c r="X147" i="10" s="1"/>
  <c r="Q147" i="10"/>
  <c r="V152" i="10"/>
  <c r="J147" i="10" l="1"/>
  <c r="M147" i="10" s="1"/>
  <c r="N147" i="10" s="1"/>
  <c r="J146" i="10"/>
  <c r="M146" i="10" s="1"/>
  <c r="N146" i="10" s="1"/>
  <c r="H153" i="10" l="1"/>
  <c r="T94" i="13"/>
  <c r="T92" i="13"/>
  <c r="T95" i="13"/>
  <c r="T93" i="13"/>
  <c r="H162" i="10"/>
  <c r="V162" i="10" l="1"/>
  <c r="V153" i="10"/>
  <c r="P154" i="10"/>
  <c r="Q154" i="10" s="1"/>
  <c r="P155" i="10"/>
  <c r="Q155" i="10" s="1"/>
  <c r="P152" i="10"/>
  <c r="Q152" i="10" s="1"/>
  <c r="P153" i="10"/>
  <c r="Q153" i="10" s="1"/>
  <c r="W153" i="10" l="1"/>
  <c r="X153" i="10" s="1"/>
  <c r="W155" i="10"/>
  <c r="X155" i="10" s="1"/>
  <c r="J155" i="10" s="1"/>
  <c r="M155" i="10" s="1"/>
  <c r="N155" i="10" s="1"/>
  <c r="W154" i="10"/>
  <c r="X154" i="10" s="1"/>
  <c r="W152" i="10"/>
  <c r="X152" i="10" s="1"/>
  <c r="J153" i="10" l="1"/>
  <c r="M153" i="10" s="1"/>
  <c r="N153" i="10" s="1"/>
  <c r="J152" i="10"/>
  <c r="M152" i="10" s="1"/>
  <c r="N152" i="10" s="1"/>
  <c r="J154" i="10"/>
  <c r="M154" i="10" s="1"/>
  <c r="N154" i="10" s="1"/>
  <c r="O96" i="13"/>
  <c r="O94" i="13"/>
  <c r="O95" i="13"/>
  <c r="O97" i="13"/>
  <c r="H168" i="10"/>
  <c r="V168" i="10" l="1"/>
  <c r="H169" i="10"/>
  <c r="H157" i="10"/>
  <c r="H156" i="10"/>
  <c r="P159" i="10" l="1"/>
  <c r="Q159" i="10" s="1"/>
  <c r="P156" i="10"/>
  <c r="Q156" i="10" s="1"/>
  <c r="P158" i="10"/>
  <c r="Q158" i="10" s="1"/>
  <c r="P157" i="10"/>
  <c r="Q157" i="10" s="1"/>
  <c r="V156" i="10"/>
  <c r="V169" i="10"/>
  <c r="W170" i="10" s="1"/>
  <c r="P168" i="10"/>
  <c r="Q168" i="10" s="1"/>
  <c r="V157" i="10"/>
  <c r="P170" i="10"/>
  <c r="P169" i="10"/>
  <c r="Q169" i="10" s="1"/>
  <c r="P171" i="10"/>
  <c r="W171" i="10" l="1"/>
  <c r="W168" i="10"/>
  <c r="X168" i="10" s="1"/>
  <c r="W169" i="10"/>
  <c r="X169" i="10" s="1"/>
  <c r="W158" i="10"/>
  <c r="X158" i="10" s="1"/>
  <c r="W157" i="10"/>
  <c r="X157" i="10" s="1"/>
  <c r="W159" i="10"/>
  <c r="X159" i="10" s="1"/>
  <c r="J159" i="10" s="1"/>
  <c r="M159" i="10" s="1"/>
  <c r="N159" i="10" s="1"/>
  <c r="W156" i="10"/>
  <c r="X156" i="10" s="1"/>
  <c r="V96" i="13" l="1"/>
  <c r="V98" i="13"/>
  <c r="V95" i="13"/>
  <c r="V97" i="13"/>
  <c r="V99" i="13"/>
  <c r="H179" i="10"/>
  <c r="J157" i="10"/>
  <c r="M157" i="10" s="1"/>
  <c r="N157" i="10" s="1"/>
  <c r="J156" i="10"/>
  <c r="M156" i="10" s="1"/>
  <c r="N156" i="10" s="1"/>
  <c r="J158" i="10"/>
  <c r="M158" i="10" s="1"/>
  <c r="N158" i="10" s="1"/>
  <c r="N98" i="13" l="1"/>
  <c r="N97" i="13"/>
  <c r="N99" i="13"/>
  <c r="N96" i="13"/>
  <c r="N95" i="13"/>
  <c r="H178" i="10"/>
  <c r="H160" i="10"/>
  <c r="H161" i="10"/>
  <c r="V179" i="10"/>
  <c r="V161" i="10" l="1"/>
  <c r="P161" i="10"/>
  <c r="Q161" i="10" s="1"/>
  <c r="P163" i="10"/>
  <c r="Q163" i="10" s="1"/>
  <c r="P160" i="10"/>
  <c r="Q160" i="10" s="1"/>
  <c r="P162" i="10"/>
  <c r="Q162" i="10" s="1"/>
  <c r="V160" i="10"/>
  <c r="V178" i="10"/>
  <c r="W163" i="10" l="1"/>
  <c r="X163" i="10" s="1"/>
  <c r="J163" i="10" s="1"/>
  <c r="M163" i="10" s="1"/>
  <c r="N163" i="10" s="1"/>
  <c r="W160" i="10"/>
  <c r="X160" i="10" s="1"/>
  <c r="W162" i="10"/>
  <c r="X162" i="10" s="1"/>
  <c r="W161" i="10"/>
  <c r="X161" i="10" s="1"/>
  <c r="J162" i="10" l="1"/>
  <c r="M162" i="10" s="1"/>
  <c r="N162" i="10" s="1"/>
  <c r="J161" i="10"/>
  <c r="M161" i="10" s="1"/>
  <c r="N161" i="10" s="1"/>
  <c r="J160" i="10"/>
  <c r="M160" i="10" s="1"/>
  <c r="N160" i="10" s="1"/>
  <c r="K100" i="13"/>
  <c r="K97" i="13"/>
  <c r="K99" i="13"/>
  <c r="K98" i="13"/>
  <c r="K96" i="13"/>
  <c r="H183" i="10"/>
  <c r="V183" i="10" l="1"/>
  <c r="H167" i="10"/>
  <c r="H166" i="10"/>
  <c r="T99" i="13"/>
  <c r="T96" i="13"/>
  <c r="T98" i="13"/>
  <c r="T97" i="13"/>
  <c r="T100" i="13"/>
  <c r="H182" i="10"/>
  <c r="V182" i="10" l="1"/>
  <c r="V166" i="10"/>
  <c r="X166" i="10" s="1"/>
  <c r="Q166" i="10"/>
  <c r="V167" i="10"/>
  <c r="X167" i="10" s="1"/>
  <c r="J167" i="10" s="1"/>
  <c r="M167" i="10" s="1"/>
  <c r="N167" i="10" s="1"/>
  <c r="Q167" i="10"/>
  <c r="H189" i="10" l="1"/>
  <c r="J166" i="10"/>
  <c r="M166" i="10" s="1"/>
  <c r="N166" i="10" s="1"/>
  <c r="J165" i="10"/>
  <c r="M165" i="10" s="1"/>
  <c r="N165" i="10" s="1"/>
  <c r="J164" i="10"/>
  <c r="M164" i="10" s="1"/>
  <c r="N164" i="10" s="1"/>
  <c r="W97" i="13" l="1"/>
  <c r="H170" i="10"/>
  <c r="L97" i="13"/>
  <c r="H171" i="10"/>
  <c r="H188" i="10"/>
  <c r="V189" i="10"/>
  <c r="P190" i="10" l="1"/>
  <c r="P188" i="10"/>
  <c r="Q188" i="10" s="1"/>
  <c r="P189" i="10"/>
  <c r="Q189" i="10" s="1"/>
  <c r="P191" i="10"/>
  <c r="V188" i="10"/>
  <c r="V171" i="10"/>
  <c r="X171" i="10" s="1"/>
  <c r="J171" i="10" s="1"/>
  <c r="M171" i="10" s="1"/>
  <c r="N171" i="10" s="1"/>
  <c r="Q171" i="10"/>
  <c r="V170" i="10"/>
  <c r="X170" i="10" s="1"/>
  <c r="Q170" i="10"/>
  <c r="L100" i="13" l="1"/>
  <c r="L99" i="13"/>
  <c r="L98" i="13"/>
  <c r="L101" i="13"/>
  <c r="H184" i="10"/>
  <c r="W191" i="10"/>
  <c r="W188" i="10"/>
  <c r="X188" i="10" s="1"/>
  <c r="W190" i="10"/>
  <c r="W189" i="10"/>
  <c r="X189" i="10" s="1"/>
  <c r="J168" i="10"/>
  <c r="M168" i="10" s="1"/>
  <c r="N168" i="10" s="1"/>
  <c r="J170" i="10"/>
  <c r="M170" i="10" s="1"/>
  <c r="N170" i="10" s="1"/>
  <c r="J169" i="10"/>
  <c r="M169" i="10" s="1"/>
  <c r="N169" i="10" s="1"/>
  <c r="W99" i="13" l="1"/>
  <c r="W98" i="13"/>
  <c r="W100" i="13"/>
  <c r="W101" i="13"/>
  <c r="H185" i="10"/>
  <c r="P187" i="10" s="1"/>
  <c r="O98" i="13"/>
  <c r="H174" i="10"/>
  <c r="H175" i="10"/>
  <c r="V184" i="10"/>
  <c r="P184" i="10" l="1"/>
  <c r="Q184" i="10" s="1"/>
  <c r="P186" i="10"/>
  <c r="P185" i="10"/>
  <c r="Q185" i="10" s="1"/>
  <c r="V175" i="10"/>
  <c r="X175" i="10" s="1"/>
  <c r="J175" i="10" s="1"/>
  <c r="M175" i="10" s="1"/>
  <c r="N175" i="10" s="1"/>
  <c r="Q175" i="10"/>
  <c r="V174" i="10"/>
  <c r="X174" i="10" s="1"/>
  <c r="Q174" i="10"/>
  <c r="V185" i="10"/>
  <c r="W187" i="10" s="1"/>
  <c r="W185" i="10" l="1"/>
  <c r="X185" i="10" s="1"/>
  <c r="H193" i="10"/>
  <c r="J174" i="10"/>
  <c r="M174" i="10" s="1"/>
  <c r="N174" i="10" s="1"/>
  <c r="J172" i="10"/>
  <c r="M172" i="10" s="1"/>
  <c r="N172" i="10" s="1"/>
  <c r="J173" i="10"/>
  <c r="M173" i="10" s="1"/>
  <c r="N173" i="10" s="1"/>
  <c r="W184" i="10"/>
  <c r="X184" i="10" s="1"/>
  <c r="W186" i="10"/>
  <c r="S99" i="13" l="1"/>
  <c r="H176" i="10"/>
  <c r="R99" i="13"/>
  <c r="H177" i="10"/>
  <c r="O102" i="13"/>
  <c r="O100" i="13"/>
  <c r="O103" i="13"/>
  <c r="O99" i="13"/>
  <c r="O101" i="13"/>
  <c r="H192" i="10"/>
  <c r="V193" i="10"/>
  <c r="P195" i="10" l="1"/>
  <c r="P192" i="10"/>
  <c r="Q192" i="10" s="1"/>
  <c r="P193" i="10"/>
  <c r="Q193" i="10" s="1"/>
  <c r="P194" i="10"/>
  <c r="V192" i="10"/>
  <c r="V177" i="10"/>
  <c r="P176" i="10"/>
  <c r="Q176" i="10" s="1"/>
  <c r="P179" i="10"/>
  <c r="Q179" i="10" s="1"/>
  <c r="P178" i="10"/>
  <c r="Q178" i="10" s="1"/>
  <c r="P177" i="10"/>
  <c r="Q177" i="10" s="1"/>
  <c r="V176" i="10"/>
  <c r="W194" i="10" l="1"/>
  <c r="W193" i="10"/>
  <c r="X193" i="10" s="1"/>
  <c r="W195" i="10"/>
  <c r="W192" i="10"/>
  <c r="X192" i="10" s="1"/>
  <c r="W179" i="10"/>
  <c r="X179" i="10" s="1"/>
  <c r="J179" i="10" s="1"/>
  <c r="M179" i="10" s="1"/>
  <c r="N179" i="10" s="1"/>
  <c r="W178" i="10"/>
  <c r="X178" i="10" s="1"/>
  <c r="W177" i="10"/>
  <c r="X177" i="10" s="1"/>
  <c r="W176" i="10"/>
  <c r="X176" i="10" s="1"/>
  <c r="V103" i="13" l="1"/>
  <c r="V101" i="13"/>
  <c r="V104" i="13"/>
  <c r="V105" i="13"/>
  <c r="V102" i="13"/>
  <c r="V100" i="13"/>
  <c r="H203" i="10"/>
  <c r="J178" i="10"/>
  <c r="M178" i="10" s="1"/>
  <c r="N178" i="10" s="1"/>
  <c r="J177" i="10"/>
  <c r="M177" i="10" s="1"/>
  <c r="N177" i="10" s="1"/>
  <c r="J176" i="10"/>
  <c r="M176" i="10" s="1"/>
  <c r="N176" i="10" s="1"/>
  <c r="R100" i="13" l="1"/>
  <c r="H181" i="10"/>
  <c r="S100" i="13"/>
  <c r="H180" i="10"/>
  <c r="N102" i="13"/>
  <c r="N100" i="13"/>
  <c r="N105" i="13"/>
  <c r="N103" i="13"/>
  <c r="N104" i="13"/>
  <c r="N101" i="13"/>
  <c r="H202" i="10"/>
  <c r="V203" i="10"/>
  <c r="V202" i="10" l="1"/>
  <c r="P183" i="10"/>
  <c r="Q183" i="10" s="1"/>
  <c r="P180" i="10"/>
  <c r="Q180" i="10" s="1"/>
  <c r="P182" i="10"/>
  <c r="Q182" i="10" s="1"/>
  <c r="P181" i="10"/>
  <c r="Q181" i="10" s="1"/>
  <c r="V180" i="10"/>
  <c r="V181" i="10"/>
  <c r="W183" i="10" l="1"/>
  <c r="X183" i="10" s="1"/>
  <c r="J183" i="10" s="1"/>
  <c r="M183" i="10" s="1"/>
  <c r="N183" i="10" s="1"/>
  <c r="W180" i="10"/>
  <c r="X180" i="10" s="1"/>
  <c r="W182" i="10"/>
  <c r="X182" i="10" s="1"/>
  <c r="W181" i="10"/>
  <c r="X181" i="10" s="1"/>
  <c r="J182" i="10" l="1"/>
  <c r="M182" i="10" s="1"/>
  <c r="N182" i="10" s="1"/>
  <c r="J180" i="10"/>
  <c r="M180" i="10" s="1"/>
  <c r="N180" i="10" s="1"/>
  <c r="J181" i="10"/>
  <c r="M181" i="10" s="1"/>
  <c r="N181" i="10" s="1"/>
  <c r="K106" i="13"/>
  <c r="K104" i="13"/>
  <c r="K102" i="13"/>
  <c r="K103" i="13"/>
  <c r="K101" i="13"/>
  <c r="K105" i="13"/>
  <c r="H204" i="10"/>
  <c r="V204" i="10" l="1"/>
  <c r="R101" i="13"/>
  <c r="H187" i="10"/>
  <c r="S101" i="13"/>
  <c r="H186" i="10"/>
  <c r="T107" i="13"/>
  <c r="T114" i="13"/>
  <c r="T105" i="13"/>
  <c r="T112" i="13"/>
  <c r="T103" i="13"/>
  <c r="T110" i="13"/>
  <c r="T117" i="13"/>
  <c r="T101" i="13"/>
  <c r="T108" i="13"/>
  <c r="T115" i="13"/>
  <c r="T106" i="13"/>
  <c r="T113" i="13"/>
  <c r="T111" i="13"/>
  <c r="T102" i="13"/>
  <c r="T116" i="13"/>
  <c r="T109" i="13"/>
  <c r="T104" i="13"/>
  <c r="H236" i="10"/>
  <c r="V186" i="10" l="1"/>
  <c r="X186" i="10" s="1"/>
  <c r="Q186" i="10"/>
  <c r="V236" i="10"/>
  <c r="V187" i="10"/>
  <c r="X187" i="10" s="1"/>
  <c r="J187" i="10" s="1"/>
  <c r="M187" i="10" s="1"/>
  <c r="N187" i="10" s="1"/>
  <c r="Q187" i="10"/>
  <c r="R103" i="13" l="1"/>
  <c r="R104" i="13"/>
  <c r="R102" i="13"/>
  <c r="H197" i="10"/>
  <c r="J184" i="10"/>
  <c r="M184" i="10" s="1"/>
  <c r="N184" i="10" s="1"/>
  <c r="J185" i="10"/>
  <c r="M185" i="10" s="1"/>
  <c r="N185" i="10" s="1"/>
  <c r="J186" i="10"/>
  <c r="M186" i="10" s="1"/>
  <c r="N186" i="10" s="1"/>
  <c r="S103" i="13" l="1"/>
  <c r="S104" i="13"/>
  <c r="S102" i="13"/>
  <c r="H196" i="10"/>
  <c r="W102" i="13"/>
  <c r="H191" i="10"/>
  <c r="L102" i="13"/>
  <c r="H190" i="10"/>
  <c r="V197" i="10"/>
  <c r="V190" i="10" l="1"/>
  <c r="X190" i="10" s="1"/>
  <c r="Q190" i="10"/>
  <c r="V191" i="10"/>
  <c r="X191" i="10" s="1"/>
  <c r="J191" i="10" s="1"/>
  <c r="M191" i="10" s="1"/>
  <c r="N191" i="10" s="1"/>
  <c r="Q191" i="10"/>
  <c r="P198" i="10"/>
  <c r="P197" i="10"/>
  <c r="Q197" i="10" s="1"/>
  <c r="P199" i="10"/>
  <c r="P196" i="10"/>
  <c r="Q196" i="10" s="1"/>
  <c r="V196" i="10"/>
  <c r="W160" i="13" l="1"/>
  <c r="W165" i="13"/>
  <c r="W156" i="13"/>
  <c r="W163" i="13"/>
  <c r="W154" i="13"/>
  <c r="W161" i="13"/>
  <c r="W152" i="13"/>
  <c r="W166" i="13"/>
  <c r="W150" i="13"/>
  <c r="W155" i="13"/>
  <c r="W144" i="13"/>
  <c r="W128" i="13"/>
  <c r="W112" i="13"/>
  <c r="W135" i="13"/>
  <c r="W119" i="13"/>
  <c r="W158" i="13"/>
  <c r="W142" i="13"/>
  <c r="W126" i="13"/>
  <c r="W110" i="13"/>
  <c r="W133" i="13"/>
  <c r="W117" i="13"/>
  <c r="W167" i="13"/>
  <c r="W140" i="13"/>
  <c r="W124" i="13"/>
  <c r="W108" i="13"/>
  <c r="W159" i="13"/>
  <c r="W151" i="13"/>
  <c r="W131" i="13"/>
  <c r="W115" i="13"/>
  <c r="W149" i="13"/>
  <c r="W148" i="13"/>
  <c r="W138" i="13"/>
  <c r="W122" i="13"/>
  <c r="W106" i="13"/>
  <c r="W164" i="13"/>
  <c r="W145" i="13"/>
  <c r="W129" i="13"/>
  <c r="W113" i="13"/>
  <c r="W153" i="13"/>
  <c r="W136" i="13"/>
  <c r="W120" i="13"/>
  <c r="W104" i="13"/>
  <c r="W147" i="13"/>
  <c r="W143" i="13"/>
  <c r="W127" i="13"/>
  <c r="W111" i="13"/>
  <c r="W134" i="13"/>
  <c r="W118" i="13"/>
  <c r="W141" i="13"/>
  <c r="W125" i="13"/>
  <c r="W139" i="13"/>
  <c r="W130" i="13"/>
  <c r="W162" i="13"/>
  <c r="W157" i="13"/>
  <c r="W146" i="13"/>
  <c r="W137" i="13"/>
  <c r="W114" i="13"/>
  <c r="W105" i="13"/>
  <c r="W123" i="13"/>
  <c r="W107" i="13"/>
  <c r="W121" i="13"/>
  <c r="W116" i="13"/>
  <c r="W109" i="13"/>
  <c r="W132" i="13"/>
  <c r="W103" i="13"/>
  <c r="H337" i="10"/>
  <c r="W197" i="10"/>
  <c r="X197" i="10" s="1"/>
  <c r="W199" i="10"/>
  <c r="W196" i="10"/>
  <c r="X196" i="10" s="1"/>
  <c r="W198" i="10"/>
  <c r="J189" i="10"/>
  <c r="M189" i="10" s="1"/>
  <c r="N189" i="10" s="1"/>
  <c r="J190" i="10"/>
  <c r="M190" i="10" s="1"/>
  <c r="N190" i="10" s="1"/>
  <c r="J188" i="10"/>
  <c r="M188" i="10" s="1"/>
  <c r="N188" i="10" s="1"/>
  <c r="H195" i="10" l="1"/>
  <c r="L104" i="13"/>
  <c r="L105" i="13"/>
  <c r="L106" i="13"/>
  <c r="L103" i="13"/>
  <c r="H205" i="10"/>
  <c r="H194" i="10"/>
  <c r="P338" i="10"/>
  <c r="P337" i="10"/>
  <c r="Q337" i="10" s="1"/>
  <c r="V337" i="10"/>
  <c r="W337" i="10" l="1"/>
  <c r="X337" i="10" s="1"/>
  <c r="W338" i="10"/>
  <c r="V194" i="10"/>
  <c r="X194" i="10" s="1"/>
  <c r="Q194" i="10"/>
  <c r="V205" i="10"/>
  <c r="P207" i="10"/>
  <c r="P204" i="10"/>
  <c r="Q204" i="10" s="1"/>
  <c r="P206" i="10"/>
  <c r="P205" i="10"/>
  <c r="Q205" i="10" s="1"/>
  <c r="V195" i="10"/>
  <c r="X195" i="10" s="1"/>
  <c r="J195" i="10" s="1"/>
  <c r="M195" i="10" s="1"/>
  <c r="N195" i="10" s="1"/>
  <c r="Q195" i="10"/>
  <c r="H211" i="10" l="1"/>
  <c r="W207" i="10"/>
  <c r="W205" i="10"/>
  <c r="X205" i="10" s="1"/>
  <c r="W206" i="10"/>
  <c r="W204" i="10"/>
  <c r="X204" i="10" s="1"/>
  <c r="J193" i="10"/>
  <c r="M193" i="10" s="1"/>
  <c r="N193" i="10" s="1"/>
  <c r="J194" i="10"/>
  <c r="M194" i="10" s="1"/>
  <c r="N194" i="10" s="1"/>
  <c r="J192" i="10"/>
  <c r="M192" i="10" s="1"/>
  <c r="N192" i="10" s="1"/>
  <c r="O104" i="13" l="1"/>
  <c r="H198" i="10"/>
  <c r="H199" i="10"/>
  <c r="H210" i="10"/>
  <c r="V211" i="10"/>
  <c r="V210" i="10" l="1"/>
  <c r="V199" i="10"/>
  <c r="X199" i="10" s="1"/>
  <c r="J199" i="10" s="1"/>
  <c r="M199" i="10" s="1"/>
  <c r="N199" i="10" s="1"/>
  <c r="Q199" i="10"/>
  <c r="V198" i="10"/>
  <c r="X198" i="10" s="1"/>
  <c r="Q198" i="10"/>
  <c r="H218" i="10" l="1"/>
  <c r="J197" i="10"/>
  <c r="M197" i="10" s="1"/>
  <c r="N197" i="10" s="1"/>
  <c r="J198" i="10"/>
  <c r="M198" i="10" s="1"/>
  <c r="N198" i="10" s="1"/>
  <c r="J196" i="10"/>
  <c r="M196" i="10" s="1"/>
  <c r="N196" i="10" s="1"/>
  <c r="S105" i="13" l="1"/>
  <c r="H200" i="10"/>
  <c r="O109" i="13"/>
  <c r="O107" i="13"/>
  <c r="O105" i="13"/>
  <c r="O106" i="13"/>
  <c r="O108" i="13"/>
  <c r="H219" i="10"/>
  <c r="R105" i="13"/>
  <c r="H201" i="10"/>
  <c r="V218" i="10"/>
  <c r="V201" i="10" l="1"/>
  <c r="V219" i="10"/>
  <c r="P201" i="10"/>
  <c r="Q201" i="10" s="1"/>
  <c r="P203" i="10"/>
  <c r="Q203" i="10" s="1"/>
  <c r="P200" i="10"/>
  <c r="Q200" i="10" s="1"/>
  <c r="P202" i="10"/>
  <c r="Q202" i="10" s="1"/>
  <c r="V200" i="10"/>
  <c r="W203" i="10" l="1"/>
  <c r="X203" i="10" s="1"/>
  <c r="J203" i="10" s="1"/>
  <c r="M203" i="10" s="1"/>
  <c r="N203" i="10" s="1"/>
  <c r="W200" i="10"/>
  <c r="X200" i="10" s="1"/>
  <c r="W202" i="10"/>
  <c r="X202" i="10" s="1"/>
  <c r="W201" i="10"/>
  <c r="X201" i="10" s="1"/>
  <c r="J200" i="10" l="1"/>
  <c r="M200" i="10" s="1"/>
  <c r="N200" i="10" s="1"/>
  <c r="J201" i="10"/>
  <c r="M201" i="10" s="1"/>
  <c r="N201" i="10" s="1"/>
  <c r="J202" i="10"/>
  <c r="M202" i="10" s="1"/>
  <c r="N202" i="10" s="1"/>
  <c r="V108" i="13"/>
  <c r="V106" i="13"/>
  <c r="V107" i="13"/>
  <c r="H212" i="10"/>
  <c r="V212" i="10" l="1"/>
  <c r="N107" i="13"/>
  <c r="N106" i="13"/>
  <c r="N108" i="13"/>
  <c r="H213" i="10"/>
  <c r="P212" i="10" s="1"/>
  <c r="Q212" i="10" s="1"/>
  <c r="R106" i="13"/>
  <c r="H207" i="10"/>
  <c r="S106" i="13"/>
  <c r="H206" i="10"/>
  <c r="V206" i="10" l="1"/>
  <c r="X206" i="10" s="1"/>
  <c r="Q206" i="10"/>
  <c r="P214" i="10"/>
  <c r="V207" i="10"/>
  <c r="X207" i="10" s="1"/>
  <c r="J207" i="10" s="1"/>
  <c r="M207" i="10" s="1"/>
  <c r="N207" i="10" s="1"/>
  <c r="Q207" i="10"/>
  <c r="V213" i="10"/>
  <c r="P215" i="10"/>
  <c r="P213" i="10"/>
  <c r="Q213" i="10" s="1"/>
  <c r="W214" i="10" l="1"/>
  <c r="W213" i="10"/>
  <c r="X213" i="10" s="1"/>
  <c r="W212" i="10"/>
  <c r="X212" i="10" s="1"/>
  <c r="W215" i="10"/>
  <c r="R109" i="13"/>
  <c r="R107" i="13"/>
  <c r="R112" i="13"/>
  <c r="R110" i="13"/>
  <c r="R108" i="13"/>
  <c r="R111" i="13"/>
  <c r="H224" i="10"/>
  <c r="J205" i="10"/>
  <c r="M205" i="10" s="1"/>
  <c r="N205" i="10" s="1"/>
  <c r="J204" i="10"/>
  <c r="M204" i="10" s="1"/>
  <c r="N204" i="10" s="1"/>
  <c r="J206" i="10"/>
  <c r="M206" i="10" s="1"/>
  <c r="N206" i="10" s="1"/>
  <c r="S110" i="13" l="1"/>
  <c r="S108" i="13"/>
  <c r="S107" i="13"/>
  <c r="S109" i="13"/>
  <c r="H221" i="10"/>
  <c r="K107" i="13"/>
  <c r="H208" i="10"/>
  <c r="L107" i="13"/>
  <c r="H209" i="10"/>
  <c r="P224" i="10"/>
  <c r="Q224" i="10" s="1"/>
  <c r="P226" i="10"/>
  <c r="V224" i="10"/>
  <c r="P225" i="10"/>
  <c r="W226" i="10" l="1"/>
  <c r="W225" i="10"/>
  <c r="W224" i="10"/>
  <c r="X224" i="10" s="1"/>
  <c r="V209" i="10"/>
  <c r="P210" i="10"/>
  <c r="Q210" i="10" s="1"/>
  <c r="P209" i="10"/>
  <c r="Q209" i="10" s="1"/>
  <c r="P211" i="10"/>
  <c r="Q211" i="10" s="1"/>
  <c r="P208" i="10"/>
  <c r="Q208" i="10" s="1"/>
  <c r="V208" i="10"/>
  <c r="V221" i="10"/>
  <c r="W209" i="10" l="1"/>
  <c r="X209" i="10" s="1"/>
  <c r="W211" i="10"/>
  <c r="X211" i="10" s="1"/>
  <c r="J211" i="10" s="1"/>
  <c r="M211" i="10" s="1"/>
  <c r="N211" i="10" s="1"/>
  <c r="W208" i="10"/>
  <c r="X208" i="10" s="1"/>
  <c r="W210" i="10"/>
  <c r="X210" i="10" s="1"/>
  <c r="J209" i="10" l="1"/>
  <c r="M209" i="10" s="1"/>
  <c r="N209" i="10" s="1"/>
  <c r="J210" i="10"/>
  <c r="M210" i="10" s="1"/>
  <c r="N210" i="10" s="1"/>
  <c r="J208" i="10"/>
  <c r="M208" i="10" s="1"/>
  <c r="N208" i="10" s="1"/>
  <c r="H225" i="10"/>
  <c r="K108" i="13" l="1"/>
  <c r="H214" i="10"/>
  <c r="H220" i="10"/>
  <c r="V225" i="10"/>
  <c r="X225" i="10" s="1"/>
  <c r="Q225" i="10"/>
  <c r="L108" i="13"/>
  <c r="H215" i="10"/>
  <c r="V215" i="10" l="1"/>
  <c r="X215" i="10" s="1"/>
  <c r="J215" i="10" s="1"/>
  <c r="M215" i="10" s="1"/>
  <c r="N215" i="10" s="1"/>
  <c r="Q215" i="10"/>
  <c r="J225" i="10"/>
  <c r="M225" i="10" s="1"/>
  <c r="N225" i="10" s="1"/>
  <c r="P221" i="10"/>
  <c r="Q221" i="10" s="1"/>
  <c r="P220" i="10"/>
  <c r="Q220" i="10" s="1"/>
  <c r="V220" i="10"/>
  <c r="V214" i="10"/>
  <c r="X214" i="10" s="1"/>
  <c r="Q214" i="10"/>
  <c r="L115" i="13" l="1"/>
  <c r="L113" i="13"/>
  <c r="L111" i="13"/>
  <c r="L109" i="13"/>
  <c r="L116" i="13"/>
  <c r="L114" i="13"/>
  <c r="L110" i="13"/>
  <c r="L112" i="13"/>
  <c r="H233" i="10"/>
  <c r="J212" i="10"/>
  <c r="M212" i="10" s="1"/>
  <c r="N212" i="10" s="1"/>
  <c r="J214" i="10"/>
  <c r="M214" i="10" s="1"/>
  <c r="N214" i="10" s="1"/>
  <c r="J213" i="10"/>
  <c r="M213" i="10" s="1"/>
  <c r="N213" i="10" s="1"/>
  <c r="W220" i="10"/>
  <c r="X220" i="10" s="1"/>
  <c r="W221" i="10"/>
  <c r="X221" i="10" s="1"/>
  <c r="H227" i="10"/>
  <c r="J221" i="10" l="1"/>
  <c r="M221" i="10" s="1"/>
  <c r="N221" i="10" s="1"/>
  <c r="J220" i="10"/>
  <c r="M220" i="10" s="1"/>
  <c r="N220" i="10" s="1"/>
  <c r="P228" i="10"/>
  <c r="P227" i="10"/>
  <c r="Q227" i="10" s="1"/>
  <c r="V227" i="10"/>
  <c r="N109" i="13"/>
  <c r="H217" i="10"/>
  <c r="K124" i="13"/>
  <c r="K115" i="13"/>
  <c r="K122" i="13"/>
  <c r="K113" i="13"/>
  <c r="K120" i="13"/>
  <c r="K127" i="13"/>
  <c r="K111" i="13"/>
  <c r="K118" i="13"/>
  <c r="K125" i="13"/>
  <c r="K109" i="13"/>
  <c r="K116" i="13"/>
  <c r="K123" i="13"/>
  <c r="K114" i="13"/>
  <c r="K121" i="13"/>
  <c r="K126" i="13"/>
  <c r="K110" i="13"/>
  <c r="K117" i="13"/>
  <c r="K112" i="13"/>
  <c r="K119" i="13"/>
  <c r="H256" i="10"/>
  <c r="V109" i="13"/>
  <c r="H216" i="10"/>
  <c r="V233" i="10"/>
  <c r="P219" i="10" l="1"/>
  <c r="Q219" i="10" s="1"/>
  <c r="P216" i="10"/>
  <c r="Q216" i="10" s="1"/>
  <c r="P218" i="10"/>
  <c r="Q218" i="10" s="1"/>
  <c r="P217" i="10"/>
  <c r="Q217" i="10" s="1"/>
  <c r="V216" i="10"/>
  <c r="V217" i="10"/>
  <c r="W227" i="10"/>
  <c r="X227" i="10" s="1"/>
  <c r="W228" i="10"/>
  <c r="V256" i="10"/>
  <c r="H222" i="10"/>
  <c r="S111" i="13"/>
  <c r="H223" i="10"/>
  <c r="P222" i="10" l="1"/>
  <c r="Q222" i="10" s="1"/>
  <c r="P223" i="10"/>
  <c r="Q223" i="10" s="1"/>
  <c r="V222" i="10"/>
  <c r="W217" i="10"/>
  <c r="X217" i="10" s="1"/>
  <c r="W219" i="10"/>
  <c r="X219" i="10" s="1"/>
  <c r="J219" i="10" s="1"/>
  <c r="M219" i="10" s="1"/>
  <c r="N219" i="10" s="1"/>
  <c r="W216" i="10"/>
  <c r="X216" i="10" s="1"/>
  <c r="W218" i="10"/>
  <c r="X218" i="10" s="1"/>
  <c r="V223" i="10"/>
  <c r="J217" i="10" l="1"/>
  <c r="M217" i="10" s="1"/>
  <c r="N217" i="10" s="1"/>
  <c r="J216" i="10"/>
  <c r="M216" i="10" s="1"/>
  <c r="N216" i="10" s="1"/>
  <c r="J218" i="10"/>
  <c r="M218" i="10" s="1"/>
  <c r="N218" i="10" s="1"/>
  <c r="W223" i="10"/>
  <c r="X223" i="10" s="1"/>
  <c r="W222" i="10"/>
  <c r="X222" i="10" s="1"/>
  <c r="O120" i="13"/>
  <c r="O118" i="13"/>
  <c r="O116" i="13"/>
  <c r="O114" i="13"/>
  <c r="O121" i="13"/>
  <c r="O112" i="13"/>
  <c r="O119" i="13"/>
  <c r="O110" i="13"/>
  <c r="O122" i="13"/>
  <c r="O113" i="13"/>
  <c r="O117" i="13"/>
  <c r="O115" i="13"/>
  <c r="O111" i="13"/>
  <c r="H247" i="10"/>
  <c r="J223" i="10" l="1"/>
  <c r="M223" i="10" s="1"/>
  <c r="N223" i="10" s="1"/>
  <c r="J222" i="10"/>
  <c r="M222" i="10" s="1"/>
  <c r="N222" i="10" s="1"/>
  <c r="V247" i="10"/>
  <c r="H226" i="10"/>
  <c r="V162" i="13"/>
  <c r="V153" i="13"/>
  <c r="V158" i="13"/>
  <c r="V165" i="13"/>
  <c r="V149" i="13"/>
  <c r="V163" i="13"/>
  <c r="V154" i="13"/>
  <c r="V161" i="13"/>
  <c r="V159" i="13"/>
  <c r="V164" i="13"/>
  <c r="V148" i="13"/>
  <c r="V166" i="13"/>
  <c r="V157" i="13"/>
  <c r="V146" i="13"/>
  <c r="V137" i="13"/>
  <c r="V121" i="13"/>
  <c r="V144" i="13"/>
  <c r="V128" i="13"/>
  <c r="V135" i="13"/>
  <c r="V119" i="13"/>
  <c r="V142" i="13"/>
  <c r="V126" i="13"/>
  <c r="V110" i="13"/>
  <c r="V133" i="13"/>
  <c r="V117" i="13"/>
  <c r="V167" i="13"/>
  <c r="V150" i="13"/>
  <c r="V140" i="13"/>
  <c r="V124" i="13"/>
  <c r="V152" i="13"/>
  <c r="V151" i="13"/>
  <c r="V131" i="13"/>
  <c r="V115" i="13"/>
  <c r="V138" i="13"/>
  <c r="V122" i="13"/>
  <c r="V160" i="13"/>
  <c r="V145" i="13"/>
  <c r="V129" i="13"/>
  <c r="V113" i="13"/>
  <c r="V136" i="13"/>
  <c r="V120" i="13"/>
  <c r="V147" i="13"/>
  <c r="V143" i="13"/>
  <c r="V127" i="13"/>
  <c r="V111" i="13"/>
  <c r="V134" i="13"/>
  <c r="V141" i="13"/>
  <c r="V155" i="13"/>
  <c r="V132" i="13"/>
  <c r="V139" i="13"/>
  <c r="V156" i="13"/>
  <c r="V130" i="13"/>
  <c r="V114" i="13"/>
  <c r="V125" i="13"/>
  <c r="V123" i="13"/>
  <c r="V118" i="13"/>
  <c r="V112" i="13"/>
  <c r="V116" i="13"/>
  <c r="H338" i="10"/>
  <c r="N161" i="13"/>
  <c r="N157" i="13"/>
  <c r="N155" i="13"/>
  <c r="N162" i="13"/>
  <c r="N153" i="13"/>
  <c r="N151" i="13"/>
  <c r="N156" i="13"/>
  <c r="N154" i="13"/>
  <c r="N147" i="13"/>
  <c r="N145" i="13"/>
  <c r="N129" i="13"/>
  <c r="N113" i="13"/>
  <c r="N136" i="13"/>
  <c r="N120" i="13"/>
  <c r="N143" i="13"/>
  <c r="N127" i="13"/>
  <c r="N111" i="13"/>
  <c r="N134" i="13"/>
  <c r="N118" i="13"/>
  <c r="N158" i="13"/>
  <c r="N141" i="13"/>
  <c r="N125" i="13"/>
  <c r="N132" i="13"/>
  <c r="N116" i="13"/>
  <c r="N139" i="13"/>
  <c r="N123" i="13"/>
  <c r="N146" i="13"/>
  <c r="N130" i="13"/>
  <c r="N114" i="13"/>
  <c r="N137" i="13"/>
  <c r="N121" i="13"/>
  <c r="N144" i="13"/>
  <c r="N128" i="13"/>
  <c r="N112" i="13"/>
  <c r="N160" i="13"/>
  <c r="N149" i="13"/>
  <c r="N135" i="13"/>
  <c r="N119" i="13"/>
  <c r="N159" i="13"/>
  <c r="N152" i="13"/>
  <c r="N150" i="13"/>
  <c r="N142" i="13"/>
  <c r="N126" i="13"/>
  <c r="N148" i="13"/>
  <c r="N133" i="13"/>
  <c r="N140" i="13"/>
  <c r="N124" i="13"/>
  <c r="N131" i="13"/>
  <c r="N138" i="13"/>
  <c r="N122" i="13"/>
  <c r="N117" i="13"/>
  <c r="N115" i="13"/>
  <c r="N110" i="13"/>
  <c r="H328" i="10"/>
  <c r="V328" i="10" l="1"/>
  <c r="V226" i="10"/>
  <c r="X226" i="10" s="1"/>
  <c r="Q226" i="10"/>
  <c r="V338" i="10"/>
  <c r="X338" i="10" s="1"/>
  <c r="Q338" i="10"/>
  <c r="H228" i="10"/>
  <c r="S116" i="13"/>
  <c r="S114" i="13"/>
  <c r="S112" i="13"/>
  <c r="S119" i="13"/>
  <c r="S117" i="13"/>
  <c r="S115" i="13"/>
  <c r="S118" i="13"/>
  <c r="S113" i="13"/>
  <c r="H240" i="10"/>
  <c r="J337" i="10" l="1"/>
  <c r="M337" i="10" s="1"/>
  <c r="N337" i="10" s="1"/>
  <c r="J338" i="10"/>
  <c r="M338" i="10" s="1"/>
  <c r="N338" i="10" s="1"/>
  <c r="V228" i="10"/>
  <c r="X228" i="10" s="1"/>
  <c r="Q228" i="10"/>
  <c r="P240" i="10"/>
  <c r="Q240" i="10" s="1"/>
  <c r="P241" i="10"/>
  <c r="V240" i="10"/>
  <c r="J226" i="10"/>
  <c r="M226" i="10" s="1"/>
  <c r="N226" i="10" s="1"/>
  <c r="J224" i="10"/>
  <c r="M224" i="10" s="1"/>
  <c r="N224" i="10" s="1"/>
  <c r="R116" i="13" l="1"/>
  <c r="R114" i="13"/>
  <c r="R117" i="13"/>
  <c r="R115" i="13"/>
  <c r="R113" i="13"/>
  <c r="H235" i="10"/>
  <c r="H238" i="10"/>
  <c r="W241" i="10"/>
  <c r="W240" i="10"/>
  <c r="X240" i="10" s="1"/>
  <c r="J227" i="10"/>
  <c r="M227" i="10" s="1"/>
  <c r="N227" i="10" s="1"/>
  <c r="J228" i="10"/>
  <c r="M228" i="10" s="1"/>
  <c r="N228" i="10" s="1"/>
  <c r="V198" i="13"/>
  <c r="V194" i="13"/>
  <c r="V178" i="13"/>
  <c r="V196" i="13"/>
  <c r="V185" i="13"/>
  <c r="V169" i="13"/>
  <c r="V192" i="13"/>
  <c r="V176" i="13"/>
  <c r="V199" i="13"/>
  <c r="V183" i="13"/>
  <c r="V190" i="13"/>
  <c r="V174" i="13"/>
  <c r="V181" i="13"/>
  <c r="V188" i="13"/>
  <c r="V172" i="13"/>
  <c r="V179" i="13"/>
  <c r="V195" i="13"/>
  <c r="V186" i="13"/>
  <c r="V170" i="13"/>
  <c r="V193" i="13"/>
  <c r="V177" i="13"/>
  <c r="V197" i="13"/>
  <c r="V184" i="13"/>
  <c r="V191" i="13"/>
  <c r="V175" i="13"/>
  <c r="V182" i="13"/>
  <c r="V189" i="13"/>
  <c r="V173" i="13"/>
  <c r="V180" i="13"/>
  <c r="V187" i="13"/>
  <c r="V171" i="13"/>
  <c r="V168" i="13"/>
  <c r="H411" i="10"/>
  <c r="W196" i="13"/>
  <c r="W185" i="13"/>
  <c r="W169" i="13"/>
  <c r="W192" i="13"/>
  <c r="W176" i="13"/>
  <c r="W199" i="13"/>
  <c r="W183" i="13"/>
  <c r="W190" i="13"/>
  <c r="W174" i="13"/>
  <c r="W181" i="13"/>
  <c r="W198" i="13"/>
  <c r="W188" i="13"/>
  <c r="W172" i="13"/>
  <c r="W179" i="13"/>
  <c r="W195" i="13"/>
  <c r="W186" i="13"/>
  <c r="W170" i="13"/>
  <c r="W193" i="13"/>
  <c r="W177" i="13"/>
  <c r="W197" i="13"/>
  <c r="W184" i="13"/>
  <c r="W168" i="13"/>
  <c r="W191" i="13"/>
  <c r="W175" i="13"/>
  <c r="W182" i="13"/>
  <c r="W189" i="13"/>
  <c r="W173" i="13"/>
  <c r="W180" i="13"/>
  <c r="W187" i="13"/>
  <c r="W171" i="13"/>
  <c r="W194" i="13"/>
  <c r="W178" i="13"/>
  <c r="H410" i="10"/>
  <c r="H229" i="10" l="1"/>
  <c r="V238" i="10"/>
  <c r="P235" i="10"/>
  <c r="Q235" i="10" s="1"/>
  <c r="P236" i="10"/>
  <c r="Q236" i="10" s="1"/>
  <c r="V235" i="10"/>
  <c r="V411" i="10"/>
  <c r="P410" i="10"/>
  <c r="Q410" i="10" s="1"/>
  <c r="P411" i="10"/>
  <c r="Q411" i="10" s="1"/>
  <c r="V410" i="10"/>
  <c r="H230" i="10"/>
  <c r="V230" i="10" l="1"/>
  <c r="W235" i="10"/>
  <c r="X235" i="10" s="1"/>
  <c r="W236" i="10"/>
  <c r="X236" i="10" s="1"/>
  <c r="W411" i="10"/>
  <c r="X411" i="10" s="1"/>
  <c r="W410" i="10"/>
  <c r="X410" i="10" s="1"/>
  <c r="P229" i="10"/>
  <c r="Q229" i="10" s="1"/>
  <c r="P230" i="10"/>
  <c r="Q230" i="10" s="1"/>
  <c r="V229" i="10"/>
  <c r="W229" i="10" l="1"/>
  <c r="X229" i="10" s="1"/>
  <c r="W230" i="10"/>
  <c r="X230" i="10" s="1"/>
  <c r="J236" i="10"/>
  <c r="M236" i="10" s="1"/>
  <c r="N236" i="10" s="1"/>
  <c r="J235" i="10"/>
  <c r="M235" i="10" s="1"/>
  <c r="N235" i="10" s="1"/>
  <c r="J411" i="10"/>
  <c r="M411" i="10" s="1"/>
  <c r="N411" i="10" s="1"/>
  <c r="J410" i="10"/>
  <c r="M410" i="10" s="1"/>
  <c r="N410" i="10" s="1"/>
  <c r="R118" i="13" l="1"/>
  <c r="H237" i="10"/>
  <c r="W200" i="13"/>
  <c r="H413" i="10"/>
  <c r="V200" i="13"/>
  <c r="H412" i="10"/>
  <c r="T200" i="13"/>
  <c r="T196" i="13"/>
  <c r="T180" i="13"/>
  <c r="T164" i="13"/>
  <c r="T187" i="13"/>
  <c r="T171" i="13"/>
  <c r="T155" i="13"/>
  <c r="T194" i="13"/>
  <c r="T178" i="13"/>
  <c r="T185" i="13"/>
  <c r="T169" i="13"/>
  <c r="T201" i="13"/>
  <c r="T192" i="13"/>
  <c r="T176" i="13"/>
  <c r="T160" i="13"/>
  <c r="T199" i="13"/>
  <c r="T183" i="13"/>
  <c r="T167" i="13"/>
  <c r="T151" i="13"/>
  <c r="T202" i="13"/>
  <c r="T198" i="13"/>
  <c r="T190" i="13"/>
  <c r="T174" i="13"/>
  <c r="T158" i="13"/>
  <c r="T181" i="13"/>
  <c r="T165" i="13"/>
  <c r="T149" i="13"/>
  <c r="T188" i="13"/>
  <c r="T172" i="13"/>
  <c r="T156" i="13"/>
  <c r="T179" i="13"/>
  <c r="T163" i="13"/>
  <c r="T147" i="13"/>
  <c r="T195" i="13"/>
  <c r="T186" i="13"/>
  <c r="T193" i="13"/>
  <c r="T177" i="13"/>
  <c r="T161" i="13"/>
  <c r="T197" i="13"/>
  <c r="T184" i="13"/>
  <c r="T168" i="13"/>
  <c r="T191" i="13"/>
  <c r="T175" i="13"/>
  <c r="T182" i="13"/>
  <c r="T166" i="13"/>
  <c r="T150" i="13"/>
  <c r="T189" i="13"/>
  <c r="T173" i="13"/>
  <c r="T162" i="13"/>
  <c r="T139" i="13"/>
  <c r="T123" i="13"/>
  <c r="T157" i="13"/>
  <c r="T130" i="13"/>
  <c r="T146" i="13"/>
  <c r="T137" i="13"/>
  <c r="T121" i="13"/>
  <c r="T144" i="13"/>
  <c r="T128" i="13"/>
  <c r="T135" i="13"/>
  <c r="T119" i="13"/>
  <c r="T142" i="13"/>
  <c r="T126" i="13"/>
  <c r="T133" i="13"/>
  <c r="T159" i="13"/>
  <c r="T152" i="13"/>
  <c r="T140" i="13"/>
  <c r="T124" i="13"/>
  <c r="T148" i="13"/>
  <c r="T131" i="13"/>
  <c r="T138" i="13"/>
  <c r="T122" i="13"/>
  <c r="T153" i="13"/>
  <c r="T145" i="13"/>
  <c r="T129" i="13"/>
  <c r="T136" i="13"/>
  <c r="T154" i="13"/>
  <c r="T143" i="13"/>
  <c r="T134" i="13"/>
  <c r="T141" i="13"/>
  <c r="T125" i="13"/>
  <c r="T170" i="13"/>
  <c r="T132" i="13"/>
  <c r="T120" i="13"/>
  <c r="T118" i="13"/>
  <c r="T127" i="13"/>
  <c r="H417" i="10"/>
  <c r="J230" i="10"/>
  <c r="M230" i="10" s="1"/>
  <c r="N230" i="10" s="1"/>
  <c r="J229" i="10"/>
  <c r="M229" i="10" s="1"/>
  <c r="N229" i="10" s="1"/>
  <c r="H231" i="10" l="1"/>
  <c r="V417" i="10"/>
  <c r="P412" i="10"/>
  <c r="Q412" i="10" s="1"/>
  <c r="P413" i="10"/>
  <c r="Q413" i="10" s="1"/>
  <c r="V412" i="10"/>
  <c r="H232" i="10"/>
  <c r="V413" i="10"/>
  <c r="P238" i="10"/>
  <c r="Q238" i="10" s="1"/>
  <c r="P237" i="10"/>
  <c r="Q237" i="10" s="1"/>
  <c r="P239" i="10"/>
  <c r="V237" i="10"/>
  <c r="V232" i="10" l="1"/>
  <c r="W412" i="10"/>
  <c r="X412" i="10" s="1"/>
  <c r="W413" i="10"/>
  <c r="X413" i="10" s="1"/>
  <c r="W237" i="10"/>
  <c r="X237" i="10" s="1"/>
  <c r="W239" i="10"/>
  <c r="W238" i="10"/>
  <c r="X238" i="10" s="1"/>
  <c r="P232" i="10"/>
  <c r="Q232" i="10" s="1"/>
  <c r="P231" i="10"/>
  <c r="Q231" i="10" s="1"/>
  <c r="V231" i="10"/>
  <c r="J238" i="10" l="1"/>
  <c r="M238" i="10" s="1"/>
  <c r="N238" i="10" s="1"/>
  <c r="W231" i="10"/>
  <c r="X231" i="10" s="1"/>
  <c r="W232" i="10"/>
  <c r="X232" i="10" s="1"/>
  <c r="J413" i="10"/>
  <c r="M413" i="10" s="1"/>
  <c r="N413" i="10" s="1"/>
  <c r="J412" i="10"/>
  <c r="M412" i="10" s="1"/>
  <c r="N412" i="10" s="1"/>
  <c r="V201" i="13" l="1"/>
  <c r="H415" i="10"/>
  <c r="W201" i="13"/>
  <c r="H414" i="10"/>
  <c r="J231" i="10"/>
  <c r="M231" i="10" s="1"/>
  <c r="N231" i="10" s="1"/>
  <c r="J232" i="10"/>
  <c r="M232" i="10" s="1"/>
  <c r="N232" i="10" s="1"/>
  <c r="H244" i="10"/>
  <c r="P245" i="10" l="1"/>
  <c r="P244" i="10"/>
  <c r="Q244" i="10" s="1"/>
  <c r="V244" i="10"/>
  <c r="H366" i="10"/>
  <c r="H234" i="10"/>
  <c r="P415" i="10"/>
  <c r="Q415" i="10" s="1"/>
  <c r="P414" i="10"/>
  <c r="Q414" i="10" s="1"/>
  <c r="V414" i="10"/>
  <c r="V415" i="10"/>
  <c r="W415" i="10" l="1"/>
  <c r="X415" i="10" s="1"/>
  <c r="W414" i="10"/>
  <c r="X414" i="10" s="1"/>
  <c r="P234" i="10"/>
  <c r="Q234" i="10" s="1"/>
  <c r="P233" i="10"/>
  <c r="Q233" i="10" s="1"/>
  <c r="V234" i="10"/>
  <c r="V366" i="10"/>
  <c r="X366" i="10" s="1"/>
  <c r="Q366" i="10"/>
  <c r="W244" i="10"/>
  <c r="X244" i="10" s="1"/>
  <c r="W245" i="10"/>
  <c r="W233" i="10" l="1"/>
  <c r="X233" i="10" s="1"/>
  <c r="W234" i="10"/>
  <c r="X234" i="10" s="1"/>
  <c r="J367" i="10"/>
  <c r="M367" i="10" s="1"/>
  <c r="N367" i="10" s="1"/>
  <c r="J366" i="10"/>
  <c r="M366" i="10" s="1"/>
  <c r="N366" i="10" s="1"/>
  <c r="J415" i="10"/>
  <c r="M415" i="10" s="1"/>
  <c r="N415" i="10" s="1"/>
  <c r="J414" i="10"/>
  <c r="M414" i="10" s="1"/>
  <c r="N414" i="10" s="1"/>
  <c r="V203" i="13" l="1"/>
  <c r="V202" i="13"/>
  <c r="H418" i="10"/>
  <c r="W202" i="13"/>
  <c r="H416" i="10"/>
  <c r="H374" i="10"/>
  <c r="M184" i="13"/>
  <c r="M182" i="13"/>
  <c r="M183" i="13"/>
  <c r="H376" i="10"/>
  <c r="J234" i="10"/>
  <c r="M234" i="10" s="1"/>
  <c r="N234" i="10" s="1"/>
  <c r="J233" i="10"/>
  <c r="M233" i="10" s="1"/>
  <c r="N233" i="10" s="1"/>
  <c r="L350" i="13" l="1"/>
  <c r="L351" i="13"/>
  <c r="L348" i="13"/>
  <c r="L349" i="13"/>
  <c r="L346" i="13"/>
  <c r="L347" i="13"/>
  <c r="L344" i="13"/>
  <c r="L345" i="13"/>
  <c r="L342" i="13"/>
  <c r="L343" i="13"/>
  <c r="L340" i="13"/>
  <c r="L341" i="13"/>
  <c r="L338" i="13"/>
  <c r="L339" i="13"/>
  <c r="L336" i="13"/>
  <c r="L337" i="13"/>
  <c r="L334" i="13"/>
  <c r="L335" i="13"/>
  <c r="L332" i="13"/>
  <c r="L333" i="13"/>
  <c r="L330" i="13"/>
  <c r="L331" i="13"/>
  <c r="L328" i="13"/>
  <c r="L329" i="13"/>
  <c r="L326" i="13"/>
  <c r="L327" i="13"/>
  <c r="L324" i="13"/>
  <c r="L325" i="13"/>
  <c r="L322" i="13"/>
  <c r="L323" i="13"/>
  <c r="L320" i="13"/>
  <c r="L321" i="13"/>
  <c r="L318" i="13"/>
  <c r="L319" i="13"/>
  <c r="L316" i="13"/>
  <c r="L317" i="13"/>
  <c r="AL8" i="13"/>
  <c r="J8" i="13" s="1"/>
  <c r="L315" i="13"/>
  <c r="L313" i="13"/>
  <c r="L314" i="13"/>
  <c r="L311" i="13"/>
  <c r="L312" i="13"/>
  <c r="L309" i="13"/>
  <c r="L310" i="13"/>
  <c r="L307" i="13"/>
  <c r="L308" i="13"/>
  <c r="L305" i="13"/>
  <c r="L306" i="13"/>
  <c r="L303" i="13"/>
  <c r="L304" i="13"/>
  <c r="L301" i="13"/>
  <c r="L302" i="13"/>
  <c r="L298" i="13"/>
  <c r="L300" i="13"/>
  <c r="L299" i="13"/>
  <c r="L297" i="13"/>
  <c r="L296" i="13"/>
  <c r="L295" i="13"/>
  <c r="L294" i="13"/>
  <c r="L293" i="13"/>
  <c r="L292" i="13"/>
  <c r="L291" i="13"/>
  <c r="L289" i="13"/>
  <c r="L290" i="13"/>
  <c r="L287" i="13"/>
  <c r="L288" i="13"/>
  <c r="L285" i="13"/>
  <c r="L286" i="13"/>
  <c r="L284" i="13"/>
  <c r="L283" i="13"/>
  <c r="L279" i="13"/>
  <c r="L273" i="13"/>
  <c r="L278" i="13"/>
  <c r="L277" i="13"/>
  <c r="L282" i="13"/>
  <c r="L276" i="13"/>
  <c r="L281" i="13"/>
  <c r="L275" i="13"/>
  <c r="L280" i="13"/>
  <c r="L274" i="13"/>
  <c r="L271" i="13"/>
  <c r="L272" i="13"/>
  <c r="L269" i="13"/>
  <c r="L270" i="13"/>
  <c r="L267" i="13"/>
  <c r="L268" i="13"/>
  <c r="L265" i="13"/>
  <c r="L266" i="13"/>
  <c r="L263" i="13"/>
  <c r="L264" i="13"/>
  <c r="L261" i="13"/>
  <c r="L262" i="13"/>
  <c r="L259" i="13"/>
  <c r="L260" i="13"/>
  <c r="L257" i="13"/>
  <c r="L258" i="13"/>
  <c r="L255" i="13"/>
  <c r="L256" i="13"/>
  <c r="L253" i="13"/>
  <c r="L254" i="13"/>
  <c r="L251" i="13"/>
  <c r="L252" i="13"/>
  <c r="L249" i="13"/>
  <c r="L250" i="13"/>
  <c r="L247" i="13"/>
  <c r="L248" i="13"/>
  <c r="L245" i="13"/>
  <c r="L246" i="13"/>
  <c r="L243" i="13"/>
  <c r="L244" i="13"/>
  <c r="L241" i="13"/>
  <c r="L242" i="13"/>
  <c r="L239" i="13"/>
  <c r="L240" i="13"/>
  <c r="L237" i="13"/>
  <c r="L238" i="13"/>
  <c r="B3" i="14"/>
  <c r="L228" i="13"/>
  <c r="L219" i="13"/>
  <c r="L203" i="13"/>
  <c r="L226" i="13"/>
  <c r="L210" i="13"/>
  <c r="L233" i="13"/>
  <c r="L224" i="13"/>
  <c r="L208" i="13"/>
  <c r="L231" i="13"/>
  <c r="L215" i="13"/>
  <c r="L199" i="13"/>
  <c r="L235" i="13"/>
  <c r="L222" i="13"/>
  <c r="L206" i="13"/>
  <c r="L229" i="13"/>
  <c r="L213" i="13"/>
  <c r="L220" i="13"/>
  <c r="L204" i="13"/>
  <c r="L227" i="13"/>
  <c r="L211" i="13"/>
  <c r="L234" i="13"/>
  <c r="L225" i="13"/>
  <c r="L232" i="13"/>
  <c r="L216" i="13"/>
  <c r="L236" i="13"/>
  <c r="L230" i="13"/>
  <c r="L221" i="13"/>
  <c r="L188" i="13"/>
  <c r="L172" i="13"/>
  <c r="L195" i="13"/>
  <c r="L179" i="13"/>
  <c r="L163" i="13"/>
  <c r="L186" i="13"/>
  <c r="L223" i="13"/>
  <c r="L207" i="13"/>
  <c r="L197" i="13"/>
  <c r="L193" i="13"/>
  <c r="L177" i="13"/>
  <c r="L184" i="13"/>
  <c r="L168" i="13"/>
  <c r="L152" i="13"/>
  <c r="L218" i="13"/>
  <c r="L191" i="13"/>
  <c r="L175" i="13"/>
  <c r="L159" i="13"/>
  <c r="L200" i="13"/>
  <c r="L182" i="13"/>
  <c r="L166" i="13"/>
  <c r="L212" i="13"/>
  <c r="L189" i="13"/>
  <c r="L173" i="13"/>
  <c r="L157" i="13"/>
  <c r="L202" i="13"/>
  <c r="L180" i="13"/>
  <c r="L164" i="13"/>
  <c r="L148" i="13"/>
  <c r="L187" i="13"/>
  <c r="L171" i="13"/>
  <c r="L155" i="13"/>
  <c r="L209" i="13"/>
  <c r="L201" i="13"/>
  <c r="L196" i="13"/>
  <c r="L194" i="13"/>
  <c r="L178" i="13"/>
  <c r="L185" i="13"/>
  <c r="L169" i="13"/>
  <c r="L153" i="13"/>
  <c r="L198" i="13"/>
  <c r="L192" i="13"/>
  <c r="L176" i="13"/>
  <c r="L214" i="13"/>
  <c r="L183" i="13"/>
  <c r="L167" i="13"/>
  <c r="L217" i="13"/>
  <c r="L190" i="13"/>
  <c r="L174" i="13"/>
  <c r="L158" i="13"/>
  <c r="L205" i="13"/>
  <c r="L181" i="13"/>
  <c r="L170" i="13"/>
  <c r="L165" i="13"/>
  <c r="L161" i="13"/>
  <c r="L131" i="13"/>
  <c r="L154" i="13"/>
  <c r="L138" i="13"/>
  <c r="L122" i="13"/>
  <c r="L162" i="13"/>
  <c r="L147" i="13"/>
  <c r="L145" i="13"/>
  <c r="L129" i="13"/>
  <c r="L136" i="13"/>
  <c r="L120" i="13"/>
  <c r="L156" i="13"/>
  <c r="L143" i="13"/>
  <c r="L127" i="13"/>
  <c r="L134" i="13"/>
  <c r="L118" i="13"/>
  <c r="L141" i="13"/>
  <c r="L125" i="13"/>
  <c r="L132" i="13"/>
  <c r="L139" i="13"/>
  <c r="L123" i="13"/>
  <c r="L146" i="13"/>
  <c r="L130" i="13"/>
  <c r="L151" i="13"/>
  <c r="L137" i="13"/>
  <c r="L121" i="13"/>
  <c r="L160" i="13"/>
  <c r="L149" i="13"/>
  <c r="L144" i="13"/>
  <c r="L128" i="13"/>
  <c r="L150" i="13"/>
  <c r="L135" i="13"/>
  <c r="L142" i="13"/>
  <c r="L126" i="13"/>
  <c r="L133" i="13"/>
  <c r="L140" i="13"/>
  <c r="L117" i="13"/>
  <c r="L119" i="13"/>
  <c r="L124" i="13"/>
  <c r="V376" i="10"/>
  <c r="H239" i="10"/>
  <c r="V374" i="10"/>
  <c r="P416" i="10"/>
  <c r="Q416" i="10" s="1"/>
  <c r="P417" i="10"/>
  <c r="Q417" i="10" s="1"/>
  <c r="V416" i="10"/>
  <c r="P418" i="10"/>
  <c r="Q418" i="10" s="1"/>
  <c r="P419" i="10"/>
  <c r="V418" i="10"/>
  <c r="V239" i="10" l="1"/>
  <c r="X239" i="10" s="1"/>
  <c r="Q239" i="10"/>
  <c r="W418" i="10"/>
  <c r="X418" i="10" s="1"/>
  <c r="W419" i="10"/>
  <c r="W417" i="10"/>
  <c r="X417" i="10" s="1"/>
  <c r="W416" i="10"/>
  <c r="X416" i="10" s="1"/>
  <c r="E2" i="14"/>
  <c r="B8" i="13"/>
  <c r="J417" i="10" l="1"/>
  <c r="M417" i="10" s="1"/>
  <c r="N417" i="10" s="1"/>
  <c r="J416" i="10"/>
  <c r="M416" i="10" s="1"/>
  <c r="N416" i="10" s="1"/>
  <c r="S8" i="13"/>
  <c r="J239" i="10"/>
  <c r="M239" i="10" s="1"/>
  <c r="N239" i="10" s="1"/>
  <c r="J237" i="10"/>
  <c r="M237" i="10" s="1"/>
  <c r="N237" i="10" s="1"/>
  <c r="W8" i="13" l="1"/>
  <c r="AI8" i="13"/>
  <c r="F96" i="7"/>
  <c r="S96" i="7" s="1"/>
  <c r="R119" i="13"/>
  <c r="H241" i="10"/>
  <c r="H279" i="10"/>
  <c r="W225" i="13"/>
  <c r="W216" i="13"/>
  <c r="W223" i="13"/>
  <c r="W207" i="13"/>
  <c r="W221" i="13"/>
  <c r="W205" i="13"/>
  <c r="W212" i="13"/>
  <c r="W219" i="13"/>
  <c r="W203" i="13"/>
  <c r="W226" i="13"/>
  <c r="W210" i="13"/>
  <c r="W217" i="13"/>
  <c r="W224" i="13"/>
  <c r="W208" i="13"/>
  <c r="W222" i="13"/>
  <c r="W213" i="13"/>
  <c r="W218" i="13"/>
  <c r="W220" i="13"/>
  <c r="W209" i="13"/>
  <c r="W204" i="13"/>
  <c r="W214" i="13"/>
  <c r="W206" i="13"/>
  <c r="W215" i="13"/>
  <c r="W211" i="13"/>
  <c r="H471" i="10"/>
  <c r="T203" i="13"/>
  <c r="H419" i="10"/>
  <c r="P279" i="10" l="1"/>
  <c r="Q279" i="10" s="1"/>
  <c r="P278" i="10"/>
  <c r="V279" i="10"/>
  <c r="V241" i="10"/>
  <c r="X241" i="10" s="1"/>
  <c r="Q241" i="10"/>
  <c r="V471" i="10"/>
  <c r="V419" i="10"/>
  <c r="X419" i="10" s="1"/>
  <c r="Q419" i="10"/>
  <c r="J418" i="10" l="1"/>
  <c r="M418" i="10" s="1"/>
  <c r="N418" i="10" s="1"/>
  <c r="J419" i="10"/>
  <c r="M419" i="10" s="1"/>
  <c r="N419" i="10" s="1"/>
  <c r="J241" i="10"/>
  <c r="M241" i="10" s="1"/>
  <c r="N241" i="10" s="1"/>
  <c r="J240" i="10"/>
  <c r="M240" i="10" s="1"/>
  <c r="N240" i="10" s="1"/>
  <c r="W279" i="10"/>
  <c r="X279" i="10" s="1"/>
  <c r="W278" i="10"/>
  <c r="T350" i="13" l="1"/>
  <c r="T351" i="13"/>
  <c r="T348" i="13"/>
  <c r="T349" i="13"/>
  <c r="T346" i="13"/>
  <c r="T347" i="13"/>
  <c r="T344" i="13"/>
  <c r="T345" i="13"/>
  <c r="T342" i="13"/>
  <c r="T343" i="13"/>
  <c r="T340" i="13"/>
  <c r="T341" i="13"/>
  <c r="T338" i="13"/>
  <c r="T339" i="13"/>
  <c r="T336" i="13"/>
  <c r="T337" i="13"/>
  <c r="T334" i="13"/>
  <c r="T335" i="13"/>
  <c r="T332" i="13"/>
  <c r="T333" i="13"/>
  <c r="T330" i="13"/>
  <c r="T331" i="13"/>
  <c r="T328" i="13"/>
  <c r="T329" i="13"/>
  <c r="T326" i="13"/>
  <c r="T327" i="13"/>
  <c r="T324" i="13"/>
  <c r="T325" i="13"/>
  <c r="T322" i="13"/>
  <c r="T323" i="13"/>
  <c r="T320" i="13"/>
  <c r="T321" i="13"/>
  <c r="T318" i="13"/>
  <c r="T319" i="13"/>
  <c r="T316" i="13"/>
  <c r="T317" i="13"/>
  <c r="AL16" i="13"/>
  <c r="J16" i="13" s="1"/>
  <c r="T315" i="13"/>
  <c r="T313" i="13"/>
  <c r="T314" i="13"/>
  <c r="T311" i="13"/>
  <c r="T312" i="13"/>
  <c r="T309" i="13"/>
  <c r="T310" i="13"/>
  <c r="T307" i="13"/>
  <c r="T308" i="13"/>
  <c r="T306" i="13"/>
  <c r="T305" i="13"/>
  <c r="T303" i="13"/>
  <c r="T304" i="13"/>
  <c r="T301" i="13"/>
  <c r="T302" i="13"/>
  <c r="T298" i="13"/>
  <c r="T300" i="13"/>
  <c r="T299" i="13"/>
  <c r="T297" i="13"/>
  <c r="T296" i="13"/>
  <c r="T295" i="13"/>
  <c r="T294" i="13"/>
  <c r="T292" i="13"/>
  <c r="T291" i="13"/>
  <c r="T293" i="13"/>
  <c r="T289" i="13"/>
  <c r="T290" i="13"/>
  <c r="T287" i="13"/>
  <c r="T288" i="13"/>
  <c r="T285" i="13"/>
  <c r="T286" i="13"/>
  <c r="T284" i="13"/>
  <c r="T283" i="13"/>
  <c r="T276" i="13"/>
  <c r="T281" i="13"/>
  <c r="T275" i="13"/>
  <c r="T280" i="13"/>
  <c r="T274" i="13"/>
  <c r="T279" i="13"/>
  <c r="T273" i="13"/>
  <c r="T278" i="13"/>
  <c r="T277" i="13"/>
  <c r="T282" i="13"/>
  <c r="T271" i="13"/>
  <c r="T272" i="13"/>
  <c r="T269" i="13"/>
  <c r="T270" i="13"/>
  <c r="T267" i="13"/>
  <c r="T268" i="13"/>
  <c r="T265" i="13"/>
  <c r="T266" i="13"/>
  <c r="T263" i="13"/>
  <c r="T264" i="13"/>
  <c r="T261" i="13"/>
  <c r="T262" i="13"/>
  <c r="T259" i="13"/>
  <c r="T260" i="13"/>
  <c r="T257" i="13"/>
  <c r="T258" i="13"/>
  <c r="T255" i="13"/>
  <c r="T256" i="13"/>
  <c r="T253" i="13"/>
  <c r="T254" i="13"/>
  <c r="T251" i="13"/>
  <c r="T252" i="13"/>
  <c r="T249" i="13"/>
  <c r="T250" i="13"/>
  <c r="T247" i="13"/>
  <c r="T248" i="13"/>
  <c r="T245" i="13"/>
  <c r="T246" i="13"/>
  <c r="T243" i="13"/>
  <c r="T244" i="13"/>
  <c r="T241" i="13"/>
  <c r="T242" i="13"/>
  <c r="T239" i="13"/>
  <c r="T240" i="13"/>
  <c r="T237" i="13"/>
  <c r="T238" i="13"/>
  <c r="S120" i="13"/>
  <c r="H242" i="10"/>
  <c r="R120" i="13"/>
  <c r="H243" i="10"/>
  <c r="B11" i="14"/>
  <c r="T220" i="13"/>
  <c r="T227" i="13"/>
  <c r="T211" i="13"/>
  <c r="T218" i="13"/>
  <c r="T225" i="13"/>
  <c r="T232" i="13"/>
  <c r="T216" i="13"/>
  <c r="T234" i="13"/>
  <c r="T223" i="13"/>
  <c r="T207" i="13"/>
  <c r="T230" i="13"/>
  <c r="T214" i="13"/>
  <c r="T221" i="13"/>
  <c r="T205" i="13"/>
  <c r="T228" i="13"/>
  <c r="T212" i="13"/>
  <c r="T236" i="13"/>
  <c r="T219" i="13"/>
  <c r="T226" i="13"/>
  <c r="T233" i="13"/>
  <c r="T217" i="13"/>
  <c r="T224" i="13"/>
  <c r="T208" i="13"/>
  <c r="T231" i="13"/>
  <c r="T235" i="13"/>
  <c r="T222" i="13"/>
  <c r="T229" i="13"/>
  <c r="T213" i="13"/>
  <c r="T209" i="13"/>
  <c r="T204" i="13"/>
  <c r="T210" i="13"/>
  <c r="T215" i="13"/>
  <c r="T206" i="13"/>
  <c r="V218" i="13"/>
  <c r="V225" i="13"/>
  <c r="V209" i="13"/>
  <c r="V216" i="13"/>
  <c r="V223" i="13"/>
  <c r="V214" i="13"/>
  <c r="V221" i="13"/>
  <c r="V205" i="13"/>
  <c r="V212" i="13"/>
  <c r="V219" i="13"/>
  <c r="V226" i="13"/>
  <c r="V210" i="13"/>
  <c r="V217" i="13"/>
  <c r="V224" i="13"/>
  <c r="V215" i="13"/>
  <c r="V222" i="13"/>
  <c r="V206" i="13"/>
  <c r="V220" i="13"/>
  <c r="V211" i="13"/>
  <c r="V207" i="13"/>
  <c r="V208" i="13"/>
  <c r="V213" i="13"/>
  <c r="V204" i="13"/>
  <c r="H472" i="10"/>
  <c r="V472" i="10" l="1"/>
  <c r="M2" i="14"/>
  <c r="B16" i="13"/>
  <c r="V243" i="10"/>
  <c r="P242" i="10"/>
  <c r="Q242" i="10" s="1"/>
  <c r="P243" i="10"/>
  <c r="Q243" i="10" s="1"/>
  <c r="V242" i="10"/>
  <c r="W242" i="10" l="1"/>
  <c r="X242" i="10" s="1"/>
  <c r="W243" i="10"/>
  <c r="X243" i="10" s="1"/>
  <c r="S16" i="13"/>
  <c r="W16" i="13" l="1"/>
  <c r="AI16" i="13"/>
  <c r="F102" i="7"/>
  <c r="S102" i="7" s="1"/>
  <c r="J243" i="10"/>
  <c r="M243" i="10" s="1"/>
  <c r="N243" i="10" s="1"/>
  <c r="J242" i="10"/>
  <c r="M242" i="10" s="1"/>
  <c r="N242" i="10" s="1"/>
  <c r="R121" i="13" l="1"/>
  <c r="H245" i="10"/>
  <c r="S164" i="13"/>
  <c r="S148" i="13"/>
  <c r="S169" i="13"/>
  <c r="S153" i="13"/>
  <c r="S160" i="13"/>
  <c r="S167" i="13"/>
  <c r="S158" i="13"/>
  <c r="S165" i="13"/>
  <c r="S149" i="13"/>
  <c r="S172" i="13"/>
  <c r="S156" i="13"/>
  <c r="S170" i="13"/>
  <c r="S154" i="13"/>
  <c r="S168" i="13"/>
  <c r="S159" i="13"/>
  <c r="S132" i="13"/>
  <c r="S166" i="13"/>
  <c r="S162" i="13"/>
  <c r="S139" i="13"/>
  <c r="S123" i="13"/>
  <c r="S157" i="13"/>
  <c r="S130" i="13"/>
  <c r="S163" i="13"/>
  <c r="S146" i="13"/>
  <c r="S137" i="13"/>
  <c r="S121" i="13"/>
  <c r="S144" i="13"/>
  <c r="S128" i="13"/>
  <c r="S135" i="13"/>
  <c r="S142" i="13"/>
  <c r="S126" i="13"/>
  <c r="S151" i="13"/>
  <c r="S150" i="13"/>
  <c r="S133" i="13"/>
  <c r="S171" i="13"/>
  <c r="S152" i="13"/>
  <c r="S140" i="13"/>
  <c r="S124" i="13"/>
  <c r="S131" i="13"/>
  <c r="S138" i="13"/>
  <c r="S122" i="13"/>
  <c r="S145" i="13"/>
  <c r="S129" i="13"/>
  <c r="S161" i="13"/>
  <c r="S147" i="13"/>
  <c r="S136" i="13"/>
  <c r="S143" i="13"/>
  <c r="S127" i="13"/>
  <c r="S134" i="13"/>
  <c r="S155" i="13"/>
  <c r="S141" i="13"/>
  <c r="S125" i="13"/>
  <c r="H347" i="10"/>
  <c r="P347" i="10" l="1"/>
  <c r="Q347" i="10" s="1"/>
  <c r="P348" i="10"/>
  <c r="V347" i="10"/>
  <c r="V245" i="10"/>
  <c r="X245" i="10" s="1"/>
  <c r="Q245" i="10"/>
  <c r="W348" i="10" l="1"/>
  <c r="W347" i="10"/>
  <c r="X347" i="10" s="1"/>
  <c r="J245" i="10"/>
  <c r="M245" i="10" s="1"/>
  <c r="N245" i="10" s="1"/>
  <c r="J244" i="10"/>
  <c r="M244" i="10" s="1"/>
  <c r="N244" i="10" s="1"/>
  <c r="R122" i="13" l="1"/>
  <c r="H246" i="10"/>
  <c r="H257" i="10"/>
  <c r="P257" i="10" l="1"/>
  <c r="Q257" i="10" s="1"/>
  <c r="P256" i="10"/>
  <c r="Q256" i="10" s="1"/>
  <c r="V257" i="10"/>
  <c r="P247" i="10"/>
  <c r="Q247" i="10" s="1"/>
  <c r="P246" i="10"/>
  <c r="Q246" i="10" s="1"/>
  <c r="V246" i="10"/>
  <c r="W246" i="10" l="1"/>
  <c r="X246" i="10" s="1"/>
  <c r="W247" i="10"/>
  <c r="X247" i="10" s="1"/>
  <c r="W257" i="10"/>
  <c r="X257" i="10" s="1"/>
  <c r="W256" i="10"/>
  <c r="X256" i="10" s="1"/>
  <c r="J256" i="10" l="1"/>
  <c r="M256" i="10" s="1"/>
  <c r="N256" i="10" s="1"/>
  <c r="J257" i="10"/>
  <c r="M257" i="10" s="1"/>
  <c r="N257" i="10" s="1"/>
  <c r="J246" i="10"/>
  <c r="M246" i="10" s="1"/>
  <c r="N246" i="10" s="1"/>
  <c r="J247" i="10"/>
  <c r="M247" i="10" s="1"/>
  <c r="N247" i="10" s="1"/>
  <c r="O123" i="13" l="1"/>
  <c r="H249" i="10"/>
  <c r="R123" i="13"/>
  <c r="H248" i="10"/>
  <c r="H259" i="10"/>
  <c r="K128" i="13"/>
  <c r="H258" i="10"/>
  <c r="P258" i="10" l="1"/>
  <c r="Q258" i="10" s="1"/>
  <c r="P259" i="10"/>
  <c r="Q259" i="10" s="1"/>
  <c r="V258" i="10"/>
  <c r="V259" i="10"/>
  <c r="P248" i="10"/>
  <c r="Q248" i="10" s="1"/>
  <c r="P249" i="10"/>
  <c r="Q249" i="10" s="1"/>
  <c r="V248" i="10"/>
  <c r="V249" i="10"/>
  <c r="W249" i="10" l="1"/>
  <c r="X249" i="10" s="1"/>
  <c r="W248" i="10"/>
  <c r="X248" i="10" s="1"/>
  <c r="W259" i="10"/>
  <c r="X259" i="10" s="1"/>
  <c r="W258" i="10"/>
  <c r="X258" i="10" s="1"/>
  <c r="J258" i="10" l="1"/>
  <c r="M258" i="10" s="1"/>
  <c r="N258" i="10" s="1"/>
  <c r="J259" i="10"/>
  <c r="M259" i="10" s="1"/>
  <c r="N259" i="10" s="1"/>
  <c r="J248" i="10"/>
  <c r="M248" i="10" s="1"/>
  <c r="N248" i="10" s="1"/>
  <c r="J249" i="10"/>
  <c r="M249" i="10" s="1"/>
  <c r="N249" i="10" s="1"/>
  <c r="R124" i="13" l="1"/>
  <c r="H251" i="10"/>
  <c r="O124" i="13"/>
  <c r="H250" i="10"/>
  <c r="H261" i="10"/>
  <c r="K129" i="13"/>
  <c r="H260" i="10"/>
  <c r="P260" i="10" l="1"/>
  <c r="Q260" i="10" s="1"/>
  <c r="P261" i="10"/>
  <c r="Q261" i="10" s="1"/>
  <c r="V260" i="10"/>
  <c r="V261" i="10"/>
  <c r="P250" i="10"/>
  <c r="Q250" i="10" s="1"/>
  <c r="P251" i="10"/>
  <c r="Q251" i="10" s="1"/>
  <c r="V250" i="10"/>
  <c r="V251" i="10"/>
  <c r="W251" i="10" l="1"/>
  <c r="X251" i="10" s="1"/>
  <c r="W250" i="10"/>
  <c r="X250" i="10" s="1"/>
  <c r="W261" i="10"/>
  <c r="X261" i="10" s="1"/>
  <c r="W260" i="10"/>
  <c r="X260" i="10" s="1"/>
  <c r="J260" i="10" l="1"/>
  <c r="M260" i="10" s="1"/>
  <c r="N260" i="10" s="1"/>
  <c r="J261" i="10"/>
  <c r="M261" i="10" s="1"/>
  <c r="N261" i="10" s="1"/>
  <c r="J250" i="10"/>
  <c r="M250" i="10" s="1"/>
  <c r="N250" i="10" s="1"/>
  <c r="J251" i="10"/>
  <c r="M251" i="10" s="1"/>
  <c r="N251" i="10" s="1"/>
  <c r="O125" i="13" l="1"/>
  <c r="H252" i="10"/>
  <c r="R125" i="13"/>
  <c r="H253" i="10"/>
  <c r="H263" i="10"/>
  <c r="K130" i="13"/>
  <c r="H262" i="10"/>
  <c r="V262" i="10" l="1"/>
  <c r="P263" i="10"/>
  <c r="Q263" i="10" s="1"/>
  <c r="P262" i="10"/>
  <c r="Q262" i="10" s="1"/>
  <c r="V263" i="10"/>
  <c r="V253" i="10"/>
  <c r="P253" i="10"/>
  <c r="Q253" i="10" s="1"/>
  <c r="P252" i="10"/>
  <c r="Q252" i="10" s="1"/>
  <c r="V252" i="10"/>
  <c r="W252" i="10" l="1"/>
  <c r="X252" i="10" s="1"/>
  <c r="W253" i="10"/>
  <c r="X253" i="10" s="1"/>
  <c r="W262" i="10"/>
  <c r="X262" i="10" s="1"/>
  <c r="W263" i="10"/>
  <c r="X263" i="10" s="1"/>
  <c r="J262" i="10" l="1"/>
  <c r="M262" i="10" s="1"/>
  <c r="N262" i="10" s="1"/>
  <c r="J263" i="10"/>
  <c r="M263" i="10" s="1"/>
  <c r="N263" i="10" s="1"/>
  <c r="J252" i="10"/>
  <c r="M252" i="10" s="1"/>
  <c r="N252" i="10" s="1"/>
  <c r="J253" i="10"/>
  <c r="M253" i="10" s="1"/>
  <c r="N253" i="10" s="1"/>
  <c r="R126" i="13" l="1"/>
  <c r="H254" i="10"/>
  <c r="O126" i="13"/>
  <c r="H255" i="10"/>
  <c r="H265" i="10"/>
  <c r="K131" i="13"/>
  <c r="H264" i="10"/>
  <c r="V264" i="10" l="1"/>
  <c r="P265" i="10"/>
  <c r="Q265" i="10" s="1"/>
  <c r="P264" i="10"/>
  <c r="Q264" i="10" s="1"/>
  <c r="V265" i="10"/>
  <c r="V255" i="10"/>
  <c r="P255" i="10"/>
  <c r="Q255" i="10" s="1"/>
  <c r="P254" i="10"/>
  <c r="Q254" i="10" s="1"/>
  <c r="V254" i="10"/>
  <c r="W264" i="10" l="1"/>
  <c r="X264" i="10" s="1"/>
  <c r="W265" i="10"/>
  <c r="X265" i="10" s="1"/>
  <c r="W254" i="10"/>
  <c r="X254" i="10" s="1"/>
  <c r="W255" i="10"/>
  <c r="X255" i="10" s="1"/>
  <c r="J255" i="10" l="1"/>
  <c r="M255" i="10" s="1"/>
  <c r="N255" i="10" s="1"/>
  <c r="J254" i="10"/>
  <c r="M254" i="10" s="1"/>
  <c r="N254" i="10" s="1"/>
  <c r="J264" i="10"/>
  <c r="M264" i="10" s="1"/>
  <c r="N264" i="10" s="1"/>
  <c r="J265" i="10"/>
  <c r="M265" i="10" s="1"/>
  <c r="N265" i="10" s="1"/>
  <c r="H267" i="10" l="1"/>
  <c r="K132" i="13"/>
  <c r="H266" i="10"/>
  <c r="R132" i="13"/>
  <c r="R130" i="13"/>
  <c r="R137" i="13"/>
  <c r="R128" i="13"/>
  <c r="R135" i="13"/>
  <c r="R133" i="13"/>
  <c r="R131" i="13"/>
  <c r="R136" i="13"/>
  <c r="R127" i="13"/>
  <c r="R134" i="13"/>
  <c r="R129" i="13"/>
  <c r="H277" i="10"/>
  <c r="O161" i="13"/>
  <c r="O168" i="13"/>
  <c r="O152" i="13"/>
  <c r="O173" i="13"/>
  <c r="O157" i="13"/>
  <c r="O164" i="13"/>
  <c r="O148" i="13"/>
  <c r="O171" i="13"/>
  <c r="O162" i="13"/>
  <c r="O169" i="13"/>
  <c r="O153" i="13"/>
  <c r="O160" i="13"/>
  <c r="O174" i="13"/>
  <c r="O158" i="13"/>
  <c r="O172" i="13"/>
  <c r="O163" i="13"/>
  <c r="O147" i="13"/>
  <c r="O170" i="13"/>
  <c r="O136" i="13"/>
  <c r="O155" i="13"/>
  <c r="O143" i="13"/>
  <c r="O127" i="13"/>
  <c r="O156" i="13"/>
  <c r="O134" i="13"/>
  <c r="O166" i="13"/>
  <c r="O141" i="13"/>
  <c r="O132" i="13"/>
  <c r="O139" i="13"/>
  <c r="O167" i="13"/>
  <c r="O146" i="13"/>
  <c r="O130" i="13"/>
  <c r="O137" i="13"/>
  <c r="O151" i="13"/>
  <c r="O144" i="13"/>
  <c r="O128" i="13"/>
  <c r="O149" i="13"/>
  <c r="O135" i="13"/>
  <c r="O159" i="13"/>
  <c r="O150" i="13"/>
  <c r="O142" i="13"/>
  <c r="O133" i="13"/>
  <c r="O140" i="13"/>
  <c r="O131" i="13"/>
  <c r="O165" i="13"/>
  <c r="O138" i="13"/>
  <c r="O154" i="13"/>
  <c r="O145" i="13"/>
  <c r="O129" i="13"/>
  <c r="H352" i="10"/>
  <c r="V277" i="10" l="1"/>
  <c r="P267" i="10"/>
  <c r="Q267" i="10" s="1"/>
  <c r="P266" i="10"/>
  <c r="Q266" i="10" s="1"/>
  <c r="V266" i="10"/>
  <c r="V267" i="10"/>
  <c r="V352" i="10"/>
  <c r="W267" i="10" l="1"/>
  <c r="X267" i="10" s="1"/>
  <c r="W266" i="10"/>
  <c r="X266" i="10" s="1"/>
  <c r="J266" i="10" l="1"/>
  <c r="M266" i="10" s="1"/>
  <c r="N266" i="10" s="1"/>
  <c r="J267" i="10"/>
  <c r="M267" i="10" s="1"/>
  <c r="N267" i="10" s="1"/>
  <c r="H269" i="10" l="1"/>
  <c r="K133" i="13"/>
  <c r="H268" i="10"/>
  <c r="P268" i="10" l="1"/>
  <c r="Q268" i="10" s="1"/>
  <c r="P269" i="10"/>
  <c r="Q269" i="10" s="1"/>
  <c r="V268" i="10"/>
  <c r="V269" i="10"/>
  <c r="W269" i="10" l="1"/>
  <c r="X269" i="10" s="1"/>
  <c r="W268" i="10"/>
  <c r="X268" i="10" s="1"/>
  <c r="J269" i="10" l="1"/>
  <c r="M269" i="10" s="1"/>
  <c r="N269" i="10" s="1"/>
  <c r="J268" i="10"/>
  <c r="M268" i="10" s="1"/>
  <c r="N268" i="10" s="1"/>
  <c r="K134" i="13" l="1"/>
  <c r="H270" i="10"/>
  <c r="H271" i="10"/>
  <c r="V271" i="10" l="1"/>
  <c r="P271" i="10"/>
  <c r="Q271" i="10" s="1"/>
  <c r="P270" i="10"/>
  <c r="Q270" i="10" s="1"/>
  <c r="V270" i="10"/>
  <c r="W271" i="10" l="1"/>
  <c r="X271" i="10" s="1"/>
  <c r="W270" i="10"/>
  <c r="X270" i="10" s="1"/>
  <c r="J270" i="10" l="1"/>
  <c r="M270" i="10" s="1"/>
  <c r="N270" i="10" s="1"/>
  <c r="J271" i="10"/>
  <c r="M271" i="10" s="1"/>
  <c r="N271" i="10" s="1"/>
  <c r="H273" i="10" l="1"/>
  <c r="K135" i="13"/>
  <c r="H272" i="10"/>
  <c r="P273" i="10" l="1"/>
  <c r="Q273" i="10" s="1"/>
  <c r="P272" i="10"/>
  <c r="Q272" i="10" s="1"/>
  <c r="V272" i="10"/>
  <c r="V273" i="10"/>
  <c r="W273" i="10" l="1"/>
  <c r="X273" i="10" s="1"/>
  <c r="W272" i="10"/>
  <c r="X272" i="10" s="1"/>
  <c r="J273" i="10" l="1"/>
  <c r="M273" i="10" s="1"/>
  <c r="N273" i="10" s="1"/>
  <c r="J272" i="10"/>
  <c r="M272" i="10" s="1"/>
  <c r="N272" i="10" s="1"/>
  <c r="K136" i="13" l="1"/>
  <c r="H274" i="10"/>
  <c r="H275" i="10"/>
  <c r="V275" i="10" l="1"/>
  <c r="P275" i="10"/>
  <c r="Q275" i="10" s="1"/>
  <c r="P274" i="10"/>
  <c r="Q274" i="10" s="1"/>
  <c r="V274" i="10"/>
  <c r="W275" i="10" l="1"/>
  <c r="X275" i="10" s="1"/>
  <c r="W274" i="10"/>
  <c r="X274" i="10" s="1"/>
  <c r="J274" i="10" l="1"/>
  <c r="M274" i="10" s="1"/>
  <c r="N274" i="10" s="1"/>
  <c r="J275" i="10"/>
  <c r="M275" i="10" s="1"/>
  <c r="N275" i="10" s="1"/>
  <c r="H276" i="10" l="1"/>
  <c r="K150" i="13"/>
  <c r="K148" i="13"/>
  <c r="K140" i="13"/>
  <c r="K138" i="13"/>
  <c r="K147" i="13"/>
  <c r="K145" i="13"/>
  <c r="K143" i="13"/>
  <c r="K141" i="13"/>
  <c r="K139" i="13"/>
  <c r="K146" i="13"/>
  <c r="K137" i="13"/>
  <c r="K149" i="13"/>
  <c r="K144" i="13"/>
  <c r="K142" i="13"/>
  <c r="H303" i="10"/>
  <c r="V303" i="10" l="1"/>
  <c r="P277" i="10"/>
  <c r="Q277" i="10" s="1"/>
  <c r="P276" i="10"/>
  <c r="Q276" i="10" s="1"/>
  <c r="V276" i="10"/>
  <c r="W277" i="10" l="1"/>
  <c r="X277" i="10" s="1"/>
  <c r="W276" i="10"/>
  <c r="X276" i="10" s="1"/>
  <c r="J277" i="10" l="1"/>
  <c r="M277" i="10" s="1"/>
  <c r="N277" i="10" s="1"/>
  <c r="J276" i="10"/>
  <c r="M276" i="10" s="1"/>
  <c r="N276" i="10" s="1"/>
  <c r="H278" i="10" l="1"/>
  <c r="R141" i="13"/>
  <c r="R139" i="13"/>
  <c r="R144" i="13"/>
  <c r="R142" i="13"/>
  <c r="R140" i="13"/>
  <c r="R138" i="13"/>
  <c r="R143" i="13"/>
  <c r="H291" i="10"/>
  <c r="P291" i="10" l="1"/>
  <c r="Q291" i="10" s="1"/>
  <c r="P290" i="10"/>
  <c r="V291" i="10"/>
  <c r="V278" i="10"/>
  <c r="X278" i="10" s="1"/>
  <c r="Q278" i="10"/>
  <c r="J278" i="10" l="1"/>
  <c r="M278" i="10" s="1"/>
  <c r="N278" i="10" s="1"/>
  <c r="J279" i="10"/>
  <c r="M279" i="10" s="1"/>
  <c r="N279" i="10" s="1"/>
  <c r="W291" i="10"/>
  <c r="X291" i="10" s="1"/>
  <c r="W290" i="10"/>
  <c r="H281" i="10" l="1"/>
  <c r="H280" i="10"/>
  <c r="V280" i="10" l="1"/>
  <c r="P281" i="10"/>
  <c r="Q281" i="10" s="1"/>
  <c r="P280" i="10"/>
  <c r="Q280" i="10" s="1"/>
  <c r="V281" i="10"/>
  <c r="W281" i="10" l="1"/>
  <c r="X281" i="10" s="1"/>
  <c r="W280" i="10"/>
  <c r="X280" i="10" s="1"/>
  <c r="J281" i="10" l="1"/>
  <c r="M281" i="10" s="1"/>
  <c r="N281" i="10" s="1"/>
  <c r="J280" i="10"/>
  <c r="M280" i="10" s="1"/>
  <c r="N280" i="10" s="1"/>
  <c r="H282" i="10" l="1"/>
  <c r="H283" i="10"/>
  <c r="P283" i="10" l="1"/>
  <c r="Q283" i="10" s="1"/>
  <c r="P282" i="10"/>
  <c r="Q282" i="10" s="1"/>
  <c r="V283" i="10"/>
  <c r="V282" i="10"/>
  <c r="W282" i="10" l="1"/>
  <c r="X282" i="10" s="1"/>
  <c r="W283" i="10"/>
  <c r="X283" i="10" s="1"/>
  <c r="J283" i="10" l="1"/>
  <c r="M283" i="10" s="1"/>
  <c r="N283" i="10" s="1"/>
  <c r="J282" i="10"/>
  <c r="M282" i="10" s="1"/>
  <c r="N282" i="10" s="1"/>
  <c r="H284" i="10" l="1"/>
  <c r="H285" i="10"/>
  <c r="P285" i="10" l="1"/>
  <c r="Q285" i="10" s="1"/>
  <c r="P284" i="10"/>
  <c r="Q284" i="10" s="1"/>
  <c r="V285" i="10"/>
  <c r="V284" i="10"/>
  <c r="W284" i="10" l="1"/>
  <c r="X284" i="10" s="1"/>
  <c r="W285" i="10"/>
  <c r="X285" i="10" s="1"/>
  <c r="J285" i="10" l="1"/>
  <c r="M285" i="10" s="1"/>
  <c r="N285" i="10" s="1"/>
  <c r="J284" i="10"/>
  <c r="M284" i="10" s="1"/>
  <c r="N284" i="10" s="1"/>
  <c r="H286" i="10" l="1"/>
  <c r="H287" i="10"/>
  <c r="V287" i="10" l="1"/>
  <c r="P287" i="10"/>
  <c r="Q287" i="10" s="1"/>
  <c r="P286" i="10"/>
  <c r="Q286" i="10" s="1"/>
  <c r="V286" i="10"/>
  <c r="W286" i="10" l="1"/>
  <c r="X286" i="10" s="1"/>
  <c r="W287" i="10"/>
  <c r="X287" i="10" s="1"/>
  <c r="J287" i="10" l="1"/>
  <c r="M287" i="10" s="1"/>
  <c r="N287" i="10" s="1"/>
  <c r="J286" i="10"/>
  <c r="M286" i="10" s="1"/>
  <c r="N286" i="10" s="1"/>
  <c r="H288" i="10" l="1"/>
  <c r="H289" i="10"/>
  <c r="V289" i="10" l="1"/>
  <c r="P289" i="10"/>
  <c r="Q289" i="10" s="1"/>
  <c r="P288" i="10"/>
  <c r="Q288" i="10" s="1"/>
  <c r="V288" i="10"/>
  <c r="W288" i="10" l="1"/>
  <c r="X288" i="10" s="1"/>
  <c r="W289" i="10"/>
  <c r="X289" i="10" s="1"/>
  <c r="J288" i="10" l="1"/>
  <c r="M288" i="10" s="1"/>
  <c r="N288" i="10" s="1"/>
  <c r="J289" i="10"/>
  <c r="M289" i="10" s="1"/>
  <c r="N289" i="10" s="1"/>
  <c r="H297" i="10" l="1"/>
  <c r="H290" i="10"/>
  <c r="V290" i="10" l="1"/>
  <c r="X290" i="10" s="1"/>
  <c r="Q290" i="10"/>
  <c r="V297" i="10"/>
  <c r="J291" i="10" l="1"/>
  <c r="M291" i="10" s="1"/>
  <c r="N291" i="10" s="1"/>
  <c r="J290" i="10"/>
  <c r="M290" i="10" s="1"/>
  <c r="N290" i="10" s="1"/>
  <c r="H292" i="10" l="1"/>
  <c r="R145" i="13"/>
  <c r="H293" i="10"/>
  <c r="V293" i="10" l="1"/>
  <c r="P292" i="10"/>
  <c r="Q292" i="10" s="1"/>
  <c r="P293" i="10"/>
  <c r="Q293" i="10" s="1"/>
  <c r="V292" i="10"/>
  <c r="W292" i="10" l="1"/>
  <c r="X292" i="10" s="1"/>
  <c r="W293" i="10"/>
  <c r="X293" i="10" s="1"/>
  <c r="J292" i="10" l="1"/>
  <c r="M292" i="10" s="1"/>
  <c r="N292" i="10" s="1"/>
  <c r="J293" i="10"/>
  <c r="M293" i="10" s="1"/>
  <c r="N293" i="10" s="1"/>
  <c r="R146" i="13" l="1"/>
  <c r="H295" i="10"/>
  <c r="H294" i="10"/>
  <c r="V294" i="10" l="1"/>
  <c r="P295" i="10"/>
  <c r="Q295" i="10" s="1"/>
  <c r="P294" i="10"/>
  <c r="Q294" i="10" s="1"/>
  <c r="V295" i="10"/>
  <c r="W294" i="10" l="1"/>
  <c r="X294" i="10" s="1"/>
  <c r="W295" i="10"/>
  <c r="X295" i="10" s="1"/>
  <c r="J294" i="10" l="1"/>
  <c r="M294" i="10" s="1"/>
  <c r="N294" i="10" s="1"/>
  <c r="J295" i="10"/>
  <c r="M295" i="10" s="1"/>
  <c r="N295" i="10" s="1"/>
  <c r="R166" i="13" l="1"/>
  <c r="R157" i="13"/>
  <c r="R171" i="13"/>
  <c r="R162" i="13"/>
  <c r="R169" i="13"/>
  <c r="R153" i="13"/>
  <c r="R160" i="13"/>
  <c r="R167" i="13"/>
  <c r="R151" i="13"/>
  <c r="R158" i="13"/>
  <c r="R165" i="13"/>
  <c r="R149" i="13"/>
  <c r="R163" i="13"/>
  <c r="R170" i="13"/>
  <c r="R168" i="13"/>
  <c r="R152" i="13"/>
  <c r="R156" i="13"/>
  <c r="R155" i="13"/>
  <c r="R172" i="13"/>
  <c r="R159" i="13"/>
  <c r="R150" i="13"/>
  <c r="R164" i="13"/>
  <c r="R148" i="13"/>
  <c r="R161" i="13"/>
  <c r="R154" i="13"/>
  <c r="R147" i="13"/>
  <c r="H348" i="10"/>
  <c r="H296" i="10"/>
  <c r="P297" i="10" l="1"/>
  <c r="Q297" i="10" s="1"/>
  <c r="P296" i="10"/>
  <c r="Q296" i="10" s="1"/>
  <c r="V296" i="10"/>
  <c r="V348" i="10"/>
  <c r="X348" i="10" s="1"/>
  <c r="Q348" i="10"/>
  <c r="W296" i="10" l="1"/>
  <c r="X296" i="10" s="1"/>
  <c r="W297" i="10"/>
  <c r="X297" i="10" s="1"/>
  <c r="J348" i="10"/>
  <c r="M348" i="10" s="1"/>
  <c r="N348" i="10" s="1"/>
  <c r="J347" i="10"/>
  <c r="M347" i="10" s="1"/>
  <c r="N347" i="10" s="1"/>
  <c r="S173" i="13" l="1"/>
  <c r="H349" i="10"/>
  <c r="R173" i="13"/>
  <c r="H350" i="10"/>
  <c r="J297" i="10"/>
  <c r="M297" i="10" s="1"/>
  <c r="N297" i="10" s="1"/>
  <c r="J296" i="10"/>
  <c r="M296" i="10" s="1"/>
  <c r="N296" i="10" s="1"/>
  <c r="H298" i="10" l="1"/>
  <c r="H299" i="10"/>
  <c r="V350" i="10"/>
  <c r="P349" i="10"/>
  <c r="Q349" i="10" s="1"/>
  <c r="P350" i="10"/>
  <c r="Q350" i="10" s="1"/>
  <c r="V349" i="10"/>
  <c r="W350" i="10" l="1"/>
  <c r="X350" i="10" s="1"/>
  <c r="W349" i="10"/>
  <c r="X349" i="10" s="1"/>
  <c r="P299" i="10"/>
  <c r="Q299" i="10" s="1"/>
  <c r="P298" i="10"/>
  <c r="Q298" i="10" s="1"/>
  <c r="V299" i="10"/>
  <c r="V298" i="10"/>
  <c r="W298" i="10" l="1"/>
  <c r="X298" i="10" s="1"/>
  <c r="W299" i="10"/>
  <c r="X299" i="10" s="1"/>
  <c r="J349" i="10"/>
  <c r="M349" i="10" s="1"/>
  <c r="N349" i="10" s="1"/>
  <c r="J350" i="10"/>
  <c r="M350" i="10" s="1"/>
  <c r="N350" i="10" s="1"/>
  <c r="R176" i="13" l="1"/>
  <c r="R174" i="13"/>
  <c r="R175" i="13"/>
  <c r="H356" i="10"/>
  <c r="S174" i="13"/>
  <c r="H351" i="10"/>
  <c r="J298" i="10"/>
  <c r="M298" i="10" s="1"/>
  <c r="N298" i="10" s="1"/>
  <c r="J299" i="10"/>
  <c r="M299" i="10" s="1"/>
  <c r="N299" i="10" s="1"/>
  <c r="H301" i="10" l="1"/>
  <c r="H300" i="10"/>
  <c r="P351" i="10"/>
  <c r="Q351" i="10" s="1"/>
  <c r="P352" i="10"/>
  <c r="Q352" i="10" s="1"/>
  <c r="V351" i="10"/>
  <c r="V356" i="10"/>
  <c r="P301" i="10" l="1"/>
  <c r="Q301" i="10" s="1"/>
  <c r="P300" i="10"/>
  <c r="Q300" i="10" s="1"/>
  <c r="V300" i="10"/>
  <c r="V301" i="10"/>
  <c r="W352" i="10"/>
  <c r="X352" i="10" s="1"/>
  <c r="W351" i="10"/>
  <c r="X351" i="10" s="1"/>
  <c r="J351" i="10" l="1"/>
  <c r="M351" i="10" s="1"/>
  <c r="N351" i="10" s="1"/>
  <c r="J352" i="10"/>
  <c r="M352" i="10" s="1"/>
  <c r="N352" i="10" s="1"/>
  <c r="W300" i="10"/>
  <c r="X300" i="10" s="1"/>
  <c r="W301" i="10"/>
  <c r="X301" i="10" s="1"/>
  <c r="J300" i="10" l="1"/>
  <c r="M300" i="10" s="1"/>
  <c r="N300" i="10" s="1"/>
  <c r="J301" i="10"/>
  <c r="M301" i="10" s="1"/>
  <c r="N301" i="10" s="1"/>
  <c r="O175" i="13"/>
  <c r="H354" i="10"/>
  <c r="S175" i="13"/>
  <c r="H353" i="10"/>
  <c r="P353" i="10" l="1"/>
  <c r="Q353" i="10" s="1"/>
  <c r="P354" i="10"/>
  <c r="Q354" i="10" s="1"/>
  <c r="V353" i="10"/>
  <c r="V354" i="10"/>
  <c r="H369" i="10"/>
  <c r="H302" i="10"/>
  <c r="P303" i="10" l="1"/>
  <c r="Q303" i="10" s="1"/>
  <c r="P302" i="10"/>
  <c r="Q302" i="10" s="1"/>
  <c r="V302" i="10"/>
  <c r="W353" i="10"/>
  <c r="X353" i="10" s="1"/>
  <c r="W354" i="10"/>
  <c r="X354" i="10" s="1"/>
  <c r="V369" i="10"/>
  <c r="J353" i="10" l="1"/>
  <c r="M353" i="10" s="1"/>
  <c r="N353" i="10" s="1"/>
  <c r="J354" i="10"/>
  <c r="M354" i="10" s="1"/>
  <c r="N354" i="10" s="1"/>
  <c r="W302" i="10"/>
  <c r="X302" i="10" s="1"/>
  <c r="W303" i="10"/>
  <c r="X303" i="10" s="1"/>
  <c r="J302" i="10" l="1"/>
  <c r="M302" i="10" s="1"/>
  <c r="N302" i="10" s="1"/>
  <c r="J303" i="10"/>
  <c r="M303" i="10" s="1"/>
  <c r="N303" i="10" s="1"/>
  <c r="O176" i="13"/>
  <c r="H355" i="10"/>
  <c r="S176" i="13"/>
  <c r="S177" i="13"/>
  <c r="H359" i="10"/>
  <c r="V359" i="10" l="1"/>
  <c r="P356" i="10"/>
  <c r="Q356" i="10" s="1"/>
  <c r="P355" i="10"/>
  <c r="Q355" i="10" s="1"/>
  <c r="V355" i="10"/>
  <c r="K151" i="13"/>
  <c r="H305" i="10"/>
  <c r="H304" i="10"/>
  <c r="V304" i="10" l="1"/>
  <c r="P304" i="10"/>
  <c r="Q304" i="10" s="1"/>
  <c r="P305" i="10"/>
  <c r="Q305" i="10" s="1"/>
  <c r="V305" i="10"/>
  <c r="W356" i="10"/>
  <c r="X356" i="10" s="1"/>
  <c r="W355" i="10"/>
  <c r="X355" i="10" s="1"/>
  <c r="W305" i="10" l="1"/>
  <c r="X305" i="10" s="1"/>
  <c r="W304" i="10"/>
  <c r="X304" i="10" s="1"/>
  <c r="J355" i="10"/>
  <c r="M355" i="10" s="1"/>
  <c r="N355" i="10" s="1"/>
  <c r="J356" i="10"/>
  <c r="M356" i="10" s="1"/>
  <c r="N356" i="10" s="1"/>
  <c r="R177" i="13" l="1"/>
  <c r="H357" i="10"/>
  <c r="O177" i="13"/>
  <c r="H358" i="10"/>
  <c r="J305" i="10"/>
  <c r="M305" i="10" s="1"/>
  <c r="N305" i="10" s="1"/>
  <c r="J304" i="10"/>
  <c r="M304" i="10" s="1"/>
  <c r="N304" i="10" s="1"/>
  <c r="H306" i="10" l="1"/>
  <c r="K152" i="13"/>
  <c r="H307" i="10"/>
  <c r="V358" i="10"/>
  <c r="P357" i="10"/>
  <c r="Q357" i="10" s="1"/>
  <c r="P359" i="10"/>
  <c r="Q359" i="10" s="1"/>
  <c r="P358" i="10"/>
  <c r="Q358" i="10" s="1"/>
  <c r="V357" i="10"/>
  <c r="W358" i="10" l="1"/>
  <c r="X358" i="10" s="1"/>
  <c r="W359" i="10"/>
  <c r="X359" i="10" s="1"/>
  <c r="J359" i="10" s="1"/>
  <c r="M359" i="10" s="1"/>
  <c r="N359" i="10" s="1"/>
  <c r="W357" i="10"/>
  <c r="X357" i="10" s="1"/>
  <c r="V307" i="10"/>
  <c r="P306" i="10"/>
  <c r="Q306" i="10" s="1"/>
  <c r="V306" i="10"/>
  <c r="P307" i="10"/>
  <c r="Q307" i="10" s="1"/>
  <c r="W306" i="10" l="1"/>
  <c r="X306" i="10" s="1"/>
  <c r="W307" i="10"/>
  <c r="X307" i="10" s="1"/>
  <c r="S178" i="13"/>
  <c r="S179" i="13"/>
  <c r="H363" i="10"/>
  <c r="J358" i="10"/>
  <c r="M358" i="10" s="1"/>
  <c r="N358" i="10" s="1"/>
  <c r="J357" i="10"/>
  <c r="M357" i="10" s="1"/>
  <c r="N357" i="10" s="1"/>
  <c r="O178" i="13" l="1"/>
  <c r="H361" i="10"/>
  <c r="P363" i="10"/>
  <c r="Q363" i="10" s="1"/>
  <c r="P362" i="10"/>
  <c r="V363" i="10"/>
  <c r="J307" i="10"/>
  <c r="M307" i="10" s="1"/>
  <c r="N307" i="10" s="1"/>
  <c r="J306" i="10"/>
  <c r="M306" i="10" s="1"/>
  <c r="N306" i="10" s="1"/>
  <c r="R178" i="13"/>
  <c r="H360" i="10"/>
  <c r="P361" i="10" l="1"/>
  <c r="Q361" i="10" s="1"/>
  <c r="P360" i="10"/>
  <c r="Q360" i="10" s="1"/>
  <c r="V360" i="10"/>
  <c r="K153" i="13"/>
  <c r="H309" i="10"/>
  <c r="H308" i="10"/>
  <c r="W362" i="10"/>
  <c r="W363" i="10"/>
  <c r="X363" i="10" s="1"/>
  <c r="V361" i="10"/>
  <c r="P309" i="10" l="1"/>
  <c r="Q309" i="10" s="1"/>
  <c r="P308" i="10"/>
  <c r="Q308" i="10" s="1"/>
  <c r="V308" i="10"/>
  <c r="V309" i="10"/>
  <c r="W360" i="10"/>
  <c r="X360" i="10" s="1"/>
  <c r="W361" i="10"/>
  <c r="X361" i="10" s="1"/>
  <c r="W308" i="10" l="1"/>
  <c r="X308" i="10" s="1"/>
  <c r="W309" i="10"/>
  <c r="X309" i="10" s="1"/>
  <c r="J360" i="10"/>
  <c r="M360" i="10" s="1"/>
  <c r="N360" i="10" s="1"/>
  <c r="J361" i="10"/>
  <c r="M361" i="10" s="1"/>
  <c r="N361" i="10" s="1"/>
  <c r="O197" i="13" l="1"/>
  <c r="O204" i="13"/>
  <c r="O202" i="13"/>
  <c r="O200" i="13"/>
  <c r="O193" i="13"/>
  <c r="O184" i="13"/>
  <c r="O191" i="13"/>
  <c r="O182" i="13"/>
  <c r="O189" i="13"/>
  <c r="O180" i="13"/>
  <c r="O187" i="13"/>
  <c r="O196" i="13"/>
  <c r="O194" i="13"/>
  <c r="O201" i="13"/>
  <c r="O185" i="13"/>
  <c r="O203" i="13"/>
  <c r="O199" i="13"/>
  <c r="O198" i="13"/>
  <c r="O192" i="13"/>
  <c r="O183" i="13"/>
  <c r="O190" i="13"/>
  <c r="O181" i="13"/>
  <c r="O188" i="13"/>
  <c r="O195" i="13"/>
  <c r="O179" i="13"/>
  <c r="O186" i="13"/>
  <c r="H424" i="10"/>
  <c r="R179" i="13"/>
  <c r="H362" i="10"/>
  <c r="J308" i="10"/>
  <c r="M308" i="10" s="1"/>
  <c r="N308" i="10" s="1"/>
  <c r="J309" i="10"/>
  <c r="M309" i="10" s="1"/>
  <c r="N309" i="10" s="1"/>
  <c r="K154" i="13" l="1"/>
  <c r="H311" i="10"/>
  <c r="V362" i="10"/>
  <c r="X362" i="10" s="1"/>
  <c r="Q362" i="10"/>
  <c r="P421" i="10"/>
  <c r="P424" i="10"/>
  <c r="Q424" i="10" s="1"/>
  <c r="P422" i="10"/>
  <c r="P423" i="10"/>
  <c r="P420" i="10"/>
  <c r="V424" i="10"/>
  <c r="H310" i="10"/>
  <c r="P310" i="10" l="1"/>
  <c r="Q310" i="10" s="1"/>
  <c r="P311" i="10"/>
  <c r="Q311" i="10" s="1"/>
  <c r="V310" i="10"/>
  <c r="W420" i="10"/>
  <c r="W424" i="10"/>
  <c r="X424" i="10" s="1"/>
  <c r="W423" i="10"/>
  <c r="W421" i="10"/>
  <c r="W422" i="10"/>
  <c r="J362" i="10"/>
  <c r="M362" i="10" s="1"/>
  <c r="N362" i="10" s="1"/>
  <c r="J363" i="10"/>
  <c r="M363" i="10" s="1"/>
  <c r="N363" i="10" s="1"/>
  <c r="V311" i="10"/>
  <c r="H521" i="10" l="1"/>
  <c r="S247" i="13"/>
  <c r="S248" i="13"/>
  <c r="S245" i="13"/>
  <c r="S246" i="13"/>
  <c r="S243" i="13"/>
  <c r="S244" i="13"/>
  <c r="S241" i="13"/>
  <c r="S242" i="13"/>
  <c r="S239" i="13"/>
  <c r="S240" i="13"/>
  <c r="S237" i="13"/>
  <c r="S238" i="13"/>
  <c r="S234" i="13"/>
  <c r="S229" i="13"/>
  <c r="S220" i="13"/>
  <c r="S204" i="13"/>
  <c r="S227" i="13"/>
  <c r="S211" i="13"/>
  <c r="S218" i="13"/>
  <c r="S225" i="13"/>
  <c r="S209" i="13"/>
  <c r="S232" i="13"/>
  <c r="S216" i="13"/>
  <c r="S200" i="13"/>
  <c r="S223" i="13"/>
  <c r="S207" i="13"/>
  <c r="S230" i="13"/>
  <c r="S214" i="13"/>
  <c r="S221" i="13"/>
  <c r="S205" i="13"/>
  <c r="S228" i="13"/>
  <c r="S212" i="13"/>
  <c r="S236" i="13"/>
  <c r="S226" i="13"/>
  <c r="S233" i="13"/>
  <c r="S217" i="13"/>
  <c r="S201" i="13"/>
  <c r="S231" i="13"/>
  <c r="S235" i="13"/>
  <c r="S222" i="13"/>
  <c r="S215" i="13"/>
  <c r="S206" i="13"/>
  <c r="S189" i="13"/>
  <c r="S180" i="13"/>
  <c r="S187" i="13"/>
  <c r="S196" i="13"/>
  <c r="S194" i="13"/>
  <c r="S208" i="13"/>
  <c r="S185" i="13"/>
  <c r="S192" i="13"/>
  <c r="S203" i="13"/>
  <c r="S199" i="13"/>
  <c r="S183" i="13"/>
  <c r="S213" i="13"/>
  <c r="S202" i="13"/>
  <c r="S198" i="13"/>
  <c r="S190" i="13"/>
  <c r="S181" i="13"/>
  <c r="S188" i="13"/>
  <c r="S195" i="13"/>
  <c r="S186" i="13"/>
  <c r="S210" i="13"/>
  <c r="S193" i="13"/>
  <c r="S224" i="13"/>
  <c r="S219" i="13"/>
  <c r="S197" i="13"/>
  <c r="S184" i="13"/>
  <c r="S191" i="13"/>
  <c r="S182" i="13"/>
  <c r="W311" i="10"/>
  <c r="X311" i="10" s="1"/>
  <c r="W310" i="10"/>
  <c r="X310" i="10" s="1"/>
  <c r="R180" i="13"/>
  <c r="H365" i="10"/>
  <c r="V521" i="10" l="1"/>
  <c r="J310" i="10"/>
  <c r="M310" i="10" s="1"/>
  <c r="N310" i="10" s="1"/>
  <c r="J311" i="10"/>
  <c r="M311" i="10" s="1"/>
  <c r="N311" i="10" s="1"/>
  <c r="V365" i="10"/>
  <c r="K155" i="13" l="1"/>
  <c r="H313" i="10"/>
  <c r="H312" i="10"/>
  <c r="V312" i="10" l="1"/>
  <c r="P313" i="10"/>
  <c r="Q313" i="10" s="1"/>
  <c r="P312" i="10"/>
  <c r="Q312" i="10" s="1"/>
  <c r="V313" i="10"/>
  <c r="W312" i="10" l="1"/>
  <c r="X312" i="10" s="1"/>
  <c r="W313" i="10"/>
  <c r="X313" i="10" s="1"/>
  <c r="J313" i="10" l="1"/>
  <c r="M313" i="10" s="1"/>
  <c r="N313" i="10" s="1"/>
  <c r="J312" i="10"/>
  <c r="M312" i="10" s="1"/>
  <c r="N312" i="10" s="1"/>
  <c r="H314" i="10" l="1"/>
  <c r="K156" i="13"/>
  <c r="H315" i="10"/>
  <c r="P315" i="10" l="1"/>
  <c r="Q315" i="10" s="1"/>
  <c r="P314" i="10"/>
  <c r="Q314" i="10" s="1"/>
  <c r="V315" i="10"/>
  <c r="V314" i="10"/>
  <c r="W314" i="10" l="1"/>
  <c r="X314" i="10" s="1"/>
  <c r="W315" i="10"/>
  <c r="X315" i="10" s="1"/>
  <c r="J315" i="10" l="1"/>
  <c r="M315" i="10" s="1"/>
  <c r="N315" i="10" s="1"/>
  <c r="J314" i="10"/>
  <c r="M314" i="10" s="1"/>
  <c r="N314" i="10" s="1"/>
  <c r="H316" i="10" l="1"/>
  <c r="K157" i="13"/>
  <c r="H317" i="10"/>
  <c r="V317" i="10" l="1"/>
  <c r="P317" i="10"/>
  <c r="Q317" i="10" s="1"/>
  <c r="P316" i="10"/>
  <c r="Q316" i="10" s="1"/>
  <c r="V316" i="10"/>
  <c r="W316" i="10" l="1"/>
  <c r="X316" i="10" s="1"/>
  <c r="W317" i="10"/>
  <c r="X317" i="10" s="1"/>
  <c r="J316" i="10" l="1"/>
  <c r="M316" i="10" s="1"/>
  <c r="N316" i="10" s="1"/>
  <c r="J317" i="10"/>
  <c r="M317" i="10" s="1"/>
  <c r="N317" i="10" s="1"/>
  <c r="K158" i="13" l="1"/>
  <c r="H319" i="10"/>
  <c r="H318" i="10"/>
  <c r="V318" i="10" l="1"/>
  <c r="P319" i="10"/>
  <c r="Q319" i="10" s="1"/>
  <c r="P318" i="10"/>
  <c r="Q318" i="10" s="1"/>
  <c r="V319" i="10"/>
  <c r="W319" i="10" l="1"/>
  <c r="X319" i="10" s="1"/>
  <c r="W318" i="10"/>
  <c r="X318" i="10" s="1"/>
  <c r="J319" i="10" l="1"/>
  <c r="M319" i="10" s="1"/>
  <c r="N319" i="10" s="1"/>
  <c r="J318" i="10"/>
  <c r="M318" i="10" s="1"/>
  <c r="N318" i="10" s="1"/>
  <c r="H320" i="10" l="1"/>
  <c r="K159" i="13"/>
  <c r="H321" i="10"/>
  <c r="P320" i="10" l="1"/>
  <c r="Q320" i="10" s="1"/>
  <c r="P321" i="10"/>
  <c r="Q321" i="10" s="1"/>
  <c r="V321" i="10"/>
  <c r="V320" i="10"/>
  <c r="W321" i="10" l="1"/>
  <c r="X321" i="10" s="1"/>
  <c r="W320" i="10"/>
  <c r="X320" i="10" s="1"/>
  <c r="J321" i="10" l="1"/>
  <c r="M321" i="10" s="1"/>
  <c r="N321" i="10" s="1"/>
  <c r="J320" i="10"/>
  <c r="M320" i="10" s="1"/>
  <c r="N320" i="10" s="1"/>
  <c r="H322" i="10" l="1"/>
  <c r="K160" i="13"/>
  <c r="H323" i="10"/>
  <c r="P323" i="10" l="1"/>
  <c r="Q323" i="10" s="1"/>
  <c r="P322" i="10"/>
  <c r="Q322" i="10" s="1"/>
  <c r="V323" i="10"/>
  <c r="V322" i="10"/>
  <c r="W323" i="10" l="1"/>
  <c r="X323" i="10" s="1"/>
  <c r="W322" i="10"/>
  <c r="X322" i="10" s="1"/>
  <c r="J323" i="10" l="1"/>
  <c r="M323" i="10" s="1"/>
  <c r="N323" i="10" s="1"/>
  <c r="J322" i="10"/>
  <c r="M322" i="10" s="1"/>
  <c r="N322" i="10" s="1"/>
  <c r="H324" i="10" l="1"/>
  <c r="K161" i="13"/>
  <c r="H325" i="10"/>
  <c r="V325" i="10" l="1"/>
  <c r="P324" i="10"/>
  <c r="Q324" i="10" s="1"/>
  <c r="P325" i="10"/>
  <c r="Q325" i="10" s="1"/>
  <c r="V324" i="10"/>
  <c r="W325" i="10" l="1"/>
  <c r="X325" i="10" s="1"/>
  <c r="W324" i="10"/>
  <c r="X324" i="10" s="1"/>
  <c r="J324" i="10" l="1"/>
  <c r="M324" i="10" s="1"/>
  <c r="N324" i="10" s="1"/>
  <c r="J325" i="10"/>
  <c r="M325" i="10" s="1"/>
  <c r="N325" i="10" s="1"/>
  <c r="K162" i="13" l="1"/>
  <c r="H327" i="10"/>
  <c r="H326" i="10"/>
  <c r="P327" i="10" l="1"/>
  <c r="Q327" i="10" s="1"/>
  <c r="P328" i="10"/>
  <c r="Q328" i="10" s="1"/>
  <c r="P326" i="10"/>
  <c r="Q326" i="10" s="1"/>
  <c r="V326" i="10"/>
  <c r="V327" i="10"/>
  <c r="W326" i="10" l="1"/>
  <c r="X326" i="10" s="1"/>
  <c r="W328" i="10"/>
  <c r="X328" i="10" s="1"/>
  <c r="J328" i="10" s="1"/>
  <c r="M328" i="10" s="1"/>
  <c r="N328" i="10" s="1"/>
  <c r="W327" i="10"/>
  <c r="X327" i="10" s="1"/>
  <c r="H538" i="10" l="1"/>
  <c r="N251" i="13"/>
  <c r="N252" i="13"/>
  <c r="N249" i="13"/>
  <c r="N250" i="13"/>
  <c r="N247" i="13"/>
  <c r="N248" i="13"/>
  <c r="N245" i="13"/>
  <c r="N246" i="13"/>
  <c r="N243" i="13"/>
  <c r="N244" i="13"/>
  <c r="N241" i="13"/>
  <c r="N242" i="13"/>
  <c r="N239" i="13"/>
  <c r="N240" i="13"/>
  <c r="N237" i="13"/>
  <c r="N238" i="13"/>
  <c r="J326" i="10"/>
  <c r="M326" i="10" s="1"/>
  <c r="N326" i="10" s="1"/>
  <c r="J327" i="10"/>
  <c r="M327" i="10" s="1"/>
  <c r="N327" i="10" s="1"/>
  <c r="N226" i="13"/>
  <c r="N233" i="13"/>
  <c r="N217" i="13"/>
  <c r="N201" i="13"/>
  <c r="N224" i="13"/>
  <c r="N208" i="13"/>
  <c r="N231" i="13"/>
  <c r="N235" i="13"/>
  <c r="N222" i="13"/>
  <c r="N206" i="13"/>
  <c r="N229" i="13"/>
  <c r="N213" i="13"/>
  <c r="N220" i="13"/>
  <c r="N204" i="13"/>
  <c r="N227" i="13"/>
  <c r="N211" i="13"/>
  <c r="N218" i="13"/>
  <c r="N202" i="13"/>
  <c r="N234" i="13"/>
  <c r="N225" i="13"/>
  <c r="N209" i="13"/>
  <c r="N232" i="13"/>
  <c r="N223" i="13"/>
  <c r="N236" i="13"/>
  <c r="N230" i="13"/>
  <c r="N214" i="13"/>
  <c r="N228" i="13"/>
  <c r="N219" i="13"/>
  <c r="N186" i="13"/>
  <c r="N170" i="13"/>
  <c r="N221" i="13"/>
  <c r="N215" i="13"/>
  <c r="N197" i="13"/>
  <c r="N193" i="13"/>
  <c r="N177" i="13"/>
  <c r="N207" i="13"/>
  <c r="N184" i="13"/>
  <c r="N191" i="13"/>
  <c r="N175" i="13"/>
  <c r="N200" i="13"/>
  <c r="N182" i="13"/>
  <c r="N166" i="13"/>
  <c r="N216" i="13"/>
  <c r="N189" i="13"/>
  <c r="N173" i="13"/>
  <c r="N212" i="13"/>
  <c r="N180" i="13"/>
  <c r="N164" i="13"/>
  <c r="N187" i="13"/>
  <c r="N171" i="13"/>
  <c r="N196" i="13"/>
  <c r="N194" i="13"/>
  <c r="N178" i="13"/>
  <c r="N185" i="13"/>
  <c r="N169" i="13"/>
  <c r="N203" i="13"/>
  <c r="N199" i="13"/>
  <c r="N198" i="13"/>
  <c r="N192" i="13"/>
  <c r="N176" i="13"/>
  <c r="N183" i="13"/>
  <c r="N167" i="13"/>
  <c r="N190" i="13"/>
  <c r="N174" i="13"/>
  <c r="N205" i="13"/>
  <c r="N181" i="13"/>
  <c r="N188" i="13"/>
  <c r="N172" i="13"/>
  <c r="N210" i="13"/>
  <c r="N195" i="13"/>
  <c r="N179" i="13"/>
  <c r="N163" i="13"/>
  <c r="N168" i="13"/>
  <c r="N165" i="13"/>
  <c r="V538" i="10" l="1"/>
  <c r="K163" i="13"/>
  <c r="H330" i="10"/>
  <c r="H329" i="10"/>
  <c r="P329" i="10" l="1"/>
  <c r="Q329" i="10" s="1"/>
  <c r="P330" i="10"/>
  <c r="Q330" i="10" s="1"/>
  <c r="V329" i="10"/>
  <c r="V330" i="10"/>
  <c r="W330" i="10" l="1"/>
  <c r="X330" i="10" s="1"/>
  <c r="W329" i="10"/>
  <c r="X329" i="10" s="1"/>
  <c r="J330" i="10" l="1"/>
  <c r="M330" i="10" s="1"/>
  <c r="N330" i="10" s="1"/>
  <c r="J329" i="10"/>
  <c r="M329" i="10" s="1"/>
  <c r="N329" i="10" s="1"/>
  <c r="K164" i="13" l="1"/>
  <c r="H332" i="10"/>
  <c r="H331" i="10"/>
  <c r="V331" i="10" l="1"/>
  <c r="P331" i="10"/>
  <c r="Q331" i="10" s="1"/>
  <c r="P332" i="10"/>
  <c r="Q332" i="10" s="1"/>
  <c r="V332" i="10"/>
  <c r="W332" i="10" l="1"/>
  <c r="X332" i="10" s="1"/>
  <c r="W331" i="10"/>
  <c r="X331" i="10" s="1"/>
  <c r="J332" i="10" l="1"/>
  <c r="M332" i="10" s="1"/>
  <c r="N332" i="10" s="1"/>
  <c r="J331" i="10"/>
  <c r="M331" i="10" s="1"/>
  <c r="N331" i="10" s="1"/>
  <c r="H333" i="10" l="1"/>
  <c r="K165" i="13"/>
  <c r="H334" i="10"/>
  <c r="V334" i="10" l="1"/>
  <c r="P333" i="10"/>
  <c r="Q333" i="10" s="1"/>
  <c r="P334" i="10"/>
  <c r="Q334" i="10" s="1"/>
  <c r="V333" i="10"/>
  <c r="W334" i="10" l="1"/>
  <c r="X334" i="10" s="1"/>
  <c r="W333" i="10"/>
  <c r="X333" i="10" s="1"/>
  <c r="J333" i="10" l="1"/>
  <c r="M333" i="10" s="1"/>
  <c r="N333" i="10" s="1"/>
  <c r="J334" i="10"/>
  <c r="M334" i="10" s="1"/>
  <c r="N334" i="10" s="1"/>
  <c r="K166" i="13" l="1"/>
  <c r="H335" i="10"/>
  <c r="H336" i="10"/>
  <c r="V336" i="10" l="1"/>
  <c r="P336" i="10"/>
  <c r="Q336" i="10" s="1"/>
  <c r="P335" i="10"/>
  <c r="Q335" i="10" s="1"/>
  <c r="V335" i="10"/>
  <c r="W335" i="10" l="1"/>
  <c r="X335" i="10" s="1"/>
  <c r="W336" i="10"/>
  <c r="X336" i="10" s="1"/>
  <c r="J335" i="10" l="1"/>
  <c r="M335" i="10" s="1"/>
  <c r="N335" i="10" s="1"/>
  <c r="J336" i="10"/>
  <c r="M336" i="10" s="1"/>
  <c r="N336" i="10" s="1"/>
  <c r="H339" i="10" l="1"/>
  <c r="K168" i="13"/>
  <c r="K167" i="13"/>
  <c r="H340" i="10"/>
  <c r="P339" i="10" l="1"/>
  <c r="Q339" i="10" s="1"/>
  <c r="P340" i="10"/>
  <c r="Q340" i="10" s="1"/>
  <c r="V340" i="10"/>
  <c r="V339" i="10"/>
  <c r="W340" i="10" l="1"/>
  <c r="X340" i="10" s="1"/>
  <c r="W339" i="10"/>
  <c r="X339" i="10" s="1"/>
  <c r="J339" i="10" l="1"/>
  <c r="M339" i="10" s="1"/>
  <c r="N339" i="10" s="1"/>
  <c r="J340" i="10"/>
  <c r="M340" i="10" s="1"/>
  <c r="N340" i="10" s="1"/>
  <c r="K169" i="13" l="1"/>
  <c r="H342" i="10"/>
  <c r="H341" i="10"/>
  <c r="P341" i="10" l="1"/>
  <c r="Q341" i="10" s="1"/>
  <c r="P342" i="10"/>
  <c r="Q342" i="10" s="1"/>
  <c r="V341" i="10"/>
  <c r="V342" i="10"/>
  <c r="W342" i="10" l="1"/>
  <c r="X342" i="10" s="1"/>
  <c r="W341" i="10"/>
  <c r="X341" i="10" s="1"/>
  <c r="J342" i="10" l="1"/>
  <c r="M342" i="10" s="1"/>
  <c r="N342" i="10" s="1"/>
  <c r="J341" i="10"/>
  <c r="M341" i="10" s="1"/>
  <c r="N341" i="10" s="1"/>
  <c r="H343" i="10" l="1"/>
  <c r="K170" i="13"/>
  <c r="H344" i="10"/>
  <c r="V344" i="10" l="1"/>
  <c r="P343" i="10"/>
  <c r="Q343" i="10" s="1"/>
  <c r="P344" i="10"/>
  <c r="Q344" i="10" s="1"/>
  <c r="V343" i="10"/>
  <c r="W344" i="10" l="1"/>
  <c r="X344" i="10" s="1"/>
  <c r="W343" i="10"/>
  <c r="X343" i="10" s="1"/>
  <c r="J344" i="10" l="1"/>
  <c r="M344" i="10" s="1"/>
  <c r="N344" i="10" s="1"/>
  <c r="J343" i="10"/>
  <c r="M343" i="10" s="1"/>
  <c r="N343" i="10" s="1"/>
  <c r="H345" i="10" l="1"/>
  <c r="K171" i="13"/>
  <c r="H346" i="10"/>
  <c r="V346" i="10" l="1"/>
  <c r="P345" i="10"/>
  <c r="Q345" i="10" s="1"/>
  <c r="P346" i="10"/>
  <c r="Q346" i="10" s="1"/>
  <c r="V345" i="10"/>
  <c r="W346" i="10" l="1"/>
  <c r="X346" i="10" s="1"/>
  <c r="W345" i="10"/>
  <c r="X345" i="10" s="1"/>
  <c r="J346" i="10" l="1"/>
  <c r="M346" i="10" s="1"/>
  <c r="N346" i="10" s="1"/>
  <c r="J345" i="10"/>
  <c r="M345" i="10" s="1"/>
  <c r="N345" i="10" s="1"/>
  <c r="H364" i="10" l="1"/>
  <c r="K181" i="13"/>
  <c r="K172" i="13"/>
  <c r="K179" i="13"/>
  <c r="K186" i="13"/>
  <c r="K177" i="13"/>
  <c r="K184" i="13"/>
  <c r="K175" i="13"/>
  <c r="K182" i="13"/>
  <c r="K173" i="13"/>
  <c r="K180" i="13"/>
  <c r="K178" i="13"/>
  <c r="K185" i="13"/>
  <c r="K176" i="13"/>
  <c r="K183" i="13"/>
  <c r="K174" i="13"/>
  <c r="H381" i="10"/>
  <c r="V381" i="10" l="1"/>
  <c r="P365" i="10"/>
  <c r="Q365" i="10" s="1"/>
  <c r="P364" i="10"/>
  <c r="Q364" i="10" s="1"/>
  <c r="V364" i="10"/>
  <c r="W364" i="10" l="1"/>
  <c r="X364" i="10" s="1"/>
  <c r="W365" i="10"/>
  <c r="X365" i="10" s="1"/>
  <c r="J364" i="10" l="1"/>
  <c r="M364" i="10" s="1"/>
  <c r="N364" i="10" s="1"/>
  <c r="J365" i="10"/>
  <c r="M365" i="10" s="1"/>
  <c r="N365" i="10" s="1"/>
  <c r="R182" i="13" l="1"/>
  <c r="R183" i="13"/>
  <c r="R181" i="13"/>
  <c r="H372" i="10"/>
  <c r="H368" i="10"/>
  <c r="P369" i="10" l="1"/>
  <c r="Q369" i="10" s="1"/>
  <c r="P368" i="10"/>
  <c r="Q368" i="10" s="1"/>
  <c r="V368" i="10"/>
  <c r="V372" i="10"/>
  <c r="W368" i="10" l="1"/>
  <c r="X368" i="10" s="1"/>
  <c r="W369" i="10"/>
  <c r="X369" i="10" s="1"/>
  <c r="J369" i="10" l="1"/>
  <c r="M369" i="10" s="1"/>
  <c r="N369" i="10" s="1"/>
  <c r="J368" i="10"/>
  <c r="M368" i="10" s="1"/>
  <c r="N368" i="10" s="1"/>
  <c r="H370" i="10" l="1"/>
  <c r="H371" i="10"/>
  <c r="P372" i="10" l="1"/>
  <c r="Q372" i="10" s="1"/>
  <c r="P371" i="10"/>
  <c r="Q371" i="10" s="1"/>
  <c r="P370" i="10"/>
  <c r="Q370" i="10" s="1"/>
  <c r="V371" i="10"/>
  <c r="V370" i="10"/>
  <c r="W372" i="10" l="1"/>
  <c r="X372" i="10" s="1"/>
  <c r="J372" i="10" s="1"/>
  <c r="M372" i="10" s="1"/>
  <c r="N372" i="10" s="1"/>
  <c r="W371" i="10"/>
  <c r="X371" i="10" s="1"/>
  <c r="W370" i="10"/>
  <c r="X370" i="10" s="1"/>
  <c r="J371" i="10" l="1"/>
  <c r="M371" i="10" s="1"/>
  <c r="N371" i="10" s="1"/>
  <c r="J370" i="10"/>
  <c r="M370" i="10" s="1"/>
  <c r="N370" i="10" s="1"/>
  <c r="R185" i="13"/>
  <c r="R186" i="13"/>
  <c r="R184" i="13"/>
  <c r="H382" i="10"/>
  <c r="P381" i="10" l="1"/>
  <c r="Q381" i="10" s="1"/>
  <c r="P382" i="10"/>
  <c r="Q382" i="10" s="1"/>
  <c r="V382" i="10"/>
  <c r="H373" i="10"/>
  <c r="H375" i="10"/>
  <c r="P373" i="10" l="1"/>
  <c r="Q373" i="10" s="1"/>
  <c r="P375" i="10"/>
  <c r="Q375" i="10" s="1"/>
  <c r="P374" i="10"/>
  <c r="Q374" i="10" s="1"/>
  <c r="P376" i="10"/>
  <c r="Q376" i="10" s="1"/>
  <c r="V373" i="10"/>
  <c r="V375" i="10"/>
  <c r="W382" i="10"/>
  <c r="X382" i="10" s="1"/>
  <c r="W381" i="10"/>
  <c r="X381" i="10" s="1"/>
  <c r="J381" i="10" l="1"/>
  <c r="M381" i="10" s="1"/>
  <c r="N381" i="10" s="1"/>
  <c r="J382" i="10"/>
  <c r="M382" i="10" s="1"/>
  <c r="N382" i="10" s="1"/>
  <c r="W374" i="10"/>
  <c r="X374" i="10" s="1"/>
  <c r="W376" i="10"/>
  <c r="X376" i="10" s="1"/>
  <c r="J376" i="10" s="1"/>
  <c r="M376" i="10" s="1"/>
  <c r="N376" i="10" s="1"/>
  <c r="W373" i="10"/>
  <c r="X373" i="10" s="1"/>
  <c r="W375" i="10"/>
  <c r="X375" i="10" s="1"/>
  <c r="J375" i="10" s="1"/>
  <c r="M375" i="10" s="1"/>
  <c r="N375" i="10" s="1"/>
  <c r="H379" i="10" l="1"/>
  <c r="J374" i="10"/>
  <c r="M374" i="10" s="1"/>
  <c r="N374" i="10" s="1"/>
  <c r="J373" i="10"/>
  <c r="M373" i="10" s="1"/>
  <c r="N373" i="10" s="1"/>
  <c r="R187" i="13"/>
  <c r="H384" i="10"/>
  <c r="M185" i="13"/>
  <c r="H380" i="10"/>
  <c r="K187" i="13"/>
  <c r="H383" i="10"/>
  <c r="P377" i="10" l="1"/>
  <c r="P379" i="10"/>
  <c r="Q379" i="10" s="1"/>
  <c r="P380" i="10"/>
  <c r="Q380" i="10" s="1"/>
  <c r="P378" i="10"/>
  <c r="V380" i="10"/>
  <c r="P384" i="10"/>
  <c r="Q384" i="10" s="1"/>
  <c r="P383" i="10"/>
  <c r="Q383" i="10" s="1"/>
  <c r="V384" i="10"/>
  <c r="V383" i="10"/>
  <c r="H377" i="10"/>
  <c r="H378" i="10"/>
  <c r="V379" i="10"/>
  <c r="V377" i="10" l="1"/>
  <c r="W383" i="10"/>
  <c r="X383" i="10" s="1"/>
  <c r="W384" i="10"/>
  <c r="X384" i="10" s="1"/>
  <c r="Q378" i="10"/>
  <c r="W378" i="10"/>
  <c r="W380" i="10"/>
  <c r="X380" i="10" s="1"/>
  <c r="W377" i="10"/>
  <c r="W379" i="10"/>
  <c r="X379" i="10" s="1"/>
  <c r="J379" i="10" s="1"/>
  <c r="M379" i="10" s="1"/>
  <c r="N379" i="10" s="1"/>
  <c r="V378" i="10"/>
  <c r="Q377" i="10"/>
  <c r="X377" i="10" l="1"/>
  <c r="X378" i="10"/>
  <c r="J378" i="10" s="1"/>
  <c r="M378" i="10" s="1"/>
  <c r="N378" i="10" s="1"/>
  <c r="H423" i="10"/>
  <c r="H388" i="10"/>
  <c r="J383" i="10"/>
  <c r="M383" i="10" s="1"/>
  <c r="N383" i="10" s="1"/>
  <c r="J384" i="10"/>
  <c r="M384" i="10" s="1"/>
  <c r="N384" i="10" s="1"/>
  <c r="J377" i="10" l="1"/>
  <c r="M377" i="10" s="1"/>
  <c r="N377" i="10" s="1"/>
  <c r="J380" i="10"/>
  <c r="M380" i="10" s="1"/>
  <c r="N380" i="10" s="1"/>
  <c r="R188" i="13"/>
  <c r="H386" i="10"/>
  <c r="K188" i="13"/>
  <c r="H385" i="10"/>
  <c r="H387" i="10"/>
  <c r="M186" i="13"/>
  <c r="M191" i="13"/>
  <c r="M189" i="13"/>
  <c r="M187" i="13"/>
  <c r="M192" i="13"/>
  <c r="M190" i="13"/>
  <c r="M188" i="13"/>
  <c r="H395" i="10"/>
  <c r="P388" i="10"/>
  <c r="Q388" i="10" s="1"/>
  <c r="P387" i="10"/>
  <c r="V388" i="10"/>
  <c r="V423" i="10"/>
  <c r="X423" i="10" s="1"/>
  <c r="J423" i="10" s="1"/>
  <c r="M423" i="10" s="1"/>
  <c r="N423" i="10" s="1"/>
  <c r="Q423" i="10"/>
  <c r="H520" i="10" l="1"/>
  <c r="Q387" i="10"/>
  <c r="V387" i="10"/>
  <c r="V395" i="10"/>
  <c r="W388" i="10"/>
  <c r="X388" i="10" s="1"/>
  <c r="W387" i="10"/>
  <c r="V385" i="10"/>
  <c r="P386" i="10"/>
  <c r="Q386" i="10" s="1"/>
  <c r="P385" i="10"/>
  <c r="Q385" i="10" s="1"/>
  <c r="V386" i="10"/>
  <c r="V520" i="10" l="1"/>
  <c r="X387" i="10"/>
  <c r="J387" i="10" s="1"/>
  <c r="M387" i="10" s="1"/>
  <c r="N387" i="10" s="1"/>
  <c r="W385" i="10"/>
  <c r="X385" i="10" s="1"/>
  <c r="W386" i="10"/>
  <c r="X386" i="10" s="1"/>
  <c r="J388" i="10" l="1"/>
  <c r="M388" i="10" s="1"/>
  <c r="N388" i="10" s="1"/>
  <c r="J385" i="10"/>
  <c r="M385" i="10" s="1"/>
  <c r="N385" i="10" s="1"/>
  <c r="J386" i="10"/>
  <c r="M386" i="10" s="1"/>
  <c r="N386" i="10" s="1"/>
  <c r="H390" i="10"/>
  <c r="H389" i="10"/>
  <c r="V389" i="10" l="1"/>
  <c r="R189" i="13"/>
  <c r="R194" i="13"/>
  <c r="R192" i="13"/>
  <c r="R190" i="13"/>
  <c r="R195" i="13"/>
  <c r="R193" i="13"/>
  <c r="R191" i="13"/>
  <c r="H403" i="10"/>
  <c r="P389" i="10"/>
  <c r="Q389" i="10" s="1"/>
  <c r="P390" i="10"/>
  <c r="Q390" i="10" s="1"/>
  <c r="V390" i="10"/>
  <c r="K195" i="13"/>
  <c r="K193" i="13"/>
  <c r="K191" i="13"/>
  <c r="K189" i="13"/>
  <c r="K194" i="13"/>
  <c r="K192" i="13"/>
  <c r="K190" i="13"/>
  <c r="H402" i="10"/>
  <c r="V403" i="10" l="1"/>
  <c r="P403" i="10"/>
  <c r="Q403" i="10" s="1"/>
  <c r="P402" i="10"/>
  <c r="Q402" i="10" s="1"/>
  <c r="V402" i="10"/>
  <c r="W390" i="10"/>
  <c r="X390" i="10" s="1"/>
  <c r="W389" i="10"/>
  <c r="X389" i="10" s="1"/>
  <c r="J390" i="10" l="1"/>
  <c r="M390" i="10" s="1"/>
  <c r="N390" i="10" s="1"/>
  <c r="J389" i="10"/>
  <c r="M389" i="10" s="1"/>
  <c r="N389" i="10" s="1"/>
  <c r="W402" i="10"/>
  <c r="X402" i="10" s="1"/>
  <c r="W403" i="10"/>
  <c r="X403" i="10" s="1"/>
  <c r="J403" i="10" l="1"/>
  <c r="M403" i="10" s="1"/>
  <c r="N403" i="10" s="1"/>
  <c r="J402" i="10"/>
  <c r="M402" i="10" s="1"/>
  <c r="N402" i="10" s="1"/>
  <c r="H391" i="10"/>
  <c r="H392" i="10"/>
  <c r="P391" i="10" l="1"/>
  <c r="Q391" i="10" s="1"/>
  <c r="P392" i="10"/>
  <c r="Q392" i="10" s="1"/>
  <c r="V392" i="10"/>
  <c r="K196" i="13"/>
  <c r="H404" i="10"/>
  <c r="V391" i="10"/>
  <c r="R196" i="13"/>
  <c r="H405" i="10"/>
  <c r="V404" i="10" l="1"/>
  <c r="W392" i="10"/>
  <c r="X392" i="10" s="1"/>
  <c r="W391" i="10"/>
  <c r="X391" i="10" s="1"/>
  <c r="P405" i="10"/>
  <c r="Q405" i="10" s="1"/>
  <c r="P404" i="10"/>
  <c r="Q404" i="10" s="1"/>
  <c r="V405" i="10"/>
  <c r="W405" i="10" l="1"/>
  <c r="X405" i="10" s="1"/>
  <c r="W404" i="10"/>
  <c r="X404" i="10" s="1"/>
  <c r="J392" i="10"/>
  <c r="M392" i="10" s="1"/>
  <c r="N392" i="10" s="1"/>
  <c r="J391" i="10"/>
  <c r="M391" i="10" s="1"/>
  <c r="N391" i="10" s="1"/>
  <c r="H393" i="10" l="1"/>
  <c r="H394" i="10"/>
  <c r="J404" i="10"/>
  <c r="M404" i="10" s="1"/>
  <c r="N404" i="10" s="1"/>
  <c r="J405" i="10"/>
  <c r="M405" i="10" s="1"/>
  <c r="N405" i="10" s="1"/>
  <c r="R197" i="13" l="1"/>
  <c r="H407" i="10"/>
  <c r="K197" i="13"/>
  <c r="H406" i="10"/>
  <c r="V394" i="10"/>
  <c r="P393" i="10"/>
  <c r="Q393" i="10" s="1"/>
  <c r="P395" i="10"/>
  <c r="Q395" i="10" s="1"/>
  <c r="P394" i="10"/>
  <c r="Q394" i="10" s="1"/>
  <c r="V393" i="10"/>
  <c r="W394" i="10" l="1"/>
  <c r="X394" i="10" s="1"/>
  <c r="W395" i="10"/>
  <c r="X395" i="10" s="1"/>
  <c r="J395" i="10" s="1"/>
  <c r="M395" i="10" s="1"/>
  <c r="N395" i="10" s="1"/>
  <c r="W393" i="10"/>
  <c r="X393" i="10" s="1"/>
  <c r="V406" i="10"/>
  <c r="P407" i="10"/>
  <c r="Q407" i="10" s="1"/>
  <c r="P406" i="10"/>
  <c r="Q406" i="10" s="1"/>
  <c r="V407" i="10"/>
  <c r="W407" i="10" l="1"/>
  <c r="X407" i="10" s="1"/>
  <c r="W406" i="10"/>
  <c r="X406" i="10" s="1"/>
  <c r="M193" i="13"/>
  <c r="H397" i="10"/>
  <c r="J394" i="10"/>
  <c r="M394" i="10" s="1"/>
  <c r="N394" i="10" s="1"/>
  <c r="J393" i="10"/>
  <c r="M393" i="10" s="1"/>
  <c r="N393" i="10" s="1"/>
  <c r="H396" i="10" l="1"/>
  <c r="V397" i="10"/>
  <c r="J407" i="10"/>
  <c r="M407" i="10" s="1"/>
  <c r="N407" i="10" s="1"/>
  <c r="J406" i="10"/>
  <c r="M406" i="10" s="1"/>
  <c r="N406" i="10" s="1"/>
  <c r="H398" i="10"/>
  <c r="P398" i="10" l="1"/>
  <c r="Q398" i="10" s="1"/>
  <c r="P397" i="10"/>
  <c r="Q397" i="10" s="1"/>
  <c r="P396" i="10"/>
  <c r="Q396" i="10" s="1"/>
  <c r="V398" i="10"/>
  <c r="K198" i="13"/>
  <c r="H408" i="10"/>
  <c r="R198" i="13"/>
  <c r="H409" i="10"/>
  <c r="V396" i="10"/>
  <c r="V409" i="10" l="1"/>
  <c r="P409" i="10"/>
  <c r="Q409" i="10" s="1"/>
  <c r="P408" i="10"/>
  <c r="Q408" i="10" s="1"/>
  <c r="V408" i="10"/>
  <c r="W397" i="10"/>
  <c r="X397" i="10" s="1"/>
  <c r="J397" i="10" s="1"/>
  <c r="M397" i="10" s="1"/>
  <c r="N397" i="10" s="1"/>
  <c r="W396" i="10"/>
  <c r="X396" i="10" s="1"/>
  <c r="W398" i="10"/>
  <c r="X398" i="10" s="1"/>
  <c r="J396" i="10" l="1"/>
  <c r="M396" i="10" s="1"/>
  <c r="N396" i="10" s="1"/>
  <c r="J398" i="10"/>
  <c r="M398" i="10" s="1"/>
  <c r="N398" i="10" s="1"/>
  <c r="M194" i="13"/>
  <c r="H400" i="10"/>
  <c r="W409" i="10"/>
  <c r="X409" i="10" s="1"/>
  <c r="W408" i="10"/>
  <c r="X408" i="10" s="1"/>
  <c r="J409" i="10" l="1"/>
  <c r="M409" i="10" s="1"/>
  <c r="N409" i="10" s="1"/>
  <c r="J408" i="10"/>
  <c r="M408" i="10" s="1"/>
  <c r="N408" i="10" s="1"/>
  <c r="V400" i="10"/>
  <c r="H401" i="10"/>
  <c r="H399" i="10"/>
  <c r="P401" i="10" l="1"/>
  <c r="Q401" i="10" s="1"/>
  <c r="P400" i="10"/>
  <c r="Q400" i="10" s="1"/>
  <c r="P399" i="10"/>
  <c r="Q399" i="10" s="1"/>
  <c r="V399" i="10"/>
  <c r="V401" i="10"/>
  <c r="K201" i="13"/>
  <c r="K204" i="13"/>
  <c r="K200" i="13"/>
  <c r="K202" i="13"/>
  <c r="K199" i="13"/>
  <c r="K203" i="13"/>
  <c r="H421" i="10"/>
  <c r="R202" i="13"/>
  <c r="R200" i="13"/>
  <c r="R201" i="13"/>
  <c r="R203" i="13"/>
  <c r="R199" i="13"/>
  <c r="R204" i="13"/>
  <c r="H422" i="10"/>
  <c r="V421" i="10" l="1"/>
  <c r="X421" i="10" s="1"/>
  <c r="J421" i="10" s="1"/>
  <c r="M421" i="10" s="1"/>
  <c r="N421" i="10" s="1"/>
  <c r="Q421" i="10"/>
  <c r="V422" i="10"/>
  <c r="X422" i="10" s="1"/>
  <c r="J422" i="10" s="1"/>
  <c r="M422" i="10" s="1"/>
  <c r="N422" i="10" s="1"/>
  <c r="Q422" i="10"/>
  <c r="W399" i="10"/>
  <c r="X399" i="10" s="1"/>
  <c r="W401" i="10"/>
  <c r="X401" i="10" s="1"/>
  <c r="J401" i="10" s="1"/>
  <c r="M401" i="10" s="1"/>
  <c r="N401" i="10" s="1"/>
  <c r="W400" i="10"/>
  <c r="X400" i="10" s="1"/>
  <c r="H512" i="10" l="1"/>
  <c r="K243" i="13"/>
  <c r="K244" i="13"/>
  <c r="K241" i="13"/>
  <c r="K242" i="13"/>
  <c r="K239" i="13"/>
  <c r="K240" i="13"/>
  <c r="K237" i="13"/>
  <c r="K238" i="13"/>
  <c r="R205" i="13"/>
  <c r="H426" i="10"/>
  <c r="K221" i="13"/>
  <c r="K228" i="13"/>
  <c r="K212" i="13"/>
  <c r="K219" i="13"/>
  <c r="K226" i="13"/>
  <c r="K233" i="13"/>
  <c r="K217" i="13"/>
  <c r="K224" i="13"/>
  <c r="K208" i="13"/>
  <c r="K231" i="13"/>
  <c r="K215" i="13"/>
  <c r="K235" i="13"/>
  <c r="K222" i="13"/>
  <c r="K206" i="13"/>
  <c r="K229" i="13"/>
  <c r="K213" i="13"/>
  <c r="K220" i="13"/>
  <c r="K227" i="13"/>
  <c r="K218" i="13"/>
  <c r="K234" i="13"/>
  <c r="K225" i="13"/>
  <c r="K209" i="13"/>
  <c r="K232" i="13"/>
  <c r="K223" i="13"/>
  <c r="K236" i="13"/>
  <c r="K230" i="13"/>
  <c r="K214" i="13"/>
  <c r="K210" i="13"/>
  <c r="K205" i="13"/>
  <c r="K211" i="13"/>
  <c r="K207" i="13"/>
  <c r="K216" i="13"/>
  <c r="J399" i="10"/>
  <c r="M399" i="10" s="1"/>
  <c r="N399" i="10" s="1"/>
  <c r="J400" i="10"/>
  <c r="M400" i="10" s="1"/>
  <c r="N400" i="10" s="1"/>
  <c r="H436" i="10"/>
  <c r="H586" i="10" l="1"/>
  <c r="M271" i="13"/>
  <c r="M269" i="13"/>
  <c r="M270" i="13"/>
  <c r="M267" i="13"/>
  <c r="M265" i="13"/>
  <c r="M266" i="13"/>
  <c r="M263" i="13"/>
  <c r="M264" i="13"/>
  <c r="M261" i="13"/>
  <c r="M262" i="13"/>
  <c r="M259" i="13"/>
  <c r="M260" i="13"/>
  <c r="M257" i="13"/>
  <c r="M258" i="13"/>
  <c r="M255" i="13"/>
  <c r="M256" i="13"/>
  <c r="M253" i="13"/>
  <c r="M254" i="13"/>
  <c r="M251" i="13"/>
  <c r="M252" i="13"/>
  <c r="M249" i="13"/>
  <c r="M250" i="13"/>
  <c r="M247" i="13"/>
  <c r="M248" i="13"/>
  <c r="M245" i="13"/>
  <c r="M246" i="13"/>
  <c r="V512" i="10"/>
  <c r="M243" i="13"/>
  <c r="M244" i="13"/>
  <c r="M241" i="13"/>
  <c r="M242" i="13"/>
  <c r="M239" i="13"/>
  <c r="M240" i="13"/>
  <c r="M237" i="13"/>
  <c r="M238" i="13"/>
  <c r="V436" i="10"/>
  <c r="M219" i="13"/>
  <c r="M226" i="13"/>
  <c r="M210" i="13"/>
  <c r="M233" i="13"/>
  <c r="M217" i="13"/>
  <c r="M224" i="13"/>
  <c r="M231" i="13"/>
  <c r="M215" i="13"/>
  <c r="M199" i="13"/>
  <c r="M235" i="13"/>
  <c r="M222" i="13"/>
  <c r="M206" i="13"/>
  <c r="M229" i="13"/>
  <c r="M213" i="13"/>
  <c r="M220" i="13"/>
  <c r="M204" i="13"/>
  <c r="M227" i="13"/>
  <c r="M211" i="13"/>
  <c r="M218" i="13"/>
  <c r="M202" i="13"/>
  <c r="M234" i="13"/>
  <c r="M225" i="13"/>
  <c r="M232" i="13"/>
  <c r="M216" i="13"/>
  <c r="M223" i="13"/>
  <c r="M207" i="13"/>
  <c r="M236" i="13"/>
  <c r="M221" i="13"/>
  <c r="M228" i="13"/>
  <c r="M212" i="13"/>
  <c r="M195" i="13"/>
  <c r="M197" i="13"/>
  <c r="M200" i="13"/>
  <c r="M208" i="13"/>
  <c r="M209" i="13"/>
  <c r="M201" i="13"/>
  <c r="M196" i="13"/>
  <c r="M203" i="13"/>
  <c r="M198" i="13"/>
  <c r="M230" i="13"/>
  <c r="M214" i="13"/>
  <c r="M205" i="13"/>
  <c r="H420" i="10"/>
  <c r="P426" i="10"/>
  <c r="Q426" i="10" s="1"/>
  <c r="P425" i="10"/>
  <c r="V426" i="10"/>
  <c r="V586" i="10" l="1"/>
  <c r="W425" i="10"/>
  <c r="W426" i="10"/>
  <c r="X426" i="10" s="1"/>
  <c r="V420" i="10"/>
  <c r="X420" i="10" s="1"/>
  <c r="Q420" i="10"/>
  <c r="M25" i="13" l="1"/>
  <c r="J420" i="10"/>
  <c r="M420" i="10" s="1"/>
  <c r="N420" i="10" s="1"/>
  <c r="J424" i="10"/>
  <c r="M424" i="10" s="1"/>
  <c r="N424" i="10" s="1"/>
  <c r="O208" i="13" l="1"/>
  <c r="O215" i="13"/>
  <c r="O213" i="13"/>
  <c r="O211" i="13"/>
  <c r="O209" i="13"/>
  <c r="O205" i="13"/>
  <c r="O210" i="13"/>
  <c r="O207" i="13"/>
  <c r="O206" i="13"/>
  <c r="O212" i="13"/>
  <c r="O214" i="13"/>
  <c r="H448" i="10"/>
  <c r="H425" i="10"/>
  <c r="P449" i="10" l="1"/>
  <c r="P448" i="10"/>
  <c r="Q448" i="10" s="1"/>
  <c r="V448" i="10"/>
  <c r="V425" i="10"/>
  <c r="X425" i="10" s="1"/>
  <c r="Q425" i="10"/>
  <c r="W448" i="10" l="1"/>
  <c r="X448" i="10" s="1"/>
  <c r="W449" i="10"/>
  <c r="J425" i="10"/>
  <c r="M425" i="10" s="1"/>
  <c r="N425" i="10" s="1"/>
  <c r="J426" i="10"/>
  <c r="M426" i="10" s="1"/>
  <c r="N426" i="10" s="1"/>
  <c r="R206" i="13" l="1"/>
  <c r="H428" i="10"/>
  <c r="H427" i="10"/>
  <c r="P427" i="10" l="1"/>
  <c r="Q427" i="10" s="1"/>
  <c r="P428" i="10"/>
  <c r="Q428" i="10" s="1"/>
  <c r="V427" i="10"/>
  <c r="V428" i="10"/>
  <c r="W428" i="10" l="1"/>
  <c r="X428" i="10" s="1"/>
  <c r="W427" i="10"/>
  <c r="X427" i="10" s="1"/>
  <c r="J427" i="10" l="1"/>
  <c r="M427" i="10" s="1"/>
  <c r="N427" i="10" s="1"/>
  <c r="J428" i="10"/>
  <c r="M428" i="10" s="1"/>
  <c r="N428" i="10" s="1"/>
  <c r="R207" i="13" l="1"/>
  <c r="H430" i="10"/>
  <c r="H429" i="10"/>
  <c r="P429" i="10" l="1"/>
  <c r="Q429" i="10" s="1"/>
  <c r="P430" i="10"/>
  <c r="Q430" i="10" s="1"/>
  <c r="V429" i="10"/>
  <c r="V430" i="10"/>
  <c r="W429" i="10" l="1"/>
  <c r="X429" i="10" s="1"/>
  <c r="W430" i="10"/>
  <c r="X430" i="10" s="1"/>
  <c r="J429" i="10" l="1"/>
  <c r="M429" i="10" s="1"/>
  <c r="N429" i="10" s="1"/>
  <c r="J430" i="10"/>
  <c r="M430" i="10" s="1"/>
  <c r="N430" i="10" s="1"/>
  <c r="R208" i="13" l="1"/>
  <c r="H432" i="10"/>
  <c r="H431" i="10"/>
  <c r="V431" i="10" l="1"/>
  <c r="P431" i="10"/>
  <c r="Q431" i="10" s="1"/>
  <c r="P432" i="10"/>
  <c r="Q432" i="10" s="1"/>
  <c r="V432" i="10"/>
  <c r="W432" i="10" l="1"/>
  <c r="X432" i="10" s="1"/>
  <c r="W431" i="10"/>
  <c r="X431" i="10" s="1"/>
  <c r="J431" i="10" l="1"/>
  <c r="M431" i="10" s="1"/>
  <c r="N431" i="10" s="1"/>
  <c r="J432" i="10"/>
  <c r="M432" i="10" s="1"/>
  <c r="N432" i="10" s="1"/>
  <c r="R209" i="13" l="1"/>
  <c r="H434" i="10"/>
  <c r="H433" i="10"/>
  <c r="V433" i="10" l="1"/>
  <c r="P433" i="10"/>
  <c r="Q433" i="10" s="1"/>
  <c r="P434" i="10"/>
  <c r="Q434" i="10" s="1"/>
  <c r="V434" i="10"/>
  <c r="W434" i="10" l="1"/>
  <c r="X434" i="10" s="1"/>
  <c r="W433" i="10"/>
  <c r="X433" i="10" s="1"/>
  <c r="J433" i="10" l="1"/>
  <c r="M433" i="10" s="1"/>
  <c r="N433" i="10" s="1"/>
  <c r="J434" i="10"/>
  <c r="M434" i="10" s="1"/>
  <c r="N434" i="10" s="1"/>
  <c r="R210" i="13" l="1"/>
  <c r="R211" i="13"/>
  <c r="H438" i="10"/>
  <c r="H435" i="10"/>
  <c r="P435" i="10" l="1"/>
  <c r="Q435" i="10" s="1"/>
  <c r="P436" i="10"/>
  <c r="Q436" i="10" s="1"/>
  <c r="V435" i="10"/>
  <c r="V438" i="10"/>
  <c r="W436" i="10" l="1"/>
  <c r="X436" i="10" s="1"/>
  <c r="W435" i="10"/>
  <c r="X435" i="10" s="1"/>
  <c r="J435" i="10" l="1"/>
  <c r="M435" i="10" s="1"/>
  <c r="N435" i="10" s="1"/>
  <c r="J436" i="10"/>
  <c r="M436" i="10" s="1"/>
  <c r="N436" i="10" s="1"/>
  <c r="H439" i="10" l="1"/>
  <c r="H437" i="10"/>
  <c r="P439" i="10" l="1"/>
  <c r="Q439" i="10" s="1"/>
  <c r="P437" i="10"/>
  <c r="Q437" i="10" s="1"/>
  <c r="P438" i="10"/>
  <c r="Q438" i="10" s="1"/>
  <c r="V437" i="10"/>
  <c r="V439" i="10"/>
  <c r="W439" i="10" l="1"/>
  <c r="X439" i="10" s="1"/>
  <c r="J439" i="10" s="1"/>
  <c r="M439" i="10" s="1"/>
  <c r="N439" i="10" s="1"/>
  <c r="W438" i="10"/>
  <c r="X438" i="10" s="1"/>
  <c r="W437" i="10"/>
  <c r="X437" i="10" s="1"/>
  <c r="J437" i="10" l="1"/>
  <c r="M437" i="10" s="1"/>
  <c r="N437" i="10" s="1"/>
  <c r="J438" i="10"/>
  <c r="M438" i="10" s="1"/>
  <c r="N438" i="10" s="1"/>
  <c r="H442" i="10"/>
  <c r="V442" i="10" l="1"/>
  <c r="R212" i="13"/>
  <c r="H441" i="10"/>
  <c r="H440" i="10"/>
  <c r="V440" i="10" l="1"/>
  <c r="P440" i="10"/>
  <c r="Q440" i="10" s="1"/>
  <c r="P441" i="10"/>
  <c r="Q441" i="10" s="1"/>
  <c r="P442" i="10"/>
  <c r="Q442" i="10" s="1"/>
  <c r="V441" i="10"/>
  <c r="W441" i="10" l="1"/>
  <c r="X441" i="10" s="1"/>
  <c r="W442" i="10"/>
  <c r="X442" i="10" s="1"/>
  <c r="J442" i="10" s="1"/>
  <c r="M442" i="10" s="1"/>
  <c r="N442" i="10" s="1"/>
  <c r="W440" i="10"/>
  <c r="X440" i="10" s="1"/>
  <c r="J440" i="10" l="1"/>
  <c r="M440" i="10" s="1"/>
  <c r="N440" i="10" s="1"/>
  <c r="J441" i="10"/>
  <c r="M441" i="10" s="1"/>
  <c r="N441" i="10" s="1"/>
  <c r="H445" i="10"/>
  <c r="V445" i="10" l="1"/>
  <c r="R213" i="13"/>
  <c r="H444" i="10"/>
  <c r="H443" i="10"/>
  <c r="V443" i="10" l="1"/>
  <c r="P444" i="10"/>
  <c r="Q444" i="10" s="1"/>
  <c r="P443" i="10"/>
  <c r="Q443" i="10" s="1"/>
  <c r="P445" i="10"/>
  <c r="Q445" i="10" s="1"/>
  <c r="V444" i="10"/>
  <c r="W443" i="10" l="1"/>
  <c r="X443" i="10" s="1"/>
  <c r="W445" i="10"/>
  <c r="X445" i="10" s="1"/>
  <c r="J445" i="10" s="1"/>
  <c r="M445" i="10" s="1"/>
  <c r="N445" i="10" s="1"/>
  <c r="W444" i="10"/>
  <c r="X444" i="10" s="1"/>
  <c r="H447" i="10" l="1"/>
  <c r="J443" i="10"/>
  <c r="M443" i="10" s="1"/>
  <c r="N443" i="10" s="1"/>
  <c r="J444" i="10"/>
  <c r="M444" i="10" s="1"/>
  <c r="N444" i="10" s="1"/>
  <c r="R222" i="13" l="1"/>
  <c r="R220" i="13"/>
  <c r="R218" i="13"/>
  <c r="R225" i="13"/>
  <c r="R216" i="13"/>
  <c r="R223" i="13"/>
  <c r="R214" i="13"/>
  <c r="R221" i="13"/>
  <c r="R219" i="13"/>
  <c r="R224" i="13"/>
  <c r="R215" i="13"/>
  <c r="R217" i="13"/>
  <c r="H469" i="10"/>
  <c r="H446" i="10"/>
  <c r="V447" i="10"/>
  <c r="V469" i="10" l="1"/>
  <c r="P446" i="10"/>
  <c r="Q446" i="10" s="1"/>
  <c r="P447" i="10"/>
  <c r="Q447" i="10" s="1"/>
  <c r="V446" i="10"/>
  <c r="W446" i="10" l="1"/>
  <c r="X446" i="10" s="1"/>
  <c r="W447" i="10"/>
  <c r="X447" i="10" s="1"/>
  <c r="J447" i="10" l="1"/>
  <c r="M447" i="10" s="1"/>
  <c r="N447" i="10" s="1"/>
  <c r="H569" i="10" s="1"/>
  <c r="V569" i="10" s="1"/>
  <c r="J446" i="10"/>
  <c r="M446" i="10" s="1"/>
  <c r="N446" i="10" s="1"/>
  <c r="H449" i="10" l="1"/>
  <c r="V449" i="10" l="1"/>
  <c r="X449" i="10" s="1"/>
  <c r="Q449" i="10"/>
  <c r="J449" i="10" l="1"/>
  <c r="M449" i="10" s="1"/>
  <c r="N449" i="10" s="1"/>
  <c r="J448" i="10"/>
  <c r="M448" i="10" s="1"/>
  <c r="N448" i="10" s="1"/>
  <c r="O216" i="13" l="1"/>
  <c r="H451" i="10"/>
  <c r="H450" i="10"/>
  <c r="P451" i="10" l="1"/>
  <c r="Q451" i="10" s="1"/>
  <c r="P450" i="10"/>
  <c r="Q450" i="10" s="1"/>
  <c r="V450" i="10"/>
  <c r="V451" i="10"/>
  <c r="W450" i="10" l="1"/>
  <c r="X450" i="10" s="1"/>
  <c r="W451" i="10"/>
  <c r="X451" i="10" s="1"/>
  <c r="J450" i="10" l="1"/>
  <c r="M450" i="10" s="1"/>
  <c r="N450" i="10" s="1"/>
  <c r="J451" i="10"/>
  <c r="M451" i="10" s="1"/>
  <c r="N451" i="10" s="1"/>
  <c r="O217" i="13" l="1"/>
  <c r="H453" i="10"/>
  <c r="H452" i="10"/>
  <c r="V452" i="10" l="1"/>
  <c r="P453" i="10"/>
  <c r="Q453" i="10" s="1"/>
  <c r="P452" i="10"/>
  <c r="Q452" i="10" s="1"/>
  <c r="V453" i="10"/>
  <c r="W452" i="10" l="1"/>
  <c r="X452" i="10" s="1"/>
  <c r="W453" i="10"/>
  <c r="X453" i="10" s="1"/>
  <c r="J453" i="10" l="1"/>
  <c r="M453" i="10" s="1"/>
  <c r="N453" i="10" s="1"/>
  <c r="J452" i="10"/>
  <c r="M452" i="10" s="1"/>
  <c r="N452" i="10" s="1"/>
  <c r="H454" i="10" l="1"/>
  <c r="O218" i="13"/>
  <c r="H455" i="10"/>
  <c r="V455" i="10" l="1"/>
  <c r="P455" i="10"/>
  <c r="Q455" i="10" s="1"/>
  <c r="P454" i="10"/>
  <c r="Q454" i="10" s="1"/>
  <c r="V454" i="10"/>
  <c r="W455" i="10" l="1"/>
  <c r="X455" i="10" s="1"/>
  <c r="W454" i="10"/>
  <c r="X454" i="10" s="1"/>
  <c r="J454" i="10" l="1"/>
  <c r="M454" i="10" s="1"/>
  <c r="N454" i="10" s="1"/>
  <c r="J455" i="10"/>
  <c r="M455" i="10" s="1"/>
  <c r="N455" i="10" s="1"/>
  <c r="O219" i="13" l="1"/>
  <c r="H457" i="10"/>
  <c r="H456" i="10"/>
  <c r="P456" i="10" l="1"/>
  <c r="Q456" i="10" s="1"/>
  <c r="P457" i="10"/>
  <c r="Q457" i="10" s="1"/>
  <c r="V456" i="10"/>
  <c r="V457" i="10"/>
  <c r="W457" i="10" l="1"/>
  <c r="X457" i="10" s="1"/>
  <c r="W456" i="10"/>
  <c r="X456" i="10" s="1"/>
  <c r="J456" i="10" l="1"/>
  <c r="M456" i="10" s="1"/>
  <c r="N456" i="10" s="1"/>
  <c r="J457" i="10"/>
  <c r="M457" i="10" s="1"/>
  <c r="N457" i="10" s="1"/>
  <c r="O220" i="13" l="1"/>
  <c r="H459" i="10"/>
  <c r="H458" i="10"/>
  <c r="V458" i="10" l="1"/>
  <c r="P458" i="10"/>
  <c r="Q458" i="10" s="1"/>
  <c r="P459" i="10"/>
  <c r="Q459" i="10" s="1"/>
  <c r="V459" i="10"/>
  <c r="W459" i="10" l="1"/>
  <c r="X459" i="10" s="1"/>
  <c r="W458" i="10"/>
  <c r="X458" i="10" s="1"/>
  <c r="J459" i="10" l="1"/>
  <c r="M459" i="10" s="1"/>
  <c r="N459" i="10" s="1"/>
  <c r="J458" i="10"/>
  <c r="M458" i="10" s="1"/>
  <c r="N458" i="10" s="1"/>
  <c r="H460" i="10" l="1"/>
  <c r="O221" i="13"/>
  <c r="H461" i="10"/>
  <c r="V461" i="10" l="1"/>
  <c r="P460" i="10"/>
  <c r="Q460" i="10" s="1"/>
  <c r="P461" i="10"/>
  <c r="Q461" i="10" s="1"/>
  <c r="V460" i="10"/>
  <c r="W461" i="10" l="1"/>
  <c r="X461" i="10" s="1"/>
  <c r="W460" i="10"/>
  <c r="X460" i="10" s="1"/>
  <c r="J461" i="10" l="1"/>
  <c r="M461" i="10" s="1"/>
  <c r="N461" i="10" s="1"/>
  <c r="J460" i="10"/>
  <c r="M460" i="10" s="1"/>
  <c r="N460" i="10" s="1"/>
  <c r="H462" i="10" l="1"/>
  <c r="O222" i="13"/>
  <c r="H463" i="10"/>
  <c r="P462" i="10" l="1"/>
  <c r="Q462" i="10" s="1"/>
  <c r="P463" i="10"/>
  <c r="Q463" i="10" s="1"/>
  <c r="V463" i="10"/>
  <c r="V462" i="10"/>
  <c r="W462" i="10" l="1"/>
  <c r="X462" i="10" s="1"/>
  <c r="W463" i="10"/>
  <c r="X463" i="10" s="1"/>
  <c r="J463" i="10" l="1"/>
  <c r="M463" i="10" s="1"/>
  <c r="N463" i="10" s="1"/>
  <c r="J462" i="10"/>
  <c r="M462" i="10" s="1"/>
  <c r="N462" i="10" s="1"/>
  <c r="H464" i="10" l="1"/>
  <c r="O223" i="13"/>
  <c r="H465" i="10"/>
  <c r="P465" i="10" l="1"/>
  <c r="Q465" i="10" s="1"/>
  <c r="P464" i="10"/>
  <c r="Q464" i="10" s="1"/>
  <c r="V465" i="10"/>
  <c r="V464" i="10"/>
  <c r="W464" i="10" l="1"/>
  <c r="X464" i="10" s="1"/>
  <c r="W465" i="10"/>
  <c r="X465" i="10" s="1"/>
  <c r="J465" i="10" l="1"/>
  <c r="M465" i="10" s="1"/>
  <c r="N465" i="10" s="1"/>
  <c r="J464" i="10"/>
  <c r="M464" i="10" s="1"/>
  <c r="N464" i="10" s="1"/>
  <c r="H466" i="10" l="1"/>
  <c r="O224" i="13"/>
  <c r="H467" i="10"/>
  <c r="P467" i="10" l="1"/>
  <c r="Q467" i="10" s="1"/>
  <c r="P466" i="10"/>
  <c r="Q466" i="10" s="1"/>
  <c r="V467" i="10"/>
  <c r="V466" i="10"/>
  <c r="W466" i="10" l="1"/>
  <c r="X466" i="10" s="1"/>
  <c r="W467" i="10"/>
  <c r="X467" i="10" s="1"/>
  <c r="J466" i="10" l="1"/>
  <c r="M466" i="10" s="1"/>
  <c r="N466" i="10" s="1"/>
  <c r="J467" i="10"/>
  <c r="M467" i="10" s="1"/>
  <c r="N467" i="10" s="1"/>
  <c r="O231" i="13" l="1"/>
  <c r="O229" i="13"/>
  <c r="O227" i="13"/>
  <c r="O225" i="13"/>
  <c r="O232" i="13"/>
  <c r="O230" i="13"/>
  <c r="O226" i="13"/>
  <c r="O228" i="13"/>
  <c r="H487" i="10"/>
  <c r="H468" i="10"/>
  <c r="P469" i="10" l="1"/>
  <c r="Q469" i="10" s="1"/>
  <c r="P468" i="10"/>
  <c r="Q468" i="10" s="1"/>
  <c r="V468" i="10"/>
  <c r="P488" i="10"/>
  <c r="P487" i="10"/>
  <c r="Q487" i="10" s="1"/>
  <c r="V487" i="10"/>
  <c r="W488" i="10" l="1"/>
  <c r="W487" i="10"/>
  <c r="X487" i="10" s="1"/>
  <c r="W468" i="10"/>
  <c r="X468" i="10" s="1"/>
  <c r="W469" i="10"/>
  <c r="X469" i="10" s="1"/>
  <c r="J469" i="10" l="1"/>
  <c r="M469" i="10" s="1"/>
  <c r="N469" i="10" s="1"/>
  <c r="J468" i="10"/>
  <c r="M468" i="10" s="1"/>
  <c r="N468" i="10" s="1"/>
  <c r="H511" i="10" s="1"/>
  <c r="P511" i="10" l="1"/>
  <c r="Q511" i="10" s="1"/>
  <c r="P512" i="10"/>
  <c r="Q512" i="10" s="1"/>
  <c r="V511" i="10"/>
  <c r="R226" i="13"/>
  <c r="H470" i="10"/>
  <c r="W511" i="10" l="1"/>
  <c r="X511" i="10" s="1"/>
  <c r="W512" i="10"/>
  <c r="X512" i="10" s="1"/>
  <c r="J512" i="10" s="1"/>
  <c r="M512" i="10" s="1"/>
  <c r="N512" i="10" s="1"/>
  <c r="P472" i="10"/>
  <c r="Q472" i="10" s="1"/>
  <c r="P471" i="10"/>
  <c r="Q471" i="10" s="1"/>
  <c r="P470" i="10"/>
  <c r="Q470" i="10" s="1"/>
  <c r="V470" i="10"/>
  <c r="J511" i="10" l="1"/>
  <c r="M511" i="10" s="1"/>
  <c r="N511" i="10" s="1"/>
  <c r="H514" i="10"/>
  <c r="H513" i="10"/>
  <c r="K245" i="13"/>
  <c r="W471" i="10"/>
  <c r="X471" i="10" s="1"/>
  <c r="W470" i="10"/>
  <c r="X470" i="10" s="1"/>
  <c r="W472" i="10"/>
  <c r="X472" i="10" s="1"/>
  <c r="J472" i="10" s="1"/>
  <c r="M472" i="10" s="1"/>
  <c r="N472" i="10" s="1"/>
  <c r="P513" i="10" l="1"/>
  <c r="Q513" i="10" s="1"/>
  <c r="P514" i="10"/>
  <c r="Q514" i="10" s="1"/>
  <c r="V514" i="10"/>
  <c r="V513" i="10"/>
  <c r="V228" i="13"/>
  <c r="V227" i="13"/>
  <c r="H477" i="10"/>
  <c r="J470" i="10"/>
  <c r="M470" i="10" s="1"/>
  <c r="N470" i="10" s="1"/>
  <c r="J471" i="10"/>
  <c r="M471" i="10" s="1"/>
  <c r="N471" i="10" s="1"/>
  <c r="W513" i="10" l="1"/>
  <c r="X513" i="10" s="1"/>
  <c r="W514" i="10"/>
  <c r="X514" i="10" s="1"/>
  <c r="J514" i="10" s="1"/>
  <c r="M514" i="10" s="1"/>
  <c r="N514" i="10" s="1"/>
  <c r="H516" i="10" s="1"/>
  <c r="W227" i="13"/>
  <c r="H474" i="10"/>
  <c r="R227" i="13"/>
  <c r="H473" i="10"/>
  <c r="P475" i="10"/>
  <c r="P477" i="10"/>
  <c r="Q477" i="10" s="1"/>
  <c r="P476" i="10"/>
  <c r="V477" i="10"/>
  <c r="J513" i="10" l="1"/>
  <c r="M513" i="10" s="1"/>
  <c r="N513" i="10" s="1"/>
  <c r="H515" i="10" s="1"/>
  <c r="P516" i="10" s="1"/>
  <c r="Q516" i="10" s="1"/>
  <c r="V516" i="10"/>
  <c r="K246" i="13"/>
  <c r="W476" i="10"/>
  <c r="W475" i="10"/>
  <c r="W477" i="10"/>
  <c r="X477" i="10" s="1"/>
  <c r="P474" i="10"/>
  <c r="Q474" i="10" s="1"/>
  <c r="P473" i="10"/>
  <c r="Q473" i="10" s="1"/>
  <c r="V473" i="10"/>
  <c r="V474" i="10"/>
  <c r="V515" i="10" l="1"/>
  <c r="P515" i="10"/>
  <c r="Q515" i="10" s="1"/>
  <c r="W473" i="10"/>
  <c r="X473" i="10" s="1"/>
  <c r="W474" i="10"/>
  <c r="X474" i="10" s="1"/>
  <c r="W515" i="10" l="1"/>
  <c r="X515" i="10" s="1"/>
  <c r="W516" i="10"/>
  <c r="X516" i="10" s="1"/>
  <c r="J474" i="10"/>
  <c r="M474" i="10" s="1"/>
  <c r="N474" i="10" s="1"/>
  <c r="J473" i="10"/>
  <c r="M473" i="10" s="1"/>
  <c r="N473" i="10" s="1"/>
  <c r="J515" i="10" l="1"/>
  <c r="M515" i="10" s="1"/>
  <c r="N515" i="10" s="1"/>
  <c r="H517" i="10" s="1"/>
  <c r="V517" i="10" s="1"/>
  <c r="J516" i="10"/>
  <c r="M516" i="10" s="1"/>
  <c r="N516" i="10" s="1"/>
  <c r="R228" i="13"/>
  <c r="H475" i="10"/>
  <c r="W228" i="13"/>
  <c r="H476" i="10"/>
  <c r="H518" i="10" l="1"/>
  <c r="K247" i="13"/>
  <c r="V476" i="10"/>
  <c r="X476" i="10" s="1"/>
  <c r="J476" i="10" s="1"/>
  <c r="M476" i="10" s="1"/>
  <c r="N476" i="10" s="1"/>
  <c r="Q476" i="10"/>
  <c r="V475" i="10"/>
  <c r="X475" i="10" s="1"/>
  <c r="Q475" i="10"/>
  <c r="V518" i="10" l="1"/>
  <c r="P517" i="10"/>
  <c r="Q517" i="10" s="1"/>
  <c r="P518" i="10"/>
  <c r="Q518" i="10" s="1"/>
  <c r="W229" i="13"/>
  <c r="H479" i="10"/>
  <c r="J477" i="10"/>
  <c r="M477" i="10" s="1"/>
  <c r="N477" i="10" s="1"/>
  <c r="J475" i="10"/>
  <c r="M475" i="10" s="1"/>
  <c r="N475" i="10" s="1"/>
  <c r="W518" i="10" l="1"/>
  <c r="X518" i="10" s="1"/>
  <c r="W517" i="10"/>
  <c r="X517" i="10" s="1"/>
  <c r="R229" i="13"/>
  <c r="H478" i="10"/>
  <c r="V229" i="13"/>
  <c r="H480" i="10"/>
  <c r="V479" i="10"/>
  <c r="J518" i="10" l="1"/>
  <c r="M518" i="10" s="1"/>
  <c r="N518" i="10" s="1"/>
  <c r="J517" i="10"/>
  <c r="M517" i="10" s="1"/>
  <c r="N517" i="10" s="1"/>
  <c r="H519" i="10" s="1"/>
  <c r="P479" i="10"/>
  <c r="Q479" i="10" s="1"/>
  <c r="P480" i="10"/>
  <c r="Q480" i="10" s="1"/>
  <c r="V480" i="10"/>
  <c r="P478" i="10"/>
  <c r="Q478" i="10" s="1"/>
  <c r="V478" i="10"/>
  <c r="H522" i="10" l="1"/>
  <c r="V522" i="10" s="1"/>
  <c r="K248" i="13"/>
  <c r="V519" i="10"/>
  <c r="P521" i="10"/>
  <c r="Q521" i="10" s="1"/>
  <c r="P523" i="10"/>
  <c r="P519" i="10"/>
  <c r="Q519" i="10" s="1"/>
  <c r="P522" i="10"/>
  <c r="P520" i="10"/>
  <c r="Q520" i="10" s="1"/>
  <c r="W478" i="10"/>
  <c r="X478" i="10" s="1"/>
  <c r="W479" i="10"/>
  <c r="X479" i="10" s="1"/>
  <c r="J479" i="10" s="1"/>
  <c r="M479" i="10" s="1"/>
  <c r="N479" i="10" s="1"/>
  <c r="W480" i="10"/>
  <c r="X480" i="10" s="1"/>
  <c r="W521" i="10" l="1"/>
  <c r="X521" i="10" s="1"/>
  <c r="J521" i="10" s="1"/>
  <c r="M521" i="10" s="1"/>
  <c r="N521" i="10" s="1"/>
  <c r="W520" i="10"/>
  <c r="X520" i="10" s="1"/>
  <c r="J520" i="10" s="1"/>
  <c r="M520" i="10" s="1"/>
  <c r="N520" i="10" s="1"/>
  <c r="H525" i="10" s="1"/>
  <c r="V525" i="10" s="1"/>
  <c r="W523" i="10"/>
  <c r="W519" i="10"/>
  <c r="X519" i="10" s="1"/>
  <c r="W522" i="10"/>
  <c r="X522" i="10" s="1"/>
  <c r="J522" i="10" s="1"/>
  <c r="M522" i="10" s="1"/>
  <c r="N522" i="10" s="1"/>
  <c r="Q522" i="10"/>
  <c r="W230" i="13"/>
  <c r="H482" i="10"/>
  <c r="J478" i="10"/>
  <c r="M478" i="10" s="1"/>
  <c r="N478" i="10" s="1"/>
  <c r="J480" i="10"/>
  <c r="M480" i="10" s="1"/>
  <c r="N480" i="10" s="1"/>
  <c r="H526" i="10" l="1"/>
  <c r="V526" i="10" s="1"/>
  <c r="S249" i="13"/>
  <c r="K249" i="13"/>
  <c r="H527" i="10"/>
  <c r="V230" i="13"/>
  <c r="H483" i="10"/>
  <c r="R230" i="13"/>
  <c r="H481" i="10"/>
  <c r="V482" i="10"/>
  <c r="P525" i="10" l="1"/>
  <c r="Q525" i="10" s="1"/>
  <c r="P524" i="10"/>
  <c r="P527" i="10"/>
  <c r="Q527" i="10" s="1"/>
  <c r="P526" i="10"/>
  <c r="Q526" i="10" s="1"/>
  <c r="P528" i="10"/>
  <c r="V527" i="10"/>
  <c r="P482" i="10"/>
  <c r="Q482" i="10" s="1"/>
  <c r="P481" i="10"/>
  <c r="Q481" i="10" s="1"/>
  <c r="P483" i="10"/>
  <c r="Q483" i="10" s="1"/>
  <c r="V481" i="10"/>
  <c r="V483" i="10"/>
  <c r="W528" i="10" l="1"/>
  <c r="W525" i="10"/>
  <c r="X525" i="10" s="1"/>
  <c r="J525" i="10" s="1"/>
  <c r="M525" i="10" s="1"/>
  <c r="N525" i="10" s="1"/>
  <c r="H544" i="10" s="1"/>
  <c r="V544" i="10" s="1"/>
  <c r="W526" i="10"/>
  <c r="X526" i="10" s="1"/>
  <c r="J526" i="10" s="1"/>
  <c r="M526" i="10" s="1"/>
  <c r="N526" i="10" s="1"/>
  <c r="W527" i="10"/>
  <c r="X527" i="10" s="1"/>
  <c r="W524" i="10"/>
  <c r="W483" i="10"/>
  <c r="X483" i="10" s="1"/>
  <c r="J483" i="10" s="1"/>
  <c r="M483" i="10" s="1"/>
  <c r="N483" i="10" s="1"/>
  <c r="W482" i="10"/>
  <c r="X482" i="10" s="1"/>
  <c r="W481" i="10"/>
  <c r="X481" i="10" s="1"/>
  <c r="S250" i="13" l="1"/>
  <c r="H532" i="10"/>
  <c r="V532" i="10" s="1"/>
  <c r="J482" i="10"/>
  <c r="M482" i="10" s="1"/>
  <c r="N482" i="10" s="1"/>
  <c r="J481" i="10"/>
  <c r="M481" i="10" s="1"/>
  <c r="N481" i="10" s="1"/>
  <c r="V231" i="13"/>
  <c r="H486" i="10"/>
  <c r="R231" i="13" l="1"/>
  <c r="H484" i="10"/>
  <c r="P486" i="10"/>
  <c r="Q486" i="10" s="1"/>
  <c r="P485" i="10"/>
  <c r="P484" i="10"/>
  <c r="V486" i="10"/>
  <c r="W231" i="13"/>
  <c r="H485" i="10"/>
  <c r="V485" i="10" l="1"/>
  <c r="W484" i="10"/>
  <c r="W486" i="10"/>
  <c r="X486" i="10" s="1"/>
  <c r="W485" i="10"/>
  <c r="X485" i="10" s="1"/>
  <c r="J485" i="10" s="1"/>
  <c r="M485" i="10" s="1"/>
  <c r="N485" i="10" s="1"/>
  <c r="H747" i="10" s="1"/>
  <c r="Q484" i="10"/>
  <c r="Q485" i="10"/>
  <c r="V484" i="10"/>
  <c r="V747" i="10" l="1"/>
  <c r="W338" i="13"/>
  <c r="W336" i="13"/>
  <c r="W337" i="13"/>
  <c r="W334" i="13"/>
  <c r="W335" i="13"/>
  <c r="W332" i="13"/>
  <c r="W333" i="13"/>
  <c r="W330" i="13"/>
  <c r="W331" i="13"/>
  <c r="W328" i="13"/>
  <c r="W329" i="13"/>
  <c r="W326" i="13"/>
  <c r="W327" i="13"/>
  <c r="W324" i="13"/>
  <c r="W325" i="13"/>
  <c r="W322" i="13"/>
  <c r="W323" i="13"/>
  <c r="W320" i="13"/>
  <c r="W321" i="13"/>
  <c r="W318" i="13"/>
  <c r="W319" i="13"/>
  <c r="W316" i="13"/>
  <c r="W317" i="13"/>
  <c r="W315" i="13"/>
  <c r="W313" i="13"/>
  <c r="W314" i="13"/>
  <c r="W311" i="13"/>
  <c r="W312" i="13"/>
  <c r="W309" i="13"/>
  <c r="W310" i="13"/>
  <c r="W307" i="13"/>
  <c r="W308" i="13"/>
  <c r="W306" i="13"/>
  <c r="W305" i="13"/>
  <c r="W303" i="13"/>
  <c r="W304" i="13"/>
  <c r="W301" i="13"/>
  <c r="W302" i="13"/>
  <c r="W298" i="13"/>
  <c r="W300" i="13"/>
  <c r="W299" i="13"/>
  <c r="W296" i="13"/>
  <c r="W297" i="13"/>
  <c r="W295" i="13"/>
  <c r="W294" i="13"/>
  <c r="W291" i="13"/>
  <c r="W293" i="13"/>
  <c r="W292" i="13"/>
  <c r="W289" i="13"/>
  <c r="W290" i="13"/>
  <c r="W287" i="13"/>
  <c r="W288" i="13"/>
  <c r="W285" i="13"/>
  <c r="W286" i="13"/>
  <c r="W284" i="13"/>
  <c r="W283" i="13"/>
  <c r="W272" i="13"/>
  <c r="W275" i="13"/>
  <c r="W280" i="13"/>
  <c r="W274" i="13"/>
  <c r="W279" i="13"/>
  <c r="W273" i="13"/>
  <c r="W278" i="13"/>
  <c r="W277" i="13"/>
  <c r="W282" i="13"/>
  <c r="W276" i="13"/>
  <c r="W281" i="13"/>
  <c r="W270" i="13"/>
  <c r="W271" i="13"/>
  <c r="W269" i="13"/>
  <c r="W267" i="13"/>
  <c r="W268" i="13"/>
  <c r="W265" i="13"/>
  <c r="W266" i="13"/>
  <c r="W263" i="13"/>
  <c r="W264" i="13"/>
  <c r="W261" i="13"/>
  <c r="W262" i="13"/>
  <c r="W259" i="13"/>
  <c r="W260" i="13"/>
  <c r="W257" i="13"/>
  <c r="W258" i="13"/>
  <c r="W255" i="13"/>
  <c r="W256" i="13"/>
  <c r="W253" i="13"/>
  <c r="W254" i="13"/>
  <c r="W251" i="13"/>
  <c r="W252" i="13"/>
  <c r="W249" i="13"/>
  <c r="W250" i="13"/>
  <c r="W247" i="13"/>
  <c r="W248" i="13"/>
  <c r="W245" i="13"/>
  <c r="W246" i="13"/>
  <c r="W243" i="13"/>
  <c r="W244" i="13"/>
  <c r="W241" i="13"/>
  <c r="W242" i="13"/>
  <c r="W239" i="13"/>
  <c r="W240" i="13"/>
  <c r="W237" i="13"/>
  <c r="W238" i="13"/>
  <c r="X484" i="10"/>
  <c r="J484" i="10" s="1"/>
  <c r="M484" i="10" s="1"/>
  <c r="N484" i="10" s="1"/>
  <c r="W232" i="13"/>
  <c r="W234" i="13"/>
  <c r="W236" i="13"/>
  <c r="W233" i="13"/>
  <c r="W235" i="13"/>
  <c r="J486" i="10" l="1"/>
  <c r="M486" i="10" s="1"/>
  <c r="N486" i="10" s="1"/>
  <c r="V247" i="13"/>
  <c r="V248" i="13"/>
  <c r="R232" i="13"/>
  <c r="H488" i="10"/>
  <c r="V232" i="13"/>
  <c r="V234" i="13"/>
  <c r="V236" i="13"/>
  <c r="V233" i="13"/>
  <c r="V235" i="13"/>
  <c r="V350" i="13" l="1"/>
  <c r="V351" i="13"/>
  <c r="V348" i="13"/>
  <c r="V349" i="13"/>
  <c r="V346" i="13"/>
  <c r="V347" i="13"/>
  <c r="V344" i="13"/>
  <c r="V345" i="13"/>
  <c r="V342" i="13"/>
  <c r="V343" i="13"/>
  <c r="V340" i="13"/>
  <c r="V341" i="13"/>
  <c r="V338" i="13"/>
  <c r="V339" i="13"/>
  <c r="V336" i="13"/>
  <c r="V337" i="13"/>
  <c r="V334" i="13"/>
  <c r="V335" i="13"/>
  <c r="V332" i="13"/>
  <c r="V333" i="13"/>
  <c r="V330" i="13"/>
  <c r="V331" i="13"/>
  <c r="V328" i="13"/>
  <c r="V329" i="13"/>
  <c r="V326" i="13"/>
  <c r="V327" i="13"/>
  <c r="V324" i="13"/>
  <c r="V325" i="13"/>
  <c r="V322" i="13"/>
  <c r="V323" i="13"/>
  <c r="V320" i="13"/>
  <c r="V321" i="13"/>
  <c r="V318" i="13"/>
  <c r="V319" i="13"/>
  <c r="V316" i="13"/>
  <c r="V317" i="13"/>
  <c r="AL18" i="13"/>
  <c r="J18" i="13" s="1"/>
  <c r="V315" i="13"/>
  <c r="V313" i="13"/>
  <c r="V314" i="13"/>
  <c r="V311" i="13"/>
  <c r="V312" i="13"/>
  <c r="V309" i="13"/>
  <c r="V310" i="13"/>
  <c r="V307" i="13"/>
  <c r="V308" i="13"/>
  <c r="V306" i="13"/>
  <c r="V305" i="13"/>
  <c r="V303" i="13"/>
  <c r="V304" i="13"/>
  <c r="V301" i="13"/>
  <c r="V302" i="13"/>
  <c r="V298" i="13"/>
  <c r="V300" i="13"/>
  <c r="V299" i="13"/>
  <c r="V297" i="13"/>
  <c r="V296" i="13"/>
  <c r="V295" i="13"/>
  <c r="V294" i="13"/>
  <c r="V291" i="13"/>
  <c r="V293" i="13"/>
  <c r="V292" i="13"/>
  <c r="V289" i="13"/>
  <c r="V290" i="13"/>
  <c r="V287" i="13"/>
  <c r="V288" i="13"/>
  <c r="V285" i="13"/>
  <c r="V286" i="13"/>
  <c r="V284" i="13"/>
  <c r="V283" i="13"/>
  <c r="V272" i="13"/>
  <c r="V281" i="13"/>
  <c r="V275" i="13"/>
  <c r="V280" i="13"/>
  <c r="V274" i="13"/>
  <c r="V279" i="13"/>
  <c r="V273" i="13"/>
  <c r="V278" i="13"/>
  <c r="V277" i="13"/>
  <c r="V282" i="13"/>
  <c r="V276" i="13"/>
  <c r="V270" i="13"/>
  <c r="V271" i="13"/>
  <c r="V269" i="13"/>
  <c r="B13" i="14"/>
  <c r="B18" i="13" s="1"/>
  <c r="V238" i="13"/>
  <c r="V237" i="13"/>
  <c r="V240" i="13"/>
  <c r="V239" i="13"/>
  <c r="V242" i="13"/>
  <c r="V241" i="13"/>
  <c r="V244" i="13"/>
  <c r="V243" i="13"/>
  <c r="V246" i="13"/>
  <c r="V245" i="13"/>
  <c r="V267" i="13"/>
  <c r="V268" i="13"/>
  <c r="V265" i="13"/>
  <c r="V266" i="13"/>
  <c r="V263" i="13"/>
  <c r="V264" i="13"/>
  <c r="V261" i="13"/>
  <c r="V262" i="13"/>
  <c r="V259" i="13"/>
  <c r="V260" i="13"/>
  <c r="V257" i="13"/>
  <c r="V258" i="13"/>
  <c r="V255" i="13"/>
  <c r="V256" i="13"/>
  <c r="V253" i="13"/>
  <c r="V254" i="13"/>
  <c r="V251" i="13"/>
  <c r="V252" i="13"/>
  <c r="V249" i="13"/>
  <c r="V250" i="13"/>
  <c r="V488" i="10"/>
  <c r="X488" i="10" s="1"/>
  <c r="Q488" i="10"/>
  <c r="O2" i="14" l="1"/>
  <c r="S18" i="13"/>
  <c r="J488" i="10"/>
  <c r="M488" i="10" s="1"/>
  <c r="N488" i="10" s="1"/>
  <c r="J487" i="10"/>
  <c r="M487" i="10" s="1"/>
  <c r="N487" i="10" s="1"/>
  <c r="O233" i="13" l="1"/>
  <c r="H489" i="10"/>
  <c r="R233" i="13"/>
  <c r="H490" i="10"/>
  <c r="AI18" i="13"/>
  <c r="W18" i="13"/>
  <c r="F97" i="7"/>
  <c r="S97" i="7" s="1"/>
  <c r="P490" i="10" l="1"/>
  <c r="Q490" i="10" s="1"/>
  <c r="P489" i="10"/>
  <c r="Q489" i="10" s="1"/>
  <c r="V490" i="10"/>
  <c r="V489" i="10"/>
  <c r="W489" i="10" l="1"/>
  <c r="X489" i="10" s="1"/>
  <c r="W490" i="10"/>
  <c r="X490" i="10" s="1"/>
  <c r="J489" i="10" l="1"/>
  <c r="M489" i="10" s="1"/>
  <c r="N489" i="10" s="1"/>
  <c r="J490" i="10"/>
  <c r="M490" i="10" s="1"/>
  <c r="N490" i="10" s="1"/>
  <c r="R234" i="13" l="1"/>
  <c r="H492" i="10"/>
  <c r="O234" i="13"/>
  <c r="H491" i="10"/>
  <c r="P492" i="10" l="1"/>
  <c r="Q492" i="10" s="1"/>
  <c r="P491" i="10"/>
  <c r="Q491" i="10" s="1"/>
  <c r="V491" i="10"/>
  <c r="V492" i="10"/>
  <c r="W492" i="10" l="1"/>
  <c r="X492" i="10" s="1"/>
  <c r="W491" i="10"/>
  <c r="X491" i="10" s="1"/>
  <c r="J492" i="10" l="1"/>
  <c r="M492" i="10" s="1"/>
  <c r="N492" i="10" s="1"/>
  <c r="J491" i="10"/>
  <c r="M491" i="10" s="1"/>
  <c r="N491" i="10" s="1"/>
  <c r="O235" i="13" l="1"/>
  <c r="H493" i="10"/>
  <c r="R235" i="13"/>
  <c r="H494" i="10"/>
  <c r="P493" i="10" l="1"/>
  <c r="Q493" i="10" s="1"/>
  <c r="P494" i="10"/>
  <c r="Q494" i="10" s="1"/>
  <c r="V494" i="10"/>
  <c r="V493" i="10"/>
  <c r="W494" i="10" l="1"/>
  <c r="X494" i="10" s="1"/>
  <c r="W493" i="10"/>
  <c r="X493" i="10" s="1"/>
  <c r="J493" i="10" l="1"/>
  <c r="M493" i="10" s="1"/>
  <c r="N493" i="10" s="1"/>
  <c r="J494" i="10"/>
  <c r="M494" i="10" s="1"/>
  <c r="H495" i="10" l="1"/>
  <c r="N494" i="10"/>
  <c r="O236" i="13"/>
  <c r="H496" i="10" l="1"/>
  <c r="V496" i="10" s="1"/>
  <c r="P495" i="10"/>
  <c r="Q495" i="10" s="1"/>
  <c r="P496" i="10"/>
  <c r="V495" i="10"/>
  <c r="W496" i="10" s="1"/>
  <c r="R236" i="13"/>
  <c r="X496" i="10" l="1"/>
  <c r="Q496" i="10"/>
  <c r="W495" i="10"/>
  <c r="X495" i="10" s="1"/>
  <c r="J496" i="10" l="1"/>
  <c r="M496" i="10" s="1"/>
  <c r="N496" i="10" s="1"/>
  <c r="J495" i="10"/>
  <c r="M495" i="10" s="1"/>
  <c r="N495" i="10" s="1"/>
  <c r="H498" i="10" l="1"/>
  <c r="H497" i="10"/>
  <c r="O237" i="13"/>
  <c r="R237" i="13"/>
  <c r="P498" i="10" l="1"/>
  <c r="Q498" i="10" s="1"/>
  <c r="P497" i="10"/>
  <c r="Q497" i="10" s="1"/>
  <c r="V498" i="10"/>
  <c r="V497" i="10"/>
  <c r="W498" i="10" l="1"/>
  <c r="X498" i="10" s="1"/>
  <c r="W497" i="10"/>
  <c r="X497" i="10" s="1"/>
  <c r="J497" i="10" s="1"/>
  <c r="M497" i="10" s="1"/>
  <c r="J498" i="10" l="1"/>
  <c r="M498" i="10" s="1"/>
  <c r="N498" i="10" s="1"/>
  <c r="H500" i="10"/>
  <c r="N497" i="10"/>
  <c r="R238" i="13"/>
  <c r="V500" i="10" l="1"/>
  <c r="H499" i="10"/>
  <c r="O238" i="13"/>
  <c r="P499" i="10" l="1"/>
  <c r="Q499" i="10" s="1"/>
  <c r="P500" i="10"/>
  <c r="Q500" i="10" s="1"/>
  <c r="V499" i="10"/>
  <c r="W500" i="10" s="1"/>
  <c r="X500" i="10" s="1"/>
  <c r="J500" i="10" l="1"/>
  <c r="M500" i="10" s="1"/>
  <c r="N500" i="10" s="1"/>
  <c r="J499" i="10"/>
  <c r="M499" i="10" s="1"/>
  <c r="N499" i="10" s="1"/>
  <c r="W499" i="10"/>
  <c r="X499" i="10" s="1"/>
  <c r="O239" i="13"/>
  <c r="H502" i="10" l="1"/>
  <c r="H501" i="10"/>
  <c r="R239" i="13"/>
  <c r="P501" i="10" l="1"/>
  <c r="Q501" i="10" s="1"/>
  <c r="P502" i="10"/>
  <c r="Q502" i="10" s="1"/>
  <c r="V502" i="10"/>
  <c r="V501" i="10"/>
  <c r="W502" i="10" s="1"/>
  <c r="X502" i="10" s="1"/>
  <c r="J502" i="10" l="1"/>
  <c r="M502" i="10" s="1"/>
  <c r="N502" i="10" s="1"/>
  <c r="J501" i="10"/>
  <c r="M501" i="10" s="1"/>
  <c r="N501" i="10" s="1"/>
  <c r="H503" i="10" s="1"/>
  <c r="W501" i="10"/>
  <c r="X501" i="10" s="1"/>
  <c r="O240" i="13"/>
  <c r="H504" i="10" l="1"/>
  <c r="V503" i="10"/>
  <c r="R240" i="13"/>
  <c r="P503" i="10" l="1"/>
  <c r="Q503" i="10" s="1"/>
  <c r="P504" i="10"/>
  <c r="Q504" i="10" s="1"/>
  <c r="V504" i="10"/>
  <c r="W503" i="10" l="1"/>
  <c r="X503" i="10" s="1"/>
  <c r="J503" i="10" s="1"/>
  <c r="M503" i="10" s="1"/>
  <c r="N503" i="10" s="1"/>
  <c r="W504" i="10"/>
  <c r="X504" i="10" s="1"/>
  <c r="J504" i="10" l="1"/>
  <c r="M504" i="10" s="1"/>
  <c r="N504" i="10" s="1"/>
  <c r="R241" i="13" s="1"/>
  <c r="H505" i="10"/>
  <c r="O241" i="13"/>
  <c r="H506" i="10" l="1"/>
  <c r="P505" i="10"/>
  <c r="Q505" i="10" s="1"/>
  <c r="P506" i="10"/>
  <c r="V505" i="10"/>
  <c r="W506" i="10" s="1"/>
  <c r="Q506" i="10" l="1"/>
  <c r="V506" i="10"/>
  <c r="X506" i="10" s="1"/>
  <c r="W505" i="10"/>
  <c r="X505" i="10" s="1"/>
  <c r="J506" i="10" l="1"/>
  <c r="M506" i="10" s="1"/>
  <c r="N506" i="10" s="1"/>
  <c r="J505" i="10"/>
  <c r="M505" i="10" s="1"/>
  <c r="N505" i="10" s="1"/>
  <c r="H508" i="10" l="1"/>
  <c r="H507" i="10"/>
  <c r="O242" i="13"/>
  <c r="R242" i="13"/>
  <c r="P507" i="10" l="1"/>
  <c r="Q507" i="10" s="1"/>
  <c r="P508" i="10"/>
  <c r="Q508" i="10" s="1"/>
  <c r="V508" i="10"/>
  <c r="V507" i="10"/>
  <c r="W507" i="10" l="1"/>
  <c r="X507" i="10" s="1"/>
  <c r="J507" i="10" s="1"/>
  <c r="M507" i="10" s="1"/>
  <c r="W508" i="10"/>
  <c r="X508" i="10" s="1"/>
  <c r="J508" i="10" l="1"/>
  <c r="M508" i="10" s="1"/>
  <c r="N508" i="10" s="1"/>
  <c r="H510" i="10"/>
  <c r="R243" i="13"/>
  <c r="N507" i="10"/>
  <c r="V510" i="10" l="1"/>
  <c r="H509" i="10"/>
  <c r="O243" i="13"/>
  <c r="P509" i="10" l="1"/>
  <c r="Q509" i="10" s="1"/>
  <c r="P510" i="10"/>
  <c r="Q510" i="10" s="1"/>
  <c r="V509" i="10"/>
  <c r="W510" i="10" s="1"/>
  <c r="X510" i="10" s="1"/>
  <c r="J510" i="10" l="1"/>
  <c r="M510" i="10" s="1"/>
  <c r="N510" i="10" s="1"/>
  <c r="J509" i="10"/>
  <c r="M509" i="10" s="1"/>
  <c r="N509" i="10" s="1"/>
  <c r="H675" i="10" s="1"/>
  <c r="W509" i="10"/>
  <c r="X509" i="10" s="1"/>
  <c r="O244" i="13"/>
  <c r="P675" i="10" l="1"/>
  <c r="Q675" i="10" s="1"/>
  <c r="P676" i="10"/>
  <c r="V675" i="10"/>
  <c r="O307" i="13"/>
  <c r="O306" i="13"/>
  <c r="O305" i="13"/>
  <c r="O303" i="13"/>
  <c r="O304" i="13"/>
  <c r="O301" i="13"/>
  <c r="O302" i="13"/>
  <c r="O298" i="13"/>
  <c r="O299" i="13"/>
  <c r="O300" i="13"/>
  <c r="O297" i="13"/>
  <c r="O296" i="13"/>
  <c r="O294" i="13"/>
  <c r="O295" i="13"/>
  <c r="O293" i="13"/>
  <c r="O292" i="13"/>
  <c r="O291" i="13"/>
  <c r="O289" i="13"/>
  <c r="O290" i="13"/>
  <c r="O287" i="13"/>
  <c r="O288" i="13"/>
  <c r="O285" i="13"/>
  <c r="O286" i="13"/>
  <c r="O283" i="13"/>
  <c r="O284" i="13"/>
  <c r="O278" i="13"/>
  <c r="O277" i="13"/>
  <c r="O282" i="13"/>
  <c r="O276" i="13"/>
  <c r="O281" i="13"/>
  <c r="O275" i="13"/>
  <c r="O280" i="13"/>
  <c r="O274" i="13"/>
  <c r="O279" i="13"/>
  <c r="O273" i="13"/>
  <c r="O271" i="13"/>
  <c r="O272" i="13"/>
  <c r="O269" i="13"/>
  <c r="O270" i="13"/>
  <c r="O267" i="13"/>
  <c r="O268" i="13"/>
  <c r="O265" i="13"/>
  <c r="O266" i="13"/>
  <c r="O263" i="13"/>
  <c r="O264" i="13"/>
  <c r="O261" i="13"/>
  <c r="O262" i="13"/>
  <c r="O259" i="13"/>
  <c r="O260" i="13"/>
  <c r="O257" i="13"/>
  <c r="O258" i="13"/>
  <c r="O255" i="13"/>
  <c r="O256" i="13"/>
  <c r="O253" i="13"/>
  <c r="O254" i="13"/>
  <c r="O251" i="13"/>
  <c r="O252" i="13"/>
  <c r="O249" i="13"/>
  <c r="O250" i="13"/>
  <c r="H523" i="10"/>
  <c r="O247" i="13"/>
  <c r="O248" i="13"/>
  <c r="R247" i="13"/>
  <c r="R248" i="13"/>
  <c r="O245" i="13"/>
  <c r="O246" i="13"/>
  <c r="R245" i="13"/>
  <c r="R246" i="13"/>
  <c r="R244" i="13"/>
  <c r="W676" i="10" l="1"/>
  <c r="W675" i="10"/>
  <c r="X675" i="10" s="1"/>
  <c r="Q523" i="10"/>
  <c r="V523" i="10"/>
  <c r="X523" i="10" s="1"/>
  <c r="J523" i="10" l="1"/>
  <c r="M523" i="10" s="1"/>
  <c r="N523" i="10" s="1"/>
  <c r="J519" i="10"/>
  <c r="M519" i="10" s="1"/>
  <c r="N519" i="10" s="1"/>
  <c r="R249" i="13"/>
  <c r="H528" i="10" l="1"/>
  <c r="H524" i="10"/>
  <c r="Q528" i="10" l="1"/>
  <c r="V528" i="10"/>
  <c r="X528" i="10" s="1"/>
  <c r="J528" i="10" s="1"/>
  <c r="M528" i="10" s="1"/>
  <c r="N528" i="10" s="1"/>
  <c r="Q524" i="10"/>
  <c r="V524" i="10"/>
  <c r="X524" i="10" s="1"/>
  <c r="H531" i="10" l="1"/>
  <c r="J524" i="10"/>
  <c r="M524" i="10" s="1"/>
  <c r="N524" i="10" s="1"/>
  <c r="J527" i="10"/>
  <c r="M527" i="10" s="1"/>
  <c r="N527" i="10" s="1"/>
  <c r="R250" i="13"/>
  <c r="H529" i="10" l="1"/>
  <c r="H530" i="10"/>
  <c r="V531" i="10"/>
  <c r="K250" i="13"/>
  <c r="P532" i="10" l="1"/>
  <c r="Q532" i="10" s="1"/>
  <c r="P529" i="10"/>
  <c r="Q529" i="10" s="1"/>
  <c r="P530" i="10"/>
  <c r="Q530" i="10" s="1"/>
  <c r="P531" i="10"/>
  <c r="Q531" i="10" s="1"/>
  <c r="V530" i="10"/>
  <c r="V529" i="10"/>
  <c r="W529" i="10" l="1"/>
  <c r="X529" i="10" s="1"/>
  <c r="W530" i="10"/>
  <c r="X530" i="10" s="1"/>
  <c r="J530" i="10" s="1"/>
  <c r="M530" i="10" s="1"/>
  <c r="N530" i="10" s="1"/>
  <c r="W531" i="10"/>
  <c r="X531" i="10" s="1"/>
  <c r="J531" i="10" s="1"/>
  <c r="M531" i="10" s="1"/>
  <c r="N531" i="10" s="1"/>
  <c r="W532" i="10"/>
  <c r="X532" i="10" s="1"/>
  <c r="J532" i="10" s="1"/>
  <c r="M532" i="10" s="1"/>
  <c r="N532" i="10" s="1"/>
  <c r="J529" i="10" l="1"/>
  <c r="M529" i="10" s="1"/>
  <c r="N529" i="10" s="1"/>
  <c r="H536" i="10"/>
  <c r="H535" i="10"/>
  <c r="H534" i="10"/>
  <c r="K251" i="13"/>
  <c r="S251" i="13"/>
  <c r="R251" i="13"/>
  <c r="H533" i="10" l="1"/>
  <c r="V534" i="10"/>
  <c r="V535" i="10"/>
  <c r="V536" i="10"/>
  <c r="P536" i="10" l="1"/>
  <c r="Q536" i="10" s="1"/>
  <c r="P533" i="10"/>
  <c r="Q533" i="10" s="1"/>
  <c r="P534" i="10"/>
  <c r="Q534" i="10" s="1"/>
  <c r="P535" i="10"/>
  <c r="Q535" i="10" s="1"/>
  <c r="V533" i="10"/>
  <c r="W536" i="10" l="1"/>
  <c r="X536" i="10" s="1"/>
  <c r="J536" i="10" s="1"/>
  <c r="M536" i="10" s="1"/>
  <c r="N536" i="10" s="1"/>
  <c r="W533" i="10"/>
  <c r="X533" i="10" s="1"/>
  <c r="W534" i="10"/>
  <c r="X534" i="10" s="1"/>
  <c r="J534" i="10" s="1"/>
  <c r="M534" i="10" s="1"/>
  <c r="N534" i="10" s="1"/>
  <c r="W535" i="10"/>
  <c r="X535" i="10" s="1"/>
  <c r="J535" i="10" s="1"/>
  <c r="M535" i="10" s="1"/>
  <c r="N535" i="10" s="1"/>
  <c r="H540" i="10" s="1"/>
  <c r="J533" i="10" l="1"/>
  <c r="M533" i="10" s="1"/>
  <c r="N533" i="10" s="1"/>
  <c r="H556" i="10" s="1"/>
  <c r="H542" i="10"/>
  <c r="V540" i="10"/>
  <c r="R253" i="13"/>
  <c r="S253" i="13"/>
  <c r="S254" i="13"/>
  <c r="H537" i="10"/>
  <c r="R252" i="13"/>
  <c r="K252" i="13"/>
  <c r="S252" i="13"/>
  <c r="P556" i="10" l="1"/>
  <c r="Q556" i="10" s="1"/>
  <c r="P557" i="10"/>
  <c r="V556" i="10"/>
  <c r="V542" i="10"/>
  <c r="P538" i="10"/>
  <c r="Q538" i="10" s="1"/>
  <c r="P537" i="10"/>
  <c r="Q537" i="10" s="1"/>
  <c r="V537" i="10"/>
  <c r="W556" i="10" l="1"/>
  <c r="X556" i="10" s="1"/>
  <c r="W557" i="10"/>
  <c r="W538" i="10"/>
  <c r="X538" i="10" s="1"/>
  <c r="J538" i="10" s="1"/>
  <c r="M538" i="10" s="1"/>
  <c r="N538" i="10" s="1"/>
  <c r="W537" i="10"/>
  <c r="X537" i="10" s="1"/>
  <c r="J537" i="10" l="1"/>
  <c r="M537" i="10" s="1"/>
  <c r="N537" i="10" s="1"/>
  <c r="K253" i="13" s="1"/>
  <c r="H548" i="10"/>
  <c r="N256" i="13"/>
  <c r="N257" i="13"/>
  <c r="N254" i="13"/>
  <c r="N255" i="13"/>
  <c r="N253" i="13"/>
  <c r="V548" i="10" l="1"/>
  <c r="H539" i="10"/>
  <c r="P539" i="10" l="1"/>
  <c r="Q539" i="10" s="1"/>
  <c r="P540" i="10"/>
  <c r="Q540" i="10" s="1"/>
  <c r="V539" i="10"/>
  <c r="W539" i="10" l="1"/>
  <c r="X539" i="10" s="1"/>
  <c r="W540" i="10"/>
  <c r="X540" i="10" s="1"/>
  <c r="J540" i="10" s="1"/>
  <c r="M540" i="10" s="1"/>
  <c r="N540" i="10" s="1"/>
  <c r="J539" i="10" l="1"/>
  <c r="M539" i="10" s="1"/>
  <c r="N539" i="10" s="1"/>
  <c r="K254" i="13" s="1"/>
  <c r="H546" i="10"/>
  <c r="R255" i="13"/>
  <c r="R256" i="13"/>
  <c r="R254" i="13"/>
  <c r="P546" i="10" l="1"/>
  <c r="Q546" i="10" s="1"/>
  <c r="P545" i="10"/>
  <c r="V546" i="10"/>
  <c r="H541" i="10"/>
  <c r="W546" i="10" l="1"/>
  <c r="X546" i="10" s="1"/>
  <c r="W545" i="10"/>
  <c r="P542" i="10"/>
  <c r="Q542" i="10" s="1"/>
  <c r="P541" i="10"/>
  <c r="Q541" i="10" s="1"/>
  <c r="V541" i="10"/>
  <c r="W541" i="10" l="1"/>
  <c r="X541" i="10" s="1"/>
  <c r="W542" i="10"/>
  <c r="X542" i="10" s="1"/>
  <c r="J542" i="10" s="1"/>
  <c r="M542" i="10" s="1"/>
  <c r="N542" i="10" s="1"/>
  <c r="H550" i="10" s="1"/>
  <c r="J541" i="10" l="1"/>
  <c r="M541" i="10" s="1"/>
  <c r="N541" i="10" s="1"/>
  <c r="K255" i="13" s="1"/>
  <c r="P549" i="10"/>
  <c r="P550" i="10"/>
  <c r="Q550" i="10" s="1"/>
  <c r="V550" i="10"/>
  <c r="S258" i="13"/>
  <c r="S256" i="13"/>
  <c r="S257" i="13"/>
  <c r="S255" i="13"/>
  <c r="W549" i="10" l="1"/>
  <c r="W550" i="10"/>
  <c r="X550" i="10" s="1"/>
  <c r="H543" i="10"/>
  <c r="P543" i="10" l="1"/>
  <c r="Q543" i="10" s="1"/>
  <c r="P544" i="10"/>
  <c r="Q544" i="10" s="1"/>
  <c r="V543" i="10"/>
  <c r="W544" i="10" l="1"/>
  <c r="X544" i="10" s="1"/>
  <c r="J544" i="10" s="1"/>
  <c r="M544" i="10" s="1"/>
  <c r="N544" i="10" s="1"/>
  <c r="W543" i="10"/>
  <c r="X543" i="10" s="1"/>
  <c r="J543" i="10" l="1"/>
  <c r="M543" i="10" s="1"/>
  <c r="N543" i="10" s="1"/>
  <c r="K256" i="13" s="1"/>
  <c r="H545" i="10"/>
  <c r="H555" i="10" l="1"/>
  <c r="K259" i="13"/>
  <c r="K260" i="13"/>
  <c r="K257" i="13"/>
  <c r="K258" i="13"/>
  <c r="Q545" i="10"/>
  <c r="V545" i="10"/>
  <c r="X545" i="10" s="1"/>
  <c r="P555" i="10" l="1"/>
  <c r="Q555" i="10" s="1"/>
  <c r="P554" i="10"/>
  <c r="V555" i="10"/>
  <c r="J545" i="10"/>
  <c r="M545" i="10" s="1"/>
  <c r="N545" i="10" s="1"/>
  <c r="J546" i="10"/>
  <c r="M546" i="10" s="1"/>
  <c r="N546" i="10" s="1"/>
  <c r="W554" i="10" l="1"/>
  <c r="W555" i="10"/>
  <c r="X555" i="10" s="1"/>
  <c r="H551" i="10"/>
  <c r="H547" i="10"/>
  <c r="R257" i="13"/>
  <c r="V551" i="10" l="1"/>
  <c r="P547" i="10"/>
  <c r="Q547" i="10" s="1"/>
  <c r="P548" i="10"/>
  <c r="Q548" i="10" s="1"/>
  <c r="V547" i="10"/>
  <c r="W548" i="10" l="1"/>
  <c r="X548" i="10" s="1"/>
  <c r="J548" i="10" s="1"/>
  <c r="M548" i="10" s="1"/>
  <c r="N548" i="10" s="1"/>
  <c r="H552" i="10" s="1"/>
  <c r="W547" i="10"/>
  <c r="X547" i="10" s="1"/>
  <c r="J547" i="10" l="1"/>
  <c r="M547" i="10" s="1"/>
  <c r="N547" i="10" s="1"/>
  <c r="R258" i="13" s="1"/>
  <c r="P552" i="10"/>
  <c r="Q552" i="10" s="1"/>
  <c r="P553" i="10"/>
  <c r="P551" i="10"/>
  <c r="Q551" i="10" s="1"/>
  <c r="V552" i="10"/>
  <c r="N259" i="13"/>
  <c r="N258" i="13"/>
  <c r="W553" i="10" l="1"/>
  <c r="W551" i="10"/>
  <c r="X551" i="10" s="1"/>
  <c r="J551" i="10" s="1"/>
  <c r="M551" i="10" s="1"/>
  <c r="N551" i="10" s="1"/>
  <c r="H633" i="10" s="1"/>
  <c r="W552" i="10"/>
  <c r="X552" i="10" s="1"/>
  <c r="H549" i="10"/>
  <c r="P634" i="10" l="1"/>
  <c r="P633" i="10"/>
  <c r="Q633" i="10" s="1"/>
  <c r="V633" i="10"/>
  <c r="Q549" i="10"/>
  <c r="V549" i="10"/>
  <c r="X549" i="10" s="1"/>
  <c r="W633" i="10" l="1"/>
  <c r="X633" i="10" s="1"/>
  <c r="W634" i="10"/>
  <c r="J549" i="10"/>
  <c r="M549" i="10" s="1"/>
  <c r="N549" i="10" s="1"/>
  <c r="H559" i="10" s="1"/>
  <c r="J550" i="10"/>
  <c r="M550" i="10" s="1"/>
  <c r="N550" i="10" s="1"/>
  <c r="V559" i="10" l="1"/>
  <c r="R262" i="13"/>
  <c r="R260" i="13"/>
  <c r="R261" i="13"/>
  <c r="H553" i="10"/>
  <c r="S259" i="13"/>
  <c r="R259" i="13"/>
  <c r="Q553" i="10" l="1"/>
  <c r="V553" i="10"/>
  <c r="X553" i="10" s="1"/>
  <c r="J553" i="10" l="1"/>
  <c r="M553" i="10" s="1"/>
  <c r="N553" i="10" s="1"/>
  <c r="J552" i="10"/>
  <c r="M552" i="10" s="1"/>
  <c r="N552" i="10" s="1"/>
  <c r="H563" i="10" l="1"/>
  <c r="S263" i="13"/>
  <c r="S264" i="13"/>
  <c r="S261" i="13"/>
  <c r="S262" i="13"/>
  <c r="H554" i="10"/>
  <c r="N260" i="13"/>
  <c r="S260" i="13"/>
  <c r="P562" i="10" l="1"/>
  <c r="P563" i="10"/>
  <c r="Q563" i="10" s="1"/>
  <c r="V563" i="10"/>
  <c r="V554" i="10"/>
  <c r="X554" i="10" s="1"/>
  <c r="Q554" i="10"/>
  <c r="W563" i="10" l="1"/>
  <c r="X563" i="10" s="1"/>
  <c r="W562" i="10"/>
  <c r="J554" i="10"/>
  <c r="M554" i="10" s="1"/>
  <c r="J555" i="10"/>
  <c r="M555" i="10" s="1"/>
  <c r="N555" i="10" s="1"/>
  <c r="H557" i="10" l="1"/>
  <c r="K261" i="13"/>
  <c r="N554" i="10"/>
  <c r="H562" i="10" s="1"/>
  <c r="Q562" i="10" l="1"/>
  <c r="V562" i="10"/>
  <c r="X562" i="10" s="1"/>
  <c r="N264" i="13"/>
  <c r="N262" i="13"/>
  <c r="N263" i="13"/>
  <c r="Q557" i="10"/>
  <c r="V557" i="10"/>
  <c r="X557" i="10" s="1"/>
  <c r="N261" i="13"/>
  <c r="J562" i="10" l="1"/>
  <c r="M562" i="10" s="1"/>
  <c r="N562" i="10" s="1"/>
  <c r="H613" i="10" s="1"/>
  <c r="J563" i="10"/>
  <c r="M563" i="10" s="1"/>
  <c r="N563" i="10" s="1"/>
  <c r="N265" i="13"/>
  <c r="J557" i="10"/>
  <c r="M557" i="10" s="1"/>
  <c r="N557" i="10" s="1"/>
  <c r="H560" i="10" s="1"/>
  <c r="J556" i="10"/>
  <c r="M556" i="10" s="1"/>
  <c r="N556" i="10" s="1"/>
  <c r="V613" i="10" l="1"/>
  <c r="S272" i="13"/>
  <c r="S282" i="13"/>
  <c r="S276" i="13"/>
  <c r="S281" i="13"/>
  <c r="S275" i="13"/>
  <c r="S280" i="13"/>
  <c r="S274" i="13"/>
  <c r="S279" i="13"/>
  <c r="S273" i="13"/>
  <c r="S278" i="13"/>
  <c r="S277" i="13"/>
  <c r="N272" i="13"/>
  <c r="N273" i="13"/>
  <c r="N278" i="13"/>
  <c r="N277" i="13"/>
  <c r="N282" i="13"/>
  <c r="N276" i="13"/>
  <c r="N281" i="13"/>
  <c r="N275" i="13"/>
  <c r="N280" i="13"/>
  <c r="N274" i="13"/>
  <c r="N279" i="13"/>
  <c r="S270" i="13"/>
  <c r="S271" i="13"/>
  <c r="N270" i="13"/>
  <c r="N271" i="13"/>
  <c r="S268" i="13"/>
  <c r="S269" i="13"/>
  <c r="N268" i="13"/>
  <c r="N269" i="13"/>
  <c r="S266" i="13"/>
  <c r="S267" i="13"/>
  <c r="N266" i="13"/>
  <c r="N267" i="13"/>
  <c r="S265" i="13"/>
  <c r="P561" i="10"/>
  <c r="P560" i="10"/>
  <c r="Q560" i="10" s="1"/>
  <c r="V560" i="10"/>
  <c r="K263" i="13"/>
  <c r="H558" i="10"/>
  <c r="K262" i="13"/>
  <c r="W561" i="10" l="1"/>
  <c r="W560" i="10"/>
  <c r="X560" i="10" s="1"/>
  <c r="P559" i="10"/>
  <c r="Q559" i="10" s="1"/>
  <c r="P558" i="10"/>
  <c r="Q558" i="10" s="1"/>
  <c r="V558" i="10"/>
  <c r="W558" i="10" l="1"/>
  <c r="X558" i="10" s="1"/>
  <c r="W559" i="10"/>
  <c r="X559" i="10" s="1"/>
  <c r="J559" i="10" s="1"/>
  <c r="M559" i="10" s="1"/>
  <c r="N559" i="10" s="1"/>
  <c r="J558" i="10" l="1"/>
  <c r="M558" i="10" s="1"/>
  <c r="N558" i="10" s="1"/>
  <c r="H561" i="10"/>
  <c r="R263" i="13"/>
  <c r="H564" i="10" l="1"/>
  <c r="Q561" i="10"/>
  <c r="V561" i="10"/>
  <c r="X561" i="10" s="1"/>
  <c r="V564" i="10" l="1"/>
  <c r="J561" i="10"/>
  <c r="M561" i="10" s="1"/>
  <c r="N561" i="10" s="1"/>
  <c r="H565" i="10" s="1"/>
  <c r="P564" i="10" s="1"/>
  <c r="Q564" i="10" s="1"/>
  <c r="J560" i="10"/>
  <c r="M560" i="10" s="1"/>
  <c r="N560" i="10" s="1"/>
  <c r="H566" i="10" l="1"/>
  <c r="P565" i="10"/>
  <c r="Q565" i="10" s="1"/>
  <c r="V565" i="10"/>
  <c r="W565" i="10" s="1"/>
  <c r="R265" i="13"/>
  <c r="K265" i="13"/>
  <c r="K266" i="13"/>
  <c r="K264" i="13"/>
  <c r="R264" i="13"/>
  <c r="P566" i="10" l="1"/>
  <c r="Q566" i="10" s="1"/>
  <c r="P567" i="10"/>
  <c r="W564" i="10"/>
  <c r="X564" i="10" s="1"/>
  <c r="J564" i="10" s="1"/>
  <c r="M564" i="10" s="1"/>
  <c r="N564" i="10" s="1"/>
  <c r="V566" i="10"/>
  <c r="X565" i="10"/>
  <c r="J565" i="10" l="1"/>
  <c r="M565" i="10" s="1"/>
  <c r="N565" i="10" s="1"/>
  <c r="R266" i="13" s="1"/>
  <c r="H570" i="10"/>
  <c r="W566" i="10"/>
  <c r="X566" i="10" s="1"/>
  <c r="W567" i="10"/>
  <c r="H567" i="10"/>
  <c r="P573" i="10" l="1"/>
  <c r="P571" i="10"/>
  <c r="P572" i="10"/>
  <c r="P570" i="10"/>
  <c r="Q570" i="10" s="1"/>
  <c r="V570" i="10"/>
  <c r="Q567" i="10"/>
  <c r="V567" i="10"/>
  <c r="X567" i="10" s="1"/>
  <c r="J567" i="10" s="1"/>
  <c r="M567" i="10" s="1"/>
  <c r="W573" i="10" l="1"/>
  <c r="W571" i="10"/>
  <c r="W572" i="10"/>
  <c r="W570" i="10"/>
  <c r="X570" i="10" s="1"/>
  <c r="J566" i="10"/>
  <c r="M566" i="10" s="1"/>
  <c r="N566" i="10" s="1"/>
  <c r="N567" i="10"/>
  <c r="H573" i="10" s="1"/>
  <c r="Q573" i="10" l="1"/>
  <c r="V573" i="10"/>
  <c r="X573" i="10" s="1"/>
  <c r="J573" i="10" s="1"/>
  <c r="M573" i="10" s="1"/>
  <c r="N573" i="10" s="1"/>
  <c r="R268" i="13"/>
  <c r="H568" i="10"/>
  <c r="K267" i="13"/>
  <c r="R267" i="13"/>
  <c r="H575" i="10" l="1"/>
  <c r="R269" i="13"/>
  <c r="P569" i="10"/>
  <c r="Q569" i="10" s="1"/>
  <c r="P568" i="10"/>
  <c r="Q568" i="10" s="1"/>
  <c r="V568" i="10"/>
  <c r="V575" i="10" l="1"/>
  <c r="W568" i="10"/>
  <c r="X568" i="10" s="1"/>
  <c r="W569" i="10"/>
  <c r="X569" i="10" s="1"/>
  <c r="J569" i="10" s="1"/>
  <c r="M569" i="10" s="1"/>
  <c r="N569" i="10" s="1"/>
  <c r="J568" i="10" l="1"/>
  <c r="M568" i="10" s="1"/>
  <c r="N568" i="10" s="1"/>
  <c r="K268" i="13" s="1"/>
  <c r="H571" i="10"/>
  <c r="M268" i="13"/>
  <c r="H572" i="10" l="1"/>
  <c r="Q571" i="10"/>
  <c r="V571" i="10"/>
  <c r="X571" i="10" s="1"/>
  <c r="J571" i="10" l="1"/>
  <c r="M571" i="10" s="1"/>
  <c r="N571" i="10" s="1"/>
  <c r="Q572" i="10"/>
  <c r="V572" i="10"/>
  <c r="X572" i="10" s="1"/>
  <c r="J572" i="10" s="1"/>
  <c r="M572" i="10" s="1"/>
  <c r="N572" i="10" s="1"/>
  <c r="J570" i="10" l="1"/>
  <c r="M570" i="10" s="1"/>
  <c r="N570" i="10" s="1"/>
  <c r="H577" i="10"/>
  <c r="H576" i="10"/>
  <c r="H574" i="10"/>
  <c r="K269" i="13"/>
  <c r="P576" i="10" l="1"/>
  <c r="Q576" i="10" s="1"/>
  <c r="P574" i="10"/>
  <c r="Q574" i="10" s="1"/>
  <c r="P577" i="10"/>
  <c r="Q577" i="10" s="1"/>
  <c r="P575" i="10"/>
  <c r="Q575" i="10" s="1"/>
  <c r="V576" i="10"/>
  <c r="V577" i="10"/>
  <c r="V574" i="10"/>
  <c r="W576" i="10" l="1"/>
  <c r="X576" i="10" s="1"/>
  <c r="J576" i="10" s="1"/>
  <c r="M576" i="10" s="1"/>
  <c r="N576" i="10" s="1"/>
  <c r="W574" i="10"/>
  <c r="X574" i="10" s="1"/>
  <c r="W577" i="10"/>
  <c r="X577" i="10" s="1"/>
  <c r="J577" i="10" s="1"/>
  <c r="M577" i="10" s="1"/>
  <c r="N577" i="10" s="1"/>
  <c r="W575" i="10"/>
  <c r="X575" i="10" s="1"/>
  <c r="J575" i="10" s="1"/>
  <c r="M575" i="10" s="1"/>
  <c r="N575" i="10" s="1"/>
  <c r="J574" i="10" l="1"/>
  <c r="M574" i="10" s="1"/>
  <c r="N574" i="10" s="1"/>
  <c r="H581" i="10"/>
  <c r="H580" i="10"/>
  <c r="H579" i="10"/>
  <c r="K270" i="13"/>
  <c r="R270" i="13"/>
  <c r="V581" i="10" l="1"/>
  <c r="V580" i="10"/>
  <c r="V579" i="10"/>
  <c r="H578" i="10"/>
  <c r="P579" i="10" l="1"/>
  <c r="Q579" i="10" s="1"/>
  <c r="P580" i="10"/>
  <c r="Q580" i="10" s="1"/>
  <c r="P578" i="10"/>
  <c r="Q578" i="10" s="1"/>
  <c r="P581" i="10"/>
  <c r="Q581" i="10" s="1"/>
  <c r="V578" i="10"/>
  <c r="W580" i="10" l="1"/>
  <c r="X580" i="10" s="1"/>
  <c r="J580" i="10" s="1"/>
  <c r="M580" i="10" s="1"/>
  <c r="N580" i="10" s="1"/>
  <c r="W578" i="10"/>
  <c r="X578" i="10" s="1"/>
  <c r="W581" i="10"/>
  <c r="X581" i="10" s="1"/>
  <c r="J581" i="10" s="1"/>
  <c r="M581" i="10" s="1"/>
  <c r="N581" i="10" s="1"/>
  <c r="W579" i="10"/>
  <c r="X579" i="10" s="1"/>
  <c r="J579" i="10" s="1"/>
  <c r="M579" i="10" s="1"/>
  <c r="N579" i="10" s="1"/>
  <c r="J578" i="10" l="1"/>
  <c r="M578" i="10" s="1"/>
  <c r="N578" i="10" s="1"/>
  <c r="H585" i="10"/>
  <c r="H584" i="10"/>
  <c r="H583" i="10"/>
  <c r="K271" i="13"/>
  <c r="R271" i="13"/>
  <c r="V585" i="10" l="1"/>
  <c r="V584" i="10"/>
  <c r="V583" i="10"/>
  <c r="H582" i="10"/>
  <c r="P585" i="10" l="1"/>
  <c r="Q585" i="10" s="1"/>
  <c r="P583" i="10"/>
  <c r="Q583" i="10" s="1"/>
  <c r="P586" i="10"/>
  <c r="Q586" i="10" s="1"/>
  <c r="P584" i="10"/>
  <c r="Q584" i="10" s="1"/>
  <c r="P582" i="10"/>
  <c r="Q582" i="10" s="1"/>
  <c r="V582" i="10"/>
  <c r="W583" i="10" l="1"/>
  <c r="X583" i="10" s="1"/>
  <c r="J583" i="10" s="1"/>
  <c r="M583" i="10" s="1"/>
  <c r="N583" i="10" s="1"/>
  <c r="H592" i="10" s="1"/>
  <c r="W586" i="10"/>
  <c r="X586" i="10" s="1"/>
  <c r="J586" i="10" s="1"/>
  <c r="M586" i="10" s="1"/>
  <c r="N586" i="10" s="1"/>
  <c r="H599" i="10" s="1"/>
  <c r="W584" i="10"/>
  <c r="X584" i="10" s="1"/>
  <c r="J584" i="10" s="1"/>
  <c r="M584" i="10" s="1"/>
  <c r="N584" i="10" s="1"/>
  <c r="H587" i="10" s="1"/>
  <c r="W582" i="10"/>
  <c r="X582" i="10" s="1"/>
  <c r="W585" i="10"/>
  <c r="X585" i="10" s="1"/>
  <c r="J585" i="10" s="1"/>
  <c r="M585" i="10" s="1"/>
  <c r="N585" i="10" s="1"/>
  <c r="J582" i="10" l="1"/>
  <c r="M582" i="10" s="1"/>
  <c r="N582" i="10" s="1"/>
  <c r="H588" i="10" s="1"/>
  <c r="H619" i="10"/>
  <c r="P598" i="10"/>
  <c r="P599" i="10"/>
  <c r="Q599" i="10" s="1"/>
  <c r="P597" i="10"/>
  <c r="V599" i="10"/>
  <c r="M277" i="13"/>
  <c r="M276" i="13"/>
  <c r="V592" i="10"/>
  <c r="V587" i="10"/>
  <c r="M273" i="13"/>
  <c r="M275" i="13"/>
  <c r="M274" i="13"/>
  <c r="R273" i="13"/>
  <c r="R274" i="13"/>
  <c r="M272" i="13"/>
  <c r="R272" i="13"/>
  <c r="K272" i="13"/>
  <c r="V619" i="10" l="1"/>
  <c r="W599" i="10"/>
  <c r="X599" i="10" s="1"/>
  <c r="W597" i="10"/>
  <c r="W598" i="10"/>
  <c r="P587" i="10"/>
  <c r="Q587" i="10" s="1"/>
  <c r="P588" i="10"/>
  <c r="Q588" i="10" s="1"/>
  <c r="V588" i="10"/>
  <c r="W588" i="10" l="1"/>
  <c r="X588" i="10" s="1"/>
  <c r="W587" i="10"/>
  <c r="X587" i="10" s="1"/>
  <c r="J587" i="10" s="1"/>
  <c r="M587" i="10" s="1"/>
  <c r="N587" i="10" s="1"/>
  <c r="H589" i="10" s="1"/>
  <c r="J588" i="10" l="1"/>
  <c r="M588" i="10" s="1"/>
  <c r="N588" i="10" s="1"/>
  <c r="H590" i="10" s="1"/>
  <c r="P589" i="10"/>
  <c r="Q589" i="10" s="1"/>
  <c r="P590" i="10"/>
  <c r="V589" i="10"/>
  <c r="K273" i="13"/>
  <c r="W590" i="10" l="1"/>
  <c r="W589" i="10"/>
  <c r="X589" i="10" s="1"/>
  <c r="Q590" i="10"/>
  <c r="V590" i="10"/>
  <c r="X590" i="10" l="1"/>
  <c r="J590" i="10" s="1"/>
  <c r="M590" i="10" s="1"/>
  <c r="N590" i="10" s="1"/>
  <c r="H593" i="10" s="1"/>
  <c r="P593" i="10" l="1"/>
  <c r="Q593" i="10" s="1"/>
  <c r="P594" i="10"/>
  <c r="V593" i="10"/>
  <c r="J589" i="10"/>
  <c r="M589" i="10" s="1"/>
  <c r="W593" i="10" l="1"/>
  <c r="X593" i="10" s="1"/>
  <c r="W594" i="10"/>
  <c r="N589" i="10"/>
  <c r="H591" i="10" s="1"/>
  <c r="P591" i="10" l="1"/>
  <c r="Q591" i="10" s="1"/>
  <c r="P592" i="10"/>
  <c r="Q592" i="10" s="1"/>
  <c r="V591" i="10"/>
  <c r="K274" i="13"/>
  <c r="W592" i="10" l="1"/>
  <c r="X592" i="10" s="1"/>
  <c r="J592" i="10" s="1"/>
  <c r="M592" i="10" s="1"/>
  <c r="N592" i="10" s="1"/>
  <c r="H594" i="10" s="1"/>
  <c r="W591" i="10"/>
  <c r="X591" i="10" s="1"/>
  <c r="J591" i="10" s="1"/>
  <c r="M591" i="10" s="1"/>
  <c r="Q594" i="10" l="1"/>
  <c r="V594" i="10"/>
  <c r="X594" i="10" s="1"/>
  <c r="N591" i="10"/>
  <c r="H602" i="10" s="1"/>
  <c r="R275" i="13"/>
  <c r="K275" i="13"/>
  <c r="V602" i="10" l="1"/>
  <c r="K278" i="13"/>
  <c r="J594" i="10"/>
  <c r="M594" i="10" s="1"/>
  <c r="N594" i="10" s="1"/>
  <c r="H596" i="10" s="1"/>
  <c r="J593" i="10"/>
  <c r="M593" i="10" s="1"/>
  <c r="R276" i="13"/>
  <c r="K276" i="13"/>
  <c r="K277" i="13"/>
  <c r="N593" i="10" l="1"/>
  <c r="V596" i="10"/>
  <c r="H595" i="10" l="1"/>
  <c r="P595" i="10" l="1"/>
  <c r="Q595" i="10" s="1"/>
  <c r="P596" i="10"/>
  <c r="Q596" i="10" s="1"/>
  <c r="V595" i="10"/>
  <c r="W596" i="10" l="1"/>
  <c r="X596" i="10" s="1"/>
  <c r="J596" i="10" s="1"/>
  <c r="M596" i="10" s="1"/>
  <c r="N596" i="10" s="1"/>
  <c r="H598" i="10" s="1"/>
  <c r="W595" i="10"/>
  <c r="X595" i="10" s="1"/>
  <c r="J595" i="10" l="1"/>
  <c r="M595" i="10" s="1"/>
  <c r="N595" i="10" s="1"/>
  <c r="Q598" i="10"/>
  <c r="V598" i="10"/>
  <c r="X598" i="10" s="1"/>
  <c r="J598" i="10" s="1"/>
  <c r="M598" i="10" s="1"/>
  <c r="N598" i="10" s="1"/>
  <c r="H601" i="10" s="1"/>
  <c r="R277" i="13"/>
  <c r="H597" i="10" l="1"/>
  <c r="Q597" i="10" s="1"/>
  <c r="V601" i="10"/>
  <c r="R278" i="13"/>
  <c r="V597" i="10" l="1"/>
  <c r="X597" i="10" s="1"/>
  <c r="J597" i="10" s="1"/>
  <c r="M597" i="10" s="1"/>
  <c r="N597" i="10" s="1"/>
  <c r="H600" i="10" s="1"/>
  <c r="J599" i="10"/>
  <c r="M599" i="10" s="1"/>
  <c r="N599" i="10" s="1"/>
  <c r="H603" i="10" l="1"/>
  <c r="M278" i="13"/>
  <c r="V600" i="10"/>
  <c r="P603" i="10" l="1"/>
  <c r="Q603" i="10" s="1"/>
  <c r="P601" i="10"/>
  <c r="Q601" i="10" s="1"/>
  <c r="P602" i="10"/>
  <c r="Q602" i="10" s="1"/>
  <c r="P600" i="10"/>
  <c r="Q600" i="10" s="1"/>
  <c r="V603" i="10"/>
  <c r="W603" i="10" l="1"/>
  <c r="X603" i="10" s="1"/>
  <c r="W601" i="10"/>
  <c r="X601" i="10" s="1"/>
  <c r="J601" i="10" s="1"/>
  <c r="M601" i="10" s="1"/>
  <c r="N601" i="10" s="1"/>
  <c r="H605" i="10" s="1"/>
  <c r="W602" i="10"/>
  <c r="X602" i="10" s="1"/>
  <c r="J602" i="10" s="1"/>
  <c r="M602" i="10" s="1"/>
  <c r="N602" i="10" s="1"/>
  <c r="H604" i="10" s="1"/>
  <c r="W600" i="10"/>
  <c r="X600" i="10" s="1"/>
  <c r="J600" i="10" s="1"/>
  <c r="M600" i="10" s="1"/>
  <c r="N600" i="10" s="1"/>
  <c r="H606" i="10" s="1"/>
  <c r="J603" i="10" l="1"/>
  <c r="M603" i="10" s="1"/>
  <c r="N603" i="10" s="1"/>
  <c r="H680" i="10" s="1"/>
  <c r="P605" i="10"/>
  <c r="Q605" i="10" s="1"/>
  <c r="P606" i="10"/>
  <c r="Q606" i="10" s="1"/>
  <c r="P604" i="10"/>
  <c r="Q604" i="10" s="1"/>
  <c r="V606" i="10"/>
  <c r="V604" i="10"/>
  <c r="V605" i="10"/>
  <c r="R279" i="13"/>
  <c r="K279" i="13"/>
  <c r="V680" i="10" l="1"/>
  <c r="M309" i="13"/>
  <c r="M307" i="13"/>
  <c r="M308" i="13"/>
  <c r="M304" i="13"/>
  <c r="M305" i="13"/>
  <c r="M306" i="13"/>
  <c r="M302" i="13"/>
  <c r="M303" i="13"/>
  <c r="M301" i="13"/>
  <c r="M298" i="13"/>
  <c r="M300" i="13"/>
  <c r="M299" i="13"/>
  <c r="M297" i="13"/>
  <c r="M296" i="13"/>
  <c r="M294" i="13"/>
  <c r="M295" i="13"/>
  <c r="M293" i="13"/>
  <c r="M292" i="13"/>
  <c r="M291" i="13"/>
  <c r="M289" i="13"/>
  <c r="M290" i="13"/>
  <c r="M287" i="13"/>
  <c r="M288" i="13"/>
  <c r="M285" i="13"/>
  <c r="M286" i="13"/>
  <c r="M284" i="13"/>
  <c r="M283" i="13"/>
  <c r="W605" i="10"/>
  <c r="X605" i="10" s="1"/>
  <c r="J605" i="10" s="1"/>
  <c r="M605" i="10" s="1"/>
  <c r="N605" i="10" s="1"/>
  <c r="W606" i="10"/>
  <c r="X606" i="10" s="1"/>
  <c r="J606" i="10" s="1"/>
  <c r="M606" i="10" s="1"/>
  <c r="N606" i="10" s="1"/>
  <c r="W604" i="10"/>
  <c r="X604" i="10" s="1"/>
  <c r="M280" i="13"/>
  <c r="M281" i="13"/>
  <c r="M282" i="13"/>
  <c r="M279" i="13"/>
  <c r="J604" i="10" l="1"/>
  <c r="M604" i="10" s="1"/>
  <c r="N604" i="10" s="1"/>
  <c r="H609" i="10"/>
  <c r="H607" i="10"/>
  <c r="K280" i="13"/>
  <c r="H608" i="10"/>
  <c r="R280" i="13"/>
  <c r="P608" i="10" l="1"/>
  <c r="Q608" i="10" s="1"/>
  <c r="P609" i="10"/>
  <c r="Q609" i="10" s="1"/>
  <c r="P607" i="10"/>
  <c r="Q607" i="10" s="1"/>
  <c r="V607" i="10"/>
  <c r="V609" i="10"/>
  <c r="V608" i="10"/>
  <c r="W608" i="10" l="1"/>
  <c r="X608" i="10" s="1"/>
  <c r="J608" i="10" s="1"/>
  <c r="M608" i="10" s="1"/>
  <c r="N608" i="10" s="1"/>
  <c r="H611" i="10" s="1"/>
  <c r="W609" i="10"/>
  <c r="X609" i="10" s="1"/>
  <c r="J609" i="10" s="1"/>
  <c r="M609" i="10" s="1"/>
  <c r="N609" i="10" s="1"/>
  <c r="W607" i="10"/>
  <c r="X607" i="10" s="1"/>
  <c r="J607" i="10" l="1"/>
  <c r="M607" i="10" s="1"/>
  <c r="N607" i="10" s="1"/>
  <c r="H610" i="10"/>
  <c r="V610" i="10" s="1"/>
  <c r="K281" i="13"/>
  <c r="H612" i="10"/>
  <c r="V612" i="10" s="1"/>
  <c r="P612" i="10"/>
  <c r="P610" i="10"/>
  <c r="P611" i="10"/>
  <c r="Q611" i="10" s="1"/>
  <c r="V611" i="10"/>
  <c r="R281" i="13"/>
  <c r="Q612" i="10" l="1"/>
  <c r="W610" i="10"/>
  <c r="X610" i="10" s="1"/>
  <c r="J610" i="10" s="1"/>
  <c r="M610" i="10" s="1"/>
  <c r="W611" i="10"/>
  <c r="X611" i="10" s="1"/>
  <c r="W612" i="10"/>
  <c r="X612" i="10" s="1"/>
  <c r="J612" i="10" s="1"/>
  <c r="M612" i="10" s="1"/>
  <c r="N612" i="10" s="1"/>
  <c r="Q610" i="10"/>
  <c r="J611" i="10" l="1"/>
  <c r="M611" i="10" s="1"/>
  <c r="N611" i="10" s="1"/>
  <c r="H621" i="10"/>
  <c r="H617" i="10"/>
  <c r="R284" i="13"/>
  <c r="R283" i="13"/>
  <c r="R282" i="13"/>
  <c r="N610" i="10"/>
  <c r="H618" i="10" s="1"/>
  <c r="P621" i="10" l="1"/>
  <c r="Q621" i="10" s="1"/>
  <c r="P619" i="10"/>
  <c r="Q619" i="10" s="1"/>
  <c r="P617" i="10"/>
  <c r="Q617" i="10" s="1"/>
  <c r="P620" i="10"/>
  <c r="P618" i="10"/>
  <c r="Q618" i="10" s="1"/>
  <c r="V621" i="10"/>
  <c r="V618" i="10"/>
  <c r="V617" i="10"/>
  <c r="H614" i="10"/>
  <c r="P613" i="10" s="1"/>
  <c r="Q613" i="10" s="1"/>
  <c r="K282" i="13"/>
  <c r="W621" i="10" l="1"/>
  <c r="X621" i="10" s="1"/>
  <c r="J621" i="10" s="1"/>
  <c r="M621" i="10" s="1"/>
  <c r="N621" i="10" s="1"/>
  <c r="W619" i="10"/>
  <c r="X619" i="10" s="1"/>
  <c r="J619" i="10" s="1"/>
  <c r="M619" i="10" s="1"/>
  <c r="N619" i="10" s="1"/>
  <c r="H625" i="10" s="1"/>
  <c r="W617" i="10"/>
  <c r="X617" i="10" s="1"/>
  <c r="J617" i="10" s="1"/>
  <c r="M617" i="10" s="1"/>
  <c r="N617" i="10" s="1"/>
  <c r="W620" i="10"/>
  <c r="W618" i="10"/>
  <c r="X618" i="10" s="1"/>
  <c r="V614" i="10"/>
  <c r="W614" i="10" s="1"/>
  <c r="X614" i="10" s="1"/>
  <c r="P614" i="10"/>
  <c r="Q614" i="10" s="1"/>
  <c r="W613" i="10" l="1"/>
  <c r="X613" i="10" s="1"/>
  <c r="P626" i="10"/>
  <c r="P625" i="10"/>
  <c r="Q625" i="10" s="1"/>
  <c r="V625" i="10"/>
  <c r="H623" i="10"/>
  <c r="H622" i="10"/>
  <c r="R285" i="13"/>
  <c r="K283" i="13"/>
  <c r="J613" i="10" l="1"/>
  <c r="M613" i="10" s="1"/>
  <c r="N613" i="10" s="1"/>
  <c r="J614" i="10"/>
  <c r="M614" i="10" s="1"/>
  <c r="N614" i="10" s="1"/>
  <c r="W626" i="10"/>
  <c r="W625" i="10"/>
  <c r="X625" i="10" s="1"/>
  <c r="V623" i="10"/>
  <c r="V622" i="10"/>
  <c r="H615" i="10" l="1"/>
  <c r="V615" i="10" s="1"/>
  <c r="N283" i="13"/>
  <c r="H616" i="10"/>
  <c r="S283" i="13"/>
  <c r="K284" i="13"/>
  <c r="V616" i="10" l="1"/>
  <c r="P615" i="10"/>
  <c r="Q615" i="10" s="1"/>
  <c r="P616" i="10"/>
  <c r="Q616" i="10" s="1"/>
  <c r="W615" i="10" l="1"/>
  <c r="X615" i="10" s="1"/>
  <c r="W616" i="10"/>
  <c r="X616" i="10" s="1"/>
  <c r="J616" i="10" l="1"/>
  <c r="M616" i="10" s="1"/>
  <c r="N616" i="10" s="1"/>
  <c r="H714" i="10" s="1"/>
  <c r="J615" i="10"/>
  <c r="M615" i="10" s="1"/>
  <c r="N615" i="10" s="1"/>
  <c r="V714" i="10" l="1"/>
  <c r="S300" i="13"/>
  <c r="S318" i="13"/>
  <c r="S294" i="13"/>
  <c r="S310" i="13"/>
  <c r="S288" i="13"/>
  <c r="S287" i="13"/>
  <c r="S290" i="13"/>
  <c r="S289" i="13"/>
  <c r="S293" i="13"/>
  <c r="S291" i="13"/>
  <c r="S292" i="13"/>
  <c r="S296" i="13"/>
  <c r="S303" i="13"/>
  <c r="S306" i="13"/>
  <c r="S302" i="13"/>
  <c r="S308" i="13"/>
  <c r="S307" i="13"/>
  <c r="S298" i="13"/>
  <c r="S309" i="13"/>
  <c r="S312" i="13"/>
  <c r="S297" i="13"/>
  <c r="S314" i="13"/>
  <c r="S313" i="13"/>
  <c r="S301" i="13"/>
  <c r="S315" i="13"/>
  <c r="S304" i="13"/>
  <c r="S316" i="13"/>
  <c r="S319" i="13"/>
  <c r="S299" i="13"/>
  <c r="S317" i="13"/>
  <c r="S320" i="13"/>
  <c r="S305" i="13"/>
  <c r="S321" i="13"/>
  <c r="S322" i="13"/>
  <c r="S295" i="13"/>
  <c r="S311" i="13"/>
  <c r="S323" i="13"/>
  <c r="S284" i="13"/>
  <c r="S286" i="13"/>
  <c r="S285" i="13"/>
  <c r="S324" i="13"/>
  <c r="N284" i="13"/>
  <c r="H620" i="10"/>
  <c r="V620" i="10" l="1"/>
  <c r="X620" i="10" s="1"/>
  <c r="Q620" i="10"/>
  <c r="J618" i="10" l="1"/>
  <c r="M618" i="10" s="1"/>
  <c r="N618" i="10" s="1"/>
  <c r="J620" i="10"/>
  <c r="M620" i="10" s="1"/>
  <c r="N620" i="10" s="1"/>
  <c r="N351" i="13" s="1"/>
  <c r="N349" i="13" l="1"/>
  <c r="N350" i="13"/>
  <c r="N347" i="13"/>
  <c r="N348" i="13"/>
  <c r="N345" i="13"/>
  <c r="N346" i="13"/>
  <c r="N343" i="13"/>
  <c r="N344" i="13"/>
  <c r="N341" i="13"/>
  <c r="N342" i="13"/>
  <c r="N339" i="13"/>
  <c r="N340" i="13"/>
  <c r="N337" i="13"/>
  <c r="N338" i="13"/>
  <c r="N335" i="13"/>
  <c r="N336" i="13"/>
  <c r="N333" i="13"/>
  <c r="N334" i="13"/>
  <c r="N331" i="13"/>
  <c r="N332" i="13"/>
  <c r="N329" i="13"/>
  <c r="N330" i="13"/>
  <c r="N327" i="13"/>
  <c r="N328" i="13"/>
  <c r="N325" i="13"/>
  <c r="N326" i="13"/>
  <c r="K285" i="13"/>
  <c r="H624" i="10"/>
  <c r="N306" i="13"/>
  <c r="B5" i="14"/>
  <c r="N285" i="13"/>
  <c r="N287" i="13"/>
  <c r="N286" i="13"/>
  <c r="N289" i="13"/>
  <c r="N288" i="13"/>
  <c r="N291" i="13"/>
  <c r="N292" i="13"/>
  <c r="N290" i="13"/>
  <c r="N295" i="13"/>
  <c r="N294" i="13"/>
  <c r="N296" i="13"/>
  <c r="N297" i="13"/>
  <c r="N300" i="13"/>
  <c r="N299" i="13"/>
  <c r="N298" i="13"/>
  <c r="N301" i="13"/>
  <c r="N303" i="13"/>
  <c r="N302" i="13"/>
  <c r="N309" i="13"/>
  <c r="N293" i="13"/>
  <c r="N312" i="13"/>
  <c r="N311" i="13"/>
  <c r="N314" i="13"/>
  <c r="N305" i="13"/>
  <c r="N313" i="13"/>
  <c r="N317" i="13"/>
  <c r="N316" i="13"/>
  <c r="N310" i="13"/>
  <c r="N318" i="13"/>
  <c r="N321" i="13"/>
  <c r="N308" i="13"/>
  <c r="AL10" i="13"/>
  <c r="J10" i="13" s="1"/>
  <c r="N323" i="13"/>
  <c r="N307" i="13"/>
  <c r="N319" i="13"/>
  <c r="N322" i="13"/>
  <c r="N304" i="13"/>
  <c r="N315" i="13"/>
  <c r="N320" i="13"/>
  <c r="N324" i="13"/>
  <c r="V624" i="10" l="1"/>
  <c r="P623" i="10"/>
  <c r="Q623" i="10" s="1"/>
  <c r="P624" i="10"/>
  <c r="Q624" i="10" s="1"/>
  <c r="P622" i="10"/>
  <c r="Q622" i="10" s="1"/>
  <c r="B10" i="13"/>
  <c r="S10" i="13" s="1"/>
  <c r="G2" i="14"/>
  <c r="F101" i="7" l="1"/>
  <c r="S101" i="7" s="1"/>
  <c r="W10" i="13"/>
  <c r="AI10" i="13"/>
  <c r="W624" i="10"/>
  <c r="X624" i="10" s="1"/>
  <c r="W623" i="10"/>
  <c r="X623" i="10" s="1"/>
  <c r="J623" i="10" s="1"/>
  <c r="M623" i="10" s="1"/>
  <c r="N623" i="10" s="1"/>
  <c r="W622" i="10"/>
  <c r="X622" i="10" s="1"/>
  <c r="J622" i="10" s="1"/>
  <c r="M622" i="10" s="1"/>
  <c r="N622" i="10" s="1"/>
  <c r="H626" i="10" s="1"/>
  <c r="Q626" i="10" l="1"/>
  <c r="V626" i="10"/>
  <c r="X626" i="10" s="1"/>
  <c r="J624" i="10"/>
  <c r="M624" i="10" s="1"/>
  <c r="N624" i="10" s="1"/>
  <c r="K286" i="13"/>
  <c r="H691" i="10"/>
  <c r="V691" i="10" s="1"/>
  <c r="R286" i="13"/>
  <c r="R287" i="13"/>
  <c r="H628" i="10"/>
  <c r="V628" i="10" s="1"/>
  <c r="J626" i="10" l="1"/>
  <c r="M626" i="10" s="1"/>
  <c r="N626" i="10" s="1"/>
  <c r="J625" i="10"/>
  <c r="M625" i="10" s="1"/>
  <c r="N625" i="10" s="1"/>
  <c r="K294" i="13"/>
  <c r="K312" i="13"/>
  <c r="K295" i="13"/>
  <c r="K288" i="13"/>
  <c r="K290" i="13"/>
  <c r="K289" i="13"/>
  <c r="K292" i="13"/>
  <c r="K293" i="13"/>
  <c r="K287" i="13"/>
  <c r="K296" i="13"/>
  <c r="K297" i="13"/>
  <c r="K298" i="13"/>
  <c r="K303" i="13"/>
  <c r="K302" i="13"/>
  <c r="K306" i="13"/>
  <c r="K308" i="13"/>
  <c r="K301" i="13"/>
  <c r="K309" i="13"/>
  <c r="K300" i="13"/>
  <c r="K314" i="13"/>
  <c r="K299" i="13"/>
  <c r="K313" i="13"/>
  <c r="K305" i="13"/>
  <c r="K311" i="13"/>
  <c r="K310" i="13"/>
  <c r="K307" i="13"/>
  <c r="K291" i="13"/>
  <c r="K304" i="13"/>
  <c r="H627" i="10"/>
  <c r="P628" i="10" l="1"/>
  <c r="Q628" i="10" s="1"/>
  <c r="P627" i="10"/>
  <c r="Q627" i="10" s="1"/>
  <c r="V627" i="10"/>
  <c r="W628" i="10" l="1"/>
  <c r="X628" i="10" s="1"/>
  <c r="J628" i="10" s="1"/>
  <c r="M628" i="10" s="1"/>
  <c r="N628" i="10" s="1"/>
  <c r="W627" i="10"/>
  <c r="X627" i="10" s="1"/>
  <c r="J627" i="10" l="1"/>
  <c r="M627" i="10" s="1"/>
  <c r="N627" i="10" s="1"/>
  <c r="H643" i="10" s="1"/>
  <c r="H630" i="10"/>
  <c r="R288" i="13"/>
  <c r="P644" i="10" l="1"/>
  <c r="P643" i="10"/>
  <c r="Q643" i="10" s="1"/>
  <c r="V643" i="10"/>
  <c r="P629" i="10"/>
  <c r="P630" i="10"/>
  <c r="Q630" i="10" s="1"/>
  <c r="V630" i="10"/>
  <c r="H629" i="10"/>
  <c r="W644" i="10" l="1"/>
  <c r="W643" i="10"/>
  <c r="X643" i="10" s="1"/>
  <c r="W630" i="10"/>
  <c r="X630" i="10" s="1"/>
  <c r="W629" i="10"/>
  <c r="Q629" i="10"/>
  <c r="V629" i="10"/>
  <c r="X629" i="10" l="1"/>
  <c r="J629" i="10" l="1"/>
  <c r="M629" i="10" s="1"/>
  <c r="N629" i="10" s="1"/>
  <c r="J630" i="10"/>
  <c r="M630" i="10" s="1"/>
  <c r="N630" i="10" s="1"/>
  <c r="R289" i="13" s="1"/>
  <c r="H632" i="10"/>
  <c r="H631" i="10"/>
  <c r="P631" i="10" l="1"/>
  <c r="Q631" i="10" s="1"/>
  <c r="P632" i="10"/>
  <c r="Q632" i="10" s="1"/>
  <c r="V632" i="10"/>
  <c r="V631" i="10"/>
  <c r="W631" i="10" l="1"/>
  <c r="X631" i="10" s="1"/>
  <c r="W632" i="10"/>
  <c r="X632" i="10" s="1"/>
  <c r="J632" i="10" s="1"/>
  <c r="M632" i="10" s="1"/>
  <c r="N632" i="10" s="1"/>
  <c r="H644" i="10" s="1"/>
  <c r="J631" i="10" l="1"/>
  <c r="M631" i="10" s="1"/>
  <c r="N631" i="10" s="1"/>
  <c r="H634" i="10" s="1"/>
  <c r="Q644" i="10"/>
  <c r="V644" i="10"/>
  <c r="X644" i="10" s="1"/>
  <c r="R295" i="13"/>
  <c r="R294" i="13"/>
  <c r="R293" i="13"/>
  <c r="R292" i="13"/>
  <c r="R291" i="13"/>
  <c r="R290" i="13"/>
  <c r="J644" i="10" l="1"/>
  <c r="M644" i="10" s="1"/>
  <c r="N644" i="10" s="1"/>
  <c r="H646" i="10" s="1"/>
  <c r="J643" i="10"/>
  <c r="M643" i="10" s="1"/>
  <c r="N643" i="10" s="1"/>
  <c r="R296" i="13"/>
  <c r="Q634" i="10"/>
  <c r="V634" i="10"/>
  <c r="X634" i="10" s="1"/>
  <c r="V646" i="10" l="1"/>
  <c r="H645" i="10"/>
  <c r="J634" i="10"/>
  <c r="M634" i="10" s="1"/>
  <c r="N634" i="10" s="1"/>
  <c r="H636" i="10" s="1"/>
  <c r="J633" i="10"/>
  <c r="M633" i="10" s="1"/>
  <c r="N633" i="10" s="1"/>
  <c r="P646" i="10" l="1"/>
  <c r="Q646" i="10" s="1"/>
  <c r="P645" i="10"/>
  <c r="Q645" i="10" s="1"/>
  <c r="V645" i="10"/>
  <c r="H635" i="10"/>
  <c r="V636" i="10"/>
  <c r="W645" i="10" l="1"/>
  <c r="X645" i="10" s="1"/>
  <c r="W646" i="10"/>
  <c r="X646" i="10" s="1"/>
  <c r="J646" i="10" s="1"/>
  <c r="M646" i="10" s="1"/>
  <c r="N646" i="10" s="1"/>
  <c r="H656" i="10" s="1"/>
  <c r="P636" i="10"/>
  <c r="Q636" i="10" s="1"/>
  <c r="P635" i="10"/>
  <c r="Q635" i="10" s="1"/>
  <c r="V635" i="10"/>
  <c r="V656" i="10" l="1"/>
  <c r="J645" i="10"/>
  <c r="M645" i="10" s="1"/>
  <c r="N645" i="10" s="1"/>
  <c r="R298" i="13"/>
  <c r="R300" i="13"/>
  <c r="R299" i="13"/>
  <c r="R297" i="13"/>
  <c r="W635" i="10"/>
  <c r="X635" i="10" s="1"/>
  <c r="W636" i="10"/>
  <c r="X636" i="10" s="1"/>
  <c r="J636" i="10" s="1"/>
  <c r="M636" i="10" s="1"/>
  <c r="N636" i="10" s="1"/>
  <c r="H638" i="10"/>
  <c r="H651" i="10" l="1"/>
  <c r="V651" i="10" s="1"/>
  <c r="J635" i="10"/>
  <c r="M635" i="10" s="1"/>
  <c r="N635" i="10" s="1"/>
  <c r="H637" i="10"/>
  <c r="V638" i="10"/>
  <c r="P637" i="10" l="1"/>
  <c r="Q637" i="10" s="1"/>
  <c r="P638" i="10"/>
  <c r="Q638" i="10" s="1"/>
  <c r="V637" i="10"/>
  <c r="W637" i="10" l="1"/>
  <c r="X637" i="10" s="1"/>
  <c r="W638" i="10"/>
  <c r="X638" i="10" s="1"/>
  <c r="J638" i="10" s="1"/>
  <c r="M638" i="10" s="1"/>
  <c r="N638" i="10" s="1"/>
  <c r="J637" i="10" l="1"/>
  <c r="M637" i="10" s="1"/>
  <c r="N637" i="10" s="1"/>
  <c r="H639" i="10"/>
  <c r="H640" i="10"/>
  <c r="P639" i="10" l="1"/>
  <c r="Q639" i="10" s="1"/>
  <c r="P640" i="10"/>
  <c r="Q640" i="10" s="1"/>
  <c r="V640" i="10"/>
  <c r="V639" i="10"/>
  <c r="W639" i="10" l="1"/>
  <c r="X639" i="10" s="1"/>
  <c r="W640" i="10"/>
  <c r="X640" i="10" s="1"/>
  <c r="J640" i="10" s="1"/>
  <c r="M640" i="10" s="1"/>
  <c r="N640" i="10" s="1"/>
  <c r="J639" i="10" l="1"/>
  <c r="M639" i="10" s="1"/>
  <c r="N639" i="10" s="1"/>
  <c r="H642" i="10"/>
  <c r="H641" i="10"/>
  <c r="P641" i="10" l="1"/>
  <c r="Q641" i="10" s="1"/>
  <c r="P642" i="10"/>
  <c r="Q642" i="10" s="1"/>
  <c r="V641" i="10"/>
  <c r="V642" i="10"/>
  <c r="W641" i="10" l="1"/>
  <c r="X641" i="10" s="1"/>
  <c r="W642" i="10"/>
  <c r="X642" i="10" s="1"/>
  <c r="J642" i="10" s="1"/>
  <c r="M642" i="10" s="1"/>
  <c r="N642" i="10" s="1"/>
  <c r="J641" i="10" l="1"/>
  <c r="M641" i="10" s="1"/>
  <c r="N641" i="10" s="1"/>
  <c r="H647" i="10"/>
  <c r="P647" i="10" s="1"/>
  <c r="Q647" i="10" s="1"/>
  <c r="V647" i="10" l="1"/>
  <c r="W647" i="10" s="1"/>
  <c r="X647" i="10" s="1"/>
  <c r="P648" i="10"/>
  <c r="H648" i="10"/>
  <c r="W648" i="10" l="1"/>
  <c r="Q648" i="10"/>
  <c r="V648" i="10"/>
  <c r="X648" i="10" l="1"/>
  <c r="J648" i="10" l="1"/>
  <c r="M648" i="10" s="1"/>
  <c r="N648" i="10" s="1"/>
  <c r="H650" i="10" s="1"/>
  <c r="J647" i="10"/>
  <c r="M647" i="10" s="1"/>
  <c r="N647" i="10" s="1"/>
  <c r="H649" i="10" s="1"/>
  <c r="V649" i="10" s="1"/>
  <c r="P650" i="10" l="1"/>
  <c r="Q650" i="10" s="1"/>
  <c r="P651" i="10"/>
  <c r="Q651" i="10" s="1"/>
  <c r="P649" i="10"/>
  <c r="Q649" i="10" s="1"/>
  <c r="V650" i="10"/>
  <c r="W651" i="10" l="1"/>
  <c r="X651" i="10" s="1"/>
  <c r="J651" i="10" s="1"/>
  <c r="M651" i="10" s="1"/>
  <c r="N651" i="10" s="1"/>
  <c r="W649" i="10"/>
  <c r="X649" i="10" s="1"/>
  <c r="W650" i="10"/>
  <c r="X650" i="10" s="1"/>
  <c r="H654" i="10"/>
  <c r="J649" i="10" l="1"/>
  <c r="M649" i="10" s="1"/>
  <c r="N649" i="10" s="1"/>
  <c r="H652" i="10" s="1"/>
  <c r="V652" i="10" s="1"/>
  <c r="J650" i="10"/>
  <c r="M650" i="10" s="1"/>
  <c r="N650" i="10" s="1"/>
  <c r="H653" i="10" s="1"/>
  <c r="V653" i="10" s="1"/>
  <c r="P653" i="10"/>
  <c r="P654" i="10"/>
  <c r="Q654" i="10" s="1"/>
  <c r="P652" i="10"/>
  <c r="V654" i="10"/>
  <c r="Q652" i="10" l="1"/>
  <c r="Q653" i="10"/>
  <c r="W653" i="10"/>
  <c r="X653" i="10" s="1"/>
  <c r="J653" i="10" s="1"/>
  <c r="M653" i="10" s="1"/>
  <c r="N653" i="10" s="1"/>
  <c r="H658" i="10" s="1"/>
  <c r="W654" i="10"/>
  <c r="X654" i="10" s="1"/>
  <c r="W652" i="10"/>
  <c r="X652" i="10" s="1"/>
  <c r="J652" i="10" s="1"/>
  <c r="M652" i="10" s="1"/>
  <c r="J654" i="10" l="1"/>
  <c r="M654" i="10" s="1"/>
  <c r="N654" i="10" s="1"/>
  <c r="V658" i="10"/>
  <c r="H655" i="10"/>
  <c r="N652" i="10"/>
  <c r="H659" i="10" s="1"/>
  <c r="V659" i="10" l="1"/>
  <c r="P656" i="10"/>
  <c r="Q656" i="10" s="1"/>
  <c r="P655" i="10"/>
  <c r="Q655" i="10" s="1"/>
  <c r="V655" i="10"/>
  <c r="W655" i="10" l="1"/>
  <c r="X655" i="10" s="1"/>
  <c r="W656" i="10"/>
  <c r="X656" i="10" s="1"/>
  <c r="J656" i="10" s="1"/>
  <c r="M656" i="10" s="1"/>
  <c r="N656" i="10" s="1"/>
  <c r="H676" i="10" s="1"/>
  <c r="J655" i="10" l="1"/>
  <c r="M655" i="10" s="1"/>
  <c r="N655" i="10" s="1"/>
  <c r="H657" i="10" s="1"/>
  <c r="V676" i="10"/>
  <c r="X676" i="10" s="1"/>
  <c r="Q676" i="10"/>
  <c r="R307" i="13"/>
  <c r="R306" i="13"/>
  <c r="R305" i="13"/>
  <c r="R303" i="13"/>
  <c r="R304" i="13"/>
  <c r="R302" i="13"/>
  <c r="R301" i="13"/>
  <c r="J676" i="10" l="1"/>
  <c r="M676" i="10" s="1"/>
  <c r="N676" i="10" s="1"/>
  <c r="J675" i="10"/>
  <c r="M675" i="10" s="1"/>
  <c r="N675" i="10" s="1"/>
  <c r="R308" i="13"/>
  <c r="P658" i="10"/>
  <c r="Q658" i="10" s="1"/>
  <c r="P659" i="10"/>
  <c r="Q659" i="10" s="1"/>
  <c r="P657" i="10"/>
  <c r="Q657" i="10" s="1"/>
  <c r="V657" i="10"/>
  <c r="H678" i="10" l="1"/>
  <c r="H677" i="10"/>
  <c r="O308" i="13"/>
  <c r="W659" i="10"/>
  <c r="X659" i="10" s="1"/>
  <c r="J659" i="10" s="1"/>
  <c r="M659" i="10" s="1"/>
  <c r="N659" i="10" s="1"/>
  <c r="H662" i="10" s="1"/>
  <c r="W657" i="10"/>
  <c r="X657" i="10" s="1"/>
  <c r="W658" i="10"/>
  <c r="X658" i="10" s="1"/>
  <c r="J658" i="10" s="1"/>
  <c r="M658" i="10" s="1"/>
  <c r="N658" i="10" s="1"/>
  <c r="P677" i="10" l="1"/>
  <c r="Q677" i="10" s="1"/>
  <c r="P678" i="10"/>
  <c r="Q678" i="10" s="1"/>
  <c r="V678" i="10"/>
  <c r="V677" i="10"/>
  <c r="H661" i="10"/>
  <c r="J657" i="10"/>
  <c r="M657" i="10" s="1"/>
  <c r="N657" i="10" s="1"/>
  <c r="H660" i="10" s="1"/>
  <c r="V662" i="10"/>
  <c r="W678" i="10" l="1"/>
  <c r="X678" i="10" s="1"/>
  <c r="J678" i="10" s="1"/>
  <c r="M678" i="10" s="1"/>
  <c r="N678" i="10" s="1"/>
  <c r="W677" i="10"/>
  <c r="X677" i="10" s="1"/>
  <c r="V660" i="10"/>
  <c r="P661" i="10"/>
  <c r="Q661" i="10" s="1"/>
  <c r="P662" i="10"/>
  <c r="Q662" i="10" s="1"/>
  <c r="P660" i="10"/>
  <c r="Q660" i="10" s="1"/>
  <c r="V661" i="10"/>
  <c r="J677" i="10" l="1"/>
  <c r="M677" i="10" s="1"/>
  <c r="N677" i="10" s="1"/>
  <c r="H721" i="10" s="1"/>
  <c r="O324" i="13"/>
  <c r="O325" i="13"/>
  <c r="O322" i="13"/>
  <c r="O323" i="13"/>
  <c r="O320" i="13"/>
  <c r="O321" i="13"/>
  <c r="O318" i="13"/>
  <c r="O319" i="13"/>
  <c r="O316" i="13"/>
  <c r="O317" i="13"/>
  <c r="O315" i="13"/>
  <c r="O313" i="13"/>
  <c r="O314" i="13"/>
  <c r="O312" i="13"/>
  <c r="H681" i="10"/>
  <c r="O310" i="13"/>
  <c r="O311" i="13"/>
  <c r="R310" i="13"/>
  <c r="O309" i="13"/>
  <c r="R309" i="13"/>
  <c r="W660" i="10"/>
  <c r="X660" i="10" s="1"/>
  <c r="W661" i="10"/>
  <c r="X661" i="10" s="1"/>
  <c r="W662" i="10"/>
  <c r="X662" i="10" s="1"/>
  <c r="J662" i="10" s="1"/>
  <c r="M662" i="10" s="1"/>
  <c r="N662" i="10" s="1"/>
  <c r="H665" i="10" s="1"/>
  <c r="V665" i="10" s="1"/>
  <c r="P721" i="10" l="1"/>
  <c r="Q721" i="10" s="1"/>
  <c r="P722" i="10"/>
  <c r="V721" i="10"/>
  <c r="O328" i="13"/>
  <c r="O326" i="13"/>
  <c r="O327" i="13"/>
  <c r="P681" i="10"/>
  <c r="Q681" i="10" s="1"/>
  <c r="P682" i="10"/>
  <c r="V681" i="10"/>
  <c r="J661" i="10"/>
  <c r="M661" i="10" s="1"/>
  <c r="N661" i="10" s="1"/>
  <c r="H664" i="10" s="1"/>
  <c r="J660" i="10"/>
  <c r="M660" i="10" s="1"/>
  <c r="N660" i="10" s="1"/>
  <c r="H663" i="10"/>
  <c r="W721" i="10" l="1"/>
  <c r="X721" i="10" s="1"/>
  <c r="W722" i="10"/>
  <c r="W681" i="10"/>
  <c r="X681" i="10" s="1"/>
  <c r="W682" i="10"/>
  <c r="V664" i="10"/>
  <c r="P665" i="10"/>
  <c r="Q665" i="10" s="1"/>
  <c r="P663" i="10"/>
  <c r="Q663" i="10" s="1"/>
  <c r="P664" i="10"/>
  <c r="Q664" i="10" s="1"/>
  <c r="V663" i="10"/>
  <c r="W665" i="10" l="1"/>
  <c r="X665" i="10" s="1"/>
  <c r="J665" i="10" s="1"/>
  <c r="M665" i="10" s="1"/>
  <c r="N665" i="10" s="1"/>
  <c r="H668" i="10" s="1"/>
  <c r="V668" i="10" s="1"/>
  <c r="W663" i="10"/>
  <c r="X663" i="10" s="1"/>
  <c r="W664" i="10"/>
  <c r="X664" i="10" s="1"/>
  <c r="J663" i="10" l="1"/>
  <c r="M663" i="10" s="1"/>
  <c r="N663" i="10" s="1"/>
  <c r="H666" i="10" s="1"/>
  <c r="V666" i="10" s="1"/>
  <c r="J664" i="10"/>
  <c r="M664" i="10" s="1"/>
  <c r="N664" i="10" s="1"/>
  <c r="H667" i="10" s="1"/>
  <c r="P668" i="10" s="1"/>
  <c r="Q668" i="10" s="1"/>
  <c r="P667" i="10" l="1"/>
  <c r="Q667" i="10" s="1"/>
  <c r="P666" i="10"/>
  <c r="Q666" i="10" s="1"/>
  <c r="V667" i="10"/>
  <c r="W667" i="10"/>
  <c r="X667" i="10" s="1"/>
  <c r="W668" i="10"/>
  <c r="X668" i="10" s="1"/>
  <c r="J668" i="10" s="1"/>
  <c r="M668" i="10" s="1"/>
  <c r="N668" i="10" s="1"/>
  <c r="W666" i="10"/>
  <c r="X666" i="10" s="1"/>
  <c r="J666" i="10" s="1"/>
  <c r="M666" i="10" s="1"/>
  <c r="N666" i="10" s="1"/>
  <c r="H669" i="10" s="1"/>
  <c r="Q25" i="13"/>
  <c r="Q62" i="13"/>
  <c r="Q79" i="13"/>
  <c r="Q39" i="13"/>
  <c r="Q30" i="13"/>
  <c r="Q71" i="13"/>
  <c r="Q69" i="13"/>
  <c r="Q70" i="13"/>
  <c r="Q35" i="13"/>
  <c r="Q29" i="13"/>
  <c r="Q56" i="13"/>
  <c r="Q53" i="13"/>
  <c r="Q77" i="13"/>
  <c r="Q33" i="13"/>
  <c r="Q40" i="13"/>
  <c r="Q76" i="13"/>
  <c r="Q61" i="13"/>
  <c r="Q64" i="13"/>
  <c r="Q75" i="13"/>
  <c r="Q43" i="13"/>
  <c r="Q60" i="13"/>
  <c r="Q31" i="13"/>
  <c r="Q67" i="13"/>
  <c r="Q49" i="13"/>
  <c r="Q26" i="13"/>
  <c r="Q44" i="13"/>
  <c r="Q59" i="13"/>
  <c r="Q41" i="13"/>
  <c r="Q48" i="13"/>
  <c r="Q28" i="13"/>
  <c r="Q51" i="13"/>
  <c r="Q52" i="13"/>
  <c r="Q47" i="13"/>
  <c r="Q80" i="13"/>
  <c r="Q34" i="13"/>
  <c r="Q74" i="13"/>
  <c r="Q46" i="13"/>
  <c r="Q38" i="13"/>
  <c r="Q36" i="13"/>
  <c r="Q37" i="13"/>
  <c r="Q82" i="13"/>
  <c r="Q58" i="13"/>
  <c r="Q45" i="13"/>
  <c r="Q57" i="13"/>
  <c r="Q78" i="13"/>
  <c r="Q66" i="13"/>
  <c r="Q42" i="13"/>
  <c r="Q32" i="13"/>
  <c r="Q55" i="13"/>
  <c r="Q72" i="13"/>
  <c r="Q50" i="13"/>
  <c r="Q81" i="13"/>
  <c r="Q68" i="13"/>
  <c r="Q27" i="13"/>
  <c r="Q73" i="13"/>
  <c r="Q65" i="13"/>
  <c r="Q54" i="13"/>
  <c r="Q63" i="13"/>
  <c r="Q85" i="13"/>
  <c r="Q83" i="13"/>
  <c r="Q86" i="13"/>
  <c r="Q84" i="13"/>
  <c r="Q89" i="13"/>
  <c r="Q87" i="13"/>
  <c r="Q88" i="13"/>
  <c r="Q90" i="13"/>
  <c r="Q91" i="13"/>
  <c r="Q92" i="13"/>
  <c r="Q93" i="13"/>
  <c r="Q94" i="13"/>
  <c r="Q95" i="13"/>
  <c r="Q96" i="13"/>
  <c r="Q98" i="13"/>
  <c r="Q101" i="13"/>
  <c r="Q97" i="13"/>
  <c r="Q102" i="13"/>
  <c r="Q100" i="13"/>
  <c r="Q99" i="13"/>
  <c r="Q103" i="13"/>
  <c r="Q107" i="13"/>
  <c r="Q105" i="13"/>
  <c r="Q104" i="13"/>
  <c r="Q106" i="13"/>
  <c r="Q110" i="13"/>
  <c r="Q108" i="13"/>
  <c r="Q109" i="13"/>
  <c r="Q111" i="13"/>
  <c r="Q113" i="13"/>
  <c r="Q112" i="13"/>
  <c r="Q114" i="13"/>
  <c r="Q115" i="13"/>
  <c r="Q151" i="13"/>
  <c r="Q116" i="13"/>
  <c r="Q152" i="13"/>
  <c r="Q136" i="13"/>
  <c r="Q133" i="13"/>
  <c r="Q174" i="13"/>
  <c r="Q157" i="13"/>
  <c r="Q158" i="13"/>
  <c r="Q139" i="13"/>
  <c r="Q117" i="13"/>
  <c r="Q127" i="13"/>
  <c r="Q126" i="13"/>
  <c r="Q175" i="13"/>
  <c r="Q181" i="13"/>
  <c r="Q123" i="13"/>
  <c r="Q164" i="13"/>
  <c r="Q120" i="13"/>
  <c r="Q166" i="13"/>
  <c r="Q172" i="13"/>
  <c r="Q163" i="13"/>
  <c r="Q148" i="13"/>
  <c r="Q122" i="13"/>
  <c r="Q150" i="13"/>
  <c r="Q156" i="13"/>
  <c r="Q130" i="13"/>
  <c r="Q140" i="13"/>
  <c r="Q154" i="13"/>
  <c r="Q180" i="13"/>
  <c r="Q179" i="13"/>
  <c r="Q137" i="13"/>
  <c r="Q124" i="13"/>
  <c r="Q171" i="13"/>
  <c r="Q170" i="13"/>
  <c r="Q121" i="13"/>
  <c r="Q153" i="13"/>
  <c r="Q149" i="13"/>
  <c r="Q155" i="13"/>
  <c r="Q177" i="13"/>
  <c r="Q144" i="13"/>
  <c r="Q131" i="13"/>
  <c r="Q145" i="13"/>
  <c r="Q178" i="13"/>
  <c r="Q161" i="13"/>
  <c r="Q128" i="13"/>
  <c r="Q173" i="13"/>
  <c r="Q142" i="13"/>
  <c r="Q162" i="13"/>
  <c r="Q168" i="13"/>
  <c r="Q135" i="13"/>
  <c r="Q138" i="13"/>
  <c r="Q118" i="13"/>
  <c r="Q146" i="13"/>
  <c r="Q134" i="13"/>
  <c r="Q119" i="13"/>
  <c r="Q165" i="13"/>
  <c r="Q129" i="13"/>
  <c r="Q169" i="13"/>
  <c r="Q176" i="13"/>
  <c r="Q141" i="13"/>
  <c r="Q160" i="13"/>
  <c r="Q125" i="13"/>
  <c r="Q167" i="13"/>
  <c r="Q132" i="13"/>
  <c r="Q159" i="13"/>
  <c r="Q147" i="13"/>
  <c r="Q143" i="13"/>
  <c r="Q182" i="13"/>
  <c r="Q183" i="13"/>
  <c r="Q184" i="13"/>
  <c r="Q185" i="13"/>
  <c r="Q188" i="13"/>
  <c r="Q204" i="13"/>
  <c r="Q197" i="13"/>
  <c r="Q195" i="13"/>
  <c r="Q186" i="13"/>
  <c r="Q202" i="13"/>
  <c r="Q193" i="13"/>
  <c r="Q200" i="13"/>
  <c r="Q198" i="13"/>
  <c r="Q203" i="13"/>
  <c r="Q191" i="13"/>
  <c r="Q189" i="13"/>
  <c r="Q187" i="13"/>
  <c r="Q196" i="13"/>
  <c r="Q194" i="13"/>
  <c r="Q201" i="13"/>
  <c r="Q192" i="13"/>
  <c r="Q199" i="13"/>
  <c r="Q190" i="13"/>
  <c r="Q215" i="13"/>
  <c r="Q207" i="13"/>
  <c r="Q247" i="13"/>
  <c r="Q235" i="13"/>
  <c r="Q230" i="13"/>
  <c r="Q248" i="13"/>
  <c r="Q222" i="13"/>
  <c r="Q214" i="13"/>
  <c r="Q245" i="13"/>
  <c r="Q206" i="13"/>
  <c r="Q228" i="13"/>
  <c r="Q205" i="13"/>
  <c r="Q246" i="13"/>
  <c r="Q229" i="13"/>
  <c r="Q219" i="13"/>
  <c r="Q243" i="13"/>
  <c r="Q213" i="13"/>
  <c r="Q233" i="13"/>
  <c r="Q244" i="13"/>
  <c r="Q220" i="13"/>
  <c r="Q217" i="13"/>
  <c r="Q241" i="13"/>
  <c r="Q227" i="13"/>
  <c r="Q224" i="13"/>
  <c r="Q242" i="13"/>
  <c r="Q211" i="13"/>
  <c r="Q208" i="13"/>
  <c r="Q239" i="13"/>
  <c r="Q218" i="13"/>
  <c r="Q221" i="13"/>
  <c r="Q240" i="13"/>
  <c r="Q234" i="13"/>
  <c r="Q226" i="13"/>
  <c r="Q237" i="13"/>
  <c r="Q225" i="13"/>
  <c r="Q212" i="13"/>
  <c r="Q238" i="13"/>
  <c r="Q209" i="13"/>
  <c r="Q232" i="13"/>
  <c r="Q210" i="13"/>
  <c r="Q236" i="13"/>
  <c r="Q216" i="13"/>
  <c r="Q231" i="13"/>
  <c r="Q223" i="13"/>
  <c r="Q249" i="13"/>
  <c r="Q254" i="13"/>
  <c r="Q255" i="13"/>
  <c r="Q253" i="13"/>
  <c r="Q251" i="13"/>
  <c r="Q252" i="13"/>
  <c r="Q250" i="13"/>
  <c r="Q256" i="13"/>
  <c r="Q258" i="13"/>
  <c r="Q259" i="13"/>
  <c r="Q257" i="13"/>
  <c r="Q280" i="13"/>
  <c r="Q262" i="13"/>
  <c r="Q274" i="13"/>
  <c r="Q260" i="13"/>
  <c r="Q279" i="13"/>
  <c r="Q271" i="13"/>
  <c r="Q261" i="13"/>
  <c r="Q289" i="13"/>
  <c r="Q273" i="13"/>
  <c r="Q263" i="13"/>
  <c r="Q290" i="13"/>
  <c r="Q278" i="13"/>
  <c r="Q264" i="13"/>
  <c r="Q287" i="13"/>
  <c r="Q269" i="13"/>
  <c r="Q288" i="13"/>
  <c r="Q272" i="13"/>
  <c r="Q285" i="13"/>
  <c r="Q267" i="13"/>
  <c r="Q286" i="13"/>
  <c r="Q270" i="13"/>
  <c r="Q284" i="13"/>
  <c r="Q268" i="13"/>
  <c r="Q283" i="13"/>
  <c r="Q265" i="13"/>
  <c r="Q277" i="13"/>
  <c r="Q282" i="13"/>
  <c r="Q266" i="13"/>
  <c r="Q276" i="13"/>
  <c r="Q281" i="13"/>
  <c r="Q275" i="13"/>
  <c r="Q291" i="13"/>
  <c r="Q292" i="13"/>
  <c r="Q293" i="13"/>
  <c r="Q294" i="13"/>
  <c r="Q295" i="13"/>
  <c r="Q297" i="13"/>
  <c r="Q296" i="13"/>
  <c r="Q298" i="13"/>
  <c r="Q299" i="13"/>
  <c r="Q301" i="13"/>
  <c r="Q300" i="13"/>
  <c r="Q303" i="13"/>
  <c r="Q302" i="13"/>
  <c r="Q304" i="13"/>
  <c r="U25" i="13"/>
  <c r="U45" i="13"/>
  <c r="U27" i="13"/>
  <c r="U52" i="13"/>
  <c r="U51" i="13"/>
  <c r="U44" i="13"/>
  <c r="U34" i="13"/>
  <c r="U43" i="13"/>
  <c r="U32" i="13"/>
  <c r="U47" i="13"/>
  <c r="U37" i="13"/>
  <c r="U30" i="13"/>
  <c r="U28" i="13"/>
  <c r="U35" i="13"/>
  <c r="U36" i="13"/>
  <c r="U39" i="13"/>
  <c r="U26" i="13"/>
  <c r="U42" i="13"/>
  <c r="U46" i="13"/>
  <c r="U33" i="13"/>
  <c r="U29" i="13"/>
  <c r="U31" i="13"/>
  <c r="U50" i="13"/>
  <c r="U41" i="13"/>
  <c r="U49" i="13"/>
  <c r="U48" i="13"/>
  <c r="U38" i="13"/>
  <c r="U40" i="13"/>
  <c r="U55" i="13"/>
  <c r="U53" i="13"/>
  <c r="U56" i="13"/>
  <c r="U54" i="13"/>
  <c r="U61" i="13"/>
  <c r="U57" i="13"/>
  <c r="U60" i="13"/>
  <c r="U58" i="13"/>
  <c r="U59" i="13"/>
  <c r="U62" i="13"/>
  <c r="U65" i="13"/>
  <c r="U66" i="13"/>
  <c r="U67" i="13"/>
  <c r="U63" i="13"/>
  <c r="U64" i="13"/>
  <c r="U68" i="13"/>
  <c r="U69" i="13"/>
  <c r="U70" i="13"/>
  <c r="U71" i="13"/>
  <c r="U72" i="13"/>
  <c r="U73" i="13"/>
  <c r="U74" i="13"/>
  <c r="U75" i="13"/>
  <c r="U76" i="13"/>
  <c r="U77" i="13"/>
  <c r="U78" i="13"/>
  <c r="U83" i="13"/>
  <c r="U81" i="13"/>
  <c r="U79" i="13"/>
  <c r="U84" i="13"/>
  <c r="U82" i="13"/>
  <c r="U80" i="13"/>
  <c r="U85" i="13"/>
  <c r="U86" i="13"/>
  <c r="U87" i="13"/>
  <c r="U88" i="13"/>
  <c r="U89" i="13"/>
  <c r="U90" i="13"/>
  <c r="U92" i="13"/>
  <c r="U93" i="13"/>
  <c r="U91" i="13"/>
  <c r="U94" i="13"/>
  <c r="U95" i="13"/>
  <c r="U96" i="13"/>
  <c r="U101" i="13"/>
  <c r="U99" i="13"/>
  <c r="U98" i="13"/>
  <c r="U102" i="13"/>
  <c r="U100" i="13"/>
  <c r="U97" i="13"/>
  <c r="U103" i="13"/>
  <c r="U106" i="13"/>
  <c r="U104" i="13"/>
  <c r="U105" i="13"/>
  <c r="U107" i="13"/>
  <c r="U112" i="13"/>
  <c r="U110" i="13"/>
  <c r="U108" i="13"/>
  <c r="U111" i="13"/>
  <c r="U109" i="13"/>
  <c r="U113" i="13"/>
  <c r="U114" i="13"/>
  <c r="U115" i="13"/>
  <c r="U116" i="13"/>
  <c r="U117" i="13"/>
  <c r="U118" i="13"/>
  <c r="U122" i="13"/>
  <c r="U129" i="13"/>
  <c r="U136" i="13"/>
  <c r="U120" i="13"/>
  <c r="U127" i="13"/>
  <c r="U130" i="13"/>
  <c r="U134" i="13"/>
  <c r="U137" i="13"/>
  <c r="U125" i="13"/>
  <c r="U121" i="13"/>
  <c r="U132" i="13"/>
  <c r="U128" i="13"/>
  <c r="U123" i="13"/>
  <c r="U135" i="13"/>
  <c r="U119" i="13"/>
  <c r="U126" i="13"/>
  <c r="U133" i="13"/>
  <c r="U124" i="13"/>
  <c r="U131" i="13"/>
  <c r="U138" i="13"/>
  <c r="U139" i="13"/>
  <c r="U140" i="13"/>
  <c r="U141" i="13"/>
  <c r="U142" i="13"/>
  <c r="U143" i="13"/>
  <c r="U146" i="13"/>
  <c r="U144" i="13"/>
  <c r="U145" i="13"/>
  <c r="U147" i="13"/>
  <c r="U148" i="13"/>
  <c r="U149" i="13"/>
  <c r="U179" i="13"/>
  <c r="U164" i="13"/>
  <c r="U163" i="13"/>
  <c r="U160" i="13"/>
  <c r="U156" i="13"/>
  <c r="U170" i="13"/>
  <c r="U153" i="13"/>
  <c r="U152" i="13"/>
  <c r="U154" i="13"/>
  <c r="U161" i="13"/>
  <c r="U171" i="13"/>
  <c r="U177" i="13"/>
  <c r="U155" i="13"/>
  <c r="U178" i="13"/>
  <c r="U168" i="13"/>
  <c r="U169" i="13"/>
  <c r="U162" i="13"/>
  <c r="U176" i="13"/>
  <c r="U175" i="13"/>
  <c r="U167" i="13"/>
  <c r="U182" i="13"/>
  <c r="U180" i="13"/>
  <c r="U151" i="13"/>
  <c r="U166" i="13"/>
  <c r="U150" i="13"/>
  <c r="U174" i="13"/>
  <c r="U173" i="13"/>
  <c r="U158" i="13"/>
  <c r="U157" i="13"/>
  <c r="U181" i="13"/>
  <c r="U165" i="13"/>
  <c r="U172" i="13"/>
  <c r="U159" i="13"/>
  <c r="U183" i="13"/>
  <c r="U184" i="13"/>
  <c r="U185" i="13"/>
  <c r="U187" i="13"/>
  <c r="U188" i="13"/>
  <c r="U186" i="13"/>
  <c r="U189" i="13"/>
  <c r="U190" i="13"/>
  <c r="U191" i="13"/>
  <c r="U192" i="13"/>
  <c r="U193" i="13"/>
  <c r="U194" i="13"/>
  <c r="U198" i="13"/>
  <c r="U197" i="13"/>
  <c r="U205" i="13"/>
  <c r="U209" i="13"/>
  <c r="U203" i="13"/>
  <c r="U210" i="13"/>
  <c r="U196" i="13"/>
  <c r="U208" i="13"/>
  <c r="U201" i="13"/>
  <c r="U200" i="13"/>
  <c r="U199" i="13"/>
  <c r="U204" i="13"/>
  <c r="U195" i="13"/>
  <c r="U206" i="13"/>
  <c r="U202" i="13"/>
  <c r="U207" i="13"/>
  <c r="U211" i="13"/>
  <c r="U212" i="13"/>
  <c r="U213" i="13"/>
  <c r="U214" i="13"/>
  <c r="U267" i="13"/>
  <c r="U252" i="13"/>
  <c r="U215" i="13"/>
  <c r="U265" i="13"/>
  <c r="U249" i="13"/>
  <c r="U227" i="13"/>
  <c r="U235" i="13"/>
  <c r="U266" i="13"/>
  <c r="U250" i="13"/>
  <c r="U218" i="13"/>
  <c r="U229" i="13"/>
  <c r="U263" i="13"/>
  <c r="U247" i="13"/>
  <c r="U225" i="13"/>
  <c r="U220" i="13"/>
  <c r="U264" i="13"/>
  <c r="U248" i="13"/>
  <c r="U232" i="13"/>
  <c r="U216" i="13"/>
  <c r="U261" i="13"/>
  <c r="U245" i="13"/>
  <c r="U234" i="13"/>
  <c r="U222" i="13"/>
  <c r="U262" i="13"/>
  <c r="U246" i="13"/>
  <c r="U223" i="13"/>
  <c r="U217" i="13"/>
  <c r="U259" i="13"/>
  <c r="U243" i="13"/>
  <c r="U230" i="13"/>
  <c r="U239" i="13"/>
  <c r="U260" i="13"/>
  <c r="U244" i="13"/>
  <c r="U221" i="13"/>
  <c r="U240" i="13"/>
  <c r="U257" i="13"/>
  <c r="U241" i="13"/>
  <c r="U228" i="13"/>
  <c r="U219" i="13"/>
  <c r="U258" i="13"/>
  <c r="U242" i="13"/>
  <c r="U236" i="13"/>
  <c r="U226" i="13"/>
  <c r="U255" i="13"/>
  <c r="U224" i="13"/>
  <c r="U256" i="13"/>
  <c r="U238" i="13"/>
  <c r="U253" i="13"/>
  <c r="U233" i="13"/>
  <c r="U254" i="13"/>
  <c r="U251" i="13"/>
  <c r="U231" i="13"/>
  <c r="U237" i="13"/>
  <c r="U268" i="13"/>
  <c r="U269" i="13"/>
  <c r="U270" i="13"/>
  <c r="U271" i="13"/>
  <c r="U273" i="13"/>
  <c r="U284" i="13"/>
  <c r="U272" i="13"/>
  <c r="U283" i="13"/>
  <c r="U274" i="13"/>
  <c r="U280" i="13"/>
  <c r="U281" i="13"/>
  <c r="U275" i="13"/>
  <c r="U282" i="13"/>
  <c r="U278" i="13"/>
  <c r="U276" i="13"/>
  <c r="U279" i="13"/>
  <c r="U277" i="13"/>
  <c r="U285" i="13"/>
  <c r="U286" i="13"/>
  <c r="U288" i="13"/>
  <c r="U287" i="13"/>
  <c r="U289" i="13"/>
  <c r="U290" i="13"/>
  <c r="U291" i="13"/>
  <c r="U292" i="13"/>
  <c r="U293" i="13"/>
  <c r="U294" i="13"/>
  <c r="U297" i="13"/>
  <c r="U296" i="13"/>
  <c r="U295" i="13"/>
  <c r="U298" i="13"/>
  <c r="U299" i="13"/>
  <c r="U301" i="13"/>
  <c r="U300" i="13"/>
  <c r="U302" i="13"/>
  <c r="U303" i="13"/>
  <c r="U304" i="13"/>
  <c r="J667" i="10" l="1"/>
  <c r="M667" i="10" s="1"/>
  <c r="N667" i="10" s="1"/>
  <c r="H670" i="10"/>
  <c r="P671" i="10" s="1"/>
  <c r="Q305" i="13"/>
  <c r="H671" i="10"/>
  <c r="U305" i="13"/>
  <c r="V669" i="10"/>
  <c r="P305" i="13"/>
  <c r="Q671" i="10" l="1"/>
  <c r="V671" i="10"/>
  <c r="P669" i="10"/>
  <c r="Q669" i="10" s="1"/>
  <c r="P670" i="10"/>
  <c r="Q670" i="10" s="1"/>
  <c r="V670" i="10"/>
  <c r="W671" i="10" s="1"/>
  <c r="P25" i="13"/>
  <c r="P26" i="13"/>
  <c r="P27" i="13"/>
  <c r="P28" i="13"/>
  <c r="P29" i="13"/>
  <c r="P30" i="13"/>
  <c r="P31" i="13"/>
  <c r="P32" i="13"/>
  <c r="P33" i="13"/>
  <c r="P35" i="13"/>
  <c r="P34" i="13"/>
  <c r="P36" i="13"/>
  <c r="P37" i="13"/>
  <c r="P38" i="13"/>
  <c r="P39" i="13"/>
  <c r="P76" i="13"/>
  <c r="P40" i="13"/>
  <c r="P47" i="13"/>
  <c r="P60" i="13"/>
  <c r="P45" i="13"/>
  <c r="P44" i="13"/>
  <c r="P56" i="13"/>
  <c r="P67" i="13"/>
  <c r="P72" i="13"/>
  <c r="P51" i="13"/>
  <c r="P55" i="13"/>
  <c r="P74" i="13"/>
  <c r="P57" i="13"/>
  <c r="P48" i="13"/>
  <c r="P75" i="13"/>
  <c r="P58" i="13"/>
  <c r="P43" i="13"/>
  <c r="P59" i="13"/>
  <c r="P42" i="13"/>
  <c r="P73" i="13"/>
  <c r="P66" i="13"/>
  <c r="P65" i="13"/>
  <c r="P64" i="13"/>
  <c r="P50" i="13"/>
  <c r="P49" i="13"/>
  <c r="P41" i="13"/>
  <c r="P71" i="13"/>
  <c r="P63" i="13"/>
  <c r="P70" i="13"/>
  <c r="P78" i="13"/>
  <c r="P62" i="13"/>
  <c r="P61" i="13"/>
  <c r="P46" i="13"/>
  <c r="P77" i="13"/>
  <c r="P69" i="13"/>
  <c r="P68" i="13"/>
  <c r="P52" i="13"/>
  <c r="P53" i="13"/>
  <c r="P54" i="13"/>
  <c r="P79" i="13"/>
  <c r="P82" i="13"/>
  <c r="P80" i="13"/>
  <c r="P83" i="13"/>
  <c r="P81" i="13"/>
  <c r="P84" i="13"/>
  <c r="P91" i="13"/>
  <c r="P89" i="13"/>
  <c r="P87" i="13"/>
  <c r="P85" i="13"/>
  <c r="P92" i="13"/>
  <c r="P90" i="13"/>
  <c r="P88" i="13"/>
  <c r="P86" i="13"/>
  <c r="P93" i="13"/>
  <c r="P96" i="13"/>
  <c r="P94" i="13"/>
  <c r="P95" i="13"/>
  <c r="P97" i="13"/>
  <c r="P98" i="13"/>
  <c r="P103" i="13"/>
  <c r="P101" i="13"/>
  <c r="P102" i="13"/>
  <c r="P100" i="13"/>
  <c r="P99" i="13"/>
  <c r="P104" i="13"/>
  <c r="P109" i="13"/>
  <c r="P107" i="13"/>
  <c r="P105" i="13"/>
  <c r="P106" i="13"/>
  <c r="P108" i="13"/>
  <c r="P111" i="13"/>
  <c r="P112" i="13"/>
  <c r="P110" i="13"/>
  <c r="P118" i="13"/>
  <c r="P116" i="13"/>
  <c r="P114" i="13"/>
  <c r="P117" i="13"/>
  <c r="P115" i="13"/>
  <c r="P113" i="13"/>
  <c r="P119" i="13"/>
  <c r="P121" i="13"/>
  <c r="P120" i="13"/>
  <c r="P127" i="13"/>
  <c r="P125" i="13"/>
  <c r="P123" i="13"/>
  <c r="P126" i="13"/>
  <c r="P124" i="13"/>
  <c r="P122" i="13"/>
  <c r="P128" i="13"/>
  <c r="P129" i="13"/>
  <c r="P130" i="13"/>
  <c r="P131" i="13"/>
  <c r="P132" i="13"/>
  <c r="P133" i="13"/>
  <c r="P134" i="13"/>
  <c r="P135" i="13"/>
  <c r="P136" i="13"/>
  <c r="P137" i="13"/>
  <c r="P138" i="13"/>
  <c r="P139" i="13"/>
  <c r="P140" i="13"/>
  <c r="P141" i="13"/>
  <c r="P142" i="13"/>
  <c r="P143" i="13"/>
  <c r="P144" i="13"/>
  <c r="P145" i="13"/>
  <c r="P146" i="13"/>
  <c r="P147" i="13"/>
  <c r="P148" i="13"/>
  <c r="P149" i="13"/>
  <c r="P150" i="13"/>
  <c r="P151" i="13"/>
  <c r="P152" i="13"/>
  <c r="P153" i="13"/>
  <c r="P154" i="13"/>
  <c r="P155" i="13"/>
  <c r="P156" i="13"/>
  <c r="P157" i="13"/>
  <c r="P158" i="13"/>
  <c r="P159" i="13"/>
  <c r="P160" i="13"/>
  <c r="P161" i="13"/>
  <c r="P162" i="13"/>
  <c r="P163" i="13"/>
  <c r="P164" i="13"/>
  <c r="P165" i="13"/>
  <c r="P166" i="13"/>
  <c r="P168" i="13"/>
  <c r="P167" i="13"/>
  <c r="P169" i="13"/>
  <c r="P170" i="13"/>
  <c r="P171" i="13"/>
  <c r="P175" i="13"/>
  <c r="P173" i="13"/>
  <c r="P180" i="13"/>
  <c r="P178" i="13"/>
  <c r="P176" i="13"/>
  <c r="P174" i="13"/>
  <c r="P172" i="13"/>
  <c r="P179" i="13"/>
  <c r="P177" i="13"/>
  <c r="P182" i="13"/>
  <c r="P181" i="13"/>
  <c r="P183" i="13"/>
  <c r="P184" i="13"/>
  <c r="P185" i="13"/>
  <c r="P189" i="13"/>
  <c r="P187" i="13"/>
  <c r="P188" i="13"/>
  <c r="P186" i="13"/>
  <c r="P190" i="13"/>
  <c r="P191" i="13"/>
  <c r="P192" i="13"/>
  <c r="P193" i="13"/>
  <c r="P194" i="13"/>
  <c r="P204" i="13"/>
  <c r="P202" i="13"/>
  <c r="P200" i="13"/>
  <c r="P197" i="13"/>
  <c r="P196" i="13"/>
  <c r="P201" i="13"/>
  <c r="P195" i="13"/>
  <c r="P203" i="13"/>
  <c r="P198" i="13"/>
  <c r="P199" i="13"/>
  <c r="P205" i="13"/>
  <c r="P206" i="13"/>
  <c r="P207" i="13"/>
  <c r="P208" i="13"/>
  <c r="P209" i="13"/>
  <c r="P210" i="13"/>
  <c r="P211" i="13"/>
  <c r="P212" i="13"/>
  <c r="P213" i="13"/>
  <c r="P214" i="13"/>
  <c r="P215" i="13"/>
  <c r="P216" i="13"/>
  <c r="P217" i="13"/>
  <c r="P218" i="13"/>
  <c r="P219" i="13"/>
  <c r="P220" i="13"/>
  <c r="P221" i="13"/>
  <c r="P222" i="13"/>
  <c r="P223" i="13"/>
  <c r="P224" i="13"/>
  <c r="P225" i="13"/>
  <c r="P234" i="13"/>
  <c r="P232" i="13"/>
  <c r="P229" i="13"/>
  <c r="P230" i="13"/>
  <c r="P228" i="13"/>
  <c r="P243" i="13"/>
  <c r="P226" i="13"/>
  <c r="P244" i="13"/>
  <c r="P233" i="13"/>
  <c r="P241" i="13"/>
  <c r="P242" i="13"/>
  <c r="P231" i="13"/>
  <c r="P239" i="13"/>
  <c r="P235" i="13"/>
  <c r="P240" i="13"/>
  <c r="P237" i="13"/>
  <c r="P238" i="13"/>
  <c r="P236" i="13"/>
  <c r="P227" i="13"/>
  <c r="P245" i="13"/>
  <c r="P246" i="13"/>
  <c r="P247" i="13"/>
  <c r="P248" i="13"/>
  <c r="P249" i="13"/>
  <c r="P250" i="13"/>
  <c r="P251" i="13"/>
  <c r="P252" i="13"/>
  <c r="P254" i="13"/>
  <c r="P260" i="13"/>
  <c r="P261" i="13"/>
  <c r="P259" i="13"/>
  <c r="P257" i="13"/>
  <c r="P255" i="13"/>
  <c r="P258" i="13"/>
  <c r="P256" i="13"/>
  <c r="P253" i="13"/>
  <c r="P262" i="13"/>
  <c r="P263" i="13"/>
  <c r="P264" i="13"/>
  <c r="P265" i="13"/>
  <c r="P267" i="13"/>
  <c r="P268" i="13"/>
  <c r="P266" i="13"/>
  <c r="P269" i="13"/>
  <c r="P270" i="13"/>
  <c r="P271" i="13"/>
  <c r="P272" i="13"/>
  <c r="P273" i="13"/>
  <c r="P274" i="13"/>
  <c r="P275" i="13"/>
  <c r="P276" i="13"/>
  <c r="P277" i="13"/>
  <c r="P278" i="13"/>
  <c r="P279" i="13"/>
  <c r="P280" i="13"/>
  <c r="P281" i="13"/>
  <c r="P283" i="13"/>
  <c r="P284" i="13"/>
  <c r="P282" i="13"/>
  <c r="P285" i="13"/>
  <c r="P286" i="13"/>
  <c r="P287" i="13"/>
  <c r="P288" i="13"/>
  <c r="P291" i="13"/>
  <c r="P294" i="13"/>
  <c r="P295" i="13"/>
  <c r="P290" i="13"/>
  <c r="P293" i="13"/>
  <c r="P292" i="13"/>
  <c r="P289" i="13"/>
  <c r="P296" i="13"/>
  <c r="P298" i="13"/>
  <c r="P297" i="13"/>
  <c r="P299" i="13"/>
  <c r="P300" i="13"/>
  <c r="P301" i="13"/>
  <c r="P302" i="13"/>
  <c r="P303" i="13"/>
  <c r="P304" i="13"/>
  <c r="X671" i="10" l="1"/>
  <c r="J671" i="10" s="1"/>
  <c r="M671" i="10" s="1"/>
  <c r="N671" i="10" s="1"/>
  <c r="W669" i="10"/>
  <c r="X669" i="10" s="1"/>
  <c r="J669" i="10" s="1"/>
  <c r="M669" i="10" s="1"/>
  <c r="W670" i="10"/>
  <c r="X670" i="10" s="1"/>
  <c r="J670" i="10" l="1"/>
  <c r="M670" i="10" s="1"/>
  <c r="N670" i="10" s="1"/>
  <c r="H673" i="10" s="1"/>
  <c r="P674" i="10" s="1"/>
  <c r="U306" i="13"/>
  <c r="H674" i="10"/>
  <c r="Q306" i="13"/>
  <c r="N669" i="10"/>
  <c r="H672" i="10" s="1"/>
  <c r="V673" i="10" l="1"/>
  <c r="P673" i="10"/>
  <c r="Q673" i="10" s="1"/>
  <c r="P672" i="10"/>
  <c r="Q672" i="10" s="1"/>
  <c r="Q674" i="10"/>
  <c r="V674" i="10"/>
  <c r="V672" i="10"/>
  <c r="P306" i="13"/>
  <c r="W674" i="10" l="1"/>
  <c r="X674" i="10" s="1"/>
  <c r="J674" i="10" s="1"/>
  <c r="M674" i="10" s="1"/>
  <c r="N674" i="10" s="1"/>
  <c r="H719" i="10" s="1"/>
  <c r="W672" i="10"/>
  <c r="X672" i="10" s="1"/>
  <c r="W673" i="10"/>
  <c r="X673" i="10" s="1"/>
  <c r="P719" i="10" l="1"/>
  <c r="Q719" i="10" s="1"/>
  <c r="P720" i="10"/>
  <c r="V719" i="10"/>
  <c r="U307" i="13"/>
  <c r="J673" i="10"/>
  <c r="M673" i="10" s="1"/>
  <c r="N673" i="10" s="1"/>
  <c r="H759" i="10" s="1"/>
  <c r="J672" i="10"/>
  <c r="M672" i="10" s="1"/>
  <c r="N672" i="10" s="1"/>
  <c r="P308" i="13" s="1"/>
  <c r="U326" i="13"/>
  <c r="U327" i="13"/>
  <c r="U324" i="13"/>
  <c r="U325" i="13"/>
  <c r="U322" i="13"/>
  <c r="U323" i="13"/>
  <c r="U320" i="13"/>
  <c r="U321" i="13"/>
  <c r="U318" i="13"/>
  <c r="U319" i="13"/>
  <c r="U316" i="13"/>
  <c r="U317" i="13"/>
  <c r="U315" i="13"/>
  <c r="U313" i="13"/>
  <c r="U314" i="13"/>
  <c r="U312" i="13"/>
  <c r="U310" i="13"/>
  <c r="U311" i="13"/>
  <c r="H679" i="10"/>
  <c r="P309" i="13"/>
  <c r="U308" i="13"/>
  <c r="U309" i="13"/>
  <c r="P307" i="13"/>
  <c r="V759" i="10" l="1"/>
  <c r="Q344" i="13"/>
  <c r="Q342" i="13"/>
  <c r="Q343" i="13"/>
  <c r="Q340" i="13"/>
  <c r="Q341" i="13"/>
  <c r="Q338" i="13"/>
  <c r="Q339" i="13"/>
  <c r="Q336" i="13"/>
  <c r="Q337" i="13"/>
  <c r="Q334" i="13"/>
  <c r="Q335" i="13"/>
  <c r="Q332" i="13"/>
  <c r="Q333" i="13"/>
  <c r="Q315" i="13"/>
  <c r="Q314" i="13"/>
  <c r="Q330" i="13"/>
  <c r="Q331" i="13"/>
  <c r="Q329" i="13"/>
  <c r="Q323" i="13"/>
  <c r="Q318" i="13"/>
  <c r="Q313" i="13"/>
  <c r="Q312" i="13"/>
  <c r="Q311" i="13"/>
  <c r="Q309" i="13"/>
  <c r="Q307" i="13"/>
  <c r="W719" i="10"/>
  <c r="X719" i="10" s="1"/>
  <c r="W720" i="10"/>
  <c r="Q324" i="13"/>
  <c r="Q321" i="13"/>
  <c r="Q328" i="13"/>
  <c r="Q326" i="13"/>
  <c r="Q322" i="13"/>
  <c r="Q316" i="13"/>
  <c r="Q327" i="13"/>
  <c r="Q325" i="13"/>
  <c r="Q320" i="13"/>
  <c r="Q319" i="13"/>
  <c r="Q317" i="13"/>
  <c r="AL13" i="13"/>
  <c r="J13" i="13" s="1"/>
  <c r="Q310" i="13"/>
  <c r="Q308" i="13"/>
  <c r="P679" i="10"/>
  <c r="Q679" i="10" s="1"/>
  <c r="P680" i="10"/>
  <c r="Q680" i="10" s="1"/>
  <c r="V679" i="10"/>
  <c r="W680" i="10" s="1"/>
  <c r="X680" i="10" s="1"/>
  <c r="J680" i="10" l="1"/>
  <c r="M680" i="10" s="1"/>
  <c r="N680" i="10" s="1"/>
  <c r="H726" i="10" s="1"/>
  <c r="J679" i="10"/>
  <c r="M679" i="10" s="1"/>
  <c r="N679" i="10" s="1"/>
  <c r="W679" i="10"/>
  <c r="X679" i="10" s="1"/>
  <c r="P310" i="13"/>
  <c r="V726" i="10" l="1"/>
  <c r="M329" i="13"/>
  <c r="M330" i="13"/>
  <c r="M327" i="13"/>
  <c r="M328" i="13"/>
  <c r="M325" i="13"/>
  <c r="M326" i="13"/>
  <c r="M323" i="13"/>
  <c r="M324" i="13"/>
  <c r="M321" i="13"/>
  <c r="M322" i="13"/>
  <c r="M319" i="13"/>
  <c r="M320" i="13"/>
  <c r="M317" i="13"/>
  <c r="M318" i="13"/>
  <c r="M315" i="13"/>
  <c r="M316" i="13"/>
  <c r="M314" i="13"/>
  <c r="M312" i="13"/>
  <c r="M313" i="13"/>
  <c r="H682" i="10"/>
  <c r="M311" i="13"/>
  <c r="M310" i="13"/>
  <c r="Q682" i="10" l="1"/>
  <c r="V682" i="10"/>
  <c r="X682" i="10" s="1"/>
  <c r="J682" i="10" l="1"/>
  <c r="M682" i="10" s="1"/>
  <c r="N682" i="10" s="1"/>
  <c r="J681" i="10"/>
  <c r="M681" i="10" s="1"/>
  <c r="N681" i="10" s="1"/>
  <c r="P311" i="13"/>
  <c r="H683" i="10" l="1"/>
  <c r="H684" i="10"/>
  <c r="R311" i="13"/>
  <c r="V684" i="10" l="1"/>
  <c r="P684" i="10"/>
  <c r="Q684" i="10" s="1"/>
  <c r="P683" i="10"/>
  <c r="Q683" i="10" s="1"/>
  <c r="V683" i="10"/>
  <c r="W684" i="10" l="1"/>
  <c r="X684" i="10" s="1"/>
  <c r="W683" i="10"/>
  <c r="X683" i="10" s="1"/>
  <c r="J684" i="10" l="1"/>
  <c r="M684" i="10" s="1"/>
  <c r="N684" i="10" s="1"/>
  <c r="J683" i="10"/>
  <c r="M683" i="10" s="1"/>
  <c r="N683" i="10" s="1"/>
  <c r="H685" i="10" l="1"/>
  <c r="H686" i="10"/>
  <c r="R312" i="13"/>
  <c r="P312" i="13"/>
  <c r="P686" i="10" l="1"/>
  <c r="Q686" i="10" s="1"/>
  <c r="P685" i="10"/>
  <c r="Q685" i="10" s="1"/>
  <c r="V686" i="10"/>
  <c r="V685" i="10"/>
  <c r="W686" i="10" l="1"/>
  <c r="X686" i="10" s="1"/>
  <c r="J686" i="10" s="1"/>
  <c r="M686" i="10" s="1"/>
  <c r="N686" i="10" s="1"/>
  <c r="W685" i="10"/>
  <c r="X685" i="10" s="1"/>
  <c r="J685" i="10" l="1"/>
  <c r="M685" i="10" s="1"/>
  <c r="N685" i="10" s="1"/>
  <c r="H688" i="10"/>
  <c r="P313" i="13"/>
  <c r="V688" i="10" l="1"/>
  <c r="H687" i="10"/>
  <c r="P688" i="10" s="1"/>
  <c r="Q688" i="10" s="1"/>
  <c r="R313" i="13"/>
  <c r="P687" i="10" l="1"/>
  <c r="Q687" i="10" s="1"/>
  <c r="W688" i="10"/>
  <c r="X688" i="10" s="1"/>
  <c r="W687" i="10"/>
  <c r="V687" i="10"/>
  <c r="X687" i="10" l="1"/>
  <c r="J687" i="10" l="1"/>
  <c r="M687" i="10" s="1"/>
  <c r="N687" i="10" s="1"/>
  <c r="J688" i="10"/>
  <c r="M688" i="10" s="1"/>
  <c r="N688" i="10" s="1"/>
  <c r="H690" i="10"/>
  <c r="H689" i="10"/>
  <c r="P314" i="13"/>
  <c r="R314" i="13"/>
  <c r="P690" i="10" l="1"/>
  <c r="Q690" i="10" s="1"/>
  <c r="P691" i="10"/>
  <c r="Q691" i="10" s="1"/>
  <c r="P689" i="10"/>
  <c r="Q689" i="10" s="1"/>
  <c r="V689" i="10"/>
  <c r="V690" i="10"/>
  <c r="W691" i="10" l="1"/>
  <c r="X691" i="10" s="1"/>
  <c r="J691" i="10" s="1"/>
  <c r="M691" i="10" s="1"/>
  <c r="N691" i="10" s="1"/>
  <c r="W689" i="10"/>
  <c r="X689" i="10" s="1"/>
  <c r="W690" i="10"/>
  <c r="X690" i="10" s="1"/>
  <c r="J690" i="10" l="1"/>
  <c r="M690" i="10" s="1"/>
  <c r="N690" i="10" s="1"/>
  <c r="J689" i="10"/>
  <c r="M689" i="10" s="1"/>
  <c r="N689" i="10" s="1"/>
  <c r="P315" i="13" s="1"/>
  <c r="H694" i="10"/>
  <c r="H693" i="10"/>
  <c r="R315" i="13"/>
  <c r="K315" i="13"/>
  <c r="P693" i="10" l="1"/>
  <c r="Q693" i="10" s="1"/>
  <c r="P692" i="10"/>
  <c r="P694" i="10"/>
  <c r="Q694" i="10" s="1"/>
  <c r="V694" i="10"/>
  <c r="H692" i="10"/>
  <c r="V693" i="10"/>
  <c r="W693" i="10" l="1"/>
  <c r="X693" i="10" s="1"/>
  <c r="W692" i="10"/>
  <c r="W694" i="10"/>
  <c r="X694" i="10" s="1"/>
  <c r="Q692" i="10"/>
  <c r="V692" i="10"/>
  <c r="X692" i="10" l="1"/>
  <c r="J694" i="10"/>
  <c r="M694" i="10" s="1"/>
  <c r="N694" i="10" s="1"/>
  <c r="K316" i="13"/>
  <c r="J692" i="10" l="1"/>
  <c r="M692" i="10" s="1"/>
  <c r="N692" i="10" s="1"/>
  <c r="J693" i="10"/>
  <c r="M693" i="10" s="1"/>
  <c r="N693" i="10" s="1"/>
  <c r="R316" i="13" s="1"/>
  <c r="H695" i="10"/>
  <c r="H696" i="10"/>
  <c r="H697" i="10"/>
  <c r="P316" i="13"/>
  <c r="P696" i="10" l="1"/>
  <c r="Q696" i="10" s="1"/>
  <c r="P697" i="10"/>
  <c r="Q697" i="10" s="1"/>
  <c r="P695" i="10"/>
  <c r="Q695" i="10" s="1"/>
  <c r="V697" i="10"/>
  <c r="V696" i="10"/>
  <c r="V695" i="10"/>
  <c r="W697" i="10" l="1"/>
  <c r="X697" i="10" s="1"/>
  <c r="J697" i="10" s="1"/>
  <c r="M697" i="10" s="1"/>
  <c r="N697" i="10" s="1"/>
  <c r="W695" i="10"/>
  <c r="X695" i="10" s="1"/>
  <c r="J695" i="10" s="1"/>
  <c r="M695" i="10" s="1"/>
  <c r="W696" i="10"/>
  <c r="X696" i="10" s="1"/>
  <c r="J696" i="10" l="1"/>
  <c r="M696" i="10" s="1"/>
  <c r="N696" i="10" s="1"/>
  <c r="H699" i="10"/>
  <c r="H700" i="10"/>
  <c r="R317" i="13"/>
  <c r="N695" i="10"/>
  <c r="K317" i="13"/>
  <c r="H698" i="10" l="1"/>
  <c r="V700" i="10"/>
  <c r="V699" i="10"/>
  <c r="P317" i="13"/>
  <c r="P700" i="10" l="1"/>
  <c r="Q700" i="10" s="1"/>
  <c r="P698" i="10"/>
  <c r="Q698" i="10" s="1"/>
  <c r="P699" i="10"/>
  <c r="Q699" i="10" s="1"/>
  <c r="V698" i="10"/>
  <c r="W698" i="10" l="1"/>
  <c r="X698" i="10" s="1"/>
  <c r="W699" i="10"/>
  <c r="X699" i="10" s="1"/>
  <c r="J699" i="10" s="1"/>
  <c r="M699" i="10" s="1"/>
  <c r="N699" i="10" s="1"/>
  <c r="W700" i="10"/>
  <c r="X700" i="10" s="1"/>
  <c r="J700" i="10" s="1"/>
  <c r="M700" i="10" s="1"/>
  <c r="N700" i="10" s="1"/>
  <c r="H712" i="10" s="1"/>
  <c r="V712" i="10" l="1"/>
  <c r="J698" i="10"/>
  <c r="M698" i="10" s="1"/>
  <c r="N698" i="10" s="1"/>
  <c r="P318" i="13" s="1"/>
  <c r="K323" i="13"/>
  <c r="K321" i="13"/>
  <c r="K322" i="13"/>
  <c r="K319" i="13"/>
  <c r="K320" i="13"/>
  <c r="H702" i="10"/>
  <c r="K318" i="13"/>
  <c r="R318" i="13"/>
  <c r="P702" i="10" l="1"/>
  <c r="Q702" i="10" s="1"/>
  <c r="P701" i="10"/>
  <c r="H701" i="10"/>
  <c r="V702" i="10"/>
  <c r="W702" i="10" l="1"/>
  <c r="X702" i="10" s="1"/>
  <c r="W701" i="10"/>
  <c r="Q701" i="10"/>
  <c r="V701" i="10"/>
  <c r="X701" i="10" l="1"/>
  <c r="J701" i="10" l="1"/>
  <c r="M701" i="10" s="1"/>
  <c r="N701" i="10" s="1"/>
  <c r="J702" i="10"/>
  <c r="M702" i="10" s="1"/>
  <c r="N702" i="10" s="1"/>
  <c r="H704" i="10"/>
  <c r="H703" i="10"/>
  <c r="R319" i="13"/>
  <c r="P319" i="13"/>
  <c r="P703" i="10" l="1"/>
  <c r="Q703" i="10" s="1"/>
  <c r="P704" i="10"/>
  <c r="Q704" i="10" s="1"/>
  <c r="V704" i="10"/>
  <c r="V703" i="10"/>
  <c r="W703" i="10" l="1"/>
  <c r="X703" i="10" s="1"/>
  <c r="J703" i="10" s="1"/>
  <c r="M703" i="10" s="1"/>
  <c r="W704" i="10"/>
  <c r="X704" i="10" s="1"/>
  <c r="J704" i="10" l="1"/>
  <c r="M704" i="10" s="1"/>
  <c r="N704" i="10" s="1"/>
  <c r="H706" i="10"/>
  <c r="R320" i="13"/>
  <c r="N703" i="10"/>
  <c r="P320" i="13"/>
  <c r="P706" i="10" l="1"/>
  <c r="Q706" i="10" s="1"/>
  <c r="P705" i="10"/>
  <c r="H705" i="10"/>
  <c r="V706" i="10"/>
  <c r="W705" i="10" l="1"/>
  <c r="W706" i="10"/>
  <c r="X706" i="10" s="1"/>
  <c r="Q705" i="10"/>
  <c r="V705" i="10"/>
  <c r="X705" i="10" l="1"/>
  <c r="J705" i="10" l="1"/>
  <c r="M705" i="10" s="1"/>
  <c r="N705" i="10" s="1"/>
  <c r="J706" i="10"/>
  <c r="M706" i="10" s="1"/>
  <c r="N706" i="10" s="1"/>
  <c r="H707" i="10"/>
  <c r="H708" i="10"/>
  <c r="R321" i="13"/>
  <c r="P321" i="13"/>
  <c r="P708" i="10" l="1"/>
  <c r="Q708" i="10" s="1"/>
  <c r="P707" i="10"/>
  <c r="Q707" i="10" s="1"/>
  <c r="V708" i="10"/>
  <c r="V707" i="10"/>
  <c r="W708" i="10" l="1"/>
  <c r="X708" i="10" s="1"/>
  <c r="W707" i="10"/>
  <c r="X707" i="10" s="1"/>
  <c r="J707" i="10" s="1"/>
  <c r="M707" i="10" s="1"/>
  <c r="J708" i="10" l="1"/>
  <c r="M708" i="10" s="1"/>
  <c r="N708" i="10" s="1"/>
  <c r="H710" i="10"/>
  <c r="N707" i="10"/>
  <c r="R322" i="13"/>
  <c r="P710" i="10" l="1"/>
  <c r="Q710" i="10" s="1"/>
  <c r="P709" i="10"/>
  <c r="V710" i="10"/>
  <c r="H709" i="10"/>
  <c r="P322" i="13"/>
  <c r="W709" i="10" l="1"/>
  <c r="W710" i="10"/>
  <c r="X710" i="10" s="1"/>
  <c r="Q709" i="10"/>
  <c r="V709" i="10"/>
  <c r="X709" i="10" l="1"/>
  <c r="J709" i="10" l="1"/>
  <c r="M709" i="10" s="1"/>
  <c r="N709" i="10" s="1"/>
  <c r="J710" i="10"/>
  <c r="M710" i="10" s="1"/>
  <c r="N710" i="10" s="1"/>
  <c r="P326" i="13"/>
  <c r="P327" i="13"/>
  <c r="P324" i="13"/>
  <c r="P325" i="13"/>
  <c r="P323" i="13"/>
  <c r="H720" i="10" l="1"/>
  <c r="R323" i="13"/>
  <c r="H711" i="10"/>
  <c r="Q720" i="10" l="1"/>
  <c r="V720" i="10"/>
  <c r="X720" i="10" s="1"/>
  <c r="J720" i="10" s="1"/>
  <c r="M720" i="10" s="1"/>
  <c r="N720" i="10" s="1"/>
  <c r="J719" i="10"/>
  <c r="M719" i="10" s="1"/>
  <c r="N719" i="10" s="1"/>
  <c r="H754" i="10" s="1"/>
  <c r="P712" i="10"/>
  <c r="Q712" i="10" s="1"/>
  <c r="V711" i="10"/>
  <c r="P711" i="10"/>
  <c r="Q711" i="10" s="1"/>
  <c r="P754" i="10" l="1"/>
  <c r="Q754" i="10" s="1"/>
  <c r="P753" i="10"/>
  <c r="V754" i="10"/>
  <c r="W711" i="10"/>
  <c r="X711" i="10" s="1"/>
  <c r="W712" i="10"/>
  <c r="X712" i="10" s="1"/>
  <c r="U340" i="13"/>
  <c r="U341" i="13"/>
  <c r="U338" i="13"/>
  <c r="U339" i="13"/>
  <c r="U337" i="13"/>
  <c r="U335" i="13"/>
  <c r="U336" i="13"/>
  <c r="U333" i="13"/>
  <c r="U334" i="13"/>
  <c r="P328" i="13"/>
  <c r="H725" i="10"/>
  <c r="U331" i="13"/>
  <c r="U332" i="13"/>
  <c r="P329" i="13"/>
  <c r="P330" i="13"/>
  <c r="U329" i="13"/>
  <c r="U330" i="13"/>
  <c r="U328" i="13"/>
  <c r="J711" i="10" l="1"/>
  <c r="M711" i="10" s="1"/>
  <c r="N711" i="10" s="1"/>
  <c r="H713" i="10" s="1"/>
  <c r="J712" i="10"/>
  <c r="M712" i="10" s="1"/>
  <c r="N712" i="10" s="1"/>
  <c r="H728" i="10" s="1"/>
  <c r="V728" i="10" s="1"/>
  <c r="W754" i="10"/>
  <c r="X754" i="10" s="1"/>
  <c r="W753" i="10"/>
  <c r="P726" i="10"/>
  <c r="Q726" i="10" s="1"/>
  <c r="V725" i="10"/>
  <c r="P725" i="10"/>
  <c r="Q725" i="10" s="1"/>
  <c r="K331" i="13"/>
  <c r="K329" i="13"/>
  <c r="K330" i="13"/>
  <c r="K327" i="13"/>
  <c r="K328" i="13"/>
  <c r="K325" i="13"/>
  <c r="K326" i="13"/>
  <c r="K324" i="13"/>
  <c r="W725" i="10" l="1"/>
  <c r="X725" i="10" s="1"/>
  <c r="W726" i="10"/>
  <c r="X726" i="10" s="1"/>
  <c r="P713" i="10"/>
  <c r="Q713" i="10" s="1"/>
  <c r="P714" i="10"/>
  <c r="Q714" i="10" s="1"/>
  <c r="V713" i="10"/>
  <c r="R324" i="13"/>
  <c r="J725" i="10" l="1"/>
  <c r="M725" i="10" s="1"/>
  <c r="N725" i="10" s="1"/>
  <c r="J726" i="10"/>
  <c r="M726" i="10" s="1"/>
  <c r="N726" i="10" s="1"/>
  <c r="P331" i="13"/>
  <c r="W713" i="10"/>
  <c r="X713" i="10" s="1"/>
  <c r="W714" i="10"/>
  <c r="X714" i="10" s="1"/>
  <c r="H727" i="10" l="1"/>
  <c r="V727" i="10" s="1"/>
  <c r="H731" i="10"/>
  <c r="V731" i="10" s="1"/>
  <c r="M331" i="13"/>
  <c r="M332" i="13"/>
  <c r="J714" i="10"/>
  <c r="M714" i="10" s="1"/>
  <c r="N714" i="10" s="1"/>
  <c r="H715" i="10" s="1"/>
  <c r="J713" i="10"/>
  <c r="M713" i="10" s="1"/>
  <c r="P715" i="10" l="1"/>
  <c r="Q715" i="10" s="1"/>
  <c r="P716" i="10"/>
  <c r="N713" i="10"/>
  <c r="H716" i="10" s="1"/>
  <c r="V715" i="10"/>
  <c r="R325" i="13"/>
  <c r="S325" i="13"/>
  <c r="Q716" i="10" l="1"/>
  <c r="V716" i="10"/>
  <c r="W715" i="10"/>
  <c r="X715" i="10" s="1"/>
  <c r="W716" i="10"/>
  <c r="X716" i="10" l="1"/>
  <c r="J716" i="10" l="1"/>
  <c r="M716" i="10" s="1"/>
  <c r="N716" i="10" s="1"/>
  <c r="J715" i="10"/>
  <c r="M715" i="10" s="1"/>
  <c r="N715" i="10" s="1"/>
  <c r="R326" i="13"/>
  <c r="H717" i="10"/>
  <c r="S326" i="13" l="1"/>
  <c r="H718" i="10"/>
  <c r="V718" i="10" s="1"/>
  <c r="P717" i="10"/>
  <c r="Q717" i="10" s="1"/>
  <c r="P718" i="10"/>
  <c r="V717" i="10"/>
  <c r="W717" i="10" l="1"/>
  <c r="X717" i="10" s="1"/>
  <c r="W718" i="10"/>
  <c r="X718" i="10" s="1"/>
  <c r="Q718" i="10"/>
  <c r="J717" i="10" l="1"/>
  <c r="M717" i="10" s="1"/>
  <c r="N717" i="10" s="1"/>
  <c r="J718" i="10"/>
  <c r="M718" i="10" s="1"/>
  <c r="N718" i="10" s="1"/>
  <c r="S351" i="13" s="1"/>
  <c r="S333" i="13"/>
  <c r="S334" i="13"/>
  <c r="B10" i="14"/>
  <c r="S327" i="13"/>
  <c r="S332" i="13"/>
  <c r="AL15" i="13"/>
  <c r="J15" i="13" s="1"/>
  <c r="S330" i="13"/>
  <c r="S331" i="13"/>
  <c r="S328" i="13"/>
  <c r="S329" i="13"/>
  <c r="S349" i="13" l="1"/>
  <c r="S350" i="13"/>
  <c r="S347" i="13"/>
  <c r="S348" i="13"/>
  <c r="S345" i="13"/>
  <c r="S346" i="13"/>
  <c r="S343" i="13"/>
  <c r="S344" i="13"/>
  <c r="S341" i="13"/>
  <c r="S342" i="13"/>
  <c r="S339" i="13"/>
  <c r="S340" i="13"/>
  <c r="S337" i="13"/>
  <c r="S338" i="13"/>
  <c r="S335" i="13"/>
  <c r="S336" i="13"/>
  <c r="B15" i="13"/>
  <c r="S15" i="13" s="1"/>
  <c r="L2" i="14"/>
  <c r="H722" i="10"/>
  <c r="R328" i="13"/>
  <c r="R327" i="13"/>
  <c r="V722" i="10" l="1"/>
  <c r="X722" i="10" s="1"/>
  <c r="Q722" i="10"/>
  <c r="W15" i="13"/>
  <c r="AI15" i="13"/>
  <c r="F89" i="7"/>
  <c r="S89" i="7" s="1"/>
  <c r="J722" i="10" l="1"/>
  <c r="M722" i="10" s="1"/>
  <c r="N722" i="10" s="1"/>
  <c r="J721" i="10"/>
  <c r="M721" i="10" s="1"/>
  <c r="N721" i="10" s="1"/>
  <c r="R329" i="13"/>
  <c r="H724" i="10"/>
  <c r="V724" i="10" s="1"/>
  <c r="O329" i="13" l="1"/>
  <c r="H723" i="10"/>
  <c r="P724" i="10" l="1"/>
  <c r="Q724" i="10" s="1"/>
  <c r="V723" i="10"/>
  <c r="P723" i="10"/>
  <c r="Q723" i="10" s="1"/>
  <c r="W723" i="10" l="1"/>
  <c r="X723" i="10" s="1"/>
  <c r="W724" i="10"/>
  <c r="X724" i="10" s="1"/>
  <c r="J724" i="10" l="1"/>
  <c r="M724" i="10" s="1"/>
  <c r="N724" i="10" s="1"/>
  <c r="J723" i="10"/>
  <c r="M723" i="10" s="1"/>
  <c r="N723" i="10" s="1"/>
  <c r="H757" i="10" s="1"/>
  <c r="R331" i="13"/>
  <c r="R330" i="13"/>
  <c r="P758" i="10" l="1"/>
  <c r="P757" i="10"/>
  <c r="Q757" i="10" s="1"/>
  <c r="V757" i="10"/>
  <c r="O343" i="13"/>
  <c r="H729" i="10"/>
  <c r="O341" i="13"/>
  <c r="O342" i="13"/>
  <c r="O339" i="13"/>
  <c r="O340" i="13"/>
  <c r="O337" i="13"/>
  <c r="O338" i="13"/>
  <c r="O335" i="13"/>
  <c r="O336" i="13"/>
  <c r="O333" i="13"/>
  <c r="O334" i="13"/>
  <c r="O331" i="13"/>
  <c r="O332" i="13"/>
  <c r="O330" i="13"/>
  <c r="W758" i="10" l="1"/>
  <c r="W757" i="10"/>
  <c r="X757" i="10" s="1"/>
  <c r="P727" i="10"/>
  <c r="Q727" i="10" s="1"/>
  <c r="P729" i="10"/>
  <c r="Q729" i="10" s="1"/>
  <c r="P728" i="10"/>
  <c r="Q728" i="10" s="1"/>
  <c r="V729" i="10"/>
  <c r="W728" i="10" s="1"/>
  <c r="X728" i="10" s="1"/>
  <c r="J728" i="10" s="1"/>
  <c r="M728" i="10" s="1"/>
  <c r="N728" i="10" s="1"/>
  <c r="K332" i="13" l="1"/>
  <c r="H732" i="10"/>
  <c r="V732" i="10" s="1"/>
  <c r="W729" i="10"/>
  <c r="X729" i="10" s="1"/>
  <c r="W727" i="10"/>
  <c r="X727" i="10" s="1"/>
  <c r="J727" i="10" l="1"/>
  <c r="M727" i="10" s="1"/>
  <c r="N727" i="10" s="1"/>
  <c r="J729" i="10"/>
  <c r="M729" i="10" s="1"/>
  <c r="N729" i="10" s="1"/>
  <c r="P332" i="13"/>
  <c r="H730" i="10"/>
  <c r="R332" i="13" l="1"/>
  <c r="H733" i="10"/>
  <c r="V733" i="10" s="1"/>
  <c r="P732" i="10"/>
  <c r="Q732" i="10" s="1"/>
  <c r="P733" i="10"/>
  <c r="P731" i="10"/>
  <c r="Q731" i="10" s="1"/>
  <c r="P730" i="10"/>
  <c r="Q730" i="10" s="1"/>
  <c r="V730" i="10"/>
  <c r="W733" i="10" l="1"/>
  <c r="X733" i="10" s="1"/>
  <c r="J733" i="10" s="1"/>
  <c r="M733" i="10" s="1"/>
  <c r="N733" i="10" s="1"/>
  <c r="W730" i="10"/>
  <c r="X730" i="10" s="1"/>
  <c r="Q733" i="10"/>
  <c r="W731" i="10"/>
  <c r="X731" i="10" s="1"/>
  <c r="W732" i="10"/>
  <c r="X732" i="10" s="1"/>
  <c r="J732" i="10" s="1"/>
  <c r="M732" i="10" s="1"/>
  <c r="N732" i="10" s="1"/>
  <c r="K341" i="13"/>
  <c r="K342" i="13"/>
  <c r="K339" i="13"/>
  <c r="K340" i="13"/>
  <c r="K337" i="13"/>
  <c r="K338" i="13"/>
  <c r="K335" i="13"/>
  <c r="K336" i="13"/>
  <c r="K334" i="13"/>
  <c r="K333" i="13"/>
  <c r="H769" i="10" l="1"/>
  <c r="K347" i="13"/>
  <c r="K348" i="13"/>
  <c r="K345" i="13"/>
  <c r="K346" i="13"/>
  <c r="K343" i="13"/>
  <c r="K344" i="13"/>
  <c r="AL7" i="13"/>
  <c r="J7" i="13" s="1"/>
  <c r="R333" i="13"/>
  <c r="H736" i="10"/>
  <c r="V736" i="10" s="1"/>
  <c r="J731" i="10"/>
  <c r="M731" i="10" s="1"/>
  <c r="N731" i="10" s="1"/>
  <c r="J730" i="10"/>
  <c r="M730" i="10" s="1"/>
  <c r="N730" i="10" s="1"/>
  <c r="P333" i="13"/>
  <c r="H734" i="10"/>
  <c r="V769" i="10" l="1"/>
  <c r="H735" i="10"/>
  <c r="V735" i="10" s="1"/>
  <c r="M333" i="13"/>
  <c r="P735" i="10"/>
  <c r="P734" i="10"/>
  <c r="Q734" i="10" s="1"/>
  <c r="V734" i="10"/>
  <c r="W734" i="10" s="1"/>
  <c r="X734" i="10" s="1"/>
  <c r="P736" i="10"/>
  <c r="Q736" i="10" s="1"/>
  <c r="W736" i="10" l="1"/>
  <c r="X736" i="10" s="1"/>
  <c r="J736" i="10" s="1"/>
  <c r="M736" i="10" s="1"/>
  <c r="N736" i="10" s="1"/>
  <c r="H738" i="10" s="1"/>
  <c r="V738" i="10" s="1"/>
  <c r="W735" i="10"/>
  <c r="X735" i="10" s="1"/>
  <c r="Q735" i="10"/>
  <c r="R334" i="13"/>
  <c r="J734" i="10" l="1"/>
  <c r="M734" i="10" s="1"/>
  <c r="N734" i="10" s="1"/>
  <c r="H737" i="10" s="1"/>
  <c r="J735" i="10"/>
  <c r="M735" i="10" s="1"/>
  <c r="N735" i="10" s="1"/>
  <c r="M351" i="13" s="1"/>
  <c r="P334" i="13"/>
  <c r="M349" i="13" l="1"/>
  <c r="M350" i="13"/>
  <c r="M347" i="13"/>
  <c r="M348" i="13"/>
  <c r="M345" i="13"/>
  <c r="M346" i="13"/>
  <c r="M343" i="13"/>
  <c r="M344" i="13"/>
  <c r="AL9" i="13"/>
  <c r="J9" i="13" s="1"/>
  <c r="M341" i="13"/>
  <c r="B4" i="14"/>
  <c r="M334" i="13"/>
  <c r="M335" i="13"/>
  <c r="M337" i="13"/>
  <c r="M336" i="13"/>
  <c r="M338" i="13"/>
  <c r="M340" i="13"/>
  <c r="M339" i="13"/>
  <c r="M342" i="13"/>
  <c r="V737" i="10"/>
  <c r="P738" i="10"/>
  <c r="Q738" i="10" s="1"/>
  <c r="P737" i="10"/>
  <c r="Q737" i="10" s="1"/>
  <c r="F2" i="14" l="1"/>
  <c r="B9" i="13"/>
  <c r="S9" i="13" s="1"/>
  <c r="W738" i="10"/>
  <c r="X738" i="10" s="1"/>
  <c r="W737" i="10"/>
  <c r="X737" i="10" s="1"/>
  <c r="W9" i="13" l="1"/>
  <c r="AI9" i="13"/>
  <c r="F99" i="7"/>
  <c r="S99" i="7" s="1"/>
  <c r="J738" i="10"/>
  <c r="M738" i="10" s="1"/>
  <c r="N738" i="10" s="1"/>
  <c r="H740" i="10" s="1"/>
  <c r="J737" i="10"/>
  <c r="M737" i="10" s="1"/>
  <c r="N737" i="10" s="1"/>
  <c r="P335" i="13"/>
  <c r="H739" i="10"/>
  <c r="V739" i="10" s="1"/>
  <c r="R335" i="13"/>
  <c r="V740" i="10" l="1"/>
  <c r="P740" i="10"/>
  <c r="Q740" i="10" s="1"/>
  <c r="P739" i="10"/>
  <c r="Q739" i="10" s="1"/>
  <c r="W740" i="10"/>
  <c r="X740" i="10" s="1"/>
  <c r="J740" i="10" s="1"/>
  <c r="M740" i="10" s="1"/>
  <c r="W739" i="10"/>
  <c r="X739" i="10" s="1"/>
  <c r="J739" i="10" s="1"/>
  <c r="M739" i="10" s="1"/>
  <c r="N740" i="10" l="1"/>
  <c r="H742" i="10" s="1"/>
  <c r="N739" i="10"/>
  <c r="H741" i="10" s="1"/>
  <c r="P742" i="10" l="1"/>
  <c r="Q742" i="10" s="1"/>
  <c r="P741" i="10"/>
  <c r="Q741" i="10" s="1"/>
  <c r="V742" i="10"/>
  <c r="V741" i="10"/>
  <c r="R336" i="13"/>
  <c r="P336" i="13"/>
  <c r="W741" i="10" l="1"/>
  <c r="X741" i="10" s="1"/>
  <c r="J741" i="10" s="1"/>
  <c r="M741" i="10" s="1"/>
  <c r="W742" i="10"/>
  <c r="X742" i="10" s="1"/>
  <c r="J742" i="10" s="1"/>
  <c r="M742" i="10" s="1"/>
  <c r="N741" i="10" l="1"/>
  <c r="H743" i="10" s="1"/>
  <c r="N742" i="10"/>
  <c r="H744" i="10" s="1"/>
  <c r="P744" i="10" l="1"/>
  <c r="Q744" i="10" s="1"/>
  <c r="P743" i="10"/>
  <c r="Q743" i="10" s="1"/>
  <c r="V744" i="10"/>
  <c r="V743" i="10"/>
  <c r="P337" i="13"/>
  <c r="R337" i="13"/>
  <c r="W744" i="10" l="1"/>
  <c r="X744" i="10" s="1"/>
  <c r="W743" i="10"/>
  <c r="X743" i="10" s="1"/>
  <c r="J743" i="10" s="1"/>
  <c r="M743" i="10" s="1"/>
  <c r="J744" i="10" l="1"/>
  <c r="M744" i="10" s="1"/>
  <c r="N744" i="10" s="1"/>
  <c r="N743" i="10"/>
  <c r="H745" i="10" s="1"/>
  <c r="R338" i="13" l="1"/>
  <c r="H746" i="10"/>
  <c r="V745" i="10"/>
  <c r="P338" i="13"/>
  <c r="P745" i="10" l="1"/>
  <c r="Q745" i="10" s="1"/>
  <c r="V746" i="10"/>
  <c r="P747" i="10"/>
  <c r="Q747" i="10" s="1"/>
  <c r="P746" i="10"/>
  <c r="Q746" i="10" s="1"/>
  <c r="W745" i="10" l="1"/>
  <c r="X745" i="10" s="1"/>
  <c r="W746" i="10"/>
  <c r="X746" i="10" s="1"/>
  <c r="W747" i="10"/>
  <c r="X747" i="10" s="1"/>
  <c r="J747" i="10" s="1"/>
  <c r="M747" i="10" s="1"/>
  <c r="N747" i="10" s="1"/>
  <c r="W339" i="13" l="1"/>
  <c r="H749" i="10"/>
  <c r="V749" i="10" s="1"/>
  <c r="J746" i="10"/>
  <c r="M746" i="10" s="1"/>
  <c r="N746" i="10" s="1"/>
  <c r="H750" i="10" s="1"/>
  <c r="V750" i="10" s="1"/>
  <c r="J745" i="10"/>
  <c r="M745" i="10" s="1"/>
  <c r="N745" i="10" s="1"/>
  <c r="H748" i="10" s="1"/>
  <c r="R339" i="13"/>
  <c r="P750" i="10" l="1"/>
  <c r="Q750" i="10" s="1"/>
  <c r="P749" i="10"/>
  <c r="Q749" i="10" s="1"/>
  <c r="P748" i="10"/>
  <c r="Q748" i="10" s="1"/>
  <c r="V748" i="10"/>
  <c r="P339" i="13"/>
  <c r="W750" i="10" l="1"/>
  <c r="X750" i="10" s="1"/>
  <c r="J750" i="10" s="1"/>
  <c r="M750" i="10" s="1"/>
  <c r="N750" i="10" s="1"/>
  <c r="H752" i="10" s="1"/>
  <c r="W749" i="10"/>
  <c r="X749" i="10" s="1"/>
  <c r="J749" i="10" s="1"/>
  <c r="M749" i="10" s="1"/>
  <c r="N749" i="10" s="1"/>
  <c r="W351" i="13" s="1"/>
  <c r="W748" i="10"/>
  <c r="X748" i="10" s="1"/>
  <c r="J748" i="10" s="1"/>
  <c r="M748" i="10" s="1"/>
  <c r="W349" i="13" l="1"/>
  <c r="W350" i="13"/>
  <c r="W347" i="13"/>
  <c r="W348" i="13"/>
  <c r="W345" i="13"/>
  <c r="W346" i="13"/>
  <c r="W343" i="13"/>
  <c r="W344" i="13"/>
  <c r="AL19" i="13"/>
  <c r="J19" i="13" s="1"/>
  <c r="W341" i="13"/>
  <c r="W342" i="13"/>
  <c r="V752" i="10"/>
  <c r="R340" i="13"/>
  <c r="B14" i="14"/>
  <c r="W340" i="13"/>
  <c r="N748" i="10"/>
  <c r="H751" i="10" s="1"/>
  <c r="P752" i="10" l="1"/>
  <c r="Q752" i="10" s="1"/>
  <c r="P751" i="10"/>
  <c r="Q751" i="10" s="1"/>
  <c r="V751" i="10"/>
  <c r="P340" i="13"/>
  <c r="P2" i="14"/>
  <c r="B19" i="13"/>
  <c r="W752" i="10" l="1"/>
  <c r="X752" i="10" s="1"/>
  <c r="J752" i="10" s="1"/>
  <c r="M752" i="10" s="1"/>
  <c r="N752" i="10" s="1"/>
  <c r="H758" i="10" s="1"/>
  <c r="W751" i="10"/>
  <c r="X751" i="10" s="1"/>
  <c r="S19" i="13"/>
  <c r="V758" i="10" l="1"/>
  <c r="X758" i="10" s="1"/>
  <c r="Q758" i="10"/>
  <c r="R342" i="13"/>
  <c r="R343" i="13"/>
  <c r="J751" i="10"/>
  <c r="M751" i="10" s="1"/>
  <c r="R341" i="13"/>
  <c r="AI19" i="13"/>
  <c r="W19" i="13"/>
  <c r="F98" i="7"/>
  <c r="S98" i="7" s="1"/>
  <c r="J758" i="10" l="1"/>
  <c r="M758" i="10" s="1"/>
  <c r="N758" i="10" s="1"/>
  <c r="H768" i="10" s="1"/>
  <c r="J757" i="10"/>
  <c r="M757" i="10" s="1"/>
  <c r="N757" i="10" s="1"/>
  <c r="R344" i="13"/>
  <c r="N751" i="10"/>
  <c r="P341" i="13"/>
  <c r="O350" i="13" l="1"/>
  <c r="O351" i="13"/>
  <c r="P768" i="10"/>
  <c r="Q768" i="10" s="1"/>
  <c r="P769" i="10"/>
  <c r="Q769" i="10" s="1"/>
  <c r="V768" i="10"/>
  <c r="W769" i="10" s="1"/>
  <c r="X769" i="10" s="1"/>
  <c r="O348" i="13"/>
  <c r="O349" i="13"/>
  <c r="R348" i="13"/>
  <c r="O346" i="13"/>
  <c r="O347" i="13"/>
  <c r="R346" i="13"/>
  <c r="R347" i="13"/>
  <c r="AL11" i="13"/>
  <c r="J11" i="13" s="1"/>
  <c r="O345" i="13"/>
  <c r="AL14" i="13"/>
  <c r="J14" i="13" s="1"/>
  <c r="R345" i="13"/>
  <c r="O344" i="13"/>
  <c r="B6" i="14"/>
  <c r="H753" i="10"/>
  <c r="J769" i="10" l="1"/>
  <c r="M769" i="10" s="1"/>
  <c r="N769" i="10" s="1"/>
  <c r="J768" i="10"/>
  <c r="M768" i="10" s="1"/>
  <c r="N768" i="10" s="1"/>
  <c r="K349" i="13"/>
  <c r="W768" i="10"/>
  <c r="X768" i="10" s="1"/>
  <c r="B11" i="13"/>
  <c r="S11" i="13" s="1"/>
  <c r="H2" i="14"/>
  <c r="V753" i="10"/>
  <c r="X753" i="10" s="1"/>
  <c r="J753" i="10" s="1"/>
  <c r="M753" i="10" s="1"/>
  <c r="N753" i="10" s="1"/>
  <c r="Q753" i="10"/>
  <c r="H771" i="10" l="1"/>
  <c r="H770" i="10"/>
  <c r="R349" i="13"/>
  <c r="J754" i="10"/>
  <c r="M754" i="10" s="1"/>
  <c r="N754" i="10" s="1"/>
  <c r="H756" i="10" s="1"/>
  <c r="V756" i="10" s="1"/>
  <c r="AI11" i="13"/>
  <c r="W11" i="13"/>
  <c r="B24" i="5" s="1"/>
  <c r="F90" i="7"/>
  <c r="S90" i="7" s="1"/>
  <c r="P342" i="13"/>
  <c r="H755" i="10"/>
  <c r="U342" i="13"/>
  <c r="P771" i="10" l="1"/>
  <c r="Q771" i="10" s="1"/>
  <c r="P770" i="10"/>
  <c r="Q770" i="10" s="1"/>
  <c r="V771" i="10"/>
  <c r="V770" i="10"/>
  <c r="P756" i="10"/>
  <c r="Q756" i="10" s="1"/>
  <c r="P755" i="10"/>
  <c r="Q755" i="10" s="1"/>
  <c r="V755" i="10"/>
  <c r="W756" i="10" s="1"/>
  <c r="X756" i="10" s="1"/>
  <c r="W755" i="10"/>
  <c r="X755" i="10" s="1"/>
  <c r="W771" i="10" l="1"/>
  <c r="X771" i="10" s="1"/>
  <c r="J771" i="10" s="1"/>
  <c r="M771" i="10" s="1"/>
  <c r="N771" i="10" s="1"/>
  <c r="W770" i="10"/>
  <c r="X770" i="10" s="1"/>
  <c r="J770" i="10" s="1"/>
  <c r="M770" i="10" s="1"/>
  <c r="N770" i="10" s="1"/>
  <c r="J755" i="10"/>
  <c r="M755" i="10" s="1"/>
  <c r="J756" i="10"/>
  <c r="M756" i="10" s="1"/>
  <c r="N756" i="10" s="1"/>
  <c r="U344" i="13"/>
  <c r="AL17" i="13"/>
  <c r="J17" i="13" s="1"/>
  <c r="H773" i="10" l="1"/>
  <c r="H772" i="10"/>
  <c r="R350" i="13"/>
  <c r="K350" i="13"/>
  <c r="H760" i="10"/>
  <c r="U343" i="13"/>
  <c r="N755" i="10"/>
  <c r="H767" i="10" s="1"/>
  <c r="P344" i="13"/>
  <c r="AL12" i="13"/>
  <c r="J12" i="13" s="1"/>
  <c r="P343" i="13"/>
  <c r="P773" i="10" l="1"/>
  <c r="Q773" i="10" s="1"/>
  <c r="P772" i="10"/>
  <c r="Q772" i="10" s="1"/>
  <c r="V773" i="10"/>
  <c r="V772" i="10"/>
  <c r="V767" i="10"/>
  <c r="P347" i="13"/>
  <c r="P345" i="13"/>
  <c r="P346" i="13"/>
  <c r="P760" i="10"/>
  <c r="Q760" i="10" s="1"/>
  <c r="P759" i="10"/>
  <c r="Q759" i="10" s="1"/>
  <c r="V760" i="10"/>
  <c r="K17" i="13"/>
  <c r="K19" i="13"/>
  <c r="K7" i="13"/>
  <c r="K16" i="13"/>
  <c r="K11" i="13"/>
  <c r="K18" i="13"/>
  <c r="K15" i="13"/>
  <c r="K12" i="13"/>
  <c r="K8" i="13"/>
  <c r="K13" i="13"/>
  <c r="K20" i="13"/>
  <c r="K9" i="13"/>
  <c r="K10" i="13"/>
  <c r="K14" i="13"/>
  <c r="W773" i="10" l="1"/>
  <c r="X773" i="10" s="1"/>
  <c r="J773" i="10" s="1"/>
  <c r="M773" i="10" s="1"/>
  <c r="N773" i="10" s="1"/>
  <c r="W772" i="10"/>
  <c r="X772" i="10" s="1"/>
  <c r="J772" i="10" s="1"/>
  <c r="M772" i="10" s="1"/>
  <c r="N772" i="10" s="1"/>
  <c r="W759" i="10"/>
  <c r="X759" i="10" s="1"/>
  <c r="J759" i="10" s="1"/>
  <c r="M759" i="10" s="1"/>
  <c r="N759" i="10" s="1"/>
  <c r="W760" i="10"/>
  <c r="X760" i="10" s="1"/>
  <c r="J760" i="10" s="1"/>
  <c r="M760" i="10" s="1"/>
  <c r="R351" i="13" l="1"/>
  <c r="B9" i="14"/>
  <c r="K2" i="14" s="1"/>
  <c r="K351" i="13"/>
  <c r="B2" i="14"/>
  <c r="B7" i="13" s="1"/>
  <c r="S7" i="13" s="1"/>
  <c r="H761" i="10"/>
  <c r="N760" i="10"/>
  <c r="Q345" i="13"/>
  <c r="U345" i="13"/>
  <c r="B14" i="13" l="1"/>
  <c r="S14" i="13" s="1"/>
  <c r="D2" i="14"/>
  <c r="F94" i="7"/>
  <c r="S94" i="7" s="1"/>
  <c r="W7" i="13"/>
  <c r="AI7" i="13"/>
  <c r="AI14" i="13"/>
  <c r="W14" i="13"/>
  <c r="F93" i="7"/>
  <c r="S93" i="7" s="1"/>
  <c r="H762" i="10"/>
  <c r="P761" i="10"/>
  <c r="Q761" i="10" s="1"/>
  <c r="P762" i="10"/>
  <c r="V761" i="10"/>
  <c r="W762" i="10" s="1"/>
  <c r="Q762" i="10" l="1"/>
  <c r="V762" i="10"/>
  <c r="X762" i="10" s="1"/>
  <c r="W761" i="10"/>
  <c r="X761" i="10" s="1"/>
  <c r="J762" i="10" l="1"/>
  <c r="M762" i="10" s="1"/>
  <c r="N762" i="10" s="1"/>
  <c r="J761" i="10"/>
  <c r="M761" i="10" s="1"/>
  <c r="N761" i="10" s="1"/>
  <c r="H764" i="10" l="1"/>
  <c r="H763" i="10"/>
  <c r="Q346" i="13"/>
  <c r="U346" i="13"/>
  <c r="P764" i="10" l="1"/>
  <c r="Q764" i="10" s="1"/>
  <c r="P763" i="10"/>
  <c r="Q763" i="10" s="1"/>
  <c r="V764" i="10"/>
  <c r="V763" i="10"/>
  <c r="W763" i="10" l="1"/>
  <c r="X763" i="10" s="1"/>
  <c r="J763" i="10" s="1"/>
  <c r="M763" i="10" s="1"/>
  <c r="W764" i="10"/>
  <c r="X764" i="10" s="1"/>
  <c r="J764" i="10" s="1"/>
  <c r="M764" i="10" s="1"/>
  <c r="N764" i="10" s="1"/>
  <c r="H766" i="10" l="1"/>
  <c r="U347" i="13"/>
  <c r="N763" i="10"/>
  <c r="V766" i="10" l="1"/>
  <c r="H765" i="10"/>
  <c r="P767" i="10" s="1"/>
  <c r="Q767" i="10" s="1"/>
  <c r="Q347" i="13"/>
  <c r="P765" i="10" l="1"/>
  <c r="Q765" i="10" s="1"/>
  <c r="P766" i="10"/>
  <c r="Q766" i="10" s="1"/>
  <c r="V765" i="10"/>
  <c r="W766" i="10" l="1"/>
  <c r="X766" i="10" s="1"/>
  <c r="J766" i="10" s="1"/>
  <c r="M766" i="10" s="1"/>
  <c r="W767" i="10"/>
  <c r="X767" i="10" s="1"/>
  <c r="J767" i="10" s="1"/>
  <c r="M767" i="10" s="1"/>
  <c r="N767" i="10" s="1"/>
  <c r="P351" i="13" s="1"/>
  <c r="J765" i="10"/>
  <c r="M765" i="10" s="1"/>
  <c r="N765" i="10" s="1"/>
  <c r="Q351" i="13" s="1"/>
  <c r="W765" i="10"/>
  <c r="X765" i="10" s="1"/>
  <c r="Q348" i="13"/>
  <c r="B8" i="14"/>
  <c r="Q349" i="13" l="1"/>
  <c r="Q350" i="13"/>
  <c r="P349" i="13"/>
  <c r="P350" i="13"/>
  <c r="B19" i="8"/>
  <c r="H19" i="8"/>
  <c r="E19" i="8" s="1"/>
  <c r="H18" i="8"/>
  <c r="D18" i="8" s="1"/>
  <c r="B18" i="8"/>
  <c r="N766" i="10"/>
  <c r="U351" i="13" s="1"/>
  <c r="B7" i="14"/>
  <c r="P348" i="13"/>
  <c r="U348" i="13"/>
  <c r="B12" i="14"/>
  <c r="B13" i="13"/>
  <c r="J2" i="14"/>
  <c r="U349" i="13" l="1"/>
  <c r="U350" i="13"/>
  <c r="F19" i="8"/>
  <c r="D19" i="8"/>
  <c r="C19" i="8"/>
  <c r="C18" i="8"/>
  <c r="E18" i="8"/>
  <c r="F18" i="8"/>
  <c r="B12" i="13"/>
  <c r="S12" i="13" s="1"/>
  <c r="I2" i="14"/>
  <c r="H17" i="8"/>
  <c r="B17" i="8"/>
  <c r="B17" i="13"/>
  <c r="S17" i="13" s="1"/>
  <c r="N2" i="14"/>
  <c r="S13" i="13"/>
  <c r="C5" i="14" l="1"/>
  <c r="C10" i="13" s="1"/>
  <c r="AA10" i="13" s="1"/>
  <c r="C4" i="14"/>
  <c r="C9" i="13" s="1"/>
  <c r="AA9" i="13" s="1"/>
  <c r="C2" i="14"/>
  <c r="C7" i="13" s="1"/>
  <c r="AA7" i="13" s="1"/>
  <c r="C7" i="14"/>
  <c r="C12" i="13" s="1"/>
  <c r="AA12" i="13" s="1"/>
  <c r="E19" i="13"/>
  <c r="D12" i="13"/>
  <c r="E11" i="13"/>
  <c r="D18" i="13"/>
  <c r="E9" i="13"/>
  <c r="C15" i="14"/>
  <c r="C20" i="13" s="1"/>
  <c r="AA20" i="13" s="1"/>
  <c r="C14" i="14"/>
  <c r="C19" i="13" s="1"/>
  <c r="AA19" i="13" s="1"/>
  <c r="E16" i="13"/>
  <c r="D11" i="13"/>
  <c r="E8" i="13"/>
  <c r="D19" i="13"/>
  <c r="C9" i="14"/>
  <c r="C14" i="13" s="1"/>
  <c r="AA14" i="13" s="1"/>
  <c r="D9" i="13"/>
  <c r="C3" i="14"/>
  <c r="C8" i="13" s="1"/>
  <c r="AA8" i="13" s="1"/>
  <c r="E13" i="13"/>
  <c r="E12" i="13"/>
  <c r="D14" i="13"/>
  <c r="E17" i="13"/>
  <c r="C12" i="14"/>
  <c r="C17" i="13" s="1"/>
  <c r="AA17" i="13" s="1"/>
  <c r="C17" i="8"/>
  <c r="F17" i="8" s="1"/>
  <c r="D17" i="8"/>
  <c r="E17" i="8"/>
  <c r="C8" i="14"/>
  <c r="C13" i="13" s="1"/>
  <c r="AA13" i="13" s="1"/>
  <c r="D13" i="13"/>
  <c r="D8" i="13"/>
  <c r="F95" i="7"/>
  <c r="S95" i="7" s="1"/>
  <c r="AI12" i="13"/>
  <c r="W12" i="13"/>
  <c r="E15" i="13"/>
  <c r="C6" i="14"/>
  <c r="C11" i="13" s="1"/>
  <c r="AA11" i="13" s="1"/>
  <c r="B28" i="5" s="1"/>
  <c r="C13" i="14"/>
  <c r="C18" i="13" s="1"/>
  <c r="AA18" i="13" s="1"/>
  <c r="D10" i="13"/>
  <c r="D17" i="13"/>
  <c r="D16" i="13"/>
  <c r="C10" i="14"/>
  <c r="C15" i="13" s="1"/>
  <c r="AA15" i="13" s="1"/>
  <c r="E20" i="13"/>
  <c r="E18" i="13"/>
  <c r="E7" i="13"/>
  <c r="C11" i="14"/>
  <c r="C16" i="13" s="1"/>
  <c r="AA16" i="13" s="1"/>
  <c r="E10" i="13"/>
  <c r="D15" i="13"/>
  <c r="D20" i="13"/>
  <c r="E14" i="13"/>
  <c r="D7" i="13"/>
  <c r="F92" i="7"/>
  <c r="S92" i="7" s="1"/>
  <c r="AI17" i="13"/>
  <c r="W17" i="13"/>
  <c r="F91" i="7"/>
  <c r="S91" i="7" s="1"/>
  <c r="AI13" i="13"/>
  <c r="W13" i="13"/>
  <c r="C4" i="7" l="1"/>
  <c r="B12" i="5"/>
  <c r="L17" i="13"/>
  <c r="B7" i="4"/>
  <c r="L10" i="13"/>
  <c r="L8" i="13"/>
  <c r="B12" i="4"/>
  <c r="B15" i="4"/>
  <c r="L14" i="13"/>
  <c r="B6" i="4"/>
  <c r="B5" i="4"/>
  <c r="L20" i="13"/>
  <c r="B10" i="4"/>
  <c r="B18" i="4"/>
  <c r="L18" i="13"/>
  <c r="B13" i="4"/>
  <c r="L12" i="13"/>
  <c r="L15" i="13"/>
  <c r="L19" i="13"/>
  <c r="B17" i="4"/>
  <c r="B16" i="4"/>
  <c r="L16" i="13"/>
  <c r="L9" i="13"/>
  <c r="L7" i="13"/>
  <c r="L13" i="13"/>
  <c r="L11" i="13"/>
  <c r="B8" i="4"/>
  <c r="B9" i="4"/>
  <c r="B14" i="4"/>
  <c r="B11" i="4"/>
  <c r="A6" i="3"/>
  <c r="A5" i="3"/>
  <c r="B28" i="8" s="1"/>
  <c r="E13" i="4" l="1"/>
  <c r="O13" i="4"/>
  <c r="S13" i="4"/>
  <c r="P13" i="4"/>
  <c r="R13" i="4"/>
  <c r="T13" i="4"/>
  <c r="H13" i="4"/>
  <c r="M13" i="4"/>
  <c r="U13" i="4"/>
  <c r="D13" i="4"/>
  <c r="C13" i="4"/>
  <c r="X13" i="4"/>
  <c r="J13" i="4"/>
  <c r="I13" i="4"/>
  <c r="K13" i="4"/>
  <c r="Y20" i="13" s="1"/>
  <c r="V13" i="4"/>
  <c r="Q13" i="4"/>
  <c r="C11" i="4"/>
  <c r="O11" i="4"/>
  <c r="J11" i="4"/>
  <c r="V11" i="4"/>
  <c r="E11" i="4"/>
  <c r="U11" i="4"/>
  <c r="D11" i="4"/>
  <c r="H11" i="4"/>
  <c r="T11" i="4"/>
  <c r="I11" i="4"/>
  <c r="S11" i="4"/>
  <c r="M11" i="4"/>
  <c r="K11" i="4"/>
  <c r="Y9" i="13" s="1"/>
  <c r="Q11" i="4"/>
  <c r="R11" i="4"/>
  <c r="P11" i="4"/>
  <c r="X11" i="4"/>
  <c r="T18" i="4"/>
  <c r="D18" i="4"/>
  <c r="H18" i="4"/>
  <c r="C18" i="4"/>
  <c r="V18" i="4"/>
  <c r="Q18" i="4"/>
  <c r="J18" i="4"/>
  <c r="S18" i="4"/>
  <c r="U18" i="4"/>
  <c r="K18" i="4"/>
  <c r="Y16" i="13" s="1"/>
  <c r="I18" i="4"/>
  <c r="X18" i="4"/>
  <c r="M18" i="4"/>
  <c r="O18" i="4"/>
  <c r="E18" i="4"/>
  <c r="R18" i="4"/>
  <c r="P18" i="4"/>
  <c r="Q14" i="4"/>
  <c r="J14" i="4"/>
  <c r="M14" i="4"/>
  <c r="U14" i="4"/>
  <c r="R14" i="4"/>
  <c r="P14" i="4"/>
  <c r="I14" i="4"/>
  <c r="E14" i="4"/>
  <c r="D14" i="4"/>
  <c r="T14" i="4"/>
  <c r="V14" i="4"/>
  <c r="H14" i="4"/>
  <c r="K14" i="4"/>
  <c r="C14" i="4"/>
  <c r="O14" i="4"/>
  <c r="S14" i="4"/>
  <c r="X14" i="4"/>
  <c r="V10" i="4"/>
  <c r="P10" i="4"/>
  <c r="E10" i="4"/>
  <c r="I10" i="4"/>
  <c r="H10" i="4"/>
  <c r="Q10" i="4"/>
  <c r="S10" i="4"/>
  <c r="M10" i="4"/>
  <c r="K10" i="4"/>
  <c r="T10" i="4"/>
  <c r="X10" i="4"/>
  <c r="C10" i="4"/>
  <c r="U10" i="4"/>
  <c r="R10" i="4"/>
  <c r="D10" i="4"/>
  <c r="O10" i="4"/>
  <c r="J10" i="4"/>
  <c r="J9" i="4"/>
  <c r="V9" i="4"/>
  <c r="H9" i="4"/>
  <c r="E9" i="4"/>
  <c r="R9" i="4"/>
  <c r="T9" i="4"/>
  <c r="U9" i="4"/>
  <c r="S9" i="4"/>
  <c r="O9" i="4"/>
  <c r="K9" i="4"/>
  <c r="I9" i="4"/>
  <c r="C9" i="4"/>
  <c r="M9" i="4"/>
  <c r="Q9" i="4"/>
  <c r="X9" i="4"/>
  <c r="P9" i="4"/>
  <c r="D9" i="4"/>
  <c r="M8" i="4"/>
  <c r="R8" i="4"/>
  <c r="S8" i="4"/>
  <c r="E8" i="4"/>
  <c r="T8" i="4"/>
  <c r="X8" i="4"/>
  <c r="J8" i="4"/>
  <c r="Q8" i="4"/>
  <c r="V8" i="4"/>
  <c r="P8" i="4"/>
  <c r="D8" i="4"/>
  <c r="O8" i="4"/>
  <c r="I8" i="4"/>
  <c r="H8" i="4"/>
  <c r="U8" i="4"/>
  <c r="C8" i="4"/>
  <c r="K8" i="4"/>
  <c r="T5" i="4"/>
  <c r="C5" i="4"/>
  <c r="Q5" i="4"/>
  <c r="J5" i="4"/>
  <c r="B5" i="5"/>
  <c r="K5" i="4"/>
  <c r="P5" i="4"/>
  <c r="O5" i="4"/>
  <c r="U5" i="4"/>
  <c r="V5" i="4"/>
  <c r="X5" i="4"/>
  <c r="I5" i="4"/>
  <c r="R5" i="4"/>
  <c r="E5" i="4"/>
  <c r="M5" i="4"/>
  <c r="H5" i="4"/>
  <c r="D5" i="4"/>
  <c r="B17" i="9"/>
  <c r="S5" i="4"/>
  <c r="E6" i="4"/>
  <c r="Q6" i="4"/>
  <c r="S6" i="4"/>
  <c r="X6" i="4"/>
  <c r="O6" i="4"/>
  <c r="J6" i="4"/>
  <c r="C6" i="4"/>
  <c r="C18" i="9" s="1"/>
  <c r="M6" i="4"/>
  <c r="P6" i="4"/>
  <c r="K6" i="4"/>
  <c r="U6" i="4"/>
  <c r="V6" i="4"/>
  <c r="I6" i="4"/>
  <c r="R6" i="4"/>
  <c r="H6" i="4"/>
  <c r="T6" i="4"/>
  <c r="B18" i="9"/>
  <c r="D6" i="4"/>
  <c r="AD20" i="13"/>
  <c r="AF20" i="13" s="1"/>
  <c r="W13" i="4" s="1"/>
  <c r="A8" i="9"/>
  <c r="T15" i="4"/>
  <c r="X15" i="4"/>
  <c r="P15" i="4"/>
  <c r="I15" i="4"/>
  <c r="K15" i="4"/>
  <c r="D15" i="4"/>
  <c r="S15" i="4"/>
  <c r="Q15" i="4"/>
  <c r="H15" i="4"/>
  <c r="J15" i="4"/>
  <c r="M15" i="4"/>
  <c r="V15" i="4"/>
  <c r="E15" i="4"/>
  <c r="U15" i="4"/>
  <c r="R15" i="4"/>
  <c r="O15" i="4"/>
  <c r="C15" i="4"/>
  <c r="I12" i="4"/>
  <c r="O12" i="4"/>
  <c r="T12" i="4"/>
  <c r="R12" i="4"/>
  <c r="C12" i="4"/>
  <c r="X12" i="4"/>
  <c r="S12" i="4"/>
  <c r="D12" i="4"/>
  <c r="P12" i="4"/>
  <c r="Q12" i="4"/>
  <c r="H12" i="4"/>
  <c r="V12" i="4"/>
  <c r="K12" i="4"/>
  <c r="U12" i="4"/>
  <c r="E12" i="4"/>
  <c r="J12" i="4"/>
  <c r="M12" i="4"/>
  <c r="K16" i="4"/>
  <c r="AE8" i="13" s="1"/>
  <c r="V16" i="4"/>
  <c r="C16" i="4"/>
  <c r="P16" i="4"/>
  <c r="H16" i="4"/>
  <c r="T16" i="4"/>
  <c r="O16" i="4"/>
  <c r="U16" i="4"/>
  <c r="I16" i="4"/>
  <c r="X16" i="4"/>
  <c r="D16" i="4"/>
  <c r="Q16" i="4"/>
  <c r="M16" i="4"/>
  <c r="R16" i="4"/>
  <c r="E16" i="4"/>
  <c r="J16" i="4"/>
  <c r="S16" i="4"/>
  <c r="X17" i="4"/>
  <c r="K17" i="4"/>
  <c r="P17" i="4"/>
  <c r="S17" i="4"/>
  <c r="V17" i="4"/>
  <c r="H17" i="4"/>
  <c r="U17" i="4"/>
  <c r="D17" i="4"/>
  <c r="AD10" i="13" s="1"/>
  <c r="M17" i="4"/>
  <c r="R17" i="4"/>
  <c r="T17" i="4"/>
  <c r="I17" i="4"/>
  <c r="O17" i="4"/>
  <c r="C17" i="4"/>
  <c r="Q17" i="4"/>
  <c r="E17" i="4"/>
  <c r="J17" i="4"/>
  <c r="S7" i="4"/>
  <c r="U7" i="4"/>
  <c r="X7" i="4"/>
  <c r="O7" i="4"/>
  <c r="D7" i="4"/>
  <c r="M7" i="4"/>
  <c r="I7" i="4"/>
  <c r="P7" i="4"/>
  <c r="B19" i="9"/>
  <c r="C7" i="4"/>
  <c r="C19" i="9" s="1"/>
  <c r="R7" i="4"/>
  <c r="K7" i="4"/>
  <c r="E7" i="4"/>
  <c r="J7" i="4"/>
  <c r="H7" i="4"/>
  <c r="Q7" i="4"/>
  <c r="T7" i="4"/>
  <c r="V7" i="4"/>
  <c r="Y15" i="13" l="1"/>
  <c r="AE13" i="13"/>
  <c r="AE19" i="13"/>
  <c r="C22" i="8"/>
  <c r="B22" i="8"/>
  <c r="B31" i="8"/>
  <c r="Y11" i="13"/>
  <c r="B26" i="5" s="1"/>
  <c r="B11" i="5"/>
  <c r="AE11" i="13"/>
  <c r="F15" i="4"/>
  <c r="G15" i="4"/>
  <c r="L15" i="4"/>
  <c r="B21" i="8"/>
  <c r="L5" i="4"/>
  <c r="G5" i="4"/>
  <c r="C21" i="8"/>
  <c r="F21" i="8" s="1"/>
  <c r="AD11" i="13"/>
  <c r="F5" i="4"/>
  <c r="B8" i="5" s="1"/>
  <c r="A10" i="9"/>
  <c r="B10" i="5"/>
  <c r="B30" i="8"/>
  <c r="C17" i="9"/>
  <c r="N8" i="4"/>
  <c r="N13" i="4"/>
  <c r="D19" i="9"/>
  <c r="N7" i="4"/>
  <c r="N12" i="4"/>
  <c r="A5" i="9"/>
  <c r="N18" i="4"/>
  <c r="N14" i="4"/>
  <c r="B33" i="8"/>
  <c r="N6" i="4"/>
  <c r="N10" i="4"/>
  <c r="N5" i="4"/>
  <c r="B15" i="5" s="1"/>
  <c r="N17" i="4"/>
  <c r="N11" i="4"/>
  <c r="N9" i="4"/>
  <c r="D18" i="9"/>
  <c r="N15" i="4"/>
  <c r="N16" i="4"/>
  <c r="F12" i="4"/>
  <c r="G12" i="4"/>
  <c r="X18" i="13" s="1"/>
  <c r="L12" i="4"/>
  <c r="Y13" i="13"/>
  <c r="Y12" i="13"/>
  <c r="AE12" i="13"/>
  <c r="Y19" i="13"/>
  <c r="F13" i="4"/>
  <c r="L13" i="4"/>
  <c r="G13" i="4"/>
  <c r="X20" i="13" s="1"/>
  <c r="AB20" i="13" s="1"/>
  <c r="AE7" i="13"/>
  <c r="Y7" i="13"/>
  <c r="B6" i="5"/>
  <c r="AE20" i="13"/>
  <c r="AD19" i="13"/>
  <c r="L9" i="4"/>
  <c r="F9" i="4"/>
  <c r="G9" i="4"/>
  <c r="AD9" i="13"/>
  <c r="G11" i="4"/>
  <c r="X9" i="13" s="1"/>
  <c r="AB9" i="13" s="1"/>
  <c r="L11" i="4"/>
  <c r="F11" i="4"/>
  <c r="AD18" i="13"/>
  <c r="AE18" i="13"/>
  <c r="Y18" i="13"/>
  <c r="AE15" i="13"/>
  <c r="Y14" i="13"/>
  <c r="AE14" i="13"/>
  <c r="AD7" i="13"/>
  <c r="G8" i="4"/>
  <c r="F8" i="4"/>
  <c r="L8" i="4"/>
  <c r="AD13" i="13"/>
  <c r="L10" i="4"/>
  <c r="F10" i="4"/>
  <c r="G10" i="4"/>
  <c r="AD15" i="13"/>
  <c r="L14" i="4"/>
  <c r="G14" i="4"/>
  <c r="F14" i="4"/>
  <c r="AD17" i="13"/>
  <c r="T2" i="4"/>
  <c r="L16" i="4"/>
  <c r="G16" i="4"/>
  <c r="X8" i="13" s="1"/>
  <c r="F16" i="4"/>
  <c r="AD8" i="13"/>
  <c r="L17" i="4"/>
  <c r="G17" i="4"/>
  <c r="X10" i="13" s="1"/>
  <c r="F17" i="4"/>
  <c r="AD14" i="13"/>
  <c r="F7" i="4"/>
  <c r="G7" i="4"/>
  <c r="L7" i="4"/>
  <c r="Y8" i="13"/>
  <c r="AE9" i="13"/>
  <c r="F18" i="4"/>
  <c r="L18" i="4"/>
  <c r="G18" i="4"/>
  <c r="X16" i="13" s="1"/>
  <c r="AB16" i="13" s="1"/>
  <c r="AE16" i="13"/>
  <c r="F6" i="4"/>
  <c r="G6" i="4"/>
  <c r="X12" i="13" s="1"/>
  <c r="AD12" i="13"/>
  <c r="L6" i="4"/>
  <c r="AE17" i="13"/>
  <c r="Y17" i="13"/>
  <c r="Y10" i="13"/>
  <c r="AE10" i="13"/>
  <c r="AD16" i="13"/>
  <c r="X14" i="13" l="1"/>
  <c r="X15" i="13"/>
  <c r="AB15" i="13" s="1"/>
  <c r="X13" i="13"/>
  <c r="AB13" i="13" s="1"/>
  <c r="AF13" i="13" s="1"/>
  <c r="X7" i="13"/>
  <c r="AB7" i="13" s="1"/>
  <c r="AF7" i="13" s="1"/>
  <c r="AB14" i="13"/>
  <c r="AF14" i="13" s="1"/>
  <c r="AB8" i="13"/>
  <c r="AF8" i="13" s="1"/>
  <c r="W16" i="4" s="1"/>
  <c r="X11" i="13"/>
  <c r="B9" i="5"/>
  <c r="B16" i="5"/>
  <c r="A3" i="4"/>
  <c r="X19" i="13"/>
  <c r="AB19" i="13" s="1"/>
  <c r="AF19" i="13" s="1"/>
  <c r="X17" i="13"/>
  <c r="AB17" i="13" s="1"/>
  <c r="AF17" i="13" s="1"/>
  <c r="AF9" i="13"/>
  <c r="W11" i="4" s="1"/>
  <c r="AF16" i="13"/>
  <c r="W18" i="4" s="1"/>
  <c r="AB18" i="13"/>
  <c r="AF18" i="13" s="1"/>
  <c r="W12" i="4" s="1"/>
  <c r="AB10" i="13"/>
  <c r="AF10" i="13" s="1"/>
  <c r="W17" i="4" s="1"/>
  <c r="AF15" i="13"/>
  <c r="AB12" i="13"/>
  <c r="AF12" i="13" s="1"/>
  <c r="W6" i="4" s="1"/>
  <c r="W7" i="4" l="1"/>
  <c r="W8" i="4"/>
  <c r="W9" i="4"/>
  <c r="W10" i="4"/>
  <c r="W15" i="4"/>
  <c r="W14" i="4"/>
  <c r="B25" i="5"/>
  <c r="AB11" i="13"/>
  <c r="AF11" i="13" l="1"/>
  <c r="B23" i="5"/>
  <c r="W5" i="4" l="1"/>
  <c r="B7" i="5"/>
</calcChain>
</file>

<file path=xl/sharedStrings.xml><?xml version="1.0" encoding="utf-8"?>
<sst xmlns="http://schemas.openxmlformats.org/spreadsheetml/2006/main" count="3303" uniqueCount="466">
  <si>
    <t>TRENDS &amp; STORYLINES</t>
  </si>
  <si>
    <t>The living story of the season — every line updates automatically as games are logged.     ℹ  Every column &amp; rule is explained on the Guide &amp; Settings tab.</t>
  </si>
  <si>
    <t>📰  THE STORY SO FAR</t>
  </si>
  <si>
    <t>🏁  THE TITLE RACE</t>
  </si>
  <si>
    <t>Pos</t>
  </si>
  <si>
    <t>Player</t>
  </si>
  <si>
    <t>Rating</t>
  </si>
  <si>
    <t>Gap to lead</t>
  </si>
  <si>
    <t>🏆  SPORT LADDER  ·  pick a sport →</t>
  </si>
  <si>
    <t>Mario Party</t>
  </si>
  <si>
    <t>Games</t>
  </si>
  <si>
    <t>Wins</t>
  </si>
  <si>
    <t>Win %</t>
  </si>
  <si>
    <t>Sport rating</t>
  </si>
  <si>
    <t>Rank</t>
  </si>
  <si>
    <t>Aaron</t>
  </si>
  <si>
    <t>Beau</t>
  </si>
  <si>
    <t>Chase</t>
  </si>
  <si>
    <t>David</t>
  </si>
  <si>
    <t>Josh</t>
  </si>
  <si>
    <t>Shawn</t>
  </si>
  <si>
    <t>Simon</t>
  </si>
  <si>
    <t>Daniel (Ferret)</t>
  </si>
  <si>
    <t>Dean B</t>
  </si>
  <si>
    <t>Cody</t>
  </si>
  <si>
    <t>Oscar</t>
  </si>
  <si>
    <t>Dean M</t>
  </si>
  <si>
    <t>Dylan A</t>
  </si>
  <si>
    <t>Dylan S</t>
  </si>
  <si>
    <t>🔥  FORM HEAT MAP</t>
  </si>
  <si>
    <t>last 10 games each — oldest ◄ left · newest ► right   (green = win, red = loss)</t>
  </si>
  <si>
    <t>🎯  SPORT MASTERY HEAT MAP</t>
  </si>
  <si>
    <t>win % per player per sport · red = weak, green = strong · blank = not played</t>
  </si>
  <si>
    <t>Chess</t>
  </si>
  <si>
    <t>Darts</t>
  </si>
  <si>
    <t>FIFA</t>
  </si>
  <si>
    <t>Golf</t>
  </si>
  <si>
    <t>Pool</t>
  </si>
  <si>
    <t>Kelly Pool</t>
  </si>
  <si>
    <t>Target</t>
  </si>
  <si>
    <t>Snooker</t>
  </si>
  <si>
    <t>Putt Putt</t>
  </si>
  <si>
    <t>Back Yard Putt Putt</t>
  </si>
  <si>
    <t>Sting Pong</t>
  </si>
  <si>
    <t>Table Tennis</t>
  </si>
  <si>
    <t>Mario Kart</t>
  </si>
  <si>
    <t>Go Karting</t>
  </si>
  <si>
    <t>Call of Duty</t>
  </si>
  <si>
    <t>Poker</t>
  </si>
  <si>
    <t>ShuffleBoard</t>
  </si>
  <si>
    <t>Mario Golf</t>
  </si>
  <si>
    <t>HORSE - Basketball</t>
  </si>
  <si>
    <t>Car racing arcade</t>
  </si>
  <si>
    <t>Shooting game arcade</t>
  </si>
  <si>
    <t>Cards</t>
  </si>
  <si>
    <t>Basketball arcade</t>
  </si>
  <si>
    <t>FAMILY WORLD CHAMPIONSHIP — START HERE</t>
  </si>
  <si>
    <t>Everything you need to understand this tracker, in plain English. If you read only this page, you’ll understand every number in the whole document.</t>
  </si>
  <si>
    <t>WHAT IS THIS?</t>
  </si>
  <si>
    <t>A living scoreboard for our family games. Log who played and who won in the Match Log, and every other tab updates itself — rankings, head-to-heads, records, heat maps and storylines.</t>
  </si>
  <si>
    <t>THE ONE NUMBER THAT MATTERS — “FWC RATING”</t>
  </si>
  <si>
    <t>Everyone starts on 1000. Win and it rises; lose and it falls. Beating a strong player is worth more than beating a weak one (it’s an “Elo” rating, like chess). The title goes to the highest-rated ELIGIBLE and ACTIVE player — not whoever has the most wins.</t>
  </si>
  <si>
    <t>HOW TO ADD A GAME</t>
  </si>
  <si>
    <t>1.  Go to the Match Log tab — the only place you type.</t>
  </si>
  <si>
    <t>2.  Add ONE ROW PER PLAYER. A 1-v-1 is 2 rows; a 4-player game is 4 rows. Everyone in the same game shares the same Game ID.</t>
  </si>
  <si>
    <t>4.  The grey columns calculate themselves and are locked. Every other tab updates instantly.</t>
  </si>
  <si>
    <t>WHAT EACH TAB SHOWS</t>
  </si>
  <si>
    <t>Leaders</t>
  </si>
  <si>
    <t>the current champion, the past champions (Roll of Honour) and the top player in every sport.</t>
  </si>
  <si>
    <t>Dashboard</t>
  </si>
  <si>
    <t>the full live standings, ranked by Adjusted Rating, with win %, form, streaks, movement and activity.</t>
  </si>
  <si>
    <t>Player Card</t>
  </si>
  <si>
    <t>pick any player to see their whole story — rating, rank, tier, form, activity and a sport-by-sport breakdown.</t>
  </si>
  <si>
    <t>Head-to-Head</t>
  </si>
  <si>
    <t>how each player fares directly against every other (win % in decided games, and games played together).</t>
  </si>
  <si>
    <t>Sport Records</t>
  </si>
  <si>
    <t>games, wins, win %, champion and sport-rating for every player in every sport.</t>
  </si>
  <si>
    <t>Records &amp; Awards</t>
  </si>
  <si>
    <t>the biggest upsets, all-time records, and the season’s honours (Giant Killer, Iron Man, On Fire…).</t>
  </si>
  <si>
    <t>Trends &amp; Stats</t>
  </si>
  <si>
    <t>the live storylines, the title race, the sport ladder, and colour heat maps for form and sport mastery.</t>
  </si>
  <si>
    <t>Match Log</t>
  </si>
  <si>
    <t>the raw record of every game — the only tab you type into.</t>
  </si>
  <si>
    <t>Sport Voting</t>
  </si>
  <si>
    <t>propose new sports or vote to remove existing ones.</t>
  </si>
  <si>
    <t>HOW A RATING MOVES</t>
  </si>
  <si>
    <t>Each game, your rating change = Skill Pts + Form Pts + Arena Pts:</t>
  </si>
  <si>
    <t>•  Skill Pts — the main Elo swing. Win = gain, lose = drop; more for beating a favourite, less for beating an underdog.</t>
  </si>
  <si>
    <t>•  Form Pts — a bonus or penalty for beating (or falling short of) your expected odds in that game.</t>
  </si>
  <si>
    <t>•  Arena Pts — a small reward for turning up to group games (3+ players). The bigger the field, the more.</t>
  </si>
  <si>
    <t>SPORT-SPECIFIC (“BLENDED”) RATING</t>
  </si>
  <si>
    <t>Your predicted chance in a game is not just your overall rating. The engine also tracks how good you are at THAT sport and blends the two. The more you play a sport (about 5 games), the more your sport-specific skill takes over. So someone great overall but weak at FIFA stops being the favourite once they have a FIFA record.</t>
  </si>
  <si>
    <t>BECOMING CHAMPION — THE ANTI-FLUKE RULE</t>
  </si>
  <si>
    <t>To be crowned (Status = “Eligible”) you must have played at least 8 GAMES across at least 3 different SPORTS. Until then your Status shows “Provisional”. You must also be ACTIVE (see the Inactivity Rule). This stops a short hot streak stealing the title.</t>
  </si>
  <si>
    <t>ADJUSTABLE SETTINGS  ·  change these by family vote</t>
  </si>
  <si>
    <t>Base Rating</t>
  </si>
  <si>
    <t>Everyone starts here.</t>
  </si>
  <si>
    <t>K-Factor (skill)</t>
  </si>
  <si>
    <t>Size of the skill (Elo) swing. Higher = more volatile ratings.</t>
  </si>
  <si>
    <t>Form Weight</t>
  </si>
  <si>
    <t>Multiplier for beating your field-adjusted odds. 0 turns Form off.</t>
  </si>
  <si>
    <t>Arena Weight</t>
  </si>
  <si>
    <t>Multiplier for showing up to 3+ player games. 0 turns Arena off.</t>
  </si>
  <si>
    <t>Min Games to qualify</t>
  </si>
  <si>
    <t>Games you must play before you can be crowned champion.</t>
  </si>
  <si>
    <t>Min Sports to qualify</t>
  </si>
  <si>
    <t>Different sports you must play before you can be crowned champion.</t>
  </si>
  <si>
    <t>Idle warning (weeks)</t>
  </si>
  <si>
    <t>Weeks idle before you’re flagged ⚠ At Risk (a warning only — no penalty yet).</t>
  </si>
  <si>
    <t>Idle penalty (weeks)</t>
  </si>
  <si>
    <t>Weeks idle before the points penalty starts AND you lose the live crown until you play.</t>
  </si>
  <si>
    <t>Idle decay (points/week)</t>
  </si>
  <si>
    <t>Points removed every week once the penalty has started. There is NO cap — it keeps going until you play.</t>
  </si>
  <si>
    <t>Rule change date</t>
  </si>
  <si>
    <t>Idle gaps that ended before this date are not back-charged. Current idle time counts in full.</t>
  </si>
  <si>
    <t>TIERS  ·  driven by your ATHLETE INDEX (not just your rank)</t>
  </si>
  <si>
    <t>Your tier comes from an Athlete Index (0–100) — a blend of five things, so “Elite” means strong across the board, not one lucky number:</t>
  </si>
  <si>
    <t>•  Skill 35% (your rating &amp; who you beat)   •  Win rate 20%   •  Versatility 20% (how many sports you play AND are good at)   •  Form 15% (recent results)   •  Strength of schedule 10%</t>
  </si>
  <si>
    <t>🥇 Elite = Index 72+    ·    🥈 Strong = 58–71    ·    🥉 Mid = 44–57    ·    🌱 Developing = under 44</t>
  </si>
  <si>
    <t>Top-tier gate: to be Elite or Strong you must also have played 8+ games across 3+ sports. Under 5 games (or only 1 sport) = “Unranked” until you’ve played more. See your own breakdown on the Player Card.</t>
  </si>
  <si>
    <t>THE INACTIVITY RULE  ·  use it or lose it</t>
  </si>
  <si>
    <t>•  Under 2 weeks since your last game  →  Active. All good.</t>
  </si>
  <si>
    <t>•  At 2 weeks idle  →  flagged ⚠ At Risk on the Dashboard. A warning only, no penalty. Go get a game in.</t>
  </si>
  <si>
    <t>•  At 4.0 weeks idle  →  the hammer drops INSTANTLY: 10 rating points gone the moment your personal idle timer ticks over to 4.0, and you cannot hold the live Champion crown until you play again.</t>
  </si>
  <si>
    <t>•  Another 10 points comes off the instant you hit 5.0 weeks, 6.0 weeks, and so on. There is NO maximum. The timer is individual (it runs from YOUR last game) and it follows the real calendar: it ticks over whether or not anyone else plays, and updates every time the tracker is opened.</t>
  </si>
  <si>
    <t>•  Lost points are GONE FOR GOOD. Playing again stops the slide immediately and restarts your 2-week clock, but it does NOT refund the points you already lost.</t>
  </si>
  <si>
    <t>•  Penalties stack across separate idle spells. The settings above (2 / 4 weeks, 10 pts/week) are open to a family vote. Gaps closed before the Rule change date are not back-charged.</t>
  </si>
  <si>
    <t>VOTING ON SPORTS</t>
  </si>
  <si>
    <t>On the Sport Voting tab each of the 14 athletes gets one vote (type 1 for yes). For a change to pass, at least 7 athletes must have voted (the quorum) AND at least 8 must be in favour. The Outcome column shows where each proposal stands.</t>
  </si>
  <si>
    <t>GLOSSARY  ·  every term &amp; column, plain English</t>
  </si>
  <si>
    <t>FWC Rating</t>
  </si>
  <si>
    <t>your overall skill score across all sports. Everyone starts at 1000; win and it rises, lose and it falls.</t>
  </si>
  <si>
    <t>Adjusted (Adj.) Rating</t>
  </si>
  <si>
    <t>your FWC Rating after any inactivity penalties are taken off. The live standings and the Champion are decided on THIS number.</t>
  </si>
  <si>
    <t>Penalty</t>
  </si>
  <si>
    <t>total rating points you have lost through inactivity. Permanent — they do not come back when you return.</t>
  </si>
  <si>
    <t>Elo</t>
  </si>
  <si>
    <t>the rating method (from chess): beating a strong player earns more than beating a weak one.</t>
  </si>
  <si>
    <t>Expected Win %</t>
  </si>
  <si>
    <t>your predicted chance of winning a given game, based mostly on your record in that sport.</t>
  </si>
  <si>
    <t>Skill Pts</t>
  </si>
  <si>
    <t>the main rating swing each game — win = gain, lose = drop; more for beating a favourite.</t>
  </si>
  <si>
    <t>Form Pts</t>
  </si>
  <si>
    <t>a bonus or penalty for beating (or missing) your expected odds in that game.</t>
  </si>
  <si>
    <t>Arena Pts</t>
  </si>
  <si>
    <t>a small reward for turning up to group games (3+ players); the bigger the field, the more.</t>
  </si>
  <si>
    <t>Rating Before / After</t>
  </si>
  <si>
    <t>your rating immediately before and after a game (shown on the Match Log).</t>
  </si>
  <si>
    <t>SoS (Strength of Schedule)</t>
  </si>
  <si>
    <t>the average rating of the opponents you have faced. Higher = a tougher run.</t>
  </si>
  <si>
    <t>Streak</t>
  </si>
  <si>
    <t>your current run — W3 = three wins in a row; L2 = two losses in a row.</t>
  </si>
  <si>
    <t>Form (last 5 / last 10)</t>
  </si>
  <si>
    <t>your most recent results, oldest → newest (e.g. WWLWL). The Form Heat Map on Trends shows the last 10 in green/red.</t>
  </si>
  <si>
    <t>Move (▲ ▼)</t>
  </si>
  <si>
    <t>Last Played / Wks Idle</t>
  </si>
  <si>
    <t>Activity</t>
  </si>
  <si>
    <t>Active = played within 2 weeks · ⚠ At Risk = 2 to 4 weeks idle · Inactive = 4+ weeks idle (crown lost, 10 pts lost per week until you play).</t>
  </si>
  <si>
    <t>Tier</t>
  </si>
  <si>
    <t>Status</t>
  </si>
  <si>
    <t>Eligible = can win the title (8+ games across 3+ sports) · Provisional = playing but not there yet · No games = hasn’t played.</t>
  </si>
  <si>
    <t>wins ÷ games played.</t>
  </si>
  <si>
    <t>Champion / Champ Wins</t>
  </si>
  <si>
    <t>the player with the most wins in a sport, and how many wins that is.</t>
  </si>
  <si>
    <t>Contests / Games</t>
  </si>
  <si>
    <t>how many times a sport has been played.</t>
  </si>
  <si>
    <t>Sport Rating</t>
  </si>
  <si>
    <t>your Elo within one specific sport (Sport Records). The Sport Mastery heat map shows everyone’s win % per sport.</t>
  </si>
  <si>
    <t>Upset / Giant-killer</t>
  </si>
  <si>
    <t>a win by the underdog. The longer the odds beaten, the bigger the upset (normalised for field size).</t>
  </si>
  <si>
    <t>Points behind leader</t>
  </si>
  <si>
    <t>how many rating points you trail the No.1 player by.</t>
  </si>
  <si>
    <t>your position on the Dashboard, by Adjusted Rating (1 = top).</t>
  </si>
  <si>
    <t>Roll of Honour / Wooden Spoon</t>
  </si>
  <si>
    <t>the list of past champions (on the Leaders tab); the Wooden Spoon is the last-placed player each year.</t>
  </si>
  <si>
    <t>Questions or want to change a rule? Anything in the Settings block above can be changed by a family vote.</t>
  </si>
  <si>
    <t>SEASON ROLLOVER  ·  locked in by committee (6 July 2026)</t>
  </si>
  <si>
    <t>•  The season ends 31 December. In the final days of December the season is wrapped up: a full year-in-review is written, final standings and the Roll of Honour are locked, and this document is archived.</t>
  </si>
  <si>
    <t>•  On 1 January 2027 a BRAND NEW tracker document starts the season: overall ratings reset to 1000, every athlete carries over their final Sport Ratings, and the Roll of Honour crowns the outgoing champion.</t>
  </si>
  <si>
    <t>•  Provisional K-Factor from 2027: your first 10 games each season swing at K=48 instead of 32, so you settle to your true level fast. From game 11 you use the standard K.</t>
  </si>
  <si>
    <t>RULE CHANGES — COMMITTEE VOTE, 7 JULY 2026</t>
  </si>
  <si>
    <t>ARENA AMENDMENT (backdated to Game 1): every player in a group game (3+ players) receives the SAME Arena Pts — field size × Arena Weight. The winner no longer receives double. Arena Pts reward turning up, not winning; wins are already rewarded through Skill and Form Pts. All historical ratings have been recalculated under this rule.</t>
  </si>
  <si>
    <t>POKER STAKE LEDGER (monthly poker): the poker night logs in the Match Log as a normal game (winner = Win) AND settles a points stake on the Poker Stake Ledger tab. Flat stake 15 points, one optional rebuy (15 more), minimum 4 players, maximum 10. The pot pays every finishing place on a percentage ladder — see the ledger tab.</t>
  </si>
  <si>
    <t>Stake Pts are zero-sum (the family's total points never change) and are INCLUDED in the FWC Rating shown on the Dashboard - a poker night moves the same headline number as any other game. Adjusted Rating additionally subtracts idle penalties. The Dashboard's Stake Pts column shows each athlete's running poker stake total.</t>
  </si>
  <si>
    <t>Poker night needs 4+ players. With 3 or fewer there is NO poker game — not even a Match Log entry.</t>
  </si>
  <si>
    <t>🏆   T H E   F W C   W E E K L Y</t>
  </si>
  <si>
    <t>THE MONDAY WRAP      ·      with Macca and Robbo      ·      Week ending Monday 6 July 2026</t>
  </si>
  <si>
    <t>YOUR HOSTS.   Trent 'Macca' Maclean, thirty years in the box and a former champion himself, the biggest voice in the game and never short of a bold call.   Dr Rob 'Robbo' Sinclair, ex elite competitor turned analyst, builds his own ratings models and lives for the number nobody else spotted.</t>
  </si>
  <si>
    <t>COLD OPEN</t>
  </si>
  <si>
    <t>MACCA</t>
  </si>
  <si>
    <t>Righto, welcome back to the Wrap. Mate, thirty years I've been doing this and I don't think I've ever read a stat sheet like this one. Nine games for the week. And Shawn played... all nine of them?</t>
  </si>
  <si>
    <t>ROBBO</t>
  </si>
  <si>
    <t>All nine. Him, Oscar and the Ferret were the only three who turned up, and Shawn didn't sit out a single game. Went three and six.</t>
  </si>
  <si>
    <t>Three and six. Woof.</t>
  </si>
  <si>
    <t>Yeah, but hang on, because I reckon it's quietly the best week he's had all year. I'm serious. Let me get there.</t>
  </si>
  <si>
    <t>THE TITLE RACE</t>
  </si>
  <si>
    <t>Alright, ladder. Dean B still on top, eleven eighty nine. Josh behind him, then Aaron. None of them played. Again.</t>
  </si>
  <si>
    <t>Not a game between them. The whole podium had the weekend off, so the only bloke actually moving is Oscar. Goes four and two, jumps Simon into fourth. Eleven oh eight.</t>
  </si>
  <si>
    <t>And Simon loses his spot sitting on the couch. That'd sting.</t>
  </si>
  <si>
    <t>That's the format, mate. And look, Dean B hasn't played since the sixteenth of June. Nearly three weeks. You can't defend a title from the recliner forever.</t>
  </si>
  <si>
    <t>THE FORM DESK</t>
  </si>
  <si>
    <t>Who's hot, who's not.</t>
  </si>
  <si>
    <t>Oscar was red hot, right up until about two o'clock Sunday. Belts Shawn four straight on the Saturday, the Kart sweep plus a Party win, then Shawn drags him to the table tennis table and does him twice. Big ones too. Plus twenty five and plus twenty two.</t>
  </si>
  <si>
    <t>So Oscar wins the week and still goes home filthy.</t>
  </si>
  <si>
    <t>Four and two but he finishes on two losses, yeah. And spare a thought for Aaron. Five wins on the trot and nowhere to spend them. Streaks don't keep, Macca. You've got to feed them.</t>
  </si>
  <si>
    <t>RIVALRY CORNER</t>
  </si>
  <si>
    <t>Six games in two days, Oscar and Shawn. Talk to me.</t>
  </si>
  <si>
    <t>Saturday it's four nil Oscar and it's getting ugly. The all time ledger's out to eleven wins to three his way at that point. Then Sunday, table tennis, and the whole thing flips. Shawn wins both and suddenly it's a different conversation.</t>
  </si>
  <si>
    <t>One arena. Every rivalry's got one.</t>
  </si>
  <si>
    <t>That's his. And the Ferret stuff, mate, where do I even start. Twenty two games those two have played against each other now. Twenty two! Nobody else is close. Three more at Mario Party on Sunday, Ferret takes two...</t>
  </si>
  <si>
    <t>But.</t>
  </si>
  <si>
    <t>But the one Shawn won. Twenty three per cent chance. Hold that thought, because it's basically the whole show.</t>
  </si>
  <si>
    <t>THE NUMBERS NOBODY IS TALKING ABOUT</t>
  </si>
  <si>
    <t>Go on then. Stat of the week.</t>
  </si>
  <si>
    <t>Game one twenty two. Shawn over the Ferret at Mario Party, twenty three per cent win chance. Second biggest upset we've ever recorded. The only one bigger is the Ferret's own twenty percenter at FIFA back in May. So the giant killer just copped one himself.</t>
  </si>
  <si>
    <t>Ha! There's something beautiful about that.</t>
  </si>
  <si>
    <t>There's more. Shawn's rating tonight, after forty six games, carrying the hardest draw anyone's had... one thousand. Point one. Back to the exact number we all started on.</t>
  </si>
  <si>
    <t>Sea level.</t>
  </si>
  <si>
    <t>Sea level. Two months of getting flogged by the toughest schedule in the comp and he's dead level par. I love it. Oh, and one more. Dean B's athlete index is ninety seven point three. Next best is ten points back. The bloke's a machine. When he plays.</t>
  </si>
  <si>
    <t>When.</t>
  </si>
  <si>
    <t>WHAT WE ARE WATCHING NEXT</t>
  </si>
  <si>
    <t>Next week?</t>
  </si>
  <si>
    <t>The rust line. Simon, Beau, Chase, David, Cody, Dean M, Dylan A. All of them tick past three weeks idle this coming weekend if they don't get a game in. The comp doesn't pay you to sit still.</t>
  </si>
  <si>
    <t>And the champ's nearly in the same boat.</t>
  </si>
  <si>
    <t>One more quiet weekend, yeah. Aaron needs one game, any game, to keep the streak breathing. And I want the Oscar table tennis rematch. He'll be spewing about Sunday.</t>
  </si>
  <si>
    <t>He won't let that sit. No chance.</t>
  </si>
  <si>
    <t>Book it.</t>
  </si>
  <si>
    <t>THE SIGN OFF</t>
  </si>
  <si>
    <t>That's the Wrap. Shawn played everything, Oscar's in the four, and the podium watched it all from the couch. The numbers don't take weekends off, gents, even if you lot do.</t>
  </si>
  <si>
    <t>Play more, play smart. See you Monday.</t>
  </si>
  <si>
    <t>Same chairs, fresh numbers. Cheers all.</t>
  </si>
  <si>
    <t>FWC LEADERS</t>
  </si>
  <si>
    <t>The current leader (top eligible player) and the leader of every sport — updates live as games are logged.     ℹ  Every column &amp; rule is explained on the Guide &amp; Settings tab.</t>
  </si>
  <si>
    <t>CURRENT LEADER</t>
  </si>
  <si>
    <t>SPORT LEADERS   ·   top-rated player in each sport (record shown is in that sport)</t>
  </si>
  <si>
    <t>Sport</t>
  </si>
  <si>
    <t>Leader</t>
  </si>
  <si>
    <t>Record (W–L)</t>
  </si>
  <si>
    <t>ROLL OF HONOUR</t>
  </si>
  <si>
    <t>Family World Champions since 2019</t>
  </si>
  <si>
    <t>Year</t>
  </si>
  <si>
    <t>Champion</t>
  </si>
  <si>
    <t>Wooden Spoon</t>
  </si>
  <si>
    <t>2019</t>
  </si>
  <si>
    <t>2020</t>
  </si>
  <si>
    <t>2021</t>
  </si>
  <si>
    <t>2022</t>
  </si>
  <si>
    <t>Josh  👑</t>
  </si>
  <si>
    <t>2023</t>
  </si>
  <si>
    <t>— not contested —</t>
  </si>
  <si>
    <t>2024</t>
  </si>
  <si>
    <t>2025</t>
  </si>
  <si>
    <t>2026</t>
  </si>
  <si>
    <t>in progress</t>
  </si>
  <si>
    <t>see current leader</t>
  </si>
  <si>
    <t>Reigning champion:</t>
  </si>
  <si>
    <t>Josh (2022)</t>
  </si>
  <si>
    <t>Most titles:</t>
  </si>
  <si>
    <t>Josh — 2 crowns</t>
  </si>
  <si>
    <t>FAMILY WORLD CHAMPIONSHIP</t>
  </si>
  <si>
    <t>Won</t>
  </si>
  <si>
    <t>Lost</t>
  </si>
  <si>
    <t>Sports</t>
  </si>
  <si>
    <t>SoS</t>
  </si>
  <si>
    <t>Behind</t>
  </si>
  <si>
    <t>Form (last 5)</t>
  </si>
  <si>
    <t>Move</t>
  </si>
  <si>
    <t>Last Played</t>
  </si>
  <si>
    <t>Wks Idle</t>
  </si>
  <si>
    <t>Adj. Rating</t>
  </si>
  <si>
    <t>Stake Pts</t>
  </si>
  <si>
    <t>PLAYER CARD</t>
  </si>
  <si>
    <t>Pick any player to see their full story. Everything updates live.     ℹ  Every column &amp; rule is explained on the Guide &amp; Settings tab.</t>
  </si>
  <si>
    <t>Player:</t>
  </si>
  <si>
    <t>BY SPORT</t>
  </si>
  <si>
    <t>Sports played</t>
  </si>
  <si>
    <t>Strength of schedule</t>
  </si>
  <si>
    <t>Current streak</t>
  </si>
  <si>
    <t>Last played / status</t>
  </si>
  <si>
    <t>HIGHLIGHTS</t>
  </si>
  <si>
    <t>Best sport (rating)</t>
  </si>
  <si>
    <t>Most-played sport</t>
  </si>
  <si>
    <t>ATHLETE INDEX  ·  what drives the tier</t>
  </si>
  <si>
    <t>Overall Index</t>
  </si>
  <si>
    <t>Skill (35%)</t>
  </si>
  <si>
    <t>Win rate (20%)</t>
  </si>
  <si>
    <t>Versatility (20%)</t>
  </si>
  <si>
    <t>Form (15%)</t>
  </si>
  <si>
    <t>Strength of schedule (10%)</t>
  </si>
  <si>
    <t>HEAD-TO-HEAD</t>
  </si>
  <si>
    <t>Top grid: each cell = ROW player's win % vs the COLUMN player in games DECIDED between them, plus the number of decided games (e.g. '53% of 17' = won 53% of 17 decided games). Blank = no decided games.     ℹ  Every column &amp; rule is explained on the Guide &amp; Settings tab.</t>
  </si>
  <si>
    <t>Bottom grid: total games the two have played in together (any sport, including multiplayer).</t>
  </si>
  <si>
    <t>WIN %</t>
  </si>
  <si>
    <t>GAMES PLAYED TOGETHER</t>
  </si>
  <si>
    <t>GAMES</t>
  </si>
  <si>
    <t>SPORT RECORDS</t>
  </si>
  <si>
    <t>Every athlete, every sport — games played, won and win rate. Losses = played − won; loss % = 100% − win %.     ℹ  Every column &amp; rule is explained on the Guide &amp; Settings tab.</t>
  </si>
  <si>
    <t>Total games contested</t>
  </si>
  <si>
    <t>Reigning champion</t>
  </si>
  <si>
    <t>GAMES PLAYED  ·  how many times each athlete has contested each sport</t>
  </si>
  <si>
    <t>Champ Wins</t>
  </si>
  <si>
    <t>WINS  ·  how many times each athlete has won each sport</t>
  </si>
  <si>
    <t>WIN %  ·  wins ÷ played   (blank = has not played that sport)</t>
  </si>
  <si>
    <t>ATHLETE TOTALS &amp; ELIGIBILITY</t>
  </si>
  <si>
    <t>Athlete</t>
  </si>
  <si>
    <t>SPORT RATING  ·  each athlete’s current Elo within the sport   (blank = not played; starts at 1000)</t>
  </si>
  <si>
    <t>Top rated</t>
  </si>
  <si>
    <t>RECORDS &amp; AWARDS</t>
  </si>
  <si>
    <t>The headlines of the championship — biggest upsets, all-time records, and who holds the season honours. Updates automatically.     ℹ  Every column &amp; rule is explained on the Guide &amp; Settings tab.</t>
  </si>
  <si>
    <t>BIGGEST UPSETS  ·  the most unlikely wins (normalised for field size)</t>
  </si>
  <si>
    <t>#</t>
  </si>
  <si>
    <t>Giant-killer</t>
  </si>
  <si>
    <t>Beat</t>
  </si>
  <si>
    <t>Win chance</t>
  </si>
  <si>
    <t>When</t>
  </si>
  <si>
    <t>HALL OF RECORDS</t>
  </si>
  <si>
    <t>Record</t>
  </si>
  <si>
    <t>Value</t>
  </si>
  <si>
    <t>Holder</t>
  </si>
  <si>
    <t>Date</t>
  </si>
  <si>
    <t>Details</t>
  </si>
  <si>
    <t>Highest FWC rating ever reached</t>
  </si>
  <si>
    <t>Biggest single-game rating gain</t>
  </si>
  <si>
    <t>Biggest single-game rating drop</t>
  </si>
  <si>
    <t>Biggest upset win</t>
  </si>
  <si>
    <t>Most games played</t>
  </si>
  <si>
    <t>—</t>
  </si>
  <si>
    <t>Most sports played</t>
  </si>
  <si>
    <t>Most-contested sport</t>
  </si>
  <si>
    <t>the family favourite</t>
  </si>
  <si>
    <t>Longest active win streak</t>
  </si>
  <si>
    <t>ongoing</t>
  </si>
  <si>
    <t>THE AWARDS  ·  season honours</t>
  </si>
  <si>
    <t>Award</t>
  </si>
  <si>
    <t>For</t>
  </si>
  <si>
    <t>🏆 The Champion</t>
  </si>
  <si>
    <t>🗡️ Giant Killer</t>
  </si>
  <si>
    <t>most underdog wins</t>
  </si>
  <si>
    <t>🐎 Iron Man</t>
  </si>
  <si>
    <t>most games played</t>
  </si>
  <si>
    <t>🌍 The Generalist</t>
  </si>
  <si>
    <t>plays the most sports</t>
  </si>
  <si>
    <t>🔥 On Fire</t>
  </si>
  <si>
    <t>best form over last 5 games</t>
  </si>
  <si>
    <t>📉 Wooden Spoon</t>
  </si>
  <si>
    <t>lowest rating — keep grinding</t>
  </si>
  <si>
    <t>FAMILY WORLD CHAMPIONSHIP  —  MATCH LOG</t>
  </si>
  <si>
    <t>ONE ROW PER PLAYER PER GAME. Same Game ID = same game. One 'Win' per game, everyone else 'Loss'. TYPE ONLY IN THE YELLOW COLUMNS — the grey columns fill in automatically and are locked so they can't be deleted. (To unlock: Review menu &gt; Unprotect Sheet.)  Enter games oldest at top.</t>
  </si>
  <si>
    <t>Game ID</t>
  </si>
  <si>
    <t>Result</t>
  </si>
  <si>
    <t>Players in Game</t>
  </si>
  <si>
    <t>Game Winner</t>
  </si>
  <si>
    <t>Rating Before</t>
  </si>
  <si>
    <t>Rating Change</t>
  </si>
  <si>
    <t>Rating After</t>
  </si>
  <si>
    <t>Check</t>
  </si>
  <si>
    <t>winRatBefore</t>
  </si>
  <si>
    <t>expVsWin</t>
  </si>
  <si>
    <t>strength</t>
  </si>
  <si>
    <t>fieldStr</t>
  </si>
  <si>
    <t>Sport games</t>
  </si>
  <si>
    <t>Sport Rating Before</t>
  </si>
  <si>
    <t>Blended Before</t>
  </si>
  <si>
    <t>blend winRat</t>
  </si>
  <si>
    <t>blend exp</t>
  </si>
  <si>
    <t>sport winRat</t>
  </si>
  <si>
    <t>sport exp</t>
  </si>
  <si>
    <t>Sport Skill Δ</t>
  </si>
  <si>
    <t>Sport Rating After</t>
  </si>
  <si>
    <t>Idle pts lost (locked)</t>
  </si>
  <si>
    <t>Win</t>
  </si>
  <si>
    <t>Loss</t>
  </si>
  <si>
    <t>SPORT VOTING</t>
  </si>
  <si>
    <t>A running ledger of sport proposals. In each athlete’s cell vote: 1 = in favour, 0 = against, leave blank = not voted yet.     ℹ  Every column &amp; rule is explained on the Guide &amp; Settings tab.</t>
  </si>
  <si>
    <t>Athletes voting:</t>
  </si>
  <si>
    <t>Needed to pass:</t>
  </si>
  <si>
    <t>Quorum (min votes):</t>
  </si>
  <si>
    <t>Pass = at least the "needed" number of athletes vote 1, once the quorum has voted.</t>
  </si>
  <si>
    <t>PROPOSED NEW SPORTS   ·   vote 1 = add it, 0 = no   (type the suggested sport in the first column)</t>
  </si>
  <si>
    <t>Suggested sport</t>
  </si>
  <si>
    <t>In favour</t>
  </si>
  <si>
    <t>Votes cast</t>
  </si>
  <si>
    <t>Outcome</t>
  </si>
  <si>
    <t>Paddle</t>
  </si>
  <si>
    <t>Handball</t>
  </si>
  <si>
    <t>Pickle Ball</t>
  </si>
  <si>
    <t>Beer Pong</t>
  </si>
  <si>
    <t>SPORTS UP FOR REMOVAL   ·   vote 1 = remove it, 0 = keep   (current sports listed automatically)</t>
  </si>
  <si>
    <t>Current sport</t>
  </si>
  <si>
    <t>To remove</t>
  </si>
  <si>
    <t>FWC POKER STAKE LEDGER  —  committee approved 7 July 2026</t>
  </si>
  <si>
    <t>Log the poker night in the Match Log as normal (winner = Win). Then enter ONE ROW PER PLAYER below: same Night ID, the date, the player, their finishing place, and Y if they rebought. Everything else calculates itself and flows into Adjusted Rating on the Dashboard. Minimum 4 players or the night does not count.</t>
  </si>
  <si>
    <t>SETTINGS (family vote to change)</t>
  </si>
  <si>
    <t>PAYOUT LADDER — % of pot by finishing place (rows) and field size (columns)</t>
  </si>
  <si>
    <t>Stake per entry (points)</t>
  </si>
  <si>
    <t>PLACE</t>
  </si>
  <si>
    <t>Max rebuys per player</t>
  </si>
  <si>
    <t>Minimum players</t>
  </si>
  <si>
    <t>Maximum players</t>
  </si>
  <si>
    <t>ENTRY TABLE — type only in columns A to E</t>
  </si>
  <si>
    <t>RUNNING TOTALS</t>
  </si>
  <si>
    <t>Night ID</t>
  </si>
  <si>
    <t>Finish</t>
  </si>
  <si>
    <t>Rebuy (Y/N)</t>
  </si>
  <si>
    <t>Field size</t>
  </si>
  <si>
    <t>Staked</t>
  </si>
  <si>
    <t>Pot</t>
  </si>
  <si>
    <t>Ladder %</t>
  </si>
  <si>
    <t>Payout</t>
  </si>
  <si>
    <t>Stake Net</t>
  </si>
  <si>
    <t>Total Stake Pts</t>
  </si>
  <si>
    <t>FWC Poker Game - 1</t>
  </si>
  <si>
    <t>Y</t>
  </si>
  <si>
    <t>N</t>
  </si>
  <si>
    <t>CALCS (hidden helper — do not edit)</t>
  </si>
  <si>
    <t>Cutoff (7d before latest):</t>
  </si>
  <si>
    <t>League last game:</t>
  </si>
  <si>
    <t>Idle clock (today):</t>
  </si>
  <si>
    <t>PtsBehind</t>
  </si>
  <si>
    <t>LastResult</t>
  </si>
  <si>
    <t>StreakCount</t>
  </si>
  <si>
    <t>Last5</t>
  </si>
  <si>
    <t>PrevRank</t>
  </si>
  <si>
    <t>LastPlayed</t>
  </si>
  <si>
    <t>WksIdle</t>
  </si>
  <si>
    <t>Decay</t>
  </si>
  <si>
    <t>AdjRating</t>
  </si>
  <si>
    <t>ClosedPen</t>
  </si>
  <si>
    <t>LossStreak</t>
  </si>
  <si>
    <t>skill</t>
  </si>
  <si>
    <t>winrate</t>
  </si>
  <si>
    <t>versatility</t>
  </si>
  <si>
    <t>form</t>
  </si>
  <si>
    <t>sos</t>
  </si>
  <si>
    <t>Index</t>
  </si>
  <si>
    <t>strongSports</t>
  </si>
  <si>
    <t>gms</t>
  </si>
  <si>
    <t>spts</t>
  </si>
  <si>
    <t>Game</t>
  </si>
  <si>
    <t>Winner</t>
  </si>
  <si>
    <t>Players</t>
  </si>
  <si>
    <t>WinnerExp</t>
  </si>
  <si>
    <t>UpsetScore</t>
  </si>
  <si>
    <t>Opponent</t>
  </si>
  <si>
    <t>GameHx</t>
  </si>
  <si>
    <t>A126</t>
  </si>
  <si>
    <t>Air Hockey</t>
  </si>
  <si>
    <t>• The return charge is banked ONCE, on your first game back: the gap is measured to your previous game and priced at the rates above. Extra games on the same day never charge again. From that first game you are Active, the decay stops, and your idle clock restarts. (Engine aligned to this rule on 21 Aug 2026, after a four-game return day was charged four times.)</t>
  </si>
  <si>
    <t>Idle time runs on the real calendar. It ticks over whether or not anyone else is playing, because anyone can organise a game at any time, so a quiet stretch counts against everybody sitting in it.</t>
  </si>
  <si>
    <t>AdjWeekAgo</t>
  </si>
  <si>
    <t>LastPlayedWeekAgo</t>
  </si>
  <si>
    <t>RawWeekAgo</t>
  </si>
  <si>
    <t>BankedWeekAgo</t>
  </si>
  <si>
    <t>StakeWeekAgo</t>
  </si>
  <si>
    <t>DecayWeekAgo</t>
  </si>
  <si>
    <t>how your place on the live ladder has changed versus a week ago, counting everything that moves the ladder: games, poker stakes and idle penalties. ▲2 = up two places, ▼1 = down one, a dash = no change. Updates every time the tracker is saved.</t>
  </si>
  <si>
    <t>the date of your most recent game, and how many weeks since, on the real calendar.</t>
  </si>
  <si>
    <t>your band from your Athlete Index score, not your ladder place: Elite = 72+  ·  Strong = 58 to 71  ·  Mid = 44 to 57  ·  Developing = under 44. See the Tiers section above.</t>
  </si>
  <si>
    <t>Prev game date (locked)</t>
  </si>
  <si>
    <t>Winners in game (locked)</t>
  </si>
  <si>
    <t>Row problems (locked)</t>
  </si>
  <si>
    <t>FWC Rating = 1000 + Skill Pts + Form Pts + Arena Pts + Poker Stake Pts, less any idle penalty (the Penalty column). Skill is zero-sum, and Form is zero-sum in every game with one winner. Arena rewards turning up to group games. Champion = highest-rated Eligible player who is not Inactive. Weights live on the Guide tab.</t>
  </si>
  <si>
    <t>Live Standings  ·  ranked by FWC Rating (skill + form + arena from games, plus poker stakes, less idle penalties).  Filter arrows on row 4 re-sort by any column.     ℹ  Every column &amp; rule is explained on the Guide &amp; Settings tab.</t>
  </si>
  <si>
    <t>highest-rated eligible and active player</t>
  </si>
  <si>
    <t>Tabs read left → right: Guide · Leaders · Dashboard · Player Card · Head-to-Head · Sport Records · Records &amp; Awards · Trends &amp; Stats · Match Log · Sport Voting · Poker Stake Ledger.</t>
  </si>
  <si>
    <t>3.  Fill ONLY the yellow columns: Game ID, Date, Sport, Player, Result. One “Win” per game, everyone else “Loss”. For a doubles game, mark both winners “Win” and both losers “Loss”; the Check column then reads OK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</si>
</sst>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
    <numFmt numFmtId="165" formatCode="yyyy\-mm\-dd"/>
    <numFmt numFmtId="166" formatCode="0;\-0;;"/>
    <numFmt numFmtId="167" formatCode="0.0%;;;"/>
    <numFmt numFmtId="168" formatCode="\+0.0;\-0.0;;"/>
    <numFmt numFmtId="169" formatCode="\+0.0;;;"/>
    <numFmt numFmtId="170" formatCode="0.0"/>
    <numFmt numFmtId="171" formatCode="m/d/yyyy"/>
    <numFmt numFmtId="172" formatCode="mm/dd/yy"/>
    <numFmt numFmtId="173" formatCode="d\ mmm\ yy"/>
  </numFmts>
  <fonts count="62" x14ac:knownFonts="1">
    <font>
      <sz val="11"/>
      <color theme="1"/>
      <name val="Calibri"/>
      <family val="2"/>
      <charset val="1"/>
    </font>
    <font>
      <b/>
      <sz val="16"/>
      <color rgb="FF0D2240"/>
      <name val="Calibri"/>
      <family val="2"/>
      <charset val="1"/>
    </font>
    <font>
      <sz val="10"/>
      <color rgb="FF23303F"/>
      <name val="Calibri"/>
      <family val="2"/>
      <charset val="1"/>
    </font>
    <font>
      <b/>
      <sz val="12"/>
      <color rgb="FFB23A48"/>
      <name val="Arial"/>
      <family val="2"/>
      <charset val="1"/>
    </font>
    <font>
      <b/>
      <sz val="12"/>
      <color rgb="FF0D2240"/>
      <name val="Calibri"/>
      <family val="2"/>
      <charset val="1"/>
    </font>
    <font>
      <sz val="10"/>
      <name val="Arial"/>
      <family val="2"/>
      <charset val="1"/>
    </font>
    <font>
      <b/>
      <sz val="10"/>
      <color rgb="FF23303F"/>
      <name val="Calibri"/>
      <family val="2"/>
      <charset val="1"/>
    </font>
    <font>
      <b/>
      <sz val="11"/>
      <color rgb="FF0D2240"/>
      <name val="Calibri"/>
      <family val="2"/>
      <charset val="1"/>
    </font>
    <font>
      <b/>
      <sz val="11"/>
      <color rgb="FF0000FF"/>
      <name val="Arial"/>
      <family val="2"/>
      <charset val="1"/>
    </font>
    <font>
      <sz val="9"/>
      <color rgb="FF6B7280"/>
      <name val="Calibri"/>
      <family val="2"/>
      <charset val="1"/>
    </font>
    <font>
      <b/>
      <sz val="12"/>
      <name val="Cambria"/>
      <family val="1"/>
      <charset val="1"/>
    </font>
    <font>
      <i/>
      <sz val="10"/>
      <color rgb="FF6B7280"/>
      <name val="Calibri"/>
      <family val="2"/>
      <charset val="1"/>
    </font>
    <font>
      <b/>
      <sz val="26"/>
      <color rgb="FF0D2240"/>
      <name val="Calibri"/>
      <family val="2"/>
      <charset val="1"/>
    </font>
    <font>
      <i/>
      <sz val="11"/>
      <color rgb="FF6B7280"/>
      <name val="Calibri"/>
      <family val="2"/>
      <charset val="1"/>
    </font>
    <font>
      <sz val="10"/>
      <color rgb="FF44505E"/>
      <name val="Calibri"/>
      <family val="2"/>
      <charset val="1"/>
    </font>
    <font>
      <b/>
      <sz val="11"/>
      <color rgb="FFFFFFFF"/>
      <name val="Calibri"/>
      <family val="2"/>
      <charset val="1"/>
    </font>
    <font>
      <sz val="11"/>
      <color rgb="FF23303F"/>
      <name val="Calibri"/>
      <family val="2"/>
      <charset val="1"/>
    </font>
    <font>
      <b/>
      <sz val="11"/>
      <color rgb="FFB0892F"/>
      <name val="Calibri"/>
      <family val="2"/>
      <charset val="1"/>
    </font>
    <font>
      <b/>
      <sz val="18"/>
      <color rgb="FF0D2240"/>
      <name val="Calibri"/>
      <family val="2"/>
      <charset val="1"/>
    </font>
    <font>
      <sz val="11"/>
      <name val="Cambria"/>
      <family val="1"/>
      <charset val="1"/>
    </font>
    <font>
      <i/>
      <sz val="10"/>
      <color rgb="FF5D6F81"/>
      <name val="Calibri"/>
      <family val="2"/>
      <charset val="1"/>
    </font>
    <font>
      <b/>
      <sz val="10"/>
      <color rgb="FFB0892F"/>
      <name val="Calibri"/>
      <family val="2"/>
      <charset val="1"/>
    </font>
    <font>
      <sz val="11"/>
      <color rgb="FF5D6F81"/>
      <name val="Calibri"/>
      <family val="2"/>
      <charset val="1"/>
    </font>
    <font>
      <b/>
      <sz val="10"/>
      <color rgb="FFFFFFFF"/>
      <name val="Calibri"/>
      <family val="2"/>
      <charset val="1"/>
    </font>
    <font>
      <b/>
      <sz val="11"/>
      <color rgb="FF23303F"/>
      <name val="Calibri"/>
      <family val="2"/>
      <charset val="1"/>
    </font>
    <font>
      <b/>
      <sz val="14"/>
      <color rgb="FF0D2240"/>
      <name val="Calibri"/>
      <family val="2"/>
      <charset val="1"/>
    </font>
    <font>
      <sz val="10"/>
      <color rgb="FF6B7280"/>
      <name val="Calibri"/>
      <family val="2"/>
      <charset val="1"/>
    </font>
    <font>
      <b/>
      <sz val="10"/>
      <color rgb="FF0D2240"/>
      <name val="Calibri"/>
      <family val="2"/>
      <charset val="1"/>
    </font>
    <font>
      <b/>
      <sz val="18"/>
      <color rgb="FF1B2A4A"/>
      <name val="Arial"/>
      <family val="2"/>
      <charset val="1"/>
    </font>
    <font>
      <i/>
      <sz val="10"/>
      <color rgb="FF6B7280"/>
      <name val="Arial"/>
      <family val="2"/>
      <charset val="1"/>
    </font>
    <font>
      <sz val="8"/>
      <color theme="1"/>
      <name val="Calibri"/>
      <family val="2"/>
      <charset val="1"/>
    </font>
    <font>
      <b/>
      <sz val="5"/>
      <color rgb="FF0D2240"/>
      <name val="Calibri"/>
      <family val="2"/>
      <charset val="1"/>
    </font>
    <font>
      <b/>
      <sz val="12"/>
      <color rgb="FFC9A227"/>
      <name val="Arial"/>
      <family val="2"/>
      <charset val="1"/>
    </font>
    <font>
      <b/>
      <sz val="10"/>
      <color rgb="FFFFFFFF"/>
      <name val="Arial"/>
      <family val="2"/>
      <charset val="1"/>
    </font>
    <font>
      <b/>
      <sz val="11"/>
      <name val="Arial"/>
      <family val="2"/>
      <charset val="1"/>
    </font>
    <font>
      <b/>
      <sz val="10"/>
      <name val="Arial"/>
      <family val="2"/>
      <charset val="1"/>
    </font>
    <font>
      <b/>
      <sz val="11"/>
      <color rgb="FF1B2A4A"/>
      <name val="Arial"/>
      <family val="2"/>
      <charset val="1"/>
    </font>
    <font>
      <sz val="10"/>
      <color rgb="FF1A1A1A"/>
      <name val="Arial"/>
      <family val="2"/>
      <charset val="1"/>
    </font>
    <font>
      <i/>
      <sz val="9"/>
      <color rgb="FF6B7280"/>
      <name val="Arial"/>
      <family val="2"/>
      <charset val="1"/>
    </font>
    <font>
      <b/>
      <sz val="13"/>
      <color rgb="FFB0892F"/>
      <name val="Calibri"/>
      <family val="2"/>
      <charset val="1"/>
    </font>
    <font>
      <b/>
      <sz val="16"/>
      <color rgb="FF1B2A4A"/>
      <name val="Arial"/>
      <family val="2"/>
      <charset val="1"/>
    </font>
    <font>
      <b/>
      <sz val="10"/>
      <color rgb="FF1B2A4A"/>
      <name val="Arial"/>
      <family val="2"/>
      <charset val="1"/>
    </font>
    <font>
      <b/>
      <sz val="11"/>
      <color rgb="FFB23A48"/>
      <name val="Arial"/>
      <family val="2"/>
      <charset val="1"/>
    </font>
    <font>
      <b/>
      <sz val="14"/>
      <color rgb="FFB0892F"/>
      <name val="Calibri"/>
      <family val="2"/>
      <charset val="1"/>
    </font>
    <font>
      <b/>
      <sz val="9"/>
      <color rgb="FFFFFFFF"/>
      <name val="Calibri"/>
      <family val="2"/>
      <charset val="1"/>
    </font>
    <font>
      <b/>
      <sz val="9"/>
      <color rgb="FF23303F"/>
      <name val="Calibri"/>
      <family val="2"/>
      <charset val="1"/>
    </font>
    <font>
      <sz val="9"/>
      <color rgb="FF23303F"/>
      <name val="Calibri"/>
      <family val="2"/>
      <charset val="1"/>
    </font>
    <font>
      <b/>
      <sz val="9"/>
      <color rgb="FF0D2240"/>
      <name val="Calibri"/>
      <family val="2"/>
      <charset val="1"/>
    </font>
    <font>
      <b/>
      <sz val="9"/>
      <color rgb="FF7A5A12"/>
      <name val="Calibri"/>
      <family val="2"/>
      <charset val="1"/>
    </font>
    <font>
      <b/>
      <sz val="12"/>
      <color theme="0"/>
      <name val="Calibri"/>
      <family val="2"/>
      <charset val="1"/>
    </font>
    <font>
      <i/>
      <sz val="9"/>
      <color rgb="FF6B7280"/>
      <name val="Calibri"/>
      <family val="2"/>
      <charset val="1"/>
    </font>
    <font>
      <b/>
      <sz val="8"/>
      <color rgb="FFFFFFFF"/>
      <name val="Calibri"/>
      <family val="2"/>
      <charset val="1"/>
    </font>
    <font>
      <sz val="8"/>
      <color rgb="FF23303F"/>
      <name val="Calibri"/>
      <family val="2"/>
      <charset val="1"/>
    </font>
    <font>
      <b/>
      <sz val="13"/>
      <color rgb="FF1B2A4A"/>
      <name val="Arial"/>
      <family val="2"/>
      <charset val="1"/>
    </font>
    <font>
      <i/>
      <sz val="9"/>
      <color rgb="FFB23A48"/>
      <name val="Arial"/>
      <family val="2"/>
      <charset val="1"/>
    </font>
    <font>
      <sz val="9.5"/>
      <color rgb="FF23303F"/>
      <name val="Calibri"/>
      <family val="2"/>
      <charset val="1"/>
    </font>
    <font>
      <b/>
      <sz val="15"/>
      <color rgb="FF0D2646"/>
      <name val="Calibri"/>
      <family val="2"/>
      <charset val="1"/>
    </font>
    <font>
      <b/>
      <sz val="10"/>
      <color rgb="FF0D2646"/>
      <name val="Calibri"/>
      <family val="2"/>
      <charset val="1"/>
    </font>
    <font>
      <b/>
      <sz val="10"/>
      <color rgb="FFEFD080"/>
      <name val="Calibri"/>
      <family val="2"/>
      <charset val="1"/>
    </font>
    <font>
      <sz val="12"/>
      <name val="Cambria"/>
      <family val="1"/>
    </font>
    <font>
      <sz val="11"/>
      <color rgb="FF000000"/>
      <name val="Calibri"/>
      <family val="2"/>
      <charset val="1"/>
    </font>
    <font>
      <sz val="11"/>
      <color rgb="FF000000"/>
      <name val="Calibri"/>
      <family val="2"/>
    </font>
  </fonts>
  <fills count="16">
    <fill>
      <patternFill patternType="none"/>
    </fill>
    <fill>
      <patternFill patternType="gray125"/>
    </fill>
    <fill>
      <patternFill patternType="solid">
        <fgColor rgb="FFFFF2CC"/>
        <bgColor rgb="FFFBEEC8"/>
      </patternFill>
    </fill>
    <fill>
      <patternFill patternType="solid">
        <fgColor rgb="FF0D2240"/>
        <bgColor rgb="FF0D2646"/>
      </patternFill>
    </fill>
    <fill>
      <patternFill patternType="solid">
        <fgColor rgb="FFFBF4E1"/>
        <bgColor rgb="FFFFF8E1"/>
      </patternFill>
    </fill>
    <fill>
      <patternFill patternType="solid">
        <fgColor rgb="FFEEF2F7"/>
        <bgColor rgb="FFEAF0F7"/>
      </patternFill>
    </fill>
    <fill>
      <patternFill patternType="solid">
        <fgColor rgb="FF1B2A4A"/>
        <bgColor rgb="FF23303F"/>
      </patternFill>
    </fill>
    <fill>
      <patternFill patternType="solid">
        <fgColor rgb="FFC9A227"/>
        <bgColor rgb="FFB0892F"/>
      </patternFill>
    </fill>
    <fill>
      <patternFill patternType="solid">
        <fgColor rgb="FFF4F7FB"/>
        <bgColor rgb="FFF5F5F5"/>
      </patternFill>
    </fill>
    <fill>
      <patternFill patternType="solid">
        <fgColor rgb="FFEAF0F7"/>
        <bgColor rgb="FFEEF2F7"/>
      </patternFill>
    </fill>
    <fill>
      <patternFill patternType="solid">
        <fgColor rgb="FFFFF8E1"/>
        <bgColor rgb="FFFBF4E1"/>
      </patternFill>
    </fill>
    <fill>
      <patternFill patternType="solid">
        <fgColor rgb="FFF2F2F2"/>
        <bgColor rgb="FFEEF2F7"/>
      </patternFill>
    </fill>
    <fill>
      <patternFill patternType="solid">
        <fgColor rgb="FFFBF7EC"/>
        <bgColor rgb="FFFBF4E1"/>
      </patternFill>
    </fill>
    <fill>
      <patternFill patternType="solid">
        <fgColor rgb="FFF1E3C3"/>
        <bgColor rgb="FFFCE9B8"/>
      </patternFill>
    </fill>
    <fill>
      <patternFill patternType="solid">
        <fgColor rgb="FF0D2646"/>
        <bgColor rgb="FF0D2240"/>
      </patternFill>
    </fill>
    <fill>
      <patternFill patternType="solid">
        <fgColor rgb="FFFFFFFF"/>
        <bgColor indexed="64"/>
      </patternFill>
    </fill>
  </fills>
  <borders count="6">
    <border>
      <left/>
      <right/>
      <top/>
      <bottom/>
      <diagonal/>
    </border>
    <border>
      <left style="thin">
        <color rgb="FFC9CFDA"/>
      </left>
      <right style="thin">
        <color rgb="FFC9CFDA"/>
      </right>
      <top style="thin">
        <color rgb="FFC9CFDA"/>
      </top>
      <bottom style="thin">
        <color rgb="FFC9CFDA"/>
      </bottom>
      <diagonal/>
    </border>
    <border>
      <left style="thin">
        <color rgb="FFD8DEE6"/>
      </left>
      <right style="thin">
        <color rgb="FFD8DEE6"/>
      </right>
      <top style="thin">
        <color rgb="FFD8DEE6"/>
      </top>
      <bottom style="thin">
        <color rgb="FFD8DEE6"/>
      </bottom>
      <diagonal/>
    </border>
    <border>
      <left style="thin">
        <color rgb="FFD6DCE4"/>
      </left>
      <right style="thin">
        <color rgb="FFD6DCE4"/>
      </right>
      <top style="thin">
        <color rgb="FFD6DCE4"/>
      </top>
      <bottom style="thin">
        <color rgb="FFD6DCE4"/>
      </bottom>
      <diagonal/>
    </border>
    <border>
      <left/>
      <right/>
      <top/>
      <bottom style="thin">
        <color rgb="FFC9CFDA"/>
      </bottom>
      <diagonal/>
    </border>
    <border>
      <left/>
      <right/>
      <top style="thin">
        <color rgb="FFC9CFDA"/>
      </top>
      <bottom/>
      <diagonal/>
    </border>
  </borders>
  <cellStyleXfs count="1">
    <xf numFmtId="0" fontId="0" fillId="0" borderId="0"/>
  </cellStyleXfs>
  <cellXfs count="169">
    <xf numFmtId="0" fontId="0" fillId="0" borderId="0" xfId="0"/>
    <xf numFmtId="0" fontId="1" fillId="0" borderId="0" xfId="0" applyFont="1" applyAlignment="1">
      <alignment horizontal="left" vertical="center"/>
    </xf>
    <xf numFmtId="0" fontId="2" fillId="0" borderId="0" xfId="0" applyFont="1" applyAlignment="1">
      <alignment horizontal="left" vertical="center" wrapText="1"/>
    </xf>
    <xf numFmtId="0" fontId="3" fillId="0" borderId="0" xfId="0" applyFont="1"/>
    <xf numFmtId="0" fontId="0" fillId="0" borderId="0" xfId="0" applyAlignment="1">
      <alignment horizontal="left" vertical="center"/>
    </xf>
    <xf numFmtId="0" fontId="4"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vertical="top" wrapText="1"/>
    </xf>
    <xf numFmtId="0" fontId="4" fillId="0" borderId="0" xfId="0" applyFont="1" applyAlignment="1">
      <alignment horizontal="left" vertical="top" wrapText="1"/>
    </xf>
    <xf numFmtId="0" fontId="2" fillId="0" borderId="0" xfId="0" applyFont="1"/>
    <xf numFmtId="0" fontId="2" fillId="0" borderId="0" xfId="0" applyFont="1" applyAlignment="1">
      <alignment horizontal="left" vertical="top" wrapText="1"/>
    </xf>
    <xf numFmtId="0" fontId="4" fillId="0" borderId="0" xfId="0" applyFont="1"/>
    <xf numFmtId="0" fontId="6" fillId="0" borderId="0" xfId="0" applyFont="1" applyAlignment="1">
      <alignment horizontal="left" vertical="center" wrapText="1"/>
    </xf>
    <xf numFmtId="0" fontId="2" fillId="0" borderId="0" xfId="0" applyFont="1" applyAlignment="1">
      <alignment vertical="center" wrapText="1"/>
    </xf>
    <xf numFmtId="0" fontId="6" fillId="0" borderId="0" xfId="0" applyFont="1" applyAlignment="1">
      <alignment vertical="center"/>
    </xf>
    <xf numFmtId="0" fontId="2" fillId="0" borderId="0" xfId="0" applyFont="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7" fillId="0" borderId="0" xfId="0" applyFont="1"/>
    <xf numFmtId="0" fontId="8" fillId="2" borderId="1" xfId="0" applyFont="1" applyFill="1" applyBorder="1" applyAlignment="1">
      <alignment horizontal="center" vertical="center"/>
    </xf>
    <xf numFmtId="0" fontId="9" fillId="0" borderId="0" xfId="0" applyFont="1" applyAlignment="1">
      <alignment horizontal="left" vertical="center"/>
    </xf>
    <xf numFmtId="0" fontId="9" fillId="0" borderId="0" xfId="0" applyFont="1"/>
    <xf numFmtId="0" fontId="10" fillId="0" borderId="0" xfId="0" applyFont="1"/>
    <xf numFmtId="0" fontId="6" fillId="0" borderId="0" xfId="0" applyFont="1"/>
    <xf numFmtId="0" fontId="11" fillId="0" borderId="0" xfId="0" applyFont="1"/>
    <xf numFmtId="0" fontId="7" fillId="0" borderId="0" xfId="0" applyFont="1" applyAlignment="1">
      <alignment horizontal="left" vertical="top"/>
    </xf>
    <xf numFmtId="0" fontId="17" fillId="0" borderId="0" xfId="0" applyFont="1" applyAlignment="1">
      <alignment horizontal="left" vertical="top"/>
    </xf>
    <xf numFmtId="0" fontId="19" fillId="0" borderId="0" xfId="0" applyFont="1"/>
    <xf numFmtId="0" fontId="23" fillId="3" borderId="2" xfId="0" applyFont="1" applyFill="1" applyBorder="1" applyAlignment="1">
      <alignment horizontal="left" vertical="center" indent="1"/>
    </xf>
    <xf numFmtId="0" fontId="24" fillId="0" borderId="2" xfId="0" applyFont="1" applyBorder="1" applyAlignment="1">
      <alignment horizontal="left" vertical="center" indent="1"/>
    </xf>
    <xf numFmtId="0" fontId="7" fillId="0" borderId="2" xfId="0" applyFont="1" applyBorder="1" applyAlignment="1">
      <alignment horizontal="left" vertical="center" indent="1"/>
    </xf>
    <xf numFmtId="0" fontId="16" fillId="0" borderId="2" xfId="0" applyFont="1" applyBorder="1" applyAlignment="1">
      <alignment horizontal="left" vertical="center" indent="1"/>
    </xf>
    <xf numFmtId="0" fontId="25" fillId="0" borderId="0" xfId="0" applyFont="1"/>
    <xf numFmtId="0" fontId="26" fillId="0" borderId="0" xfId="0" applyFont="1"/>
    <xf numFmtId="0" fontId="23" fillId="3" borderId="3" xfId="0" applyFont="1" applyFill="1" applyBorder="1" applyAlignment="1">
      <alignment horizontal="center" vertical="center"/>
    </xf>
    <xf numFmtId="0" fontId="7" fillId="0" borderId="3" xfId="0" applyFont="1" applyBorder="1" applyAlignment="1">
      <alignment horizontal="center" vertical="center"/>
    </xf>
    <xf numFmtId="0" fontId="17" fillId="0" borderId="3" xfId="0" applyFont="1" applyBorder="1" applyAlignment="1">
      <alignment horizontal="center" vertical="center"/>
    </xf>
    <xf numFmtId="0" fontId="2" fillId="0" borderId="3" xfId="0" applyFont="1" applyBorder="1" applyAlignment="1">
      <alignment horizontal="center" vertical="center"/>
    </xf>
    <xf numFmtId="0" fontId="7" fillId="5" borderId="3" xfId="0" applyFont="1" applyFill="1" applyBorder="1" applyAlignment="1">
      <alignment horizontal="center" vertical="center"/>
    </xf>
    <xf numFmtId="0" fontId="17" fillId="5" borderId="3" xfId="0" applyFont="1" applyFill="1" applyBorder="1" applyAlignment="1">
      <alignment horizontal="center" vertical="center"/>
    </xf>
    <xf numFmtId="0" fontId="2" fillId="5" borderId="3" xfId="0" applyFont="1" applyFill="1" applyBorder="1" applyAlignment="1">
      <alignment horizontal="center" vertical="center"/>
    </xf>
    <xf numFmtId="0" fontId="11" fillId="0" borderId="3" xfId="0" applyFont="1" applyBorder="1" applyAlignment="1">
      <alignment horizontal="center" vertical="center"/>
    </xf>
    <xf numFmtId="0" fontId="11" fillId="5" borderId="3" xfId="0" applyFont="1" applyFill="1" applyBorder="1" applyAlignment="1">
      <alignment horizontal="center" vertical="center"/>
    </xf>
    <xf numFmtId="0" fontId="27" fillId="0" borderId="0" xfId="0" applyFont="1"/>
    <xf numFmtId="0" fontId="17" fillId="0" borderId="0" xfId="0" applyFont="1"/>
    <xf numFmtId="0" fontId="28" fillId="0" borderId="0" xfId="0" applyFont="1" applyAlignment="1">
      <alignment horizontal="left" vertical="center"/>
    </xf>
    <xf numFmtId="0" fontId="28" fillId="0" borderId="0" xfId="0" applyFont="1" applyAlignment="1">
      <alignment horizontal="left" vertical="center" wrapText="1"/>
    </xf>
    <xf numFmtId="0" fontId="29" fillId="0" borderId="0" xfId="0" applyFont="1" applyAlignment="1">
      <alignment horizontal="left" vertical="center" shrinkToFit="1"/>
    </xf>
    <xf numFmtId="0" fontId="30" fillId="0" borderId="0" xfId="0" applyFont="1" applyAlignment="1">
      <alignment horizontal="center" vertical="center" shrinkToFit="1"/>
    </xf>
    <xf numFmtId="0" fontId="31" fillId="0" borderId="0" xfId="0" applyFont="1" applyAlignment="1">
      <alignment horizontal="center" vertical="center" wrapText="1"/>
    </xf>
    <xf numFmtId="0" fontId="32" fillId="0" borderId="4" xfId="0" applyFont="1" applyBorder="1" applyAlignment="1">
      <alignment horizontal="left"/>
    </xf>
    <xf numFmtId="0" fontId="33" fillId="6" borderId="1" xfId="0" applyFont="1" applyFill="1" applyBorder="1" applyAlignment="1">
      <alignment horizontal="center" vertical="center"/>
    </xf>
    <xf numFmtId="0" fontId="34" fillId="0" borderId="1" xfId="0" applyFont="1" applyBorder="1" applyAlignment="1">
      <alignment horizontal="center" vertical="center"/>
    </xf>
    <xf numFmtId="0" fontId="35" fillId="0" borderId="1" xfId="0" applyFont="1" applyBorder="1" applyAlignment="1">
      <alignment horizontal="left" vertical="center"/>
    </xf>
    <xf numFmtId="1" fontId="36" fillId="0" borderId="1" xfId="0" applyNumberFormat="1" applyFont="1" applyBorder="1" applyAlignment="1">
      <alignment horizontal="center" vertical="center"/>
    </xf>
    <xf numFmtId="0" fontId="37" fillId="0" borderId="1" xfId="0" applyFont="1" applyBorder="1" applyAlignment="1">
      <alignment horizontal="center" vertical="center"/>
    </xf>
    <xf numFmtId="9" fontId="37" fillId="0" borderId="1" xfId="0" applyNumberFormat="1" applyFont="1" applyBorder="1" applyAlignment="1">
      <alignment horizontal="center" vertical="center"/>
    </xf>
    <xf numFmtId="1" fontId="37" fillId="0" borderId="1" xfId="0" applyNumberFormat="1" applyFont="1" applyBorder="1" applyAlignment="1">
      <alignment horizontal="center" vertical="center"/>
    </xf>
    <xf numFmtId="0" fontId="38" fillId="0" borderId="5" xfId="0" applyFont="1" applyBorder="1" applyAlignment="1">
      <alignment horizontal="left" vertical="center"/>
    </xf>
    <xf numFmtId="0" fontId="1" fillId="0" borderId="0" xfId="0" applyFont="1"/>
    <xf numFmtId="0" fontId="4" fillId="4" borderId="3" xfId="0" applyFont="1" applyFill="1" applyBorder="1" applyAlignment="1">
      <alignment horizontal="center" vertical="center"/>
    </xf>
    <xf numFmtId="0" fontId="7" fillId="5" borderId="3" xfId="0" applyFont="1" applyFill="1" applyBorder="1" applyAlignment="1">
      <alignment horizontal="left" vertical="center"/>
    </xf>
    <xf numFmtId="0" fontId="16" fillId="0" borderId="3" xfId="0" applyFont="1" applyBorder="1" applyAlignment="1">
      <alignment horizontal="left" vertical="center"/>
    </xf>
    <xf numFmtId="0" fontId="2" fillId="0" borderId="3" xfId="0" applyFont="1" applyBorder="1" applyAlignment="1">
      <alignment horizontal="left" vertical="center"/>
    </xf>
    <xf numFmtId="9" fontId="2" fillId="0" borderId="3" xfId="0" applyNumberFormat="1" applyFont="1" applyBorder="1" applyAlignment="1">
      <alignment horizontal="center" vertical="center"/>
    </xf>
    <xf numFmtId="1" fontId="2" fillId="0" borderId="3" xfId="0" applyNumberFormat="1" applyFont="1" applyBorder="1" applyAlignment="1">
      <alignment horizontal="center" vertical="center"/>
    </xf>
    <xf numFmtId="1" fontId="16" fillId="0" borderId="3" xfId="0" applyNumberFormat="1" applyFont="1" applyBorder="1" applyAlignment="1">
      <alignment horizontal="left" vertical="center"/>
    </xf>
    <xf numFmtId="0" fontId="2" fillId="5" borderId="3" xfId="0" applyFont="1" applyFill="1" applyBorder="1" applyAlignment="1">
      <alignment horizontal="left" vertical="center"/>
    </xf>
    <xf numFmtId="9" fontId="2" fillId="5" borderId="3" xfId="0" applyNumberFormat="1" applyFont="1" applyFill="1" applyBorder="1" applyAlignment="1">
      <alignment horizontal="center" vertical="center"/>
    </xf>
    <xf numFmtId="1" fontId="2" fillId="5" borderId="3" xfId="0" applyNumberFormat="1" applyFont="1" applyFill="1" applyBorder="1" applyAlignment="1">
      <alignment horizontal="center" vertical="center"/>
    </xf>
    <xf numFmtId="9" fontId="16" fillId="0" borderId="3" xfId="0" applyNumberFormat="1" applyFont="1" applyBorder="1" applyAlignment="1">
      <alignment horizontal="left" vertical="center"/>
    </xf>
    <xf numFmtId="0" fontId="7" fillId="5" borderId="3" xfId="0" applyFont="1" applyFill="1" applyBorder="1"/>
    <xf numFmtId="0" fontId="16" fillId="0" borderId="3" xfId="0" applyFont="1" applyBorder="1"/>
    <xf numFmtId="0" fontId="17" fillId="0" borderId="3" xfId="0" applyFont="1" applyBorder="1"/>
    <xf numFmtId="0" fontId="39" fillId="0" borderId="3" xfId="0" applyFont="1" applyBorder="1"/>
    <xf numFmtId="0" fontId="40" fillId="0" borderId="0" xfId="0" applyFont="1"/>
    <xf numFmtId="0" fontId="41" fillId="7" borderId="1" xfId="0" applyFont="1" applyFill="1" applyBorder="1" applyAlignment="1">
      <alignment horizontal="center" vertical="center"/>
    </xf>
    <xf numFmtId="164" fontId="37" fillId="0" borderId="1" xfId="0" applyNumberFormat="1" applyFont="1" applyBorder="1" applyAlignment="1">
      <alignment horizontal="center" vertical="center"/>
    </xf>
    <xf numFmtId="0" fontId="42" fillId="0" borderId="0" xfId="0" applyFont="1"/>
    <xf numFmtId="0" fontId="43" fillId="0" borderId="0" xfId="0" applyFont="1" applyAlignment="1">
      <alignment horizontal="left" vertical="center"/>
    </xf>
    <xf numFmtId="0" fontId="44" fillId="3" borderId="2" xfId="0" applyFont="1" applyFill="1" applyBorder="1" applyAlignment="1">
      <alignment horizontal="center" vertical="center"/>
    </xf>
    <xf numFmtId="0" fontId="44" fillId="3" borderId="2" xfId="0" applyFont="1" applyFill="1" applyBorder="1" applyAlignment="1">
      <alignment horizontal="center" textRotation="90"/>
    </xf>
    <xf numFmtId="0" fontId="45" fillId="0" borderId="2" xfId="0" applyFont="1" applyBorder="1" applyAlignment="1">
      <alignment horizontal="left" vertical="center"/>
    </xf>
    <xf numFmtId="0" fontId="46" fillId="0" borderId="2" xfId="0" applyFont="1" applyBorder="1" applyAlignment="1">
      <alignment horizontal="center" vertical="center"/>
    </xf>
    <xf numFmtId="0" fontId="47" fillId="0" borderId="2" xfId="0" applyFont="1" applyBorder="1" applyAlignment="1">
      <alignment horizontal="center" vertical="center"/>
    </xf>
    <xf numFmtId="0" fontId="48" fillId="4" borderId="2" xfId="0" applyFont="1" applyFill="1" applyBorder="1" applyAlignment="1">
      <alignment horizontal="center" vertical="center"/>
    </xf>
    <xf numFmtId="9" fontId="46" fillId="0" borderId="2" xfId="0" applyNumberFormat="1" applyFont="1" applyBorder="1" applyAlignment="1">
      <alignment horizontal="center" vertical="center"/>
    </xf>
    <xf numFmtId="0" fontId="44" fillId="3" borderId="2" xfId="0" applyFont="1" applyFill="1" applyBorder="1" applyAlignment="1">
      <alignment horizontal="left" vertical="center"/>
    </xf>
    <xf numFmtId="1" fontId="46" fillId="0" borderId="2" xfId="0" applyNumberFormat="1" applyFont="1" applyBorder="1" applyAlignment="1">
      <alignment horizontal="center" vertical="center"/>
    </xf>
    <xf numFmtId="1" fontId="0" fillId="0" borderId="0" xfId="0" applyNumberFormat="1"/>
    <xf numFmtId="0" fontId="2" fillId="4" borderId="3" xfId="0" applyFont="1" applyFill="1" applyBorder="1" applyAlignment="1">
      <alignment horizontal="left" vertical="center"/>
    </xf>
    <xf numFmtId="0" fontId="2" fillId="4" borderId="3" xfId="0" applyFont="1" applyFill="1" applyBorder="1" applyAlignment="1">
      <alignment horizontal="center" vertical="center"/>
    </xf>
    <xf numFmtId="0" fontId="27" fillId="0" borderId="3" xfId="0" applyFont="1" applyBorder="1" applyAlignment="1">
      <alignment horizontal="left" vertical="center"/>
    </xf>
    <xf numFmtId="0" fontId="27" fillId="5" borderId="3" xfId="0" applyFont="1" applyFill="1" applyBorder="1" applyAlignment="1">
      <alignment horizontal="left" vertical="center"/>
    </xf>
    <xf numFmtId="0" fontId="49" fillId="3" borderId="3" xfId="0" applyFont="1" applyFill="1" applyBorder="1" applyAlignment="1">
      <alignment horizontal="center" vertical="center"/>
    </xf>
    <xf numFmtId="0" fontId="17" fillId="5" borderId="3" xfId="0" applyFont="1" applyFill="1" applyBorder="1" applyAlignment="1">
      <alignment horizontal="left" vertical="center"/>
    </xf>
    <xf numFmtId="0" fontId="16" fillId="8" borderId="3" xfId="0" applyFont="1" applyFill="1" applyBorder="1" applyAlignment="1">
      <alignment horizontal="left" vertical="center"/>
    </xf>
    <xf numFmtId="0" fontId="19" fillId="8" borderId="3" xfId="0" applyFont="1" applyFill="1" applyBorder="1"/>
    <xf numFmtId="0" fontId="16" fillId="9" borderId="3" xfId="0" applyFont="1" applyFill="1" applyBorder="1" applyAlignment="1">
      <alignment horizontal="left" vertical="center"/>
    </xf>
    <xf numFmtId="0" fontId="19" fillId="9" borderId="3" xfId="0" applyFont="1" applyFill="1" applyBorder="1"/>
    <xf numFmtId="9" fontId="19" fillId="9" borderId="3" xfId="0" applyNumberFormat="1" applyFont="1" applyFill="1" applyBorder="1"/>
    <xf numFmtId="1" fontId="19" fillId="9" borderId="3" xfId="0" applyNumberFormat="1" applyFont="1" applyFill="1" applyBorder="1"/>
    <xf numFmtId="9" fontId="19" fillId="8" borderId="3" xfId="0" applyNumberFormat="1" applyFont="1" applyFill="1" applyBorder="1"/>
    <xf numFmtId="1" fontId="19" fillId="8" borderId="3" xfId="0" applyNumberFormat="1" applyFont="1" applyFill="1" applyBorder="1"/>
    <xf numFmtId="9" fontId="19" fillId="0" borderId="0" xfId="0" applyNumberFormat="1" applyFont="1"/>
    <xf numFmtId="1" fontId="19" fillId="0" borderId="0" xfId="0" applyNumberFormat="1" applyFont="1"/>
    <xf numFmtId="9" fontId="23" fillId="3" borderId="3" xfId="0" applyNumberFormat="1" applyFont="1" applyFill="1" applyBorder="1" applyAlignment="1">
      <alignment horizontal="center" vertical="center"/>
    </xf>
    <xf numFmtId="0" fontId="17" fillId="4" borderId="3" xfId="0" applyFont="1" applyFill="1" applyBorder="1" applyAlignment="1">
      <alignment horizontal="center" vertical="center"/>
    </xf>
    <xf numFmtId="0" fontId="17" fillId="4" borderId="3" xfId="0" applyFont="1" applyFill="1" applyBorder="1" applyAlignment="1">
      <alignment horizontal="left" vertical="center"/>
    </xf>
    <xf numFmtId="9" fontId="17" fillId="4" borderId="3" xfId="0" applyNumberFormat="1" applyFont="1" applyFill="1" applyBorder="1" applyAlignment="1">
      <alignment horizontal="center" vertical="center"/>
    </xf>
    <xf numFmtId="0" fontId="16" fillId="0" borderId="3" xfId="0" applyFont="1" applyBorder="1" applyAlignment="1">
      <alignment horizontal="center" vertical="center"/>
    </xf>
    <xf numFmtId="9" fontId="16" fillId="0" borderId="3" xfId="0" applyNumberFormat="1" applyFont="1" applyBorder="1" applyAlignment="1">
      <alignment horizontal="center" vertical="center"/>
    </xf>
    <xf numFmtId="0" fontId="50" fillId="0" borderId="0" xfId="0" applyFont="1"/>
    <xf numFmtId="0" fontId="45" fillId="0" borderId="3" xfId="0" applyFont="1" applyBorder="1" applyAlignment="1">
      <alignment horizontal="center" vertical="center"/>
    </xf>
    <xf numFmtId="0" fontId="44" fillId="3" borderId="3" xfId="0" applyFont="1" applyFill="1" applyBorder="1" applyAlignment="1">
      <alignment horizontal="center" vertical="center"/>
    </xf>
    <xf numFmtId="0" fontId="51" fillId="3" borderId="3" xfId="0" applyFont="1" applyFill="1" applyBorder="1" applyAlignment="1">
      <alignment horizontal="center" textRotation="90"/>
    </xf>
    <xf numFmtId="9" fontId="52" fillId="0" borderId="3" xfId="0" applyNumberFormat="1" applyFont="1" applyBorder="1" applyAlignment="1">
      <alignment horizontal="center" vertical="center"/>
    </xf>
    <xf numFmtId="0" fontId="37" fillId="10" borderId="1" xfId="0" applyFont="1" applyFill="1" applyBorder="1" applyAlignment="1" applyProtection="1">
      <alignment horizontal="center" vertical="center"/>
      <protection locked="0"/>
    </xf>
    <xf numFmtId="165" fontId="37" fillId="10" borderId="1" xfId="0" applyNumberFormat="1" applyFont="1" applyFill="1" applyBorder="1" applyAlignment="1" applyProtection="1">
      <alignment horizontal="center" vertical="center"/>
      <protection locked="0"/>
    </xf>
    <xf numFmtId="0" fontId="37" fillId="10" borderId="1" xfId="0" applyFont="1" applyFill="1" applyBorder="1" applyAlignment="1" applyProtection="1">
      <alignment horizontal="left" vertical="center"/>
      <protection locked="0"/>
    </xf>
    <xf numFmtId="164" fontId="37" fillId="11" borderId="1" xfId="0" applyNumberFormat="1" applyFont="1" applyFill="1" applyBorder="1" applyAlignment="1">
      <alignment horizontal="center" vertical="center"/>
    </xf>
    <xf numFmtId="0" fontId="37" fillId="11" borderId="1" xfId="0" applyFont="1" applyFill="1" applyBorder="1" applyAlignment="1">
      <alignment horizontal="center" vertical="center"/>
    </xf>
    <xf numFmtId="166" fontId="37" fillId="11" borderId="1" xfId="0" applyNumberFormat="1" applyFont="1" applyFill="1" applyBorder="1" applyAlignment="1">
      <alignment horizontal="center" vertical="center"/>
    </xf>
    <xf numFmtId="167" fontId="37" fillId="11" borderId="1" xfId="0" applyNumberFormat="1" applyFont="1" applyFill="1" applyBorder="1" applyAlignment="1">
      <alignment horizontal="center" vertical="center"/>
    </xf>
    <xf numFmtId="168" fontId="37" fillId="11" borderId="1" xfId="0" applyNumberFormat="1" applyFont="1" applyFill="1" applyBorder="1" applyAlignment="1">
      <alignment horizontal="center" vertical="center"/>
    </xf>
    <xf numFmtId="169" fontId="37" fillId="11" borderId="1" xfId="0" applyNumberFormat="1" applyFont="1" applyFill="1" applyBorder="1" applyAlignment="1">
      <alignment horizontal="center" vertical="center"/>
    </xf>
    <xf numFmtId="170" fontId="0" fillId="0" borderId="0" xfId="0" applyNumberFormat="1"/>
    <xf numFmtId="0" fontId="17" fillId="0" borderId="0" xfId="0" applyFont="1" applyAlignment="1">
      <alignment horizontal="center" vertical="center"/>
    </xf>
    <xf numFmtId="0" fontId="6" fillId="0" borderId="2" xfId="0" applyFont="1" applyBorder="1" applyAlignment="1">
      <alignment horizontal="left" vertical="center"/>
    </xf>
    <xf numFmtId="0" fontId="2" fillId="12" borderId="2" xfId="0" applyFont="1" applyFill="1" applyBorder="1" applyAlignment="1">
      <alignment horizontal="center" vertical="center"/>
    </xf>
    <xf numFmtId="0" fontId="27" fillId="0" borderId="2" xfId="0" applyFont="1" applyBorder="1" applyAlignment="1">
      <alignment horizontal="center" vertical="center"/>
    </xf>
    <xf numFmtId="0" fontId="55" fillId="0" borderId="2" xfId="0" applyFont="1" applyBorder="1" applyAlignment="1">
      <alignment horizontal="left" vertical="center"/>
    </xf>
    <xf numFmtId="0" fontId="0" fillId="0" borderId="0" xfId="0" applyAlignment="1">
      <alignment vertical="center"/>
    </xf>
    <xf numFmtId="0" fontId="57" fillId="0" borderId="0" xfId="0" applyFont="1"/>
    <xf numFmtId="0" fontId="57" fillId="13" borderId="0" xfId="0" applyFont="1" applyFill="1"/>
    <xf numFmtId="0" fontId="58" fillId="14" borderId="0" xfId="0" applyFont="1" applyFill="1"/>
    <xf numFmtId="171" fontId="0" fillId="0" borderId="0" xfId="0" applyNumberFormat="1"/>
    <xf numFmtId="172" fontId="0" fillId="0" borderId="0" xfId="0" applyNumberFormat="1"/>
    <xf numFmtId="165" fontId="0" fillId="0" borderId="0" xfId="0" applyNumberFormat="1"/>
    <xf numFmtId="164" fontId="0" fillId="0" borderId="0" xfId="0" applyNumberFormat="1"/>
    <xf numFmtId="0" fontId="59" fillId="0" borderId="0" xfId="0" applyFont="1" applyAlignment="1">
      <alignment wrapText="1"/>
    </xf>
    <xf numFmtId="0" fontId="61" fillId="15" borderId="0" xfId="0" applyFont="1" applyFill="1"/>
    <xf numFmtId="173" fontId="60" fillId="15" borderId="0" xfId="0" applyNumberFormat="1" applyFont="1" applyFill="1"/>
    <xf numFmtId="1" fontId="17" fillId="4" borderId="3" xfId="0" applyNumberFormat="1" applyFont="1" applyFill="1" applyBorder="1" applyAlignment="1">
      <alignment horizontal="center" vertical="center"/>
    </xf>
    <xf numFmtId="1" fontId="16" fillId="0" borderId="3" xfId="0" applyNumberFormat="1" applyFont="1" applyBorder="1" applyAlignment="1">
      <alignment horizontal="center" vertical="center"/>
    </xf>
    <xf numFmtId="0" fontId="53" fillId="0" borderId="0" xfId="0" applyFont="1"/>
    <xf numFmtId="0" fontId="0" fillId="0" borderId="0" xfId="0"/>
    <xf numFmtId="0" fontId="54" fillId="0" borderId="0" xfId="0" applyFont="1"/>
    <xf numFmtId="0" fontId="14" fillId="0" borderId="0" xfId="0" applyFont="1" applyAlignment="1">
      <alignment horizontal="left" vertical="top" wrapText="1"/>
    </xf>
    <xf numFmtId="0" fontId="16" fillId="0" borderId="0" xfId="0" applyFont="1" applyAlignment="1">
      <alignment horizontal="left" vertical="top" wrapText="1"/>
    </xf>
    <xf numFmtId="0" fontId="13" fillId="0" borderId="0" xfId="0" applyFont="1" applyAlignment="1">
      <alignment horizontal="center" vertical="center"/>
    </xf>
    <xf numFmtId="0" fontId="15" fillId="3" borderId="0" xfId="0" applyFont="1" applyFill="1" applyAlignment="1">
      <alignment horizontal="left" vertical="center" indent="1"/>
    </xf>
    <xf numFmtId="0" fontId="12" fillId="0" borderId="0" xfId="0" applyFont="1" applyAlignment="1">
      <alignment horizontal="center" vertical="center"/>
    </xf>
    <xf numFmtId="0" fontId="21" fillId="4" borderId="0" xfId="0" applyFont="1" applyFill="1" applyAlignment="1">
      <alignment horizontal="left" vertical="center" indent="1"/>
    </xf>
    <xf numFmtId="0" fontId="20" fillId="0" borderId="0" xfId="0" applyFont="1" applyAlignment="1">
      <alignment horizontal="left" vertical="center" wrapText="1" indent="1"/>
    </xf>
    <xf numFmtId="0" fontId="18" fillId="0" borderId="0" xfId="0" applyFont="1" applyAlignment="1">
      <alignment horizontal="left" vertical="center" indent="1"/>
    </xf>
    <xf numFmtId="0" fontId="12" fillId="4" borderId="0" xfId="0" applyFont="1" applyFill="1" applyAlignment="1">
      <alignment horizontal="left" vertical="center"/>
    </xf>
    <xf numFmtId="0" fontId="7" fillId="0" borderId="0" xfId="0" applyFont="1" applyAlignment="1">
      <alignment horizontal="left" indent="1"/>
    </xf>
    <xf numFmtId="0" fontId="22" fillId="4" borderId="0" xfId="0" applyFont="1" applyFill="1" applyAlignment="1">
      <alignment horizontal="left" vertical="center" indent="1"/>
    </xf>
    <xf numFmtId="0" fontId="29" fillId="0" borderId="4" xfId="0" applyFont="1" applyBorder="1" applyAlignment="1">
      <alignment horizontal="left" vertical="center"/>
    </xf>
    <xf numFmtId="0" fontId="0" fillId="0" borderId="4" xfId="0" applyBorder="1"/>
    <xf numFmtId="0" fontId="29" fillId="0" borderId="0" xfId="0" applyFont="1" applyAlignment="1">
      <alignment horizontal="left" vertical="center" wrapText="1"/>
    </xf>
    <xf numFmtId="0" fontId="7" fillId="0" borderId="0" xfId="0" applyFont="1"/>
    <xf numFmtId="0" fontId="43" fillId="0" borderId="0" xfId="0" applyFont="1" applyAlignment="1">
      <alignment horizontal="left" vertical="center"/>
    </xf>
    <xf numFmtId="0" fontId="20" fillId="0" borderId="0" xfId="0" applyFont="1"/>
    <xf numFmtId="0" fontId="26" fillId="0" borderId="0" xfId="0" applyFont="1" applyAlignment="1">
      <alignment horizontal="left" vertical="center" wrapText="1"/>
    </xf>
    <xf numFmtId="0" fontId="56" fillId="0" borderId="0" xfId="0" applyFont="1"/>
    <xf numFmtId="0" fontId="57" fillId="0" borderId="0" xfId="0" applyFont="1"/>
    <xf numFmtId="0" fontId="0" fillId="0" borderId="0" xfId="0" applyAlignment="1">
      <alignment horizontal="left" vertical="center" wrapText="1" shrinkToFit="1"/>
    </xf>
  </cellXfs>
  <cellStyles count="1">
    <cellStyle name="Normal" xfId="0" builtinId="0"/>
  </cellStyles>
  <dxfs count="40">
    <dxf>
      <fill>
        <patternFill>
          <bgColor rgb="FFFBEEC8"/>
        </patternFill>
      </fill>
    </dxf>
    <dxf>
      <fill>
        <patternFill>
          <bgColor rgb="FFF6CFCF"/>
        </patternFill>
      </fill>
    </dxf>
    <dxf>
      <fill>
        <patternFill>
          <bgColor rgb="FFC9E8D2"/>
        </patternFill>
      </fill>
    </dxf>
    <dxf>
      <fill>
        <patternFill>
          <bgColor rgb="FFFBEEC8"/>
        </patternFill>
      </fill>
    </dxf>
    <dxf>
      <fill>
        <patternFill>
          <bgColor rgb="FFF6CFCF"/>
        </patternFill>
      </fill>
    </dxf>
    <dxf>
      <fill>
        <patternFill>
          <bgColor rgb="FFC9E8D2"/>
        </patternFill>
      </fill>
    </dxf>
    <dxf>
      <font>
        <b/>
        <sz val="9"/>
        <color rgb="FF7F1D1D"/>
        <name val="Calibri"/>
        <charset val="1"/>
      </font>
      <fill>
        <patternFill>
          <bgColor rgb="FFF8696B"/>
        </patternFill>
      </fill>
    </dxf>
    <dxf>
      <font>
        <b/>
        <sz val="9"/>
        <color rgb="FF14532D"/>
        <name val="Calibri"/>
        <charset val="1"/>
      </font>
      <fill>
        <patternFill>
          <bgColor rgb="FF63BE7B"/>
        </patternFill>
      </fill>
    </dxf>
    <dxf>
      <fill>
        <patternFill>
          <bgColor rgb="FFFFEB9C"/>
        </patternFill>
      </fill>
    </dxf>
    <dxf>
      <fill>
        <patternFill>
          <bgColor rgb="FFFFC7CE"/>
        </patternFill>
      </fill>
    </dxf>
    <dxf>
      <fill>
        <patternFill>
          <bgColor rgb="FFC6EFCE"/>
        </patternFill>
      </fill>
    </dxf>
    <dxf>
      <fill>
        <patternFill>
          <bgColor rgb="FFC6EFCE"/>
        </patternFill>
      </fill>
    </dxf>
    <dxf>
      <fill>
        <patternFill>
          <bgColor rgb="FFFFEB9C"/>
        </patternFill>
      </fill>
    </dxf>
    <dxf>
      <fill>
        <patternFill>
          <bgColor rgb="FFECECEC"/>
        </patternFill>
      </fill>
    </dxf>
    <dxf>
      <fill>
        <patternFill>
          <bgColor rgb="FFC6EFCE"/>
        </patternFill>
      </fill>
    </dxf>
    <dxf>
      <fill>
        <patternFill>
          <bgColor rgb="FF63BE7B"/>
        </patternFill>
      </fill>
    </dxf>
    <dxf>
      <fill>
        <patternFill>
          <bgColor rgb="FFFFEB9C"/>
        </patternFill>
      </fill>
    </dxf>
    <dxf>
      <fill>
        <patternFill>
          <bgColor rgb="FFFCD5B4"/>
        </patternFill>
      </fill>
    </dxf>
    <dxf>
      <fill>
        <patternFill>
          <bgColor rgb="FFF8696B"/>
        </patternFill>
      </fill>
    </dxf>
    <dxf>
      <fill>
        <patternFill>
          <bgColor rgb="FFFFEB84"/>
        </patternFill>
      </fill>
    </dxf>
    <dxf>
      <fill>
        <patternFill>
          <bgColor rgb="FFFFC7CE"/>
        </patternFill>
      </fill>
    </dxf>
    <dxf>
      <fill>
        <patternFill>
          <bgColor rgb="FFC6EFCE"/>
        </patternFill>
      </fill>
    </dxf>
    <dxf>
      <fill>
        <patternFill>
          <bgColor rgb="FFF5F5F5"/>
        </patternFill>
      </fill>
    </dxf>
    <dxf>
      <fill>
        <patternFill>
          <bgColor rgb="FFECECEC"/>
        </patternFill>
      </fill>
    </dxf>
    <dxf>
      <fill>
        <patternFill>
          <bgColor rgb="FFDDEBF7"/>
        </patternFill>
      </fill>
    </dxf>
    <dxf>
      <fill>
        <patternFill>
          <bgColor rgb="FFC6EFCE"/>
        </patternFill>
      </fill>
    </dxf>
    <dxf>
      <fill>
        <patternFill>
          <bgColor rgb="FFFCE9B8"/>
        </patternFill>
      </fill>
    </dxf>
    <dxf>
      <fill>
        <patternFill>
          <bgColor rgb="FFF5F5F5"/>
        </patternFill>
      </fill>
    </dxf>
    <dxf>
      <fill>
        <patternFill>
          <bgColor rgb="FFF5F5F5"/>
        </patternFill>
      </fill>
    </dxf>
    <dxf>
      <fill>
        <patternFill>
          <bgColor rgb="FFECECEC"/>
        </patternFill>
      </fill>
    </dxf>
    <dxf>
      <fill>
        <patternFill>
          <bgColor rgb="FFDDEBF7"/>
        </patternFill>
      </fill>
    </dxf>
    <dxf>
      <fill>
        <patternFill>
          <bgColor rgb="FFC6EFCE"/>
        </patternFill>
      </fill>
    </dxf>
    <dxf>
      <fill>
        <patternFill>
          <bgColor rgb="FFFCE9B8"/>
        </patternFill>
      </fill>
    </dxf>
    <dxf>
      <fill>
        <patternFill>
          <bgColor rgb="FFD9D9D9"/>
        </patternFill>
      </fill>
    </dxf>
    <dxf>
      <fill>
        <patternFill>
          <bgColor rgb="FFFFC7CE"/>
        </patternFill>
      </fill>
    </dxf>
    <dxf>
      <fill>
        <patternFill>
          <bgColor rgb="FFFFEB9C"/>
        </patternFill>
      </fill>
    </dxf>
    <dxf>
      <fill>
        <patternFill>
          <bgColor rgb="FFC6EFCE"/>
        </patternFill>
      </fill>
    </dxf>
    <dxf>
      <fill>
        <patternFill>
          <bgColor rgb="FFD9D9D9"/>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FF0000"/>
      <rgbColor rgb="FFFBEEC8"/>
      <rgbColor rgb="FF0000FF"/>
      <rgbColor rgb="FFFFEB84"/>
      <rgbColor rgb="FFFBF4E1"/>
      <rgbColor rgb="FFECECEC"/>
      <rgbColor rgb="FF800000"/>
      <rgbColor rgb="FF14532D"/>
      <rgbColor rgb="FF000080"/>
      <rgbColor rgb="FF7A5A12"/>
      <rgbColor rgb="FF800080"/>
      <rgbColor rgb="FFF5F5F5"/>
      <rgbColor rgb="FFD9D9D9"/>
      <rgbColor rgb="FF6B7280"/>
      <rgbColor rgb="FFD8DEE6"/>
      <rgbColor rgb="FFB23A48"/>
      <rgbColor rgb="FFFFF8E1"/>
      <rgbColor rgb="FFDDEBF7"/>
      <rgbColor rgb="FF660066"/>
      <rgbColor rgb="FFF8696B"/>
      <rgbColor rgb="FFF4F7FB"/>
      <rgbColor rgb="FFC9CFDA"/>
      <rgbColor rgb="FF000080"/>
      <rgbColor rgb="FFFBF7EC"/>
      <rgbColor rgb="FFFCE9B8"/>
      <rgbColor rgb="FFEEF2F7"/>
      <rgbColor rgb="FF800080"/>
      <rgbColor rgb="FF800000"/>
      <rgbColor rgb="FFFFF2CC"/>
      <rgbColor rgb="FF0000FF"/>
      <rgbColor rgb="FFF2F2F2"/>
      <rgbColor rgb="FFEAF0F7"/>
      <rgbColor rgb="FFC6EFCE"/>
      <rgbColor rgb="FFFFEB9C"/>
      <rgbColor rgb="FFD6DCE4"/>
      <rgbColor rgb="FFFFC7CE"/>
      <rgbColor rgb="FFF6CFCF"/>
      <rgbColor rgb="FFFCD5B4"/>
      <rgbColor rgb="FF4A6FA5"/>
      <rgbColor rgb="FF63BE7B"/>
      <rgbColor rgb="FFC9E8D2"/>
      <rgbColor rgb="FFEFD080"/>
      <rgbColor rgb="FFC9A227"/>
      <rgbColor rgb="FFF1E3C3"/>
      <rgbColor rgb="FF5D6F81"/>
      <rgbColor rgb="FFB0892F"/>
      <rgbColor rgb="FF0D2646"/>
      <rgbColor rgb="FF2F8F5B"/>
      <rgbColor rgb="FF0D2240"/>
      <rgbColor rgb="FF1A1A1A"/>
      <rgbColor rgb="FF7F1D1D"/>
      <rgbColor rgb="FF44505E"/>
      <rgbColor rgb="FF1B2A4A"/>
      <rgbColor rgb="FF2330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portVoteAdd" displayName="tblSportVoteAdd" ref="A6:R26" totalsRowShown="0">
  <autoFilter ref="A6:R26" xr:uid="{00000000-0009-0000-0100-000001000000}"/>
  <tableColumns count="18">
    <tableColumn id="1" xr3:uid="{00000000-0010-0000-0000-000001000000}" name="Suggested sport"/>
    <tableColumn id="2" xr3:uid="{00000000-0010-0000-0000-000002000000}" name="Aaron"/>
    <tableColumn id="3" xr3:uid="{00000000-0010-0000-0000-000003000000}" name="Beau"/>
    <tableColumn id="4" xr3:uid="{00000000-0010-0000-0000-000004000000}" name="Chase"/>
    <tableColumn id="5" xr3:uid="{00000000-0010-0000-0000-000005000000}" name="David"/>
    <tableColumn id="6" xr3:uid="{00000000-0010-0000-0000-000006000000}" name="Josh"/>
    <tableColumn id="7" xr3:uid="{00000000-0010-0000-0000-000007000000}" name="Shawn"/>
    <tableColumn id="8" xr3:uid="{00000000-0010-0000-0000-000008000000}" name="Simon"/>
    <tableColumn id="9" xr3:uid="{00000000-0010-0000-0000-000009000000}" name="Daniel (Ferret)"/>
    <tableColumn id="10" xr3:uid="{00000000-0010-0000-0000-00000A000000}" name="Dean B"/>
    <tableColumn id="11" xr3:uid="{00000000-0010-0000-0000-00000B000000}" name="Cody"/>
    <tableColumn id="12" xr3:uid="{00000000-0010-0000-0000-00000C000000}" name="Oscar"/>
    <tableColumn id="13" xr3:uid="{00000000-0010-0000-0000-00000D000000}" name="Dean M"/>
    <tableColumn id="14" xr3:uid="{00000000-0010-0000-0000-00000E000000}" name="Dylan A"/>
    <tableColumn id="15" xr3:uid="{00000000-0010-0000-0000-00000F000000}" name="Dylan S"/>
    <tableColumn id="16" xr3:uid="{00000000-0010-0000-0000-000010000000}" name="In favour"/>
    <tableColumn id="17" xr3:uid="{00000000-0010-0000-0000-000011000000}" name="Votes cast"/>
    <tableColumn id="18" xr3:uid="{00000000-0010-0000-0000-000012000000}" name="Outcom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SportVoteRemove" displayName="tblSportVoteRemove" ref="A30:R48" totalsRowShown="0">
  <autoFilter ref="A30:R48" xr:uid="{00000000-0009-0000-0100-000002000000}"/>
  <tableColumns count="18">
    <tableColumn id="1" xr3:uid="{00000000-0010-0000-0100-000001000000}" name="Current sport"/>
    <tableColumn id="2" xr3:uid="{00000000-0010-0000-0100-000002000000}" name="Aaron"/>
    <tableColumn id="3" xr3:uid="{00000000-0010-0000-0100-000003000000}" name="Beau"/>
    <tableColumn id="4" xr3:uid="{00000000-0010-0000-0100-000004000000}" name="Chase"/>
    <tableColumn id="5" xr3:uid="{00000000-0010-0000-0100-000005000000}" name="David"/>
    <tableColumn id="6" xr3:uid="{00000000-0010-0000-0100-000006000000}" name="Josh"/>
    <tableColumn id="7" xr3:uid="{00000000-0010-0000-0100-000007000000}" name="Shawn"/>
    <tableColumn id="8" xr3:uid="{00000000-0010-0000-0100-000008000000}" name="Simon"/>
    <tableColumn id="9" xr3:uid="{00000000-0010-0000-0100-000009000000}" name="Daniel (Ferret)"/>
    <tableColumn id="10" xr3:uid="{00000000-0010-0000-0100-00000A000000}" name="Dean B"/>
    <tableColumn id="11" xr3:uid="{00000000-0010-0000-0100-00000B000000}" name="Cody"/>
    <tableColumn id="12" xr3:uid="{00000000-0010-0000-0100-00000C000000}" name="Oscar"/>
    <tableColumn id="13" xr3:uid="{00000000-0010-0000-0100-00000D000000}" name="Dean M"/>
    <tableColumn id="14" xr3:uid="{00000000-0010-0000-0100-00000E000000}" name="Dylan A"/>
    <tableColumn id="15" xr3:uid="{00000000-0010-0000-0100-00000F000000}" name="Dylan S"/>
    <tableColumn id="16" xr3:uid="{00000000-0010-0000-0100-000010000000}" name="To remove"/>
    <tableColumn id="17" xr3:uid="{00000000-0010-0000-0100-000011000000}" name="Votes cast"/>
    <tableColumn id="18" xr3:uid="{00000000-0010-0000-0100-000012000000}" name="Outcom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9A227"/>
  </sheetPr>
  <dimension ref="B1:D107"/>
  <sheetViews>
    <sheetView topLeftCell="A48" zoomScale="150" zoomScaleNormal="150" workbookViewId="0">
      <selection activeCell="B58" sqref="B58"/>
    </sheetView>
  </sheetViews>
  <sheetFormatPr baseColWidth="10" defaultColWidth="8.6640625" defaultRowHeight="15" x14ac:dyDescent="0.2"/>
  <cols>
    <col min="1" max="1" width="3" customWidth="1"/>
    <col min="2" max="2" width="93.33203125" customWidth="1"/>
    <col min="3" max="3" width="9" customWidth="1"/>
    <col min="4" max="4" width="88" customWidth="1"/>
  </cols>
  <sheetData>
    <row r="1" spans="2:4" ht="22.5" customHeight="1" x14ac:dyDescent="0.2">
      <c r="B1" s="1" t="s">
        <v>56</v>
      </c>
    </row>
    <row r="2" spans="2:4" ht="60" customHeight="1" x14ac:dyDescent="0.2">
      <c r="B2" s="2" t="s">
        <v>57</v>
      </c>
    </row>
    <row r="3" spans="2:4" ht="60" customHeight="1" x14ac:dyDescent="0.2">
      <c r="B3" s="2" t="s">
        <v>464</v>
      </c>
    </row>
    <row r="4" spans="2:4" ht="4.5" customHeight="1" x14ac:dyDescent="0.2">
      <c r="B4" s="3"/>
    </row>
    <row r="5" spans="2:4" s="4" customFormat="1" ht="19.5" customHeight="1" x14ac:dyDescent="0.2">
      <c r="B5" s="5" t="s">
        <v>58</v>
      </c>
      <c r="D5" s="6"/>
    </row>
    <row r="6" spans="2:4" ht="60" customHeight="1" x14ac:dyDescent="0.2">
      <c r="B6" s="2" t="s">
        <v>59</v>
      </c>
    </row>
    <row r="7" spans="2:4" ht="4.5" customHeight="1" x14ac:dyDescent="0.2"/>
    <row r="8" spans="2:4" ht="19.5" customHeight="1" x14ac:dyDescent="0.2">
      <c r="B8" s="5" t="s">
        <v>60</v>
      </c>
      <c r="D8" s="7"/>
    </row>
    <row r="9" spans="2:4" ht="60" customHeight="1" x14ac:dyDescent="0.2">
      <c r="B9" s="2" t="s">
        <v>61</v>
      </c>
    </row>
    <row r="10" spans="2:4" ht="3.75" customHeight="1" x14ac:dyDescent="0.2"/>
    <row r="11" spans="2:4" ht="19.5" customHeight="1" x14ac:dyDescent="0.2">
      <c r="B11" s="8" t="s">
        <v>62</v>
      </c>
      <c r="D11" s="7"/>
    </row>
    <row r="12" spans="2:4" ht="18" customHeight="1" x14ac:dyDescent="0.2">
      <c r="B12" s="9" t="s">
        <v>63</v>
      </c>
    </row>
    <row r="13" spans="2:4" ht="18" customHeight="1" x14ac:dyDescent="0.2">
      <c r="B13" s="9" t="s">
        <v>64</v>
      </c>
    </row>
    <row r="14" spans="2:4" ht="18" customHeight="1" x14ac:dyDescent="0.2">
      <c r="B14" s="9" t="s">
        <v>465</v>
      </c>
    </row>
    <row r="15" spans="2:4" ht="18" customHeight="1" x14ac:dyDescent="0.2">
      <c r="B15" s="10" t="s">
        <v>65</v>
      </c>
      <c r="D15" s="7"/>
    </row>
    <row r="16" spans="2:4" ht="4.5" customHeight="1" x14ac:dyDescent="0.2"/>
    <row r="17" spans="2:4" ht="15" customHeight="1" x14ac:dyDescent="0.2">
      <c r="B17" s="11" t="s">
        <v>66</v>
      </c>
    </row>
    <row r="18" spans="2:4" ht="24.75" customHeight="1" x14ac:dyDescent="0.2">
      <c r="B18" s="12" t="s">
        <v>67</v>
      </c>
      <c r="D18" s="13" t="s">
        <v>68</v>
      </c>
    </row>
    <row r="19" spans="2:4" ht="24.75" customHeight="1" x14ac:dyDescent="0.2">
      <c r="B19" s="14" t="s">
        <v>69</v>
      </c>
      <c r="D19" s="13" t="s">
        <v>70</v>
      </c>
    </row>
    <row r="20" spans="2:4" ht="24.75" customHeight="1" x14ac:dyDescent="0.2">
      <c r="B20" s="14" t="s">
        <v>71</v>
      </c>
      <c r="D20" s="13" t="s">
        <v>72</v>
      </c>
    </row>
    <row r="21" spans="2:4" ht="24.75" customHeight="1" x14ac:dyDescent="0.2">
      <c r="B21" s="14" t="s">
        <v>73</v>
      </c>
      <c r="D21" s="2" t="s">
        <v>74</v>
      </c>
    </row>
    <row r="22" spans="2:4" ht="24.75" customHeight="1" x14ac:dyDescent="0.2">
      <c r="B22" s="12" t="s">
        <v>75</v>
      </c>
      <c r="D22" s="2" t="s">
        <v>76</v>
      </c>
    </row>
    <row r="23" spans="2:4" ht="24.75" customHeight="1" x14ac:dyDescent="0.2">
      <c r="B23" s="14" t="s">
        <v>77</v>
      </c>
      <c r="D23" s="2" t="s">
        <v>78</v>
      </c>
    </row>
    <row r="24" spans="2:4" ht="24.75" customHeight="1" x14ac:dyDescent="0.2">
      <c r="B24" s="14" t="s">
        <v>79</v>
      </c>
      <c r="D24" s="2" t="s">
        <v>80</v>
      </c>
    </row>
    <row r="25" spans="2:4" ht="24.75" customHeight="1" x14ac:dyDescent="0.2">
      <c r="B25" s="14" t="s">
        <v>81</v>
      </c>
      <c r="D25" s="2" t="s">
        <v>82</v>
      </c>
    </row>
    <row r="26" spans="2:4" ht="24.75" customHeight="1" x14ac:dyDescent="0.2">
      <c r="B26" s="12" t="s">
        <v>83</v>
      </c>
      <c r="D26" s="2" t="s">
        <v>84</v>
      </c>
    </row>
    <row r="27" spans="2:4" ht="3.75" customHeight="1" x14ac:dyDescent="0.2"/>
    <row r="28" spans="2:4" ht="15" customHeight="1" x14ac:dyDescent="0.2">
      <c r="B28" s="11" t="s">
        <v>85</v>
      </c>
    </row>
    <row r="29" spans="2:4" ht="18" customHeight="1" x14ac:dyDescent="0.2">
      <c r="B29" s="9" t="s">
        <v>86</v>
      </c>
    </row>
    <row r="30" spans="2:4" ht="18" customHeight="1" x14ac:dyDescent="0.2">
      <c r="B30" s="9" t="s">
        <v>87</v>
      </c>
    </row>
    <row r="31" spans="2:4" ht="18" customHeight="1" x14ac:dyDescent="0.2">
      <c r="B31" s="15" t="s">
        <v>88</v>
      </c>
    </row>
    <row r="32" spans="2:4" ht="18" customHeight="1" x14ac:dyDescent="0.2">
      <c r="B32" s="15" t="s">
        <v>89</v>
      </c>
    </row>
    <row r="33" spans="2:4" ht="4.5" customHeight="1" x14ac:dyDescent="0.2">
      <c r="B33" s="16"/>
    </row>
    <row r="34" spans="2:4" ht="18" customHeight="1" x14ac:dyDescent="0.2">
      <c r="B34" s="17" t="s">
        <v>90</v>
      </c>
    </row>
    <row r="35" spans="2:4" ht="60" customHeight="1" x14ac:dyDescent="0.2">
      <c r="B35" s="2" t="s">
        <v>91</v>
      </c>
    </row>
    <row r="36" spans="2:4" ht="4.5" customHeight="1" x14ac:dyDescent="0.2">
      <c r="B36" s="16"/>
    </row>
    <row r="37" spans="2:4" ht="15" customHeight="1" x14ac:dyDescent="0.2">
      <c r="B37" s="17" t="s">
        <v>92</v>
      </c>
    </row>
    <row r="38" spans="2:4" ht="60" customHeight="1" x14ac:dyDescent="0.2">
      <c r="B38" s="2" t="s">
        <v>93</v>
      </c>
    </row>
    <row r="39" spans="2:4" ht="4.5" customHeight="1" x14ac:dyDescent="0.2"/>
    <row r="40" spans="2:4" ht="18" customHeight="1" x14ac:dyDescent="0.2">
      <c r="B40" s="11" t="s">
        <v>94</v>
      </c>
    </row>
    <row r="41" spans="2:4" ht="18" customHeight="1" x14ac:dyDescent="0.2">
      <c r="B41" s="18" t="s">
        <v>95</v>
      </c>
      <c r="C41" s="19">
        <v>1000</v>
      </c>
      <c r="D41" s="20" t="s">
        <v>96</v>
      </c>
    </row>
    <row r="42" spans="2:4" ht="18" customHeight="1" x14ac:dyDescent="0.2">
      <c r="B42" s="18" t="s">
        <v>97</v>
      </c>
      <c r="C42" s="19">
        <v>32</v>
      </c>
      <c r="D42" s="20" t="s">
        <v>98</v>
      </c>
    </row>
    <row r="43" spans="2:4" ht="18" customHeight="1" x14ac:dyDescent="0.2">
      <c r="B43" s="18" t="s">
        <v>99</v>
      </c>
      <c r="C43" s="19">
        <v>12</v>
      </c>
      <c r="D43" s="20" t="s">
        <v>100</v>
      </c>
    </row>
    <row r="44" spans="2:4" ht="18" customHeight="1" x14ac:dyDescent="0.2">
      <c r="B44" s="18" t="s">
        <v>101</v>
      </c>
      <c r="C44" s="19">
        <v>1</v>
      </c>
      <c r="D44" s="20" t="s">
        <v>102</v>
      </c>
    </row>
    <row r="45" spans="2:4" ht="18" customHeight="1" x14ac:dyDescent="0.2">
      <c r="B45" s="18" t="s">
        <v>103</v>
      </c>
      <c r="C45" s="19">
        <v>8</v>
      </c>
      <c r="D45" s="20" t="s">
        <v>104</v>
      </c>
    </row>
    <row r="46" spans="2:4" ht="18" customHeight="1" x14ac:dyDescent="0.2">
      <c r="B46" s="18" t="s">
        <v>105</v>
      </c>
      <c r="C46" s="19">
        <v>3</v>
      </c>
      <c r="D46" s="20" t="s">
        <v>106</v>
      </c>
    </row>
    <row r="47" spans="2:4" ht="18" customHeight="1" x14ac:dyDescent="0.2">
      <c r="B47" s="18" t="s">
        <v>107</v>
      </c>
      <c r="C47">
        <v>2</v>
      </c>
      <c r="D47" s="21" t="s">
        <v>108</v>
      </c>
    </row>
    <row r="48" spans="2:4" ht="18" customHeight="1" x14ac:dyDescent="0.2">
      <c r="B48" s="18" t="s">
        <v>109</v>
      </c>
      <c r="C48">
        <v>4</v>
      </c>
      <c r="D48" s="21" t="s">
        <v>110</v>
      </c>
    </row>
    <row r="49" spans="2:4" ht="18" customHeight="1" x14ac:dyDescent="0.2">
      <c r="B49" s="18" t="s">
        <v>111</v>
      </c>
      <c r="C49">
        <v>10</v>
      </c>
      <c r="D49" s="21" t="s">
        <v>112</v>
      </c>
    </row>
    <row r="50" spans="2:4" ht="4.5" customHeight="1" x14ac:dyDescent="0.2">
      <c r="B50" s="18" t="s">
        <v>113</v>
      </c>
      <c r="C50">
        <v>46209</v>
      </c>
      <c r="D50" s="21" t="s">
        <v>114</v>
      </c>
    </row>
    <row r="51" spans="2:4" ht="18" customHeight="1" x14ac:dyDescent="0.2">
      <c r="B51" s="17" t="s">
        <v>115</v>
      </c>
    </row>
    <row r="52" spans="2:4" ht="30" customHeight="1" x14ac:dyDescent="0.2">
      <c r="B52" s="2" t="s">
        <v>116</v>
      </c>
    </row>
    <row r="53" spans="2:4" ht="30" customHeight="1" x14ac:dyDescent="0.2">
      <c r="B53" s="2" t="s">
        <v>117</v>
      </c>
    </row>
    <row r="54" spans="2:4" ht="30" customHeight="1" x14ac:dyDescent="0.2">
      <c r="B54" s="2" t="s">
        <v>118</v>
      </c>
    </row>
    <row r="55" spans="2:4" ht="30" customHeight="1" x14ac:dyDescent="0.2">
      <c r="B55" s="2" t="s">
        <v>119</v>
      </c>
    </row>
    <row r="56" spans="2:4" ht="4.5" customHeight="1" x14ac:dyDescent="0.2">
      <c r="B56" s="22"/>
    </row>
    <row r="57" spans="2:4" ht="30" customHeight="1" x14ac:dyDescent="0.2">
      <c r="B57" s="5" t="s">
        <v>120</v>
      </c>
    </row>
    <row r="58" spans="2:4" ht="30" customHeight="1" x14ac:dyDescent="0.2">
      <c r="B58" s="2" t="s">
        <v>448</v>
      </c>
    </row>
    <row r="59" spans="2:4" ht="30" customHeight="1" x14ac:dyDescent="0.2">
      <c r="B59" s="2" t="s">
        <v>121</v>
      </c>
    </row>
    <row r="60" spans="2:4" ht="30" customHeight="1" x14ac:dyDescent="0.2">
      <c r="B60" s="2" t="s">
        <v>122</v>
      </c>
    </row>
    <row r="61" spans="2:4" ht="30" customHeight="1" x14ac:dyDescent="0.2">
      <c r="B61" s="2" t="s">
        <v>123</v>
      </c>
    </row>
    <row r="62" spans="2:4" ht="45" x14ac:dyDescent="0.2">
      <c r="B62" s="2" t="s">
        <v>124</v>
      </c>
    </row>
    <row r="63" spans="2:4" ht="30" customHeight="1" x14ac:dyDescent="0.2">
      <c r="B63" s="2" t="s">
        <v>125</v>
      </c>
    </row>
    <row r="64" spans="2:4" ht="30" customHeight="1" x14ac:dyDescent="0.2">
      <c r="B64" s="2" t="s">
        <v>126</v>
      </c>
    </row>
    <row r="65" spans="2:4" ht="68" x14ac:dyDescent="0.2">
      <c r="B65" s="140" t="s">
        <v>447</v>
      </c>
    </row>
    <row r="66" spans="2:4" ht="18" customHeight="1" x14ac:dyDescent="0.2">
      <c r="B66" s="11" t="s">
        <v>127</v>
      </c>
    </row>
    <row r="67" spans="2:4" ht="30" customHeight="1" x14ac:dyDescent="0.2">
      <c r="B67" s="2" t="s">
        <v>128</v>
      </c>
    </row>
    <row r="68" spans="2:4" ht="3.75" customHeight="1" x14ac:dyDescent="0.2"/>
    <row r="69" spans="2:4" ht="31.5" customHeight="1" x14ac:dyDescent="0.2">
      <c r="B69" s="11" t="s">
        <v>129</v>
      </c>
    </row>
    <row r="70" spans="2:4" ht="31.5" customHeight="1" x14ac:dyDescent="0.2">
      <c r="B70" s="23" t="s">
        <v>130</v>
      </c>
      <c r="D70" s="2" t="s">
        <v>131</v>
      </c>
    </row>
    <row r="71" spans="2:4" ht="31.5" customHeight="1" x14ac:dyDescent="0.2">
      <c r="B71" s="23" t="s">
        <v>132</v>
      </c>
      <c r="D71" s="2" t="s">
        <v>133</v>
      </c>
    </row>
    <row r="72" spans="2:4" ht="31.5" customHeight="1" x14ac:dyDescent="0.2">
      <c r="B72" s="23" t="s">
        <v>134</v>
      </c>
      <c r="D72" s="2" t="s">
        <v>135</v>
      </c>
    </row>
    <row r="73" spans="2:4" ht="31.5" customHeight="1" x14ac:dyDescent="0.2">
      <c r="B73" s="23" t="s">
        <v>136</v>
      </c>
      <c r="D73" s="2" t="s">
        <v>137</v>
      </c>
    </row>
    <row r="74" spans="2:4" ht="31.5" customHeight="1" x14ac:dyDescent="0.2">
      <c r="B74" s="23" t="s">
        <v>138</v>
      </c>
      <c r="D74" s="2" t="s">
        <v>139</v>
      </c>
    </row>
    <row r="75" spans="2:4" ht="31.5" customHeight="1" x14ac:dyDescent="0.2">
      <c r="B75" s="23" t="s">
        <v>140</v>
      </c>
      <c r="D75" s="2" t="s">
        <v>141</v>
      </c>
    </row>
    <row r="76" spans="2:4" ht="31.5" customHeight="1" x14ac:dyDescent="0.2">
      <c r="B76" s="23" t="s">
        <v>142</v>
      </c>
      <c r="D76" s="2" t="s">
        <v>143</v>
      </c>
    </row>
    <row r="77" spans="2:4" ht="31.5" customHeight="1" x14ac:dyDescent="0.2">
      <c r="B77" s="23" t="s">
        <v>144</v>
      </c>
      <c r="D77" s="2" t="s">
        <v>145</v>
      </c>
    </row>
    <row r="78" spans="2:4" ht="31.5" customHeight="1" x14ac:dyDescent="0.2">
      <c r="B78" s="23" t="s">
        <v>146</v>
      </c>
      <c r="D78" s="2" t="s">
        <v>147</v>
      </c>
    </row>
    <row r="79" spans="2:4" ht="31.5" customHeight="1" x14ac:dyDescent="0.2">
      <c r="B79" s="23" t="s">
        <v>148</v>
      </c>
      <c r="D79" s="2" t="s">
        <v>149</v>
      </c>
    </row>
    <row r="80" spans="2:4" ht="31.5" customHeight="1" x14ac:dyDescent="0.2">
      <c r="B80" s="23" t="s">
        <v>150</v>
      </c>
      <c r="D80" s="2" t="s">
        <v>151</v>
      </c>
    </row>
    <row r="81" spans="2:4" ht="31.5" customHeight="1" x14ac:dyDescent="0.2">
      <c r="B81" s="23" t="s">
        <v>152</v>
      </c>
      <c r="D81" s="2" t="s">
        <v>153</v>
      </c>
    </row>
    <row r="82" spans="2:4" ht="31.5" customHeight="1" x14ac:dyDescent="0.2">
      <c r="B82" s="23" t="s">
        <v>154</v>
      </c>
      <c r="D82" s="2" t="s">
        <v>455</v>
      </c>
    </row>
    <row r="83" spans="2:4" ht="31.5" customHeight="1" x14ac:dyDescent="0.2">
      <c r="B83" s="23" t="s">
        <v>155</v>
      </c>
      <c r="D83" s="2" t="s">
        <v>456</v>
      </c>
    </row>
    <row r="84" spans="2:4" ht="31.5" customHeight="1" x14ac:dyDescent="0.2">
      <c r="B84" s="23" t="s">
        <v>156</v>
      </c>
      <c r="D84" s="2" t="s">
        <v>157</v>
      </c>
    </row>
    <row r="85" spans="2:4" ht="31.5" customHeight="1" x14ac:dyDescent="0.2">
      <c r="B85" s="23" t="s">
        <v>158</v>
      </c>
      <c r="D85" s="2" t="s">
        <v>457</v>
      </c>
    </row>
    <row r="86" spans="2:4" ht="31.5" customHeight="1" x14ac:dyDescent="0.2">
      <c r="B86" s="23" t="s">
        <v>159</v>
      </c>
      <c r="D86" s="2" t="s">
        <v>160</v>
      </c>
    </row>
    <row r="87" spans="2:4" ht="31.5" customHeight="1" x14ac:dyDescent="0.2">
      <c r="B87" s="23" t="s">
        <v>12</v>
      </c>
      <c r="D87" s="2" t="s">
        <v>161</v>
      </c>
    </row>
    <row r="88" spans="2:4" ht="31.5" customHeight="1" x14ac:dyDescent="0.2">
      <c r="B88" s="23" t="s">
        <v>162</v>
      </c>
      <c r="D88" s="2" t="s">
        <v>163</v>
      </c>
    </row>
    <row r="89" spans="2:4" ht="31.5" customHeight="1" x14ac:dyDescent="0.2">
      <c r="B89" s="23" t="s">
        <v>164</v>
      </c>
      <c r="D89" s="2" t="s">
        <v>165</v>
      </c>
    </row>
    <row r="90" spans="2:4" ht="31.5" customHeight="1" x14ac:dyDescent="0.2">
      <c r="B90" s="23" t="s">
        <v>166</v>
      </c>
      <c r="D90" s="2" t="s">
        <v>167</v>
      </c>
    </row>
    <row r="91" spans="2:4" ht="31.5" customHeight="1" x14ac:dyDescent="0.2">
      <c r="B91" s="23" t="s">
        <v>168</v>
      </c>
      <c r="D91" s="2" t="s">
        <v>169</v>
      </c>
    </row>
    <row r="92" spans="2:4" ht="31.5" customHeight="1" x14ac:dyDescent="0.2">
      <c r="B92" s="23" t="s">
        <v>170</v>
      </c>
      <c r="D92" s="2" t="s">
        <v>171</v>
      </c>
    </row>
    <row r="93" spans="2:4" ht="31.5" customHeight="1" x14ac:dyDescent="0.2">
      <c r="B93" s="23" t="s">
        <v>14</v>
      </c>
      <c r="D93" s="2" t="s">
        <v>172</v>
      </c>
    </row>
    <row r="94" spans="2:4" ht="31.5" customHeight="1" x14ac:dyDescent="0.2">
      <c r="B94" s="23" t="s">
        <v>173</v>
      </c>
      <c r="D94" s="2" t="s">
        <v>174</v>
      </c>
    </row>
    <row r="96" spans="2:4" x14ac:dyDescent="0.2">
      <c r="B96" s="24" t="s">
        <v>175</v>
      </c>
    </row>
    <row r="98" spans="2:2" ht="17" customHeight="1" x14ac:dyDescent="0.2">
      <c r="B98" s="5" t="s">
        <v>176</v>
      </c>
    </row>
    <row r="99" spans="2:2" ht="30" customHeight="1" x14ac:dyDescent="0.2">
      <c r="B99" s="2" t="s">
        <v>177</v>
      </c>
    </row>
    <row r="100" spans="2:2" ht="30" customHeight="1" x14ac:dyDescent="0.2">
      <c r="B100" s="2" t="s">
        <v>178</v>
      </c>
    </row>
    <row r="101" spans="2:2" ht="30" customHeight="1" x14ac:dyDescent="0.2">
      <c r="B101" s="2" t="s">
        <v>179</v>
      </c>
    </row>
    <row r="103" spans="2:2" x14ac:dyDescent="0.2">
      <c r="B103" t="s">
        <v>180</v>
      </c>
    </row>
    <row r="104" spans="2:2" x14ac:dyDescent="0.2">
      <c r="B104" t="s">
        <v>181</v>
      </c>
    </row>
    <row r="105" spans="2:2" x14ac:dyDescent="0.2">
      <c r="B105" t="s">
        <v>182</v>
      </c>
    </row>
    <row r="106" spans="2:2" x14ac:dyDescent="0.2">
      <c r="B106" t="s">
        <v>183</v>
      </c>
    </row>
    <row r="107" spans="2:2" x14ac:dyDescent="0.2">
      <c r="B107" t="s">
        <v>184</v>
      </c>
    </row>
  </sheetData>
  <sheetProtection sheet="1" objects="1" scenarios="1"/>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2"/>
  <sheetViews>
    <sheetView showGridLines="0" zoomScale="170" zoomScaleNormal="170" workbookViewId="0">
      <selection activeCell="K55" sqref="K55"/>
    </sheetView>
  </sheetViews>
  <sheetFormatPr baseColWidth="10" defaultColWidth="8.83203125" defaultRowHeight="15" x14ac:dyDescent="0.2"/>
  <cols>
    <col min="1" max="1" width="9" customWidth="1"/>
    <col min="2" max="8" width="13.5" customWidth="1"/>
  </cols>
  <sheetData>
    <row r="1" spans="1:8" ht="37.5" customHeight="1" x14ac:dyDescent="0.2">
      <c r="A1" s="152" t="s">
        <v>185</v>
      </c>
      <c r="B1" s="146"/>
      <c r="C1" s="146"/>
      <c r="D1" s="146"/>
      <c r="E1" s="146"/>
      <c r="F1" s="146"/>
      <c r="G1" s="146"/>
      <c r="H1" s="146"/>
    </row>
    <row r="2" spans="1:8" ht="18" customHeight="1" x14ac:dyDescent="0.2">
      <c r="A2" s="150" t="s">
        <v>186</v>
      </c>
      <c r="B2" s="146"/>
      <c r="C2" s="146"/>
      <c r="D2" s="146"/>
      <c r="E2" s="146"/>
      <c r="F2" s="146"/>
      <c r="G2" s="146"/>
      <c r="H2" s="146"/>
    </row>
    <row r="3" spans="1:8" ht="48" customHeight="1" x14ac:dyDescent="0.2">
      <c r="A3" s="148" t="s">
        <v>187</v>
      </c>
      <c r="B3" s="146"/>
      <c r="C3" s="146"/>
      <c r="D3" s="146"/>
      <c r="E3" s="146"/>
      <c r="F3" s="146"/>
      <c r="G3" s="146"/>
      <c r="H3" s="146"/>
    </row>
    <row r="6" spans="1:8" ht="21.75" customHeight="1" x14ac:dyDescent="0.2">
      <c r="A6" s="151" t="s">
        <v>188</v>
      </c>
      <c r="B6" s="146"/>
      <c r="C6" s="146"/>
      <c r="D6" s="146"/>
      <c r="E6" s="146"/>
      <c r="F6" s="146"/>
      <c r="G6" s="146"/>
      <c r="H6" s="146"/>
    </row>
    <row r="7" spans="1:8" ht="51" customHeight="1" x14ac:dyDescent="0.2">
      <c r="A7" s="25" t="s">
        <v>189</v>
      </c>
      <c r="B7" s="149" t="s">
        <v>190</v>
      </c>
      <c r="C7" s="146"/>
      <c r="D7" s="146"/>
      <c r="E7" s="146"/>
      <c r="F7" s="146"/>
      <c r="G7" s="146"/>
      <c r="H7" s="146"/>
    </row>
    <row r="8" spans="1:8" ht="36" customHeight="1" x14ac:dyDescent="0.2">
      <c r="A8" s="26" t="s">
        <v>191</v>
      </c>
      <c r="B8" s="149" t="s">
        <v>192</v>
      </c>
      <c r="C8" s="146"/>
      <c r="D8" s="146"/>
      <c r="E8" s="146"/>
      <c r="F8" s="146"/>
      <c r="G8" s="146"/>
      <c r="H8" s="146"/>
    </row>
    <row r="9" spans="1:8" ht="21" customHeight="1" x14ac:dyDescent="0.2">
      <c r="A9" s="25" t="s">
        <v>189</v>
      </c>
      <c r="B9" s="149" t="s">
        <v>193</v>
      </c>
      <c r="C9" s="146"/>
      <c r="D9" s="146"/>
      <c r="E9" s="146"/>
      <c r="F9" s="146"/>
      <c r="G9" s="146"/>
      <c r="H9" s="146"/>
    </row>
    <row r="10" spans="1:8" ht="36" customHeight="1" x14ac:dyDescent="0.2">
      <c r="A10" s="26" t="s">
        <v>191</v>
      </c>
      <c r="B10" s="149" t="s">
        <v>194</v>
      </c>
      <c r="C10" s="146"/>
      <c r="D10" s="146"/>
      <c r="E10" s="146"/>
      <c r="F10" s="146"/>
      <c r="G10" s="146"/>
      <c r="H10" s="146"/>
    </row>
    <row r="12" spans="1:8" ht="21.75" customHeight="1" x14ac:dyDescent="0.2">
      <c r="A12" s="151" t="s">
        <v>195</v>
      </c>
      <c r="B12" s="146"/>
      <c r="C12" s="146"/>
      <c r="D12" s="146"/>
      <c r="E12" s="146"/>
      <c r="F12" s="146"/>
      <c r="G12" s="146"/>
      <c r="H12" s="146"/>
    </row>
    <row r="13" spans="1:8" ht="36" customHeight="1" x14ac:dyDescent="0.2">
      <c r="A13" s="25" t="s">
        <v>189</v>
      </c>
      <c r="B13" s="149" t="s">
        <v>196</v>
      </c>
      <c r="C13" s="146"/>
      <c r="D13" s="146"/>
      <c r="E13" s="146"/>
      <c r="F13" s="146"/>
      <c r="G13" s="146"/>
      <c r="H13" s="146"/>
    </row>
    <row r="14" spans="1:8" ht="36" customHeight="1" x14ac:dyDescent="0.2">
      <c r="A14" s="26" t="s">
        <v>191</v>
      </c>
      <c r="B14" s="149" t="s">
        <v>197</v>
      </c>
      <c r="C14" s="146"/>
      <c r="D14" s="146"/>
      <c r="E14" s="146"/>
      <c r="F14" s="146"/>
      <c r="G14" s="146"/>
      <c r="H14" s="146"/>
    </row>
    <row r="15" spans="1:8" ht="21" customHeight="1" x14ac:dyDescent="0.2">
      <c r="A15" s="25" t="s">
        <v>189</v>
      </c>
      <c r="B15" s="149" t="s">
        <v>198</v>
      </c>
      <c r="C15" s="146"/>
      <c r="D15" s="146"/>
      <c r="E15" s="146"/>
      <c r="F15" s="146"/>
      <c r="G15" s="146"/>
      <c r="H15" s="146"/>
    </row>
    <row r="16" spans="1:8" ht="36" customHeight="1" x14ac:dyDescent="0.2">
      <c r="A16" s="26" t="s">
        <v>191</v>
      </c>
      <c r="B16" s="149" t="s">
        <v>199</v>
      </c>
      <c r="C16" s="146"/>
      <c r="D16" s="146"/>
      <c r="E16" s="146"/>
      <c r="F16" s="146"/>
      <c r="G16" s="146"/>
      <c r="H16" s="146"/>
    </row>
    <row r="18" spans="1:8" ht="21.75" customHeight="1" x14ac:dyDescent="0.2">
      <c r="A18" s="151" t="s">
        <v>200</v>
      </c>
      <c r="B18" s="146"/>
      <c r="C18" s="146"/>
      <c r="D18" s="146"/>
      <c r="E18" s="146"/>
      <c r="F18" s="146"/>
      <c r="G18" s="146"/>
      <c r="H18" s="146"/>
    </row>
    <row r="19" spans="1:8" ht="21" customHeight="1" x14ac:dyDescent="0.2">
      <c r="A19" s="25" t="s">
        <v>189</v>
      </c>
      <c r="B19" s="149" t="s">
        <v>201</v>
      </c>
      <c r="C19" s="146"/>
      <c r="D19" s="146"/>
      <c r="E19" s="146"/>
      <c r="F19" s="146"/>
      <c r="G19" s="146"/>
      <c r="H19" s="146"/>
    </row>
    <row r="20" spans="1:8" ht="51" customHeight="1" x14ac:dyDescent="0.2">
      <c r="A20" s="26" t="s">
        <v>191</v>
      </c>
      <c r="B20" s="149" t="s">
        <v>202</v>
      </c>
      <c r="C20" s="146"/>
      <c r="D20" s="146"/>
      <c r="E20" s="146"/>
      <c r="F20" s="146"/>
      <c r="G20" s="146"/>
      <c r="H20" s="146"/>
    </row>
    <row r="21" spans="1:8" ht="21" customHeight="1" x14ac:dyDescent="0.2">
      <c r="A21" s="25" t="s">
        <v>189</v>
      </c>
      <c r="B21" s="149" t="s">
        <v>203</v>
      </c>
      <c r="C21" s="146"/>
      <c r="D21" s="146"/>
      <c r="E21" s="146"/>
      <c r="F21" s="146"/>
      <c r="G21" s="146"/>
      <c r="H21" s="146"/>
    </row>
    <row r="22" spans="1:8" ht="51" customHeight="1" x14ac:dyDescent="0.2">
      <c r="A22" s="26" t="s">
        <v>191</v>
      </c>
      <c r="B22" s="149" t="s">
        <v>204</v>
      </c>
      <c r="C22" s="146"/>
      <c r="D22" s="146"/>
      <c r="E22" s="146"/>
      <c r="F22" s="146"/>
      <c r="G22" s="146"/>
      <c r="H22" s="146"/>
    </row>
    <row r="24" spans="1:8" ht="21.75" customHeight="1" x14ac:dyDescent="0.2">
      <c r="A24" s="151" t="s">
        <v>205</v>
      </c>
      <c r="B24" s="146"/>
      <c r="C24" s="146"/>
      <c r="D24" s="146"/>
      <c r="E24" s="146"/>
      <c r="F24" s="146"/>
      <c r="G24" s="146"/>
      <c r="H24" s="146"/>
    </row>
    <row r="25" spans="1:8" ht="21" customHeight="1" x14ac:dyDescent="0.2">
      <c r="A25" s="25" t="s">
        <v>189</v>
      </c>
      <c r="B25" s="149" t="s">
        <v>206</v>
      </c>
      <c r="C25" s="146"/>
      <c r="D25" s="146"/>
      <c r="E25" s="146"/>
      <c r="F25" s="146"/>
      <c r="G25" s="146"/>
      <c r="H25" s="146"/>
    </row>
    <row r="26" spans="1:8" ht="51" customHeight="1" x14ac:dyDescent="0.2">
      <c r="A26" s="26" t="s">
        <v>191</v>
      </c>
      <c r="B26" s="149" t="s">
        <v>207</v>
      </c>
      <c r="C26" s="146"/>
      <c r="D26" s="146"/>
      <c r="E26" s="146"/>
      <c r="F26" s="146"/>
      <c r="G26" s="146"/>
      <c r="H26" s="146"/>
    </row>
    <row r="27" spans="1:8" ht="21" customHeight="1" x14ac:dyDescent="0.2">
      <c r="A27" s="25" t="s">
        <v>189</v>
      </c>
      <c r="B27" s="149" t="s">
        <v>208</v>
      </c>
      <c r="C27" s="146"/>
      <c r="D27" s="146"/>
      <c r="E27" s="146"/>
      <c r="F27" s="146"/>
      <c r="G27" s="146"/>
      <c r="H27" s="146"/>
    </row>
    <row r="28" spans="1:8" ht="51" customHeight="1" x14ac:dyDescent="0.2">
      <c r="A28" s="26" t="s">
        <v>191</v>
      </c>
      <c r="B28" s="149" t="s">
        <v>209</v>
      </c>
      <c r="C28" s="146"/>
      <c r="D28" s="146"/>
      <c r="E28" s="146"/>
      <c r="F28" s="146"/>
      <c r="G28" s="146"/>
      <c r="H28" s="146"/>
    </row>
    <row r="29" spans="1:8" ht="21" customHeight="1" x14ac:dyDescent="0.2">
      <c r="A29" s="25" t="s">
        <v>189</v>
      </c>
      <c r="B29" s="149" t="s">
        <v>210</v>
      </c>
      <c r="C29" s="146"/>
      <c r="D29" s="146"/>
      <c r="E29" s="146"/>
      <c r="F29" s="146"/>
      <c r="G29" s="146"/>
      <c r="H29" s="146"/>
    </row>
    <row r="30" spans="1:8" ht="36" customHeight="1" x14ac:dyDescent="0.2">
      <c r="A30" s="26" t="s">
        <v>191</v>
      </c>
      <c r="B30" s="149" t="s">
        <v>211</v>
      </c>
      <c r="C30" s="146"/>
      <c r="D30" s="146"/>
      <c r="E30" s="146"/>
      <c r="F30" s="146"/>
      <c r="G30" s="146"/>
      <c r="H30" s="146"/>
    </row>
    <row r="32" spans="1:8" ht="21.75" customHeight="1" x14ac:dyDescent="0.2">
      <c r="A32" s="151" t="s">
        <v>212</v>
      </c>
      <c r="B32" s="146"/>
      <c r="C32" s="146"/>
      <c r="D32" s="146"/>
      <c r="E32" s="146"/>
      <c r="F32" s="146"/>
      <c r="G32" s="146"/>
      <c r="H32" s="146"/>
    </row>
    <row r="33" spans="1:8" ht="21" customHeight="1" x14ac:dyDescent="0.2">
      <c r="A33" s="25" t="s">
        <v>189</v>
      </c>
      <c r="B33" s="149" t="s">
        <v>213</v>
      </c>
      <c r="C33" s="146"/>
      <c r="D33" s="146"/>
      <c r="E33" s="146"/>
      <c r="F33" s="146"/>
      <c r="G33" s="146"/>
      <c r="H33" s="146"/>
    </row>
    <row r="34" spans="1:8" ht="51" customHeight="1" x14ac:dyDescent="0.2">
      <c r="A34" s="26" t="s">
        <v>191</v>
      </c>
      <c r="B34" s="149" t="s">
        <v>214</v>
      </c>
      <c r="C34" s="146"/>
      <c r="D34" s="146"/>
      <c r="E34" s="146"/>
      <c r="F34" s="146"/>
      <c r="G34" s="146"/>
      <c r="H34" s="146"/>
    </row>
    <row r="35" spans="1:8" ht="21" customHeight="1" x14ac:dyDescent="0.2">
      <c r="A35" s="25" t="s">
        <v>189</v>
      </c>
      <c r="B35" s="149" t="s">
        <v>215</v>
      </c>
      <c r="C35" s="146"/>
      <c r="D35" s="146"/>
      <c r="E35" s="146"/>
      <c r="F35" s="146"/>
      <c r="G35" s="146"/>
      <c r="H35" s="146"/>
    </row>
    <row r="36" spans="1:8" ht="36" customHeight="1" x14ac:dyDescent="0.2">
      <c r="A36" s="26" t="s">
        <v>191</v>
      </c>
      <c r="B36" s="149" t="s">
        <v>216</v>
      </c>
      <c r="C36" s="146"/>
      <c r="D36" s="146"/>
      <c r="E36" s="146"/>
      <c r="F36" s="146"/>
      <c r="G36" s="146"/>
      <c r="H36" s="146"/>
    </row>
    <row r="37" spans="1:8" ht="21" customHeight="1" x14ac:dyDescent="0.2">
      <c r="A37" s="25" t="s">
        <v>189</v>
      </c>
      <c r="B37" s="149" t="s">
        <v>217</v>
      </c>
      <c r="C37" s="146"/>
      <c r="D37" s="146"/>
      <c r="E37" s="146"/>
      <c r="F37" s="146"/>
      <c r="G37" s="146"/>
      <c r="H37" s="146"/>
    </row>
    <row r="38" spans="1:8" ht="51" customHeight="1" x14ac:dyDescent="0.2">
      <c r="A38" s="26" t="s">
        <v>191</v>
      </c>
      <c r="B38" s="149" t="s">
        <v>218</v>
      </c>
      <c r="C38" s="146"/>
      <c r="D38" s="146"/>
      <c r="E38" s="146"/>
      <c r="F38" s="146"/>
      <c r="G38" s="146"/>
      <c r="H38" s="146"/>
    </row>
    <row r="39" spans="1:8" ht="21" customHeight="1" x14ac:dyDescent="0.2">
      <c r="A39" s="25" t="s">
        <v>189</v>
      </c>
      <c r="B39" s="149" t="s">
        <v>219</v>
      </c>
      <c r="C39" s="146"/>
      <c r="D39" s="146"/>
      <c r="E39" s="146"/>
      <c r="F39" s="146"/>
      <c r="G39" s="146"/>
      <c r="H39" s="146"/>
    </row>
    <row r="41" spans="1:8" ht="21.75" customHeight="1" x14ac:dyDescent="0.2">
      <c r="A41" s="151" t="s">
        <v>220</v>
      </c>
      <c r="B41" s="146"/>
      <c r="C41" s="146"/>
      <c r="D41" s="146"/>
      <c r="E41" s="146"/>
      <c r="F41" s="146"/>
      <c r="G41" s="146"/>
      <c r="H41" s="146"/>
    </row>
    <row r="42" spans="1:8" ht="21" customHeight="1" x14ac:dyDescent="0.2">
      <c r="A42" s="25" t="s">
        <v>189</v>
      </c>
      <c r="B42" s="149" t="s">
        <v>221</v>
      </c>
      <c r="C42" s="146"/>
      <c r="D42" s="146"/>
      <c r="E42" s="146"/>
      <c r="F42" s="146"/>
      <c r="G42" s="146"/>
      <c r="H42" s="146"/>
    </row>
    <row r="43" spans="1:8" ht="51" customHeight="1" x14ac:dyDescent="0.2">
      <c r="A43" s="26" t="s">
        <v>191</v>
      </c>
      <c r="B43" s="149" t="s">
        <v>222</v>
      </c>
      <c r="C43" s="146"/>
      <c r="D43" s="146"/>
      <c r="E43" s="146"/>
      <c r="F43" s="146"/>
      <c r="G43" s="146"/>
      <c r="H43" s="146"/>
    </row>
    <row r="44" spans="1:8" ht="21" customHeight="1" x14ac:dyDescent="0.2">
      <c r="A44" s="25" t="s">
        <v>189</v>
      </c>
      <c r="B44" s="149" t="s">
        <v>223</v>
      </c>
      <c r="C44" s="146"/>
      <c r="D44" s="146"/>
      <c r="E44" s="146"/>
      <c r="F44" s="146"/>
      <c r="G44" s="146"/>
      <c r="H44" s="146"/>
    </row>
    <row r="45" spans="1:8" ht="36" customHeight="1" x14ac:dyDescent="0.2">
      <c r="A45" s="26" t="s">
        <v>191</v>
      </c>
      <c r="B45" s="149" t="s">
        <v>224</v>
      </c>
      <c r="C45" s="146"/>
      <c r="D45" s="146"/>
      <c r="E45" s="146"/>
      <c r="F45" s="146"/>
      <c r="G45" s="146"/>
      <c r="H45" s="146"/>
    </row>
    <row r="46" spans="1:8" ht="21" customHeight="1" x14ac:dyDescent="0.2">
      <c r="A46" s="25" t="s">
        <v>189</v>
      </c>
      <c r="B46" s="149" t="s">
        <v>225</v>
      </c>
      <c r="C46" s="146"/>
      <c r="D46" s="146"/>
      <c r="E46" s="146"/>
      <c r="F46" s="146"/>
      <c r="G46" s="146"/>
      <c r="H46" s="146"/>
    </row>
    <row r="47" spans="1:8" ht="21" customHeight="1" x14ac:dyDescent="0.2">
      <c r="A47" s="26" t="s">
        <v>191</v>
      </c>
      <c r="B47" s="149" t="s">
        <v>226</v>
      </c>
      <c r="C47" s="146"/>
      <c r="D47" s="146"/>
      <c r="E47" s="146"/>
      <c r="F47" s="146"/>
      <c r="G47" s="146"/>
      <c r="H47" s="146"/>
    </row>
    <row r="49" spans="1:8" ht="21.75" customHeight="1" x14ac:dyDescent="0.2">
      <c r="A49" s="151" t="s">
        <v>227</v>
      </c>
      <c r="B49" s="146"/>
      <c r="C49" s="146"/>
      <c r="D49" s="146"/>
      <c r="E49" s="146"/>
      <c r="F49" s="146"/>
      <c r="G49" s="146"/>
      <c r="H49" s="146"/>
    </row>
    <row r="50" spans="1:8" ht="36" customHeight="1" x14ac:dyDescent="0.2">
      <c r="A50" s="25" t="s">
        <v>189</v>
      </c>
      <c r="B50" s="149" t="s">
        <v>228</v>
      </c>
      <c r="C50" s="146"/>
      <c r="D50" s="146"/>
      <c r="E50" s="146"/>
      <c r="F50" s="146"/>
      <c r="G50" s="146"/>
      <c r="H50" s="146"/>
    </row>
    <row r="51" spans="1:8" ht="21" customHeight="1" x14ac:dyDescent="0.2">
      <c r="A51" s="26" t="s">
        <v>191</v>
      </c>
      <c r="B51" s="149" t="s">
        <v>229</v>
      </c>
      <c r="C51" s="146"/>
      <c r="D51" s="146"/>
      <c r="E51" s="146"/>
      <c r="F51" s="146"/>
      <c r="G51" s="146"/>
      <c r="H51" s="146"/>
    </row>
    <row r="52" spans="1:8" ht="21" customHeight="1" x14ac:dyDescent="0.2">
      <c r="A52" s="25" t="s">
        <v>189</v>
      </c>
      <c r="B52" s="149" t="s">
        <v>230</v>
      </c>
      <c r="C52" s="146"/>
      <c r="D52" s="146"/>
      <c r="E52" s="146"/>
      <c r="F52" s="146"/>
      <c r="G52" s="146"/>
      <c r="H52" s="146"/>
    </row>
  </sheetData>
  <mergeCells count="44">
    <mergeCell ref="B9:H9"/>
    <mergeCell ref="A24:H24"/>
    <mergeCell ref="B30:H30"/>
    <mergeCell ref="A49:H49"/>
    <mergeCell ref="B15:H15"/>
    <mergeCell ref="B33:H33"/>
    <mergeCell ref="B22:H22"/>
    <mergeCell ref="A12:H12"/>
    <mergeCell ref="B10:H10"/>
    <mergeCell ref="B19:H19"/>
    <mergeCell ref="B37:H37"/>
    <mergeCell ref="B28:H28"/>
    <mergeCell ref="A1:H1"/>
    <mergeCell ref="B51:H51"/>
    <mergeCell ref="B20:H20"/>
    <mergeCell ref="A6:H6"/>
    <mergeCell ref="B45:H45"/>
    <mergeCell ref="B36:H36"/>
    <mergeCell ref="B50:H50"/>
    <mergeCell ref="B26:H26"/>
    <mergeCell ref="B35:H35"/>
    <mergeCell ref="B47:H47"/>
    <mergeCell ref="A41:H41"/>
    <mergeCell ref="B16:H16"/>
    <mergeCell ref="B7:H7"/>
    <mergeCell ref="B25:H25"/>
    <mergeCell ref="B46:H46"/>
    <mergeCell ref="A18:H18"/>
    <mergeCell ref="A3:H3"/>
    <mergeCell ref="B27:H27"/>
    <mergeCell ref="B52:H52"/>
    <mergeCell ref="B21:H21"/>
    <mergeCell ref="A2:H2"/>
    <mergeCell ref="B43:H43"/>
    <mergeCell ref="B39:H39"/>
    <mergeCell ref="B42:H42"/>
    <mergeCell ref="A32:H32"/>
    <mergeCell ref="B14:H14"/>
    <mergeCell ref="B8:H8"/>
    <mergeCell ref="B13:H13"/>
    <mergeCell ref="B44:H44"/>
    <mergeCell ref="B34:H34"/>
    <mergeCell ref="B38:H38"/>
    <mergeCell ref="B29:H29"/>
  </mergeCells>
  <pageMargins left="0.4" right="0.4" top="0.4" bottom="0.4" header="0.511811023622047" footer="0.511811023622047"/>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0892F"/>
  </sheetPr>
  <dimension ref="A1:I34"/>
  <sheetViews>
    <sheetView showGridLines="0" zoomScale="160" zoomScaleNormal="160" workbookViewId="0">
      <pane ySplit="9" topLeftCell="A12" activePane="bottomLeft" state="frozen"/>
      <selection pane="bottomLeft" activeCell="E34" sqref="E34"/>
    </sheetView>
  </sheetViews>
  <sheetFormatPr baseColWidth="10" defaultColWidth="8.83203125" defaultRowHeight="15" x14ac:dyDescent="0.2"/>
  <cols>
    <col min="1" max="1" width="20.1640625" customWidth="1"/>
    <col min="2" max="2" width="13.33203125" customWidth="1"/>
    <col min="3" max="3" width="12.6640625" customWidth="1"/>
    <col min="4" max="4" width="14" customWidth="1"/>
    <col min="5" max="5" width="9.33203125" customWidth="1"/>
    <col min="6" max="6" width="3" customWidth="1"/>
    <col min="7" max="7" width="27" customWidth="1"/>
    <col min="8" max="8" width="15.1640625" customWidth="1"/>
    <col min="9" max="9" width="13.6640625" customWidth="1"/>
  </cols>
  <sheetData>
    <row r="1" spans="1:9" ht="21.75" customHeight="1" x14ac:dyDescent="0.2">
      <c r="A1" s="155" t="s">
        <v>231</v>
      </c>
      <c r="B1" s="146"/>
      <c r="C1" s="146"/>
      <c r="D1" s="146"/>
      <c r="E1" s="146"/>
      <c r="G1" s="27"/>
      <c r="H1" s="27"/>
      <c r="I1" s="27"/>
    </row>
    <row r="2" spans="1:9" ht="28.5" customHeight="1" x14ac:dyDescent="0.2">
      <c r="A2" s="154" t="s">
        <v>232</v>
      </c>
      <c r="B2" s="146"/>
      <c r="C2" s="146"/>
      <c r="D2" s="146"/>
      <c r="E2" s="146"/>
      <c r="G2" s="27"/>
      <c r="H2" s="27"/>
      <c r="I2" s="27"/>
    </row>
    <row r="3" spans="1:9" ht="3" customHeight="1" x14ac:dyDescent="0.2">
      <c r="G3" s="27"/>
      <c r="H3" s="27"/>
      <c r="I3" s="27"/>
    </row>
    <row r="4" spans="1:9" ht="15" customHeight="1" x14ac:dyDescent="0.2">
      <c r="A4" s="153" t="s">
        <v>233</v>
      </c>
      <c r="B4" s="146"/>
      <c r="C4" s="146"/>
      <c r="D4" s="146"/>
      <c r="E4" s="146"/>
      <c r="G4" s="27"/>
      <c r="H4" s="27"/>
      <c r="I4" s="27"/>
    </row>
    <row r="5" spans="1:9" ht="24.75" customHeight="1" x14ac:dyDescent="0.2">
      <c r="A5" s="156" t="str">
        <f ca="1">'Sport Records'!$C$4</f>
        <v>Josh</v>
      </c>
      <c r="B5" s="146"/>
      <c r="C5" s="146"/>
      <c r="D5" s="146"/>
      <c r="E5" s="146"/>
      <c r="G5" s="27"/>
      <c r="H5" s="27"/>
      <c r="I5" s="27"/>
    </row>
    <row r="6" spans="1:9" ht="15" customHeight="1" x14ac:dyDescent="0.2">
      <c r="A6" s="158" t="str">
        <f ca="1">"FWC rating "&amp;TEXT(IFERROR(INDEX(Calcs!$S$7:$S$20,MATCH('Sport Records'!$C$4,Calcs!$A$7:$A$20,0)),0),"0")&amp;"   |   "&amp;COUNTIFS('Match Log'!$D$4:$D$1510,'Sport Records'!$C$4,'Match Log'!$E$4:$E$1510,"Win")&amp;" wins, "&amp;(COUNTIF('Match Log'!$D$4:$D$1510,'Sport Records'!$C$4)-COUNTIFS('Match Log'!$D$4:$D$1510,'Sport Records'!$C$4,'Match Log'!$E$4:$E$1510,"Win"))&amp;" losses"&amp;"   |   highest-rated eligible and active player"</f>
        <v>FWC rating 1274   |   40 wins, 25 losses   |   highest-rated eligible and active player</v>
      </c>
      <c r="B6" s="146"/>
      <c r="C6" s="146"/>
      <c r="D6" s="146"/>
      <c r="E6" s="146"/>
      <c r="G6" s="27"/>
      <c r="H6" s="27"/>
      <c r="I6" s="27"/>
    </row>
    <row r="7" spans="1:9" ht="15" customHeight="1" x14ac:dyDescent="0.2">
      <c r="G7" s="27"/>
      <c r="H7" s="27"/>
      <c r="I7" s="27"/>
    </row>
    <row r="8" spans="1:9" ht="15" customHeight="1" x14ac:dyDescent="0.2">
      <c r="A8" s="157" t="s">
        <v>234</v>
      </c>
      <c r="B8" s="146"/>
      <c r="C8" s="146"/>
      <c r="D8" s="146"/>
      <c r="E8" s="146"/>
      <c r="G8" s="27"/>
      <c r="H8" s="27"/>
      <c r="I8" s="27"/>
    </row>
    <row r="9" spans="1:9" ht="15" customHeight="1" x14ac:dyDescent="0.2">
      <c r="A9" s="28" t="s">
        <v>235</v>
      </c>
      <c r="B9" s="28" t="s">
        <v>236</v>
      </c>
      <c r="C9" s="28" t="s">
        <v>13</v>
      </c>
      <c r="D9" s="28" t="s">
        <v>237</v>
      </c>
      <c r="E9" s="28" t="s">
        <v>10</v>
      </c>
      <c r="G9" s="27"/>
      <c r="H9" s="27"/>
      <c r="I9" s="27"/>
    </row>
    <row r="10" spans="1:9" ht="15" customHeight="1" x14ac:dyDescent="0.25">
      <c r="A10" s="29" t="str">
        <f>IF(Lists!$C$2="","",Lists!$C$2)</f>
        <v>Chess</v>
      </c>
      <c r="B10" s="30" t="str">
        <f>IFERROR('Sport Records'!$P$106,"—")</f>
        <v>Shawn</v>
      </c>
      <c r="C10" s="31">
        <f>IF(OR($B10="—",$B10=""),"",ROUND(MAX('Sport Records'!$B$106:$O$106),0))</f>
        <v>1093</v>
      </c>
      <c r="D10" s="31" t="str">
        <f>IF(OR($B10="—",$B10=""),"—",COUNTIFS('Match Log'!$D$4:$D$1510,$B10,'Match Log'!$C$4:$C$1510,$A10,'Match Log'!$E$4:$E$1510,"Win")&amp;"–"&amp;(COUNTIFS('Match Log'!$D$4:$D$1510,$B10,'Match Log'!$C$4:$C$1510,$A10)-COUNTIFS('Match Log'!$D$4:$D$1510,$B10,'Match Log'!$C$4:$C$1510,$A10,'Match Log'!$E$4:$E$1510,"Win")))</f>
        <v>7–0</v>
      </c>
      <c r="E10" s="31">
        <f>IFERROR('Sport Records'!$P$8,0)</f>
        <v>8</v>
      </c>
      <c r="G10" s="32" t="s">
        <v>238</v>
      </c>
      <c r="H10" s="27"/>
      <c r="I10" s="27"/>
    </row>
    <row r="11" spans="1:9" ht="15" customHeight="1" x14ac:dyDescent="0.2">
      <c r="A11" s="29" t="str">
        <f>IF(Lists!$C$3="","",Lists!$C$3)</f>
        <v>Darts</v>
      </c>
      <c r="B11" s="30" t="str">
        <f>IFERROR('Sport Records'!$P$107,"—")</f>
        <v>Aaron</v>
      </c>
      <c r="C11" s="31">
        <f>IF(OR($B11="—",$B11=""),"",ROUND(MAX('Sport Records'!$B$107:$O$107),0))</f>
        <v>1046</v>
      </c>
      <c r="D11" s="31" t="str">
        <f>IF(OR($B11="—",$B11=""),"—",COUNTIFS('Match Log'!$D$4:$D$1510,$B11,'Match Log'!$C$4:$C$1510,$A11,'Match Log'!$E$4:$E$1510,"Win")&amp;"–"&amp;(COUNTIFS('Match Log'!$D$4:$D$1510,$B11,'Match Log'!$C$4:$C$1510,$A11)-COUNTIFS('Match Log'!$D$4:$D$1510,$B11,'Match Log'!$C$4:$C$1510,$A11,'Match Log'!$E$4:$E$1510,"Win")))</f>
        <v>5–4</v>
      </c>
      <c r="E11" s="31">
        <f>IFERROR('Sport Records'!$P$9,0)</f>
        <v>20</v>
      </c>
      <c r="G11" s="33" t="s">
        <v>239</v>
      </c>
      <c r="H11" s="27"/>
      <c r="I11" s="27"/>
    </row>
    <row r="12" spans="1:9" ht="15" customHeight="1" x14ac:dyDescent="0.2">
      <c r="A12" s="29" t="str">
        <f>IF(Lists!$C$4="","",Lists!$C$4)</f>
        <v>FIFA</v>
      </c>
      <c r="B12" s="30" t="str">
        <f>IFERROR('Sport Records'!$P$108,"—")</f>
        <v>Aaron</v>
      </c>
      <c r="C12" s="31">
        <f>IF(OR($B12="—",$B12=""),"",ROUND(MAX('Sport Records'!$B$108:$O$108),0))</f>
        <v>1099</v>
      </c>
      <c r="D12" s="31" t="str">
        <f>IF(OR($B12="—",$B12=""),"—",COUNTIFS('Match Log'!$D$4:$D$1510,$B12,'Match Log'!$C$4:$C$1510,$A12,'Match Log'!$E$4:$E$1510,"Win")&amp;"–"&amp;(COUNTIFS('Match Log'!$D$4:$D$1510,$B12,'Match Log'!$C$4:$C$1510,$A12)-COUNTIFS('Match Log'!$D$4:$D$1510,$B12,'Match Log'!$C$4:$C$1510,$A12,'Match Log'!$E$4:$E$1510,"Win")))</f>
        <v>11–3</v>
      </c>
      <c r="E12" s="31">
        <f>IFERROR('Sport Records'!$P$10,0)</f>
        <v>31</v>
      </c>
      <c r="G12" s="27"/>
      <c r="H12" s="27"/>
      <c r="I12" s="27"/>
    </row>
    <row r="13" spans="1:9" ht="15" customHeight="1" x14ac:dyDescent="0.2">
      <c r="A13" s="29" t="str">
        <f>IF(Lists!$C$5="","",Lists!$C$5)</f>
        <v>Golf</v>
      </c>
      <c r="B13" s="30" t="str">
        <f>IFERROR('Sport Records'!$P$109,"—")</f>
        <v>Shawn</v>
      </c>
      <c r="C13" s="31">
        <f>IF(OR($B13="—",$B13=""),"",ROUND(MAX('Sport Records'!$B$109:$O$109),0))</f>
        <v>1016</v>
      </c>
      <c r="D13" s="31" t="str">
        <f>IF(OR($B13="—",$B13=""),"—",COUNTIFS('Match Log'!$D$4:$D$1510,$B13,'Match Log'!$C$4:$C$1510,$A13,'Match Log'!$E$4:$E$1510,"Win")&amp;"–"&amp;(COUNTIFS('Match Log'!$D$4:$D$1510,$B13,'Match Log'!$C$4:$C$1510,$A13)-COUNTIFS('Match Log'!$D$4:$D$1510,$B13,'Match Log'!$C$4:$C$1510,$A13,'Match Log'!$E$4:$E$1510,"Win")))</f>
        <v>1–0</v>
      </c>
      <c r="E13" s="31">
        <f>IFERROR('Sport Records'!$P$11,0)</f>
        <v>1</v>
      </c>
      <c r="G13" s="34" t="s">
        <v>240</v>
      </c>
      <c r="H13" s="34" t="s">
        <v>241</v>
      </c>
      <c r="I13" s="34" t="s">
        <v>242</v>
      </c>
    </row>
    <row r="14" spans="1:9" ht="15" customHeight="1" x14ac:dyDescent="0.2">
      <c r="A14" s="29" t="str">
        <f>IF(Lists!$C$6="","",Lists!$C$6)</f>
        <v>Pool</v>
      </c>
      <c r="B14" s="30" t="str">
        <f>IFERROR('Sport Records'!$P$110,"—")</f>
        <v>Simon</v>
      </c>
      <c r="C14" s="31">
        <f>IF(OR($B14="—",$B14=""),"",ROUND(MAX('Sport Records'!$B$110:$O$110),0))</f>
        <v>1030</v>
      </c>
      <c r="D14" s="31" t="str">
        <f>IF(OR($B14="—",$B14=""),"—",COUNTIFS('Match Log'!$D$4:$D$1510,$B14,'Match Log'!$C$4:$C$1510,$A14,'Match Log'!$E$4:$E$1510,"Win")&amp;"–"&amp;(COUNTIFS('Match Log'!$D$4:$D$1510,$B14,'Match Log'!$C$4:$C$1510,$A14)-COUNTIFS('Match Log'!$D$4:$D$1510,$B14,'Match Log'!$C$4:$C$1510,$A14,'Match Log'!$E$4:$E$1510,"Win")))</f>
        <v>2–0</v>
      </c>
      <c r="E14" s="31">
        <f>IFERROR('Sport Records'!$P$12,0)</f>
        <v>26</v>
      </c>
      <c r="G14" s="35" t="s">
        <v>243</v>
      </c>
      <c r="H14" s="36" t="s">
        <v>20</v>
      </c>
      <c r="I14" s="37" t="s">
        <v>16</v>
      </c>
    </row>
    <row r="15" spans="1:9" ht="15" customHeight="1" x14ac:dyDescent="0.2">
      <c r="A15" s="29" t="str">
        <f>IF(Lists!$C$7="","",Lists!$C$7)</f>
        <v>Kelly Pool</v>
      </c>
      <c r="B15" s="30" t="str">
        <f>IFERROR('Sport Records'!$P$111,"—")</f>
        <v>Aaron</v>
      </c>
      <c r="C15" s="31">
        <f>IF(OR($B15="—",$B15=""),"",ROUND(MAX('Sport Records'!$B$111:$O$111),0))</f>
        <v>1016</v>
      </c>
      <c r="D15" s="31" t="str">
        <f>IF(OR($B15="—",$B15=""),"—",COUNTIFS('Match Log'!$D$4:$D$1510,$B15,'Match Log'!$C$4:$C$1510,$A15,'Match Log'!$E$4:$E$1510,"Win")&amp;"–"&amp;(COUNTIFS('Match Log'!$D$4:$D$1510,$B15,'Match Log'!$C$4:$C$1510,$A15)-COUNTIFS('Match Log'!$D$4:$D$1510,$B15,'Match Log'!$C$4:$C$1510,$A15,'Match Log'!$E$4:$E$1510,"Win")))</f>
        <v>1–0</v>
      </c>
      <c r="E15" s="31">
        <f>IFERROR('Sport Records'!$P$13,0)</f>
        <v>1</v>
      </c>
      <c r="G15" s="38" t="s">
        <v>244</v>
      </c>
      <c r="H15" s="39" t="s">
        <v>19</v>
      </c>
      <c r="I15" s="40" t="s">
        <v>15</v>
      </c>
    </row>
    <row r="16" spans="1:9" ht="15" customHeight="1" x14ac:dyDescent="0.2">
      <c r="A16" s="29" t="str">
        <f>IF(Lists!$C$8="","",Lists!$C$8)</f>
        <v>Target</v>
      </c>
      <c r="B16" s="30" t="str">
        <f>IFERROR('Sport Records'!$P$112,"—")</f>
        <v>—</v>
      </c>
      <c r="C16" s="31" t="str">
        <f>IF(OR($B16="—",$B16=""),"",ROUND(MAX('Sport Records'!$B$112:$O$112),0))</f>
        <v/>
      </c>
      <c r="D16" s="31" t="str">
        <f>IF(OR($B16="—",$B16=""),"—",COUNTIFS('Match Log'!$D$4:$D$1510,$B16,'Match Log'!$C$4:$C$1510,$A16,'Match Log'!$E$4:$E$1510,"Win")&amp;"–"&amp;(COUNTIFS('Match Log'!$D$4:$D$1510,$B16,'Match Log'!$C$4:$C$1510,$A16)-COUNTIFS('Match Log'!$D$4:$D$1510,$B16,'Match Log'!$C$4:$C$1510,$A16,'Match Log'!$E$4:$E$1510,"Win")))</f>
        <v>—</v>
      </c>
      <c r="E16" s="31">
        <f>IFERROR('Sport Records'!$P$14,0)</f>
        <v>0</v>
      </c>
      <c r="G16" s="35" t="s">
        <v>245</v>
      </c>
      <c r="H16" s="36" t="s">
        <v>15</v>
      </c>
      <c r="I16" s="37" t="s">
        <v>18</v>
      </c>
    </row>
    <row r="17" spans="1:9" ht="15" customHeight="1" x14ac:dyDescent="0.2">
      <c r="A17" s="29" t="str">
        <f>IF(Lists!$C$9="","",Lists!$C$9)</f>
        <v>Snooker</v>
      </c>
      <c r="B17" s="30" t="str">
        <f>IFERROR('Sport Records'!$P$113,"—")</f>
        <v>—</v>
      </c>
      <c r="C17" s="31" t="str">
        <f>IF(OR($B17="—",$B17=""),"",ROUND(MAX('Sport Records'!$B$113:$O$113),0))</f>
        <v/>
      </c>
      <c r="D17" s="31" t="str">
        <f>IF(OR($B17="—",$B17=""),"—",COUNTIFS('Match Log'!$D$4:$D$1510,$B17,'Match Log'!$C$4:$C$1510,$A17,'Match Log'!$E$4:$E$1510,"Win")&amp;"–"&amp;(COUNTIFS('Match Log'!$D$4:$D$1510,$B17,'Match Log'!$C$4:$C$1510,$A17)-COUNTIFS('Match Log'!$D$4:$D$1510,$B17,'Match Log'!$C$4:$C$1510,$A17,'Match Log'!$E$4:$E$1510,"Win")))</f>
        <v>—</v>
      </c>
      <c r="E17" s="31">
        <f>IFERROR('Sport Records'!$P$15,0)</f>
        <v>0</v>
      </c>
      <c r="G17" s="38" t="s">
        <v>246</v>
      </c>
      <c r="H17" s="39" t="s">
        <v>247</v>
      </c>
      <c r="I17" s="40" t="s">
        <v>20</v>
      </c>
    </row>
    <row r="18" spans="1:9" ht="15" customHeight="1" x14ac:dyDescent="0.2">
      <c r="A18" s="29" t="str">
        <f>IF(Lists!$C$10="","",Lists!$C$10)</f>
        <v>Putt Putt</v>
      </c>
      <c r="B18" s="30" t="str">
        <f>IFERROR('Sport Records'!$P$114,"—")</f>
        <v>Josh</v>
      </c>
      <c r="C18" s="31">
        <f>IF(OR($B18="—",$B18=""),"",ROUND(MAX('Sport Records'!$B$114:$O$114),0))</f>
        <v>1031</v>
      </c>
      <c r="D18" s="31" t="str">
        <f>IF(OR($B18="—",$B18=""),"—",COUNTIFS('Match Log'!$D$4:$D$1510,$B18,'Match Log'!$C$4:$C$1510,$A18,'Match Log'!$E$4:$E$1510,"Win")&amp;"–"&amp;(COUNTIFS('Match Log'!$D$4:$D$1510,$B18,'Match Log'!$C$4:$C$1510,$A18)-COUNTIFS('Match Log'!$D$4:$D$1510,$B18,'Match Log'!$C$4:$C$1510,$A18,'Match Log'!$E$4:$E$1510,"Win")))</f>
        <v>2–0</v>
      </c>
      <c r="E18" s="31">
        <f>IFERROR('Sport Records'!$P$16,0)</f>
        <v>4</v>
      </c>
      <c r="G18" s="35" t="s">
        <v>248</v>
      </c>
      <c r="H18" s="41" t="s">
        <v>249</v>
      </c>
      <c r="I18" s="37"/>
    </row>
    <row r="19" spans="1:9" ht="15" customHeight="1" x14ac:dyDescent="0.2">
      <c r="A19" s="29" t="str">
        <f>IF(Lists!$C$11="","",Lists!$C$11)</f>
        <v>Back Yard Putt Putt</v>
      </c>
      <c r="B19" s="30" t="str">
        <f>IFERROR('Sport Records'!$P$115,"—")</f>
        <v>Simon</v>
      </c>
      <c r="C19" s="31">
        <f>IF(OR($B19="—",$B19=""),"",ROUND(MAX('Sport Records'!$B$115:$O$115),0))</f>
        <v>1064</v>
      </c>
      <c r="D19" s="31" t="str">
        <f>IF(OR($B19="—",$B19=""),"—",COUNTIFS('Match Log'!$D$4:$D$1510,$B19,'Match Log'!$C$4:$C$1510,$A19,'Match Log'!$E$4:$E$1510,"Win")&amp;"–"&amp;(COUNTIFS('Match Log'!$D$4:$D$1510,$B19,'Match Log'!$C$4:$C$1510,$A19)-COUNTIFS('Match Log'!$D$4:$D$1510,$B19,'Match Log'!$C$4:$C$1510,$A19,'Match Log'!$E$4:$E$1510,"Win")))</f>
        <v>5–1</v>
      </c>
      <c r="E19" s="31">
        <f>IFERROR('Sport Records'!$P$17,0)</f>
        <v>6</v>
      </c>
      <c r="G19" s="38" t="s">
        <v>250</v>
      </c>
      <c r="H19" s="42" t="s">
        <v>249</v>
      </c>
      <c r="I19" s="40"/>
    </row>
    <row r="20" spans="1:9" ht="15" customHeight="1" x14ac:dyDescent="0.2">
      <c r="A20" s="29" t="str">
        <f>IF(Lists!$C$12="","",Lists!$C$12)</f>
        <v>Sting Pong</v>
      </c>
      <c r="B20" s="30" t="str">
        <f>IFERROR('Sport Records'!$P$116,"—")</f>
        <v>—</v>
      </c>
      <c r="C20" s="31" t="str">
        <f>IF(OR($B20="—",$B20=""),"",ROUND(MAX('Sport Records'!$B$116:$O$116),0))</f>
        <v/>
      </c>
      <c r="D20" s="31" t="str">
        <f>IF(OR($B20="—",$B20=""),"—",COUNTIFS('Match Log'!$D$4:$D$1510,$B20,'Match Log'!$C$4:$C$1510,$A20,'Match Log'!$E$4:$E$1510,"Win")&amp;"–"&amp;(COUNTIFS('Match Log'!$D$4:$D$1510,$B20,'Match Log'!$C$4:$C$1510,$A20)-COUNTIFS('Match Log'!$D$4:$D$1510,$B20,'Match Log'!$C$4:$C$1510,$A20,'Match Log'!$E$4:$E$1510,"Win")))</f>
        <v>—</v>
      </c>
      <c r="E20" s="31">
        <f>IFERROR('Sport Records'!$P$18,0)</f>
        <v>0</v>
      </c>
      <c r="G20" s="35" t="s">
        <v>251</v>
      </c>
      <c r="H20" s="41" t="s">
        <v>249</v>
      </c>
      <c r="I20" s="37"/>
    </row>
    <row r="21" spans="1:9" ht="15" customHeight="1" x14ac:dyDescent="0.2">
      <c r="A21" s="29" t="str">
        <f>IF(Lists!$C$13="","",Lists!$C$13)</f>
        <v>Table Tennis</v>
      </c>
      <c r="B21" s="30" t="str">
        <f>IFERROR('Sport Records'!$P$117,"—")</f>
        <v>Shawn</v>
      </c>
      <c r="C21" s="31">
        <f>IF(OR($B21="—",$B21=""),"",ROUND(MAX('Sport Records'!$B$117:$O$117),0))</f>
        <v>1119</v>
      </c>
      <c r="D21" s="31" t="str">
        <f>IF(OR($B21="—",$B21=""),"—",COUNTIFS('Match Log'!$D$4:$D$1510,$B21,'Match Log'!$C$4:$C$1510,$A21,'Match Log'!$E$4:$E$1510,"Win")&amp;"–"&amp;(COUNTIFS('Match Log'!$D$4:$D$1510,$B21,'Match Log'!$C$4:$C$1510,$A21)-COUNTIFS('Match Log'!$D$4:$D$1510,$B21,'Match Log'!$C$4:$C$1510,$A21,'Match Log'!$E$4:$E$1510,"Win")))</f>
        <v>13–2</v>
      </c>
      <c r="E21" s="31">
        <f>IFERROR('Sport Records'!$P$19,0)</f>
        <v>56</v>
      </c>
      <c r="G21" s="38" t="s">
        <v>252</v>
      </c>
      <c r="H21" s="42" t="s">
        <v>253</v>
      </c>
      <c r="I21" s="40" t="s">
        <v>254</v>
      </c>
    </row>
    <row r="22" spans="1:9" ht="15" customHeight="1" x14ac:dyDescent="0.2">
      <c r="A22" s="29" t="str">
        <f>IF(Lists!$C$14="","",Lists!$C$14)</f>
        <v>Mario Party</v>
      </c>
      <c r="B22" s="30" t="str">
        <f>IFERROR('Sport Records'!$P$118,"—")</f>
        <v>Daniel (Ferret)</v>
      </c>
      <c r="C22" s="31">
        <f>IF(OR($B22="—",$B22=""),"",ROUND(MAX('Sport Records'!$B$118:$O$118),0))</f>
        <v>1051</v>
      </c>
      <c r="D22" s="31" t="str">
        <f>IF(OR($B22="—",$B22=""),"—",COUNTIFS('Match Log'!$D$4:$D$1510,$B22,'Match Log'!$C$4:$C$1510,$A22,'Match Log'!$E$4:$E$1510,"Win")&amp;"–"&amp;(COUNTIFS('Match Log'!$D$4:$D$1510,$B22,'Match Log'!$C$4:$C$1510,$A22)-COUNTIFS('Match Log'!$D$4:$D$1510,$B22,'Match Log'!$C$4:$C$1510,$A22,'Match Log'!$E$4:$E$1510,"Win")))</f>
        <v>5–1</v>
      </c>
      <c r="E22" s="31">
        <f>IFERROR('Sport Records'!$P$20,0)</f>
        <v>14</v>
      </c>
      <c r="G22" s="27"/>
      <c r="H22" s="27"/>
      <c r="I22" s="27"/>
    </row>
    <row r="23" spans="1:9" ht="15" customHeight="1" x14ac:dyDescent="0.2">
      <c r="A23" s="29" t="str">
        <f>IF(Lists!$C$15="","",Lists!$C$15)</f>
        <v>Mario Kart</v>
      </c>
      <c r="B23" s="30" t="str">
        <f>IFERROR('Sport Records'!$P$119,"—")</f>
        <v>Josh</v>
      </c>
      <c r="C23" s="31">
        <f>IF(OR($B23="—",$B23=""),"",ROUND(MAX('Sport Records'!$B$119:$O$119),0))</f>
        <v>1055</v>
      </c>
      <c r="D23" s="31" t="str">
        <f>IF(OR($B23="—",$B23=""),"—",COUNTIFS('Match Log'!$D$4:$D$1510,$B23,'Match Log'!$C$4:$C$1510,$A23,'Match Log'!$E$4:$E$1510,"Win")&amp;"–"&amp;(COUNTIFS('Match Log'!$D$4:$D$1510,$B23,'Match Log'!$C$4:$C$1510,$A23)-COUNTIFS('Match Log'!$D$4:$D$1510,$B23,'Match Log'!$C$4:$C$1510,$A23,'Match Log'!$E$4:$E$1510,"Win")))</f>
        <v>6–1</v>
      </c>
      <c r="E23" s="31">
        <f>IFERROR('Sport Records'!$P$21,0)</f>
        <v>23</v>
      </c>
      <c r="G23" s="43" t="s">
        <v>255</v>
      </c>
      <c r="H23" s="44" t="s">
        <v>256</v>
      </c>
      <c r="I23" s="27"/>
    </row>
    <row r="24" spans="1:9" ht="15" customHeight="1" x14ac:dyDescent="0.2">
      <c r="A24" s="29" t="str">
        <f>IF(Lists!$C$16="","",Lists!$C$16)</f>
        <v>Go Karting</v>
      </c>
      <c r="B24" s="30" t="str">
        <f>IFERROR('Sport Records'!$P$120,"—")</f>
        <v>—</v>
      </c>
      <c r="C24" s="31" t="str">
        <f>IF(OR($B24="—",$B24=""),"",ROUND(MAX('Sport Records'!$B$120:$O$120),0))</f>
        <v/>
      </c>
      <c r="D24" s="31" t="str">
        <f>IF(OR($B24="—",$B24=""),"—",COUNTIFS('Match Log'!$D$4:$D$1510,$B24,'Match Log'!$C$4:$C$1510,$A24,'Match Log'!$E$4:$E$1510,"Win")&amp;"–"&amp;(COUNTIFS('Match Log'!$D$4:$D$1510,$B24,'Match Log'!$C$4:$C$1510,$A24)-COUNTIFS('Match Log'!$D$4:$D$1510,$B24,'Match Log'!$C$4:$C$1510,$A24,'Match Log'!$E$4:$E$1510,"Win")))</f>
        <v>—</v>
      </c>
      <c r="E24" s="31">
        <f>IFERROR('Sport Records'!$P$22,0)</f>
        <v>0</v>
      </c>
      <c r="G24" s="43" t="s">
        <v>257</v>
      </c>
      <c r="H24" s="44" t="s">
        <v>258</v>
      </c>
      <c r="I24" s="27"/>
    </row>
    <row r="25" spans="1:9" ht="15" customHeight="1" x14ac:dyDescent="0.2">
      <c r="A25" s="29" t="str">
        <f>IF(Lists!$C$17="","",Lists!$C$17)</f>
        <v>Call of Duty</v>
      </c>
      <c r="B25" s="30" t="str">
        <f>IFERROR('Sport Records'!$P$121,"—")</f>
        <v>Daniel (Ferret)</v>
      </c>
      <c r="C25" s="31">
        <f>IF(OR($B25="—",$B25=""),"",ROUND(MAX('Sport Records'!$B$121:$O$121),0))</f>
        <v>1027</v>
      </c>
      <c r="D25" s="31" t="str">
        <f>IF(OR($B25="—",$B25=""),"—",COUNTIFS('Match Log'!$D$4:$D$1510,$B25,'Match Log'!$C$4:$C$1510,$A25,'Match Log'!$E$4:$E$1510,"Win")&amp;"–"&amp;(COUNTIFS('Match Log'!$D$4:$D$1510,$B25,'Match Log'!$C$4:$C$1510,$A25)-COUNTIFS('Match Log'!$D$4:$D$1510,$B25,'Match Log'!$C$4:$C$1510,$A25,'Match Log'!$E$4:$E$1510,"Win")))</f>
        <v>8–4</v>
      </c>
      <c r="E25" s="31">
        <f>IFERROR('Sport Records'!$P$23,0)</f>
        <v>13</v>
      </c>
    </row>
    <row r="26" spans="1:9" ht="15" customHeight="1" x14ac:dyDescent="0.2">
      <c r="A26" s="29" t="str">
        <f>IF(Lists!$C$18="","",Lists!$C$18)</f>
        <v>Poker</v>
      </c>
      <c r="B26" s="30" t="str">
        <f>IFERROR('Sport Records'!$P$122,"—")</f>
        <v>Josh</v>
      </c>
      <c r="C26" s="31">
        <f>IF(OR($B26="—",$B26=""),"",ROUND(MAX('Sport Records'!$B$122:$O$122),0))</f>
        <v>1031</v>
      </c>
      <c r="D26" s="31" t="str">
        <f>IF(OR($B26="—",$B26=""),"—",COUNTIFS('Match Log'!$D$4:$D$1510,$B26,'Match Log'!$C$4:$C$1510,$A26,'Match Log'!$E$4:$E$1510,"Win")&amp;"–"&amp;(COUNTIFS('Match Log'!$D$4:$D$1510,$B26,'Match Log'!$C$4:$C$1510,$A26)-COUNTIFS('Match Log'!$D$4:$D$1510,$B26,'Match Log'!$C$4:$C$1510,$A26,'Match Log'!$E$4:$E$1510,"Win")))</f>
        <v>2–0</v>
      </c>
      <c r="E26" s="31">
        <f>IFERROR('Sport Records'!$P$24,0)</f>
        <v>2</v>
      </c>
    </row>
    <row r="27" spans="1:9" ht="15" customHeight="1" x14ac:dyDescent="0.2">
      <c r="A27" s="29" t="str">
        <f>IF(Lists!$C$19="","",Lists!$C$19)</f>
        <v>ShuffleBoard</v>
      </c>
      <c r="B27" s="30" t="str">
        <f>IFERROR('Sport Records'!$P$123,"—")</f>
        <v>Simon</v>
      </c>
      <c r="C27" s="31">
        <f>IF(OR($B27="—",$B27=""),"",ROUND(MAX('Sport Records'!$B$123:$O$123),0))</f>
        <v>1060</v>
      </c>
      <c r="D27" s="31" t="str">
        <f>IF(OR($B27="—",$B27=""),"—",COUNTIFS('Match Log'!$D$4:$D$1510,$B27,'Match Log'!$C$4:$C$1510,$A27,'Match Log'!$E$4:$E$1510,"Win")&amp;"–"&amp;(COUNTIFS('Match Log'!$D$4:$D$1510,$B27,'Match Log'!$C$4:$C$1510,$A27)-COUNTIFS('Match Log'!$D$4:$D$1510,$B27,'Match Log'!$C$4:$C$1510,$A27,'Match Log'!$E$4:$E$1510,"Win")))</f>
        <v>8–3</v>
      </c>
      <c r="E27" s="31">
        <f>IFERROR('Sport Records'!$P$25,0)</f>
        <v>31</v>
      </c>
    </row>
    <row r="28" spans="1:9" ht="15" customHeight="1" x14ac:dyDescent="0.2">
      <c r="A28" s="29" t="str">
        <f>IF(Lists!$C$20="","",Lists!$C$20)</f>
        <v>Mario Golf</v>
      </c>
      <c r="B28" s="30" t="str">
        <f>IFERROR('Sport Records'!$P$124,"—")</f>
        <v>Daniel (Ferret)</v>
      </c>
      <c r="C28" s="31">
        <f>IF(OR($B28="—",$B28=""),"",ROUND(MAX('Sport Records'!$B$124:$O$124),0))</f>
        <v>1121</v>
      </c>
      <c r="D28" s="31" t="str">
        <f>IF(OR($B28="—",$B28=""),"—",COUNTIFS('Match Log'!$D$4:$D$1510,$B28,'Match Log'!$C$4:$C$1510,$A28,'Match Log'!$E$4:$E$1510,"Win")&amp;"–"&amp;(COUNTIFS('Match Log'!$D$4:$D$1510,$B28,'Match Log'!$C$4:$C$1510,$A28)-COUNTIFS('Match Log'!$D$4:$D$1510,$B28,'Match Log'!$C$4:$C$1510,$A28,'Match Log'!$E$4:$E$1510,"Win")))</f>
        <v>25–16</v>
      </c>
      <c r="E28" s="31">
        <f>IFERROR('Sport Records'!$P$26,0)</f>
        <v>57</v>
      </c>
    </row>
    <row r="29" spans="1:9" x14ac:dyDescent="0.2">
      <c r="A29" s="29" t="str">
        <f>IF(Lists!$C$21="","",Lists!$C$21)</f>
        <v>HORSE - Basketball</v>
      </c>
      <c r="B29" s="30" t="str">
        <f>IFERROR('Sport Records'!$P$125,"—")</f>
        <v>Shawn</v>
      </c>
      <c r="C29" s="31">
        <f>IF(OR($B29="—",$B29=""),"",ROUND(MAX('Sport Records'!$B$125:$O$125),0))</f>
        <v>1056</v>
      </c>
      <c r="D29" s="31" t="str">
        <f>IF(OR($B29="—",$B29=""),"—",COUNTIFS('Match Log'!$D$4:$D$1510,$B29,'Match Log'!$C$4:$C$1510,$A29,'Match Log'!$E$4:$E$1510,"Win")&amp;"–"&amp;(COUNTIFS('Match Log'!$D$4:$D$1510,$B29,'Match Log'!$C$4:$C$1510,$A29)-COUNTIFS('Match Log'!$D$4:$D$1510,$B29,'Match Log'!$C$4:$C$1510,$A29,'Match Log'!$E$4:$E$1510,"Win")))</f>
        <v>5–2</v>
      </c>
      <c r="E29" s="31">
        <f>IFERROR('Sport Records'!$P$27,0)</f>
        <v>7</v>
      </c>
    </row>
    <row r="30" spans="1:9" x14ac:dyDescent="0.2">
      <c r="A30" s="29" t="str">
        <f>IF(Lists!$C$22="","",Lists!$C$22)</f>
        <v>Car racing arcade</v>
      </c>
      <c r="B30" s="30" t="str">
        <f>IFERROR('Sport Records'!$P$126,"—")</f>
        <v>Dean B</v>
      </c>
      <c r="C30" s="31">
        <f>IF(OR($B30="—",$B30=""),"",ROUND(MAX('Sport Records'!$B$126:$O$126),0))</f>
        <v>1058</v>
      </c>
      <c r="D30" s="31" t="str">
        <f>IF(OR($B30="—",$B30=""),"—",COUNTIFS('Match Log'!$D$4:$D$1510,$B30,'Match Log'!$C$4:$C$1510,$A30,'Match Log'!$E$4:$E$1510,"Win")&amp;"–"&amp;(COUNTIFS('Match Log'!$D$4:$D$1510,$B30,'Match Log'!$C$4:$C$1510,$A30)-COUNTIFS('Match Log'!$D$4:$D$1510,$B30,'Match Log'!$C$4:$C$1510,$A30,'Match Log'!$E$4:$E$1510,"Win")))</f>
        <v>4–0</v>
      </c>
      <c r="E30" s="31">
        <f>IFERROR('Sport Records'!$P$28,0)</f>
        <v>6</v>
      </c>
    </row>
    <row r="31" spans="1:9" x14ac:dyDescent="0.2">
      <c r="A31" s="29" t="str">
        <f>IF(Lists!$C$23="","",Lists!$C$23)</f>
        <v>Shooting game arcade</v>
      </c>
      <c r="B31" s="30" t="str">
        <f>IFERROR('Sport Records'!$P$127,"—")</f>
        <v>Shawn</v>
      </c>
      <c r="C31" s="31">
        <f>IF(OR($B31="—",$B31=""),"",ROUND(MAX('Sport Records'!$B$127:$O$127),0))</f>
        <v>1017</v>
      </c>
      <c r="D31" s="31" t="str">
        <f>IF(OR($B31="—",$B31=""),"—",COUNTIFS('Match Log'!$D$4:$D$1510,$B31,'Match Log'!$C$4:$C$1510,$A31,'Match Log'!$E$4:$E$1510,"Win")&amp;"–"&amp;(COUNTIFS('Match Log'!$D$4:$D$1510,$B31,'Match Log'!$C$4:$C$1510,$A31)-COUNTIFS('Match Log'!$D$4:$D$1510,$B31,'Match Log'!$C$4:$C$1510,$A31,'Match Log'!$E$4:$E$1510,"Win")))</f>
        <v>1–0</v>
      </c>
      <c r="E31" s="31">
        <f>IFERROR('Sport Records'!$P$29,0)</f>
        <v>2</v>
      </c>
    </row>
    <row r="32" spans="1:9" x14ac:dyDescent="0.2">
      <c r="A32" s="29" t="str">
        <f>IF(Lists!$C$24="","",Lists!$C$24)</f>
        <v>Cards</v>
      </c>
      <c r="B32" s="30" t="str">
        <f>IFERROR('Sport Records'!$P$128,"—")</f>
        <v>Dean M</v>
      </c>
      <c r="C32" s="31">
        <f>IF(OR($B32="—",$B32=""),"",ROUND(MAX('Sport Records'!$B$128:$O$128),0))</f>
        <v>1023</v>
      </c>
      <c r="D32" s="31" t="str">
        <f>IF(OR($B32="—",$B32=""),"—",COUNTIFS('Match Log'!$D$4:$D$1510,$B32,'Match Log'!$C$4:$C$1510,$A32,'Match Log'!$E$4:$E$1510,"Win")&amp;"–"&amp;(COUNTIFS('Match Log'!$D$4:$D$1510,$B32,'Match Log'!$C$4:$C$1510,$A32)-COUNTIFS('Match Log'!$D$4:$D$1510,$B32,'Match Log'!$C$4:$C$1510,$A32,'Match Log'!$E$4:$E$1510,"Win")))</f>
        <v>2–1</v>
      </c>
      <c r="E32" s="31">
        <f>IFERROR('Sport Records'!$P$30,0)</f>
        <v>11</v>
      </c>
    </row>
    <row r="33" spans="1:5" x14ac:dyDescent="0.2">
      <c r="A33" s="29" t="str">
        <f>IF(Lists!$C$25="","",Lists!$C$25)</f>
        <v>Air Hockey</v>
      </c>
      <c r="B33" s="30" t="str">
        <f>IFERROR('Sport Records'!$P$129,"—")</f>
        <v>Josh</v>
      </c>
      <c r="C33" s="31">
        <f>IF(OR($B33="—",$B33=""),"",ROUND(MAX('Sport Records'!$B$129:$O$129),0))</f>
        <v>1015</v>
      </c>
      <c r="D33" s="31" t="str">
        <f>IF(OR($B33="—",$B33=""),"—",COUNTIFS('Match Log'!$D$4:$D$1510,$B33,'Match Log'!$C$4:$C$1510,$A33,'Match Log'!$E$4:$E$1510,"Win")&amp;"–"&amp;(COUNTIFS('Match Log'!$D$4:$D$1510,$B33,'Match Log'!$C$4:$C$1510,$A33)-COUNTIFS('Match Log'!$D$4:$D$1510,$B33,'Match Log'!$C$4:$C$1510,$A33,'Match Log'!$E$4:$E$1510,"Win")))</f>
        <v>2–1</v>
      </c>
      <c r="E33" s="31">
        <f>IFERROR('Sport Records'!$P$31,0)</f>
        <v>3</v>
      </c>
    </row>
    <row r="34" spans="1:5" x14ac:dyDescent="0.2">
      <c r="A34" s="29" t="str">
        <f>IF(Lists!$C$26="","",Lists!$C$26)</f>
        <v>Basketball arcade</v>
      </c>
      <c r="B34" s="30" t="str">
        <f>IFERROR('Sport Records'!$P$130,"—")</f>
        <v>Daniel (Ferret)</v>
      </c>
      <c r="C34" s="31">
        <f>IF(OR($B34="—",$B34=""),"",ROUND(MAX('Sport Records'!$B$130:$O$130),0))</f>
        <v>1032</v>
      </c>
      <c r="D34" s="31" t="str">
        <f>IF(OR($B34="—",$B34=""),"—",COUNTIFS('Match Log'!$D$4:$D$1510,$B34,'Match Log'!$C$4:$C$1510,$A34,'Match Log'!$E$4:$E$1510,"Win")&amp;"–"&amp;(COUNTIFS('Match Log'!$D$4:$D$1510,$B34,'Match Log'!$C$4:$C$1510,$A34)-COUNTIFS('Match Log'!$D$4:$D$1510,$B34,'Match Log'!$C$4:$C$1510,$A34,'Match Log'!$E$4:$E$1510,"Win")))</f>
        <v>2–0</v>
      </c>
      <c r="E34" s="31">
        <f>IFERROR('Sport Records'!$P$32,0)</f>
        <v>5</v>
      </c>
    </row>
  </sheetData>
  <autoFilter ref="A9:E27" xr:uid="{00000000-0009-0000-0000-000002000000}"/>
  <mergeCells count="6">
    <mergeCell ref="A4:E4"/>
    <mergeCell ref="A2:E2"/>
    <mergeCell ref="A1:E1"/>
    <mergeCell ref="A5:E5"/>
    <mergeCell ref="A8:E8"/>
    <mergeCell ref="A6:E6"/>
  </mergeCells>
  <conditionalFormatting sqref="C10:C28">
    <cfRule type="colorScale" priority="2">
      <colorScale>
        <cfvo type="num" val="920"/>
        <cfvo type="num" val="1000"/>
        <cfvo type="num" val="1120"/>
        <color rgb="FFF2A29B"/>
        <color rgb="FFFCF3DD"/>
        <color rgb="FF8FCFA3"/>
      </colorScale>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23A48"/>
  </sheetPr>
  <dimension ref="A1:X23"/>
  <sheetViews>
    <sheetView zoomScale="200" zoomScaleNormal="200" workbookViewId="0">
      <pane xSplit="3" ySplit="4" topLeftCell="Q5" activePane="bottomRight" state="frozen"/>
      <selection pane="topRight" activeCell="D1" sqref="D1"/>
      <selection pane="bottomLeft" activeCell="A5" sqref="A5"/>
      <selection pane="bottomRight" activeCell="C21" sqref="C21"/>
    </sheetView>
  </sheetViews>
  <sheetFormatPr baseColWidth="10" defaultColWidth="8.6640625" defaultRowHeight="15" x14ac:dyDescent="0.2"/>
  <cols>
    <col min="1" max="1" width="8.33203125" customWidth="1"/>
    <col min="2" max="2" width="12.6640625" customWidth="1"/>
    <col min="3" max="3" width="15.5" customWidth="1"/>
    <col min="4" max="4" width="12" customWidth="1"/>
    <col min="5" max="6" width="9.6640625" customWidth="1"/>
    <col min="7" max="7" width="11.1640625" customWidth="1"/>
    <col min="8" max="8" width="13" customWidth="1"/>
    <col min="9" max="9" width="13.5" customWidth="1"/>
    <col min="10" max="10" width="14.1640625" customWidth="1"/>
    <col min="11" max="11" width="11.5" customWidth="1"/>
    <col min="12" max="12" width="11.33203125" customWidth="1"/>
    <col min="13" max="13" width="10.6640625" customWidth="1"/>
    <col min="14" max="14" width="11.83203125" customWidth="1"/>
    <col min="15" max="15" width="11.5" customWidth="1"/>
    <col min="16" max="16" width="16.33203125" customWidth="1"/>
    <col min="17" max="17" width="10.5" customWidth="1"/>
    <col min="18" max="18" width="15.83203125" customWidth="1"/>
    <col min="19" max="19" width="13.1640625" customWidth="1"/>
    <col min="20" max="20" width="11.83203125" customWidth="1"/>
    <col min="21" max="21" width="12.33203125" customWidth="1"/>
    <col min="22" max="22" width="15" customWidth="1"/>
    <col min="23" max="23" width="9.83203125" customWidth="1"/>
    <col min="24" max="24" width="10.83203125" customWidth="1"/>
  </cols>
  <sheetData>
    <row r="1" spans="1:24" ht="22.5" customHeight="1" x14ac:dyDescent="0.2">
      <c r="A1" s="45" t="s">
        <v>259</v>
      </c>
      <c r="B1" s="46"/>
      <c r="C1" s="46"/>
      <c r="D1" s="46"/>
      <c r="E1" s="46"/>
      <c r="F1" s="46"/>
      <c r="G1" s="46"/>
      <c r="H1" s="46"/>
      <c r="I1" s="46"/>
      <c r="J1" s="46"/>
      <c r="K1" s="46"/>
      <c r="L1" s="46"/>
    </row>
    <row r="2" spans="1:24" ht="15" customHeight="1" x14ac:dyDescent="0.2">
      <c r="A2" s="47" t="s">
        <v>462</v>
      </c>
      <c r="B2" s="47"/>
      <c r="C2" s="47"/>
      <c r="D2" s="47"/>
      <c r="E2" s="47"/>
      <c r="F2" s="47"/>
      <c r="G2" s="47"/>
      <c r="H2" s="47"/>
      <c r="I2" s="47"/>
      <c r="J2" s="47"/>
      <c r="K2" s="47"/>
      <c r="L2" s="47"/>
      <c r="M2" s="48" t="str">
        <f>"Standings as of Game "&amp;MAX('Match Log'!$A$4:$A$1510)&amp;"  ·  "&amp;TEXT(MAX('Match Log'!$B$4:$B$1510),"d mmm yyyy")</f>
        <v>Standings as of Game 327  ·  24 Oct 2026</v>
      </c>
      <c r="T2" s="49" t="str">
        <f ca="1">IF(COUNTIF($T$5:$T$18,"At risk")+COUNTIF($T$5:$T$18,"Inactive")=0,"Inactivity watch:  all players active ✓","⚠ Inactivity watch:  "&amp;(COUNTIF($T$5:$T$18,"At risk")+COUNTIF($T$5:$T$18,"Inactive"))&amp;" player(s) need a game — see Activity column")</f>
        <v>⚠ Inactivity watch:  8 player(s) need a game — see Activity column</v>
      </c>
    </row>
    <row r="3" spans="1:24" ht="15.75" customHeight="1" x14ac:dyDescent="0.2">
      <c r="A3" s="50" t="str">
        <f ca="1">"Current Champion:  "&amp;IFERROR(INDEX($B$5:$B$18,MATCH(SUMPRODUCT(MAX(($L$5:$L$18="Eligible")*($T$5:$T$18&lt;&gt;"Inactive")*$V$5:$V$18)),$V$5:$V$18,0)),"— none eligible yet —")</f>
        <v>Current Champion:  Josh</v>
      </c>
      <c r="B3" s="50"/>
      <c r="C3" s="50"/>
    </row>
    <row r="4" spans="1:24" ht="15" customHeight="1" x14ac:dyDescent="0.2">
      <c r="A4" s="51" t="s">
        <v>14</v>
      </c>
      <c r="B4" s="51" t="s">
        <v>5</v>
      </c>
      <c r="C4" s="51" t="s">
        <v>130</v>
      </c>
      <c r="D4" s="51" t="s">
        <v>10</v>
      </c>
      <c r="E4" s="51" t="s">
        <v>260</v>
      </c>
      <c r="F4" s="51" t="s">
        <v>261</v>
      </c>
      <c r="G4" s="51" t="s">
        <v>12</v>
      </c>
      <c r="H4" s="51" t="s">
        <v>140</v>
      </c>
      <c r="I4" s="51" t="s">
        <v>142</v>
      </c>
      <c r="J4" s="51" t="s">
        <v>144</v>
      </c>
      <c r="K4" s="51" t="s">
        <v>262</v>
      </c>
      <c r="L4" s="51" t="s">
        <v>159</v>
      </c>
      <c r="M4" s="51" t="s">
        <v>263</v>
      </c>
      <c r="N4" s="51" t="s">
        <v>264</v>
      </c>
      <c r="O4" s="51" t="s">
        <v>150</v>
      </c>
      <c r="P4" s="51" t="s">
        <v>265</v>
      </c>
      <c r="Q4" s="51" t="s">
        <v>266</v>
      </c>
      <c r="R4" s="51" t="s">
        <v>267</v>
      </c>
      <c r="S4" s="51" t="s">
        <v>268</v>
      </c>
      <c r="T4" s="51" t="s">
        <v>156</v>
      </c>
      <c r="U4" s="51" t="s">
        <v>134</v>
      </c>
      <c r="V4" s="51" t="s">
        <v>269</v>
      </c>
      <c r="W4" s="51" t="s">
        <v>158</v>
      </c>
      <c r="X4" s="51" t="s">
        <v>270</v>
      </c>
    </row>
    <row r="5" spans="1:24" ht="15" customHeight="1" x14ac:dyDescent="0.2">
      <c r="A5" s="52">
        <f t="shared" ref="A5:A18" si="0">ROW()-4</f>
        <v>1</v>
      </c>
      <c r="B5" s="53" t="str">
        <f ca="1">IFERROR(INDEX(Calcs!$A$7:$A$20,MATCH(LARGE(Calcs!$AI$7:$AI$20,ROW()-4),Calcs!$AI$7:$AI$20,0)),"")</f>
        <v>Josh</v>
      </c>
      <c r="C5" s="54">
        <f ca="1">IFERROR(INDEX(Calcs!$S$7:$S$20,MATCH($B5,Calcs!$A$7:$A$20,0)),"")</f>
        <v>1273.6858369946654</v>
      </c>
      <c r="D5" s="55">
        <f ca="1">COUNTIF('Match Log'!$D$4:$D$1510,$B5)</f>
        <v>65</v>
      </c>
      <c r="E5" s="55">
        <f ca="1">COUNTIFS('Match Log'!$D$4:$D$1510,$B5,'Match Log'!$E$4:$E$1510,"Win")</f>
        <v>40</v>
      </c>
      <c r="F5" s="55">
        <f t="shared" ref="F5:F18" ca="1" si="1">$D5-$E5</f>
        <v>25</v>
      </c>
      <c r="G5" s="56">
        <f t="shared" ref="G5:G18" ca="1" si="2">IF($D5=0,"",$E5/$D5)</f>
        <v>0.61538461538461542</v>
      </c>
      <c r="H5" s="57">
        <f ca="1">SUMIF('Match Log'!$D$4:$D$1510,$B5,'Match Log'!$J$4:$J$1510)</f>
        <v>129.80968013686083</v>
      </c>
      <c r="I5" s="57">
        <f ca="1">SUMIF('Match Log'!$D$4:$D$1510,$B5,'Match Log'!$K$4:$K$1510)</f>
        <v>72.126156857804176</v>
      </c>
      <c r="J5" s="57">
        <f ca="1">SUMIF('Match Log'!$D$4:$D$1510,$B5,'Match Log'!$L$4:$L$1510)</f>
        <v>50</v>
      </c>
      <c r="K5" s="55">
        <f ca="1">SUMPRODUCT(--(COUNTIFS('Match Log'!$D$4:$D$1510,$B5,'Match Log'!$C$4:$C$1510,Lists!$C$2:$C$26)&gt;0))</f>
        <v>15</v>
      </c>
      <c r="L5" s="55" t="str">
        <f ca="1">IF($D5=0,"No games",IF(AND($D5&gt;='Guide &amp; Settings'!$C$45,$K5&gt;='Guide &amp; Settings'!$C$46),"Eligible","Provisional"))</f>
        <v>Eligible</v>
      </c>
      <c r="M5" s="54">
        <f ca="1">IFERROR(INDEX(Calcs!$C$7:$C$20,MATCH($B5,Calcs!$A$7:$A$20,0)),"")</f>
        <v>1137.5369975573669</v>
      </c>
      <c r="N5" s="54">
        <f t="shared" ref="N5:N18" ca="1" si="3">MAX($C$5:$C$18)-$C5</f>
        <v>0</v>
      </c>
      <c r="O5" s="55" t="str">
        <f ca="1">IFERROR(INDEX(Calcs!$H$7:$H$20,MATCH($B5,Calcs!$A$7:$A$20,0)),"")</f>
        <v>W6</v>
      </c>
      <c r="P5" s="55" t="str">
        <f ca="1">IFERROR(INDEX(Calcs!$I$7:$I$20,MATCH($B5,Calcs!$A$7:$A$20,0)),"")</f>
        <v>WWWWW</v>
      </c>
      <c r="Q5" s="55" t="str">
        <f ca="1">IFERROR(IF(INDEX(Calcs!$L$7:$L$20,MATCH($B5,Calcs!$A$7:$A$20,0))&gt;0,"▲"&amp;INDEX(Calcs!$L$7:$L$20,MATCH($B5,Calcs!$A$7:$A$20,0)),IF(INDEX(Calcs!$L$7:$L$20,MATCH($B5,Calcs!$A$7:$A$20,0))&lt;0,"▼"&amp;ABS(INDEX(Calcs!$L$7:$L$20,MATCH($B5,Calcs!$A$7:$A$20,0))),"–")),"")</f>
        <v>–</v>
      </c>
      <c r="R5" s="55" t="str">
        <f ca="1">IFERROR(IF(INDEX(Calcs!$P$7:$P$20,MATCH($B5,Calcs!$A$7:$A$20,0))=0,"—",TEXT(INDEX(Calcs!$P$7:$P$20,MATCH($B5,Calcs!$A$7:$A$20,0)),"d mmm")),"")</f>
        <v>8 Oct</v>
      </c>
      <c r="S5" s="55">
        <f ca="1">IFERROR(ROUND(INDEX(Calcs!$Q$7:$Q$20,MATCH($B5,Calcs!$A$7:$A$20,0)),1),"")</f>
        <v>2.2999999999999998</v>
      </c>
      <c r="T5" s="55" t="str">
        <f ca="1">IFERROR(INDEX(Calcs!$T$7:$T$20,MATCH($B5,Calcs!$A$7:$A$20,0)),"")</f>
        <v>At risk</v>
      </c>
      <c r="U5">
        <f ca="1">IFERROR(ROUND(INDEX(Calcs!$R$7:$R$20,MATCH($B5,Calcs!$A$7:$A$20,0))+INDEX(Calcs!$U$7:$U$20,MATCH($B5,Calcs!$A$7:$A$20,0)),0),0)</f>
        <v>0</v>
      </c>
      <c r="V5" s="57">
        <f ca="1">IFERROR(ROUND(INDEX(Calcs!$S$7:$S$20,MATCH($B5,Calcs!$A$7:$A$20,0)),0),"")</f>
        <v>1274</v>
      </c>
      <c r="W5" s="55" t="str">
        <f ca="1">IFERROR(INDEX(Calcs!$AF$7:$AF$20,MATCH($B5,Calcs!$A$7:$A$20,0)),"")</f>
        <v>Elite</v>
      </c>
      <c r="X5" s="57">
        <f ca="1">IFERROR(ROUND(SUMIF('Poker Stake Ledger'!$C$18:$C$137,$B5,'Poker Stake Ledger'!$K$18:$K$137),1),0)</f>
        <v>21.8</v>
      </c>
    </row>
    <row r="6" spans="1:24" ht="15" customHeight="1" x14ac:dyDescent="0.2">
      <c r="A6" s="52">
        <f t="shared" si="0"/>
        <v>2</v>
      </c>
      <c r="B6" s="53" t="str">
        <f ca="1">IFERROR(INDEX(Calcs!$A$7:$A$20,MATCH(LARGE(Calcs!$AI$7:$AI$20,ROW()-4),Calcs!$AI$7:$AI$20,0)),"")</f>
        <v>Shawn</v>
      </c>
      <c r="C6" s="54">
        <f ca="1">IFERROR(INDEX(Calcs!$S$7:$S$20,MATCH($B6,Calcs!$A$7:$A$20,0)),"")</f>
        <v>1228.1633292156973</v>
      </c>
      <c r="D6" s="55">
        <f ca="1">COUNTIF('Match Log'!$D$4:$D$1510,$B6)</f>
        <v>171</v>
      </c>
      <c r="E6" s="55">
        <f ca="1">COUNTIFS('Match Log'!$D$4:$D$1510,$B6,'Match Log'!$E$4:$E$1510,"Win")</f>
        <v>80</v>
      </c>
      <c r="F6" s="55">
        <f t="shared" ca="1" si="1"/>
        <v>91</v>
      </c>
      <c r="G6" s="56">
        <f t="shared" ca="1" si="2"/>
        <v>0.46783625730994149</v>
      </c>
      <c r="H6" s="57">
        <f ca="1">SUMIF('Match Log'!$D$4:$D$1510,$B6,'Match Log'!$J$4:$J$1510)</f>
        <v>10.756474842565829</v>
      </c>
      <c r="I6" s="57">
        <f ca="1">SUMIF('Match Log'!$D$4:$D$1510,$B6,'Match Log'!$K$4:$K$1510)</f>
        <v>25.156854373131864</v>
      </c>
      <c r="J6" s="57">
        <f ca="1">SUMIF('Match Log'!$D$4:$D$1510,$B6,'Match Log'!$L$4:$L$1510)</f>
        <v>196</v>
      </c>
      <c r="K6" s="55">
        <f ca="1">SUMPRODUCT(--(COUNTIFS('Match Log'!$D$4:$D$1510,$B6,'Match Log'!$C$4:$C$1510,Lists!$C$2:$C$26)&gt;0))</f>
        <v>19</v>
      </c>
      <c r="L6" s="55" t="str">
        <f ca="1">IF($D6=0,"No games",IF(AND($D6&gt;='Guide &amp; Settings'!$C$45,$K6&gt;='Guide &amp; Settings'!$C$46),"Eligible","Provisional"))</f>
        <v>Eligible</v>
      </c>
      <c r="M6" s="54">
        <f ca="1">IFERROR(INDEX(Calcs!$C$7:$C$20,MATCH($B6,Calcs!$A$7:$A$20,0)),"")</f>
        <v>1142.2912336117965</v>
      </c>
      <c r="N6" s="54">
        <f t="shared" ca="1" si="3"/>
        <v>45.52250777896802</v>
      </c>
      <c r="O6" s="55" t="str">
        <f ca="1">IFERROR(INDEX(Calcs!$H$7:$H$20,MATCH($B6,Calcs!$A$7:$A$20,0)),"")</f>
        <v>L1</v>
      </c>
      <c r="P6" s="55" t="str">
        <f ca="1">IFERROR(INDEX(Calcs!$I$7:$I$20,MATCH($B6,Calcs!$A$7:$A$20,0)),"")</f>
        <v>WWLWL</v>
      </c>
      <c r="Q6" s="55" t="str">
        <f ca="1">IFERROR(IF(INDEX(Calcs!$L$7:$L$20,MATCH($B6,Calcs!$A$7:$A$20,0))&gt;0,"▲"&amp;INDEX(Calcs!$L$7:$L$20,MATCH($B6,Calcs!$A$7:$A$20,0)),IF(INDEX(Calcs!$L$7:$L$20,MATCH($B6,Calcs!$A$7:$A$20,0))&lt;0,"▼"&amp;ABS(INDEX(Calcs!$L$7:$L$20,MATCH($B6,Calcs!$A$7:$A$20,0))),"–")),"")</f>
        <v>–</v>
      </c>
      <c r="R6" s="55" t="str">
        <f ca="1">IFERROR(IF(INDEX(Calcs!$P$7:$P$20,MATCH($B6,Calcs!$A$7:$A$20,0))=0,"—",TEXT(INDEX(Calcs!$P$7:$P$20,MATCH($B6,Calcs!$A$7:$A$20,0)),"d mmm")),"")</f>
        <v>24 Oct</v>
      </c>
      <c r="S6" s="55">
        <f ca="1">IFERROR(ROUND(INDEX(Calcs!$Q$7:$Q$20,MATCH($B6,Calcs!$A$7:$A$20,0)),1),"")</f>
        <v>0</v>
      </c>
      <c r="T6" s="55" t="str">
        <f ca="1">IFERROR(INDEX(Calcs!$T$7:$T$20,MATCH($B6,Calcs!$A$7:$A$20,0)),"")</f>
        <v>Active</v>
      </c>
      <c r="U6">
        <f ca="1">IFERROR(ROUND(INDEX(Calcs!$R$7:$R$20,MATCH($B6,Calcs!$A$7:$A$20,0))+INDEX(Calcs!$U$7:$U$20,MATCH($B6,Calcs!$A$7:$A$20,0)),0),0)</f>
        <v>0</v>
      </c>
      <c r="V6" s="57">
        <f ca="1">IFERROR(ROUND(INDEX(Calcs!$S$7:$S$20,MATCH($B6,Calcs!$A$7:$A$20,0)),0),"")</f>
        <v>1228</v>
      </c>
      <c r="W6" s="55" t="str">
        <f ca="1">IFERROR(INDEX(Calcs!$AF$7:$AF$20,MATCH($B6,Calcs!$A$7:$A$20,0)),"")</f>
        <v>Elite</v>
      </c>
      <c r="X6" s="57">
        <f ca="1">IFERROR(ROUND(SUMIF('Poker Stake Ledger'!$C$18:$C$137,$B6,'Poker Stake Ledger'!$K$18:$K$137),1),0)</f>
        <v>-3.8</v>
      </c>
    </row>
    <row r="7" spans="1:24" ht="15" customHeight="1" x14ac:dyDescent="0.2">
      <c r="A7" s="52">
        <f t="shared" si="0"/>
        <v>3</v>
      </c>
      <c r="B7" s="53" t="str">
        <f ca="1">IFERROR(INDEX(Calcs!$A$7:$A$20,MATCH(LARGE(Calcs!$AI$7:$AI$20,ROW()-4),Calcs!$AI$7:$AI$20,0)),"")</f>
        <v>Aaron</v>
      </c>
      <c r="C7" s="54">
        <f ca="1">IFERROR(INDEX(Calcs!$S$7:$S$20,MATCH($B7,Calcs!$A$7:$A$20,0)),"")</f>
        <v>1223.1911759451084</v>
      </c>
      <c r="D7" s="55">
        <f ca="1">COUNTIF('Match Log'!$D$4:$D$1510,$B7)</f>
        <v>94</v>
      </c>
      <c r="E7" s="55">
        <f ca="1">COUNTIFS('Match Log'!$D$4:$D$1510,$B7,'Match Log'!$E$4:$E$1510,"Win")</f>
        <v>44</v>
      </c>
      <c r="F7" s="55">
        <f t="shared" ca="1" si="1"/>
        <v>50</v>
      </c>
      <c r="G7" s="56">
        <f t="shared" ca="1" si="2"/>
        <v>0.46808510638297873</v>
      </c>
      <c r="H7" s="57">
        <f ca="1">SUMIF('Match Log'!$D$4:$D$1510,$B7,'Match Log'!$J$4:$J$1510)</f>
        <v>59.277239136802152</v>
      </c>
      <c r="I7" s="57">
        <f ca="1">SUMIF('Match Log'!$D$4:$D$1510,$B7,'Match Log'!$K$4:$K$1510)</f>
        <v>74.01393680830607</v>
      </c>
      <c r="J7" s="57">
        <f ca="1">SUMIF('Match Log'!$D$4:$D$1510,$B7,'Match Log'!$L$4:$L$1510)</f>
        <v>111</v>
      </c>
      <c r="K7" s="55">
        <f ca="1">SUMPRODUCT(--(COUNTIFS('Match Log'!$D$4:$D$1510,$B7,'Match Log'!$C$4:$C$1510,Lists!$C$2:$C$26)&gt;0))</f>
        <v>14</v>
      </c>
      <c r="L7" s="55" t="str">
        <f ca="1">IF($D7=0,"No games",IF(AND($D7&gt;='Guide &amp; Settings'!$C$45,$K7&gt;='Guide &amp; Settings'!$C$46),"Eligible","Provisional"))</f>
        <v>Eligible</v>
      </c>
      <c r="M7" s="54">
        <f ca="1">IFERROR(INDEX(Calcs!$C$7:$C$20,MATCH($B7,Calcs!$A$7:$A$20,0)),"")</f>
        <v>1157.4221709300564</v>
      </c>
      <c r="N7" s="54">
        <f t="shared" ca="1" si="3"/>
        <v>50.494661049556953</v>
      </c>
      <c r="O7" s="55" t="str">
        <f ca="1">IFERROR(INDEX(Calcs!$H$7:$H$20,MATCH($B7,Calcs!$A$7:$A$20,0)),"")</f>
        <v>W2</v>
      </c>
      <c r="P7" s="55" t="str">
        <f ca="1">IFERROR(INDEX(Calcs!$I$7:$I$20,MATCH($B7,Calcs!$A$7:$A$20,0)),"")</f>
        <v>LLLWW</v>
      </c>
      <c r="Q7" s="55" t="str">
        <f ca="1">IFERROR(IF(INDEX(Calcs!$L$7:$L$20,MATCH($B7,Calcs!$A$7:$A$20,0))&gt;0,"▲"&amp;INDEX(Calcs!$L$7:$L$20,MATCH($B7,Calcs!$A$7:$A$20,0)),IF(INDEX(Calcs!$L$7:$L$20,MATCH($B7,Calcs!$A$7:$A$20,0))&lt;0,"▼"&amp;ABS(INDEX(Calcs!$L$7:$L$20,MATCH($B7,Calcs!$A$7:$A$20,0))),"–")),"")</f>
        <v>▲2</v>
      </c>
      <c r="R7" s="55" t="str">
        <f ca="1">IFERROR(IF(INDEX(Calcs!$P$7:$P$20,MATCH($B7,Calcs!$A$7:$A$20,0))=0,"—",TEXT(INDEX(Calcs!$P$7:$P$20,MATCH($B7,Calcs!$A$7:$A$20,0)),"d mmm")),"")</f>
        <v>24 Oct</v>
      </c>
      <c r="S7" s="55">
        <f ca="1">IFERROR(ROUND(INDEX(Calcs!$Q$7:$Q$20,MATCH($B7,Calcs!$A$7:$A$20,0)),1),"")</f>
        <v>0</v>
      </c>
      <c r="T7" s="55" t="str">
        <f ca="1">IFERROR(INDEX(Calcs!$T$7:$T$20,MATCH($B7,Calcs!$A$7:$A$20,0)),"")</f>
        <v>Active</v>
      </c>
      <c r="U7">
        <f ca="1">IFERROR(ROUND(INDEX(Calcs!$R$7:$R$20,MATCH($B7,Calcs!$A$7:$A$20,0))+INDEX(Calcs!$U$7:$U$20,MATCH($B7,Calcs!$A$7:$A$20,0)),0),0)</f>
        <v>10</v>
      </c>
      <c r="V7" s="57">
        <f ca="1">IFERROR(ROUND(INDEX(Calcs!$S$7:$S$20,MATCH($B7,Calcs!$A$7:$A$20,0)),0),"")</f>
        <v>1223</v>
      </c>
      <c r="W7" s="55" t="str">
        <f ca="1">IFERROR(INDEX(Calcs!$AF$7:$AF$20,MATCH($B7,Calcs!$A$7:$A$20,0)),"")</f>
        <v>Elite</v>
      </c>
      <c r="X7" s="57">
        <f ca="1">IFERROR(ROUND(SUMIF('Poker Stake Ledger'!$C$18:$C$137,$B7,'Poker Stake Ledger'!$K$18:$K$137),1),0)</f>
        <v>-11.1</v>
      </c>
    </row>
    <row r="8" spans="1:24" ht="15" customHeight="1" x14ac:dyDescent="0.2">
      <c r="A8" s="52">
        <f t="shared" si="0"/>
        <v>4</v>
      </c>
      <c r="B8" s="53" t="str">
        <f ca="1">IFERROR(INDEX(Calcs!$A$7:$A$20,MATCH(LARGE(Calcs!$AI$7:$AI$20,ROW()-4),Calcs!$AI$7:$AI$20,0)),"")</f>
        <v>Dean B</v>
      </c>
      <c r="C8" s="54">
        <f ca="1">IFERROR(INDEX(Calcs!$S$7:$S$20,MATCH($B8,Calcs!$A$7:$A$20,0)),"")</f>
        <v>1177.9015417269482</v>
      </c>
      <c r="D8" s="55">
        <f ca="1">COUNTIF('Match Log'!$D$4:$D$1510,$B8)</f>
        <v>42</v>
      </c>
      <c r="E8" s="55">
        <f ca="1">COUNTIFS('Match Log'!$D$4:$D$1510,$B8,'Match Log'!$E$4:$E$1510,"Win")</f>
        <v>25</v>
      </c>
      <c r="F8" s="55">
        <f t="shared" ca="1" si="1"/>
        <v>17</v>
      </c>
      <c r="G8" s="56">
        <f t="shared" ca="1" si="2"/>
        <v>0.59523809523809523</v>
      </c>
      <c r="H8" s="57">
        <f ca="1">SUMIF('Match Log'!$D$4:$D$1510,$B8,'Match Log'!$J$4:$J$1510)</f>
        <v>89.675227242644667</v>
      </c>
      <c r="I8" s="57">
        <f ca="1">SUMIF('Match Log'!$D$4:$D$1510,$B8,'Match Log'!$K$4:$K$1510)</f>
        <v>72.226314484303657</v>
      </c>
      <c r="J8" s="57">
        <f ca="1">SUMIF('Match Log'!$D$4:$D$1510,$B8,'Match Log'!$L$4:$L$1510)</f>
        <v>56</v>
      </c>
      <c r="K8" s="55">
        <f ca="1">SUMPRODUCT(--(COUNTIFS('Match Log'!$D$4:$D$1510,$B8,'Match Log'!$C$4:$C$1510,Lists!$C$2:$C$26)&gt;0))</f>
        <v>7</v>
      </c>
      <c r="L8" s="55" t="str">
        <f ca="1">IF($D8=0,"No games",IF(AND($D8&gt;='Guide &amp; Settings'!$C$45,$K8&gt;='Guide &amp; Settings'!$C$46),"Eligible","Provisional"))</f>
        <v>Eligible</v>
      </c>
      <c r="M8" s="54">
        <f ca="1">IFERROR(INDEX(Calcs!$C$7:$C$20,MATCH($B8,Calcs!$A$7:$A$20,0)),"")</f>
        <v>1134.8881196656466</v>
      </c>
      <c r="N8" s="54">
        <f t="shared" ca="1" si="3"/>
        <v>95.784295267717198</v>
      </c>
      <c r="O8" s="55" t="str">
        <f ca="1">IFERROR(INDEX(Calcs!$H$7:$H$20,MATCH($B8,Calcs!$A$7:$A$20,0)),"")</f>
        <v>L1</v>
      </c>
      <c r="P8" s="55" t="str">
        <f ca="1">IFERROR(INDEX(Calcs!$I$7:$I$20,MATCH($B8,Calcs!$A$7:$A$20,0)),"")</f>
        <v>WWLWL</v>
      </c>
      <c r="Q8" s="55" t="str">
        <f ca="1">IFERROR(IF(INDEX(Calcs!$L$7:$L$20,MATCH($B8,Calcs!$A$7:$A$20,0))&gt;0,"▲"&amp;INDEX(Calcs!$L$7:$L$20,MATCH($B8,Calcs!$A$7:$A$20,0)),IF(INDEX(Calcs!$L$7:$L$20,MATCH($B8,Calcs!$A$7:$A$20,0))&lt;0,"▼"&amp;ABS(INDEX(Calcs!$L$7:$L$20,MATCH($B8,Calcs!$A$7:$A$20,0))),"–")),"")</f>
        <v>▲2</v>
      </c>
      <c r="R8" s="55" t="str">
        <f ca="1">IFERROR(IF(INDEX(Calcs!$P$7:$P$20,MATCH($B8,Calcs!$A$7:$A$20,0))=0,"—",TEXT(INDEX(Calcs!$P$7:$P$20,MATCH($B8,Calcs!$A$7:$A$20,0)),"d mmm")),"")</f>
        <v>25 Sep</v>
      </c>
      <c r="S8" s="55">
        <f ca="1">IFERROR(ROUND(INDEX(Calcs!$Q$7:$Q$20,MATCH($B8,Calcs!$A$7:$A$20,0)),1),"")</f>
        <v>4.0999999999999996</v>
      </c>
      <c r="T8" s="55" t="str">
        <f ca="1">IFERROR(INDEX(Calcs!$T$7:$T$20,MATCH($B8,Calcs!$A$7:$A$20,0)),"")</f>
        <v>Inactive</v>
      </c>
      <c r="U8">
        <f ca="1">IFERROR(ROUND(INDEX(Calcs!$R$7:$R$20,MATCH($B8,Calcs!$A$7:$A$20,0))+INDEX(Calcs!$U$7:$U$20,MATCH($B8,Calcs!$A$7:$A$20,0)),0),0)</f>
        <v>40</v>
      </c>
      <c r="V8" s="57">
        <f ca="1">IFERROR(ROUND(INDEX(Calcs!$S$7:$S$20,MATCH($B8,Calcs!$A$7:$A$20,0)),0),"")</f>
        <v>1178</v>
      </c>
      <c r="W8" s="55" t="str">
        <f ca="1">IFERROR(INDEX(Calcs!$AF$7:$AF$20,MATCH($B8,Calcs!$A$7:$A$20,0)),"")</f>
        <v>Elite</v>
      </c>
      <c r="X8" s="57">
        <f ca="1">IFERROR(ROUND(SUMIF('Poker Stake Ledger'!$C$18:$C$137,$B8,'Poker Stake Ledger'!$K$18:$K$137),1),0)</f>
        <v>0</v>
      </c>
    </row>
    <row r="9" spans="1:24" ht="15" customHeight="1" x14ac:dyDescent="0.2">
      <c r="A9" s="52">
        <f t="shared" si="0"/>
        <v>5</v>
      </c>
      <c r="B9" s="53" t="str">
        <f ca="1">IFERROR(INDEX(Calcs!$A$7:$A$20,MATCH(LARGE(Calcs!$AI$7:$AI$20,ROW()-4),Calcs!$AI$7:$AI$20,0)),"")</f>
        <v>Simon</v>
      </c>
      <c r="C9" s="54">
        <f ca="1">IFERROR(INDEX(Calcs!$S$7:$S$20,MATCH($B9,Calcs!$A$7:$A$20,0)),"")</f>
        <v>1174.9945492849279</v>
      </c>
      <c r="D9" s="55">
        <f ca="1">COUNTIF('Match Log'!$D$4:$D$1510,$B9)</f>
        <v>44</v>
      </c>
      <c r="E9" s="55">
        <f ca="1">COUNTIFS('Match Log'!$D$4:$D$1510,$B9,'Match Log'!$E$4:$E$1510,"Win")</f>
        <v>23</v>
      </c>
      <c r="F9" s="55">
        <f t="shared" ca="1" si="1"/>
        <v>21</v>
      </c>
      <c r="G9" s="56">
        <f t="shared" ca="1" si="2"/>
        <v>0.52272727272727271</v>
      </c>
      <c r="H9" s="57">
        <f ca="1">SUMIF('Match Log'!$D$4:$D$1510,$B9,'Match Log'!$J$4:$J$1510)</f>
        <v>56.42783844566047</v>
      </c>
      <c r="I9" s="57">
        <f ca="1">SUMIF('Match Log'!$D$4:$D$1510,$B9,'Match Log'!$K$4:$K$1510)</f>
        <v>65.116710839267427</v>
      </c>
      <c r="J9" s="57">
        <f ca="1">SUMIF('Match Log'!$D$4:$D$1510,$B9,'Match Log'!$L$4:$L$1510)</f>
        <v>89</v>
      </c>
      <c r="K9" s="55">
        <f ca="1">SUMPRODUCT(--(COUNTIFS('Match Log'!$D$4:$D$1510,$B9,'Match Log'!$C$4:$C$1510,Lists!$C$2:$C$26)&gt;0))</f>
        <v>12</v>
      </c>
      <c r="L9" s="55" t="str">
        <f ca="1">IF($D9=0,"No games",IF(AND($D9&gt;='Guide &amp; Settings'!$C$45,$K9&gt;='Guide &amp; Settings'!$C$46),"Eligible","Provisional"))</f>
        <v>Eligible</v>
      </c>
      <c r="M9" s="54">
        <f ca="1">IFERROR(INDEX(Calcs!$C$7:$C$20,MATCH($B9,Calcs!$A$7:$A$20,0)),"")</f>
        <v>1088.4310099379754</v>
      </c>
      <c r="N9" s="54">
        <f t="shared" ca="1" si="3"/>
        <v>98.69128770973748</v>
      </c>
      <c r="O9" s="55" t="str">
        <f ca="1">IFERROR(INDEX(Calcs!$H$7:$H$20,MATCH($B9,Calcs!$A$7:$A$20,0)),"")</f>
        <v>W1</v>
      </c>
      <c r="P9" s="55" t="str">
        <f ca="1">IFERROR(INDEX(Calcs!$I$7:$I$20,MATCH($B9,Calcs!$A$7:$A$20,0)),"")</f>
        <v>WLWLW</v>
      </c>
      <c r="Q9" s="55" t="str">
        <f ca="1">IFERROR(IF(INDEX(Calcs!$L$7:$L$20,MATCH($B9,Calcs!$A$7:$A$20,0))&gt;0,"▲"&amp;INDEX(Calcs!$L$7:$L$20,MATCH($B9,Calcs!$A$7:$A$20,0)),IF(INDEX(Calcs!$L$7:$L$20,MATCH($B9,Calcs!$A$7:$A$20,0))&lt;0,"▼"&amp;ABS(INDEX(Calcs!$L$7:$L$20,MATCH($B9,Calcs!$A$7:$A$20,0))),"–")),"")</f>
        <v>▼2</v>
      </c>
      <c r="R9" s="55" t="str">
        <f ca="1">IFERROR(IF(INDEX(Calcs!$P$7:$P$20,MATCH($B9,Calcs!$A$7:$A$20,0))=0,"—",TEXT(INDEX(Calcs!$P$7:$P$20,MATCH($B9,Calcs!$A$7:$A$20,0)),"d mmm")),"")</f>
        <v>24 Oct</v>
      </c>
      <c r="S9" s="55">
        <f ca="1">IFERROR(ROUND(INDEX(Calcs!$Q$7:$Q$20,MATCH($B9,Calcs!$A$7:$A$20,0)),1),"")</f>
        <v>0</v>
      </c>
      <c r="T9" s="55" t="str">
        <f ca="1">IFERROR(INDEX(Calcs!$T$7:$T$20,MATCH($B9,Calcs!$A$7:$A$20,0)),"")</f>
        <v>Active</v>
      </c>
      <c r="U9">
        <f ca="1">IFERROR(ROUND(INDEX(Calcs!$R$7:$R$20,MATCH($B9,Calcs!$A$7:$A$20,0))+INDEX(Calcs!$U$7:$U$20,MATCH($B9,Calcs!$A$7:$A$20,0)),0),0)</f>
        <v>30</v>
      </c>
      <c r="V9" s="57">
        <f ca="1">IFERROR(ROUND(INDEX(Calcs!$S$7:$S$20,MATCH($B9,Calcs!$A$7:$A$20,0)),0),"")</f>
        <v>1175</v>
      </c>
      <c r="W9" s="55" t="str">
        <f ca="1">IFERROR(INDEX(Calcs!$AF$7:$AF$20,MATCH($B9,Calcs!$A$7:$A$20,0)),"")</f>
        <v>Elite</v>
      </c>
      <c r="X9" s="57">
        <f ca="1">IFERROR(ROUND(SUMIF('Poker Stake Ledger'!$C$18:$C$137,$B9,'Poker Stake Ledger'!$K$18:$K$137),1),0)</f>
        <v>-5.6</v>
      </c>
    </row>
    <row r="10" spans="1:24" ht="15" customHeight="1" x14ac:dyDescent="0.2">
      <c r="A10" s="52">
        <f t="shared" si="0"/>
        <v>6</v>
      </c>
      <c r="B10" s="53" t="str">
        <f ca="1">IFERROR(INDEX(Calcs!$A$7:$A$20,MATCH(LARGE(Calcs!$AI$7:$AI$20,ROW()-4),Calcs!$AI$7:$AI$20,0)),"")</f>
        <v>Daniel (Ferret)</v>
      </c>
      <c r="C10" s="54">
        <f ca="1">IFERROR(INDEX(Calcs!$S$7:$S$20,MATCH($B10,Calcs!$A$7:$A$20,0)),"")</f>
        <v>1154.949342448014</v>
      </c>
      <c r="D10" s="55">
        <f ca="1">COUNTIF('Match Log'!$D$4:$D$1510,$B10)</f>
        <v>162</v>
      </c>
      <c r="E10" s="55">
        <f ca="1">COUNTIFS('Match Log'!$D$4:$D$1510,$B10,'Match Log'!$E$4:$E$1510,"Win")</f>
        <v>69</v>
      </c>
      <c r="F10" s="55">
        <f t="shared" ca="1" si="1"/>
        <v>93</v>
      </c>
      <c r="G10" s="56">
        <f t="shared" ca="1" si="2"/>
        <v>0.42592592592592593</v>
      </c>
      <c r="H10" s="57">
        <f ca="1">SUMIF('Match Log'!$D$4:$D$1510,$B10,'Match Log'!$J$4:$J$1510)</f>
        <v>-53.937028883704635</v>
      </c>
      <c r="I10" s="57">
        <f ca="1">SUMIF('Match Log'!$D$4:$D$1510,$B10,'Match Log'!$K$4:$K$1510)</f>
        <v>39.236371331718885</v>
      </c>
      <c r="J10" s="57">
        <f ca="1">SUMIF('Match Log'!$D$4:$D$1510,$B10,'Match Log'!$L$4:$L$1510)</f>
        <v>171</v>
      </c>
      <c r="K10" s="55">
        <f ca="1">SUMPRODUCT(--(COUNTIFS('Match Log'!$D$4:$D$1510,$B10,'Match Log'!$C$4:$C$1510,Lists!$C$2:$C$26)&gt;0))</f>
        <v>20</v>
      </c>
      <c r="L10" s="55" t="str">
        <f ca="1">IF($D10=0,"No games",IF(AND($D10&gt;='Guide &amp; Settings'!$C$45,$K10&gt;='Guide &amp; Settings'!$C$46),"Eligible","Provisional"))</f>
        <v>Eligible</v>
      </c>
      <c r="M10" s="54">
        <f ca="1">IFERROR(INDEX(Calcs!$C$7:$C$20,MATCH($B10,Calcs!$A$7:$A$20,0)),"")</f>
        <v>1181.8190141493958</v>
      </c>
      <c r="N10" s="54">
        <f t="shared" ca="1" si="3"/>
        <v>118.73649454665133</v>
      </c>
      <c r="O10" s="55" t="str">
        <f ca="1">IFERROR(INDEX(Calcs!$H$7:$H$20,MATCH($B10,Calcs!$A$7:$A$20,0)),"")</f>
        <v>L2</v>
      </c>
      <c r="P10" s="55" t="str">
        <f ca="1">IFERROR(INDEX(Calcs!$I$7:$I$20,MATCH($B10,Calcs!$A$7:$A$20,0)),"")</f>
        <v>LLWLL</v>
      </c>
      <c r="Q10" s="55" t="str">
        <f ca="1">IFERROR(IF(INDEX(Calcs!$L$7:$L$20,MATCH($B10,Calcs!$A$7:$A$20,0))&gt;0,"▲"&amp;INDEX(Calcs!$L$7:$L$20,MATCH($B10,Calcs!$A$7:$A$20,0)),IF(INDEX(Calcs!$L$7:$L$20,MATCH($B10,Calcs!$A$7:$A$20,0))&lt;0,"▼"&amp;ABS(INDEX(Calcs!$L$7:$L$20,MATCH($B10,Calcs!$A$7:$A$20,0))),"–")),"")</f>
        <v>▼2</v>
      </c>
      <c r="R10" s="55" t="str">
        <f ca="1">IFERROR(IF(INDEX(Calcs!$P$7:$P$20,MATCH($B10,Calcs!$A$7:$A$20,0))=0,"—",TEXT(INDEX(Calcs!$P$7:$P$20,MATCH($B10,Calcs!$A$7:$A$20,0)),"d mmm")),"")</f>
        <v>24 Oct</v>
      </c>
      <c r="S10" s="55">
        <f ca="1">IFERROR(ROUND(INDEX(Calcs!$Q$7:$Q$20,MATCH($B10,Calcs!$A$7:$A$20,0)),1),"")</f>
        <v>0</v>
      </c>
      <c r="T10" s="55" t="str">
        <f ca="1">IFERROR(INDEX(Calcs!$T$7:$T$20,MATCH($B10,Calcs!$A$7:$A$20,0)),"")</f>
        <v>Active</v>
      </c>
      <c r="U10">
        <f ca="1">IFERROR(ROUND(INDEX(Calcs!$R$7:$R$20,MATCH($B10,Calcs!$A$7:$A$20,0))+INDEX(Calcs!$U$7:$U$20,MATCH($B10,Calcs!$A$7:$A$20,0)),0),0)</f>
        <v>0</v>
      </c>
      <c r="V10" s="57">
        <f ca="1">IFERROR(ROUND(INDEX(Calcs!$S$7:$S$20,MATCH($B10,Calcs!$A$7:$A$20,0)),0),"")</f>
        <v>1155</v>
      </c>
      <c r="W10" s="55" t="str">
        <f ca="1">IFERROR(INDEX(Calcs!$AF$7:$AF$20,MATCH($B10,Calcs!$A$7:$A$20,0)),"")</f>
        <v>Elite</v>
      </c>
      <c r="X10" s="57">
        <f ca="1">IFERROR(ROUND(SUMIF('Poker Stake Ledger'!$C$18:$C$137,$B10,'Poker Stake Ledger'!$K$18:$K$137),1),0)</f>
        <v>-1.4</v>
      </c>
    </row>
    <row r="11" spans="1:24" ht="15" customHeight="1" x14ac:dyDescent="0.2">
      <c r="A11" s="52">
        <f t="shared" si="0"/>
        <v>7</v>
      </c>
      <c r="B11" s="53" t="str">
        <f ca="1">IFERROR(INDEX(Calcs!$A$7:$A$20,MATCH(LARGE(Calcs!$AI$7:$AI$20,ROW()-4),Calcs!$AI$7:$AI$20,0)),"")</f>
        <v>Chase</v>
      </c>
      <c r="C11" s="54">
        <f ca="1">IFERROR(INDEX(Calcs!$S$7:$S$20,MATCH($B11,Calcs!$A$7:$A$20,0)),"")</f>
        <v>1028.0761030598392</v>
      </c>
      <c r="D11" s="55">
        <f ca="1">COUNTIF('Match Log'!$D$4:$D$1510,$B11)</f>
        <v>23</v>
      </c>
      <c r="E11" s="55">
        <f ca="1">COUNTIFS('Match Log'!$D$4:$D$1510,$B11,'Match Log'!$E$4:$E$1510,"Win")</f>
        <v>9</v>
      </c>
      <c r="F11" s="55">
        <f t="shared" ca="1" si="1"/>
        <v>14</v>
      </c>
      <c r="G11" s="56">
        <f t="shared" ca="1" si="2"/>
        <v>0.39130434782608697</v>
      </c>
      <c r="H11" s="57">
        <f ca="1">SUMIF('Match Log'!$D$4:$D$1510,$B11,'Match Log'!$J$4:$J$1510)</f>
        <v>9.3432383355777748</v>
      </c>
      <c r="I11" s="57">
        <f ca="1">SUMIF('Match Log'!$D$4:$D$1510,$B11,'Match Log'!$K$4:$K$1510)</f>
        <v>-8.2671352757385339</v>
      </c>
      <c r="J11" s="57">
        <f ca="1">SUMIF('Match Log'!$D$4:$D$1510,$B11,'Match Log'!$L$4:$L$1510)</f>
        <v>47</v>
      </c>
      <c r="K11" s="55">
        <f ca="1">SUMPRODUCT(--(COUNTIFS('Match Log'!$D$4:$D$1510,$B11,'Match Log'!$C$4:$C$1510,Lists!$C$2:$C$26)&gt;0))</f>
        <v>10</v>
      </c>
      <c r="L11" s="55" t="str">
        <f ca="1">IF($D11=0,"No games",IF(AND($D11&gt;='Guide &amp; Settings'!$C$45,$K11&gt;='Guide &amp; Settings'!$C$46),"Eligible","Provisional"))</f>
        <v>Eligible</v>
      </c>
      <c r="M11" s="54">
        <f ca="1">IFERROR(INDEX(Calcs!$C$7:$C$20,MATCH($B11,Calcs!$A$7:$A$20,0)),"")</f>
        <v>1158.1953774680592</v>
      </c>
      <c r="N11" s="54">
        <f t="shared" ca="1" si="3"/>
        <v>245.60973393482618</v>
      </c>
      <c r="O11" s="55" t="str">
        <f ca="1">IFERROR(INDEX(Calcs!$H$7:$H$20,MATCH($B11,Calcs!$A$7:$A$20,0)),"")</f>
        <v>L4</v>
      </c>
      <c r="P11" s="55" t="str">
        <f ca="1">IFERROR(INDEX(Calcs!$I$7:$I$20,MATCH($B11,Calcs!$A$7:$A$20,0)),"")</f>
        <v>WLLLL</v>
      </c>
      <c r="Q11" s="55" t="str">
        <f ca="1">IFERROR(IF(INDEX(Calcs!$L$7:$L$20,MATCH($B11,Calcs!$A$7:$A$20,0))&gt;0,"▲"&amp;INDEX(Calcs!$L$7:$L$20,MATCH($B11,Calcs!$A$7:$A$20,0)),IF(INDEX(Calcs!$L$7:$L$20,MATCH($B11,Calcs!$A$7:$A$20,0))&lt;0,"▼"&amp;ABS(INDEX(Calcs!$L$7:$L$20,MATCH($B11,Calcs!$A$7:$A$20,0))),"–")),"")</f>
        <v>–</v>
      </c>
      <c r="R11" s="55" t="str">
        <f ca="1">IFERROR(IF(INDEX(Calcs!$P$7:$P$20,MATCH($B11,Calcs!$A$7:$A$20,0))=0,"—",TEXT(INDEX(Calcs!$P$7:$P$20,MATCH($B11,Calcs!$A$7:$A$20,0)),"d mmm")),"")</f>
        <v>2 Oct</v>
      </c>
      <c r="S11" s="55">
        <f ca="1">IFERROR(ROUND(INDEX(Calcs!$Q$7:$Q$20,MATCH($B11,Calcs!$A$7:$A$20,0)),1),"")</f>
        <v>3.1</v>
      </c>
      <c r="T11" s="55" t="str">
        <f ca="1">IFERROR(INDEX(Calcs!$T$7:$T$20,MATCH($B11,Calcs!$A$7:$A$20,0)),"")</f>
        <v>At risk</v>
      </c>
      <c r="U11">
        <f ca="1">IFERROR(ROUND(INDEX(Calcs!$R$7:$R$20,MATCH($B11,Calcs!$A$7:$A$20,0))+INDEX(Calcs!$U$7:$U$20,MATCH($B11,Calcs!$A$7:$A$20,0)),0),0)</f>
        <v>20</v>
      </c>
      <c r="V11" s="57">
        <f ca="1">IFERROR(ROUND(INDEX(Calcs!$S$7:$S$20,MATCH($B11,Calcs!$A$7:$A$20,0)),0),"")</f>
        <v>1028</v>
      </c>
      <c r="W11" s="55" t="str">
        <f ca="1">IFERROR(INDEX(Calcs!$AF$7:$AF$20,MATCH($B11,Calcs!$A$7:$A$20,0)),"")</f>
        <v>Strong</v>
      </c>
      <c r="X11" s="57">
        <f ca="1">IFERROR(ROUND(SUMIF('Poker Stake Ledger'!$C$18:$C$137,$B11,'Poker Stake Ledger'!$K$18:$K$137),1),0)</f>
        <v>0</v>
      </c>
    </row>
    <row r="12" spans="1:24" ht="15" customHeight="1" x14ac:dyDescent="0.2">
      <c r="A12" s="52">
        <f t="shared" si="0"/>
        <v>8</v>
      </c>
      <c r="B12" s="53" t="str">
        <f ca="1">IFERROR(INDEX(Calcs!$A$7:$A$20,MATCH(LARGE(Calcs!$AI$7:$AI$20,ROW()-4),Calcs!$AI$7:$AI$20,0)),"")</f>
        <v>Dean M</v>
      </c>
      <c r="C12" s="54">
        <f ca="1">IFERROR(INDEX(Calcs!$S$7:$S$20,MATCH($B12,Calcs!$A$7:$A$20,0)),"")</f>
        <v>1017.5488947064855</v>
      </c>
      <c r="D12" s="55">
        <f ca="1">COUNTIF('Match Log'!$D$4:$D$1510,$B12)</f>
        <v>15</v>
      </c>
      <c r="E12" s="55">
        <f ca="1">COUNTIFS('Match Log'!$D$4:$D$1510,$B12,'Match Log'!$E$4:$E$1510,"Win")</f>
        <v>7</v>
      </c>
      <c r="F12" s="55">
        <f t="shared" ca="1" si="1"/>
        <v>8</v>
      </c>
      <c r="G12" s="56">
        <f t="shared" ca="1" si="2"/>
        <v>0.46666666666666667</v>
      </c>
      <c r="H12" s="57">
        <f ca="1">SUMIF('Match Log'!$D$4:$D$1510,$B12,'Match Log'!$J$4:$J$1510)</f>
        <v>28.076161354904098</v>
      </c>
      <c r="I12" s="57">
        <f ca="1">SUMIF('Match Log'!$D$4:$D$1510,$B12,'Match Log'!$K$4:$K$1510)</f>
        <v>24.47273335158134</v>
      </c>
      <c r="J12" s="57">
        <f ca="1">SUMIF('Match Log'!$D$4:$D$1510,$B12,'Match Log'!$L$4:$L$1510)</f>
        <v>35</v>
      </c>
      <c r="K12" s="55">
        <f ca="1">SUMPRODUCT(--(COUNTIFS('Match Log'!$D$4:$D$1510,$B12,'Match Log'!$C$4:$C$1510,Lists!$C$2:$C$26)&gt;0))</f>
        <v>4</v>
      </c>
      <c r="L12" s="55" t="str">
        <f ca="1">IF($D12=0,"No games",IF(AND($D12&gt;='Guide &amp; Settings'!$C$45,$K12&gt;='Guide &amp; Settings'!$C$46),"Eligible","Provisional"))</f>
        <v>Eligible</v>
      </c>
      <c r="M12" s="54">
        <f ca="1">IFERROR(INDEX(Calcs!$C$7:$C$20,MATCH($B12,Calcs!$A$7:$A$20,0)),"")</f>
        <v>1065.4085288890217</v>
      </c>
      <c r="N12" s="54">
        <f t="shared" ca="1" si="3"/>
        <v>256.13694228817985</v>
      </c>
      <c r="O12" s="55" t="str">
        <f ca="1">IFERROR(INDEX(Calcs!$H$7:$H$20,MATCH($B12,Calcs!$A$7:$A$20,0)),"")</f>
        <v>W1</v>
      </c>
      <c r="P12" s="55" t="str">
        <f ca="1">IFERROR(INDEX(Calcs!$I$7:$I$20,MATCH($B12,Calcs!$A$7:$A$20,0)),"")</f>
        <v>LWWLW</v>
      </c>
      <c r="Q12" s="55" t="str">
        <f ca="1">IFERROR(IF(INDEX(Calcs!$L$7:$L$20,MATCH($B12,Calcs!$A$7:$A$20,0))&gt;0,"▲"&amp;INDEX(Calcs!$L$7:$L$20,MATCH($B12,Calcs!$A$7:$A$20,0)),IF(INDEX(Calcs!$L$7:$L$20,MATCH($B12,Calcs!$A$7:$A$20,0))&lt;0,"▼"&amp;ABS(INDEX(Calcs!$L$7:$L$20,MATCH($B12,Calcs!$A$7:$A$20,0))),"–")),"")</f>
        <v>–</v>
      </c>
      <c r="R12" s="55" t="str">
        <f ca="1">IFERROR(IF(INDEX(Calcs!$P$7:$P$20,MATCH($B12,Calcs!$A$7:$A$20,0))=0,"—",TEXT(INDEX(Calcs!$P$7:$P$20,MATCH($B12,Calcs!$A$7:$A$20,0)),"d mmm")),"")</f>
        <v>15 Aug</v>
      </c>
      <c r="S12" s="55">
        <f ca="1">IFERROR(ROUND(INDEX(Calcs!$Q$7:$Q$20,MATCH($B12,Calcs!$A$7:$A$20,0)),1),"")</f>
        <v>10</v>
      </c>
      <c r="T12" s="55" t="str">
        <f ca="1">IFERROR(INDEX(Calcs!$T$7:$T$20,MATCH($B12,Calcs!$A$7:$A$20,0)),"")</f>
        <v>Inactive</v>
      </c>
      <c r="U12">
        <f ca="1">IFERROR(ROUND(INDEX(Calcs!$R$7:$R$20,MATCH($B12,Calcs!$A$7:$A$20,0))+INDEX(Calcs!$U$7:$U$20,MATCH($B12,Calcs!$A$7:$A$20,0)),0),0)</f>
        <v>70</v>
      </c>
      <c r="V12" s="57">
        <f ca="1">IFERROR(ROUND(INDEX(Calcs!$S$7:$S$20,MATCH($B12,Calcs!$A$7:$A$20,0)),0),"")</f>
        <v>1018</v>
      </c>
      <c r="W12" s="55" t="str">
        <f ca="1">IFERROR(INDEX(Calcs!$AF$7:$AF$20,MATCH($B12,Calcs!$A$7:$A$20,0)),"")</f>
        <v>Mid</v>
      </c>
      <c r="X12" s="57">
        <f ca="1">IFERROR(ROUND(SUMIF('Poker Stake Ledger'!$C$18:$C$137,$B12,'Poker Stake Ledger'!$K$18:$K$137),1),0)</f>
        <v>0</v>
      </c>
    </row>
    <row r="13" spans="1:24" ht="15" customHeight="1" x14ac:dyDescent="0.2">
      <c r="A13" s="52">
        <f t="shared" si="0"/>
        <v>9</v>
      </c>
      <c r="B13" s="53" t="str">
        <f ca="1">IFERROR(INDEX(Calcs!$A$7:$A$20,MATCH(LARGE(Calcs!$AI$7:$AI$20,ROW()-4),Calcs!$AI$7:$AI$20,0)),"")</f>
        <v>Dylan S</v>
      </c>
      <c r="C13" s="54">
        <f ca="1">IFERROR(INDEX(Calcs!$S$7:$S$20,MATCH($B13,Calcs!$A$7:$A$20,0)),"")</f>
        <v>1000</v>
      </c>
      <c r="D13" s="55">
        <f ca="1">COUNTIF('Match Log'!$D$4:$D$1510,$B13)</f>
        <v>0</v>
      </c>
      <c r="E13" s="55">
        <f ca="1">COUNTIFS('Match Log'!$D$4:$D$1510,$B13,'Match Log'!$E$4:$E$1510,"Win")</f>
        <v>0</v>
      </c>
      <c r="F13" s="55">
        <f t="shared" ca="1" si="1"/>
        <v>0</v>
      </c>
      <c r="G13" s="56" t="str">
        <f t="shared" ca="1" si="2"/>
        <v/>
      </c>
      <c r="H13" s="57">
        <f ca="1">SUMIF('Match Log'!$D$4:$D$1510,$B13,'Match Log'!$J$4:$J$1510)</f>
        <v>0</v>
      </c>
      <c r="I13" s="57">
        <f ca="1">SUMIF('Match Log'!$D$4:$D$1510,$B13,'Match Log'!$K$4:$K$1510)</f>
        <v>0</v>
      </c>
      <c r="J13" s="57">
        <f ca="1">SUMIF('Match Log'!$D$4:$D$1510,$B13,'Match Log'!$L$4:$L$1510)</f>
        <v>0</v>
      </c>
      <c r="K13" s="55">
        <f ca="1">SUMPRODUCT(--(COUNTIFS('Match Log'!$D$4:$D$1510,$B13,'Match Log'!$C$4:$C$1510,Lists!$C$2:$C$26)&gt;0))</f>
        <v>0</v>
      </c>
      <c r="L13" s="55" t="str">
        <f ca="1">IF($D13=0,"No games",IF(AND($D13&gt;='Guide &amp; Settings'!$C$45,$K13&gt;='Guide &amp; Settings'!$C$46),"Eligible","Provisional"))</f>
        <v>No games</v>
      </c>
      <c r="M13" s="54" t="str">
        <f ca="1">IFERROR(INDEX(Calcs!$C$7:$C$20,MATCH($B13,Calcs!$A$7:$A$20,0)),"")</f>
        <v/>
      </c>
      <c r="N13" s="54">
        <f t="shared" ca="1" si="3"/>
        <v>273.68583699466535</v>
      </c>
      <c r="O13" s="55" t="str">
        <f ca="1">IFERROR(INDEX(Calcs!$H$7:$H$20,MATCH($B13,Calcs!$A$7:$A$20,0)),"")</f>
        <v/>
      </c>
      <c r="P13" s="55" t="str">
        <f ca="1">IFERROR(INDEX(Calcs!$I$7:$I$20,MATCH($B13,Calcs!$A$7:$A$20,0)),"")</f>
        <v/>
      </c>
      <c r="Q13" s="55" t="str">
        <f ca="1">IFERROR(IF(INDEX(Calcs!$L$7:$L$20,MATCH($B13,Calcs!$A$7:$A$20,0))&gt;0,"▲"&amp;INDEX(Calcs!$L$7:$L$20,MATCH($B13,Calcs!$A$7:$A$20,0)),IF(INDEX(Calcs!$L$7:$L$20,MATCH($B13,Calcs!$A$7:$A$20,0))&lt;0,"▼"&amp;ABS(INDEX(Calcs!$L$7:$L$20,MATCH($B13,Calcs!$A$7:$A$20,0))),"–")),"")</f>
        <v>–</v>
      </c>
      <c r="R13" s="55" t="str">
        <f ca="1">IFERROR(IF(INDEX(Calcs!$P$7:$P$20,MATCH($B13,Calcs!$A$7:$A$20,0))=0,"—",TEXT(INDEX(Calcs!$P$7:$P$20,MATCH($B13,Calcs!$A$7:$A$20,0)),"d mmm")),"")</f>
        <v>—</v>
      </c>
      <c r="S13" s="55" t="str">
        <f ca="1">IFERROR(ROUND(INDEX(Calcs!$Q$7:$Q$20,MATCH($B13,Calcs!$A$7:$A$20,0)),1),"")</f>
        <v/>
      </c>
      <c r="T13" s="55" t="str">
        <f ca="1">IFERROR(INDEX(Calcs!$T$7:$T$20,MATCH($B13,Calcs!$A$7:$A$20,0)),"")</f>
        <v>No games</v>
      </c>
      <c r="U13">
        <f ca="1">IFERROR(ROUND(INDEX(Calcs!$R$7:$R$20,MATCH($B13,Calcs!$A$7:$A$20,0))+INDEX(Calcs!$U$7:$U$20,MATCH($B13,Calcs!$A$7:$A$20,0)),0),0)</f>
        <v>0</v>
      </c>
      <c r="V13" s="57">
        <f ca="1">IFERROR(ROUND(INDEX(Calcs!$S$7:$S$20,MATCH($B13,Calcs!$A$7:$A$20,0)),0),"")</f>
        <v>1000</v>
      </c>
      <c r="W13" s="55" t="str">
        <f ca="1">IFERROR(INDEX(Calcs!$AF$7:$AF$20,MATCH($B13,Calcs!$A$7:$A$20,0)),"")</f>
        <v>No games</v>
      </c>
      <c r="X13" s="57">
        <f ca="1">IFERROR(ROUND(SUMIF('Poker Stake Ledger'!$C$18:$C$137,$B13,'Poker Stake Ledger'!$K$18:$K$137),1),0)</f>
        <v>0</v>
      </c>
    </row>
    <row r="14" spans="1:24" ht="15" customHeight="1" x14ac:dyDescent="0.2">
      <c r="A14" s="52">
        <f t="shared" si="0"/>
        <v>10</v>
      </c>
      <c r="B14" s="53" t="str">
        <f ca="1">IFERROR(INDEX(Calcs!$A$7:$A$20,MATCH(LARGE(Calcs!$AI$7:$AI$20,ROW()-4),Calcs!$AI$7:$AI$20,0)),"")</f>
        <v>Oscar</v>
      </c>
      <c r="C14" s="54">
        <f ca="1">IFERROR(INDEX(Calcs!$S$7:$S$20,MATCH($B14,Calcs!$A$7:$A$20,0)),"")</f>
        <v>972.21010962469381</v>
      </c>
      <c r="D14" s="55">
        <f ca="1">COUNTIF('Match Log'!$D$4:$D$1510,$B14)</f>
        <v>89</v>
      </c>
      <c r="E14" s="55">
        <f ca="1">COUNTIFS('Match Log'!$D$4:$D$1510,$B14,'Match Log'!$E$4:$E$1510,"Win")</f>
        <v>32</v>
      </c>
      <c r="F14" s="55">
        <f t="shared" ca="1" si="1"/>
        <v>57</v>
      </c>
      <c r="G14" s="56">
        <f t="shared" ca="1" si="2"/>
        <v>0.3595505617977528</v>
      </c>
      <c r="H14" s="57">
        <f ca="1">SUMIF('Match Log'!$D$4:$D$1510,$B14,'Match Log'!$J$4:$J$1510)</f>
        <v>-95.960601125760434</v>
      </c>
      <c r="I14" s="57">
        <f ca="1">SUMIF('Match Log'!$D$4:$D$1510,$B14,'Match Log'!$K$4:$K$1510)</f>
        <v>-54.829289249545958</v>
      </c>
      <c r="J14" s="57">
        <f ca="1">SUMIF('Match Log'!$D$4:$D$1510,$B14,'Match Log'!$L$4:$L$1510)</f>
        <v>123</v>
      </c>
      <c r="K14" s="55">
        <f ca="1">SUMPRODUCT(--(COUNTIFS('Match Log'!$D$4:$D$1510,$B14,'Match Log'!$C$4:$C$1510,Lists!$C$2:$C$26)&gt;0))</f>
        <v>14</v>
      </c>
      <c r="L14" s="55" t="str">
        <f ca="1">IF($D14=0,"No games",IF(AND($D14&gt;='Guide &amp; Settings'!$C$45,$K14&gt;='Guide &amp; Settings'!$C$46),"Eligible","Provisional"))</f>
        <v>Eligible</v>
      </c>
      <c r="M14" s="54">
        <f ca="1">IFERROR(INDEX(Calcs!$C$7:$C$20,MATCH($B14,Calcs!$A$7:$A$20,0)),"")</f>
        <v>1184.8266958157653</v>
      </c>
      <c r="N14" s="54">
        <f t="shared" ca="1" si="3"/>
        <v>301.47572736997154</v>
      </c>
      <c r="O14" s="55" t="str">
        <f ca="1">IFERROR(INDEX(Calcs!$H$7:$H$20,MATCH($B14,Calcs!$A$7:$A$20,0)),"")</f>
        <v>L1</v>
      </c>
      <c r="P14" s="55" t="str">
        <f ca="1">IFERROR(INDEX(Calcs!$I$7:$I$20,MATCH($B14,Calcs!$A$7:$A$20,0)),"")</f>
        <v>LWLWL</v>
      </c>
      <c r="Q14" s="55" t="str">
        <f ca="1">IFERROR(IF(INDEX(Calcs!$L$7:$L$20,MATCH($B14,Calcs!$A$7:$A$20,0))&gt;0,"▲"&amp;INDEX(Calcs!$L$7:$L$20,MATCH($B14,Calcs!$A$7:$A$20,0)),IF(INDEX(Calcs!$L$7:$L$20,MATCH($B14,Calcs!$A$7:$A$20,0))&lt;0,"▼"&amp;ABS(INDEX(Calcs!$L$7:$L$20,MATCH($B14,Calcs!$A$7:$A$20,0))),"–")),"")</f>
        <v>▲1</v>
      </c>
      <c r="R14" s="55" t="str">
        <f ca="1">IFERROR(IF(INDEX(Calcs!$P$7:$P$20,MATCH($B14,Calcs!$A$7:$A$20,0))=0,"—",TEXT(INDEX(Calcs!$P$7:$P$20,MATCH($B14,Calcs!$A$7:$A$20,0)),"d mmm")),"")</f>
        <v>24 Oct</v>
      </c>
      <c r="S14" s="55">
        <f ca="1">IFERROR(ROUND(INDEX(Calcs!$Q$7:$Q$20,MATCH($B14,Calcs!$A$7:$A$20,0)),1),"")</f>
        <v>0</v>
      </c>
      <c r="T14" s="55" t="str">
        <f ca="1">IFERROR(INDEX(Calcs!$T$7:$T$20,MATCH($B14,Calcs!$A$7:$A$20,0)),"")</f>
        <v>Active</v>
      </c>
      <c r="U14">
        <f ca="1">IFERROR(ROUND(INDEX(Calcs!$R$7:$R$20,MATCH($B14,Calcs!$A$7:$A$20,0))+INDEX(Calcs!$U$7:$U$20,MATCH($B14,Calcs!$A$7:$A$20,0)),0),0)</f>
        <v>0</v>
      </c>
      <c r="V14" s="57">
        <f ca="1">IFERROR(ROUND(INDEX(Calcs!$S$7:$S$20,MATCH($B14,Calcs!$A$7:$A$20,0)),0),"")</f>
        <v>972</v>
      </c>
      <c r="W14" s="55" t="str">
        <f ca="1">IFERROR(INDEX(Calcs!$AF$7:$AF$20,MATCH($B14,Calcs!$A$7:$A$20,0)),"")</f>
        <v>Mid</v>
      </c>
      <c r="X14" s="57">
        <f ca="1">IFERROR(ROUND(SUMIF('Poker Stake Ledger'!$C$18:$C$137,$B14,'Poker Stake Ledger'!$K$18:$K$137),1),0)</f>
        <v>0</v>
      </c>
    </row>
    <row r="15" spans="1:24" ht="15" customHeight="1" x14ac:dyDescent="0.2">
      <c r="A15" s="52">
        <f t="shared" si="0"/>
        <v>11</v>
      </c>
      <c r="B15" s="53" t="str">
        <f ca="1">IFERROR(INDEX(Calcs!$A$7:$A$20,MATCH(LARGE(Calcs!$AI$7:$AI$20,ROW()-4),Calcs!$AI$7:$AI$20,0)),"")</f>
        <v>Dylan A</v>
      </c>
      <c r="C15" s="54">
        <f ca="1">IFERROR(INDEX(Calcs!$S$7:$S$20,MATCH($B15,Calcs!$A$7:$A$20,0)),"")</f>
        <v>970.50724028215677</v>
      </c>
      <c r="D15" s="55">
        <f ca="1">COUNTIF('Match Log'!$D$4:$D$1510,$B15)</f>
        <v>17</v>
      </c>
      <c r="E15" s="55">
        <f ca="1">COUNTIFS('Match Log'!$D$4:$D$1510,$B15,'Match Log'!$E$4:$E$1510,"Win")</f>
        <v>6</v>
      </c>
      <c r="F15" s="55">
        <f t="shared" ca="1" si="1"/>
        <v>11</v>
      </c>
      <c r="G15" s="56">
        <f t="shared" ca="1" si="2"/>
        <v>0.35294117647058826</v>
      </c>
      <c r="H15" s="57">
        <f ca="1">SUMIF('Match Log'!$D$4:$D$1510,$B15,'Match Log'!$J$4:$J$1510)</f>
        <v>-23.658438129506465</v>
      </c>
      <c r="I15" s="57">
        <f ca="1">SUMIF('Match Log'!$D$4:$D$1510,$B15,'Match Log'!$K$4:$K$1510)</f>
        <v>-2.8343215883365609</v>
      </c>
      <c r="J15" s="57">
        <f ca="1">SUMIF('Match Log'!$D$4:$D$1510,$B15,'Match Log'!$L$4:$L$1510)</f>
        <v>37</v>
      </c>
      <c r="K15" s="55">
        <f ca="1">SUMPRODUCT(--(COUNTIFS('Match Log'!$D$4:$D$1510,$B15,'Match Log'!$C$4:$C$1510,Lists!$C$2:$C$26)&gt;0))</f>
        <v>5</v>
      </c>
      <c r="L15" s="55" t="str">
        <f ca="1">IF($D15=0,"No games",IF(AND($D15&gt;='Guide &amp; Settings'!$C$45,$K15&gt;='Guide &amp; Settings'!$C$46),"Eligible","Provisional"))</f>
        <v>Eligible</v>
      </c>
      <c r="M15" s="54">
        <f ca="1">IFERROR(INDEX(Calcs!$C$7:$C$20,MATCH($B15,Calcs!$A$7:$A$20,0)),"")</f>
        <v>1115.8129421390397</v>
      </c>
      <c r="N15" s="54">
        <f t="shared" ca="1" si="3"/>
        <v>303.17859671250858</v>
      </c>
      <c r="O15" s="55" t="str">
        <f ca="1">IFERROR(INDEX(Calcs!$H$7:$H$20,MATCH($B15,Calcs!$A$7:$A$20,0)),"")</f>
        <v>L8</v>
      </c>
      <c r="P15" s="55" t="str">
        <f ca="1">IFERROR(INDEX(Calcs!$I$7:$I$20,MATCH($B15,Calcs!$A$7:$A$20,0)),"")</f>
        <v>LLLLL</v>
      </c>
      <c r="Q15" s="55" t="str">
        <f ca="1">IFERROR(IF(INDEX(Calcs!$L$7:$L$20,MATCH($B15,Calcs!$A$7:$A$20,0))&gt;0,"▲"&amp;INDEX(Calcs!$L$7:$L$20,MATCH($B15,Calcs!$A$7:$A$20,0)),IF(INDEX(Calcs!$L$7:$L$20,MATCH($B15,Calcs!$A$7:$A$20,0))&lt;0,"▼"&amp;ABS(INDEX(Calcs!$L$7:$L$20,MATCH($B15,Calcs!$A$7:$A$20,0))),"–")),"")</f>
        <v>▼1</v>
      </c>
      <c r="R15" s="55" t="str">
        <f ca="1">IFERROR(IF(INDEX(Calcs!$P$7:$P$20,MATCH($B15,Calcs!$A$7:$A$20,0))=0,"—",TEXT(INDEX(Calcs!$P$7:$P$20,MATCH($B15,Calcs!$A$7:$A$20,0)),"d mmm")),"")</f>
        <v>3 Oct</v>
      </c>
      <c r="S15" s="55">
        <f ca="1">IFERROR(ROUND(INDEX(Calcs!$Q$7:$Q$20,MATCH($B15,Calcs!$A$7:$A$20,0)),1),"")</f>
        <v>3</v>
      </c>
      <c r="T15" s="55" t="str">
        <f ca="1">IFERROR(INDEX(Calcs!$T$7:$T$20,MATCH($B15,Calcs!$A$7:$A$20,0)),"")</f>
        <v>At risk</v>
      </c>
      <c r="U15">
        <f ca="1">IFERROR(ROUND(INDEX(Calcs!$R$7:$R$20,MATCH($B15,Calcs!$A$7:$A$20,0))+INDEX(Calcs!$U$7:$U$20,MATCH($B15,Calcs!$A$7:$A$20,0)),0),0)</f>
        <v>40</v>
      </c>
      <c r="V15" s="57">
        <f ca="1">IFERROR(ROUND(INDEX(Calcs!$S$7:$S$20,MATCH($B15,Calcs!$A$7:$A$20,0)),0),"")</f>
        <v>971</v>
      </c>
      <c r="W15" s="55" t="str">
        <f ca="1">IFERROR(INDEX(Calcs!$AF$7:$AF$20,MATCH($B15,Calcs!$A$7:$A$20,0)),"")</f>
        <v>Mid</v>
      </c>
      <c r="X15" s="57">
        <f ca="1">IFERROR(ROUND(SUMIF('Poker Stake Ledger'!$C$18:$C$137,$B15,'Poker Stake Ledger'!$K$18:$K$137),1),0)</f>
        <v>0</v>
      </c>
    </row>
    <row r="16" spans="1:24" ht="15" customHeight="1" x14ac:dyDescent="0.2">
      <c r="A16" s="52">
        <f t="shared" si="0"/>
        <v>12</v>
      </c>
      <c r="B16" s="53" t="str">
        <f ca="1">IFERROR(INDEX(Calcs!$A$7:$A$20,MATCH(LARGE(Calcs!$AI$7:$AI$20,ROW()-4),Calcs!$AI$7:$AI$20,0)),"")</f>
        <v>Beau</v>
      </c>
      <c r="C16" s="54">
        <f ca="1">IFERROR(INDEX(Calcs!$S$7:$S$20,MATCH($B16,Calcs!$A$7:$A$20,0)),"")</f>
        <v>879.51759653351382</v>
      </c>
      <c r="D16" s="55">
        <f ca="1">COUNTIF('Match Log'!$D$4:$D$1510,$B16)</f>
        <v>10</v>
      </c>
      <c r="E16" s="55">
        <f ca="1">COUNTIFS('Match Log'!$D$4:$D$1510,$B16,'Match Log'!$E$4:$E$1510,"Win")</f>
        <v>5</v>
      </c>
      <c r="F16" s="55">
        <f t="shared" ca="1" si="1"/>
        <v>5</v>
      </c>
      <c r="G16" s="56">
        <f t="shared" ca="1" si="2"/>
        <v>0.5</v>
      </c>
      <c r="H16" s="57">
        <f ca="1">SUMIF('Match Log'!$D$4:$D$1510,$B16,'Match Log'!$J$4:$J$1510)</f>
        <v>-14.562118325761057</v>
      </c>
      <c r="I16" s="57">
        <f ca="1">SUMIF('Match Log'!$D$4:$D$1510,$B16,'Match Log'!$K$4:$K$1510)</f>
        <v>16.079714859275072</v>
      </c>
      <c r="J16" s="57">
        <f ca="1">SUMIF('Match Log'!$D$4:$D$1510,$B16,'Match Log'!$L$4:$L$1510)</f>
        <v>28</v>
      </c>
      <c r="K16" s="55">
        <f ca="1">SUMPRODUCT(--(COUNTIFS('Match Log'!$D$4:$D$1510,$B16,'Match Log'!$C$4:$C$1510,Lists!$C$2:$C$26)&gt;0))</f>
        <v>3</v>
      </c>
      <c r="L16" s="55" t="str">
        <f ca="1">IF($D16=0,"No games",IF(AND($D16&gt;='Guide &amp; Settings'!$C$45,$K16&gt;='Guide &amp; Settings'!$C$46),"Eligible","Provisional"))</f>
        <v>Eligible</v>
      </c>
      <c r="M16" s="54">
        <f ca="1">IFERROR(INDEX(Calcs!$C$7:$C$20,MATCH($B16,Calcs!$A$7:$A$20,0)),"")</f>
        <v>1098.1933664327885</v>
      </c>
      <c r="N16" s="54">
        <f t="shared" ca="1" si="3"/>
        <v>394.16824046115153</v>
      </c>
      <c r="O16" s="55" t="str">
        <f ca="1">IFERROR(INDEX(Calcs!$H$7:$H$20,MATCH($B16,Calcs!$A$7:$A$20,0)),"")</f>
        <v>L2</v>
      </c>
      <c r="P16" s="55" t="str">
        <f ca="1">IFERROR(INDEX(Calcs!$I$7:$I$20,MATCH($B16,Calcs!$A$7:$A$20,0)),"")</f>
        <v>LWWLL</v>
      </c>
      <c r="Q16" s="55" t="str">
        <f ca="1">IFERROR(IF(INDEX(Calcs!$L$7:$L$20,MATCH($B16,Calcs!$A$7:$A$20,0))&gt;0,"▲"&amp;INDEX(Calcs!$L$7:$L$20,MATCH($B16,Calcs!$A$7:$A$20,0)),IF(INDEX(Calcs!$L$7:$L$20,MATCH($B16,Calcs!$A$7:$A$20,0))&lt;0,"▼"&amp;ABS(INDEX(Calcs!$L$7:$L$20,MATCH($B16,Calcs!$A$7:$A$20,0))),"–")),"")</f>
        <v>–</v>
      </c>
      <c r="R16" s="55" t="str">
        <f ca="1">IFERROR(IF(INDEX(Calcs!$P$7:$P$20,MATCH($B16,Calcs!$A$7:$A$20,0))=0,"—",TEXT(INDEX(Calcs!$P$7:$P$20,MATCH($B16,Calcs!$A$7:$A$20,0)),"d mmm")),"")</f>
        <v>15 Jun</v>
      </c>
      <c r="S16" s="55">
        <f ca="1">IFERROR(ROUND(INDEX(Calcs!$Q$7:$Q$20,MATCH($B16,Calcs!$A$7:$A$20,0)),1),"")</f>
        <v>18.7</v>
      </c>
      <c r="T16" s="55" t="str">
        <f ca="1">IFERROR(INDEX(Calcs!$T$7:$T$20,MATCH($B16,Calcs!$A$7:$A$20,0)),"")</f>
        <v>Inactive</v>
      </c>
      <c r="U16">
        <f ca="1">IFERROR(ROUND(INDEX(Calcs!$R$7:$R$20,MATCH($B16,Calcs!$A$7:$A$20,0))+INDEX(Calcs!$U$7:$U$20,MATCH($B16,Calcs!$A$7:$A$20,0)),0),0)</f>
        <v>150</v>
      </c>
      <c r="V16" s="57">
        <f ca="1">IFERROR(ROUND(INDEX(Calcs!$S$7:$S$20,MATCH($B16,Calcs!$A$7:$A$20,0)),0),"")</f>
        <v>880</v>
      </c>
      <c r="W16" s="55" t="str">
        <f ca="1">IFERROR(INDEX(Calcs!$AF$7:$AF$20,MATCH($B16,Calcs!$A$7:$A$20,0)),"")</f>
        <v>Developing</v>
      </c>
      <c r="X16" s="57">
        <f ca="1">IFERROR(ROUND(SUMIF('Poker Stake Ledger'!$C$18:$C$137,$B16,'Poker Stake Ledger'!$K$18:$K$137),1),0)</f>
        <v>0</v>
      </c>
    </row>
    <row r="17" spans="1:24" ht="15" customHeight="1" x14ac:dyDescent="0.2">
      <c r="A17" s="52">
        <f t="shared" si="0"/>
        <v>13</v>
      </c>
      <c r="B17" s="53" t="str">
        <f ca="1">IFERROR(INDEX(Calcs!$A$7:$A$20,MATCH(LARGE(Calcs!$AI$7:$AI$20,ROW()-4),Calcs!$AI$7:$AI$20,0)),"")</f>
        <v>David</v>
      </c>
      <c r="C17" s="54">
        <f ca="1">IFERROR(INDEX(Calcs!$S$7:$S$20,MATCH($B17,Calcs!$A$7:$A$20,0)),"")</f>
        <v>827.03133644117429</v>
      </c>
      <c r="D17" s="55">
        <f ca="1">COUNTIF('Match Log'!$D$4:$D$1510,$B17)</f>
        <v>23</v>
      </c>
      <c r="E17" s="55">
        <f ca="1">COUNTIFS('Match Log'!$D$4:$D$1510,$B17,'Match Log'!$E$4:$E$1510,"Win")</f>
        <v>5</v>
      </c>
      <c r="F17" s="55">
        <f t="shared" ca="1" si="1"/>
        <v>18</v>
      </c>
      <c r="G17" s="56">
        <f t="shared" ca="1" si="2"/>
        <v>0.21739130434782608</v>
      </c>
      <c r="H17" s="57">
        <f ca="1">SUMIF('Match Log'!$D$4:$D$1510,$B17,'Match Log'!$J$4:$J$1510)</f>
        <v>-91.984818702312509</v>
      </c>
      <c r="I17" s="57">
        <f ca="1">SUMIF('Match Log'!$D$4:$D$1510,$B17,'Match Log'!$K$4:$K$1510)</f>
        <v>-39.983844856513329</v>
      </c>
      <c r="J17" s="57">
        <f ca="1">SUMIF('Match Log'!$D$4:$D$1510,$B17,'Match Log'!$L$4:$L$1510)</f>
        <v>39</v>
      </c>
      <c r="K17" s="55">
        <f ca="1">SUMPRODUCT(--(COUNTIFS('Match Log'!$D$4:$D$1510,$B17,'Match Log'!$C$4:$C$1510,Lists!$C$2:$C$26)&gt;0))</f>
        <v>6</v>
      </c>
      <c r="L17" s="55" t="str">
        <f ca="1">IF($D17=0,"No games",IF(AND($D17&gt;='Guide &amp; Settings'!$C$45,$K17&gt;='Guide &amp; Settings'!$C$46),"Eligible","Provisional"))</f>
        <v>Eligible</v>
      </c>
      <c r="M17" s="54">
        <f ca="1">IFERROR(INDEX(Calcs!$C$7:$C$20,MATCH($B17,Calcs!$A$7:$A$20,0)),"")</f>
        <v>1171.1498602219347</v>
      </c>
      <c r="N17" s="54">
        <f t="shared" ca="1" si="3"/>
        <v>446.65450055349106</v>
      </c>
      <c r="O17" s="55" t="str">
        <f ca="1">IFERROR(INDEX(Calcs!$H$7:$H$20,MATCH($B17,Calcs!$A$7:$A$20,0)),"")</f>
        <v>L5</v>
      </c>
      <c r="P17" s="55" t="str">
        <f ca="1">IFERROR(INDEX(Calcs!$I$7:$I$20,MATCH($B17,Calcs!$A$7:$A$20,0)),"")</f>
        <v>LLLLL</v>
      </c>
      <c r="Q17" s="55" t="str">
        <f ca="1">IFERROR(IF(INDEX(Calcs!$L$7:$L$20,MATCH($B17,Calcs!$A$7:$A$20,0))&gt;0,"▲"&amp;INDEX(Calcs!$L$7:$L$20,MATCH($B17,Calcs!$A$7:$A$20,0)),IF(INDEX(Calcs!$L$7:$L$20,MATCH($B17,Calcs!$A$7:$A$20,0))&lt;0,"▼"&amp;ABS(INDEX(Calcs!$L$7:$L$20,MATCH($B17,Calcs!$A$7:$A$20,0))),"–")),"")</f>
        <v>–</v>
      </c>
      <c r="R17" s="55" t="str">
        <f ca="1">IFERROR(IF(INDEX(Calcs!$P$7:$P$20,MATCH($B17,Calcs!$A$7:$A$20,0))=0,"—",TEXT(INDEX(Calcs!$P$7:$P$20,MATCH($B17,Calcs!$A$7:$A$20,0)),"d mmm")),"")</f>
        <v>22 Aug</v>
      </c>
      <c r="S17" s="55">
        <f ca="1">IFERROR(ROUND(INDEX(Calcs!$Q$7:$Q$20,MATCH($B17,Calcs!$A$7:$A$20,0)),1),"")</f>
        <v>9</v>
      </c>
      <c r="T17" s="55" t="str">
        <f ca="1">IFERROR(INDEX(Calcs!$T$7:$T$20,MATCH($B17,Calcs!$A$7:$A$20,0)),"")</f>
        <v>Inactive</v>
      </c>
      <c r="U17">
        <f ca="1">IFERROR(ROUND(INDEX(Calcs!$R$7:$R$20,MATCH($B17,Calcs!$A$7:$A$20,0))+INDEX(Calcs!$U$7:$U$20,MATCH($B17,Calcs!$A$7:$A$20,0)),0),0)</f>
        <v>80</v>
      </c>
      <c r="V17" s="57">
        <f ca="1">IFERROR(ROUND(INDEX(Calcs!$S$7:$S$20,MATCH($B17,Calcs!$A$7:$A$20,0)),0),"")</f>
        <v>827</v>
      </c>
      <c r="W17" s="55" t="str">
        <f ca="1">IFERROR(INDEX(Calcs!$AF$7:$AF$20,MATCH($B17,Calcs!$A$7:$A$20,0)),"")</f>
        <v>Developing</v>
      </c>
      <c r="X17" s="57">
        <f ca="1">IFERROR(ROUND(SUMIF('Poker Stake Ledger'!$C$18:$C$137,$B17,'Poker Stake Ledger'!$K$18:$K$137),1),0)</f>
        <v>0</v>
      </c>
    </row>
    <row r="18" spans="1:24" ht="15" customHeight="1" x14ac:dyDescent="0.2">
      <c r="A18" s="52">
        <f t="shared" si="0"/>
        <v>14</v>
      </c>
      <c r="B18" s="53" t="str">
        <f ca="1">IFERROR(INDEX(Calcs!$A$7:$A$20,MATCH(LARGE(Calcs!$AI$7:$AI$20,ROW()-4),Calcs!$AI$7:$AI$20,0)),"")</f>
        <v>Cody</v>
      </c>
      <c r="C18" s="54">
        <f ca="1">IFERROR(INDEX(Calcs!$S$7:$S$20,MATCH($B18,Calcs!$A$7:$A$20,0)),"")</f>
        <v>752.22294373677494</v>
      </c>
      <c r="D18" s="55">
        <f ca="1">COUNTIF('Match Log'!$D$4:$D$1510,$B18)</f>
        <v>15</v>
      </c>
      <c r="E18" s="55">
        <f ca="1">COUNTIFS('Match Log'!$D$4:$D$1510,$B18,'Match Log'!$E$4:$E$1510,"Win")</f>
        <v>2</v>
      </c>
      <c r="F18" s="55">
        <f t="shared" ca="1" si="1"/>
        <v>13</v>
      </c>
      <c r="G18" s="56">
        <f t="shared" ca="1" si="2"/>
        <v>0.13333333333333333</v>
      </c>
      <c r="H18" s="57">
        <f ca="1">SUMIF('Match Log'!$D$4:$D$1510,$B18,'Match Log'!$J$4:$J$1510)</f>
        <v>-103.26285432797066</v>
      </c>
      <c r="I18" s="57">
        <f ca="1">SUMIF('Match Log'!$D$4:$D$1510,$B18,'Match Log'!$K$4:$K$1510)</f>
        <v>-42.514201935254121</v>
      </c>
      <c r="J18" s="57">
        <f ca="1">SUMIF('Match Log'!$D$4:$D$1510,$B18,'Match Log'!$L$4:$L$1510)</f>
        <v>8</v>
      </c>
      <c r="K18" s="55">
        <f ca="1">SUMPRODUCT(--(COUNTIFS('Match Log'!$D$4:$D$1510,$B18,'Match Log'!$C$4:$C$1510,Lists!$C$2:$C$26)&gt;0))</f>
        <v>3</v>
      </c>
      <c r="L18" s="55" t="str">
        <f ca="1">IF($D18=0,"No games",IF(AND($D18&gt;='Guide &amp; Settings'!$C$45,$K18&gt;='Guide &amp; Settings'!$C$46),"Eligible","Provisional"))</f>
        <v>Eligible</v>
      </c>
      <c r="M18" s="54">
        <f ca="1">IFERROR(INDEX(Calcs!$C$7:$C$20,MATCH($B18,Calcs!$A$7:$A$20,0)),"")</f>
        <v>1128.8013960504716</v>
      </c>
      <c r="N18" s="54">
        <f t="shared" ca="1" si="3"/>
        <v>521.46289325789041</v>
      </c>
      <c r="O18" s="55" t="str">
        <f ca="1">IFERROR(INDEX(Calcs!$H$7:$H$20,MATCH($B18,Calcs!$A$7:$A$20,0)),"")</f>
        <v>L6</v>
      </c>
      <c r="P18" s="55" t="str">
        <f ca="1">IFERROR(INDEX(Calcs!$I$7:$I$20,MATCH($B18,Calcs!$A$7:$A$20,0)),"")</f>
        <v>LLLLL</v>
      </c>
      <c r="Q18" s="55" t="str">
        <f ca="1">IFERROR(IF(INDEX(Calcs!$L$7:$L$20,MATCH($B18,Calcs!$A$7:$A$20,0))&gt;0,"▲"&amp;INDEX(Calcs!$L$7:$L$20,MATCH($B18,Calcs!$A$7:$A$20,0)),IF(INDEX(Calcs!$L$7:$L$20,MATCH($B18,Calcs!$A$7:$A$20,0))&lt;0,"▼"&amp;ABS(INDEX(Calcs!$L$7:$L$20,MATCH($B18,Calcs!$A$7:$A$20,0))),"–")),"")</f>
        <v>–</v>
      </c>
      <c r="R18" s="55" t="str">
        <f ca="1">IFERROR(IF(INDEX(Calcs!$P$7:$P$20,MATCH($B18,Calcs!$A$7:$A$20,0))=0,"—",TEXT(INDEX(Calcs!$P$7:$P$20,MATCH($B18,Calcs!$A$7:$A$20,0)),"d mmm")),"")</f>
        <v>19 Jul</v>
      </c>
      <c r="S18" s="55">
        <f ca="1">IFERROR(ROUND(INDEX(Calcs!$Q$7:$Q$20,MATCH($B18,Calcs!$A$7:$A$20,0)),1),"")</f>
        <v>13.9</v>
      </c>
      <c r="T18" s="55" t="str">
        <f ca="1">IFERROR(INDEX(Calcs!$T$7:$T$20,MATCH($B18,Calcs!$A$7:$A$20,0)),"")</f>
        <v>Inactive</v>
      </c>
      <c r="U18">
        <f ca="1">IFERROR(ROUND(INDEX(Calcs!$R$7:$R$20,MATCH($B18,Calcs!$A$7:$A$20,0))+INDEX(Calcs!$U$7:$U$20,MATCH($B18,Calcs!$A$7:$A$20,0)),0),0)</f>
        <v>110</v>
      </c>
      <c r="V18" s="57">
        <f ca="1">IFERROR(ROUND(INDEX(Calcs!$S$7:$S$20,MATCH($B18,Calcs!$A$7:$A$20,0)),0),"")</f>
        <v>752</v>
      </c>
      <c r="W18" s="55" t="str">
        <f ca="1">IFERROR(INDEX(Calcs!$AF$7:$AF$20,MATCH($B18,Calcs!$A$7:$A$20,0)),"")</f>
        <v>Developing</v>
      </c>
      <c r="X18" s="57">
        <f ca="1">IFERROR(ROUND(SUMIF('Poker Stake Ledger'!$C$18:$C$137,$B18,'Poker Stake Ledger'!$K$18:$K$137),1),0)</f>
        <v>0</v>
      </c>
    </row>
    <row r="19" spans="1:24" ht="15" customHeight="1" x14ac:dyDescent="0.2">
      <c r="A19" s="58" t="s">
        <v>461</v>
      </c>
      <c r="B19" s="58"/>
      <c r="C19" s="58"/>
      <c r="D19" s="58"/>
      <c r="E19" s="58"/>
      <c r="F19" s="58"/>
      <c r="G19" s="58"/>
      <c r="H19" s="58"/>
      <c r="I19" s="58"/>
      <c r="J19" s="58"/>
      <c r="K19" s="58"/>
      <c r="L19" s="58"/>
      <c r="M19" s="58"/>
    </row>
    <row r="23" spans="1:24" ht="12.75" customHeight="1" x14ac:dyDescent="0.2"/>
  </sheetData>
  <autoFilter ref="A4:X18" xr:uid="{00000000-0009-0000-0000-000003000000}">
    <sortState xmlns:xlrd2="http://schemas.microsoft.com/office/spreadsheetml/2017/richdata2" ref="A5:X19">
      <sortCondition descending="1" ref="C4:C19"/>
    </sortState>
  </autoFilter>
  <conditionalFormatting sqref="C5:C18">
    <cfRule type="colorScale" priority="6">
      <colorScale>
        <cfvo type="min"/>
        <cfvo type="percentile" val="50"/>
        <cfvo type="max"/>
        <color rgb="FFF8696B"/>
        <color rgb="FFFFEB84"/>
        <color rgb="FF63BE7B"/>
      </colorScale>
    </cfRule>
  </conditionalFormatting>
  <conditionalFormatting sqref="G5:G18">
    <cfRule type="colorScale" priority="2">
      <colorScale>
        <cfvo type="num" val="0"/>
        <cfvo type="num" val="0.5"/>
        <cfvo type="num" val="1"/>
        <color rgb="FFF8696B"/>
        <color rgb="FFFFEB84"/>
        <color rgb="FF63BE7B"/>
      </colorScale>
    </cfRule>
  </conditionalFormatting>
  <conditionalFormatting sqref="L5:L18">
    <cfRule type="cellIs" dxfId="39" priority="3" operator="equal">
      <formula>"Eligible"</formula>
    </cfRule>
    <cfRule type="cellIs" dxfId="38" priority="4" operator="equal">
      <formula>"Provisional"</formula>
    </cfRule>
    <cfRule type="cellIs" dxfId="37" priority="5" operator="equal">
      <formula>"No games"</formula>
    </cfRule>
  </conditionalFormatting>
  <conditionalFormatting sqref="T5:T18">
    <cfRule type="cellIs" dxfId="36" priority="7" operator="equal">
      <formula>"Active"</formula>
    </cfRule>
    <cfRule type="cellIs" dxfId="35" priority="8" operator="equal">
      <formula>"At risk"</formula>
    </cfRule>
    <cfRule type="cellIs" dxfId="34" priority="9" operator="equal">
      <formula>"Inactive"</formula>
    </cfRule>
    <cfRule type="cellIs" dxfId="33" priority="10" operator="equal">
      <formula>"No games"</formula>
    </cfRule>
  </conditionalFormatting>
  <conditionalFormatting sqref="W5:W18">
    <cfRule type="cellIs" dxfId="32" priority="11" operator="equal">
      <formula>"Elite"</formula>
    </cfRule>
    <cfRule type="cellIs" dxfId="31" priority="12" operator="equal">
      <formula>"Strong"</formula>
    </cfRule>
    <cfRule type="cellIs" dxfId="30" priority="13" operator="equal">
      <formula>"Mid"</formula>
    </cfRule>
    <cfRule type="cellIs" dxfId="29" priority="14" operator="equal">
      <formula>"Developing"</formula>
    </cfRule>
    <cfRule type="cellIs" dxfId="28" priority="15" operator="equal">
      <formula>"Unranked"</formula>
    </cfRule>
    <cfRule type="cellIs" dxfId="27" priority="16" operator="equal">
      <formula>"No games"</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9"/>
  <sheetViews>
    <sheetView zoomScale="175" zoomScaleNormal="175" workbookViewId="0">
      <selection activeCell="J17" sqref="J17"/>
    </sheetView>
  </sheetViews>
  <sheetFormatPr baseColWidth="10" defaultColWidth="8.6640625" defaultRowHeight="15" x14ac:dyDescent="0.2"/>
  <cols>
    <col min="1" max="1" width="34.6640625" customWidth="1"/>
    <col min="2" max="2" width="14.6640625" customWidth="1"/>
    <col min="3" max="3" width="3" customWidth="1"/>
    <col min="4" max="4" width="18" customWidth="1"/>
    <col min="5" max="5" width="5.83203125" customWidth="1"/>
    <col min="6" max="6" width="4.5" customWidth="1"/>
    <col min="7" max="7" width="5.33203125" customWidth="1"/>
    <col min="8" max="8" width="9.1640625" customWidth="1"/>
  </cols>
  <sheetData>
    <row r="1" spans="1:8" ht="21" customHeight="1" x14ac:dyDescent="0.25">
      <c r="A1" s="59" t="s">
        <v>271</v>
      </c>
    </row>
    <row r="2" spans="1:8" ht="15" customHeight="1" x14ac:dyDescent="0.2">
      <c r="A2" s="33" t="s">
        <v>272</v>
      </c>
    </row>
    <row r="3" spans="1:8" ht="15" customHeight="1" x14ac:dyDescent="0.2">
      <c r="A3" s="18" t="s">
        <v>273</v>
      </c>
      <c r="B3" s="60" t="s">
        <v>19</v>
      </c>
      <c r="D3" s="11" t="s">
        <v>274</v>
      </c>
    </row>
    <row r="4" spans="1:8" ht="15" customHeight="1" x14ac:dyDescent="0.2">
      <c r="D4" s="34" t="s">
        <v>235</v>
      </c>
      <c r="E4" s="34" t="s">
        <v>10</v>
      </c>
      <c r="F4" s="34" t="s">
        <v>11</v>
      </c>
      <c r="G4" s="34" t="s">
        <v>12</v>
      </c>
      <c r="H4" s="34" t="s">
        <v>13</v>
      </c>
    </row>
    <row r="5" spans="1:8" ht="15" customHeight="1" x14ac:dyDescent="0.2">
      <c r="A5" s="61" t="s">
        <v>14</v>
      </c>
      <c r="B5" s="62">
        <f ca="1">IFERROR(INDEX(Dashboard!$A$5:$A$18,MATCH($B$3,Dashboard!$B$5:$B$18,0)),"")</f>
        <v>1</v>
      </c>
      <c r="D5" s="63" t="s">
        <v>33</v>
      </c>
      <c r="E5" s="37">
        <f>COUNTIFS('Match Log'!$D$4:$D$1510,$B$3,'Match Log'!$C$4:$C$1510,$D5)</f>
        <v>0</v>
      </c>
      <c r="F5" s="37">
        <f>COUNTIFS('Match Log'!$D$4:$D$1510,$B$3,'Match Log'!$C$4:$C$1510,$D5,'Match Log'!$E$4:$E$1510,"Win")</f>
        <v>0</v>
      </c>
      <c r="G5" s="64" t="str">
        <f t="shared" ref="G5:G29" si="0">IF($E5=0,"",$F5/$E5)</f>
        <v/>
      </c>
      <c r="H5" s="65" t="str">
        <f>IFERROR(IF($E5=0,"",INDEX('Sport Records'!$B$106:$O$130,MATCH($D5,'Sport Records'!$A$106:$A$130,0),MATCH($B$3,'Sport Records'!$B$105:$O$105,0))),"")</f>
        <v/>
      </c>
    </row>
    <row r="6" spans="1:8" ht="15" customHeight="1" x14ac:dyDescent="0.2">
      <c r="A6" s="61" t="s">
        <v>130</v>
      </c>
      <c r="B6" s="66">
        <f ca="1">IFERROR(INDEX(Dashboard!$C$5:$C$18,MATCH($B$3,Dashboard!$B$5:$B$18,0)),"")</f>
        <v>1273.6858369946654</v>
      </c>
      <c r="D6" s="67" t="s">
        <v>34</v>
      </c>
      <c r="E6" s="40">
        <f>COUNTIFS('Match Log'!$D$4:$D$1510,$B$3,'Match Log'!$C$4:$C$1510,$D6)</f>
        <v>0</v>
      </c>
      <c r="F6" s="40">
        <f>COUNTIFS('Match Log'!$D$4:$D$1510,$B$3,'Match Log'!$C$4:$C$1510,$D6,'Match Log'!$E$4:$E$1510,"Win")</f>
        <v>0</v>
      </c>
      <c r="G6" s="68" t="str">
        <f t="shared" si="0"/>
        <v/>
      </c>
      <c r="H6" s="69" t="str">
        <f>IFERROR(IF($E6=0,"",INDEX('Sport Records'!$B$106:$O$130,MATCH($D6,'Sport Records'!$A$106:$A$130,0),MATCH($B$3,'Sport Records'!$B$105:$O$105,0))),"")</f>
        <v/>
      </c>
    </row>
    <row r="7" spans="1:8" ht="15" customHeight="1" x14ac:dyDescent="0.2">
      <c r="A7" s="61" t="s">
        <v>158</v>
      </c>
      <c r="B7" s="62" t="str">
        <f ca="1">IFERROR(INDEX(Calcs!$AF$7:$AF$20,MATCH($B$3,Calcs!$A$7:$A$20,0)),"")</f>
        <v>Elite</v>
      </c>
      <c r="D7" s="63" t="s">
        <v>35</v>
      </c>
      <c r="E7" s="37">
        <f>COUNTIFS('Match Log'!$D$4:$D$1510,$B$3,'Match Log'!$C$4:$C$1510,$D7)</f>
        <v>1</v>
      </c>
      <c r="F7" s="37">
        <f>COUNTIFS('Match Log'!$D$4:$D$1510,$B$3,'Match Log'!$C$4:$C$1510,$D7,'Match Log'!$E$4:$E$1510,"Win")</f>
        <v>0</v>
      </c>
      <c r="G7" s="64">
        <f t="shared" si="0"/>
        <v>0</v>
      </c>
      <c r="H7" s="65">
        <f>IFERROR(IF($E7=0,"",INDEX('Sport Records'!$B$106:$O$130,MATCH($D7,'Sport Records'!$A$106:$A$130,0),MATCH($B$3,'Sport Records'!$B$105:$O$105,0))),"")</f>
        <v>984</v>
      </c>
    </row>
    <row r="8" spans="1:8" ht="15" customHeight="1" x14ac:dyDescent="0.2">
      <c r="A8" s="61" t="s">
        <v>237</v>
      </c>
      <c r="B8" s="62" t="str">
        <f ca="1">IFERROR(INDEX(Dashboard!$E$5:$E$18,MATCH($B$3,Dashboard!$B$5:$B$18,0))&amp;"–"&amp;INDEX(Dashboard!$F$5:$F$18,MATCH($B$3,Dashboard!$B$5:$B$18,0)),"")</f>
        <v>40–25</v>
      </c>
      <c r="D8" s="67" t="s">
        <v>36</v>
      </c>
      <c r="E8" s="40">
        <f>COUNTIFS('Match Log'!$D$4:$D$1510,$B$3,'Match Log'!$C$4:$C$1510,$D8)</f>
        <v>0</v>
      </c>
      <c r="F8" s="40">
        <f>COUNTIFS('Match Log'!$D$4:$D$1510,$B$3,'Match Log'!$C$4:$C$1510,$D8,'Match Log'!$E$4:$E$1510,"Win")</f>
        <v>0</v>
      </c>
      <c r="G8" s="68" t="str">
        <f t="shared" si="0"/>
        <v/>
      </c>
      <c r="H8" s="69" t="str">
        <f>IFERROR(IF($E8=0,"",INDEX('Sport Records'!$B$106:$O$130,MATCH($D8,'Sport Records'!$A$106:$A$130,0),MATCH($B$3,'Sport Records'!$B$105:$O$105,0))),"")</f>
        <v/>
      </c>
    </row>
    <row r="9" spans="1:8" ht="15" customHeight="1" x14ac:dyDescent="0.2">
      <c r="A9" s="61" t="s">
        <v>12</v>
      </c>
      <c r="B9" s="70">
        <f ca="1">IFERROR(INDEX(Dashboard!$G$5:$G$18,MATCH($B$3,Dashboard!$B$5:$B$18,0)),"")</f>
        <v>0.61538461538461542</v>
      </c>
      <c r="D9" s="63" t="s">
        <v>37</v>
      </c>
      <c r="E9" s="37">
        <f>COUNTIFS('Match Log'!$D$4:$D$1510,$B$3,'Match Log'!$C$4:$C$1510,$D9)</f>
        <v>5</v>
      </c>
      <c r="F9" s="37">
        <f>COUNTIFS('Match Log'!$D$4:$D$1510,$B$3,'Match Log'!$C$4:$C$1510,$D9,'Match Log'!$E$4:$E$1510,"Win")</f>
        <v>3</v>
      </c>
      <c r="G9" s="64">
        <f t="shared" si="0"/>
        <v>0.6</v>
      </c>
      <c r="H9" s="65">
        <f>IFERROR(IF($E9=0,"",INDEX('Sport Records'!$B$106:$O$130,MATCH($D9,'Sport Records'!$A$106:$A$130,0),MATCH($B$3,'Sport Records'!$B$105:$O$105,0))),"")</f>
        <v>1016.8703665756711</v>
      </c>
    </row>
    <row r="10" spans="1:8" ht="15" customHeight="1" x14ac:dyDescent="0.2">
      <c r="A10" s="61" t="s">
        <v>10</v>
      </c>
      <c r="B10" s="62">
        <f ca="1">IFERROR(INDEX(Dashboard!$D$5:$D$18,MATCH($B$3,Dashboard!$B$5:$B$18,0)),"")</f>
        <v>65</v>
      </c>
      <c r="D10" s="67" t="s">
        <v>38</v>
      </c>
      <c r="E10" s="40">
        <f>COUNTIFS('Match Log'!$D$4:$D$1510,$B$3,'Match Log'!$C$4:$C$1510,$D10)</f>
        <v>1</v>
      </c>
      <c r="F10" s="40">
        <f>COUNTIFS('Match Log'!$D$4:$D$1510,$B$3,'Match Log'!$C$4:$C$1510,$D10,'Match Log'!$E$4:$E$1510,"Win")</f>
        <v>0</v>
      </c>
      <c r="G10" s="68">
        <f t="shared" si="0"/>
        <v>0</v>
      </c>
      <c r="H10" s="69">
        <f>IFERROR(IF($E10=0,"",INDEX('Sport Records'!$B$106:$O$130,MATCH($D10,'Sport Records'!$A$106:$A$130,0),MATCH($B$3,'Sport Records'!$B$105:$O$105,0))),"")</f>
        <v>997.71428571428567</v>
      </c>
    </row>
    <row r="11" spans="1:8" ht="15" customHeight="1" x14ac:dyDescent="0.2">
      <c r="A11" s="61" t="s">
        <v>275</v>
      </c>
      <c r="B11" s="62">
        <f ca="1">IFERROR(INDEX(Dashboard!$K$5:$K$18,MATCH($B$3,Dashboard!$B$5:$B$18,0)),"")</f>
        <v>15</v>
      </c>
      <c r="D11" s="63" t="s">
        <v>39</v>
      </c>
      <c r="E11" s="37">
        <f>COUNTIFS('Match Log'!$D$4:$D$1510,$B$3,'Match Log'!$C$4:$C$1510,$D11)</f>
        <v>0</v>
      </c>
      <c r="F11" s="37">
        <f>COUNTIFS('Match Log'!$D$4:$D$1510,$B$3,'Match Log'!$C$4:$C$1510,$D11,'Match Log'!$E$4:$E$1510,"Win")</f>
        <v>0</v>
      </c>
      <c r="G11" s="64" t="str">
        <f t="shared" si="0"/>
        <v/>
      </c>
      <c r="H11" s="65" t="str">
        <f>IFERROR(IF($E11=0,"",INDEX('Sport Records'!$B$106:$O$130,MATCH($D11,'Sport Records'!$A$106:$A$130,0),MATCH($B$3,'Sport Records'!$B$105:$O$105,0))),"")</f>
        <v/>
      </c>
    </row>
    <row r="12" spans="1:8" ht="15" customHeight="1" x14ac:dyDescent="0.2">
      <c r="A12" s="61" t="s">
        <v>276</v>
      </c>
      <c r="B12" s="66">
        <f>IFERROR(INDEX(Calcs!$C$7:$C$20,MATCH($B$3,Calcs!$A$7:$A$20,0)),"")</f>
        <v>1137.5369975573669</v>
      </c>
      <c r="D12" s="67" t="s">
        <v>40</v>
      </c>
      <c r="E12" s="40">
        <f>COUNTIFS('Match Log'!$D$4:$D$1510,$B$3,'Match Log'!$C$4:$C$1510,$D12)</f>
        <v>0</v>
      </c>
      <c r="F12" s="40">
        <f>COUNTIFS('Match Log'!$D$4:$D$1510,$B$3,'Match Log'!$C$4:$C$1510,$D12,'Match Log'!$E$4:$E$1510,"Win")</f>
        <v>0</v>
      </c>
      <c r="G12" s="68" t="str">
        <f t="shared" si="0"/>
        <v/>
      </c>
      <c r="H12" s="69" t="str">
        <f>IFERROR(IF($E12=0,"",INDEX('Sport Records'!$B$106:$O$130,MATCH($D12,'Sport Records'!$A$106:$A$130,0),MATCH($B$3,'Sport Records'!$B$105:$O$105,0))),"")</f>
        <v/>
      </c>
    </row>
    <row r="13" spans="1:8" ht="15" customHeight="1" x14ac:dyDescent="0.2">
      <c r="A13" s="61" t="s">
        <v>277</v>
      </c>
      <c r="B13" s="62" t="str">
        <f>IFERROR(INDEX(Calcs!$H$7:$H$20,MATCH($B$3,Calcs!$A$7:$A$20,0)),"")</f>
        <v>W6</v>
      </c>
      <c r="D13" s="63" t="s">
        <v>41</v>
      </c>
      <c r="E13" s="37">
        <f>COUNTIFS('Match Log'!$D$4:$D$1510,$B$3,'Match Log'!$C$4:$C$1510,$D13)</f>
        <v>2</v>
      </c>
      <c r="F13" s="37">
        <f>COUNTIFS('Match Log'!$D$4:$D$1510,$B$3,'Match Log'!$C$4:$C$1510,$D13,'Match Log'!$E$4:$E$1510,"Win")</f>
        <v>2</v>
      </c>
      <c r="G13" s="64">
        <f t="shared" si="0"/>
        <v>1</v>
      </c>
      <c r="H13" s="65">
        <f>IFERROR(IF($E13=0,"",INDEX('Sport Records'!$B$106:$O$130,MATCH($D13,'Sport Records'!$A$106:$A$130,0),MATCH($B$3,'Sport Records'!$B$105:$O$105,0))),"")</f>
        <v>1031.2636932064779</v>
      </c>
    </row>
    <row r="14" spans="1:8" ht="15" customHeight="1" x14ac:dyDescent="0.2">
      <c r="A14" s="61" t="s">
        <v>265</v>
      </c>
      <c r="B14" s="62" t="str">
        <f>IFERROR(INDEX(Calcs!$I$7:$I$20,MATCH($B$3,Calcs!$A$7:$A$20,0)),"")</f>
        <v>WWWWW</v>
      </c>
      <c r="D14" s="67" t="s">
        <v>42</v>
      </c>
      <c r="E14" s="40">
        <f>COUNTIFS('Match Log'!$D$4:$D$1510,$B$3,'Match Log'!$C$4:$C$1510,$D14)</f>
        <v>0</v>
      </c>
      <c r="F14" s="40">
        <f>COUNTIFS('Match Log'!$D$4:$D$1510,$B$3,'Match Log'!$C$4:$C$1510,$D14,'Match Log'!$E$4:$E$1510,"Win")</f>
        <v>0</v>
      </c>
      <c r="G14" s="68" t="str">
        <f t="shared" si="0"/>
        <v/>
      </c>
      <c r="H14" s="69" t="str">
        <f>IFERROR(IF($E14=0,"",INDEX('Sport Records'!$B$106:$O$130,MATCH($D14,'Sport Records'!$A$106:$A$130,0),MATCH($B$3,'Sport Records'!$B$105:$O$105,0))),"")</f>
        <v/>
      </c>
    </row>
    <row r="15" spans="1:8" ht="15" customHeight="1" x14ac:dyDescent="0.2">
      <c r="A15" s="61" t="s">
        <v>170</v>
      </c>
      <c r="B15" s="66">
        <f ca="1">IFERROR(INDEX(Dashboard!$N$5:$N$18,MATCH($B$3,Dashboard!$B$5:$B$18,0)),"")</f>
        <v>0</v>
      </c>
      <c r="D15" s="63" t="s">
        <v>43</v>
      </c>
      <c r="E15" s="37">
        <f>COUNTIFS('Match Log'!$D$4:$D$1510,$B$3,'Match Log'!$C$4:$C$1510,$D15)</f>
        <v>0</v>
      </c>
      <c r="F15" s="37">
        <f>COUNTIFS('Match Log'!$D$4:$D$1510,$B$3,'Match Log'!$C$4:$C$1510,$D15,'Match Log'!$E$4:$E$1510,"Win")</f>
        <v>0</v>
      </c>
      <c r="G15" s="64" t="str">
        <f t="shared" si="0"/>
        <v/>
      </c>
      <c r="H15" s="65" t="str">
        <f>IFERROR(IF($E15=0,"",INDEX('Sport Records'!$B$106:$O$130,MATCH($D15,'Sport Records'!$A$106:$A$130,0),MATCH($B$3,'Sport Records'!$B$105:$O$105,0))),"")</f>
        <v/>
      </c>
    </row>
    <row r="16" spans="1:8" ht="15" customHeight="1" x14ac:dyDescent="0.2">
      <c r="A16" s="61" t="s">
        <v>159</v>
      </c>
      <c r="B16" s="62" t="str">
        <f ca="1">IFERROR(INDEX(Dashboard!$L$5:$L$18,MATCH($B$3,Dashboard!$B$5:$B$18,0)),"")</f>
        <v>Eligible</v>
      </c>
      <c r="D16" s="67" t="s">
        <v>44</v>
      </c>
      <c r="E16" s="40">
        <f>COUNTIFS('Match Log'!$D$4:$D$1510,$B$3,'Match Log'!$C$4:$C$1510,$D16)</f>
        <v>15</v>
      </c>
      <c r="F16" s="40">
        <f>COUNTIFS('Match Log'!$D$4:$D$1510,$B$3,'Match Log'!$C$4:$C$1510,$D16,'Match Log'!$E$4:$E$1510,"Win")</f>
        <v>13</v>
      </c>
      <c r="G16" s="68">
        <f t="shared" si="0"/>
        <v>0.8666666666666667</v>
      </c>
      <c r="H16" s="69">
        <f>IFERROR(IF($E16=0,"",INDEX('Sport Records'!$B$106:$O$130,MATCH($D16,'Sport Records'!$A$106:$A$130,0),MATCH($B$3,'Sport Records'!$B$105:$O$105,0))),"")</f>
        <v>1109.0218511200758</v>
      </c>
    </row>
    <row r="17" spans="1:8" ht="15" customHeight="1" x14ac:dyDescent="0.2">
      <c r="A17" s="71" t="s">
        <v>278</v>
      </c>
      <c r="B17" s="72" t="str">
        <f ca="1">IFERROR(TEXT(INDEX(Calcs!$P$7:$P$20,MATCH($B$3,Calcs!$A$7:$A$20,0)),"d mmm")&amp;"  ·  "&amp;INDEX(Calcs!$T$7:$T$20,MATCH($B$3,Calcs!$A$7:$A$20,0)),"")</f>
        <v>8 Oct  ·  At risk</v>
      </c>
      <c r="D17" s="63" t="s">
        <v>9</v>
      </c>
      <c r="E17" s="37">
        <f>COUNTIFS('Match Log'!$D$4:$D$1510,$B$3,'Match Log'!$C$4:$C$1510,$D17)</f>
        <v>1</v>
      </c>
      <c r="F17" s="37">
        <f>COUNTIFS('Match Log'!$D$4:$D$1510,$B$3,'Match Log'!$C$4:$C$1510,$D17,'Match Log'!$E$4:$E$1510,"Win")</f>
        <v>0</v>
      </c>
      <c r="G17" s="64">
        <f t="shared" si="0"/>
        <v>0</v>
      </c>
      <c r="H17" s="65">
        <f>IFERROR(IF($E17=0,"",INDEX('Sport Records'!$B$106:$O$130,MATCH($D17,'Sport Records'!$A$106:$A$130,0),MATCH($B$3,'Sport Records'!$B$105:$O$105,0))),"")</f>
        <v>985.41909823644232</v>
      </c>
    </row>
    <row r="18" spans="1:8" ht="15" customHeight="1" x14ac:dyDescent="0.2">
      <c r="A18" s="11" t="s">
        <v>279</v>
      </c>
      <c r="D18" s="67" t="s">
        <v>45</v>
      </c>
      <c r="E18" s="40">
        <f>COUNTIFS('Match Log'!$D$4:$D$1510,$B$3,'Match Log'!$C$4:$C$1510,$D18)</f>
        <v>7</v>
      </c>
      <c r="F18" s="40">
        <f>COUNTIFS('Match Log'!$D$4:$D$1510,$B$3,'Match Log'!$C$4:$C$1510,$D18,'Match Log'!$E$4:$E$1510,"Win")</f>
        <v>6</v>
      </c>
      <c r="G18" s="68">
        <f t="shared" si="0"/>
        <v>0.8571428571428571</v>
      </c>
      <c r="H18" s="69">
        <f>IFERROR(IF($E18=0,"",INDEX('Sport Records'!$B$106:$O$130,MATCH($D18,'Sport Records'!$A$106:$A$130,0),MATCH($B$3,'Sport Records'!$B$105:$O$105,0))),"")</f>
        <v>1055.4776164286188</v>
      </c>
    </row>
    <row r="19" spans="1:8" ht="15" customHeight="1" x14ac:dyDescent="0.2">
      <c r="A19" s="71" t="s">
        <v>280</v>
      </c>
      <c r="B19" s="73" t="str">
        <f>IFERROR(INDEX($D$5:$D$29,MATCH(MAX($H$5:$H$29),$H$5:$H$29,0)),"")</f>
        <v>Table Tennis</v>
      </c>
      <c r="D19" s="63" t="s">
        <v>46</v>
      </c>
      <c r="E19" s="37">
        <f>COUNTIFS('Match Log'!$D$4:$D$1510,$B$3,'Match Log'!$C$4:$C$1510,$D19)</f>
        <v>0</v>
      </c>
      <c r="F19" s="37">
        <f>COUNTIFS('Match Log'!$D$4:$D$1510,$B$3,'Match Log'!$C$4:$C$1510,$D19,'Match Log'!$E$4:$E$1510,"Win")</f>
        <v>0</v>
      </c>
      <c r="G19" s="64" t="str">
        <f t="shared" si="0"/>
        <v/>
      </c>
      <c r="H19" s="65" t="str">
        <f>IFERROR(IF($E19=0,"",INDEX('Sport Records'!$B$106:$O$130,MATCH($D19,'Sport Records'!$A$106:$A$130,0),MATCH($B$3,'Sport Records'!$B$105:$O$105,0))),"")</f>
        <v/>
      </c>
    </row>
    <row r="20" spans="1:8" ht="15" customHeight="1" x14ac:dyDescent="0.2">
      <c r="A20" s="71" t="s">
        <v>281</v>
      </c>
      <c r="B20" s="73" t="str">
        <f>IFERROR(INDEX($D$5:$D$29,MATCH(MAX($E$5:$E$29),$E$5:$E$29,0)),"")</f>
        <v>Table Tennis</v>
      </c>
      <c r="D20" s="67" t="s">
        <v>47</v>
      </c>
      <c r="E20" s="40">
        <f>COUNTIFS('Match Log'!$D$4:$D$1510,$B$3,'Match Log'!$C$4:$C$1510,$D20)</f>
        <v>0</v>
      </c>
      <c r="F20" s="40">
        <f>COUNTIFS('Match Log'!$D$4:$D$1510,$B$3,'Match Log'!$C$4:$C$1510,$D20,'Match Log'!$E$4:$E$1510,"Win")</f>
        <v>0</v>
      </c>
      <c r="G20" s="68" t="str">
        <f t="shared" si="0"/>
        <v/>
      </c>
      <c r="H20" s="69" t="str">
        <f>IFERROR(IF($E20=0,"",INDEX('Sport Records'!$B$106:$O$130,MATCH($D20,'Sport Records'!$A$106:$A$130,0),MATCH($B$3,'Sport Records'!$B$105:$O$105,0))),"")</f>
        <v/>
      </c>
    </row>
    <row r="21" spans="1:8" ht="15" customHeight="1" x14ac:dyDescent="0.2">
      <c r="D21" s="63" t="s">
        <v>48</v>
      </c>
      <c r="E21" s="37">
        <f>COUNTIFS('Match Log'!$D$4:$D$1510,$B$3,'Match Log'!$C$4:$C$1510,$D21)</f>
        <v>2</v>
      </c>
      <c r="F21" s="37">
        <f>COUNTIFS('Match Log'!$D$4:$D$1510,$B$3,'Match Log'!$C$4:$C$1510,$D21,'Match Log'!$E$4:$E$1510,"Win")</f>
        <v>2</v>
      </c>
      <c r="G21" s="64">
        <f t="shared" si="0"/>
        <v>1</v>
      </c>
      <c r="H21" s="65">
        <f>IFERROR(IF($E21=0,"",INDEX('Sport Records'!$B$106:$O$130,MATCH($D21,'Sport Records'!$A$106:$A$130,0),MATCH($B$3,'Sport Records'!$B$105:$O$105,0))),"")</f>
        <v>1031.1718983470439</v>
      </c>
    </row>
    <row r="22" spans="1:8" ht="15" customHeight="1" x14ac:dyDescent="0.2">
      <c r="A22" s="11" t="s">
        <v>282</v>
      </c>
      <c r="D22" s="67" t="s">
        <v>49</v>
      </c>
      <c r="E22" s="40">
        <f>COUNTIFS('Match Log'!$D$4:$D$1510,$B$3,'Match Log'!$C$4:$C$1510,$D22)</f>
        <v>8</v>
      </c>
      <c r="F22" s="40">
        <f>COUNTIFS('Match Log'!$D$4:$D$1510,$B$3,'Match Log'!$C$4:$C$1510,$D22,'Match Log'!$E$4:$E$1510,"Win")</f>
        <v>3</v>
      </c>
      <c r="G22" s="68">
        <f t="shared" si="0"/>
        <v>0.375</v>
      </c>
      <c r="H22" s="69">
        <f>IFERROR(IF($E22=0,"",INDEX('Sport Records'!$B$106:$O$130,MATCH($D22,'Sport Records'!$A$106:$A$130,0),MATCH($B$3,'Sport Records'!$B$105:$O$105,0))),"")</f>
        <v>980.52721563547436</v>
      </c>
    </row>
    <row r="23" spans="1:8" ht="15" customHeight="1" x14ac:dyDescent="0.2">
      <c r="A23" s="71" t="s">
        <v>283</v>
      </c>
      <c r="B23" s="74">
        <f ca="1">IFERROR(ROUND(INDEX(Calcs!$AB$7:$AB$20,MATCH($B$3,Calcs!$A$7:$A$20,0)),0),"")</f>
        <v>91</v>
      </c>
      <c r="D23" s="63" t="s">
        <v>50</v>
      </c>
      <c r="E23" s="37">
        <f>COUNTIFS('Match Log'!$D$4:$D$1510,$B$3,'Match Log'!$C$4:$C$1510,$D23)</f>
        <v>4</v>
      </c>
      <c r="F23" s="37">
        <f>COUNTIFS('Match Log'!$D$4:$D$1510,$B$3,'Match Log'!$C$4:$C$1510,$D23,'Match Log'!$E$4:$E$1510,"Win")</f>
        <v>2</v>
      </c>
      <c r="G23" s="64">
        <f t="shared" si="0"/>
        <v>0.5</v>
      </c>
      <c r="H23" s="65">
        <f>IFERROR(IF($E23=0,"",INDEX('Sport Records'!$B$106:$O$130,MATCH($D23,'Sport Records'!$A$106:$A$130,0),MATCH($B$3,'Sport Records'!$B$105:$O$105,0))),"")</f>
        <v>996.43763472122669</v>
      </c>
    </row>
    <row r="24" spans="1:8" x14ac:dyDescent="0.2">
      <c r="A24" s="71" t="s">
        <v>284</v>
      </c>
      <c r="B24" s="72">
        <f ca="1">IFERROR(ROUND(INDEX(Calcs!$W$7:$W$20,MATCH($B$3,Calcs!$A$7:$A$20,0)),0),"")</f>
        <v>100</v>
      </c>
      <c r="D24" s="63" t="s">
        <v>51</v>
      </c>
      <c r="E24" s="37">
        <f>COUNTIFS('Match Log'!$D$4:$D$1510,$B$3,'Match Log'!$C$4:$C$1510,$D24)</f>
        <v>0</v>
      </c>
      <c r="F24" s="37">
        <f>COUNTIFS('Match Log'!$D$4:$D$1510,$B$3,'Match Log'!$C$4:$C$1510,$D24,'Match Log'!$E$4:$E$1510,"Win")</f>
        <v>0</v>
      </c>
      <c r="G24" s="64" t="str">
        <f t="shared" si="0"/>
        <v/>
      </c>
      <c r="H24" s="65" t="str">
        <f>IFERROR(IF($E24=0,"",INDEX('Sport Records'!$B$106:$O$130,MATCH($D24,'Sport Records'!$A$106:$A$130,0),MATCH($B$3,'Sport Records'!$B$105:$O$105,0))),"")</f>
        <v/>
      </c>
    </row>
    <row r="25" spans="1:8" x14ac:dyDescent="0.2">
      <c r="A25" s="71" t="s">
        <v>285</v>
      </c>
      <c r="B25" s="72">
        <f ca="1">IFERROR(ROUND(INDEX(Calcs!$X$7:$X$20,MATCH($B$3,Calcs!$A$7:$A$20,0)),0),"")</f>
        <v>62</v>
      </c>
      <c r="D25" s="63" t="s">
        <v>52</v>
      </c>
      <c r="E25" s="37">
        <f>COUNTIFS('Match Log'!$D$4:$D$1510,$B$3,'Match Log'!$C$4:$C$1510,$D25)</f>
        <v>4</v>
      </c>
      <c r="F25" s="37">
        <f>COUNTIFS('Match Log'!$D$4:$D$1510,$B$3,'Match Log'!$C$4:$C$1510,$D25,'Match Log'!$E$4:$E$1510,"Win")</f>
        <v>1</v>
      </c>
      <c r="G25" s="64">
        <f t="shared" si="0"/>
        <v>0.25</v>
      </c>
      <c r="H25" s="65">
        <f>IFERROR(IF($E25=0,"",INDEX('Sport Records'!$B$106:$O$130,MATCH($D25,'Sport Records'!$A$106:$A$130,0),MATCH($B$3,'Sport Records'!$B$105:$O$105,0))),"")</f>
        <v>973.09901508317728</v>
      </c>
    </row>
    <row r="26" spans="1:8" x14ac:dyDescent="0.2">
      <c r="A26" s="71" t="s">
        <v>286</v>
      </c>
      <c r="B26" s="72">
        <f ca="1">IFERROR(ROUND(INDEX(Calcs!$Y$7:$Y$20,MATCH($B$3,Calcs!$A$7:$A$20,0)),0),"")</f>
        <v>100</v>
      </c>
      <c r="D26" s="63" t="s">
        <v>53</v>
      </c>
      <c r="E26" s="37">
        <f>COUNTIFS('Match Log'!$D$4:$D$1510,$B$3,'Match Log'!$C$4:$C$1510,$D26)</f>
        <v>2</v>
      </c>
      <c r="F26" s="37">
        <f>COUNTIFS('Match Log'!$D$4:$D$1510,$B$3,'Match Log'!$C$4:$C$1510,$D26,'Match Log'!$E$4:$E$1510,"Win")</f>
        <v>1</v>
      </c>
      <c r="G26" s="64">
        <f t="shared" si="0"/>
        <v>0.5</v>
      </c>
      <c r="H26" s="65">
        <f>IFERROR(IF($E26=0,"",INDEX('Sport Records'!$B$106:$O$130,MATCH($D26,'Sport Records'!$A$106:$A$130,0),MATCH($B$3,'Sport Records'!$B$105:$O$105,0))),"")</f>
        <v>999.26369320647802</v>
      </c>
    </row>
    <row r="27" spans="1:8" x14ac:dyDescent="0.2">
      <c r="A27" s="71" t="s">
        <v>287</v>
      </c>
      <c r="B27" s="72">
        <f>IFERROR(ROUND(INDEX(Calcs!$Z$7:$Z$20,MATCH($B$3,Calcs!$A$7:$A$20,0)),0),"")</f>
        <v>100</v>
      </c>
      <c r="D27" s="63" t="s">
        <v>54</v>
      </c>
      <c r="E27" s="37">
        <f>COUNTIFS('Match Log'!$D$4:$D$1510,$B$3,'Match Log'!$C$4:$C$1510,$D27)</f>
        <v>5</v>
      </c>
      <c r="F27" s="37">
        <f>COUNTIFS('Match Log'!$D$4:$D$1510,$B$3,'Match Log'!$C$4:$C$1510,$D27,'Match Log'!$E$4:$E$1510,"Win")</f>
        <v>3</v>
      </c>
      <c r="G27" s="64">
        <f t="shared" si="0"/>
        <v>0.6</v>
      </c>
      <c r="H27" s="65">
        <f>IFERROR(IF($E27=0,"",INDEX('Sport Records'!$B$106:$O$130,MATCH($D27,'Sport Records'!$A$106:$A$130,0),MATCH($B$3,'Sport Records'!$B$105:$O$105,0))),"")</f>
        <v>1013.6658183566044</v>
      </c>
    </row>
    <row r="28" spans="1:8" x14ac:dyDescent="0.2">
      <c r="A28" s="71" t="s">
        <v>288</v>
      </c>
      <c r="B28" s="72">
        <f>IFERROR(ROUND(INDEX(Calcs!$AA$7:$AA$20,MATCH($B$3,Calcs!$A$7:$A$20,0)),0),"")</f>
        <v>84</v>
      </c>
      <c r="D28" s="63" t="s">
        <v>446</v>
      </c>
      <c r="E28" s="37">
        <f>COUNTIFS('Match Log'!$D$4:$D$1510,$B$3,'Match Log'!$C$4:$C$1510,$D28)</f>
        <v>3</v>
      </c>
      <c r="F28" s="37">
        <f>COUNTIFS('Match Log'!$D$4:$D$1510,$B$3,'Match Log'!$C$4:$C$1510,$D28,'Match Log'!$E$4:$E$1510,"Win")</f>
        <v>2</v>
      </c>
      <c r="G28" s="64">
        <f t="shared" si="0"/>
        <v>0.66666666666666663</v>
      </c>
      <c r="H28" s="65">
        <f>IFERROR(IF($E28=0,"",INDEX('Sport Records'!$B$106:$O$130,MATCH($D28,'Sport Records'!$A$106:$A$130,0),MATCH($B$3,'Sport Records'!$B$105:$O$105,0))),"")</f>
        <v>1014.6658413353916</v>
      </c>
    </row>
    <row r="29" spans="1:8" x14ac:dyDescent="0.2">
      <c r="D29" s="63" t="s">
        <v>55</v>
      </c>
      <c r="E29" s="37">
        <f>COUNTIFS('Match Log'!$D$4:$D$1510,$B$3,'Match Log'!$C$4:$C$1510,$D29)</f>
        <v>5</v>
      </c>
      <c r="F29" s="37">
        <f>COUNTIFS('Match Log'!$D$4:$D$1510,$B$3,'Match Log'!$C$4:$C$1510,$D29,'Match Log'!$E$4:$E$1510,"Win")</f>
        <v>2</v>
      </c>
      <c r="G29" s="64">
        <f t="shared" si="0"/>
        <v>0.4</v>
      </c>
      <c r="H29" s="65">
        <f>IFERROR(IF($E29=0,"",INDEX('Sport Records'!$B$106:$O$130,MATCH($D29,'Sport Records'!$A$106:$A$130,0),MATCH($B$3,'Sport Records'!$B$105:$O$105,0))),"")</f>
        <v>992.0537507689487</v>
      </c>
    </row>
  </sheetData>
  <conditionalFormatting sqref="B5">
    <cfRule type="colorScale" priority="3">
      <colorScale>
        <cfvo type="num" val="1"/>
        <cfvo type="num" val="7"/>
        <cfvo type="num" val="14"/>
        <color rgb="FF63BE7B"/>
        <color rgb="FFFFEB84"/>
        <color rgb="FFF8696B"/>
      </colorScale>
    </cfRule>
  </conditionalFormatting>
  <conditionalFormatting sqref="B6">
    <cfRule type="colorScale" priority="4">
      <colorScale>
        <cfvo type="num" val="950"/>
        <cfvo type="num" val="1050"/>
        <cfvo type="num" val="1180"/>
        <color rgb="FFF8696B"/>
        <color rgb="FFFFEB84"/>
        <color rgb="FF63BE7B"/>
      </colorScale>
    </cfRule>
  </conditionalFormatting>
  <conditionalFormatting sqref="B7">
    <cfRule type="cellIs" dxfId="26" priority="16" operator="equal">
      <formula>"Elite"</formula>
    </cfRule>
    <cfRule type="cellIs" dxfId="25" priority="17" operator="equal">
      <formula>"Strong"</formula>
    </cfRule>
    <cfRule type="cellIs" dxfId="24" priority="18" operator="equal">
      <formula>"Mid"</formula>
    </cfRule>
    <cfRule type="cellIs" dxfId="23" priority="19" operator="equal">
      <formula>"Developing"</formula>
    </cfRule>
    <cfRule type="cellIs" dxfId="22" priority="20" operator="equal">
      <formula>"Unranked"</formula>
    </cfRule>
  </conditionalFormatting>
  <conditionalFormatting sqref="B9">
    <cfRule type="colorScale" priority="5">
      <colorScale>
        <cfvo type="num" val="0"/>
        <cfvo type="num" val="0.5"/>
        <cfvo type="num" val="1"/>
        <color rgb="FFF8696B"/>
        <color rgb="FFFFEB84"/>
        <color rgb="FF63BE7B"/>
      </colorScale>
    </cfRule>
  </conditionalFormatting>
  <conditionalFormatting sqref="B10">
    <cfRule type="colorScale" priority="6">
      <colorScale>
        <cfvo type="num" val="0"/>
        <cfvo type="num" val="50"/>
        <color rgb="FFFFFFFF"/>
        <color rgb="FFC6EFCE"/>
      </colorScale>
    </cfRule>
  </conditionalFormatting>
  <conditionalFormatting sqref="B11">
    <cfRule type="colorScale" priority="7">
      <colorScale>
        <cfvo type="num" val="0"/>
        <cfvo type="num" val="5"/>
        <cfvo type="num" val="11"/>
        <color rgb="FFF8696B"/>
        <color rgb="FFFFEB84"/>
        <color rgb="FF63BE7B"/>
      </colorScale>
    </cfRule>
  </conditionalFormatting>
  <conditionalFormatting sqref="B12">
    <cfRule type="colorScale" priority="8">
      <colorScale>
        <cfvo type="num" val="1050"/>
        <cfvo type="num" val="1075"/>
        <cfvo type="num" val="1100"/>
        <color rgb="FFF8696B"/>
        <color rgb="FFFFEB84"/>
        <color rgb="FF63BE7B"/>
      </colorScale>
    </cfRule>
  </conditionalFormatting>
  <conditionalFormatting sqref="B13">
    <cfRule type="expression" dxfId="21" priority="21">
      <formula>LEFT($B$13,1)="W"</formula>
    </cfRule>
    <cfRule type="expression" dxfId="20" priority="22">
      <formula>LEFT($B$13,1)="L"</formula>
    </cfRule>
  </conditionalFormatting>
  <conditionalFormatting sqref="B14">
    <cfRule type="expression" dxfId="19" priority="25">
      <formula>LEN($B$14)-LEN(SUBSTITUTE($B$14,"W",""))=3</formula>
    </cfRule>
    <cfRule type="expression" dxfId="18" priority="28">
      <formula>LEN($B$14)-LEN(SUBSTITUTE($B$14,"W",""))=0</formula>
    </cfRule>
    <cfRule type="expression" dxfId="17" priority="27">
      <formula>LEN($B$14)-LEN(SUBSTITUTE($B$14,"W",""))=1</formula>
    </cfRule>
    <cfRule type="expression" dxfId="16" priority="26">
      <formula>LEN($B$14)-LEN(SUBSTITUTE($B$14,"W",""))=2</formula>
    </cfRule>
    <cfRule type="expression" dxfId="15" priority="23">
      <formula>LEN($B$14)-LEN(SUBSTITUTE($B$14,"W",""))=5</formula>
    </cfRule>
    <cfRule type="expression" dxfId="14" priority="24">
      <formula>LEN($B$14)-LEN(SUBSTITUTE($B$14,"W",""))=4</formula>
    </cfRule>
  </conditionalFormatting>
  <conditionalFormatting sqref="B15">
    <cfRule type="colorScale" priority="9">
      <colorScale>
        <cfvo type="num" val="0"/>
        <cfvo type="num" val="150"/>
        <cfvo type="num" val="300"/>
        <color rgb="FF63BE7B"/>
        <color rgb="FFFFEB84"/>
        <color rgb="FFF8696B"/>
      </colorScale>
    </cfRule>
  </conditionalFormatting>
  <conditionalFormatting sqref="B16">
    <cfRule type="cellIs" dxfId="13" priority="31" operator="equal">
      <formula>"No games"</formula>
    </cfRule>
    <cfRule type="cellIs" dxfId="12" priority="30" operator="equal">
      <formula>"Provisional"</formula>
    </cfRule>
    <cfRule type="cellIs" dxfId="11" priority="29" operator="equal">
      <formula>"Eligible"</formula>
    </cfRule>
  </conditionalFormatting>
  <conditionalFormatting sqref="B23">
    <cfRule type="colorScale" priority="10">
      <colorScale>
        <cfvo type="num" val="0"/>
        <cfvo type="num" val="50"/>
        <cfvo type="num" val="100"/>
        <color rgb="FFF8696B"/>
        <color rgb="FFFFEB84"/>
        <color rgb="FF63BE7B"/>
      </colorScale>
    </cfRule>
  </conditionalFormatting>
  <conditionalFormatting sqref="B24">
    <cfRule type="colorScale" priority="11">
      <colorScale>
        <cfvo type="num" val="0"/>
        <cfvo type="num" val="50"/>
        <cfvo type="num" val="100"/>
        <color rgb="FFF8696B"/>
        <color rgb="FFFFEB84"/>
        <color rgb="FF63BE7B"/>
      </colorScale>
    </cfRule>
  </conditionalFormatting>
  <conditionalFormatting sqref="B25">
    <cfRule type="colorScale" priority="12">
      <colorScale>
        <cfvo type="num" val="0"/>
        <cfvo type="num" val="50"/>
        <cfvo type="num" val="100"/>
        <color rgb="FFF8696B"/>
        <color rgb="FFFFEB84"/>
        <color rgb="FF63BE7B"/>
      </colorScale>
    </cfRule>
  </conditionalFormatting>
  <conditionalFormatting sqref="B26">
    <cfRule type="colorScale" priority="13">
      <colorScale>
        <cfvo type="num" val="0"/>
        <cfvo type="num" val="50"/>
        <cfvo type="num" val="100"/>
        <color rgb="FFF8696B"/>
        <color rgb="FFFFEB84"/>
        <color rgb="FF63BE7B"/>
      </colorScale>
    </cfRule>
  </conditionalFormatting>
  <conditionalFormatting sqref="B27">
    <cfRule type="colorScale" priority="14">
      <colorScale>
        <cfvo type="num" val="0"/>
        <cfvo type="num" val="50"/>
        <cfvo type="num" val="100"/>
        <color rgb="FFF8696B"/>
        <color rgb="FFFFEB84"/>
        <color rgb="FF63BE7B"/>
      </colorScale>
    </cfRule>
  </conditionalFormatting>
  <conditionalFormatting sqref="B28">
    <cfRule type="colorScale" priority="15">
      <colorScale>
        <cfvo type="num" val="0"/>
        <cfvo type="num" val="50"/>
        <cfvo type="num" val="100"/>
        <color rgb="FFF8696B"/>
        <color rgb="FFFFEB84"/>
        <color rgb="FF63BE7B"/>
      </colorScale>
    </cfRule>
  </conditionalFormatting>
  <conditionalFormatting sqref="G5:G23">
    <cfRule type="colorScale" priority="2">
      <colorScale>
        <cfvo type="num" val="0"/>
        <cfvo type="percentile" val="50"/>
        <cfvo type="num" val="1"/>
        <color rgb="FFF8696B"/>
        <color rgb="FFFFEB84"/>
        <color rgb="FF63BE7B"/>
      </colorScale>
    </cfRule>
  </conditionalFormatting>
  <conditionalFormatting sqref="H5:H23">
    <cfRule type="colorScale" priority="32">
      <colorScale>
        <cfvo type="num" val="940"/>
        <cfvo type="num" val="1000"/>
        <cfvo type="num" val="1050"/>
        <color rgb="FFF8696B"/>
        <color rgb="FFFFEB84"/>
        <color rgb="FF63BE7B"/>
      </colorScale>
    </cfRule>
  </conditionalFormatting>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35" id="{69AF8C8B-3848-4CFD-8C94-22779E4887E7}">
            <xm:f>IFERROR(INDEX(Calcs!$Q$7:$Q$20,MATCH($B$3,Calcs!$A$7:$A$20,0)),0)&lt;6</xm:f>
            <x14:dxf>
              <fill>
                <patternFill>
                  <bgColor rgb="FFC6EFCE"/>
                </patternFill>
              </fill>
            </x14:dxf>
          </x14:cfRule>
          <x14:cfRule type="expression" priority="33" id="{83DA39F7-1CBA-422D-8B9A-23405A63ECA0}">
            <xm:f>IFERROR(INDEX(Calcs!$Q$7:$Q$20,MATCH($B$3,Calcs!$A$7:$A$20,0)),0)&gt;=8</xm:f>
            <x14:dxf>
              <fill>
                <patternFill>
                  <bgColor rgb="FFFFC7CE"/>
                </patternFill>
              </fill>
            </x14:dxf>
          </x14:cfRule>
          <x14:cfRule type="expression" priority="34" id="{8D49E9DC-ED70-49ED-8C79-FEC745754E39}">
            <xm:f>AND(IFERROR(INDEX(Calcs!$Q$7:$Q$20,MATCH($B$3,Calcs!$A$7:$A$20,0)),0)&gt;=6,IFERROR(INDEX(Calcs!$Q$7:$Q$20,MATCH($B$3,Calcs!$A$7:$A$20,0)),0)&lt;8)</xm:f>
            <x14:dxf>
              <fill>
                <patternFill>
                  <bgColor rgb="FFFFEB9C"/>
                </patternFill>
              </fill>
            </x14:dxf>
          </x14:cfRule>
          <xm:sqref>B17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Lists!$A$2:$A$15</xm:f>
          </x14:formula1>
          <x14:formula2>
            <xm:f>0</xm:f>
          </x14:formula2>
          <xm:sqref>B3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A6FA5"/>
  </sheetPr>
  <dimension ref="A1:O35"/>
  <sheetViews>
    <sheetView zoomScale="130" zoomScaleNormal="130" workbookViewId="0">
      <selection activeCell="R14" sqref="R14"/>
    </sheetView>
  </sheetViews>
  <sheetFormatPr baseColWidth="10" defaultColWidth="8.6640625" defaultRowHeight="15" x14ac:dyDescent="0.2"/>
  <cols>
    <col min="1" max="1" width="17" customWidth="1"/>
    <col min="2" max="15" width="11" customWidth="1"/>
  </cols>
  <sheetData>
    <row r="1" spans="1:15" ht="19.5" customHeight="1" x14ac:dyDescent="0.2">
      <c r="A1" s="75" t="s">
        <v>289</v>
      </c>
    </row>
    <row r="2" spans="1:15" ht="39" customHeight="1" x14ac:dyDescent="0.2">
      <c r="A2" s="161" t="s">
        <v>290</v>
      </c>
      <c r="B2" s="146"/>
      <c r="C2" s="146"/>
      <c r="D2" s="146"/>
      <c r="E2" s="146"/>
      <c r="F2" s="146"/>
      <c r="G2" s="146"/>
      <c r="H2" s="146"/>
      <c r="I2" s="146"/>
      <c r="J2" s="146"/>
      <c r="K2" s="146"/>
      <c r="L2" s="146"/>
      <c r="M2" s="146"/>
      <c r="N2" s="146"/>
      <c r="O2" s="146"/>
    </row>
    <row r="3" spans="1:15" ht="37.5" customHeight="1" x14ac:dyDescent="0.2">
      <c r="A3" s="159" t="s">
        <v>291</v>
      </c>
      <c r="B3" s="160"/>
      <c r="C3" s="160"/>
      <c r="D3" s="160"/>
      <c r="E3" s="160"/>
      <c r="F3" s="160"/>
      <c r="G3" s="160"/>
      <c r="H3" s="160"/>
      <c r="I3" s="160"/>
      <c r="J3" s="160"/>
      <c r="K3" s="160"/>
      <c r="L3" s="160"/>
      <c r="M3" s="160"/>
      <c r="N3" s="160"/>
      <c r="O3" s="160"/>
    </row>
    <row r="4" spans="1:15" ht="15" customHeight="1" x14ac:dyDescent="0.2">
      <c r="A4" s="76" t="s">
        <v>292</v>
      </c>
      <c r="B4" s="51" t="s">
        <v>15</v>
      </c>
      <c r="C4" s="51" t="s">
        <v>16</v>
      </c>
      <c r="D4" s="51" t="s">
        <v>17</v>
      </c>
      <c r="E4" s="51" t="s">
        <v>18</v>
      </c>
      <c r="F4" s="51" t="s">
        <v>19</v>
      </c>
      <c r="G4" s="51" t="s">
        <v>20</v>
      </c>
      <c r="H4" s="51" t="s">
        <v>21</v>
      </c>
      <c r="I4" s="51" t="s">
        <v>22</v>
      </c>
      <c r="J4" s="51" t="s">
        <v>23</v>
      </c>
      <c r="K4" s="51" t="s">
        <v>24</v>
      </c>
      <c r="L4" s="51" t="s">
        <v>25</v>
      </c>
      <c r="M4" s="51" t="s">
        <v>26</v>
      </c>
      <c r="N4" s="51" t="s">
        <v>27</v>
      </c>
      <c r="O4" s="51" t="s">
        <v>28</v>
      </c>
    </row>
    <row r="5" spans="1:15" ht="15" customHeight="1" x14ac:dyDescent="0.2">
      <c r="A5" s="51" t="s">
        <v>15</v>
      </c>
      <c r="B5" s="56" t="str">
        <f>IF($A5=B$4,"—",IF((SUMPRODUCT(('Match Log'!$D$4:$D$1510=$A5)*('Match Log'!$E$4:$E$1510="Win")*COUNTIFS('Match Log'!$A$4:$A$1510,'Match Log'!$A$4:$A$1510,'Match Log'!$D$4:$D$1510,B$4,'Match Log'!$E$4:$E$1510,"Loss"))+SUMPRODUCT(('Match Log'!$D$4:$D$1510=B$4)*('Match Log'!$E$4:$E$1510="Win")*COUNTIFS('Match Log'!$A$4:$A$1510,'Match Log'!$A$4:$A$1510,'Match Log'!$D$4:$D$1510,$A5,'Match Log'!$E$4:$E$1510,"Loss")))=0,"",TEXT(SUMPRODUCT(('Match Log'!$D$4:$D$1510=$A5)*('Match Log'!$E$4:$E$1510="Win")*COUNTIFS('Match Log'!$A$4:$A$1510,'Match Log'!$A$4:$A$1510,'Match Log'!$D$4:$D$1510,B$4,'Match Log'!$E$4:$E$1510,"Loss"))/(SUMPRODUCT(('Match Log'!$D$4:$D$1510=$A5)*('Match Log'!$E$4:$E$1510="Win")*COUNTIFS('Match Log'!$A$4:$A$1510,'Match Log'!$A$4:$A$1510,'Match Log'!$D$4:$D$1510,B$4,'Match Log'!$E$4:$E$1510,"Loss"))+SUMPRODUCT(('Match Log'!$D$4:$D$1510=B$4)*('Match Log'!$E$4:$E$1510="Win")*COUNTIFS('Match Log'!$A$4:$A$1510,'Match Log'!$A$4:$A$1510,'Match Log'!$D$4:$D$1510,$A5,'Match Log'!$E$4:$E$1510,"Loss"))),"0%")&amp;" of "&amp;(SUMPRODUCT(('Match Log'!$D$4:$D$1510=$A5)*('Match Log'!$E$4:$E$1510="Win")*COUNTIFS('Match Log'!$A$4:$A$1510,'Match Log'!$A$4:$A$1510,'Match Log'!$D$4:$D$1510,B$4,'Match Log'!$E$4:$E$1510,"Loss"))+SUMPRODUCT(('Match Log'!$D$4:$D$1510=B$4)*('Match Log'!$E$4:$E$1510="Win")*COUNTIFS('Match Log'!$A$4:$A$1510,'Match Log'!$A$4:$A$1510,'Match Log'!$D$4:$D$1510,$A5,'Match Log'!$E$4:$E$1510,"Loss")))))</f>
        <v>—</v>
      </c>
      <c r="C5" s="56" t="str">
        <f>IF($A5=C$4,"—",IF((SUMPRODUCT(('Match Log'!$D$4:$D$1510=$A5)*('Match Log'!$E$4:$E$1510="Win")*COUNTIFS('Match Log'!$A$4:$A$1510,'Match Log'!$A$4:$A$1510,'Match Log'!$D$4:$D$1510,C$4,'Match Log'!$E$4:$E$1510,"Loss"))+SUMPRODUCT(('Match Log'!$D$4:$D$1510=C$4)*('Match Log'!$E$4:$E$1510="Win")*COUNTIFS('Match Log'!$A$4:$A$1510,'Match Log'!$A$4:$A$1510,'Match Log'!$D$4:$D$1510,$A5,'Match Log'!$E$4:$E$1510,"Loss")))=0,"",TEXT(SUMPRODUCT(('Match Log'!$D$4:$D$1510=$A5)*('Match Log'!$E$4:$E$1510="Win")*COUNTIFS('Match Log'!$A$4:$A$1510,'Match Log'!$A$4:$A$1510,'Match Log'!$D$4:$D$1510,C$4,'Match Log'!$E$4:$E$1510,"Loss"))/(SUMPRODUCT(('Match Log'!$D$4:$D$1510=$A5)*('Match Log'!$E$4:$E$1510="Win")*COUNTIFS('Match Log'!$A$4:$A$1510,'Match Log'!$A$4:$A$1510,'Match Log'!$D$4:$D$1510,C$4,'Match Log'!$E$4:$E$1510,"Loss"))+SUMPRODUCT(('Match Log'!$D$4:$D$1510=C$4)*('Match Log'!$E$4:$E$1510="Win")*COUNTIFS('Match Log'!$A$4:$A$1510,'Match Log'!$A$4:$A$1510,'Match Log'!$D$4:$D$1510,$A5,'Match Log'!$E$4:$E$1510,"Loss"))),"0%")&amp;" of "&amp;(SUMPRODUCT(('Match Log'!$D$4:$D$1510=$A5)*('Match Log'!$E$4:$E$1510="Win")*COUNTIFS('Match Log'!$A$4:$A$1510,'Match Log'!$A$4:$A$1510,'Match Log'!$D$4:$D$1510,C$4,'Match Log'!$E$4:$E$1510,"Loss"))+SUMPRODUCT(('Match Log'!$D$4:$D$1510=C$4)*('Match Log'!$E$4:$E$1510="Win")*COUNTIFS('Match Log'!$A$4:$A$1510,'Match Log'!$A$4:$A$1510,'Match Log'!$D$4:$D$1510,$A5,'Match Log'!$E$4:$E$1510,"Loss")))))</f>
        <v/>
      </c>
      <c r="D5" s="56" t="str">
        <f>IF($A5=D$4,"—",IF((SUMPRODUCT(('Match Log'!$D$4:$D$1510=$A5)*('Match Log'!$E$4:$E$1510="Win")*COUNTIFS('Match Log'!$A$4:$A$1510,'Match Log'!$A$4:$A$1510,'Match Log'!$D$4:$D$1510,D$4,'Match Log'!$E$4:$E$1510,"Loss"))+SUMPRODUCT(('Match Log'!$D$4:$D$1510=D$4)*('Match Log'!$E$4:$E$1510="Win")*COUNTIFS('Match Log'!$A$4:$A$1510,'Match Log'!$A$4:$A$1510,'Match Log'!$D$4:$D$1510,$A5,'Match Log'!$E$4:$E$1510,"Loss")))=0,"",TEXT(SUMPRODUCT(('Match Log'!$D$4:$D$1510=$A5)*('Match Log'!$E$4:$E$1510="Win")*COUNTIFS('Match Log'!$A$4:$A$1510,'Match Log'!$A$4:$A$1510,'Match Log'!$D$4:$D$1510,D$4,'Match Log'!$E$4:$E$1510,"Loss"))/(SUMPRODUCT(('Match Log'!$D$4:$D$1510=$A5)*('Match Log'!$E$4:$E$1510="Win")*COUNTIFS('Match Log'!$A$4:$A$1510,'Match Log'!$A$4:$A$1510,'Match Log'!$D$4:$D$1510,D$4,'Match Log'!$E$4:$E$1510,"Loss"))+SUMPRODUCT(('Match Log'!$D$4:$D$1510=D$4)*('Match Log'!$E$4:$E$1510="Win")*COUNTIFS('Match Log'!$A$4:$A$1510,'Match Log'!$A$4:$A$1510,'Match Log'!$D$4:$D$1510,$A5,'Match Log'!$E$4:$E$1510,"Loss"))),"0%")&amp;" of "&amp;(SUMPRODUCT(('Match Log'!$D$4:$D$1510=$A5)*('Match Log'!$E$4:$E$1510="Win")*COUNTIFS('Match Log'!$A$4:$A$1510,'Match Log'!$A$4:$A$1510,'Match Log'!$D$4:$D$1510,D$4,'Match Log'!$E$4:$E$1510,"Loss"))+SUMPRODUCT(('Match Log'!$D$4:$D$1510=D$4)*('Match Log'!$E$4:$E$1510="Win")*COUNTIFS('Match Log'!$A$4:$A$1510,'Match Log'!$A$4:$A$1510,'Match Log'!$D$4:$D$1510,$A5,'Match Log'!$E$4:$E$1510,"Loss")))))</f>
        <v>75% of 4</v>
      </c>
      <c r="E5" s="56" t="str">
        <f>IF($A5=E$4,"—",IF((SUMPRODUCT(('Match Log'!$D$4:$D$1510=$A5)*('Match Log'!$E$4:$E$1510="Win")*COUNTIFS('Match Log'!$A$4:$A$1510,'Match Log'!$A$4:$A$1510,'Match Log'!$D$4:$D$1510,E$4,'Match Log'!$E$4:$E$1510,"Loss"))+SUMPRODUCT(('Match Log'!$D$4:$D$1510=E$4)*('Match Log'!$E$4:$E$1510="Win")*COUNTIFS('Match Log'!$A$4:$A$1510,'Match Log'!$A$4:$A$1510,'Match Log'!$D$4:$D$1510,$A5,'Match Log'!$E$4:$E$1510,"Loss")))=0,"",TEXT(SUMPRODUCT(('Match Log'!$D$4:$D$1510=$A5)*('Match Log'!$E$4:$E$1510="Win")*COUNTIFS('Match Log'!$A$4:$A$1510,'Match Log'!$A$4:$A$1510,'Match Log'!$D$4:$D$1510,E$4,'Match Log'!$E$4:$E$1510,"Loss"))/(SUMPRODUCT(('Match Log'!$D$4:$D$1510=$A5)*('Match Log'!$E$4:$E$1510="Win")*COUNTIFS('Match Log'!$A$4:$A$1510,'Match Log'!$A$4:$A$1510,'Match Log'!$D$4:$D$1510,E$4,'Match Log'!$E$4:$E$1510,"Loss"))+SUMPRODUCT(('Match Log'!$D$4:$D$1510=E$4)*('Match Log'!$E$4:$E$1510="Win")*COUNTIFS('Match Log'!$A$4:$A$1510,'Match Log'!$A$4:$A$1510,'Match Log'!$D$4:$D$1510,$A5,'Match Log'!$E$4:$E$1510,"Loss"))),"0%")&amp;" of "&amp;(SUMPRODUCT(('Match Log'!$D$4:$D$1510=$A5)*('Match Log'!$E$4:$E$1510="Win")*COUNTIFS('Match Log'!$A$4:$A$1510,'Match Log'!$A$4:$A$1510,'Match Log'!$D$4:$D$1510,E$4,'Match Log'!$E$4:$E$1510,"Loss"))+SUMPRODUCT(('Match Log'!$D$4:$D$1510=E$4)*('Match Log'!$E$4:$E$1510="Win")*COUNTIFS('Match Log'!$A$4:$A$1510,'Match Log'!$A$4:$A$1510,'Match Log'!$D$4:$D$1510,$A5,'Match Log'!$E$4:$E$1510,"Loss")))))</f>
        <v>71% of 7</v>
      </c>
      <c r="F5" s="56" t="str">
        <f>IF($A5=F$4,"—",IF((SUMPRODUCT(('Match Log'!$D$4:$D$1510=$A5)*('Match Log'!$E$4:$E$1510="Win")*COUNTIFS('Match Log'!$A$4:$A$1510,'Match Log'!$A$4:$A$1510,'Match Log'!$D$4:$D$1510,F$4,'Match Log'!$E$4:$E$1510,"Loss"))+SUMPRODUCT(('Match Log'!$D$4:$D$1510=F$4)*('Match Log'!$E$4:$E$1510="Win")*COUNTIFS('Match Log'!$A$4:$A$1510,'Match Log'!$A$4:$A$1510,'Match Log'!$D$4:$D$1510,$A5,'Match Log'!$E$4:$E$1510,"Loss")))=0,"",TEXT(SUMPRODUCT(('Match Log'!$D$4:$D$1510=$A5)*('Match Log'!$E$4:$E$1510="Win")*COUNTIFS('Match Log'!$A$4:$A$1510,'Match Log'!$A$4:$A$1510,'Match Log'!$D$4:$D$1510,F$4,'Match Log'!$E$4:$E$1510,"Loss"))/(SUMPRODUCT(('Match Log'!$D$4:$D$1510=$A5)*('Match Log'!$E$4:$E$1510="Win")*COUNTIFS('Match Log'!$A$4:$A$1510,'Match Log'!$A$4:$A$1510,'Match Log'!$D$4:$D$1510,F$4,'Match Log'!$E$4:$E$1510,"Loss"))+SUMPRODUCT(('Match Log'!$D$4:$D$1510=F$4)*('Match Log'!$E$4:$E$1510="Win")*COUNTIFS('Match Log'!$A$4:$A$1510,'Match Log'!$A$4:$A$1510,'Match Log'!$D$4:$D$1510,$A5,'Match Log'!$E$4:$E$1510,"Loss"))),"0%")&amp;" of "&amp;(SUMPRODUCT(('Match Log'!$D$4:$D$1510=$A5)*('Match Log'!$E$4:$E$1510="Win")*COUNTIFS('Match Log'!$A$4:$A$1510,'Match Log'!$A$4:$A$1510,'Match Log'!$D$4:$D$1510,F$4,'Match Log'!$E$4:$E$1510,"Loss"))+SUMPRODUCT(('Match Log'!$D$4:$D$1510=F$4)*('Match Log'!$E$4:$E$1510="Win")*COUNTIFS('Match Log'!$A$4:$A$1510,'Match Log'!$A$4:$A$1510,'Match Log'!$D$4:$D$1510,$A5,'Match Log'!$E$4:$E$1510,"Loss")))))</f>
        <v>67% of 3</v>
      </c>
      <c r="G5" s="56" t="str">
        <f>IF($A5=G$4,"—",IF((SUMPRODUCT(('Match Log'!$D$4:$D$1510=$A5)*('Match Log'!$E$4:$E$1510="Win")*COUNTIFS('Match Log'!$A$4:$A$1510,'Match Log'!$A$4:$A$1510,'Match Log'!$D$4:$D$1510,G$4,'Match Log'!$E$4:$E$1510,"Loss"))+SUMPRODUCT(('Match Log'!$D$4:$D$1510=G$4)*('Match Log'!$E$4:$E$1510="Win")*COUNTIFS('Match Log'!$A$4:$A$1510,'Match Log'!$A$4:$A$1510,'Match Log'!$D$4:$D$1510,$A5,'Match Log'!$E$4:$E$1510,"Loss")))=0,"",TEXT(SUMPRODUCT(('Match Log'!$D$4:$D$1510=$A5)*('Match Log'!$E$4:$E$1510="Win")*COUNTIFS('Match Log'!$A$4:$A$1510,'Match Log'!$A$4:$A$1510,'Match Log'!$D$4:$D$1510,G$4,'Match Log'!$E$4:$E$1510,"Loss"))/(SUMPRODUCT(('Match Log'!$D$4:$D$1510=$A5)*('Match Log'!$E$4:$E$1510="Win")*COUNTIFS('Match Log'!$A$4:$A$1510,'Match Log'!$A$4:$A$1510,'Match Log'!$D$4:$D$1510,G$4,'Match Log'!$E$4:$E$1510,"Loss"))+SUMPRODUCT(('Match Log'!$D$4:$D$1510=G$4)*('Match Log'!$E$4:$E$1510="Win")*COUNTIFS('Match Log'!$A$4:$A$1510,'Match Log'!$A$4:$A$1510,'Match Log'!$D$4:$D$1510,$A5,'Match Log'!$E$4:$E$1510,"Loss"))),"0%")&amp;" of "&amp;(SUMPRODUCT(('Match Log'!$D$4:$D$1510=$A5)*('Match Log'!$E$4:$E$1510="Win")*COUNTIFS('Match Log'!$A$4:$A$1510,'Match Log'!$A$4:$A$1510,'Match Log'!$D$4:$D$1510,G$4,'Match Log'!$E$4:$E$1510,"Loss"))+SUMPRODUCT(('Match Log'!$D$4:$D$1510=G$4)*('Match Log'!$E$4:$E$1510="Win")*COUNTIFS('Match Log'!$A$4:$A$1510,'Match Log'!$A$4:$A$1510,'Match Log'!$D$4:$D$1510,$A5,'Match Log'!$E$4:$E$1510,"Loss")))))</f>
        <v>44% of 54</v>
      </c>
      <c r="H5" s="56" t="str">
        <f>IF($A5=H$4,"—",IF((SUMPRODUCT(('Match Log'!$D$4:$D$1510=$A5)*('Match Log'!$E$4:$E$1510="Win")*COUNTIFS('Match Log'!$A$4:$A$1510,'Match Log'!$A$4:$A$1510,'Match Log'!$D$4:$D$1510,H$4,'Match Log'!$E$4:$E$1510,"Loss"))+SUMPRODUCT(('Match Log'!$D$4:$D$1510=H$4)*('Match Log'!$E$4:$E$1510="Win")*COUNTIFS('Match Log'!$A$4:$A$1510,'Match Log'!$A$4:$A$1510,'Match Log'!$D$4:$D$1510,$A5,'Match Log'!$E$4:$E$1510,"Loss")))=0,"",TEXT(SUMPRODUCT(('Match Log'!$D$4:$D$1510=$A5)*('Match Log'!$E$4:$E$1510="Win")*COUNTIFS('Match Log'!$A$4:$A$1510,'Match Log'!$A$4:$A$1510,'Match Log'!$D$4:$D$1510,H$4,'Match Log'!$E$4:$E$1510,"Loss"))/(SUMPRODUCT(('Match Log'!$D$4:$D$1510=$A5)*('Match Log'!$E$4:$E$1510="Win")*COUNTIFS('Match Log'!$A$4:$A$1510,'Match Log'!$A$4:$A$1510,'Match Log'!$D$4:$D$1510,H$4,'Match Log'!$E$4:$E$1510,"Loss"))+SUMPRODUCT(('Match Log'!$D$4:$D$1510=H$4)*('Match Log'!$E$4:$E$1510="Win")*COUNTIFS('Match Log'!$A$4:$A$1510,'Match Log'!$A$4:$A$1510,'Match Log'!$D$4:$D$1510,$A5,'Match Log'!$E$4:$E$1510,"Loss"))),"0%")&amp;" of "&amp;(SUMPRODUCT(('Match Log'!$D$4:$D$1510=$A5)*('Match Log'!$E$4:$E$1510="Win")*COUNTIFS('Match Log'!$A$4:$A$1510,'Match Log'!$A$4:$A$1510,'Match Log'!$D$4:$D$1510,H$4,'Match Log'!$E$4:$E$1510,"Loss"))+SUMPRODUCT(('Match Log'!$D$4:$D$1510=H$4)*('Match Log'!$E$4:$E$1510="Win")*COUNTIFS('Match Log'!$A$4:$A$1510,'Match Log'!$A$4:$A$1510,'Match Log'!$D$4:$D$1510,$A5,'Match Log'!$E$4:$E$1510,"Loss")))))</f>
        <v>67% of 6</v>
      </c>
      <c r="I5" s="56" t="str">
        <f>IF($A5=I$4,"—",IF((SUMPRODUCT(('Match Log'!$D$4:$D$1510=$A5)*('Match Log'!$E$4:$E$1510="Win")*COUNTIFS('Match Log'!$A$4:$A$1510,'Match Log'!$A$4:$A$1510,'Match Log'!$D$4:$D$1510,I$4,'Match Log'!$E$4:$E$1510,"Loss"))+SUMPRODUCT(('Match Log'!$D$4:$D$1510=I$4)*('Match Log'!$E$4:$E$1510="Win")*COUNTIFS('Match Log'!$A$4:$A$1510,'Match Log'!$A$4:$A$1510,'Match Log'!$D$4:$D$1510,$A5,'Match Log'!$E$4:$E$1510,"Loss")))=0,"",TEXT(SUMPRODUCT(('Match Log'!$D$4:$D$1510=$A5)*('Match Log'!$E$4:$E$1510="Win")*COUNTIFS('Match Log'!$A$4:$A$1510,'Match Log'!$A$4:$A$1510,'Match Log'!$D$4:$D$1510,I$4,'Match Log'!$E$4:$E$1510,"Loss"))/(SUMPRODUCT(('Match Log'!$D$4:$D$1510=$A5)*('Match Log'!$E$4:$E$1510="Win")*COUNTIFS('Match Log'!$A$4:$A$1510,'Match Log'!$A$4:$A$1510,'Match Log'!$D$4:$D$1510,I$4,'Match Log'!$E$4:$E$1510,"Loss"))+SUMPRODUCT(('Match Log'!$D$4:$D$1510=I$4)*('Match Log'!$E$4:$E$1510="Win")*COUNTIFS('Match Log'!$A$4:$A$1510,'Match Log'!$A$4:$A$1510,'Match Log'!$D$4:$D$1510,$A5,'Match Log'!$E$4:$E$1510,"Loss"))),"0%")&amp;" of "&amp;(SUMPRODUCT(('Match Log'!$D$4:$D$1510=$A5)*('Match Log'!$E$4:$E$1510="Win")*COUNTIFS('Match Log'!$A$4:$A$1510,'Match Log'!$A$4:$A$1510,'Match Log'!$D$4:$D$1510,I$4,'Match Log'!$E$4:$E$1510,"Loss"))+SUMPRODUCT(('Match Log'!$D$4:$D$1510=I$4)*('Match Log'!$E$4:$E$1510="Win")*COUNTIFS('Match Log'!$A$4:$A$1510,'Match Log'!$A$4:$A$1510,'Match Log'!$D$4:$D$1510,$A5,'Match Log'!$E$4:$E$1510,"Loss")))))</f>
        <v>53% of 30</v>
      </c>
      <c r="J5" s="56" t="str">
        <f>IF($A5=J$4,"—",IF((SUMPRODUCT(('Match Log'!$D$4:$D$1510=$A5)*('Match Log'!$E$4:$E$1510="Win")*COUNTIFS('Match Log'!$A$4:$A$1510,'Match Log'!$A$4:$A$1510,'Match Log'!$D$4:$D$1510,J$4,'Match Log'!$E$4:$E$1510,"Loss"))+SUMPRODUCT(('Match Log'!$D$4:$D$1510=J$4)*('Match Log'!$E$4:$E$1510="Win")*COUNTIFS('Match Log'!$A$4:$A$1510,'Match Log'!$A$4:$A$1510,'Match Log'!$D$4:$D$1510,$A5,'Match Log'!$E$4:$E$1510,"Loss")))=0,"",TEXT(SUMPRODUCT(('Match Log'!$D$4:$D$1510=$A5)*('Match Log'!$E$4:$E$1510="Win")*COUNTIFS('Match Log'!$A$4:$A$1510,'Match Log'!$A$4:$A$1510,'Match Log'!$D$4:$D$1510,J$4,'Match Log'!$E$4:$E$1510,"Loss"))/(SUMPRODUCT(('Match Log'!$D$4:$D$1510=$A5)*('Match Log'!$E$4:$E$1510="Win")*COUNTIFS('Match Log'!$A$4:$A$1510,'Match Log'!$A$4:$A$1510,'Match Log'!$D$4:$D$1510,J$4,'Match Log'!$E$4:$E$1510,"Loss"))+SUMPRODUCT(('Match Log'!$D$4:$D$1510=J$4)*('Match Log'!$E$4:$E$1510="Win")*COUNTIFS('Match Log'!$A$4:$A$1510,'Match Log'!$A$4:$A$1510,'Match Log'!$D$4:$D$1510,$A5,'Match Log'!$E$4:$E$1510,"Loss"))),"0%")&amp;" of "&amp;(SUMPRODUCT(('Match Log'!$D$4:$D$1510=$A5)*('Match Log'!$E$4:$E$1510="Win")*COUNTIFS('Match Log'!$A$4:$A$1510,'Match Log'!$A$4:$A$1510,'Match Log'!$D$4:$D$1510,J$4,'Match Log'!$E$4:$E$1510,"Loss"))+SUMPRODUCT(('Match Log'!$D$4:$D$1510=J$4)*('Match Log'!$E$4:$E$1510="Win")*COUNTIFS('Match Log'!$A$4:$A$1510,'Match Log'!$A$4:$A$1510,'Match Log'!$D$4:$D$1510,$A5,'Match Log'!$E$4:$E$1510,"Loss")))))</f>
        <v>75% of 4</v>
      </c>
      <c r="K5" s="56" t="str">
        <f>IF($A5=K$4,"—",IF((SUMPRODUCT(('Match Log'!$D$4:$D$1510=$A5)*('Match Log'!$E$4:$E$1510="Win")*COUNTIFS('Match Log'!$A$4:$A$1510,'Match Log'!$A$4:$A$1510,'Match Log'!$D$4:$D$1510,K$4,'Match Log'!$E$4:$E$1510,"Loss"))+SUMPRODUCT(('Match Log'!$D$4:$D$1510=K$4)*('Match Log'!$E$4:$E$1510="Win")*COUNTIFS('Match Log'!$A$4:$A$1510,'Match Log'!$A$4:$A$1510,'Match Log'!$D$4:$D$1510,$A5,'Match Log'!$E$4:$E$1510,"Loss")))=0,"",TEXT(SUMPRODUCT(('Match Log'!$D$4:$D$1510=$A5)*('Match Log'!$E$4:$E$1510="Win")*COUNTIFS('Match Log'!$A$4:$A$1510,'Match Log'!$A$4:$A$1510,'Match Log'!$D$4:$D$1510,K$4,'Match Log'!$E$4:$E$1510,"Loss"))/(SUMPRODUCT(('Match Log'!$D$4:$D$1510=$A5)*('Match Log'!$E$4:$E$1510="Win")*COUNTIFS('Match Log'!$A$4:$A$1510,'Match Log'!$A$4:$A$1510,'Match Log'!$D$4:$D$1510,K$4,'Match Log'!$E$4:$E$1510,"Loss"))+SUMPRODUCT(('Match Log'!$D$4:$D$1510=K$4)*('Match Log'!$E$4:$E$1510="Win")*COUNTIFS('Match Log'!$A$4:$A$1510,'Match Log'!$A$4:$A$1510,'Match Log'!$D$4:$D$1510,$A5,'Match Log'!$E$4:$E$1510,"Loss"))),"0%")&amp;" of "&amp;(SUMPRODUCT(('Match Log'!$D$4:$D$1510=$A5)*('Match Log'!$E$4:$E$1510="Win")*COUNTIFS('Match Log'!$A$4:$A$1510,'Match Log'!$A$4:$A$1510,'Match Log'!$D$4:$D$1510,K$4,'Match Log'!$E$4:$E$1510,"Loss"))+SUMPRODUCT(('Match Log'!$D$4:$D$1510=K$4)*('Match Log'!$E$4:$E$1510="Win")*COUNTIFS('Match Log'!$A$4:$A$1510,'Match Log'!$A$4:$A$1510,'Match Log'!$D$4:$D$1510,$A5,'Match Log'!$E$4:$E$1510,"Loss")))))</f>
        <v/>
      </c>
      <c r="L5" s="56" t="str">
        <f>IF($A5=L$4,"—",IF((SUMPRODUCT(('Match Log'!$D$4:$D$1510=$A5)*('Match Log'!$E$4:$E$1510="Win")*COUNTIFS('Match Log'!$A$4:$A$1510,'Match Log'!$A$4:$A$1510,'Match Log'!$D$4:$D$1510,L$4,'Match Log'!$E$4:$E$1510,"Loss"))+SUMPRODUCT(('Match Log'!$D$4:$D$1510=L$4)*('Match Log'!$E$4:$E$1510="Win")*COUNTIFS('Match Log'!$A$4:$A$1510,'Match Log'!$A$4:$A$1510,'Match Log'!$D$4:$D$1510,$A5,'Match Log'!$E$4:$E$1510,"Loss")))=0,"",TEXT(SUMPRODUCT(('Match Log'!$D$4:$D$1510=$A5)*('Match Log'!$E$4:$E$1510="Win")*COUNTIFS('Match Log'!$A$4:$A$1510,'Match Log'!$A$4:$A$1510,'Match Log'!$D$4:$D$1510,L$4,'Match Log'!$E$4:$E$1510,"Loss"))/(SUMPRODUCT(('Match Log'!$D$4:$D$1510=$A5)*('Match Log'!$E$4:$E$1510="Win")*COUNTIFS('Match Log'!$A$4:$A$1510,'Match Log'!$A$4:$A$1510,'Match Log'!$D$4:$D$1510,L$4,'Match Log'!$E$4:$E$1510,"Loss"))+SUMPRODUCT(('Match Log'!$D$4:$D$1510=L$4)*('Match Log'!$E$4:$E$1510="Win")*COUNTIFS('Match Log'!$A$4:$A$1510,'Match Log'!$A$4:$A$1510,'Match Log'!$D$4:$D$1510,$A5,'Match Log'!$E$4:$E$1510,"Loss"))),"0%")&amp;" of "&amp;(SUMPRODUCT(('Match Log'!$D$4:$D$1510=$A5)*('Match Log'!$E$4:$E$1510="Win")*COUNTIFS('Match Log'!$A$4:$A$1510,'Match Log'!$A$4:$A$1510,'Match Log'!$D$4:$D$1510,L$4,'Match Log'!$E$4:$E$1510,"Loss"))+SUMPRODUCT(('Match Log'!$D$4:$D$1510=L$4)*('Match Log'!$E$4:$E$1510="Win")*COUNTIFS('Match Log'!$A$4:$A$1510,'Match Log'!$A$4:$A$1510,'Match Log'!$D$4:$D$1510,$A5,'Match Log'!$E$4:$E$1510,"Loss")))))</f>
        <v>67% of 6</v>
      </c>
      <c r="M5" s="56" t="str">
        <f>IF($A5=M$4,"—",IF((SUMPRODUCT(('Match Log'!$D$4:$D$1510=$A5)*('Match Log'!$E$4:$E$1510="Win")*COUNTIFS('Match Log'!$A$4:$A$1510,'Match Log'!$A$4:$A$1510,'Match Log'!$D$4:$D$1510,M$4,'Match Log'!$E$4:$E$1510,"Loss"))+SUMPRODUCT(('Match Log'!$D$4:$D$1510=M$4)*('Match Log'!$E$4:$E$1510="Win")*COUNTIFS('Match Log'!$A$4:$A$1510,'Match Log'!$A$4:$A$1510,'Match Log'!$D$4:$D$1510,$A5,'Match Log'!$E$4:$E$1510,"Loss")))=0,"",TEXT(SUMPRODUCT(('Match Log'!$D$4:$D$1510=$A5)*('Match Log'!$E$4:$E$1510="Win")*COUNTIFS('Match Log'!$A$4:$A$1510,'Match Log'!$A$4:$A$1510,'Match Log'!$D$4:$D$1510,M$4,'Match Log'!$E$4:$E$1510,"Loss"))/(SUMPRODUCT(('Match Log'!$D$4:$D$1510=$A5)*('Match Log'!$E$4:$E$1510="Win")*COUNTIFS('Match Log'!$A$4:$A$1510,'Match Log'!$A$4:$A$1510,'Match Log'!$D$4:$D$1510,M$4,'Match Log'!$E$4:$E$1510,"Loss"))+SUMPRODUCT(('Match Log'!$D$4:$D$1510=M$4)*('Match Log'!$E$4:$E$1510="Win")*COUNTIFS('Match Log'!$A$4:$A$1510,'Match Log'!$A$4:$A$1510,'Match Log'!$D$4:$D$1510,$A5,'Match Log'!$E$4:$E$1510,"Loss"))),"0%")&amp;" of "&amp;(SUMPRODUCT(('Match Log'!$D$4:$D$1510=$A5)*('Match Log'!$E$4:$E$1510="Win")*COUNTIFS('Match Log'!$A$4:$A$1510,'Match Log'!$A$4:$A$1510,'Match Log'!$D$4:$D$1510,M$4,'Match Log'!$E$4:$E$1510,"Loss"))+SUMPRODUCT(('Match Log'!$D$4:$D$1510=M$4)*('Match Log'!$E$4:$E$1510="Win")*COUNTIFS('Match Log'!$A$4:$A$1510,'Match Log'!$A$4:$A$1510,'Match Log'!$D$4:$D$1510,$A5,'Match Log'!$E$4:$E$1510,"Loss")))))</f>
        <v>0% of 1</v>
      </c>
      <c r="N5" s="56" t="str">
        <f>IF($A5=N$4,"—",IF((SUMPRODUCT(('Match Log'!$D$4:$D$1510=$A5)*('Match Log'!$E$4:$E$1510="Win")*COUNTIFS('Match Log'!$A$4:$A$1510,'Match Log'!$A$4:$A$1510,'Match Log'!$D$4:$D$1510,N$4,'Match Log'!$E$4:$E$1510,"Loss"))+SUMPRODUCT(('Match Log'!$D$4:$D$1510=N$4)*('Match Log'!$E$4:$E$1510="Win")*COUNTIFS('Match Log'!$A$4:$A$1510,'Match Log'!$A$4:$A$1510,'Match Log'!$D$4:$D$1510,$A5,'Match Log'!$E$4:$E$1510,"Loss")))=0,"",TEXT(SUMPRODUCT(('Match Log'!$D$4:$D$1510=$A5)*('Match Log'!$E$4:$E$1510="Win")*COUNTIFS('Match Log'!$A$4:$A$1510,'Match Log'!$A$4:$A$1510,'Match Log'!$D$4:$D$1510,N$4,'Match Log'!$E$4:$E$1510,"Loss"))/(SUMPRODUCT(('Match Log'!$D$4:$D$1510=$A5)*('Match Log'!$E$4:$E$1510="Win")*COUNTIFS('Match Log'!$A$4:$A$1510,'Match Log'!$A$4:$A$1510,'Match Log'!$D$4:$D$1510,N$4,'Match Log'!$E$4:$E$1510,"Loss"))+SUMPRODUCT(('Match Log'!$D$4:$D$1510=N$4)*('Match Log'!$E$4:$E$1510="Win")*COUNTIFS('Match Log'!$A$4:$A$1510,'Match Log'!$A$4:$A$1510,'Match Log'!$D$4:$D$1510,$A5,'Match Log'!$E$4:$E$1510,"Loss"))),"0%")&amp;" of "&amp;(SUMPRODUCT(('Match Log'!$D$4:$D$1510=$A5)*('Match Log'!$E$4:$E$1510="Win")*COUNTIFS('Match Log'!$A$4:$A$1510,'Match Log'!$A$4:$A$1510,'Match Log'!$D$4:$D$1510,N$4,'Match Log'!$E$4:$E$1510,"Loss"))+SUMPRODUCT(('Match Log'!$D$4:$D$1510=N$4)*('Match Log'!$E$4:$E$1510="Win")*COUNTIFS('Match Log'!$A$4:$A$1510,'Match Log'!$A$4:$A$1510,'Match Log'!$D$4:$D$1510,$A5,'Match Log'!$E$4:$E$1510,"Loss")))))</f>
        <v/>
      </c>
      <c r="O5" s="56" t="str">
        <f>IF($A5=O$4,"—",IF((SUMPRODUCT(('Match Log'!$D$4:$D$1510=$A5)*('Match Log'!$E$4:$E$1510="Win")*COUNTIFS('Match Log'!$A$4:$A$1510,'Match Log'!$A$4:$A$1510,'Match Log'!$D$4:$D$1510,O$4,'Match Log'!$E$4:$E$1510,"Loss"))+SUMPRODUCT(('Match Log'!$D$4:$D$1510=O$4)*('Match Log'!$E$4:$E$1510="Win")*COUNTIFS('Match Log'!$A$4:$A$1510,'Match Log'!$A$4:$A$1510,'Match Log'!$D$4:$D$1510,$A5,'Match Log'!$E$4:$E$1510,"Loss")))=0,"",TEXT(SUMPRODUCT(('Match Log'!$D$4:$D$1510=$A5)*('Match Log'!$E$4:$E$1510="Win")*COUNTIFS('Match Log'!$A$4:$A$1510,'Match Log'!$A$4:$A$1510,'Match Log'!$D$4:$D$1510,O$4,'Match Log'!$E$4:$E$1510,"Loss"))/(SUMPRODUCT(('Match Log'!$D$4:$D$1510=$A5)*('Match Log'!$E$4:$E$1510="Win")*COUNTIFS('Match Log'!$A$4:$A$1510,'Match Log'!$A$4:$A$1510,'Match Log'!$D$4:$D$1510,O$4,'Match Log'!$E$4:$E$1510,"Loss"))+SUMPRODUCT(('Match Log'!$D$4:$D$1510=O$4)*('Match Log'!$E$4:$E$1510="Win")*COUNTIFS('Match Log'!$A$4:$A$1510,'Match Log'!$A$4:$A$1510,'Match Log'!$D$4:$D$1510,$A5,'Match Log'!$E$4:$E$1510,"Loss"))),"0%")&amp;" of "&amp;(SUMPRODUCT(('Match Log'!$D$4:$D$1510=$A5)*('Match Log'!$E$4:$E$1510="Win")*COUNTIFS('Match Log'!$A$4:$A$1510,'Match Log'!$A$4:$A$1510,'Match Log'!$D$4:$D$1510,O$4,'Match Log'!$E$4:$E$1510,"Loss"))+SUMPRODUCT(('Match Log'!$D$4:$D$1510=O$4)*('Match Log'!$E$4:$E$1510="Win")*COUNTIFS('Match Log'!$A$4:$A$1510,'Match Log'!$A$4:$A$1510,'Match Log'!$D$4:$D$1510,$A5,'Match Log'!$E$4:$E$1510,"Loss")))))</f>
        <v/>
      </c>
    </row>
    <row r="6" spans="1:15" ht="15" customHeight="1" x14ac:dyDescent="0.2">
      <c r="A6" s="51" t="s">
        <v>16</v>
      </c>
      <c r="B6" s="56" t="str">
        <f>IF($A6=B$4,"—",IF((SUMPRODUCT(('Match Log'!$D$4:$D$1510=$A6)*('Match Log'!$E$4:$E$1510="Win")*COUNTIFS('Match Log'!$A$4:$A$1510,'Match Log'!$A$4:$A$1510,'Match Log'!$D$4:$D$1510,B$4,'Match Log'!$E$4:$E$1510,"Loss"))+SUMPRODUCT(('Match Log'!$D$4:$D$1510=B$4)*('Match Log'!$E$4:$E$1510="Win")*COUNTIFS('Match Log'!$A$4:$A$1510,'Match Log'!$A$4:$A$1510,'Match Log'!$D$4:$D$1510,$A6,'Match Log'!$E$4:$E$1510,"Loss")))=0,"",TEXT(SUMPRODUCT(('Match Log'!$D$4:$D$1510=$A6)*('Match Log'!$E$4:$E$1510="Win")*COUNTIFS('Match Log'!$A$4:$A$1510,'Match Log'!$A$4:$A$1510,'Match Log'!$D$4:$D$1510,B$4,'Match Log'!$E$4:$E$1510,"Loss"))/(SUMPRODUCT(('Match Log'!$D$4:$D$1510=$A6)*('Match Log'!$E$4:$E$1510="Win")*COUNTIFS('Match Log'!$A$4:$A$1510,'Match Log'!$A$4:$A$1510,'Match Log'!$D$4:$D$1510,B$4,'Match Log'!$E$4:$E$1510,"Loss"))+SUMPRODUCT(('Match Log'!$D$4:$D$1510=B$4)*('Match Log'!$E$4:$E$1510="Win")*COUNTIFS('Match Log'!$A$4:$A$1510,'Match Log'!$A$4:$A$1510,'Match Log'!$D$4:$D$1510,$A6,'Match Log'!$E$4:$E$1510,"Loss"))),"0%")&amp;" of "&amp;(SUMPRODUCT(('Match Log'!$D$4:$D$1510=$A6)*('Match Log'!$E$4:$E$1510="Win")*COUNTIFS('Match Log'!$A$4:$A$1510,'Match Log'!$A$4:$A$1510,'Match Log'!$D$4:$D$1510,B$4,'Match Log'!$E$4:$E$1510,"Loss"))+SUMPRODUCT(('Match Log'!$D$4:$D$1510=B$4)*('Match Log'!$E$4:$E$1510="Win")*COUNTIFS('Match Log'!$A$4:$A$1510,'Match Log'!$A$4:$A$1510,'Match Log'!$D$4:$D$1510,$A6,'Match Log'!$E$4:$E$1510,"Loss")))))</f>
        <v/>
      </c>
      <c r="C6" s="56" t="str">
        <f>IF($A6=C$4,"—",IF((SUMPRODUCT(('Match Log'!$D$4:$D$1510=$A6)*('Match Log'!$E$4:$E$1510="Win")*COUNTIFS('Match Log'!$A$4:$A$1510,'Match Log'!$A$4:$A$1510,'Match Log'!$D$4:$D$1510,C$4,'Match Log'!$E$4:$E$1510,"Loss"))+SUMPRODUCT(('Match Log'!$D$4:$D$1510=C$4)*('Match Log'!$E$4:$E$1510="Win")*COUNTIFS('Match Log'!$A$4:$A$1510,'Match Log'!$A$4:$A$1510,'Match Log'!$D$4:$D$1510,$A6,'Match Log'!$E$4:$E$1510,"Loss")))=0,"",TEXT(SUMPRODUCT(('Match Log'!$D$4:$D$1510=$A6)*('Match Log'!$E$4:$E$1510="Win")*COUNTIFS('Match Log'!$A$4:$A$1510,'Match Log'!$A$4:$A$1510,'Match Log'!$D$4:$D$1510,C$4,'Match Log'!$E$4:$E$1510,"Loss"))/(SUMPRODUCT(('Match Log'!$D$4:$D$1510=$A6)*('Match Log'!$E$4:$E$1510="Win")*COUNTIFS('Match Log'!$A$4:$A$1510,'Match Log'!$A$4:$A$1510,'Match Log'!$D$4:$D$1510,C$4,'Match Log'!$E$4:$E$1510,"Loss"))+SUMPRODUCT(('Match Log'!$D$4:$D$1510=C$4)*('Match Log'!$E$4:$E$1510="Win")*COUNTIFS('Match Log'!$A$4:$A$1510,'Match Log'!$A$4:$A$1510,'Match Log'!$D$4:$D$1510,$A6,'Match Log'!$E$4:$E$1510,"Loss"))),"0%")&amp;" of "&amp;(SUMPRODUCT(('Match Log'!$D$4:$D$1510=$A6)*('Match Log'!$E$4:$E$1510="Win")*COUNTIFS('Match Log'!$A$4:$A$1510,'Match Log'!$A$4:$A$1510,'Match Log'!$D$4:$D$1510,C$4,'Match Log'!$E$4:$E$1510,"Loss"))+SUMPRODUCT(('Match Log'!$D$4:$D$1510=C$4)*('Match Log'!$E$4:$E$1510="Win")*COUNTIFS('Match Log'!$A$4:$A$1510,'Match Log'!$A$4:$A$1510,'Match Log'!$D$4:$D$1510,$A6,'Match Log'!$E$4:$E$1510,"Loss")))))</f>
        <v>—</v>
      </c>
      <c r="D6" s="56" t="str">
        <f>IF($A6=D$4,"—",IF((SUMPRODUCT(('Match Log'!$D$4:$D$1510=$A6)*('Match Log'!$E$4:$E$1510="Win")*COUNTIFS('Match Log'!$A$4:$A$1510,'Match Log'!$A$4:$A$1510,'Match Log'!$D$4:$D$1510,D$4,'Match Log'!$E$4:$E$1510,"Loss"))+SUMPRODUCT(('Match Log'!$D$4:$D$1510=D$4)*('Match Log'!$E$4:$E$1510="Win")*COUNTIFS('Match Log'!$A$4:$A$1510,'Match Log'!$A$4:$A$1510,'Match Log'!$D$4:$D$1510,$A6,'Match Log'!$E$4:$E$1510,"Loss")))=0,"",TEXT(SUMPRODUCT(('Match Log'!$D$4:$D$1510=$A6)*('Match Log'!$E$4:$E$1510="Win")*COUNTIFS('Match Log'!$A$4:$A$1510,'Match Log'!$A$4:$A$1510,'Match Log'!$D$4:$D$1510,D$4,'Match Log'!$E$4:$E$1510,"Loss"))/(SUMPRODUCT(('Match Log'!$D$4:$D$1510=$A6)*('Match Log'!$E$4:$E$1510="Win")*COUNTIFS('Match Log'!$A$4:$A$1510,'Match Log'!$A$4:$A$1510,'Match Log'!$D$4:$D$1510,D$4,'Match Log'!$E$4:$E$1510,"Loss"))+SUMPRODUCT(('Match Log'!$D$4:$D$1510=D$4)*('Match Log'!$E$4:$E$1510="Win")*COUNTIFS('Match Log'!$A$4:$A$1510,'Match Log'!$A$4:$A$1510,'Match Log'!$D$4:$D$1510,$A6,'Match Log'!$E$4:$E$1510,"Loss"))),"0%")&amp;" of "&amp;(SUMPRODUCT(('Match Log'!$D$4:$D$1510=$A6)*('Match Log'!$E$4:$E$1510="Win")*COUNTIFS('Match Log'!$A$4:$A$1510,'Match Log'!$A$4:$A$1510,'Match Log'!$D$4:$D$1510,D$4,'Match Log'!$E$4:$E$1510,"Loss"))+SUMPRODUCT(('Match Log'!$D$4:$D$1510=D$4)*('Match Log'!$E$4:$E$1510="Win")*COUNTIFS('Match Log'!$A$4:$A$1510,'Match Log'!$A$4:$A$1510,'Match Log'!$D$4:$D$1510,$A6,'Match Log'!$E$4:$E$1510,"Loss")))))</f>
        <v/>
      </c>
      <c r="E6" s="56" t="str">
        <f>IF($A6=E$4,"—",IF((SUMPRODUCT(('Match Log'!$D$4:$D$1510=$A6)*('Match Log'!$E$4:$E$1510="Win")*COUNTIFS('Match Log'!$A$4:$A$1510,'Match Log'!$A$4:$A$1510,'Match Log'!$D$4:$D$1510,E$4,'Match Log'!$E$4:$E$1510,"Loss"))+SUMPRODUCT(('Match Log'!$D$4:$D$1510=E$4)*('Match Log'!$E$4:$E$1510="Win")*COUNTIFS('Match Log'!$A$4:$A$1510,'Match Log'!$A$4:$A$1510,'Match Log'!$D$4:$D$1510,$A6,'Match Log'!$E$4:$E$1510,"Loss")))=0,"",TEXT(SUMPRODUCT(('Match Log'!$D$4:$D$1510=$A6)*('Match Log'!$E$4:$E$1510="Win")*COUNTIFS('Match Log'!$A$4:$A$1510,'Match Log'!$A$4:$A$1510,'Match Log'!$D$4:$D$1510,E$4,'Match Log'!$E$4:$E$1510,"Loss"))/(SUMPRODUCT(('Match Log'!$D$4:$D$1510=$A6)*('Match Log'!$E$4:$E$1510="Win")*COUNTIFS('Match Log'!$A$4:$A$1510,'Match Log'!$A$4:$A$1510,'Match Log'!$D$4:$D$1510,E$4,'Match Log'!$E$4:$E$1510,"Loss"))+SUMPRODUCT(('Match Log'!$D$4:$D$1510=E$4)*('Match Log'!$E$4:$E$1510="Win")*COUNTIFS('Match Log'!$A$4:$A$1510,'Match Log'!$A$4:$A$1510,'Match Log'!$D$4:$D$1510,$A6,'Match Log'!$E$4:$E$1510,"Loss"))),"0%")&amp;" of "&amp;(SUMPRODUCT(('Match Log'!$D$4:$D$1510=$A6)*('Match Log'!$E$4:$E$1510="Win")*COUNTIFS('Match Log'!$A$4:$A$1510,'Match Log'!$A$4:$A$1510,'Match Log'!$D$4:$D$1510,E$4,'Match Log'!$E$4:$E$1510,"Loss"))+SUMPRODUCT(('Match Log'!$D$4:$D$1510=E$4)*('Match Log'!$E$4:$E$1510="Win")*COUNTIFS('Match Log'!$A$4:$A$1510,'Match Log'!$A$4:$A$1510,'Match Log'!$D$4:$D$1510,$A6,'Match Log'!$E$4:$E$1510,"Loss")))))</f>
        <v>0% of 1</v>
      </c>
      <c r="F6" s="56" t="str">
        <f>IF($A6=F$4,"—",IF((SUMPRODUCT(('Match Log'!$D$4:$D$1510=$A6)*('Match Log'!$E$4:$E$1510="Win")*COUNTIFS('Match Log'!$A$4:$A$1510,'Match Log'!$A$4:$A$1510,'Match Log'!$D$4:$D$1510,F$4,'Match Log'!$E$4:$E$1510,"Loss"))+SUMPRODUCT(('Match Log'!$D$4:$D$1510=F$4)*('Match Log'!$E$4:$E$1510="Win")*COUNTIFS('Match Log'!$A$4:$A$1510,'Match Log'!$A$4:$A$1510,'Match Log'!$D$4:$D$1510,$A6,'Match Log'!$E$4:$E$1510,"Loss")))=0,"",TEXT(SUMPRODUCT(('Match Log'!$D$4:$D$1510=$A6)*('Match Log'!$E$4:$E$1510="Win")*COUNTIFS('Match Log'!$A$4:$A$1510,'Match Log'!$A$4:$A$1510,'Match Log'!$D$4:$D$1510,F$4,'Match Log'!$E$4:$E$1510,"Loss"))/(SUMPRODUCT(('Match Log'!$D$4:$D$1510=$A6)*('Match Log'!$E$4:$E$1510="Win")*COUNTIFS('Match Log'!$A$4:$A$1510,'Match Log'!$A$4:$A$1510,'Match Log'!$D$4:$D$1510,F$4,'Match Log'!$E$4:$E$1510,"Loss"))+SUMPRODUCT(('Match Log'!$D$4:$D$1510=F$4)*('Match Log'!$E$4:$E$1510="Win")*COUNTIFS('Match Log'!$A$4:$A$1510,'Match Log'!$A$4:$A$1510,'Match Log'!$D$4:$D$1510,$A6,'Match Log'!$E$4:$E$1510,"Loss"))),"0%")&amp;" of "&amp;(SUMPRODUCT(('Match Log'!$D$4:$D$1510=$A6)*('Match Log'!$E$4:$E$1510="Win")*COUNTIFS('Match Log'!$A$4:$A$1510,'Match Log'!$A$4:$A$1510,'Match Log'!$D$4:$D$1510,F$4,'Match Log'!$E$4:$E$1510,"Loss"))+SUMPRODUCT(('Match Log'!$D$4:$D$1510=F$4)*('Match Log'!$E$4:$E$1510="Win")*COUNTIFS('Match Log'!$A$4:$A$1510,'Match Log'!$A$4:$A$1510,'Match Log'!$D$4:$D$1510,$A6,'Match Log'!$E$4:$E$1510,"Loss")))))</f>
        <v>0% of 1</v>
      </c>
      <c r="G6" s="56" t="str">
        <f>IF($A6=G$4,"—",IF((SUMPRODUCT(('Match Log'!$D$4:$D$1510=$A6)*('Match Log'!$E$4:$E$1510="Win")*COUNTIFS('Match Log'!$A$4:$A$1510,'Match Log'!$A$4:$A$1510,'Match Log'!$D$4:$D$1510,G$4,'Match Log'!$E$4:$E$1510,"Loss"))+SUMPRODUCT(('Match Log'!$D$4:$D$1510=G$4)*('Match Log'!$E$4:$E$1510="Win")*COUNTIFS('Match Log'!$A$4:$A$1510,'Match Log'!$A$4:$A$1510,'Match Log'!$D$4:$D$1510,$A6,'Match Log'!$E$4:$E$1510,"Loss")))=0,"",TEXT(SUMPRODUCT(('Match Log'!$D$4:$D$1510=$A6)*('Match Log'!$E$4:$E$1510="Win")*COUNTIFS('Match Log'!$A$4:$A$1510,'Match Log'!$A$4:$A$1510,'Match Log'!$D$4:$D$1510,G$4,'Match Log'!$E$4:$E$1510,"Loss"))/(SUMPRODUCT(('Match Log'!$D$4:$D$1510=$A6)*('Match Log'!$E$4:$E$1510="Win")*COUNTIFS('Match Log'!$A$4:$A$1510,'Match Log'!$A$4:$A$1510,'Match Log'!$D$4:$D$1510,G$4,'Match Log'!$E$4:$E$1510,"Loss"))+SUMPRODUCT(('Match Log'!$D$4:$D$1510=G$4)*('Match Log'!$E$4:$E$1510="Win")*COUNTIFS('Match Log'!$A$4:$A$1510,'Match Log'!$A$4:$A$1510,'Match Log'!$D$4:$D$1510,$A6,'Match Log'!$E$4:$E$1510,"Loss"))),"0%")&amp;" of "&amp;(SUMPRODUCT(('Match Log'!$D$4:$D$1510=$A6)*('Match Log'!$E$4:$E$1510="Win")*COUNTIFS('Match Log'!$A$4:$A$1510,'Match Log'!$A$4:$A$1510,'Match Log'!$D$4:$D$1510,G$4,'Match Log'!$E$4:$E$1510,"Loss"))+SUMPRODUCT(('Match Log'!$D$4:$D$1510=G$4)*('Match Log'!$E$4:$E$1510="Win")*COUNTIFS('Match Log'!$A$4:$A$1510,'Match Log'!$A$4:$A$1510,'Match Log'!$D$4:$D$1510,$A6,'Match Log'!$E$4:$E$1510,"Loss")))))</f>
        <v>0% of 1</v>
      </c>
      <c r="H6" s="56" t="str">
        <f>IF($A6=H$4,"—",IF((SUMPRODUCT(('Match Log'!$D$4:$D$1510=$A6)*('Match Log'!$E$4:$E$1510="Win")*COUNTIFS('Match Log'!$A$4:$A$1510,'Match Log'!$A$4:$A$1510,'Match Log'!$D$4:$D$1510,H$4,'Match Log'!$E$4:$E$1510,"Loss"))+SUMPRODUCT(('Match Log'!$D$4:$D$1510=H$4)*('Match Log'!$E$4:$E$1510="Win")*COUNTIFS('Match Log'!$A$4:$A$1510,'Match Log'!$A$4:$A$1510,'Match Log'!$D$4:$D$1510,$A6,'Match Log'!$E$4:$E$1510,"Loss")))=0,"",TEXT(SUMPRODUCT(('Match Log'!$D$4:$D$1510=$A6)*('Match Log'!$E$4:$E$1510="Win")*COUNTIFS('Match Log'!$A$4:$A$1510,'Match Log'!$A$4:$A$1510,'Match Log'!$D$4:$D$1510,H$4,'Match Log'!$E$4:$E$1510,"Loss"))/(SUMPRODUCT(('Match Log'!$D$4:$D$1510=$A6)*('Match Log'!$E$4:$E$1510="Win")*COUNTIFS('Match Log'!$A$4:$A$1510,'Match Log'!$A$4:$A$1510,'Match Log'!$D$4:$D$1510,H$4,'Match Log'!$E$4:$E$1510,"Loss"))+SUMPRODUCT(('Match Log'!$D$4:$D$1510=H$4)*('Match Log'!$E$4:$E$1510="Win")*COUNTIFS('Match Log'!$A$4:$A$1510,'Match Log'!$A$4:$A$1510,'Match Log'!$D$4:$D$1510,$A6,'Match Log'!$E$4:$E$1510,"Loss"))),"0%")&amp;" of "&amp;(SUMPRODUCT(('Match Log'!$D$4:$D$1510=$A6)*('Match Log'!$E$4:$E$1510="Win")*COUNTIFS('Match Log'!$A$4:$A$1510,'Match Log'!$A$4:$A$1510,'Match Log'!$D$4:$D$1510,H$4,'Match Log'!$E$4:$E$1510,"Loss"))+SUMPRODUCT(('Match Log'!$D$4:$D$1510=H$4)*('Match Log'!$E$4:$E$1510="Win")*COUNTIFS('Match Log'!$A$4:$A$1510,'Match Log'!$A$4:$A$1510,'Match Log'!$D$4:$D$1510,$A6,'Match Log'!$E$4:$E$1510,"Loss")))))</f>
        <v>67% of 3</v>
      </c>
      <c r="I6" s="56" t="str">
        <f>IF($A6=I$4,"—",IF((SUMPRODUCT(('Match Log'!$D$4:$D$1510=$A6)*('Match Log'!$E$4:$E$1510="Win")*COUNTIFS('Match Log'!$A$4:$A$1510,'Match Log'!$A$4:$A$1510,'Match Log'!$D$4:$D$1510,I$4,'Match Log'!$E$4:$E$1510,"Loss"))+SUMPRODUCT(('Match Log'!$D$4:$D$1510=I$4)*('Match Log'!$E$4:$E$1510="Win")*COUNTIFS('Match Log'!$A$4:$A$1510,'Match Log'!$A$4:$A$1510,'Match Log'!$D$4:$D$1510,$A6,'Match Log'!$E$4:$E$1510,"Loss")))=0,"",TEXT(SUMPRODUCT(('Match Log'!$D$4:$D$1510=$A6)*('Match Log'!$E$4:$E$1510="Win")*COUNTIFS('Match Log'!$A$4:$A$1510,'Match Log'!$A$4:$A$1510,'Match Log'!$D$4:$D$1510,I$4,'Match Log'!$E$4:$E$1510,"Loss"))/(SUMPRODUCT(('Match Log'!$D$4:$D$1510=$A6)*('Match Log'!$E$4:$E$1510="Win")*COUNTIFS('Match Log'!$A$4:$A$1510,'Match Log'!$A$4:$A$1510,'Match Log'!$D$4:$D$1510,I$4,'Match Log'!$E$4:$E$1510,"Loss"))+SUMPRODUCT(('Match Log'!$D$4:$D$1510=I$4)*('Match Log'!$E$4:$E$1510="Win")*COUNTIFS('Match Log'!$A$4:$A$1510,'Match Log'!$A$4:$A$1510,'Match Log'!$D$4:$D$1510,$A6,'Match Log'!$E$4:$E$1510,"Loss"))),"0%")&amp;" of "&amp;(SUMPRODUCT(('Match Log'!$D$4:$D$1510=$A6)*('Match Log'!$E$4:$E$1510="Win")*COUNTIFS('Match Log'!$A$4:$A$1510,'Match Log'!$A$4:$A$1510,'Match Log'!$D$4:$D$1510,I$4,'Match Log'!$E$4:$E$1510,"Loss"))+SUMPRODUCT(('Match Log'!$D$4:$D$1510=I$4)*('Match Log'!$E$4:$E$1510="Win")*COUNTIFS('Match Log'!$A$4:$A$1510,'Match Log'!$A$4:$A$1510,'Match Log'!$D$4:$D$1510,$A6,'Match Log'!$E$4:$E$1510,"Loss")))))</f>
        <v>100% of 2</v>
      </c>
      <c r="J6" s="56" t="str">
        <f>IF($A6=J$4,"—",IF((SUMPRODUCT(('Match Log'!$D$4:$D$1510=$A6)*('Match Log'!$E$4:$E$1510="Win")*COUNTIFS('Match Log'!$A$4:$A$1510,'Match Log'!$A$4:$A$1510,'Match Log'!$D$4:$D$1510,J$4,'Match Log'!$E$4:$E$1510,"Loss"))+SUMPRODUCT(('Match Log'!$D$4:$D$1510=J$4)*('Match Log'!$E$4:$E$1510="Win")*COUNTIFS('Match Log'!$A$4:$A$1510,'Match Log'!$A$4:$A$1510,'Match Log'!$D$4:$D$1510,$A6,'Match Log'!$E$4:$E$1510,"Loss")))=0,"",TEXT(SUMPRODUCT(('Match Log'!$D$4:$D$1510=$A6)*('Match Log'!$E$4:$E$1510="Win")*COUNTIFS('Match Log'!$A$4:$A$1510,'Match Log'!$A$4:$A$1510,'Match Log'!$D$4:$D$1510,J$4,'Match Log'!$E$4:$E$1510,"Loss"))/(SUMPRODUCT(('Match Log'!$D$4:$D$1510=$A6)*('Match Log'!$E$4:$E$1510="Win")*COUNTIFS('Match Log'!$A$4:$A$1510,'Match Log'!$A$4:$A$1510,'Match Log'!$D$4:$D$1510,J$4,'Match Log'!$E$4:$E$1510,"Loss"))+SUMPRODUCT(('Match Log'!$D$4:$D$1510=J$4)*('Match Log'!$E$4:$E$1510="Win")*COUNTIFS('Match Log'!$A$4:$A$1510,'Match Log'!$A$4:$A$1510,'Match Log'!$D$4:$D$1510,$A6,'Match Log'!$E$4:$E$1510,"Loss"))),"0%")&amp;" of "&amp;(SUMPRODUCT(('Match Log'!$D$4:$D$1510=$A6)*('Match Log'!$E$4:$E$1510="Win")*COUNTIFS('Match Log'!$A$4:$A$1510,'Match Log'!$A$4:$A$1510,'Match Log'!$D$4:$D$1510,J$4,'Match Log'!$E$4:$E$1510,"Loss"))+SUMPRODUCT(('Match Log'!$D$4:$D$1510=J$4)*('Match Log'!$E$4:$E$1510="Win")*COUNTIFS('Match Log'!$A$4:$A$1510,'Match Log'!$A$4:$A$1510,'Match Log'!$D$4:$D$1510,$A6,'Match Log'!$E$4:$E$1510,"Loss")))))</f>
        <v>100% of 2</v>
      </c>
      <c r="K6" s="56" t="str">
        <f>IF($A6=K$4,"—",IF((SUMPRODUCT(('Match Log'!$D$4:$D$1510=$A6)*('Match Log'!$E$4:$E$1510="Win")*COUNTIFS('Match Log'!$A$4:$A$1510,'Match Log'!$A$4:$A$1510,'Match Log'!$D$4:$D$1510,K$4,'Match Log'!$E$4:$E$1510,"Loss"))+SUMPRODUCT(('Match Log'!$D$4:$D$1510=K$4)*('Match Log'!$E$4:$E$1510="Win")*COUNTIFS('Match Log'!$A$4:$A$1510,'Match Log'!$A$4:$A$1510,'Match Log'!$D$4:$D$1510,$A6,'Match Log'!$E$4:$E$1510,"Loss")))=0,"",TEXT(SUMPRODUCT(('Match Log'!$D$4:$D$1510=$A6)*('Match Log'!$E$4:$E$1510="Win")*COUNTIFS('Match Log'!$A$4:$A$1510,'Match Log'!$A$4:$A$1510,'Match Log'!$D$4:$D$1510,K$4,'Match Log'!$E$4:$E$1510,"Loss"))/(SUMPRODUCT(('Match Log'!$D$4:$D$1510=$A6)*('Match Log'!$E$4:$E$1510="Win")*COUNTIFS('Match Log'!$A$4:$A$1510,'Match Log'!$A$4:$A$1510,'Match Log'!$D$4:$D$1510,K$4,'Match Log'!$E$4:$E$1510,"Loss"))+SUMPRODUCT(('Match Log'!$D$4:$D$1510=K$4)*('Match Log'!$E$4:$E$1510="Win")*COUNTIFS('Match Log'!$A$4:$A$1510,'Match Log'!$A$4:$A$1510,'Match Log'!$D$4:$D$1510,$A6,'Match Log'!$E$4:$E$1510,"Loss"))),"0%")&amp;" of "&amp;(SUMPRODUCT(('Match Log'!$D$4:$D$1510=$A6)*('Match Log'!$E$4:$E$1510="Win")*COUNTIFS('Match Log'!$A$4:$A$1510,'Match Log'!$A$4:$A$1510,'Match Log'!$D$4:$D$1510,K$4,'Match Log'!$E$4:$E$1510,"Loss"))+SUMPRODUCT(('Match Log'!$D$4:$D$1510=K$4)*('Match Log'!$E$4:$E$1510="Win")*COUNTIFS('Match Log'!$A$4:$A$1510,'Match Log'!$A$4:$A$1510,'Match Log'!$D$4:$D$1510,$A6,'Match Log'!$E$4:$E$1510,"Loss")))))</f>
        <v>100% of 1</v>
      </c>
      <c r="L6" s="56" t="str">
        <f>IF($A6=L$4,"—",IF((SUMPRODUCT(('Match Log'!$D$4:$D$1510=$A6)*('Match Log'!$E$4:$E$1510="Win")*COUNTIFS('Match Log'!$A$4:$A$1510,'Match Log'!$A$4:$A$1510,'Match Log'!$D$4:$D$1510,L$4,'Match Log'!$E$4:$E$1510,"Loss"))+SUMPRODUCT(('Match Log'!$D$4:$D$1510=L$4)*('Match Log'!$E$4:$E$1510="Win")*COUNTIFS('Match Log'!$A$4:$A$1510,'Match Log'!$A$4:$A$1510,'Match Log'!$D$4:$D$1510,$A6,'Match Log'!$E$4:$E$1510,"Loss")))=0,"",TEXT(SUMPRODUCT(('Match Log'!$D$4:$D$1510=$A6)*('Match Log'!$E$4:$E$1510="Win")*COUNTIFS('Match Log'!$A$4:$A$1510,'Match Log'!$A$4:$A$1510,'Match Log'!$D$4:$D$1510,L$4,'Match Log'!$E$4:$E$1510,"Loss"))/(SUMPRODUCT(('Match Log'!$D$4:$D$1510=$A6)*('Match Log'!$E$4:$E$1510="Win")*COUNTIFS('Match Log'!$A$4:$A$1510,'Match Log'!$A$4:$A$1510,'Match Log'!$D$4:$D$1510,L$4,'Match Log'!$E$4:$E$1510,"Loss"))+SUMPRODUCT(('Match Log'!$D$4:$D$1510=L$4)*('Match Log'!$E$4:$E$1510="Win")*COUNTIFS('Match Log'!$A$4:$A$1510,'Match Log'!$A$4:$A$1510,'Match Log'!$D$4:$D$1510,$A6,'Match Log'!$E$4:$E$1510,"Loss"))),"0%")&amp;" of "&amp;(SUMPRODUCT(('Match Log'!$D$4:$D$1510=$A6)*('Match Log'!$E$4:$E$1510="Win")*COUNTIFS('Match Log'!$A$4:$A$1510,'Match Log'!$A$4:$A$1510,'Match Log'!$D$4:$D$1510,L$4,'Match Log'!$E$4:$E$1510,"Loss"))+SUMPRODUCT(('Match Log'!$D$4:$D$1510=L$4)*('Match Log'!$E$4:$E$1510="Win")*COUNTIFS('Match Log'!$A$4:$A$1510,'Match Log'!$A$4:$A$1510,'Match Log'!$D$4:$D$1510,$A6,'Match Log'!$E$4:$E$1510,"Loss")))))</f>
        <v>40% of 5</v>
      </c>
      <c r="M6" s="56" t="str">
        <f>IF($A6=M$4,"—",IF((SUMPRODUCT(('Match Log'!$D$4:$D$1510=$A6)*('Match Log'!$E$4:$E$1510="Win")*COUNTIFS('Match Log'!$A$4:$A$1510,'Match Log'!$A$4:$A$1510,'Match Log'!$D$4:$D$1510,M$4,'Match Log'!$E$4:$E$1510,"Loss"))+SUMPRODUCT(('Match Log'!$D$4:$D$1510=M$4)*('Match Log'!$E$4:$E$1510="Win")*COUNTIFS('Match Log'!$A$4:$A$1510,'Match Log'!$A$4:$A$1510,'Match Log'!$D$4:$D$1510,$A6,'Match Log'!$E$4:$E$1510,"Loss")))=0,"",TEXT(SUMPRODUCT(('Match Log'!$D$4:$D$1510=$A6)*('Match Log'!$E$4:$E$1510="Win")*COUNTIFS('Match Log'!$A$4:$A$1510,'Match Log'!$A$4:$A$1510,'Match Log'!$D$4:$D$1510,M$4,'Match Log'!$E$4:$E$1510,"Loss"))/(SUMPRODUCT(('Match Log'!$D$4:$D$1510=$A6)*('Match Log'!$E$4:$E$1510="Win")*COUNTIFS('Match Log'!$A$4:$A$1510,'Match Log'!$A$4:$A$1510,'Match Log'!$D$4:$D$1510,M$4,'Match Log'!$E$4:$E$1510,"Loss"))+SUMPRODUCT(('Match Log'!$D$4:$D$1510=M$4)*('Match Log'!$E$4:$E$1510="Win")*COUNTIFS('Match Log'!$A$4:$A$1510,'Match Log'!$A$4:$A$1510,'Match Log'!$D$4:$D$1510,$A6,'Match Log'!$E$4:$E$1510,"Loss"))),"0%")&amp;" of "&amp;(SUMPRODUCT(('Match Log'!$D$4:$D$1510=$A6)*('Match Log'!$E$4:$E$1510="Win")*COUNTIFS('Match Log'!$A$4:$A$1510,'Match Log'!$A$4:$A$1510,'Match Log'!$D$4:$D$1510,M$4,'Match Log'!$E$4:$E$1510,"Loss"))+SUMPRODUCT(('Match Log'!$D$4:$D$1510=M$4)*('Match Log'!$E$4:$E$1510="Win")*COUNTIFS('Match Log'!$A$4:$A$1510,'Match Log'!$A$4:$A$1510,'Match Log'!$D$4:$D$1510,$A6,'Match Log'!$E$4:$E$1510,"Loss")))))</f>
        <v>0% of 1</v>
      </c>
      <c r="N6" s="56" t="str">
        <f>IF($A6=N$4,"—",IF((SUMPRODUCT(('Match Log'!$D$4:$D$1510=$A6)*('Match Log'!$E$4:$E$1510="Win")*COUNTIFS('Match Log'!$A$4:$A$1510,'Match Log'!$A$4:$A$1510,'Match Log'!$D$4:$D$1510,N$4,'Match Log'!$E$4:$E$1510,"Loss"))+SUMPRODUCT(('Match Log'!$D$4:$D$1510=N$4)*('Match Log'!$E$4:$E$1510="Win")*COUNTIFS('Match Log'!$A$4:$A$1510,'Match Log'!$A$4:$A$1510,'Match Log'!$D$4:$D$1510,$A6,'Match Log'!$E$4:$E$1510,"Loss")))=0,"",TEXT(SUMPRODUCT(('Match Log'!$D$4:$D$1510=$A6)*('Match Log'!$E$4:$E$1510="Win")*COUNTIFS('Match Log'!$A$4:$A$1510,'Match Log'!$A$4:$A$1510,'Match Log'!$D$4:$D$1510,N$4,'Match Log'!$E$4:$E$1510,"Loss"))/(SUMPRODUCT(('Match Log'!$D$4:$D$1510=$A6)*('Match Log'!$E$4:$E$1510="Win")*COUNTIFS('Match Log'!$A$4:$A$1510,'Match Log'!$A$4:$A$1510,'Match Log'!$D$4:$D$1510,N$4,'Match Log'!$E$4:$E$1510,"Loss"))+SUMPRODUCT(('Match Log'!$D$4:$D$1510=N$4)*('Match Log'!$E$4:$E$1510="Win")*COUNTIFS('Match Log'!$A$4:$A$1510,'Match Log'!$A$4:$A$1510,'Match Log'!$D$4:$D$1510,$A6,'Match Log'!$E$4:$E$1510,"Loss"))),"0%")&amp;" of "&amp;(SUMPRODUCT(('Match Log'!$D$4:$D$1510=$A6)*('Match Log'!$E$4:$E$1510="Win")*COUNTIFS('Match Log'!$A$4:$A$1510,'Match Log'!$A$4:$A$1510,'Match Log'!$D$4:$D$1510,N$4,'Match Log'!$E$4:$E$1510,"Loss"))+SUMPRODUCT(('Match Log'!$D$4:$D$1510=N$4)*('Match Log'!$E$4:$E$1510="Win")*COUNTIFS('Match Log'!$A$4:$A$1510,'Match Log'!$A$4:$A$1510,'Match Log'!$D$4:$D$1510,$A6,'Match Log'!$E$4:$E$1510,"Loss")))))</f>
        <v/>
      </c>
      <c r="O6" s="56" t="str">
        <f>IF($A6=O$4,"—",IF((SUMPRODUCT(('Match Log'!$D$4:$D$1510=$A6)*('Match Log'!$E$4:$E$1510="Win")*COUNTIFS('Match Log'!$A$4:$A$1510,'Match Log'!$A$4:$A$1510,'Match Log'!$D$4:$D$1510,O$4,'Match Log'!$E$4:$E$1510,"Loss"))+SUMPRODUCT(('Match Log'!$D$4:$D$1510=O$4)*('Match Log'!$E$4:$E$1510="Win")*COUNTIFS('Match Log'!$A$4:$A$1510,'Match Log'!$A$4:$A$1510,'Match Log'!$D$4:$D$1510,$A6,'Match Log'!$E$4:$E$1510,"Loss")))=0,"",TEXT(SUMPRODUCT(('Match Log'!$D$4:$D$1510=$A6)*('Match Log'!$E$4:$E$1510="Win")*COUNTIFS('Match Log'!$A$4:$A$1510,'Match Log'!$A$4:$A$1510,'Match Log'!$D$4:$D$1510,O$4,'Match Log'!$E$4:$E$1510,"Loss"))/(SUMPRODUCT(('Match Log'!$D$4:$D$1510=$A6)*('Match Log'!$E$4:$E$1510="Win")*COUNTIFS('Match Log'!$A$4:$A$1510,'Match Log'!$A$4:$A$1510,'Match Log'!$D$4:$D$1510,O$4,'Match Log'!$E$4:$E$1510,"Loss"))+SUMPRODUCT(('Match Log'!$D$4:$D$1510=O$4)*('Match Log'!$E$4:$E$1510="Win")*COUNTIFS('Match Log'!$A$4:$A$1510,'Match Log'!$A$4:$A$1510,'Match Log'!$D$4:$D$1510,$A6,'Match Log'!$E$4:$E$1510,"Loss"))),"0%")&amp;" of "&amp;(SUMPRODUCT(('Match Log'!$D$4:$D$1510=$A6)*('Match Log'!$E$4:$E$1510="Win")*COUNTIFS('Match Log'!$A$4:$A$1510,'Match Log'!$A$4:$A$1510,'Match Log'!$D$4:$D$1510,O$4,'Match Log'!$E$4:$E$1510,"Loss"))+SUMPRODUCT(('Match Log'!$D$4:$D$1510=O$4)*('Match Log'!$E$4:$E$1510="Win")*COUNTIFS('Match Log'!$A$4:$A$1510,'Match Log'!$A$4:$A$1510,'Match Log'!$D$4:$D$1510,$A6,'Match Log'!$E$4:$E$1510,"Loss")))))</f>
        <v/>
      </c>
    </row>
    <row r="7" spans="1:15" ht="15" customHeight="1" x14ac:dyDescent="0.2">
      <c r="A7" s="51" t="s">
        <v>17</v>
      </c>
      <c r="B7" s="56" t="str">
        <f>IF($A7=B$4,"—",IF((SUMPRODUCT(('Match Log'!$D$4:$D$1510=$A7)*('Match Log'!$E$4:$E$1510="Win")*COUNTIFS('Match Log'!$A$4:$A$1510,'Match Log'!$A$4:$A$1510,'Match Log'!$D$4:$D$1510,B$4,'Match Log'!$E$4:$E$1510,"Loss"))+SUMPRODUCT(('Match Log'!$D$4:$D$1510=B$4)*('Match Log'!$E$4:$E$1510="Win")*COUNTIFS('Match Log'!$A$4:$A$1510,'Match Log'!$A$4:$A$1510,'Match Log'!$D$4:$D$1510,$A7,'Match Log'!$E$4:$E$1510,"Loss")))=0,"",TEXT(SUMPRODUCT(('Match Log'!$D$4:$D$1510=$A7)*('Match Log'!$E$4:$E$1510="Win")*COUNTIFS('Match Log'!$A$4:$A$1510,'Match Log'!$A$4:$A$1510,'Match Log'!$D$4:$D$1510,B$4,'Match Log'!$E$4:$E$1510,"Loss"))/(SUMPRODUCT(('Match Log'!$D$4:$D$1510=$A7)*('Match Log'!$E$4:$E$1510="Win")*COUNTIFS('Match Log'!$A$4:$A$1510,'Match Log'!$A$4:$A$1510,'Match Log'!$D$4:$D$1510,B$4,'Match Log'!$E$4:$E$1510,"Loss"))+SUMPRODUCT(('Match Log'!$D$4:$D$1510=B$4)*('Match Log'!$E$4:$E$1510="Win")*COUNTIFS('Match Log'!$A$4:$A$1510,'Match Log'!$A$4:$A$1510,'Match Log'!$D$4:$D$1510,$A7,'Match Log'!$E$4:$E$1510,"Loss"))),"0%")&amp;" of "&amp;(SUMPRODUCT(('Match Log'!$D$4:$D$1510=$A7)*('Match Log'!$E$4:$E$1510="Win")*COUNTIFS('Match Log'!$A$4:$A$1510,'Match Log'!$A$4:$A$1510,'Match Log'!$D$4:$D$1510,B$4,'Match Log'!$E$4:$E$1510,"Loss"))+SUMPRODUCT(('Match Log'!$D$4:$D$1510=B$4)*('Match Log'!$E$4:$E$1510="Win")*COUNTIFS('Match Log'!$A$4:$A$1510,'Match Log'!$A$4:$A$1510,'Match Log'!$D$4:$D$1510,$A7,'Match Log'!$E$4:$E$1510,"Loss")))))</f>
        <v>25% of 4</v>
      </c>
      <c r="C7" s="56" t="str">
        <f>IF($A7=C$4,"—",IF((SUMPRODUCT(('Match Log'!$D$4:$D$1510=$A7)*('Match Log'!$E$4:$E$1510="Win")*COUNTIFS('Match Log'!$A$4:$A$1510,'Match Log'!$A$4:$A$1510,'Match Log'!$D$4:$D$1510,C$4,'Match Log'!$E$4:$E$1510,"Loss"))+SUMPRODUCT(('Match Log'!$D$4:$D$1510=C$4)*('Match Log'!$E$4:$E$1510="Win")*COUNTIFS('Match Log'!$A$4:$A$1510,'Match Log'!$A$4:$A$1510,'Match Log'!$D$4:$D$1510,$A7,'Match Log'!$E$4:$E$1510,"Loss")))=0,"",TEXT(SUMPRODUCT(('Match Log'!$D$4:$D$1510=$A7)*('Match Log'!$E$4:$E$1510="Win")*COUNTIFS('Match Log'!$A$4:$A$1510,'Match Log'!$A$4:$A$1510,'Match Log'!$D$4:$D$1510,C$4,'Match Log'!$E$4:$E$1510,"Loss"))/(SUMPRODUCT(('Match Log'!$D$4:$D$1510=$A7)*('Match Log'!$E$4:$E$1510="Win")*COUNTIFS('Match Log'!$A$4:$A$1510,'Match Log'!$A$4:$A$1510,'Match Log'!$D$4:$D$1510,C$4,'Match Log'!$E$4:$E$1510,"Loss"))+SUMPRODUCT(('Match Log'!$D$4:$D$1510=C$4)*('Match Log'!$E$4:$E$1510="Win")*COUNTIFS('Match Log'!$A$4:$A$1510,'Match Log'!$A$4:$A$1510,'Match Log'!$D$4:$D$1510,$A7,'Match Log'!$E$4:$E$1510,"Loss"))),"0%")&amp;" of "&amp;(SUMPRODUCT(('Match Log'!$D$4:$D$1510=$A7)*('Match Log'!$E$4:$E$1510="Win")*COUNTIFS('Match Log'!$A$4:$A$1510,'Match Log'!$A$4:$A$1510,'Match Log'!$D$4:$D$1510,C$4,'Match Log'!$E$4:$E$1510,"Loss"))+SUMPRODUCT(('Match Log'!$D$4:$D$1510=C$4)*('Match Log'!$E$4:$E$1510="Win")*COUNTIFS('Match Log'!$A$4:$A$1510,'Match Log'!$A$4:$A$1510,'Match Log'!$D$4:$D$1510,$A7,'Match Log'!$E$4:$E$1510,"Loss")))))</f>
        <v/>
      </c>
      <c r="D7" s="56" t="str">
        <f>IF($A7=D$4,"—",IF((SUMPRODUCT(('Match Log'!$D$4:$D$1510=$A7)*('Match Log'!$E$4:$E$1510="Win")*COUNTIFS('Match Log'!$A$4:$A$1510,'Match Log'!$A$4:$A$1510,'Match Log'!$D$4:$D$1510,D$4,'Match Log'!$E$4:$E$1510,"Loss"))+SUMPRODUCT(('Match Log'!$D$4:$D$1510=D$4)*('Match Log'!$E$4:$E$1510="Win")*COUNTIFS('Match Log'!$A$4:$A$1510,'Match Log'!$A$4:$A$1510,'Match Log'!$D$4:$D$1510,$A7,'Match Log'!$E$4:$E$1510,"Loss")))=0,"",TEXT(SUMPRODUCT(('Match Log'!$D$4:$D$1510=$A7)*('Match Log'!$E$4:$E$1510="Win")*COUNTIFS('Match Log'!$A$4:$A$1510,'Match Log'!$A$4:$A$1510,'Match Log'!$D$4:$D$1510,D$4,'Match Log'!$E$4:$E$1510,"Loss"))/(SUMPRODUCT(('Match Log'!$D$4:$D$1510=$A7)*('Match Log'!$E$4:$E$1510="Win")*COUNTIFS('Match Log'!$A$4:$A$1510,'Match Log'!$A$4:$A$1510,'Match Log'!$D$4:$D$1510,D$4,'Match Log'!$E$4:$E$1510,"Loss"))+SUMPRODUCT(('Match Log'!$D$4:$D$1510=D$4)*('Match Log'!$E$4:$E$1510="Win")*COUNTIFS('Match Log'!$A$4:$A$1510,'Match Log'!$A$4:$A$1510,'Match Log'!$D$4:$D$1510,$A7,'Match Log'!$E$4:$E$1510,"Loss"))),"0%")&amp;" of "&amp;(SUMPRODUCT(('Match Log'!$D$4:$D$1510=$A7)*('Match Log'!$E$4:$E$1510="Win")*COUNTIFS('Match Log'!$A$4:$A$1510,'Match Log'!$A$4:$A$1510,'Match Log'!$D$4:$D$1510,D$4,'Match Log'!$E$4:$E$1510,"Loss"))+SUMPRODUCT(('Match Log'!$D$4:$D$1510=D$4)*('Match Log'!$E$4:$E$1510="Win")*COUNTIFS('Match Log'!$A$4:$A$1510,'Match Log'!$A$4:$A$1510,'Match Log'!$D$4:$D$1510,$A7,'Match Log'!$E$4:$E$1510,"Loss")))))</f>
        <v>—</v>
      </c>
      <c r="E7" s="56" t="str">
        <f>IF($A7=E$4,"—",IF((SUMPRODUCT(('Match Log'!$D$4:$D$1510=$A7)*('Match Log'!$E$4:$E$1510="Win")*COUNTIFS('Match Log'!$A$4:$A$1510,'Match Log'!$A$4:$A$1510,'Match Log'!$D$4:$D$1510,E$4,'Match Log'!$E$4:$E$1510,"Loss"))+SUMPRODUCT(('Match Log'!$D$4:$D$1510=E$4)*('Match Log'!$E$4:$E$1510="Win")*COUNTIFS('Match Log'!$A$4:$A$1510,'Match Log'!$A$4:$A$1510,'Match Log'!$D$4:$D$1510,$A7,'Match Log'!$E$4:$E$1510,"Loss")))=0,"",TEXT(SUMPRODUCT(('Match Log'!$D$4:$D$1510=$A7)*('Match Log'!$E$4:$E$1510="Win")*COUNTIFS('Match Log'!$A$4:$A$1510,'Match Log'!$A$4:$A$1510,'Match Log'!$D$4:$D$1510,E$4,'Match Log'!$E$4:$E$1510,"Loss"))/(SUMPRODUCT(('Match Log'!$D$4:$D$1510=$A7)*('Match Log'!$E$4:$E$1510="Win")*COUNTIFS('Match Log'!$A$4:$A$1510,'Match Log'!$A$4:$A$1510,'Match Log'!$D$4:$D$1510,E$4,'Match Log'!$E$4:$E$1510,"Loss"))+SUMPRODUCT(('Match Log'!$D$4:$D$1510=E$4)*('Match Log'!$E$4:$E$1510="Win")*COUNTIFS('Match Log'!$A$4:$A$1510,'Match Log'!$A$4:$A$1510,'Match Log'!$D$4:$D$1510,$A7,'Match Log'!$E$4:$E$1510,"Loss"))),"0%")&amp;" of "&amp;(SUMPRODUCT(('Match Log'!$D$4:$D$1510=$A7)*('Match Log'!$E$4:$E$1510="Win")*COUNTIFS('Match Log'!$A$4:$A$1510,'Match Log'!$A$4:$A$1510,'Match Log'!$D$4:$D$1510,E$4,'Match Log'!$E$4:$E$1510,"Loss"))+SUMPRODUCT(('Match Log'!$D$4:$D$1510=E$4)*('Match Log'!$E$4:$E$1510="Win")*COUNTIFS('Match Log'!$A$4:$A$1510,'Match Log'!$A$4:$A$1510,'Match Log'!$D$4:$D$1510,$A7,'Match Log'!$E$4:$E$1510,"Loss")))))</f>
        <v/>
      </c>
      <c r="F7" s="56" t="str">
        <f>IF($A7=F$4,"—",IF((SUMPRODUCT(('Match Log'!$D$4:$D$1510=$A7)*('Match Log'!$E$4:$E$1510="Win")*COUNTIFS('Match Log'!$A$4:$A$1510,'Match Log'!$A$4:$A$1510,'Match Log'!$D$4:$D$1510,F$4,'Match Log'!$E$4:$E$1510,"Loss"))+SUMPRODUCT(('Match Log'!$D$4:$D$1510=F$4)*('Match Log'!$E$4:$E$1510="Win")*COUNTIFS('Match Log'!$A$4:$A$1510,'Match Log'!$A$4:$A$1510,'Match Log'!$D$4:$D$1510,$A7,'Match Log'!$E$4:$E$1510,"Loss")))=0,"",TEXT(SUMPRODUCT(('Match Log'!$D$4:$D$1510=$A7)*('Match Log'!$E$4:$E$1510="Win")*COUNTIFS('Match Log'!$A$4:$A$1510,'Match Log'!$A$4:$A$1510,'Match Log'!$D$4:$D$1510,F$4,'Match Log'!$E$4:$E$1510,"Loss"))/(SUMPRODUCT(('Match Log'!$D$4:$D$1510=$A7)*('Match Log'!$E$4:$E$1510="Win")*COUNTIFS('Match Log'!$A$4:$A$1510,'Match Log'!$A$4:$A$1510,'Match Log'!$D$4:$D$1510,F$4,'Match Log'!$E$4:$E$1510,"Loss"))+SUMPRODUCT(('Match Log'!$D$4:$D$1510=F$4)*('Match Log'!$E$4:$E$1510="Win")*COUNTIFS('Match Log'!$A$4:$A$1510,'Match Log'!$A$4:$A$1510,'Match Log'!$D$4:$D$1510,$A7,'Match Log'!$E$4:$E$1510,"Loss"))),"0%")&amp;" of "&amp;(SUMPRODUCT(('Match Log'!$D$4:$D$1510=$A7)*('Match Log'!$E$4:$E$1510="Win")*COUNTIFS('Match Log'!$A$4:$A$1510,'Match Log'!$A$4:$A$1510,'Match Log'!$D$4:$D$1510,F$4,'Match Log'!$E$4:$E$1510,"Loss"))+SUMPRODUCT(('Match Log'!$D$4:$D$1510=F$4)*('Match Log'!$E$4:$E$1510="Win")*COUNTIFS('Match Log'!$A$4:$A$1510,'Match Log'!$A$4:$A$1510,'Match Log'!$D$4:$D$1510,$A7,'Match Log'!$E$4:$E$1510,"Loss")))))</f>
        <v>0% of 1</v>
      </c>
      <c r="G7" s="56" t="str">
        <f>IF($A7=G$4,"—",IF((SUMPRODUCT(('Match Log'!$D$4:$D$1510=$A7)*('Match Log'!$E$4:$E$1510="Win")*COUNTIFS('Match Log'!$A$4:$A$1510,'Match Log'!$A$4:$A$1510,'Match Log'!$D$4:$D$1510,G$4,'Match Log'!$E$4:$E$1510,"Loss"))+SUMPRODUCT(('Match Log'!$D$4:$D$1510=G$4)*('Match Log'!$E$4:$E$1510="Win")*COUNTIFS('Match Log'!$A$4:$A$1510,'Match Log'!$A$4:$A$1510,'Match Log'!$D$4:$D$1510,$A7,'Match Log'!$E$4:$E$1510,"Loss")))=0,"",TEXT(SUMPRODUCT(('Match Log'!$D$4:$D$1510=$A7)*('Match Log'!$E$4:$E$1510="Win")*COUNTIFS('Match Log'!$A$4:$A$1510,'Match Log'!$A$4:$A$1510,'Match Log'!$D$4:$D$1510,G$4,'Match Log'!$E$4:$E$1510,"Loss"))/(SUMPRODUCT(('Match Log'!$D$4:$D$1510=$A7)*('Match Log'!$E$4:$E$1510="Win")*COUNTIFS('Match Log'!$A$4:$A$1510,'Match Log'!$A$4:$A$1510,'Match Log'!$D$4:$D$1510,G$4,'Match Log'!$E$4:$E$1510,"Loss"))+SUMPRODUCT(('Match Log'!$D$4:$D$1510=G$4)*('Match Log'!$E$4:$E$1510="Win")*COUNTIFS('Match Log'!$A$4:$A$1510,'Match Log'!$A$4:$A$1510,'Match Log'!$D$4:$D$1510,$A7,'Match Log'!$E$4:$E$1510,"Loss"))),"0%")&amp;" of "&amp;(SUMPRODUCT(('Match Log'!$D$4:$D$1510=$A7)*('Match Log'!$E$4:$E$1510="Win")*COUNTIFS('Match Log'!$A$4:$A$1510,'Match Log'!$A$4:$A$1510,'Match Log'!$D$4:$D$1510,G$4,'Match Log'!$E$4:$E$1510,"Loss"))+SUMPRODUCT(('Match Log'!$D$4:$D$1510=G$4)*('Match Log'!$E$4:$E$1510="Win")*COUNTIFS('Match Log'!$A$4:$A$1510,'Match Log'!$A$4:$A$1510,'Match Log'!$D$4:$D$1510,$A7,'Match Log'!$E$4:$E$1510,"Loss")))))</f>
        <v>27% of 11</v>
      </c>
      <c r="H7" s="56" t="str">
        <f>IF($A7=H$4,"—",IF((SUMPRODUCT(('Match Log'!$D$4:$D$1510=$A7)*('Match Log'!$E$4:$E$1510="Win")*COUNTIFS('Match Log'!$A$4:$A$1510,'Match Log'!$A$4:$A$1510,'Match Log'!$D$4:$D$1510,H$4,'Match Log'!$E$4:$E$1510,"Loss"))+SUMPRODUCT(('Match Log'!$D$4:$D$1510=H$4)*('Match Log'!$E$4:$E$1510="Win")*COUNTIFS('Match Log'!$A$4:$A$1510,'Match Log'!$A$4:$A$1510,'Match Log'!$D$4:$D$1510,$A7,'Match Log'!$E$4:$E$1510,"Loss")))=0,"",TEXT(SUMPRODUCT(('Match Log'!$D$4:$D$1510=$A7)*('Match Log'!$E$4:$E$1510="Win")*COUNTIFS('Match Log'!$A$4:$A$1510,'Match Log'!$A$4:$A$1510,'Match Log'!$D$4:$D$1510,H$4,'Match Log'!$E$4:$E$1510,"Loss"))/(SUMPRODUCT(('Match Log'!$D$4:$D$1510=$A7)*('Match Log'!$E$4:$E$1510="Win")*COUNTIFS('Match Log'!$A$4:$A$1510,'Match Log'!$A$4:$A$1510,'Match Log'!$D$4:$D$1510,H$4,'Match Log'!$E$4:$E$1510,"Loss"))+SUMPRODUCT(('Match Log'!$D$4:$D$1510=H$4)*('Match Log'!$E$4:$E$1510="Win")*COUNTIFS('Match Log'!$A$4:$A$1510,'Match Log'!$A$4:$A$1510,'Match Log'!$D$4:$D$1510,$A7,'Match Log'!$E$4:$E$1510,"Loss"))),"0%")&amp;" of "&amp;(SUMPRODUCT(('Match Log'!$D$4:$D$1510=$A7)*('Match Log'!$E$4:$E$1510="Win")*COUNTIFS('Match Log'!$A$4:$A$1510,'Match Log'!$A$4:$A$1510,'Match Log'!$D$4:$D$1510,H$4,'Match Log'!$E$4:$E$1510,"Loss"))+SUMPRODUCT(('Match Log'!$D$4:$D$1510=H$4)*('Match Log'!$E$4:$E$1510="Win")*COUNTIFS('Match Log'!$A$4:$A$1510,'Match Log'!$A$4:$A$1510,'Match Log'!$D$4:$D$1510,$A7,'Match Log'!$E$4:$E$1510,"Loss")))))</f>
        <v>100% of 2</v>
      </c>
      <c r="I7" s="56" t="str">
        <f>IF($A7=I$4,"—",IF((SUMPRODUCT(('Match Log'!$D$4:$D$1510=$A7)*('Match Log'!$E$4:$E$1510="Win")*COUNTIFS('Match Log'!$A$4:$A$1510,'Match Log'!$A$4:$A$1510,'Match Log'!$D$4:$D$1510,I$4,'Match Log'!$E$4:$E$1510,"Loss"))+SUMPRODUCT(('Match Log'!$D$4:$D$1510=I$4)*('Match Log'!$E$4:$E$1510="Win")*COUNTIFS('Match Log'!$A$4:$A$1510,'Match Log'!$A$4:$A$1510,'Match Log'!$D$4:$D$1510,$A7,'Match Log'!$E$4:$E$1510,"Loss")))=0,"",TEXT(SUMPRODUCT(('Match Log'!$D$4:$D$1510=$A7)*('Match Log'!$E$4:$E$1510="Win")*COUNTIFS('Match Log'!$A$4:$A$1510,'Match Log'!$A$4:$A$1510,'Match Log'!$D$4:$D$1510,I$4,'Match Log'!$E$4:$E$1510,"Loss"))/(SUMPRODUCT(('Match Log'!$D$4:$D$1510=$A7)*('Match Log'!$E$4:$E$1510="Win")*COUNTIFS('Match Log'!$A$4:$A$1510,'Match Log'!$A$4:$A$1510,'Match Log'!$D$4:$D$1510,I$4,'Match Log'!$E$4:$E$1510,"Loss"))+SUMPRODUCT(('Match Log'!$D$4:$D$1510=I$4)*('Match Log'!$E$4:$E$1510="Win")*COUNTIFS('Match Log'!$A$4:$A$1510,'Match Log'!$A$4:$A$1510,'Match Log'!$D$4:$D$1510,$A7,'Match Log'!$E$4:$E$1510,"Loss"))),"0%")&amp;" of "&amp;(SUMPRODUCT(('Match Log'!$D$4:$D$1510=$A7)*('Match Log'!$E$4:$E$1510="Win")*COUNTIFS('Match Log'!$A$4:$A$1510,'Match Log'!$A$4:$A$1510,'Match Log'!$D$4:$D$1510,I$4,'Match Log'!$E$4:$E$1510,"Loss"))+SUMPRODUCT(('Match Log'!$D$4:$D$1510=I$4)*('Match Log'!$E$4:$E$1510="Win")*COUNTIFS('Match Log'!$A$4:$A$1510,'Match Log'!$A$4:$A$1510,'Match Log'!$D$4:$D$1510,$A7,'Match Log'!$E$4:$E$1510,"Loss")))))</f>
        <v>86% of 7</v>
      </c>
      <c r="J7" s="56" t="str">
        <f>IF($A7=J$4,"—",IF((SUMPRODUCT(('Match Log'!$D$4:$D$1510=$A7)*('Match Log'!$E$4:$E$1510="Win")*COUNTIFS('Match Log'!$A$4:$A$1510,'Match Log'!$A$4:$A$1510,'Match Log'!$D$4:$D$1510,J$4,'Match Log'!$E$4:$E$1510,"Loss"))+SUMPRODUCT(('Match Log'!$D$4:$D$1510=J$4)*('Match Log'!$E$4:$E$1510="Win")*COUNTIFS('Match Log'!$A$4:$A$1510,'Match Log'!$A$4:$A$1510,'Match Log'!$D$4:$D$1510,$A7,'Match Log'!$E$4:$E$1510,"Loss")))=0,"",TEXT(SUMPRODUCT(('Match Log'!$D$4:$D$1510=$A7)*('Match Log'!$E$4:$E$1510="Win")*COUNTIFS('Match Log'!$A$4:$A$1510,'Match Log'!$A$4:$A$1510,'Match Log'!$D$4:$D$1510,J$4,'Match Log'!$E$4:$E$1510,"Loss"))/(SUMPRODUCT(('Match Log'!$D$4:$D$1510=$A7)*('Match Log'!$E$4:$E$1510="Win")*COUNTIFS('Match Log'!$A$4:$A$1510,'Match Log'!$A$4:$A$1510,'Match Log'!$D$4:$D$1510,J$4,'Match Log'!$E$4:$E$1510,"Loss"))+SUMPRODUCT(('Match Log'!$D$4:$D$1510=J$4)*('Match Log'!$E$4:$E$1510="Win")*COUNTIFS('Match Log'!$A$4:$A$1510,'Match Log'!$A$4:$A$1510,'Match Log'!$D$4:$D$1510,$A7,'Match Log'!$E$4:$E$1510,"Loss"))),"0%")&amp;" of "&amp;(SUMPRODUCT(('Match Log'!$D$4:$D$1510=$A7)*('Match Log'!$E$4:$E$1510="Win")*COUNTIFS('Match Log'!$A$4:$A$1510,'Match Log'!$A$4:$A$1510,'Match Log'!$D$4:$D$1510,J$4,'Match Log'!$E$4:$E$1510,"Loss"))+SUMPRODUCT(('Match Log'!$D$4:$D$1510=J$4)*('Match Log'!$E$4:$E$1510="Win")*COUNTIFS('Match Log'!$A$4:$A$1510,'Match Log'!$A$4:$A$1510,'Match Log'!$D$4:$D$1510,$A7,'Match Log'!$E$4:$E$1510,"Loss")))))</f>
        <v/>
      </c>
      <c r="K7" s="56" t="str">
        <f>IF($A7=K$4,"—",IF((SUMPRODUCT(('Match Log'!$D$4:$D$1510=$A7)*('Match Log'!$E$4:$E$1510="Win")*COUNTIFS('Match Log'!$A$4:$A$1510,'Match Log'!$A$4:$A$1510,'Match Log'!$D$4:$D$1510,K$4,'Match Log'!$E$4:$E$1510,"Loss"))+SUMPRODUCT(('Match Log'!$D$4:$D$1510=K$4)*('Match Log'!$E$4:$E$1510="Win")*COUNTIFS('Match Log'!$A$4:$A$1510,'Match Log'!$A$4:$A$1510,'Match Log'!$D$4:$D$1510,$A7,'Match Log'!$E$4:$E$1510,"Loss")))=0,"",TEXT(SUMPRODUCT(('Match Log'!$D$4:$D$1510=$A7)*('Match Log'!$E$4:$E$1510="Win")*COUNTIFS('Match Log'!$A$4:$A$1510,'Match Log'!$A$4:$A$1510,'Match Log'!$D$4:$D$1510,K$4,'Match Log'!$E$4:$E$1510,"Loss"))/(SUMPRODUCT(('Match Log'!$D$4:$D$1510=$A7)*('Match Log'!$E$4:$E$1510="Win")*COUNTIFS('Match Log'!$A$4:$A$1510,'Match Log'!$A$4:$A$1510,'Match Log'!$D$4:$D$1510,K$4,'Match Log'!$E$4:$E$1510,"Loss"))+SUMPRODUCT(('Match Log'!$D$4:$D$1510=K$4)*('Match Log'!$E$4:$E$1510="Win")*COUNTIFS('Match Log'!$A$4:$A$1510,'Match Log'!$A$4:$A$1510,'Match Log'!$D$4:$D$1510,$A7,'Match Log'!$E$4:$E$1510,"Loss"))),"0%")&amp;" of "&amp;(SUMPRODUCT(('Match Log'!$D$4:$D$1510=$A7)*('Match Log'!$E$4:$E$1510="Win")*COUNTIFS('Match Log'!$A$4:$A$1510,'Match Log'!$A$4:$A$1510,'Match Log'!$D$4:$D$1510,K$4,'Match Log'!$E$4:$E$1510,"Loss"))+SUMPRODUCT(('Match Log'!$D$4:$D$1510=K$4)*('Match Log'!$E$4:$E$1510="Win")*COUNTIFS('Match Log'!$A$4:$A$1510,'Match Log'!$A$4:$A$1510,'Match Log'!$D$4:$D$1510,$A7,'Match Log'!$E$4:$E$1510,"Loss")))))</f>
        <v>100% of 1</v>
      </c>
      <c r="L7" s="56" t="str">
        <f>IF($A7=L$4,"—",IF((SUMPRODUCT(('Match Log'!$D$4:$D$1510=$A7)*('Match Log'!$E$4:$E$1510="Win")*COUNTIFS('Match Log'!$A$4:$A$1510,'Match Log'!$A$4:$A$1510,'Match Log'!$D$4:$D$1510,L$4,'Match Log'!$E$4:$E$1510,"Loss"))+SUMPRODUCT(('Match Log'!$D$4:$D$1510=L$4)*('Match Log'!$E$4:$E$1510="Win")*COUNTIFS('Match Log'!$A$4:$A$1510,'Match Log'!$A$4:$A$1510,'Match Log'!$D$4:$D$1510,$A7,'Match Log'!$E$4:$E$1510,"Loss")))=0,"",TEXT(SUMPRODUCT(('Match Log'!$D$4:$D$1510=$A7)*('Match Log'!$E$4:$E$1510="Win")*COUNTIFS('Match Log'!$A$4:$A$1510,'Match Log'!$A$4:$A$1510,'Match Log'!$D$4:$D$1510,L$4,'Match Log'!$E$4:$E$1510,"Loss"))/(SUMPRODUCT(('Match Log'!$D$4:$D$1510=$A7)*('Match Log'!$E$4:$E$1510="Win")*COUNTIFS('Match Log'!$A$4:$A$1510,'Match Log'!$A$4:$A$1510,'Match Log'!$D$4:$D$1510,L$4,'Match Log'!$E$4:$E$1510,"Loss"))+SUMPRODUCT(('Match Log'!$D$4:$D$1510=L$4)*('Match Log'!$E$4:$E$1510="Win")*COUNTIFS('Match Log'!$A$4:$A$1510,'Match Log'!$A$4:$A$1510,'Match Log'!$D$4:$D$1510,$A7,'Match Log'!$E$4:$E$1510,"Loss"))),"0%")&amp;" of "&amp;(SUMPRODUCT(('Match Log'!$D$4:$D$1510=$A7)*('Match Log'!$E$4:$E$1510="Win")*COUNTIFS('Match Log'!$A$4:$A$1510,'Match Log'!$A$4:$A$1510,'Match Log'!$D$4:$D$1510,L$4,'Match Log'!$E$4:$E$1510,"Loss"))+SUMPRODUCT(('Match Log'!$D$4:$D$1510=L$4)*('Match Log'!$E$4:$E$1510="Win")*COUNTIFS('Match Log'!$A$4:$A$1510,'Match Log'!$A$4:$A$1510,'Match Log'!$D$4:$D$1510,$A7,'Match Log'!$E$4:$E$1510,"Loss")))))</f>
        <v>50% of 2</v>
      </c>
      <c r="M7" s="56" t="str">
        <f>IF($A7=M$4,"—",IF((SUMPRODUCT(('Match Log'!$D$4:$D$1510=$A7)*('Match Log'!$E$4:$E$1510="Win")*COUNTIFS('Match Log'!$A$4:$A$1510,'Match Log'!$A$4:$A$1510,'Match Log'!$D$4:$D$1510,M$4,'Match Log'!$E$4:$E$1510,"Loss"))+SUMPRODUCT(('Match Log'!$D$4:$D$1510=M$4)*('Match Log'!$E$4:$E$1510="Win")*COUNTIFS('Match Log'!$A$4:$A$1510,'Match Log'!$A$4:$A$1510,'Match Log'!$D$4:$D$1510,$A7,'Match Log'!$E$4:$E$1510,"Loss")))=0,"",TEXT(SUMPRODUCT(('Match Log'!$D$4:$D$1510=$A7)*('Match Log'!$E$4:$E$1510="Win")*COUNTIFS('Match Log'!$A$4:$A$1510,'Match Log'!$A$4:$A$1510,'Match Log'!$D$4:$D$1510,M$4,'Match Log'!$E$4:$E$1510,"Loss"))/(SUMPRODUCT(('Match Log'!$D$4:$D$1510=$A7)*('Match Log'!$E$4:$E$1510="Win")*COUNTIFS('Match Log'!$A$4:$A$1510,'Match Log'!$A$4:$A$1510,'Match Log'!$D$4:$D$1510,M$4,'Match Log'!$E$4:$E$1510,"Loss"))+SUMPRODUCT(('Match Log'!$D$4:$D$1510=M$4)*('Match Log'!$E$4:$E$1510="Win")*COUNTIFS('Match Log'!$A$4:$A$1510,'Match Log'!$A$4:$A$1510,'Match Log'!$D$4:$D$1510,$A7,'Match Log'!$E$4:$E$1510,"Loss"))),"0%")&amp;" of "&amp;(SUMPRODUCT(('Match Log'!$D$4:$D$1510=$A7)*('Match Log'!$E$4:$E$1510="Win")*COUNTIFS('Match Log'!$A$4:$A$1510,'Match Log'!$A$4:$A$1510,'Match Log'!$D$4:$D$1510,M$4,'Match Log'!$E$4:$E$1510,"Loss"))+SUMPRODUCT(('Match Log'!$D$4:$D$1510=M$4)*('Match Log'!$E$4:$E$1510="Win")*COUNTIFS('Match Log'!$A$4:$A$1510,'Match Log'!$A$4:$A$1510,'Match Log'!$D$4:$D$1510,$A7,'Match Log'!$E$4:$E$1510,"Loss")))))</f>
        <v/>
      </c>
      <c r="N7" s="56" t="str">
        <f>IF($A7=N$4,"—",IF((SUMPRODUCT(('Match Log'!$D$4:$D$1510=$A7)*('Match Log'!$E$4:$E$1510="Win")*COUNTIFS('Match Log'!$A$4:$A$1510,'Match Log'!$A$4:$A$1510,'Match Log'!$D$4:$D$1510,N$4,'Match Log'!$E$4:$E$1510,"Loss"))+SUMPRODUCT(('Match Log'!$D$4:$D$1510=N$4)*('Match Log'!$E$4:$E$1510="Win")*COUNTIFS('Match Log'!$A$4:$A$1510,'Match Log'!$A$4:$A$1510,'Match Log'!$D$4:$D$1510,$A7,'Match Log'!$E$4:$E$1510,"Loss")))=0,"",TEXT(SUMPRODUCT(('Match Log'!$D$4:$D$1510=$A7)*('Match Log'!$E$4:$E$1510="Win")*COUNTIFS('Match Log'!$A$4:$A$1510,'Match Log'!$A$4:$A$1510,'Match Log'!$D$4:$D$1510,N$4,'Match Log'!$E$4:$E$1510,"Loss"))/(SUMPRODUCT(('Match Log'!$D$4:$D$1510=$A7)*('Match Log'!$E$4:$E$1510="Win")*COUNTIFS('Match Log'!$A$4:$A$1510,'Match Log'!$A$4:$A$1510,'Match Log'!$D$4:$D$1510,N$4,'Match Log'!$E$4:$E$1510,"Loss"))+SUMPRODUCT(('Match Log'!$D$4:$D$1510=N$4)*('Match Log'!$E$4:$E$1510="Win")*COUNTIFS('Match Log'!$A$4:$A$1510,'Match Log'!$A$4:$A$1510,'Match Log'!$D$4:$D$1510,$A7,'Match Log'!$E$4:$E$1510,"Loss"))),"0%")&amp;" of "&amp;(SUMPRODUCT(('Match Log'!$D$4:$D$1510=$A7)*('Match Log'!$E$4:$E$1510="Win")*COUNTIFS('Match Log'!$A$4:$A$1510,'Match Log'!$A$4:$A$1510,'Match Log'!$D$4:$D$1510,N$4,'Match Log'!$E$4:$E$1510,"Loss"))+SUMPRODUCT(('Match Log'!$D$4:$D$1510=N$4)*('Match Log'!$E$4:$E$1510="Win")*COUNTIFS('Match Log'!$A$4:$A$1510,'Match Log'!$A$4:$A$1510,'Match Log'!$D$4:$D$1510,$A7,'Match Log'!$E$4:$E$1510,"Loss")))))</f>
        <v/>
      </c>
      <c r="O7" s="56" t="str">
        <f>IF($A7=O$4,"—",IF((SUMPRODUCT(('Match Log'!$D$4:$D$1510=$A7)*('Match Log'!$E$4:$E$1510="Win")*COUNTIFS('Match Log'!$A$4:$A$1510,'Match Log'!$A$4:$A$1510,'Match Log'!$D$4:$D$1510,O$4,'Match Log'!$E$4:$E$1510,"Loss"))+SUMPRODUCT(('Match Log'!$D$4:$D$1510=O$4)*('Match Log'!$E$4:$E$1510="Win")*COUNTIFS('Match Log'!$A$4:$A$1510,'Match Log'!$A$4:$A$1510,'Match Log'!$D$4:$D$1510,$A7,'Match Log'!$E$4:$E$1510,"Loss")))=0,"",TEXT(SUMPRODUCT(('Match Log'!$D$4:$D$1510=$A7)*('Match Log'!$E$4:$E$1510="Win")*COUNTIFS('Match Log'!$A$4:$A$1510,'Match Log'!$A$4:$A$1510,'Match Log'!$D$4:$D$1510,O$4,'Match Log'!$E$4:$E$1510,"Loss"))/(SUMPRODUCT(('Match Log'!$D$4:$D$1510=$A7)*('Match Log'!$E$4:$E$1510="Win")*COUNTIFS('Match Log'!$A$4:$A$1510,'Match Log'!$A$4:$A$1510,'Match Log'!$D$4:$D$1510,O$4,'Match Log'!$E$4:$E$1510,"Loss"))+SUMPRODUCT(('Match Log'!$D$4:$D$1510=O$4)*('Match Log'!$E$4:$E$1510="Win")*COUNTIFS('Match Log'!$A$4:$A$1510,'Match Log'!$A$4:$A$1510,'Match Log'!$D$4:$D$1510,$A7,'Match Log'!$E$4:$E$1510,"Loss"))),"0%")&amp;" of "&amp;(SUMPRODUCT(('Match Log'!$D$4:$D$1510=$A7)*('Match Log'!$E$4:$E$1510="Win")*COUNTIFS('Match Log'!$A$4:$A$1510,'Match Log'!$A$4:$A$1510,'Match Log'!$D$4:$D$1510,O$4,'Match Log'!$E$4:$E$1510,"Loss"))+SUMPRODUCT(('Match Log'!$D$4:$D$1510=O$4)*('Match Log'!$E$4:$E$1510="Win")*COUNTIFS('Match Log'!$A$4:$A$1510,'Match Log'!$A$4:$A$1510,'Match Log'!$D$4:$D$1510,$A7,'Match Log'!$E$4:$E$1510,"Loss")))))</f>
        <v/>
      </c>
    </row>
    <row r="8" spans="1:15" ht="15" customHeight="1" x14ac:dyDescent="0.2">
      <c r="A8" s="51" t="s">
        <v>18</v>
      </c>
      <c r="B8" s="56" t="str">
        <f>IF($A8=B$4,"—",IF((SUMPRODUCT(('Match Log'!$D$4:$D$1510=$A8)*('Match Log'!$E$4:$E$1510="Win")*COUNTIFS('Match Log'!$A$4:$A$1510,'Match Log'!$A$4:$A$1510,'Match Log'!$D$4:$D$1510,B$4,'Match Log'!$E$4:$E$1510,"Loss"))+SUMPRODUCT(('Match Log'!$D$4:$D$1510=B$4)*('Match Log'!$E$4:$E$1510="Win")*COUNTIFS('Match Log'!$A$4:$A$1510,'Match Log'!$A$4:$A$1510,'Match Log'!$D$4:$D$1510,$A8,'Match Log'!$E$4:$E$1510,"Loss")))=0,"",TEXT(SUMPRODUCT(('Match Log'!$D$4:$D$1510=$A8)*('Match Log'!$E$4:$E$1510="Win")*COUNTIFS('Match Log'!$A$4:$A$1510,'Match Log'!$A$4:$A$1510,'Match Log'!$D$4:$D$1510,B$4,'Match Log'!$E$4:$E$1510,"Loss"))/(SUMPRODUCT(('Match Log'!$D$4:$D$1510=$A8)*('Match Log'!$E$4:$E$1510="Win")*COUNTIFS('Match Log'!$A$4:$A$1510,'Match Log'!$A$4:$A$1510,'Match Log'!$D$4:$D$1510,B$4,'Match Log'!$E$4:$E$1510,"Loss"))+SUMPRODUCT(('Match Log'!$D$4:$D$1510=B$4)*('Match Log'!$E$4:$E$1510="Win")*COUNTIFS('Match Log'!$A$4:$A$1510,'Match Log'!$A$4:$A$1510,'Match Log'!$D$4:$D$1510,$A8,'Match Log'!$E$4:$E$1510,"Loss"))),"0%")&amp;" of "&amp;(SUMPRODUCT(('Match Log'!$D$4:$D$1510=$A8)*('Match Log'!$E$4:$E$1510="Win")*COUNTIFS('Match Log'!$A$4:$A$1510,'Match Log'!$A$4:$A$1510,'Match Log'!$D$4:$D$1510,B$4,'Match Log'!$E$4:$E$1510,"Loss"))+SUMPRODUCT(('Match Log'!$D$4:$D$1510=B$4)*('Match Log'!$E$4:$E$1510="Win")*COUNTIFS('Match Log'!$A$4:$A$1510,'Match Log'!$A$4:$A$1510,'Match Log'!$D$4:$D$1510,$A8,'Match Log'!$E$4:$E$1510,"Loss")))))</f>
        <v>29% of 7</v>
      </c>
      <c r="C8" s="56" t="str">
        <f>IF($A8=C$4,"—",IF((SUMPRODUCT(('Match Log'!$D$4:$D$1510=$A8)*('Match Log'!$E$4:$E$1510="Win")*COUNTIFS('Match Log'!$A$4:$A$1510,'Match Log'!$A$4:$A$1510,'Match Log'!$D$4:$D$1510,C$4,'Match Log'!$E$4:$E$1510,"Loss"))+SUMPRODUCT(('Match Log'!$D$4:$D$1510=C$4)*('Match Log'!$E$4:$E$1510="Win")*COUNTIFS('Match Log'!$A$4:$A$1510,'Match Log'!$A$4:$A$1510,'Match Log'!$D$4:$D$1510,$A8,'Match Log'!$E$4:$E$1510,"Loss")))=0,"",TEXT(SUMPRODUCT(('Match Log'!$D$4:$D$1510=$A8)*('Match Log'!$E$4:$E$1510="Win")*COUNTIFS('Match Log'!$A$4:$A$1510,'Match Log'!$A$4:$A$1510,'Match Log'!$D$4:$D$1510,C$4,'Match Log'!$E$4:$E$1510,"Loss"))/(SUMPRODUCT(('Match Log'!$D$4:$D$1510=$A8)*('Match Log'!$E$4:$E$1510="Win")*COUNTIFS('Match Log'!$A$4:$A$1510,'Match Log'!$A$4:$A$1510,'Match Log'!$D$4:$D$1510,C$4,'Match Log'!$E$4:$E$1510,"Loss"))+SUMPRODUCT(('Match Log'!$D$4:$D$1510=C$4)*('Match Log'!$E$4:$E$1510="Win")*COUNTIFS('Match Log'!$A$4:$A$1510,'Match Log'!$A$4:$A$1510,'Match Log'!$D$4:$D$1510,$A8,'Match Log'!$E$4:$E$1510,"Loss"))),"0%")&amp;" of "&amp;(SUMPRODUCT(('Match Log'!$D$4:$D$1510=$A8)*('Match Log'!$E$4:$E$1510="Win")*COUNTIFS('Match Log'!$A$4:$A$1510,'Match Log'!$A$4:$A$1510,'Match Log'!$D$4:$D$1510,C$4,'Match Log'!$E$4:$E$1510,"Loss"))+SUMPRODUCT(('Match Log'!$D$4:$D$1510=C$4)*('Match Log'!$E$4:$E$1510="Win")*COUNTIFS('Match Log'!$A$4:$A$1510,'Match Log'!$A$4:$A$1510,'Match Log'!$D$4:$D$1510,$A8,'Match Log'!$E$4:$E$1510,"Loss")))))</f>
        <v>100% of 1</v>
      </c>
      <c r="D8" s="56" t="str">
        <f>IF($A8=D$4,"—",IF((SUMPRODUCT(('Match Log'!$D$4:$D$1510=$A8)*('Match Log'!$E$4:$E$1510="Win")*COUNTIFS('Match Log'!$A$4:$A$1510,'Match Log'!$A$4:$A$1510,'Match Log'!$D$4:$D$1510,D$4,'Match Log'!$E$4:$E$1510,"Loss"))+SUMPRODUCT(('Match Log'!$D$4:$D$1510=D$4)*('Match Log'!$E$4:$E$1510="Win")*COUNTIFS('Match Log'!$A$4:$A$1510,'Match Log'!$A$4:$A$1510,'Match Log'!$D$4:$D$1510,$A8,'Match Log'!$E$4:$E$1510,"Loss")))=0,"",TEXT(SUMPRODUCT(('Match Log'!$D$4:$D$1510=$A8)*('Match Log'!$E$4:$E$1510="Win")*COUNTIFS('Match Log'!$A$4:$A$1510,'Match Log'!$A$4:$A$1510,'Match Log'!$D$4:$D$1510,D$4,'Match Log'!$E$4:$E$1510,"Loss"))/(SUMPRODUCT(('Match Log'!$D$4:$D$1510=$A8)*('Match Log'!$E$4:$E$1510="Win")*COUNTIFS('Match Log'!$A$4:$A$1510,'Match Log'!$A$4:$A$1510,'Match Log'!$D$4:$D$1510,D$4,'Match Log'!$E$4:$E$1510,"Loss"))+SUMPRODUCT(('Match Log'!$D$4:$D$1510=D$4)*('Match Log'!$E$4:$E$1510="Win")*COUNTIFS('Match Log'!$A$4:$A$1510,'Match Log'!$A$4:$A$1510,'Match Log'!$D$4:$D$1510,$A8,'Match Log'!$E$4:$E$1510,"Loss"))),"0%")&amp;" of "&amp;(SUMPRODUCT(('Match Log'!$D$4:$D$1510=$A8)*('Match Log'!$E$4:$E$1510="Win")*COUNTIFS('Match Log'!$A$4:$A$1510,'Match Log'!$A$4:$A$1510,'Match Log'!$D$4:$D$1510,D$4,'Match Log'!$E$4:$E$1510,"Loss"))+SUMPRODUCT(('Match Log'!$D$4:$D$1510=D$4)*('Match Log'!$E$4:$E$1510="Win")*COUNTIFS('Match Log'!$A$4:$A$1510,'Match Log'!$A$4:$A$1510,'Match Log'!$D$4:$D$1510,$A8,'Match Log'!$E$4:$E$1510,"Loss")))))</f>
        <v/>
      </c>
      <c r="E8" s="56" t="str">
        <f>IF($A8=E$4,"—",IF((SUMPRODUCT(('Match Log'!$D$4:$D$1510=$A8)*('Match Log'!$E$4:$E$1510="Win")*COUNTIFS('Match Log'!$A$4:$A$1510,'Match Log'!$A$4:$A$1510,'Match Log'!$D$4:$D$1510,E$4,'Match Log'!$E$4:$E$1510,"Loss"))+SUMPRODUCT(('Match Log'!$D$4:$D$1510=E$4)*('Match Log'!$E$4:$E$1510="Win")*COUNTIFS('Match Log'!$A$4:$A$1510,'Match Log'!$A$4:$A$1510,'Match Log'!$D$4:$D$1510,$A8,'Match Log'!$E$4:$E$1510,"Loss")))=0,"",TEXT(SUMPRODUCT(('Match Log'!$D$4:$D$1510=$A8)*('Match Log'!$E$4:$E$1510="Win")*COUNTIFS('Match Log'!$A$4:$A$1510,'Match Log'!$A$4:$A$1510,'Match Log'!$D$4:$D$1510,E$4,'Match Log'!$E$4:$E$1510,"Loss"))/(SUMPRODUCT(('Match Log'!$D$4:$D$1510=$A8)*('Match Log'!$E$4:$E$1510="Win")*COUNTIFS('Match Log'!$A$4:$A$1510,'Match Log'!$A$4:$A$1510,'Match Log'!$D$4:$D$1510,E$4,'Match Log'!$E$4:$E$1510,"Loss"))+SUMPRODUCT(('Match Log'!$D$4:$D$1510=E$4)*('Match Log'!$E$4:$E$1510="Win")*COUNTIFS('Match Log'!$A$4:$A$1510,'Match Log'!$A$4:$A$1510,'Match Log'!$D$4:$D$1510,$A8,'Match Log'!$E$4:$E$1510,"Loss"))),"0%")&amp;" of "&amp;(SUMPRODUCT(('Match Log'!$D$4:$D$1510=$A8)*('Match Log'!$E$4:$E$1510="Win")*COUNTIFS('Match Log'!$A$4:$A$1510,'Match Log'!$A$4:$A$1510,'Match Log'!$D$4:$D$1510,E$4,'Match Log'!$E$4:$E$1510,"Loss"))+SUMPRODUCT(('Match Log'!$D$4:$D$1510=E$4)*('Match Log'!$E$4:$E$1510="Win")*COUNTIFS('Match Log'!$A$4:$A$1510,'Match Log'!$A$4:$A$1510,'Match Log'!$D$4:$D$1510,$A8,'Match Log'!$E$4:$E$1510,"Loss")))))</f>
        <v>—</v>
      </c>
      <c r="F8" s="56" t="str">
        <f>IF($A8=F$4,"—",IF((SUMPRODUCT(('Match Log'!$D$4:$D$1510=$A8)*('Match Log'!$E$4:$E$1510="Win")*COUNTIFS('Match Log'!$A$4:$A$1510,'Match Log'!$A$4:$A$1510,'Match Log'!$D$4:$D$1510,F$4,'Match Log'!$E$4:$E$1510,"Loss"))+SUMPRODUCT(('Match Log'!$D$4:$D$1510=F$4)*('Match Log'!$E$4:$E$1510="Win")*COUNTIFS('Match Log'!$A$4:$A$1510,'Match Log'!$A$4:$A$1510,'Match Log'!$D$4:$D$1510,$A8,'Match Log'!$E$4:$E$1510,"Loss")))=0,"",TEXT(SUMPRODUCT(('Match Log'!$D$4:$D$1510=$A8)*('Match Log'!$E$4:$E$1510="Win")*COUNTIFS('Match Log'!$A$4:$A$1510,'Match Log'!$A$4:$A$1510,'Match Log'!$D$4:$D$1510,F$4,'Match Log'!$E$4:$E$1510,"Loss"))/(SUMPRODUCT(('Match Log'!$D$4:$D$1510=$A8)*('Match Log'!$E$4:$E$1510="Win")*COUNTIFS('Match Log'!$A$4:$A$1510,'Match Log'!$A$4:$A$1510,'Match Log'!$D$4:$D$1510,F$4,'Match Log'!$E$4:$E$1510,"Loss"))+SUMPRODUCT(('Match Log'!$D$4:$D$1510=F$4)*('Match Log'!$E$4:$E$1510="Win")*COUNTIFS('Match Log'!$A$4:$A$1510,'Match Log'!$A$4:$A$1510,'Match Log'!$D$4:$D$1510,$A8,'Match Log'!$E$4:$E$1510,"Loss"))),"0%")&amp;" of "&amp;(SUMPRODUCT(('Match Log'!$D$4:$D$1510=$A8)*('Match Log'!$E$4:$E$1510="Win")*COUNTIFS('Match Log'!$A$4:$A$1510,'Match Log'!$A$4:$A$1510,'Match Log'!$D$4:$D$1510,F$4,'Match Log'!$E$4:$E$1510,"Loss"))+SUMPRODUCT(('Match Log'!$D$4:$D$1510=F$4)*('Match Log'!$E$4:$E$1510="Win")*COUNTIFS('Match Log'!$A$4:$A$1510,'Match Log'!$A$4:$A$1510,'Match Log'!$D$4:$D$1510,$A8,'Match Log'!$E$4:$E$1510,"Loss")))))</f>
        <v>25% of 4</v>
      </c>
      <c r="G8" s="56" t="str">
        <f>IF($A8=G$4,"—",IF((SUMPRODUCT(('Match Log'!$D$4:$D$1510=$A8)*('Match Log'!$E$4:$E$1510="Win")*COUNTIFS('Match Log'!$A$4:$A$1510,'Match Log'!$A$4:$A$1510,'Match Log'!$D$4:$D$1510,G$4,'Match Log'!$E$4:$E$1510,"Loss"))+SUMPRODUCT(('Match Log'!$D$4:$D$1510=G$4)*('Match Log'!$E$4:$E$1510="Win")*COUNTIFS('Match Log'!$A$4:$A$1510,'Match Log'!$A$4:$A$1510,'Match Log'!$D$4:$D$1510,$A8,'Match Log'!$E$4:$E$1510,"Loss")))=0,"",TEXT(SUMPRODUCT(('Match Log'!$D$4:$D$1510=$A8)*('Match Log'!$E$4:$E$1510="Win")*COUNTIFS('Match Log'!$A$4:$A$1510,'Match Log'!$A$4:$A$1510,'Match Log'!$D$4:$D$1510,G$4,'Match Log'!$E$4:$E$1510,"Loss"))/(SUMPRODUCT(('Match Log'!$D$4:$D$1510=$A8)*('Match Log'!$E$4:$E$1510="Win")*COUNTIFS('Match Log'!$A$4:$A$1510,'Match Log'!$A$4:$A$1510,'Match Log'!$D$4:$D$1510,G$4,'Match Log'!$E$4:$E$1510,"Loss"))+SUMPRODUCT(('Match Log'!$D$4:$D$1510=G$4)*('Match Log'!$E$4:$E$1510="Win")*COUNTIFS('Match Log'!$A$4:$A$1510,'Match Log'!$A$4:$A$1510,'Match Log'!$D$4:$D$1510,$A8,'Match Log'!$E$4:$E$1510,"Loss"))),"0%")&amp;" of "&amp;(SUMPRODUCT(('Match Log'!$D$4:$D$1510=$A8)*('Match Log'!$E$4:$E$1510="Win")*COUNTIFS('Match Log'!$A$4:$A$1510,'Match Log'!$A$4:$A$1510,'Match Log'!$D$4:$D$1510,G$4,'Match Log'!$E$4:$E$1510,"Loss"))+SUMPRODUCT(('Match Log'!$D$4:$D$1510=G$4)*('Match Log'!$E$4:$E$1510="Win")*COUNTIFS('Match Log'!$A$4:$A$1510,'Match Log'!$A$4:$A$1510,'Match Log'!$D$4:$D$1510,$A8,'Match Log'!$E$4:$E$1510,"Loss")))))</f>
        <v>50% of 2</v>
      </c>
      <c r="H8" s="56" t="str">
        <f>IF($A8=H$4,"—",IF((SUMPRODUCT(('Match Log'!$D$4:$D$1510=$A8)*('Match Log'!$E$4:$E$1510="Win")*COUNTIFS('Match Log'!$A$4:$A$1510,'Match Log'!$A$4:$A$1510,'Match Log'!$D$4:$D$1510,H$4,'Match Log'!$E$4:$E$1510,"Loss"))+SUMPRODUCT(('Match Log'!$D$4:$D$1510=H$4)*('Match Log'!$E$4:$E$1510="Win")*COUNTIFS('Match Log'!$A$4:$A$1510,'Match Log'!$A$4:$A$1510,'Match Log'!$D$4:$D$1510,$A8,'Match Log'!$E$4:$E$1510,"Loss")))=0,"",TEXT(SUMPRODUCT(('Match Log'!$D$4:$D$1510=$A8)*('Match Log'!$E$4:$E$1510="Win")*COUNTIFS('Match Log'!$A$4:$A$1510,'Match Log'!$A$4:$A$1510,'Match Log'!$D$4:$D$1510,H$4,'Match Log'!$E$4:$E$1510,"Loss"))/(SUMPRODUCT(('Match Log'!$D$4:$D$1510=$A8)*('Match Log'!$E$4:$E$1510="Win")*COUNTIFS('Match Log'!$A$4:$A$1510,'Match Log'!$A$4:$A$1510,'Match Log'!$D$4:$D$1510,H$4,'Match Log'!$E$4:$E$1510,"Loss"))+SUMPRODUCT(('Match Log'!$D$4:$D$1510=H$4)*('Match Log'!$E$4:$E$1510="Win")*COUNTIFS('Match Log'!$A$4:$A$1510,'Match Log'!$A$4:$A$1510,'Match Log'!$D$4:$D$1510,$A8,'Match Log'!$E$4:$E$1510,"Loss"))),"0%")&amp;" of "&amp;(SUMPRODUCT(('Match Log'!$D$4:$D$1510=$A8)*('Match Log'!$E$4:$E$1510="Win")*COUNTIFS('Match Log'!$A$4:$A$1510,'Match Log'!$A$4:$A$1510,'Match Log'!$D$4:$D$1510,H$4,'Match Log'!$E$4:$E$1510,"Loss"))+SUMPRODUCT(('Match Log'!$D$4:$D$1510=H$4)*('Match Log'!$E$4:$E$1510="Win")*COUNTIFS('Match Log'!$A$4:$A$1510,'Match Log'!$A$4:$A$1510,'Match Log'!$D$4:$D$1510,$A8,'Match Log'!$E$4:$E$1510,"Loss")))))</f>
        <v>50% of 2</v>
      </c>
      <c r="I8" s="56" t="str">
        <f>IF($A8=I$4,"—",IF((SUMPRODUCT(('Match Log'!$D$4:$D$1510=$A8)*('Match Log'!$E$4:$E$1510="Win")*COUNTIFS('Match Log'!$A$4:$A$1510,'Match Log'!$A$4:$A$1510,'Match Log'!$D$4:$D$1510,I$4,'Match Log'!$E$4:$E$1510,"Loss"))+SUMPRODUCT(('Match Log'!$D$4:$D$1510=I$4)*('Match Log'!$E$4:$E$1510="Win")*COUNTIFS('Match Log'!$A$4:$A$1510,'Match Log'!$A$4:$A$1510,'Match Log'!$D$4:$D$1510,$A8,'Match Log'!$E$4:$E$1510,"Loss")))=0,"",TEXT(SUMPRODUCT(('Match Log'!$D$4:$D$1510=$A8)*('Match Log'!$E$4:$E$1510="Win")*COUNTIFS('Match Log'!$A$4:$A$1510,'Match Log'!$A$4:$A$1510,'Match Log'!$D$4:$D$1510,I$4,'Match Log'!$E$4:$E$1510,"Loss"))/(SUMPRODUCT(('Match Log'!$D$4:$D$1510=$A8)*('Match Log'!$E$4:$E$1510="Win")*COUNTIFS('Match Log'!$A$4:$A$1510,'Match Log'!$A$4:$A$1510,'Match Log'!$D$4:$D$1510,I$4,'Match Log'!$E$4:$E$1510,"Loss"))+SUMPRODUCT(('Match Log'!$D$4:$D$1510=I$4)*('Match Log'!$E$4:$E$1510="Win")*COUNTIFS('Match Log'!$A$4:$A$1510,'Match Log'!$A$4:$A$1510,'Match Log'!$D$4:$D$1510,$A8,'Match Log'!$E$4:$E$1510,"Loss"))),"0%")&amp;" of "&amp;(SUMPRODUCT(('Match Log'!$D$4:$D$1510=$A8)*('Match Log'!$E$4:$E$1510="Win")*COUNTIFS('Match Log'!$A$4:$A$1510,'Match Log'!$A$4:$A$1510,'Match Log'!$D$4:$D$1510,I$4,'Match Log'!$E$4:$E$1510,"Loss"))+SUMPRODUCT(('Match Log'!$D$4:$D$1510=I$4)*('Match Log'!$E$4:$E$1510="Win")*COUNTIFS('Match Log'!$A$4:$A$1510,'Match Log'!$A$4:$A$1510,'Match Log'!$D$4:$D$1510,$A8,'Match Log'!$E$4:$E$1510,"Loss")))))</f>
        <v>0% of 4</v>
      </c>
      <c r="J8" s="56" t="str">
        <f>IF($A8=J$4,"—",IF((SUMPRODUCT(('Match Log'!$D$4:$D$1510=$A8)*('Match Log'!$E$4:$E$1510="Win")*COUNTIFS('Match Log'!$A$4:$A$1510,'Match Log'!$A$4:$A$1510,'Match Log'!$D$4:$D$1510,J$4,'Match Log'!$E$4:$E$1510,"Loss"))+SUMPRODUCT(('Match Log'!$D$4:$D$1510=J$4)*('Match Log'!$E$4:$E$1510="Win")*COUNTIFS('Match Log'!$A$4:$A$1510,'Match Log'!$A$4:$A$1510,'Match Log'!$D$4:$D$1510,$A8,'Match Log'!$E$4:$E$1510,"Loss")))=0,"",TEXT(SUMPRODUCT(('Match Log'!$D$4:$D$1510=$A8)*('Match Log'!$E$4:$E$1510="Win")*COUNTIFS('Match Log'!$A$4:$A$1510,'Match Log'!$A$4:$A$1510,'Match Log'!$D$4:$D$1510,J$4,'Match Log'!$E$4:$E$1510,"Loss"))/(SUMPRODUCT(('Match Log'!$D$4:$D$1510=$A8)*('Match Log'!$E$4:$E$1510="Win")*COUNTIFS('Match Log'!$A$4:$A$1510,'Match Log'!$A$4:$A$1510,'Match Log'!$D$4:$D$1510,J$4,'Match Log'!$E$4:$E$1510,"Loss"))+SUMPRODUCT(('Match Log'!$D$4:$D$1510=J$4)*('Match Log'!$E$4:$E$1510="Win")*COUNTIFS('Match Log'!$A$4:$A$1510,'Match Log'!$A$4:$A$1510,'Match Log'!$D$4:$D$1510,$A8,'Match Log'!$E$4:$E$1510,"Loss"))),"0%")&amp;" of "&amp;(SUMPRODUCT(('Match Log'!$D$4:$D$1510=$A8)*('Match Log'!$E$4:$E$1510="Win")*COUNTIFS('Match Log'!$A$4:$A$1510,'Match Log'!$A$4:$A$1510,'Match Log'!$D$4:$D$1510,J$4,'Match Log'!$E$4:$E$1510,"Loss"))+SUMPRODUCT(('Match Log'!$D$4:$D$1510=J$4)*('Match Log'!$E$4:$E$1510="Win")*COUNTIFS('Match Log'!$A$4:$A$1510,'Match Log'!$A$4:$A$1510,'Match Log'!$D$4:$D$1510,$A8,'Match Log'!$E$4:$E$1510,"Loss")))))</f>
        <v>14% of 7</v>
      </c>
      <c r="K8" s="56" t="str">
        <f>IF($A8=K$4,"—",IF((SUMPRODUCT(('Match Log'!$D$4:$D$1510=$A8)*('Match Log'!$E$4:$E$1510="Win")*COUNTIFS('Match Log'!$A$4:$A$1510,'Match Log'!$A$4:$A$1510,'Match Log'!$D$4:$D$1510,K$4,'Match Log'!$E$4:$E$1510,"Loss"))+SUMPRODUCT(('Match Log'!$D$4:$D$1510=K$4)*('Match Log'!$E$4:$E$1510="Win")*COUNTIFS('Match Log'!$A$4:$A$1510,'Match Log'!$A$4:$A$1510,'Match Log'!$D$4:$D$1510,$A8,'Match Log'!$E$4:$E$1510,"Loss")))=0,"",TEXT(SUMPRODUCT(('Match Log'!$D$4:$D$1510=$A8)*('Match Log'!$E$4:$E$1510="Win")*COUNTIFS('Match Log'!$A$4:$A$1510,'Match Log'!$A$4:$A$1510,'Match Log'!$D$4:$D$1510,K$4,'Match Log'!$E$4:$E$1510,"Loss"))/(SUMPRODUCT(('Match Log'!$D$4:$D$1510=$A8)*('Match Log'!$E$4:$E$1510="Win")*COUNTIFS('Match Log'!$A$4:$A$1510,'Match Log'!$A$4:$A$1510,'Match Log'!$D$4:$D$1510,K$4,'Match Log'!$E$4:$E$1510,"Loss"))+SUMPRODUCT(('Match Log'!$D$4:$D$1510=K$4)*('Match Log'!$E$4:$E$1510="Win")*COUNTIFS('Match Log'!$A$4:$A$1510,'Match Log'!$A$4:$A$1510,'Match Log'!$D$4:$D$1510,$A8,'Match Log'!$E$4:$E$1510,"Loss"))),"0%")&amp;" of "&amp;(SUMPRODUCT(('Match Log'!$D$4:$D$1510=$A8)*('Match Log'!$E$4:$E$1510="Win")*COUNTIFS('Match Log'!$A$4:$A$1510,'Match Log'!$A$4:$A$1510,'Match Log'!$D$4:$D$1510,K$4,'Match Log'!$E$4:$E$1510,"Loss"))+SUMPRODUCT(('Match Log'!$D$4:$D$1510=K$4)*('Match Log'!$E$4:$E$1510="Win")*COUNTIFS('Match Log'!$A$4:$A$1510,'Match Log'!$A$4:$A$1510,'Match Log'!$D$4:$D$1510,$A8,'Match Log'!$E$4:$E$1510,"Loss")))))</f>
        <v>100% of 1</v>
      </c>
      <c r="L8" s="56" t="str">
        <f>IF($A8=L$4,"—",IF((SUMPRODUCT(('Match Log'!$D$4:$D$1510=$A8)*('Match Log'!$E$4:$E$1510="Win")*COUNTIFS('Match Log'!$A$4:$A$1510,'Match Log'!$A$4:$A$1510,'Match Log'!$D$4:$D$1510,L$4,'Match Log'!$E$4:$E$1510,"Loss"))+SUMPRODUCT(('Match Log'!$D$4:$D$1510=L$4)*('Match Log'!$E$4:$E$1510="Win")*COUNTIFS('Match Log'!$A$4:$A$1510,'Match Log'!$A$4:$A$1510,'Match Log'!$D$4:$D$1510,$A8,'Match Log'!$E$4:$E$1510,"Loss")))=0,"",TEXT(SUMPRODUCT(('Match Log'!$D$4:$D$1510=$A8)*('Match Log'!$E$4:$E$1510="Win")*COUNTIFS('Match Log'!$A$4:$A$1510,'Match Log'!$A$4:$A$1510,'Match Log'!$D$4:$D$1510,L$4,'Match Log'!$E$4:$E$1510,"Loss"))/(SUMPRODUCT(('Match Log'!$D$4:$D$1510=$A8)*('Match Log'!$E$4:$E$1510="Win")*COUNTIFS('Match Log'!$A$4:$A$1510,'Match Log'!$A$4:$A$1510,'Match Log'!$D$4:$D$1510,L$4,'Match Log'!$E$4:$E$1510,"Loss"))+SUMPRODUCT(('Match Log'!$D$4:$D$1510=L$4)*('Match Log'!$E$4:$E$1510="Win")*COUNTIFS('Match Log'!$A$4:$A$1510,'Match Log'!$A$4:$A$1510,'Match Log'!$D$4:$D$1510,$A8,'Match Log'!$E$4:$E$1510,"Loss"))),"0%")&amp;" of "&amp;(SUMPRODUCT(('Match Log'!$D$4:$D$1510=$A8)*('Match Log'!$E$4:$E$1510="Win")*COUNTIFS('Match Log'!$A$4:$A$1510,'Match Log'!$A$4:$A$1510,'Match Log'!$D$4:$D$1510,L$4,'Match Log'!$E$4:$E$1510,"Loss"))+SUMPRODUCT(('Match Log'!$D$4:$D$1510=L$4)*('Match Log'!$E$4:$E$1510="Win")*COUNTIFS('Match Log'!$A$4:$A$1510,'Match Log'!$A$4:$A$1510,'Match Log'!$D$4:$D$1510,$A8,'Match Log'!$E$4:$E$1510,"Loss")))))</f>
        <v>0% of 1</v>
      </c>
      <c r="M8" s="56" t="str">
        <f>IF($A8=M$4,"—",IF((SUMPRODUCT(('Match Log'!$D$4:$D$1510=$A8)*('Match Log'!$E$4:$E$1510="Win")*COUNTIFS('Match Log'!$A$4:$A$1510,'Match Log'!$A$4:$A$1510,'Match Log'!$D$4:$D$1510,M$4,'Match Log'!$E$4:$E$1510,"Loss"))+SUMPRODUCT(('Match Log'!$D$4:$D$1510=M$4)*('Match Log'!$E$4:$E$1510="Win")*COUNTIFS('Match Log'!$A$4:$A$1510,'Match Log'!$A$4:$A$1510,'Match Log'!$D$4:$D$1510,$A8,'Match Log'!$E$4:$E$1510,"Loss")))=0,"",TEXT(SUMPRODUCT(('Match Log'!$D$4:$D$1510=$A8)*('Match Log'!$E$4:$E$1510="Win")*COUNTIFS('Match Log'!$A$4:$A$1510,'Match Log'!$A$4:$A$1510,'Match Log'!$D$4:$D$1510,M$4,'Match Log'!$E$4:$E$1510,"Loss"))/(SUMPRODUCT(('Match Log'!$D$4:$D$1510=$A8)*('Match Log'!$E$4:$E$1510="Win")*COUNTIFS('Match Log'!$A$4:$A$1510,'Match Log'!$A$4:$A$1510,'Match Log'!$D$4:$D$1510,M$4,'Match Log'!$E$4:$E$1510,"Loss"))+SUMPRODUCT(('Match Log'!$D$4:$D$1510=M$4)*('Match Log'!$E$4:$E$1510="Win")*COUNTIFS('Match Log'!$A$4:$A$1510,'Match Log'!$A$4:$A$1510,'Match Log'!$D$4:$D$1510,$A8,'Match Log'!$E$4:$E$1510,"Loss"))),"0%")&amp;" of "&amp;(SUMPRODUCT(('Match Log'!$D$4:$D$1510=$A8)*('Match Log'!$E$4:$E$1510="Win")*COUNTIFS('Match Log'!$A$4:$A$1510,'Match Log'!$A$4:$A$1510,'Match Log'!$D$4:$D$1510,M$4,'Match Log'!$E$4:$E$1510,"Loss"))+SUMPRODUCT(('Match Log'!$D$4:$D$1510=M$4)*('Match Log'!$E$4:$E$1510="Win")*COUNTIFS('Match Log'!$A$4:$A$1510,'Match Log'!$A$4:$A$1510,'Match Log'!$D$4:$D$1510,$A8,'Match Log'!$E$4:$E$1510,"Loss")))))</f>
        <v/>
      </c>
      <c r="N8" s="56" t="str">
        <f>IF($A8=N$4,"—",IF((SUMPRODUCT(('Match Log'!$D$4:$D$1510=$A8)*('Match Log'!$E$4:$E$1510="Win")*COUNTIFS('Match Log'!$A$4:$A$1510,'Match Log'!$A$4:$A$1510,'Match Log'!$D$4:$D$1510,N$4,'Match Log'!$E$4:$E$1510,"Loss"))+SUMPRODUCT(('Match Log'!$D$4:$D$1510=N$4)*('Match Log'!$E$4:$E$1510="Win")*COUNTIFS('Match Log'!$A$4:$A$1510,'Match Log'!$A$4:$A$1510,'Match Log'!$D$4:$D$1510,$A8,'Match Log'!$E$4:$E$1510,"Loss")))=0,"",TEXT(SUMPRODUCT(('Match Log'!$D$4:$D$1510=$A8)*('Match Log'!$E$4:$E$1510="Win")*COUNTIFS('Match Log'!$A$4:$A$1510,'Match Log'!$A$4:$A$1510,'Match Log'!$D$4:$D$1510,N$4,'Match Log'!$E$4:$E$1510,"Loss"))/(SUMPRODUCT(('Match Log'!$D$4:$D$1510=$A8)*('Match Log'!$E$4:$E$1510="Win")*COUNTIFS('Match Log'!$A$4:$A$1510,'Match Log'!$A$4:$A$1510,'Match Log'!$D$4:$D$1510,N$4,'Match Log'!$E$4:$E$1510,"Loss"))+SUMPRODUCT(('Match Log'!$D$4:$D$1510=N$4)*('Match Log'!$E$4:$E$1510="Win")*COUNTIFS('Match Log'!$A$4:$A$1510,'Match Log'!$A$4:$A$1510,'Match Log'!$D$4:$D$1510,$A8,'Match Log'!$E$4:$E$1510,"Loss"))),"0%")&amp;" of "&amp;(SUMPRODUCT(('Match Log'!$D$4:$D$1510=$A8)*('Match Log'!$E$4:$E$1510="Win")*COUNTIFS('Match Log'!$A$4:$A$1510,'Match Log'!$A$4:$A$1510,'Match Log'!$D$4:$D$1510,N$4,'Match Log'!$E$4:$E$1510,"Loss"))+SUMPRODUCT(('Match Log'!$D$4:$D$1510=N$4)*('Match Log'!$E$4:$E$1510="Win")*COUNTIFS('Match Log'!$A$4:$A$1510,'Match Log'!$A$4:$A$1510,'Match Log'!$D$4:$D$1510,$A8,'Match Log'!$E$4:$E$1510,"Loss")))))</f>
        <v/>
      </c>
      <c r="O8" s="56" t="str">
        <f>IF($A8=O$4,"—",IF((SUMPRODUCT(('Match Log'!$D$4:$D$1510=$A8)*('Match Log'!$E$4:$E$1510="Win")*COUNTIFS('Match Log'!$A$4:$A$1510,'Match Log'!$A$4:$A$1510,'Match Log'!$D$4:$D$1510,O$4,'Match Log'!$E$4:$E$1510,"Loss"))+SUMPRODUCT(('Match Log'!$D$4:$D$1510=O$4)*('Match Log'!$E$4:$E$1510="Win")*COUNTIFS('Match Log'!$A$4:$A$1510,'Match Log'!$A$4:$A$1510,'Match Log'!$D$4:$D$1510,$A8,'Match Log'!$E$4:$E$1510,"Loss")))=0,"",TEXT(SUMPRODUCT(('Match Log'!$D$4:$D$1510=$A8)*('Match Log'!$E$4:$E$1510="Win")*COUNTIFS('Match Log'!$A$4:$A$1510,'Match Log'!$A$4:$A$1510,'Match Log'!$D$4:$D$1510,O$4,'Match Log'!$E$4:$E$1510,"Loss"))/(SUMPRODUCT(('Match Log'!$D$4:$D$1510=$A8)*('Match Log'!$E$4:$E$1510="Win")*COUNTIFS('Match Log'!$A$4:$A$1510,'Match Log'!$A$4:$A$1510,'Match Log'!$D$4:$D$1510,O$4,'Match Log'!$E$4:$E$1510,"Loss"))+SUMPRODUCT(('Match Log'!$D$4:$D$1510=O$4)*('Match Log'!$E$4:$E$1510="Win")*COUNTIFS('Match Log'!$A$4:$A$1510,'Match Log'!$A$4:$A$1510,'Match Log'!$D$4:$D$1510,$A8,'Match Log'!$E$4:$E$1510,"Loss"))),"0%")&amp;" of "&amp;(SUMPRODUCT(('Match Log'!$D$4:$D$1510=$A8)*('Match Log'!$E$4:$E$1510="Win")*COUNTIFS('Match Log'!$A$4:$A$1510,'Match Log'!$A$4:$A$1510,'Match Log'!$D$4:$D$1510,O$4,'Match Log'!$E$4:$E$1510,"Loss"))+SUMPRODUCT(('Match Log'!$D$4:$D$1510=O$4)*('Match Log'!$E$4:$E$1510="Win")*COUNTIFS('Match Log'!$A$4:$A$1510,'Match Log'!$A$4:$A$1510,'Match Log'!$D$4:$D$1510,$A8,'Match Log'!$E$4:$E$1510,"Loss")))))</f>
        <v/>
      </c>
    </row>
    <row r="9" spans="1:15" ht="15" customHeight="1" x14ac:dyDescent="0.2">
      <c r="A9" s="51" t="s">
        <v>19</v>
      </c>
      <c r="B9" s="56" t="str">
        <f>IF($A9=B$4,"—",IF((SUMPRODUCT(('Match Log'!$D$4:$D$1510=$A9)*('Match Log'!$E$4:$E$1510="Win")*COUNTIFS('Match Log'!$A$4:$A$1510,'Match Log'!$A$4:$A$1510,'Match Log'!$D$4:$D$1510,B$4,'Match Log'!$E$4:$E$1510,"Loss"))+SUMPRODUCT(('Match Log'!$D$4:$D$1510=B$4)*('Match Log'!$E$4:$E$1510="Win")*COUNTIFS('Match Log'!$A$4:$A$1510,'Match Log'!$A$4:$A$1510,'Match Log'!$D$4:$D$1510,$A9,'Match Log'!$E$4:$E$1510,"Loss")))=0,"",TEXT(SUMPRODUCT(('Match Log'!$D$4:$D$1510=$A9)*('Match Log'!$E$4:$E$1510="Win")*COUNTIFS('Match Log'!$A$4:$A$1510,'Match Log'!$A$4:$A$1510,'Match Log'!$D$4:$D$1510,B$4,'Match Log'!$E$4:$E$1510,"Loss"))/(SUMPRODUCT(('Match Log'!$D$4:$D$1510=$A9)*('Match Log'!$E$4:$E$1510="Win")*COUNTIFS('Match Log'!$A$4:$A$1510,'Match Log'!$A$4:$A$1510,'Match Log'!$D$4:$D$1510,B$4,'Match Log'!$E$4:$E$1510,"Loss"))+SUMPRODUCT(('Match Log'!$D$4:$D$1510=B$4)*('Match Log'!$E$4:$E$1510="Win")*COUNTIFS('Match Log'!$A$4:$A$1510,'Match Log'!$A$4:$A$1510,'Match Log'!$D$4:$D$1510,$A9,'Match Log'!$E$4:$E$1510,"Loss"))),"0%")&amp;" of "&amp;(SUMPRODUCT(('Match Log'!$D$4:$D$1510=$A9)*('Match Log'!$E$4:$E$1510="Win")*COUNTIFS('Match Log'!$A$4:$A$1510,'Match Log'!$A$4:$A$1510,'Match Log'!$D$4:$D$1510,B$4,'Match Log'!$E$4:$E$1510,"Loss"))+SUMPRODUCT(('Match Log'!$D$4:$D$1510=B$4)*('Match Log'!$E$4:$E$1510="Win")*COUNTIFS('Match Log'!$A$4:$A$1510,'Match Log'!$A$4:$A$1510,'Match Log'!$D$4:$D$1510,$A9,'Match Log'!$E$4:$E$1510,"Loss")))))</f>
        <v>33% of 3</v>
      </c>
      <c r="C9" s="56" t="str">
        <f>IF($A9=C$4,"—",IF((SUMPRODUCT(('Match Log'!$D$4:$D$1510=$A9)*('Match Log'!$E$4:$E$1510="Win")*COUNTIFS('Match Log'!$A$4:$A$1510,'Match Log'!$A$4:$A$1510,'Match Log'!$D$4:$D$1510,C$4,'Match Log'!$E$4:$E$1510,"Loss"))+SUMPRODUCT(('Match Log'!$D$4:$D$1510=C$4)*('Match Log'!$E$4:$E$1510="Win")*COUNTIFS('Match Log'!$A$4:$A$1510,'Match Log'!$A$4:$A$1510,'Match Log'!$D$4:$D$1510,$A9,'Match Log'!$E$4:$E$1510,"Loss")))=0,"",TEXT(SUMPRODUCT(('Match Log'!$D$4:$D$1510=$A9)*('Match Log'!$E$4:$E$1510="Win")*COUNTIFS('Match Log'!$A$4:$A$1510,'Match Log'!$A$4:$A$1510,'Match Log'!$D$4:$D$1510,C$4,'Match Log'!$E$4:$E$1510,"Loss"))/(SUMPRODUCT(('Match Log'!$D$4:$D$1510=$A9)*('Match Log'!$E$4:$E$1510="Win")*COUNTIFS('Match Log'!$A$4:$A$1510,'Match Log'!$A$4:$A$1510,'Match Log'!$D$4:$D$1510,C$4,'Match Log'!$E$4:$E$1510,"Loss"))+SUMPRODUCT(('Match Log'!$D$4:$D$1510=C$4)*('Match Log'!$E$4:$E$1510="Win")*COUNTIFS('Match Log'!$A$4:$A$1510,'Match Log'!$A$4:$A$1510,'Match Log'!$D$4:$D$1510,$A9,'Match Log'!$E$4:$E$1510,"Loss"))),"0%")&amp;" of "&amp;(SUMPRODUCT(('Match Log'!$D$4:$D$1510=$A9)*('Match Log'!$E$4:$E$1510="Win")*COUNTIFS('Match Log'!$A$4:$A$1510,'Match Log'!$A$4:$A$1510,'Match Log'!$D$4:$D$1510,C$4,'Match Log'!$E$4:$E$1510,"Loss"))+SUMPRODUCT(('Match Log'!$D$4:$D$1510=C$4)*('Match Log'!$E$4:$E$1510="Win")*COUNTIFS('Match Log'!$A$4:$A$1510,'Match Log'!$A$4:$A$1510,'Match Log'!$D$4:$D$1510,$A9,'Match Log'!$E$4:$E$1510,"Loss")))))</f>
        <v>100% of 1</v>
      </c>
      <c r="D9" s="56" t="str">
        <f>IF($A9=D$4,"—",IF((SUMPRODUCT(('Match Log'!$D$4:$D$1510=$A9)*('Match Log'!$E$4:$E$1510="Win")*COUNTIFS('Match Log'!$A$4:$A$1510,'Match Log'!$A$4:$A$1510,'Match Log'!$D$4:$D$1510,D$4,'Match Log'!$E$4:$E$1510,"Loss"))+SUMPRODUCT(('Match Log'!$D$4:$D$1510=D$4)*('Match Log'!$E$4:$E$1510="Win")*COUNTIFS('Match Log'!$A$4:$A$1510,'Match Log'!$A$4:$A$1510,'Match Log'!$D$4:$D$1510,$A9,'Match Log'!$E$4:$E$1510,"Loss")))=0,"",TEXT(SUMPRODUCT(('Match Log'!$D$4:$D$1510=$A9)*('Match Log'!$E$4:$E$1510="Win")*COUNTIFS('Match Log'!$A$4:$A$1510,'Match Log'!$A$4:$A$1510,'Match Log'!$D$4:$D$1510,D$4,'Match Log'!$E$4:$E$1510,"Loss"))/(SUMPRODUCT(('Match Log'!$D$4:$D$1510=$A9)*('Match Log'!$E$4:$E$1510="Win")*COUNTIFS('Match Log'!$A$4:$A$1510,'Match Log'!$A$4:$A$1510,'Match Log'!$D$4:$D$1510,D$4,'Match Log'!$E$4:$E$1510,"Loss"))+SUMPRODUCT(('Match Log'!$D$4:$D$1510=D$4)*('Match Log'!$E$4:$E$1510="Win")*COUNTIFS('Match Log'!$A$4:$A$1510,'Match Log'!$A$4:$A$1510,'Match Log'!$D$4:$D$1510,$A9,'Match Log'!$E$4:$E$1510,"Loss"))),"0%")&amp;" of "&amp;(SUMPRODUCT(('Match Log'!$D$4:$D$1510=$A9)*('Match Log'!$E$4:$E$1510="Win")*COUNTIFS('Match Log'!$A$4:$A$1510,'Match Log'!$A$4:$A$1510,'Match Log'!$D$4:$D$1510,D$4,'Match Log'!$E$4:$E$1510,"Loss"))+SUMPRODUCT(('Match Log'!$D$4:$D$1510=D$4)*('Match Log'!$E$4:$E$1510="Win")*COUNTIFS('Match Log'!$A$4:$A$1510,'Match Log'!$A$4:$A$1510,'Match Log'!$D$4:$D$1510,$A9,'Match Log'!$E$4:$E$1510,"Loss")))))</f>
        <v>100% of 1</v>
      </c>
      <c r="E9" s="56" t="str">
        <f>IF($A9=E$4,"—",IF((SUMPRODUCT(('Match Log'!$D$4:$D$1510=$A9)*('Match Log'!$E$4:$E$1510="Win")*COUNTIFS('Match Log'!$A$4:$A$1510,'Match Log'!$A$4:$A$1510,'Match Log'!$D$4:$D$1510,E$4,'Match Log'!$E$4:$E$1510,"Loss"))+SUMPRODUCT(('Match Log'!$D$4:$D$1510=E$4)*('Match Log'!$E$4:$E$1510="Win")*COUNTIFS('Match Log'!$A$4:$A$1510,'Match Log'!$A$4:$A$1510,'Match Log'!$D$4:$D$1510,$A9,'Match Log'!$E$4:$E$1510,"Loss")))=0,"",TEXT(SUMPRODUCT(('Match Log'!$D$4:$D$1510=$A9)*('Match Log'!$E$4:$E$1510="Win")*COUNTIFS('Match Log'!$A$4:$A$1510,'Match Log'!$A$4:$A$1510,'Match Log'!$D$4:$D$1510,E$4,'Match Log'!$E$4:$E$1510,"Loss"))/(SUMPRODUCT(('Match Log'!$D$4:$D$1510=$A9)*('Match Log'!$E$4:$E$1510="Win")*COUNTIFS('Match Log'!$A$4:$A$1510,'Match Log'!$A$4:$A$1510,'Match Log'!$D$4:$D$1510,E$4,'Match Log'!$E$4:$E$1510,"Loss"))+SUMPRODUCT(('Match Log'!$D$4:$D$1510=E$4)*('Match Log'!$E$4:$E$1510="Win")*COUNTIFS('Match Log'!$A$4:$A$1510,'Match Log'!$A$4:$A$1510,'Match Log'!$D$4:$D$1510,$A9,'Match Log'!$E$4:$E$1510,"Loss"))),"0%")&amp;" of "&amp;(SUMPRODUCT(('Match Log'!$D$4:$D$1510=$A9)*('Match Log'!$E$4:$E$1510="Win")*COUNTIFS('Match Log'!$A$4:$A$1510,'Match Log'!$A$4:$A$1510,'Match Log'!$D$4:$D$1510,E$4,'Match Log'!$E$4:$E$1510,"Loss"))+SUMPRODUCT(('Match Log'!$D$4:$D$1510=E$4)*('Match Log'!$E$4:$E$1510="Win")*COUNTIFS('Match Log'!$A$4:$A$1510,'Match Log'!$A$4:$A$1510,'Match Log'!$D$4:$D$1510,$A9,'Match Log'!$E$4:$E$1510,"Loss")))))</f>
        <v>75% of 4</v>
      </c>
      <c r="F9" s="56" t="str">
        <f>IF($A9=F$4,"—",IF((SUMPRODUCT(('Match Log'!$D$4:$D$1510=$A9)*('Match Log'!$E$4:$E$1510="Win")*COUNTIFS('Match Log'!$A$4:$A$1510,'Match Log'!$A$4:$A$1510,'Match Log'!$D$4:$D$1510,F$4,'Match Log'!$E$4:$E$1510,"Loss"))+SUMPRODUCT(('Match Log'!$D$4:$D$1510=F$4)*('Match Log'!$E$4:$E$1510="Win")*COUNTIFS('Match Log'!$A$4:$A$1510,'Match Log'!$A$4:$A$1510,'Match Log'!$D$4:$D$1510,$A9,'Match Log'!$E$4:$E$1510,"Loss")))=0,"",TEXT(SUMPRODUCT(('Match Log'!$D$4:$D$1510=$A9)*('Match Log'!$E$4:$E$1510="Win")*COUNTIFS('Match Log'!$A$4:$A$1510,'Match Log'!$A$4:$A$1510,'Match Log'!$D$4:$D$1510,F$4,'Match Log'!$E$4:$E$1510,"Loss"))/(SUMPRODUCT(('Match Log'!$D$4:$D$1510=$A9)*('Match Log'!$E$4:$E$1510="Win")*COUNTIFS('Match Log'!$A$4:$A$1510,'Match Log'!$A$4:$A$1510,'Match Log'!$D$4:$D$1510,F$4,'Match Log'!$E$4:$E$1510,"Loss"))+SUMPRODUCT(('Match Log'!$D$4:$D$1510=F$4)*('Match Log'!$E$4:$E$1510="Win")*COUNTIFS('Match Log'!$A$4:$A$1510,'Match Log'!$A$4:$A$1510,'Match Log'!$D$4:$D$1510,$A9,'Match Log'!$E$4:$E$1510,"Loss"))),"0%")&amp;" of "&amp;(SUMPRODUCT(('Match Log'!$D$4:$D$1510=$A9)*('Match Log'!$E$4:$E$1510="Win")*COUNTIFS('Match Log'!$A$4:$A$1510,'Match Log'!$A$4:$A$1510,'Match Log'!$D$4:$D$1510,F$4,'Match Log'!$E$4:$E$1510,"Loss"))+SUMPRODUCT(('Match Log'!$D$4:$D$1510=F$4)*('Match Log'!$E$4:$E$1510="Win")*COUNTIFS('Match Log'!$A$4:$A$1510,'Match Log'!$A$4:$A$1510,'Match Log'!$D$4:$D$1510,$A9,'Match Log'!$E$4:$E$1510,"Loss")))))</f>
        <v>—</v>
      </c>
      <c r="G9" s="56" t="str">
        <f>IF($A9=G$4,"—",IF((SUMPRODUCT(('Match Log'!$D$4:$D$1510=$A9)*('Match Log'!$E$4:$E$1510="Win")*COUNTIFS('Match Log'!$A$4:$A$1510,'Match Log'!$A$4:$A$1510,'Match Log'!$D$4:$D$1510,G$4,'Match Log'!$E$4:$E$1510,"Loss"))+SUMPRODUCT(('Match Log'!$D$4:$D$1510=G$4)*('Match Log'!$E$4:$E$1510="Win")*COUNTIFS('Match Log'!$A$4:$A$1510,'Match Log'!$A$4:$A$1510,'Match Log'!$D$4:$D$1510,$A9,'Match Log'!$E$4:$E$1510,"Loss")))=0,"",TEXT(SUMPRODUCT(('Match Log'!$D$4:$D$1510=$A9)*('Match Log'!$E$4:$E$1510="Win")*COUNTIFS('Match Log'!$A$4:$A$1510,'Match Log'!$A$4:$A$1510,'Match Log'!$D$4:$D$1510,G$4,'Match Log'!$E$4:$E$1510,"Loss"))/(SUMPRODUCT(('Match Log'!$D$4:$D$1510=$A9)*('Match Log'!$E$4:$E$1510="Win")*COUNTIFS('Match Log'!$A$4:$A$1510,'Match Log'!$A$4:$A$1510,'Match Log'!$D$4:$D$1510,G$4,'Match Log'!$E$4:$E$1510,"Loss"))+SUMPRODUCT(('Match Log'!$D$4:$D$1510=G$4)*('Match Log'!$E$4:$E$1510="Win")*COUNTIFS('Match Log'!$A$4:$A$1510,'Match Log'!$A$4:$A$1510,'Match Log'!$D$4:$D$1510,$A9,'Match Log'!$E$4:$E$1510,"Loss"))),"0%")&amp;" of "&amp;(SUMPRODUCT(('Match Log'!$D$4:$D$1510=$A9)*('Match Log'!$E$4:$E$1510="Win")*COUNTIFS('Match Log'!$A$4:$A$1510,'Match Log'!$A$4:$A$1510,'Match Log'!$D$4:$D$1510,G$4,'Match Log'!$E$4:$E$1510,"Loss"))+SUMPRODUCT(('Match Log'!$D$4:$D$1510=G$4)*('Match Log'!$E$4:$E$1510="Win")*COUNTIFS('Match Log'!$A$4:$A$1510,'Match Log'!$A$4:$A$1510,'Match Log'!$D$4:$D$1510,$A9,'Match Log'!$E$4:$E$1510,"Loss")))))</f>
        <v>62% of 13</v>
      </c>
      <c r="H9" s="56" t="str">
        <f>IF($A9=H$4,"—",IF((SUMPRODUCT(('Match Log'!$D$4:$D$1510=$A9)*('Match Log'!$E$4:$E$1510="Win")*COUNTIFS('Match Log'!$A$4:$A$1510,'Match Log'!$A$4:$A$1510,'Match Log'!$D$4:$D$1510,H$4,'Match Log'!$E$4:$E$1510,"Loss"))+SUMPRODUCT(('Match Log'!$D$4:$D$1510=H$4)*('Match Log'!$E$4:$E$1510="Win")*COUNTIFS('Match Log'!$A$4:$A$1510,'Match Log'!$A$4:$A$1510,'Match Log'!$D$4:$D$1510,$A9,'Match Log'!$E$4:$E$1510,"Loss")))=0,"",TEXT(SUMPRODUCT(('Match Log'!$D$4:$D$1510=$A9)*('Match Log'!$E$4:$E$1510="Win")*COUNTIFS('Match Log'!$A$4:$A$1510,'Match Log'!$A$4:$A$1510,'Match Log'!$D$4:$D$1510,H$4,'Match Log'!$E$4:$E$1510,"Loss"))/(SUMPRODUCT(('Match Log'!$D$4:$D$1510=$A9)*('Match Log'!$E$4:$E$1510="Win")*COUNTIFS('Match Log'!$A$4:$A$1510,'Match Log'!$A$4:$A$1510,'Match Log'!$D$4:$D$1510,H$4,'Match Log'!$E$4:$E$1510,"Loss"))+SUMPRODUCT(('Match Log'!$D$4:$D$1510=H$4)*('Match Log'!$E$4:$E$1510="Win")*COUNTIFS('Match Log'!$A$4:$A$1510,'Match Log'!$A$4:$A$1510,'Match Log'!$D$4:$D$1510,$A9,'Match Log'!$E$4:$E$1510,"Loss"))),"0%")&amp;" of "&amp;(SUMPRODUCT(('Match Log'!$D$4:$D$1510=$A9)*('Match Log'!$E$4:$E$1510="Win")*COUNTIFS('Match Log'!$A$4:$A$1510,'Match Log'!$A$4:$A$1510,'Match Log'!$D$4:$D$1510,H$4,'Match Log'!$E$4:$E$1510,"Loss"))+SUMPRODUCT(('Match Log'!$D$4:$D$1510=H$4)*('Match Log'!$E$4:$E$1510="Win")*COUNTIFS('Match Log'!$A$4:$A$1510,'Match Log'!$A$4:$A$1510,'Match Log'!$D$4:$D$1510,$A9,'Match Log'!$E$4:$E$1510,"Loss")))))</f>
        <v>67% of 3</v>
      </c>
      <c r="I9" s="56" t="str">
        <f>IF($A9=I$4,"—",IF((SUMPRODUCT(('Match Log'!$D$4:$D$1510=$A9)*('Match Log'!$E$4:$E$1510="Win")*COUNTIFS('Match Log'!$A$4:$A$1510,'Match Log'!$A$4:$A$1510,'Match Log'!$D$4:$D$1510,I$4,'Match Log'!$E$4:$E$1510,"Loss"))+SUMPRODUCT(('Match Log'!$D$4:$D$1510=I$4)*('Match Log'!$E$4:$E$1510="Win")*COUNTIFS('Match Log'!$A$4:$A$1510,'Match Log'!$A$4:$A$1510,'Match Log'!$D$4:$D$1510,$A9,'Match Log'!$E$4:$E$1510,"Loss")))=0,"",TEXT(SUMPRODUCT(('Match Log'!$D$4:$D$1510=$A9)*('Match Log'!$E$4:$E$1510="Win")*COUNTIFS('Match Log'!$A$4:$A$1510,'Match Log'!$A$4:$A$1510,'Match Log'!$D$4:$D$1510,I$4,'Match Log'!$E$4:$E$1510,"Loss"))/(SUMPRODUCT(('Match Log'!$D$4:$D$1510=$A9)*('Match Log'!$E$4:$E$1510="Win")*COUNTIFS('Match Log'!$A$4:$A$1510,'Match Log'!$A$4:$A$1510,'Match Log'!$D$4:$D$1510,I$4,'Match Log'!$E$4:$E$1510,"Loss"))+SUMPRODUCT(('Match Log'!$D$4:$D$1510=I$4)*('Match Log'!$E$4:$E$1510="Win")*COUNTIFS('Match Log'!$A$4:$A$1510,'Match Log'!$A$4:$A$1510,'Match Log'!$D$4:$D$1510,$A9,'Match Log'!$E$4:$E$1510,"Loss"))),"0%")&amp;" of "&amp;(SUMPRODUCT(('Match Log'!$D$4:$D$1510=$A9)*('Match Log'!$E$4:$E$1510="Win")*COUNTIFS('Match Log'!$A$4:$A$1510,'Match Log'!$A$4:$A$1510,'Match Log'!$D$4:$D$1510,I$4,'Match Log'!$E$4:$E$1510,"Loss"))+SUMPRODUCT(('Match Log'!$D$4:$D$1510=I$4)*('Match Log'!$E$4:$E$1510="Win")*COUNTIFS('Match Log'!$A$4:$A$1510,'Match Log'!$A$4:$A$1510,'Match Log'!$D$4:$D$1510,$A9,'Match Log'!$E$4:$E$1510,"Loss")))))</f>
        <v>64% of 33</v>
      </c>
      <c r="J9" s="56" t="str">
        <f>IF($A9=J$4,"—",IF((SUMPRODUCT(('Match Log'!$D$4:$D$1510=$A9)*('Match Log'!$E$4:$E$1510="Win")*COUNTIFS('Match Log'!$A$4:$A$1510,'Match Log'!$A$4:$A$1510,'Match Log'!$D$4:$D$1510,J$4,'Match Log'!$E$4:$E$1510,"Loss"))+SUMPRODUCT(('Match Log'!$D$4:$D$1510=J$4)*('Match Log'!$E$4:$E$1510="Win")*COUNTIFS('Match Log'!$A$4:$A$1510,'Match Log'!$A$4:$A$1510,'Match Log'!$D$4:$D$1510,$A9,'Match Log'!$E$4:$E$1510,"Loss")))=0,"",TEXT(SUMPRODUCT(('Match Log'!$D$4:$D$1510=$A9)*('Match Log'!$E$4:$E$1510="Win")*COUNTIFS('Match Log'!$A$4:$A$1510,'Match Log'!$A$4:$A$1510,'Match Log'!$D$4:$D$1510,J$4,'Match Log'!$E$4:$E$1510,"Loss"))/(SUMPRODUCT(('Match Log'!$D$4:$D$1510=$A9)*('Match Log'!$E$4:$E$1510="Win")*COUNTIFS('Match Log'!$A$4:$A$1510,'Match Log'!$A$4:$A$1510,'Match Log'!$D$4:$D$1510,J$4,'Match Log'!$E$4:$E$1510,"Loss"))+SUMPRODUCT(('Match Log'!$D$4:$D$1510=J$4)*('Match Log'!$E$4:$E$1510="Win")*COUNTIFS('Match Log'!$A$4:$A$1510,'Match Log'!$A$4:$A$1510,'Match Log'!$D$4:$D$1510,$A9,'Match Log'!$E$4:$E$1510,"Loss"))),"0%")&amp;" of "&amp;(SUMPRODUCT(('Match Log'!$D$4:$D$1510=$A9)*('Match Log'!$E$4:$E$1510="Win")*COUNTIFS('Match Log'!$A$4:$A$1510,'Match Log'!$A$4:$A$1510,'Match Log'!$D$4:$D$1510,J$4,'Match Log'!$E$4:$E$1510,"Loss"))+SUMPRODUCT(('Match Log'!$D$4:$D$1510=J$4)*('Match Log'!$E$4:$E$1510="Win")*COUNTIFS('Match Log'!$A$4:$A$1510,'Match Log'!$A$4:$A$1510,'Match Log'!$D$4:$D$1510,$A9,'Match Log'!$E$4:$E$1510,"Loss")))))</f>
        <v>29% of 7</v>
      </c>
      <c r="K9" s="56" t="str">
        <f>IF($A9=K$4,"—",IF((SUMPRODUCT(('Match Log'!$D$4:$D$1510=$A9)*('Match Log'!$E$4:$E$1510="Win")*COUNTIFS('Match Log'!$A$4:$A$1510,'Match Log'!$A$4:$A$1510,'Match Log'!$D$4:$D$1510,K$4,'Match Log'!$E$4:$E$1510,"Loss"))+SUMPRODUCT(('Match Log'!$D$4:$D$1510=K$4)*('Match Log'!$E$4:$E$1510="Win")*COUNTIFS('Match Log'!$A$4:$A$1510,'Match Log'!$A$4:$A$1510,'Match Log'!$D$4:$D$1510,$A9,'Match Log'!$E$4:$E$1510,"Loss")))=0,"",TEXT(SUMPRODUCT(('Match Log'!$D$4:$D$1510=$A9)*('Match Log'!$E$4:$E$1510="Win")*COUNTIFS('Match Log'!$A$4:$A$1510,'Match Log'!$A$4:$A$1510,'Match Log'!$D$4:$D$1510,K$4,'Match Log'!$E$4:$E$1510,"Loss"))/(SUMPRODUCT(('Match Log'!$D$4:$D$1510=$A9)*('Match Log'!$E$4:$E$1510="Win")*COUNTIFS('Match Log'!$A$4:$A$1510,'Match Log'!$A$4:$A$1510,'Match Log'!$D$4:$D$1510,K$4,'Match Log'!$E$4:$E$1510,"Loss"))+SUMPRODUCT(('Match Log'!$D$4:$D$1510=K$4)*('Match Log'!$E$4:$E$1510="Win")*COUNTIFS('Match Log'!$A$4:$A$1510,'Match Log'!$A$4:$A$1510,'Match Log'!$D$4:$D$1510,$A9,'Match Log'!$E$4:$E$1510,"Loss"))),"0%")&amp;" of "&amp;(SUMPRODUCT(('Match Log'!$D$4:$D$1510=$A9)*('Match Log'!$E$4:$E$1510="Win")*COUNTIFS('Match Log'!$A$4:$A$1510,'Match Log'!$A$4:$A$1510,'Match Log'!$D$4:$D$1510,K$4,'Match Log'!$E$4:$E$1510,"Loss"))+SUMPRODUCT(('Match Log'!$D$4:$D$1510=K$4)*('Match Log'!$E$4:$E$1510="Win")*COUNTIFS('Match Log'!$A$4:$A$1510,'Match Log'!$A$4:$A$1510,'Match Log'!$D$4:$D$1510,$A9,'Match Log'!$E$4:$E$1510,"Loss")))))</f>
        <v>100% of 4</v>
      </c>
      <c r="L9" s="56" t="str">
        <f>IF($A9=L$4,"—",IF((SUMPRODUCT(('Match Log'!$D$4:$D$1510=$A9)*('Match Log'!$E$4:$E$1510="Win")*COUNTIFS('Match Log'!$A$4:$A$1510,'Match Log'!$A$4:$A$1510,'Match Log'!$D$4:$D$1510,L$4,'Match Log'!$E$4:$E$1510,"Loss"))+SUMPRODUCT(('Match Log'!$D$4:$D$1510=L$4)*('Match Log'!$E$4:$E$1510="Win")*COUNTIFS('Match Log'!$A$4:$A$1510,'Match Log'!$A$4:$A$1510,'Match Log'!$D$4:$D$1510,$A9,'Match Log'!$E$4:$E$1510,"Loss")))=0,"",TEXT(SUMPRODUCT(('Match Log'!$D$4:$D$1510=$A9)*('Match Log'!$E$4:$E$1510="Win")*COUNTIFS('Match Log'!$A$4:$A$1510,'Match Log'!$A$4:$A$1510,'Match Log'!$D$4:$D$1510,L$4,'Match Log'!$E$4:$E$1510,"Loss"))/(SUMPRODUCT(('Match Log'!$D$4:$D$1510=$A9)*('Match Log'!$E$4:$E$1510="Win")*COUNTIFS('Match Log'!$A$4:$A$1510,'Match Log'!$A$4:$A$1510,'Match Log'!$D$4:$D$1510,L$4,'Match Log'!$E$4:$E$1510,"Loss"))+SUMPRODUCT(('Match Log'!$D$4:$D$1510=L$4)*('Match Log'!$E$4:$E$1510="Win")*COUNTIFS('Match Log'!$A$4:$A$1510,'Match Log'!$A$4:$A$1510,'Match Log'!$D$4:$D$1510,$A9,'Match Log'!$E$4:$E$1510,"Loss"))),"0%")&amp;" of "&amp;(SUMPRODUCT(('Match Log'!$D$4:$D$1510=$A9)*('Match Log'!$E$4:$E$1510="Win")*COUNTIFS('Match Log'!$A$4:$A$1510,'Match Log'!$A$4:$A$1510,'Match Log'!$D$4:$D$1510,L$4,'Match Log'!$E$4:$E$1510,"Loss"))+SUMPRODUCT(('Match Log'!$D$4:$D$1510=L$4)*('Match Log'!$E$4:$E$1510="Win")*COUNTIFS('Match Log'!$A$4:$A$1510,'Match Log'!$A$4:$A$1510,'Match Log'!$D$4:$D$1510,$A9,'Match Log'!$E$4:$E$1510,"Loss")))))</f>
        <v>67% of 6</v>
      </c>
      <c r="M9" s="56" t="str">
        <f>IF($A9=M$4,"—",IF((SUMPRODUCT(('Match Log'!$D$4:$D$1510=$A9)*('Match Log'!$E$4:$E$1510="Win")*COUNTIFS('Match Log'!$A$4:$A$1510,'Match Log'!$A$4:$A$1510,'Match Log'!$D$4:$D$1510,M$4,'Match Log'!$E$4:$E$1510,"Loss"))+SUMPRODUCT(('Match Log'!$D$4:$D$1510=M$4)*('Match Log'!$E$4:$E$1510="Win")*COUNTIFS('Match Log'!$A$4:$A$1510,'Match Log'!$A$4:$A$1510,'Match Log'!$D$4:$D$1510,$A9,'Match Log'!$E$4:$E$1510,"Loss")))=0,"",TEXT(SUMPRODUCT(('Match Log'!$D$4:$D$1510=$A9)*('Match Log'!$E$4:$E$1510="Win")*COUNTIFS('Match Log'!$A$4:$A$1510,'Match Log'!$A$4:$A$1510,'Match Log'!$D$4:$D$1510,M$4,'Match Log'!$E$4:$E$1510,"Loss"))/(SUMPRODUCT(('Match Log'!$D$4:$D$1510=$A9)*('Match Log'!$E$4:$E$1510="Win")*COUNTIFS('Match Log'!$A$4:$A$1510,'Match Log'!$A$4:$A$1510,'Match Log'!$D$4:$D$1510,M$4,'Match Log'!$E$4:$E$1510,"Loss"))+SUMPRODUCT(('Match Log'!$D$4:$D$1510=M$4)*('Match Log'!$E$4:$E$1510="Win")*COUNTIFS('Match Log'!$A$4:$A$1510,'Match Log'!$A$4:$A$1510,'Match Log'!$D$4:$D$1510,$A9,'Match Log'!$E$4:$E$1510,"Loss"))),"0%")&amp;" of "&amp;(SUMPRODUCT(('Match Log'!$D$4:$D$1510=$A9)*('Match Log'!$E$4:$E$1510="Win")*COUNTIFS('Match Log'!$A$4:$A$1510,'Match Log'!$A$4:$A$1510,'Match Log'!$D$4:$D$1510,M$4,'Match Log'!$E$4:$E$1510,"Loss"))+SUMPRODUCT(('Match Log'!$D$4:$D$1510=M$4)*('Match Log'!$E$4:$E$1510="Win")*COUNTIFS('Match Log'!$A$4:$A$1510,'Match Log'!$A$4:$A$1510,'Match Log'!$D$4:$D$1510,$A9,'Match Log'!$E$4:$E$1510,"Loss")))))</f>
        <v>0% of 1</v>
      </c>
      <c r="N9" s="56" t="str">
        <f>IF($A9=N$4,"—",IF((SUMPRODUCT(('Match Log'!$D$4:$D$1510=$A9)*('Match Log'!$E$4:$E$1510="Win")*COUNTIFS('Match Log'!$A$4:$A$1510,'Match Log'!$A$4:$A$1510,'Match Log'!$D$4:$D$1510,N$4,'Match Log'!$E$4:$E$1510,"Loss"))+SUMPRODUCT(('Match Log'!$D$4:$D$1510=N$4)*('Match Log'!$E$4:$E$1510="Win")*COUNTIFS('Match Log'!$A$4:$A$1510,'Match Log'!$A$4:$A$1510,'Match Log'!$D$4:$D$1510,$A9,'Match Log'!$E$4:$E$1510,"Loss")))=0,"",TEXT(SUMPRODUCT(('Match Log'!$D$4:$D$1510=$A9)*('Match Log'!$E$4:$E$1510="Win")*COUNTIFS('Match Log'!$A$4:$A$1510,'Match Log'!$A$4:$A$1510,'Match Log'!$D$4:$D$1510,N$4,'Match Log'!$E$4:$E$1510,"Loss"))/(SUMPRODUCT(('Match Log'!$D$4:$D$1510=$A9)*('Match Log'!$E$4:$E$1510="Win")*COUNTIFS('Match Log'!$A$4:$A$1510,'Match Log'!$A$4:$A$1510,'Match Log'!$D$4:$D$1510,N$4,'Match Log'!$E$4:$E$1510,"Loss"))+SUMPRODUCT(('Match Log'!$D$4:$D$1510=N$4)*('Match Log'!$E$4:$E$1510="Win")*COUNTIFS('Match Log'!$A$4:$A$1510,'Match Log'!$A$4:$A$1510,'Match Log'!$D$4:$D$1510,$A9,'Match Log'!$E$4:$E$1510,"Loss"))),"0%")&amp;" of "&amp;(SUMPRODUCT(('Match Log'!$D$4:$D$1510=$A9)*('Match Log'!$E$4:$E$1510="Win")*COUNTIFS('Match Log'!$A$4:$A$1510,'Match Log'!$A$4:$A$1510,'Match Log'!$D$4:$D$1510,N$4,'Match Log'!$E$4:$E$1510,"Loss"))+SUMPRODUCT(('Match Log'!$D$4:$D$1510=N$4)*('Match Log'!$E$4:$E$1510="Win")*COUNTIFS('Match Log'!$A$4:$A$1510,'Match Log'!$A$4:$A$1510,'Match Log'!$D$4:$D$1510,$A9,'Match Log'!$E$4:$E$1510,"Loss")))))</f>
        <v>100% of 1</v>
      </c>
      <c r="O9" s="56" t="str">
        <f>IF($A9=O$4,"—",IF((SUMPRODUCT(('Match Log'!$D$4:$D$1510=$A9)*('Match Log'!$E$4:$E$1510="Win")*COUNTIFS('Match Log'!$A$4:$A$1510,'Match Log'!$A$4:$A$1510,'Match Log'!$D$4:$D$1510,O$4,'Match Log'!$E$4:$E$1510,"Loss"))+SUMPRODUCT(('Match Log'!$D$4:$D$1510=O$4)*('Match Log'!$E$4:$E$1510="Win")*COUNTIFS('Match Log'!$A$4:$A$1510,'Match Log'!$A$4:$A$1510,'Match Log'!$D$4:$D$1510,$A9,'Match Log'!$E$4:$E$1510,"Loss")))=0,"",TEXT(SUMPRODUCT(('Match Log'!$D$4:$D$1510=$A9)*('Match Log'!$E$4:$E$1510="Win")*COUNTIFS('Match Log'!$A$4:$A$1510,'Match Log'!$A$4:$A$1510,'Match Log'!$D$4:$D$1510,O$4,'Match Log'!$E$4:$E$1510,"Loss"))/(SUMPRODUCT(('Match Log'!$D$4:$D$1510=$A9)*('Match Log'!$E$4:$E$1510="Win")*COUNTIFS('Match Log'!$A$4:$A$1510,'Match Log'!$A$4:$A$1510,'Match Log'!$D$4:$D$1510,O$4,'Match Log'!$E$4:$E$1510,"Loss"))+SUMPRODUCT(('Match Log'!$D$4:$D$1510=O$4)*('Match Log'!$E$4:$E$1510="Win")*COUNTIFS('Match Log'!$A$4:$A$1510,'Match Log'!$A$4:$A$1510,'Match Log'!$D$4:$D$1510,$A9,'Match Log'!$E$4:$E$1510,"Loss"))),"0%")&amp;" of "&amp;(SUMPRODUCT(('Match Log'!$D$4:$D$1510=$A9)*('Match Log'!$E$4:$E$1510="Win")*COUNTIFS('Match Log'!$A$4:$A$1510,'Match Log'!$A$4:$A$1510,'Match Log'!$D$4:$D$1510,O$4,'Match Log'!$E$4:$E$1510,"Loss"))+SUMPRODUCT(('Match Log'!$D$4:$D$1510=O$4)*('Match Log'!$E$4:$E$1510="Win")*COUNTIFS('Match Log'!$A$4:$A$1510,'Match Log'!$A$4:$A$1510,'Match Log'!$D$4:$D$1510,$A9,'Match Log'!$E$4:$E$1510,"Loss")))))</f>
        <v/>
      </c>
    </row>
    <row r="10" spans="1:15" ht="15" customHeight="1" x14ac:dyDescent="0.2">
      <c r="A10" s="51" t="s">
        <v>20</v>
      </c>
      <c r="B10" s="56" t="str">
        <f>IF($A10=B$4,"—",IF((SUMPRODUCT(('Match Log'!$D$4:$D$1510=$A10)*('Match Log'!$E$4:$E$1510="Win")*COUNTIFS('Match Log'!$A$4:$A$1510,'Match Log'!$A$4:$A$1510,'Match Log'!$D$4:$D$1510,B$4,'Match Log'!$E$4:$E$1510,"Loss"))+SUMPRODUCT(('Match Log'!$D$4:$D$1510=B$4)*('Match Log'!$E$4:$E$1510="Win")*COUNTIFS('Match Log'!$A$4:$A$1510,'Match Log'!$A$4:$A$1510,'Match Log'!$D$4:$D$1510,$A10,'Match Log'!$E$4:$E$1510,"Loss")))=0,"",TEXT(SUMPRODUCT(('Match Log'!$D$4:$D$1510=$A10)*('Match Log'!$E$4:$E$1510="Win")*COUNTIFS('Match Log'!$A$4:$A$1510,'Match Log'!$A$4:$A$1510,'Match Log'!$D$4:$D$1510,B$4,'Match Log'!$E$4:$E$1510,"Loss"))/(SUMPRODUCT(('Match Log'!$D$4:$D$1510=$A10)*('Match Log'!$E$4:$E$1510="Win")*COUNTIFS('Match Log'!$A$4:$A$1510,'Match Log'!$A$4:$A$1510,'Match Log'!$D$4:$D$1510,B$4,'Match Log'!$E$4:$E$1510,"Loss"))+SUMPRODUCT(('Match Log'!$D$4:$D$1510=B$4)*('Match Log'!$E$4:$E$1510="Win")*COUNTIFS('Match Log'!$A$4:$A$1510,'Match Log'!$A$4:$A$1510,'Match Log'!$D$4:$D$1510,$A10,'Match Log'!$E$4:$E$1510,"Loss"))),"0%")&amp;" of "&amp;(SUMPRODUCT(('Match Log'!$D$4:$D$1510=$A10)*('Match Log'!$E$4:$E$1510="Win")*COUNTIFS('Match Log'!$A$4:$A$1510,'Match Log'!$A$4:$A$1510,'Match Log'!$D$4:$D$1510,B$4,'Match Log'!$E$4:$E$1510,"Loss"))+SUMPRODUCT(('Match Log'!$D$4:$D$1510=B$4)*('Match Log'!$E$4:$E$1510="Win")*COUNTIFS('Match Log'!$A$4:$A$1510,'Match Log'!$A$4:$A$1510,'Match Log'!$D$4:$D$1510,$A10,'Match Log'!$E$4:$E$1510,"Loss")))))</f>
        <v>56% of 54</v>
      </c>
      <c r="C10" s="56" t="str">
        <f>IF($A10=C$4,"—",IF((SUMPRODUCT(('Match Log'!$D$4:$D$1510=$A10)*('Match Log'!$E$4:$E$1510="Win")*COUNTIFS('Match Log'!$A$4:$A$1510,'Match Log'!$A$4:$A$1510,'Match Log'!$D$4:$D$1510,C$4,'Match Log'!$E$4:$E$1510,"Loss"))+SUMPRODUCT(('Match Log'!$D$4:$D$1510=C$4)*('Match Log'!$E$4:$E$1510="Win")*COUNTIFS('Match Log'!$A$4:$A$1510,'Match Log'!$A$4:$A$1510,'Match Log'!$D$4:$D$1510,$A10,'Match Log'!$E$4:$E$1510,"Loss")))=0,"",TEXT(SUMPRODUCT(('Match Log'!$D$4:$D$1510=$A10)*('Match Log'!$E$4:$E$1510="Win")*COUNTIFS('Match Log'!$A$4:$A$1510,'Match Log'!$A$4:$A$1510,'Match Log'!$D$4:$D$1510,C$4,'Match Log'!$E$4:$E$1510,"Loss"))/(SUMPRODUCT(('Match Log'!$D$4:$D$1510=$A10)*('Match Log'!$E$4:$E$1510="Win")*COUNTIFS('Match Log'!$A$4:$A$1510,'Match Log'!$A$4:$A$1510,'Match Log'!$D$4:$D$1510,C$4,'Match Log'!$E$4:$E$1510,"Loss"))+SUMPRODUCT(('Match Log'!$D$4:$D$1510=C$4)*('Match Log'!$E$4:$E$1510="Win")*COUNTIFS('Match Log'!$A$4:$A$1510,'Match Log'!$A$4:$A$1510,'Match Log'!$D$4:$D$1510,$A10,'Match Log'!$E$4:$E$1510,"Loss"))),"0%")&amp;" of "&amp;(SUMPRODUCT(('Match Log'!$D$4:$D$1510=$A10)*('Match Log'!$E$4:$E$1510="Win")*COUNTIFS('Match Log'!$A$4:$A$1510,'Match Log'!$A$4:$A$1510,'Match Log'!$D$4:$D$1510,C$4,'Match Log'!$E$4:$E$1510,"Loss"))+SUMPRODUCT(('Match Log'!$D$4:$D$1510=C$4)*('Match Log'!$E$4:$E$1510="Win")*COUNTIFS('Match Log'!$A$4:$A$1510,'Match Log'!$A$4:$A$1510,'Match Log'!$D$4:$D$1510,$A10,'Match Log'!$E$4:$E$1510,"Loss")))))</f>
        <v>100% of 1</v>
      </c>
      <c r="D10" s="56" t="str">
        <f>IF($A10=D$4,"—",IF((SUMPRODUCT(('Match Log'!$D$4:$D$1510=$A10)*('Match Log'!$E$4:$E$1510="Win")*COUNTIFS('Match Log'!$A$4:$A$1510,'Match Log'!$A$4:$A$1510,'Match Log'!$D$4:$D$1510,D$4,'Match Log'!$E$4:$E$1510,"Loss"))+SUMPRODUCT(('Match Log'!$D$4:$D$1510=D$4)*('Match Log'!$E$4:$E$1510="Win")*COUNTIFS('Match Log'!$A$4:$A$1510,'Match Log'!$A$4:$A$1510,'Match Log'!$D$4:$D$1510,$A10,'Match Log'!$E$4:$E$1510,"Loss")))=0,"",TEXT(SUMPRODUCT(('Match Log'!$D$4:$D$1510=$A10)*('Match Log'!$E$4:$E$1510="Win")*COUNTIFS('Match Log'!$A$4:$A$1510,'Match Log'!$A$4:$A$1510,'Match Log'!$D$4:$D$1510,D$4,'Match Log'!$E$4:$E$1510,"Loss"))/(SUMPRODUCT(('Match Log'!$D$4:$D$1510=$A10)*('Match Log'!$E$4:$E$1510="Win")*COUNTIFS('Match Log'!$A$4:$A$1510,'Match Log'!$A$4:$A$1510,'Match Log'!$D$4:$D$1510,D$4,'Match Log'!$E$4:$E$1510,"Loss"))+SUMPRODUCT(('Match Log'!$D$4:$D$1510=D$4)*('Match Log'!$E$4:$E$1510="Win")*COUNTIFS('Match Log'!$A$4:$A$1510,'Match Log'!$A$4:$A$1510,'Match Log'!$D$4:$D$1510,$A10,'Match Log'!$E$4:$E$1510,"Loss"))),"0%")&amp;" of "&amp;(SUMPRODUCT(('Match Log'!$D$4:$D$1510=$A10)*('Match Log'!$E$4:$E$1510="Win")*COUNTIFS('Match Log'!$A$4:$A$1510,'Match Log'!$A$4:$A$1510,'Match Log'!$D$4:$D$1510,D$4,'Match Log'!$E$4:$E$1510,"Loss"))+SUMPRODUCT(('Match Log'!$D$4:$D$1510=D$4)*('Match Log'!$E$4:$E$1510="Win")*COUNTIFS('Match Log'!$A$4:$A$1510,'Match Log'!$A$4:$A$1510,'Match Log'!$D$4:$D$1510,$A10,'Match Log'!$E$4:$E$1510,"Loss")))))</f>
        <v>73% of 11</v>
      </c>
      <c r="E10" s="56" t="str">
        <f>IF($A10=E$4,"—",IF((SUMPRODUCT(('Match Log'!$D$4:$D$1510=$A10)*('Match Log'!$E$4:$E$1510="Win")*COUNTIFS('Match Log'!$A$4:$A$1510,'Match Log'!$A$4:$A$1510,'Match Log'!$D$4:$D$1510,E$4,'Match Log'!$E$4:$E$1510,"Loss"))+SUMPRODUCT(('Match Log'!$D$4:$D$1510=E$4)*('Match Log'!$E$4:$E$1510="Win")*COUNTIFS('Match Log'!$A$4:$A$1510,'Match Log'!$A$4:$A$1510,'Match Log'!$D$4:$D$1510,$A10,'Match Log'!$E$4:$E$1510,"Loss")))=0,"",TEXT(SUMPRODUCT(('Match Log'!$D$4:$D$1510=$A10)*('Match Log'!$E$4:$E$1510="Win")*COUNTIFS('Match Log'!$A$4:$A$1510,'Match Log'!$A$4:$A$1510,'Match Log'!$D$4:$D$1510,E$4,'Match Log'!$E$4:$E$1510,"Loss"))/(SUMPRODUCT(('Match Log'!$D$4:$D$1510=$A10)*('Match Log'!$E$4:$E$1510="Win")*COUNTIFS('Match Log'!$A$4:$A$1510,'Match Log'!$A$4:$A$1510,'Match Log'!$D$4:$D$1510,E$4,'Match Log'!$E$4:$E$1510,"Loss"))+SUMPRODUCT(('Match Log'!$D$4:$D$1510=E$4)*('Match Log'!$E$4:$E$1510="Win")*COUNTIFS('Match Log'!$A$4:$A$1510,'Match Log'!$A$4:$A$1510,'Match Log'!$D$4:$D$1510,$A10,'Match Log'!$E$4:$E$1510,"Loss"))),"0%")&amp;" of "&amp;(SUMPRODUCT(('Match Log'!$D$4:$D$1510=$A10)*('Match Log'!$E$4:$E$1510="Win")*COUNTIFS('Match Log'!$A$4:$A$1510,'Match Log'!$A$4:$A$1510,'Match Log'!$D$4:$D$1510,E$4,'Match Log'!$E$4:$E$1510,"Loss"))+SUMPRODUCT(('Match Log'!$D$4:$D$1510=E$4)*('Match Log'!$E$4:$E$1510="Win")*COUNTIFS('Match Log'!$A$4:$A$1510,'Match Log'!$A$4:$A$1510,'Match Log'!$D$4:$D$1510,$A10,'Match Log'!$E$4:$E$1510,"Loss")))))</f>
        <v>50% of 2</v>
      </c>
      <c r="F10" s="56" t="str">
        <f>IF($A10=F$4,"—",IF((SUMPRODUCT(('Match Log'!$D$4:$D$1510=$A10)*('Match Log'!$E$4:$E$1510="Win")*COUNTIFS('Match Log'!$A$4:$A$1510,'Match Log'!$A$4:$A$1510,'Match Log'!$D$4:$D$1510,F$4,'Match Log'!$E$4:$E$1510,"Loss"))+SUMPRODUCT(('Match Log'!$D$4:$D$1510=F$4)*('Match Log'!$E$4:$E$1510="Win")*COUNTIFS('Match Log'!$A$4:$A$1510,'Match Log'!$A$4:$A$1510,'Match Log'!$D$4:$D$1510,$A10,'Match Log'!$E$4:$E$1510,"Loss")))=0,"",TEXT(SUMPRODUCT(('Match Log'!$D$4:$D$1510=$A10)*('Match Log'!$E$4:$E$1510="Win")*COUNTIFS('Match Log'!$A$4:$A$1510,'Match Log'!$A$4:$A$1510,'Match Log'!$D$4:$D$1510,F$4,'Match Log'!$E$4:$E$1510,"Loss"))/(SUMPRODUCT(('Match Log'!$D$4:$D$1510=$A10)*('Match Log'!$E$4:$E$1510="Win")*COUNTIFS('Match Log'!$A$4:$A$1510,'Match Log'!$A$4:$A$1510,'Match Log'!$D$4:$D$1510,F$4,'Match Log'!$E$4:$E$1510,"Loss"))+SUMPRODUCT(('Match Log'!$D$4:$D$1510=F$4)*('Match Log'!$E$4:$E$1510="Win")*COUNTIFS('Match Log'!$A$4:$A$1510,'Match Log'!$A$4:$A$1510,'Match Log'!$D$4:$D$1510,$A10,'Match Log'!$E$4:$E$1510,"Loss"))),"0%")&amp;" of "&amp;(SUMPRODUCT(('Match Log'!$D$4:$D$1510=$A10)*('Match Log'!$E$4:$E$1510="Win")*COUNTIFS('Match Log'!$A$4:$A$1510,'Match Log'!$A$4:$A$1510,'Match Log'!$D$4:$D$1510,F$4,'Match Log'!$E$4:$E$1510,"Loss"))+SUMPRODUCT(('Match Log'!$D$4:$D$1510=F$4)*('Match Log'!$E$4:$E$1510="Win")*COUNTIFS('Match Log'!$A$4:$A$1510,'Match Log'!$A$4:$A$1510,'Match Log'!$D$4:$D$1510,$A10,'Match Log'!$E$4:$E$1510,"Loss")))))</f>
        <v>38% of 13</v>
      </c>
      <c r="G10" s="56" t="str">
        <f>IF($A10=G$4,"—",IF((SUMPRODUCT(('Match Log'!$D$4:$D$1510=$A10)*('Match Log'!$E$4:$E$1510="Win")*COUNTIFS('Match Log'!$A$4:$A$1510,'Match Log'!$A$4:$A$1510,'Match Log'!$D$4:$D$1510,G$4,'Match Log'!$E$4:$E$1510,"Loss"))+SUMPRODUCT(('Match Log'!$D$4:$D$1510=G$4)*('Match Log'!$E$4:$E$1510="Win")*COUNTIFS('Match Log'!$A$4:$A$1510,'Match Log'!$A$4:$A$1510,'Match Log'!$D$4:$D$1510,$A10,'Match Log'!$E$4:$E$1510,"Loss")))=0,"",TEXT(SUMPRODUCT(('Match Log'!$D$4:$D$1510=$A10)*('Match Log'!$E$4:$E$1510="Win")*COUNTIFS('Match Log'!$A$4:$A$1510,'Match Log'!$A$4:$A$1510,'Match Log'!$D$4:$D$1510,G$4,'Match Log'!$E$4:$E$1510,"Loss"))/(SUMPRODUCT(('Match Log'!$D$4:$D$1510=$A10)*('Match Log'!$E$4:$E$1510="Win")*COUNTIFS('Match Log'!$A$4:$A$1510,'Match Log'!$A$4:$A$1510,'Match Log'!$D$4:$D$1510,G$4,'Match Log'!$E$4:$E$1510,"Loss"))+SUMPRODUCT(('Match Log'!$D$4:$D$1510=G$4)*('Match Log'!$E$4:$E$1510="Win")*COUNTIFS('Match Log'!$A$4:$A$1510,'Match Log'!$A$4:$A$1510,'Match Log'!$D$4:$D$1510,$A10,'Match Log'!$E$4:$E$1510,"Loss"))),"0%")&amp;" of "&amp;(SUMPRODUCT(('Match Log'!$D$4:$D$1510=$A10)*('Match Log'!$E$4:$E$1510="Win")*COUNTIFS('Match Log'!$A$4:$A$1510,'Match Log'!$A$4:$A$1510,'Match Log'!$D$4:$D$1510,G$4,'Match Log'!$E$4:$E$1510,"Loss"))+SUMPRODUCT(('Match Log'!$D$4:$D$1510=G$4)*('Match Log'!$E$4:$E$1510="Win")*COUNTIFS('Match Log'!$A$4:$A$1510,'Match Log'!$A$4:$A$1510,'Match Log'!$D$4:$D$1510,$A10,'Match Log'!$E$4:$E$1510,"Loss")))))</f>
        <v>—</v>
      </c>
      <c r="H10" s="56" t="str">
        <f>IF($A10=H$4,"—",IF((SUMPRODUCT(('Match Log'!$D$4:$D$1510=$A10)*('Match Log'!$E$4:$E$1510="Win")*COUNTIFS('Match Log'!$A$4:$A$1510,'Match Log'!$A$4:$A$1510,'Match Log'!$D$4:$D$1510,H$4,'Match Log'!$E$4:$E$1510,"Loss"))+SUMPRODUCT(('Match Log'!$D$4:$D$1510=H$4)*('Match Log'!$E$4:$E$1510="Win")*COUNTIFS('Match Log'!$A$4:$A$1510,'Match Log'!$A$4:$A$1510,'Match Log'!$D$4:$D$1510,$A10,'Match Log'!$E$4:$E$1510,"Loss")))=0,"",TEXT(SUMPRODUCT(('Match Log'!$D$4:$D$1510=$A10)*('Match Log'!$E$4:$E$1510="Win")*COUNTIFS('Match Log'!$A$4:$A$1510,'Match Log'!$A$4:$A$1510,'Match Log'!$D$4:$D$1510,H$4,'Match Log'!$E$4:$E$1510,"Loss"))/(SUMPRODUCT(('Match Log'!$D$4:$D$1510=$A10)*('Match Log'!$E$4:$E$1510="Win")*COUNTIFS('Match Log'!$A$4:$A$1510,'Match Log'!$A$4:$A$1510,'Match Log'!$D$4:$D$1510,H$4,'Match Log'!$E$4:$E$1510,"Loss"))+SUMPRODUCT(('Match Log'!$D$4:$D$1510=H$4)*('Match Log'!$E$4:$E$1510="Win")*COUNTIFS('Match Log'!$A$4:$A$1510,'Match Log'!$A$4:$A$1510,'Match Log'!$D$4:$D$1510,$A10,'Match Log'!$E$4:$E$1510,"Loss"))),"0%")&amp;" of "&amp;(SUMPRODUCT(('Match Log'!$D$4:$D$1510=$A10)*('Match Log'!$E$4:$E$1510="Win")*COUNTIFS('Match Log'!$A$4:$A$1510,'Match Log'!$A$4:$A$1510,'Match Log'!$D$4:$D$1510,H$4,'Match Log'!$E$4:$E$1510,"Loss"))+SUMPRODUCT(('Match Log'!$D$4:$D$1510=H$4)*('Match Log'!$E$4:$E$1510="Win")*COUNTIFS('Match Log'!$A$4:$A$1510,'Match Log'!$A$4:$A$1510,'Match Log'!$D$4:$D$1510,$A10,'Match Log'!$E$4:$E$1510,"Loss")))))</f>
        <v>38% of 13</v>
      </c>
      <c r="I10" s="56" t="str">
        <f>IF($A10=I$4,"—",IF((SUMPRODUCT(('Match Log'!$D$4:$D$1510=$A10)*('Match Log'!$E$4:$E$1510="Win")*COUNTIFS('Match Log'!$A$4:$A$1510,'Match Log'!$A$4:$A$1510,'Match Log'!$D$4:$D$1510,I$4,'Match Log'!$E$4:$E$1510,"Loss"))+SUMPRODUCT(('Match Log'!$D$4:$D$1510=I$4)*('Match Log'!$E$4:$E$1510="Win")*COUNTIFS('Match Log'!$A$4:$A$1510,'Match Log'!$A$4:$A$1510,'Match Log'!$D$4:$D$1510,$A10,'Match Log'!$E$4:$E$1510,"Loss")))=0,"",TEXT(SUMPRODUCT(('Match Log'!$D$4:$D$1510=$A10)*('Match Log'!$E$4:$E$1510="Win")*COUNTIFS('Match Log'!$A$4:$A$1510,'Match Log'!$A$4:$A$1510,'Match Log'!$D$4:$D$1510,I$4,'Match Log'!$E$4:$E$1510,"Loss"))/(SUMPRODUCT(('Match Log'!$D$4:$D$1510=$A10)*('Match Log'!$E$4:$E$1510="Win")*COUNTIFS('Match Log'!$A$4:$A$1510,'Match Log'!$A$4:$A$1510,'Match Log'!$D$4:$D$1510,I$4,'Match Log'!$E$4:$E$1510,"Loss"))+SUMPRODUCT(('Match Log'!$D$4:$D$1510=I$4)*('Match Log'!$E$4:$E$1510="Win")*COUNTIFS('Match Log'!$A$4:$A$1510,'Match Log'!$A$4:$A$1510,'Match Log'!$D$4:$D$1510,$A10,'Match Log'!$E$4:$E$1510,"Loss"))),"0%")&amp;" of "&amp;(SUMPRODUCT(('Match Log'!$D$4:$D$1510=$A10)*('Match Log'!$E$4:$E$1510="Win")*COUNTIFS('Match Log'!$A$4:$A$1510,'Match Log'!$A$4:$A$1510,'Match Log'!$D$4:$D$1510,I$4,'Match Log'!$E$4:$E$1510,"Loss"))+SUMPRODUCT(('Match Log'!$D$4:$D$1510=I$4)*('Match Log'!$E$4:$E$1510="Win")*COUNTIFS('Match Log'!$A$4:$A$1510,'Match Log'!$A$4:$A$1510,'Match Log'!$D$4:$D$1510,$A10,'Match Log'!$E$4:$E$1510,"Loss")))))</f>
        <v>53% of 68</v>
      </c>
      <c r="J10" s="56" t="str">
        <f>IF($A10=J$4,"—",IF((SUMPRODUCT(('Match Log'!$D$4:$D$1510=$A10)*('Match Log'!$E$4:$E$1510="Win")*COUNTIFS('Match Log'!$A$4:$A$1510,'Match Log'!$A$4:$A$1510,'Match Log'!$D$4:$D$1510,J$4,'Match Log'!$E$4:$E$1510,"Loss"))+SUMPRODUCT(('Match Log'!$D$4:$D$1510=J$4)*('Match Log'!$E$4:$E$1510="Win")*COUNTIFS('Match Log'!$A$4:$A$1510,'Match Log'!$A$4:$A$1510,'Match Log'!$D$4:$D$1510,$A10,'Match Log'!$E$4:$E$1510,"Loss")))=0,"",TEXT(SUMPRODUCT(('Match Log'!$D$4:$D$1510=$A10)*('Match Log'!$E$4:$E$1510="Win")*COUNTIFS('Match Log'!$A$4:$A$1510,'Match Log'!$A$4:$A$1510,'Match Log'!$D$4:$D$1510,J$4,'Match Log'!$E$4:$E$1510,"Loss"))/(SUMPRODUCT(('Match Log'!$D$4:$D$1510=$A10)*('Match Log'!$E$4:$E$1510="Win")*COUNTIFS('Match Log'!$A$4:$A$1510,'Match Log'!$A$4:$A$1510,'Match Log'!$D$4:$D$1510,J$4,'Match Log'!$E$4:$E$1510,"Loss"))+SUMPRODUCT(('Match Log'!$D$4:$D$1510=J$4)*('Match Log'!$E$4:$E$1510="Win")*COUNTIFS('Match Log'!$A$4:$A$1510,'Match Log'!$A$4:$A$1510,'Match Log'!$D$4:$D$1510,$A10,'Match Log'!$E$4:$E$1510,"Loss"))),"0%")&amp;" of "&amp;(SUMPRODUCT(('Match Log'!$D$4:$D$1510=$A10)*('Match Log'!$E$4:$E$1510="Win")*COUNTIFS('Match Log'!$A$4:$A$1510,'Match Log'!$A$4:$A$1510,'Match Log'!$D$4:$D$1510,J$4,'Match Log'!$E$4:$E$1510,"Loss"))+SUMPRODUCT(('Match Log'!$D$4:$D$1510=J$4)*('Match Log'!$E$4:$E$1510="Win")*COUNTIFS('Match Log'!$A$4:$A$1510,'Match Log'!$A$4:$A$1510,'Match Log'!$D$4:$D$1510,$A10,'Match Log'!$E$4:$E$1510,"Loss")))))</f>
        <v>67% of 6</v>
      </c>
      <c r="K10" s="56" t="str">
        <f>IF($A10=K$4,"—",IF((SUMPRODUCT(('Match Log'!$D$4:$D$1510=$A10)*('Match Log'!$E$4:$E$1510="Win")*COUNTIFS('Match Log'!$A$4:$A$1510,'Match Log'!$A$4:$A$1510,'Match Log'!$D$4:$D$1510,K$4,'Match Log'!$E$4:$E$1510,"Loss"))+SUMPRODUCT(('Match Log'!$D$4:$D$1510=K$4)*('Match Log'!$E$4:$E$1510="Win")*COUNTIFS('Match Log'!$A$4:$A$1510,'Match Log'!$A$4:$A$1510,'Match Log'!$D$4:$D$1510,$A10,'Match Log'!$E$4:$E$1510,"Loss")))=0,"",TEXT(SUMPRODUCT(('Match Log'!$D$4:$D$1510=$A10)*('Match Log'!$E$4:$E$1510="Win")*COUNTIFS('Match Log'!$A$4:$A$1510,'Match Log'!$A$4:$A$1510,'Match Log'!$D$4:$D$1510,K$4,'Match Log'!$E$4:$E$1510,"Loss"))/(SUMPRODUCT(('Match Log'!$D$4:$D$1510=$A10)*('Match Log'!$E$4:$E$1510="Win")*COUNTIFS('Match Log'!$A$4:$A$1510,'Match Log'!$A$4:$A$1510,'Match Log'!$D$4:$D$1510,K$4,'Match Log'!$E$4:$E$1510,"Loss"))+SUMPRODUCT(('Match Log'!$D$4:$D$1510=K$4)*('Match Log'!$E$4:$E$1510="Win")*COUNTIFS('Match Log'!$A$4:$A$1510,'Match Log'!$A$4:$A$1510,'Match Log'!$D$4:$D$1510,$A10,'Match Log'!$E$4:$E$1510,"Loss"))),"0%")&amp;" of "&amp;(SUMPRODUCT(('Match Log'!$D$4:$D$1510=$A10)*('Match Log'!$E$4:$E$1510="Win")*COUNTIFS('Match Log'!$A$4:$A$1510,'Match Log'!$A$4:$A$1510,'Match Log'!$D$4:$D$1510,K$4,'Match Log'!$E$4:$E$1510,"Loss"))+SUMPRODUCT(('Match Log'!$D$4:$D$1510=K$4)*('Match Log'!$E$4:$E$1510="Win")*COUNTIFS('Match Log'!$A$4:$A$1510,'Match Log'!$A$4:$A$1510,'Match Log'!$D$4:$D$1510,$A10,'Match Log'!$E$4:$E$1510,"Loss")))))</f>
        <v/>
      </c>
      <c r="L10" s="56" t="str">
        <f>IF($A10=L$4,"—",IF((SUMPRODUCT(('Match Log'!$D$4:$D$1510=$A10)*('Match Log'!$E$4:$E$1510="Win")*COUNTIFS('Match Log'!$A$4:$A$1510,'Match Log'!$A$4:$A$1510,'Match Log'!$D$4:$D$1510,L$4,'Match Log'!$E$4:$E$1510,"Loss"))+SUMPRODUCT(('Match Log'!$D$4:$D$1510=L$4)*('Match Log'!$E$4:$E$1510="Win")*COUNTIFS('Match Log'!$A$4:$A$1510,'Match Log'!$A$4:$A$1510,'Match Log'!$D$4:$D$1510,$A10,'Match Log'!$E$4:$E$1510,"Loss")))=0,"",TEXT(SUMPRODUCT(('Match Log'!$D$4:$D$1510=$A10)*('Match Log'!$E$4:$E$1510="Win")*COUNTIFS('Match Log'!$A$4:$A$1510,'Match Log'!$A$4:$A$1510,'Match Log'!$D$4:$D$1510,L$4,'Match Log'!$E$4:$E$1510,"Loss"))/(SUMPRODUCT(('Match Log'!$D$4:$D$1510=$A10)*('Match Log'!$E$4:$E$1510="Win")*COUNTIFS('Match Log'!$A$4:$A$1510,'Match Log'!$A$4:$A$1510,'Match Log'!$D$4:$D$1510,L$4,'Match Log'!$E$4:$E$1510,"Loss"))+SUMPRODUCT(('Match Log'!$D$4:$D$1510=L$4)*('Match Log'!$E$4:$E$1510="Win")*COUNTIFS('Match Log'!$A$4:$A$1510,'Match Log'!$A$4:$A$1510,'Match Log'!$D$4:$D$1510,$A10,'Match Log'!$E$4:$E$1510,"Loss"))),"0%")&amp;" of "&amp;(SUMPRODUCT(('Match Log'!$D$4:$D$1510=$A10)*('Match Log'!$E$4:$E$1510="Win")*COUNTIFS('Match Log'!$A$4:$A$1510,'Match Log'!$A$4:$A$1510,'Match Log'!$D$4:$D$1510,L$4,'Match Log'!$E$4:$E$1510,"Loss"))+SUMPRODUCT(('Match Log'!$D$4:$D$1510=L$4)*('Match Log'!$E$4:$E$1510="Win")*COUNTIFS('Match Log'!$A$4:$A$1510,'Match Log'!$A$4:$A$1510,'Match Log'!$D$4:$D$1510,$A10,'Match Log'!$E$4:$E$1510,"Loss")))))</f>
        <v>54% of 35</v>
      </c>
      <c r="M10" s="56" t="str">
        <f>IF($A10=M$4,"—",IF((SUMPRODUCT(('Match Log'!$D$4:$D$1510=$A10)*('Match Log'!$E$4:$E$1510="Win")*COUNTIFS('Match Log'!$A$4:$A$1510,'Match Log'!$A$4:$A$1510,'Match Log'!$D$4:$D$1510,M$4,'Match Log'!$E$4:$E$1510,"Loss"))+SUMPRODUCT(('Match Log'!$D$4:$D$1510=M$4)*('Match Log'!$E$4:$E$1510="Win")*COUNTIFS('Match Log'!$A$4:$A$1510,'Match Log'!$A$4:$A$1510,'Match Log'!$D$4:$D$1510,$A10,'Match Log'!$E$4:$E$1510,"Loss")))=0,"",TEXT(SUMPRODUCT(('Match Log'!$D$4:$D$1510=$A10)*('Match Log'!$E$4:$E$1510="Win")*COUNTIFS('Match Log'!$A$4:$A$1510,'Match Log'!$A$4:$A$1510,'Match Log'!$D$4:$D$1510,M$4,'Match Log'!$E$4:$E$1510,"Loss"))/(SUMPRODUCT(('Match Log'!$D$4:$D$1510=$A10)*('Match Log'!$E$4:$E$1510="Win")*COUNTIFS('Match Log'!$A$4:$A$1510,'Match Log'!$A$4:$A$1510,'Match Log'!$D$4:$D$1510,M$4,'Match Log'!$E$4:$E$1510,"Loss"))+SUMPRODUCT(('Match Log'!$D$4:$D$1510=M$4)*('Match Log'!$E$4:$E$1510="Win")*COUNTIFS('Match Log'!$A$4:$A$1510,'Match Log'!$A$4:$A$1510,'Match Log'!$D$4:$D$1510,$A10,'Match Log'!$E$4:$E$1510,"Loss"))),"0%")&amp;" of "&amp;(SUMPRODUCT(('Match Log'!$D$4:$D$1510=$A10)*('Match Log'!$E$4:$E$1510="Win")*COUNTIFS('Match Log'!$A$4:$A$1510,'Match Log'!$A$4:$A$1510,'Match Log'!$D$4:$D$1510,M$4,'Match Log'!$E$4:$E$1510,"Loss"))+SUMPRODUCT(('Match Log'!$D$4:$D$1510=M$4)*('Match Log'!$E$4:$E$1510="Win")*COUNTIFS('Match Log'!$A$4:$A$1510,'Match Log'!$A$4:$A$1510,'Match Log'!$D$4:$D$1510,$A10,'Match Log'!$E$4:$E$1510,"Loss")))))</f>
        <v>0% of 1</v>
      </c>
      <c r="N10" s="56" t="str">
        <f>IF($A10=N$4,"—",IF((SUMPRODUCT(('Match Log'!$D$4:$D$1510=$A10)*('Match Log'!$E$4:$E$1510="Win")*COUNTIFS('Match Log'!$A$4:$A$1510,'Match Log'!$A$4:$A$1510,'Match Log'!$D$4:$D$1510,N$4,'Match Log'!$E$4:$E$1510,"Loss"))+SUMPRODUCT(('Match Log'!$D$4:$D$1510=N$4)*('Match Log'!$E$4:$E$1510="Win")*COUNTIFS('Match Log'!$A$4:$A$1510,'Match Log'!$A$4:$A$1510,'Match Log'!$D$4:$D$1510,$A10,'Match Log'!$E$4:$E$1510,"Loss")))=0,"",TEXT(SUMPRODUCT(('Match Log'!$D$4:$D$1510=$A10)*('Match Log'!$E$4:$E$1510="Win")*COUNTIFS('Match Log'!$A$4:$A$1510,'Match Log'!$A$4:$A$1510,'Match Log'!$D$4:$D$1510,N$4,'Match Log'!$E$4:$E$1510,"Loss"))/(SUMPRODUCT(('Match Log'!$D$4:$D$1510=$A10)*('Match Log'!$E$4:$E$1510="Win")*COUNTIFS('Match Log'!$A$4:$A$1510,'Match Log'!$A$4:$A$1510,'Match Log'!$D$4:$D$1510,N$4,'Match Log'!$E$4:$E$1510,"Loss"))+SUMPRODUCT(('Match Log'!$D$4:$D$1510=N$4)*('Match Log'!$E$4:$E$1510="Win")*COUNTIFS('Match Log'!$A$4:$A$1510,'Match Log'!$A$4:$A$1510,'Match Log'!$D$4:$D$1510,$A10,'Match Log'!$E$4:$E$1510,"Loss"))),"0%")&amp;" of "&amp;(SUMPRODUCT(('Match Log'!$D$4:$D$1510=$A10)*('Match Log'!$E$4:$E$1510="Win")*COUNTIFS('Match Log'!$A$4:$A$1510,'Match Log'!$A$4:$A$1510,'Match Log'!$D$4:$D$1510,N$4,'Match Log'!$E$4:$E$1510,"Loss"))+SUMPRODUCT(('Match Log'!$D$4:$D$1510=N$4)*('Match Log'!$E$4:$E$1510="Win")*COUNTIFS('Match Log'!$A$4:$A$1510,'Match Log'!$A$4:$A$1510,'Match Log'!$D$4:$D$1510,$A10,'Match Log'!$E$4:$E$1510,"Loss")))))</f>
        <v>100% of 2</v>
      </c>
      <c r="O10" s="56" t="str">
        <f>IF($A10=O$4,"—",IF((SUMPRODUCT(('Match Log'!$D$4:$D$1510=$A10)*('Match Log'!$E$4:$E$1510="Win")*COUNTIFS('Match Log'!$A$4:$A$1510,'Match Log'!$A$4:$A$1510,'Match Log'!$D$4:$D$1510,O$4,'Match Log'!$E$4:$E$1510,"Loss"))+SUMPRODUCT(('Match Log'!$D$4:$D$1510=O$4)*('Match Log'!$E$4:$E$1510="Win")*COUNTIFS('Match Log'!$A$4:$A$1510,'Match Log'!$A$4:$A$1510,'Match Log'!$D$4:$D$1510,$A10,'Match Log'!$E$4:$E$1510,"Loss")))=0,"",TEXT(SUMPRODUCT(('Match Log'!$D$4:$D$1510=$A10)*('Match Log'!$E$4:$E$1510="Win")*COUNTIFS('Match Log'!$A$4:$A$1510,'Match Log'!$A$4:$A$1510,'Match Log'!$D$4:$D$1510,O$4,'Match Log'!$E$4:$E$1510,"Loss"))/(SUMPRODUCT(('Match Log'!$D$4:$D$1510=$A10)*('Match Log'!$E$4:$E$1510="Win")*COUNTIFS('Match Log'!$A$4:$A$1510,'Match Log'!$A$4:$A$1510,'Match Log'!$D$4:$D$1510,O$4,'Match Log'!$E$4:$E$1510,"Loss"))+SUMPRODUCT(('Match Log'!$D$4:$D$1510=O$4)*('Match Log'!$E$4:$E$1510="Win")*COUNTIFS('Match Log'!$A$4:$A$1510,'Match Log'!$A$4:$A$1510,'Match Log'!$D$4:$D$1510,$A10,'Match Log'!$E$4:$E$1510,"Loss"))),"0%")&amp;" of "&amp;(SUMPRODUCT(('Match Log'!$D$4:$D$1510=$A10)*('Match Log'!$E$4:$E$1510="Win")*COUNTIFS('Match Log'!$A$4:$A$1510,'Match Log'!$A$4:$A$1510,'Match Log'!$D$4:$D$1510,O$4,'Match Log'!$E$4:$E$1510,"Loss"))+SUMPRODUCT(('Match Log'!$D$4:$D$1510=O$4)*('Match Log'!$E$4:$E$1510="Win")*COUNTIFS('Match Log'!$A$4:$A$1510,'Match Log'!$A$4:$A$1510,'Match Log'!$D$4:$D$1510,$A10,'Match Log'!$E$4:$E$1510,"Loss")))))</f>
        <v/>
      </c>
    </row>
    <row r="11" spans="1:15" ht="15" customHeight="1" x14ac:dyDescent="0.2">
      <c r="A11" s="51" t="s">
        <v>21</v>
      </c>
      <c r="B11" s="56" t="str">
        <f>IF($A11=B$4,"—",IF((SUMPRODUCT(('Match Log'!$D$4:$D$1510=$A11)*('Match Log'!$E$4:$E$1510="Win")*COUNTIFS('Match Log'!$A$4:$A$1510,'Match Log'!$A$4:$A$1510,'Match Log'!$D$4:$D$1510,B$4,'Match Log'!$E$4:$E$1510,"Loss"))+SUMPRODUCT(('Match Log'!$D$4:$D$1510=B$4)*('Match Log'!$E$4:$E$1510="Win")*COUNTIFS('Match Log'!$A$4:$A$1510,'Match Log'!$A$4:$A$1510,'Match Log'!$D$4:$D$1510,$A11,'Match Log'!$E$4:$E$1510,"Loss")))=0,"",TEXT(SUMPRODUCT(('Match Log'!$D$4:$D$1510=$A11)*('Match Log'!$E$4:$E$1510="Win")*COUNTIFS('Match Log'!$A$4:$A$1510,'Match Log'!$A$4:$A$1510,'Match Log'!$D$4:$D$1510,B$4,'Match Log'!$E$4:$E$1510,"Loss"))/(SUMPRODUCT(('Match Log'!$D$4:$D$1510=$A11)*('Match Log'!$E$4:$E$1510="Win")*COUNTIFS('Match Log'!$A$4:$A$1510,'Match Log'!$A$4:$A$1510,'Match Log'!$D$4:$D$1510,B$4,'Match Log'!$E$4:$E$1510,"Loss"))+SUMPRODUCT(('Match Log'!$D$4:$D$1510=B$4)*('Match Log'!$E$4:$E$1510="Win")*COUNTIFS('Match Log'!$A$4:$A$1510,'Match Log'!$A$4:$A$1510,'Match Log'!$D$4:$D$1510,$A11,'Match Log'!$E$4:$E$1510,"Loss"))),"0%")&amp;" of "&amp;(SUMPRODUCT(('Match Log'!$D$4:$D$1510=$A11)*('Match Log'!$E$4:$E$1510="Win")*COUNTIFS('Match Log'!$A$4:$A$1510,'Match Log'!$A$4:$A$1510,'Match Log'!$D$4:$D$1510,B$4,'Match Log'!$E$4:$E$1510,"Loss"))+SUMPRODUCT(('Match Log'!$D$4:$D$1510=B$4)*('Match Log'!$E$4:$E$1510="Win")*COUNTIFS('Match Log'!$A$4:$A$1510,'Match Log'!$A$4:$A$1510,'Match Log'!$D$4:$D$1510,$A11,'Match Log'!$E$4:$E$1510,"Loss")))))</f>
        <v>33% of 6</v>
      </c>
      <c r="C11" s="56" t="str">
        <f>IF($A11=C$4,"—",IF((SUMPRODUCT(('Match Log'!$D$4:$D$1510=$A11)*('Match Log'!$E$4:$E$1510="Win")*COUNTIFS('Match Log'!$A$4:$A$1510,'Match Log'!$A$4:$A$1510,'Match Log'!$D$4:$D$1510,C$4,'Match Log'!$E$4:$E$1510,"Loss"))+SUMPRODUCT(('Match Log'!$D$4:$D$1510=C$4)*('Match Log'!$E$4:$E$1510="Win")*COUNTIFS('Match Log'!$A$4:$A$1510,'Match Log'!$A$4:$A$1510,'Match Log'!$D$4:$D$1510,$A11,'Match Log'!$E$4:$E$1510,"Loss")))=0,"",TEXT(SUMPRODUCT(('Match Log'!$D$4:$D$1510=$A11)*('Match Log'!$E$4:$E$1510="Win")*COUNTIFS('Match Log'!$A$4:$A$1510,'Match Log'!$A$4:$A$1510,'Match Log'!$D$4:$D$1510,C$4,'Match Log'!$E$4:$E$1510,"Loss"))/(SUMPRODUCT(('Match Log'!$D$4:$D$1510=$A11)*('Match Log'!$E$4:$E$1510="Win")*COUNTIFS('Match Log'!$A$4:$A$1510,'Match Log'!$A$4:$A$1510,'Match Log'!$D$4:$D$1510,C$4,'Match Log'!$E$4:$E$1510,"Loss"))+SUMPRODUCT(('Match Log'!$D$4:$D$1510=C$4)*('Match Log'!$E$4:$E$1510="Win")*COUNTIFS('Match Log'!$A$4:$A$1510,'Match Log'!$A$4:$A$1510,'Match Log'!$D$4:$D$1510,$A11,'Match Log'!$E$4:$E$1510,"Loss"))),"0%")&amp;" of "&amp;(SUMPRODUCT(('Match Log'!$D$4:$D$1510=$A11)*('Match Log'!$E$4:$E$1510="Win")*COUNTIFS('Match Log'!$A$4:$A$1510,'Match Log'!$A$4:$A$1510,'Match Log'!$D$4:$D$1510,C$4,'Match Log'!$E$4:$E$1510,"Loss"))+SUMPRODUCT(('Match Log'!$D$4:$D$1510=C$4)*('Match Log'!$E$4:$E$1510="Win")*COUNTIFS('Match Log'!$A$4:$A$1510,'Match Log'!$A$4:$A$1510,'Match Log'!$D$4:$D$1510,$A11,'Match Log'!$E$4:$E$1510,"Loss")))))</f>
        <v>33% of 3</v>
      </c>
      <c r="D11" s="56" t="str">
        <f>IF($A11=D$4,"—",IF((SUMPRODUCT(('Match Log'!$D$4:$D$1510=$A11)*('Match Log'!$E$4:$E$1510="Win")*COUNTIFS('Match Log'!$A$4:$A$1510,'Match Log'!$A$4:$A$1510,'Match Log'!$D$4:$D$1510,D$4,'Match Log'!$E$4:$E$1510,"Loss"))+SUMPRODUCT(('Match Log'!$D$4:$D$1510=D$4)*('Match Log'!$E$4:$E$1510="Win")*COUNTIFS('Match Log'!$A$4:$A$1510,'Match Log'!$A$4:$A$1510,'Match Log'!$D$4:$D$1510,$A11,'Match Log'!$E$4:$E$1510,"Loss")))=0,"",TEXT(SUMPRODUCT(('Match Log'!$D$4:$D$1510=$A11)*('Match Log'!$E$4:$E$1510="Win")*COUNTIFS('Match Log'!$A$4:$A$1510,'Match Log'!$A$4:$A$1510,'Match Log'!$D$4:$D$1510,D$4,'Match Log'!$E$4:$E$1510,"Loss"))/(SUMPRODUCT(('Match Log'!$D$4:$D$1510=$A11)*('Match Log'!$E$4:$E$1510="Win")*COUNTIFS('Match Log'!$A$4:$A$1510,'Match Log'!$A$4:$A$1510,'Match Log'!$D$4:$D$1510,D$4,'Match Log'!$E$4:$E$1510,"Loss"))+SUMPRODUCT(('Match Log'!$D$4:$D$1510=D$4)*('Match Log'!$E$4:$E$1510="Win")*COUNTIFS('Match Log'!$A$4:$A$1510,'Match Log'!$A$4:$A$1510,'Match Log'!$D$4:$D$1510,$A11,'Match Log'!$E$4:$E$1510,"Loss"))),"0%")&amp;" of "&amp;(SUMPRODUCT(('Match Log'!$D$4:$D$1510=$A11)*('Match Log'!$E$4:$E$1510="Win")*COUNTIFS('Match Log'!$A$4:$A$1510,'Match Log'!$A$4:$A$1510,'Match Log'!$D$4:$D$1510,D$4,'Match Log'!$E$4:$E$1510,"Loss"))+SUMPRODUCT(('Match Log'!$D$4:$D$1510=D$4)*('Match Log'!$E$4:$E$1510="Win")*COUNTIFS('Match Log'!$A$4:$A$1510,'Match Log'!$A$4:$A$1510,'Match Log'!$D$4:$D$1510,$A11,'Match Log'!$E$4:$E$1510,"Loss")))))</f>
        <v>0% of 2</v>
      </c>
      <c r="E11" s="56" t="str">
        <f>IF($A11=E$4,"—",IF((SUMPRODUCT(('Match Log'!$D$4:$D$1510=$A11)*('Match Log'!$E$4:$E$1510="Win")*COUNTIFS('Match Log'!$A$4:$A$1510,'Match Log'!$A$4:$A$1510,'Match Log'!$D$4:$D$1510,E$4,'Match Log'!$E$4:$E$1510,"Loss"))+SUMPRODUCT(('Match Log'!$D$4:$D$1510=E$4)*('Match Log'!$E$4:$E$1510="Win")*COUNTIFS('Match Log'!$A$4:$A$1510,'Match Log'!$A$4:$A$1510,'Match Log'!$D$4:$D$1510,$A11,'Match Log'!$E$4:$E$1510,"Loss")))=0,"",TEXT(SUMPRODUCT(('Match Log'!$D$4:$D$1510=$A11)*('Match Log'!$E$4:$E$1510="Win")*COUNTIFS('Match Log'!$A$4:$A$1510,'Match Log'!$A$4:$A$1510,'Match Log'!$D$4:$D$1510,E$4,'Match Log'!$E$4:$E$1510,"Loss"))/(SUMPRODUCT(('Match Log'!$D$4:$D$1510=$A11)*('Match Log'!$E$4:$E$1510="Win")*COUNTIFS('Match Log'!$A$4:$A$1510,'Match Log'!$A$4:$A$1510,'Match Log'!$D$4:$D$1510,E$4,'Match Log'!$E$4:$E$1510,"Loss"))+SUMPRODUCT(('Match Log'!$D$4:$D$1510=E$4)*('Match Log'!$E$4:$E$1510="Win")*COUNTIFS('Match Log'!$A$4:$A$1510,'Match Log'!$A$4:$A$1510,'Match Log'!$D$4:$D$1510,$A11,'Match Log'!$E$4:$E$1510,"Loss"))),"0%")&amp;" of "&amp;(SUMPRODUCT(('Match Log'!$D$4:$D$1510=$A11)*('Match Log'!$E$4:$E$1510="Win")*COUNTIFS('Match Log'!$A$4:$A$1510,'Match Log'!$A$4:$A$1510,'Match Log'!$D$4:$D$1510,E$4,'Match Log'!$E$4:$E$1510,"Loss"))+SUMPRODUCT(('Match Log'!$D$4:$D$1510=E$4)*('Match Log'!$E$4:$E$1510="Win")*COUNTIFS('Match Log'!$A$4:$A$1510,'Match Log'!$A$4:$A$1510,'Match Log'!$D$4:$D$1510,$A11,'Match Log'!$E$4:$E$1510,"Loss")))))</f>
        <v>50% of 2</v>
      </c>
      <c r="F11" s="56" t="str">
        <f>IF($A11=F$4,"—",IF((SUMPRODUCT(('Match Log'!$D$4:$D$1510=$A11)*('Match Log'!$E$4:$E$1510="Win")*COUNTIFS('Match Log'!$A$4:$A$1510,'Match Log'!$A$4:$A$1510,'Match Log'!$D$4:$D$1510,F$4,'Match Log'!$E$4:$E$1510,"Loss"))+SUMPRODUCT(('Match Log'!$D$4:$D$1510=F$4)*('Match Log'!$E$4:$E$1510="Win")*COUNTIFS('Match Log'!$A$4:$A$1510,'Match Log'!$A$4:$A$1510,'Match Log'!$D$4:$D$1510,$A11,'Match Log'!$E$4:$E$1510,"Loss")))=0,"",TEXT(SUMPRODUCT(('Match Log'!$D$4:$D$1510=$A11)*('Match Log'!$E$4:$E$1510="Win")*COUNTIFS('Match Log'!$A$4:$A$1510,'Match Log'!$A$4:$A$1510,'Match Log'!$D$4:$D$1510,F$4,'Match Log'!$E$4:$E$1510,"Loss"))/(SUMPRODUCT(('Match Log'!$D$4:$D$1510=$A11)*('Match Log'!$E$4:$E$1510="Win")*COUNTIFS('Match Log'!$A$4:$A$1510,'Match Log'!$A$4:$A$1510,'Match Log'!$D$4:$D$1510,F$4,'Match Log'!$E$4:$E$1510,"Loss"))+SUMPRODUCT(('Match Log'!$D$4:$D$1510=F$4)*('Match Log'!$E$4:$E$1510="Win")*COUNTIFS('Match Log'!$A$4:$A$1510,'Match Log'!$A$4:$A$1510,'Match Log'!$D$4:$D$1510,$A11,'Match Log'!$E$4:$E$1510,"Loss"))),"0%")&amp;" of "&amp;(SUMPRODUCT(('Match Log'!$D$4:$D$1510=$A11)*('Match Log'!$E$4:$E$1510="Win")*COUNTIFS('Match Log'!$A$4:$A$1510,'Match Log'!$A$4:$A$1510,'Match Log'!$D$4:$D$1510,F$4,'Match Log'!$E$4:$E$1510,"Loss"))+SUMPRODUCT(('Match Log'!$D$4:$D$1510=F$4)*('Match Log'!$E$4:$E$1510="Win")*COUNTIFS('Match Log'!$A$4:$A$1510,'Match Log'!$A$4:$A$1510,'Match Log'!$D$4:$D$1510,$A11,'Match Log'!$E$4:$E$1510,"Loss")))))</f>
        <v>33% of 3</v>
      </c>
      <c r="G11" s="56" t="str">
        <f>IF($A11=G$4,"—",IF((SUMPRODUCT(('Match Log'!$D$4:$D$1510=$A11)*('Match Log'!$E$4:$E$1510="Win")*COUNTIFS('Match Log'!$A$4:$A$1510,'Match Log'!$A$4:$A$1510,'Match Log'!$D$4:$D$1510,G$4,'Match Log'!$E$4:$E$1510,"Loss"))+SUMPRODUCT(('Match Log'!$D$4:$D$1510=G$4)*('Match Log'!$E$4:$E$1510="Win")*COUNTIFS('Match Log'!$A$4:$A$1510,'Match Log'!$A$4:$A$1510,'Match Log'!$D$4:$D$1510,$A11,'Match Log'!$E$4:$E$1510,"Loss")))=0,"",TEXT(SUMPRODUCT(('Match Log'!$D$4:$D$1510=$A11)*('Match Log'!$E$4:$E$1510="Win")*COUNTIFS('Match Log'!$A$4:$A$1510,'Match Log'!$A$4:$A$1510,'Match Log'!$D$4:$D$1510,G$4,'Match Log'!$E$4:$E$1510,"Loss"))/(SUMPRODUCT(('Match Log'!$D$4:$D$1510=$A11)*('Match Log'!$E$4:$E$1510="Win")*COUNTIFS('Match Log'!$A$4:$A$1510,'Match Log'!$A$4:$A$1510,'Match Log'!$D$4:$D$1510,G$4,'Match Log'!$E$4:$E$1510,"Loss"))+SUMPRODUCT(('Match Log'!$D$4:$D$1510=G$4)*('Match Log'!$E$4:$E$1510="Win")*COUNTIFS('Match Log'!$A$4:$A$1510,'Match Log'!$A$4:$A$1510,'Match Log'!$D$4:$D$1510,$A11,'Match Log'!$E$4:$E$1510,"Loss"))),"0%")&amp;" of "&amp;(SUMPRODUCT(('Match Log'!$D$4:$D$1510=$A11)*('Match Log'!$E$4:$E$1510="Win")*COUNTIFS('Match Log'!$A$4:$A$1510,'Match Log'!$A$4:$A$1510,'Match Log'!$D$4:$D$1510,G$4,'Match Log'!$E$4:$E$1510,"Loss"))+SUMPRODUCT(('Match Log'!$D$4:$D$1510=G$4)*('Match Log'!$E$4:$E$1510="Win")*COUNTIFS('Match Log'!$A$4:$A$1510,'Match Log'!$A$4:$A$1510,'Match Log'!$D$4:$D$1510,$A11,'Match Log'!$E$4:$E$1510,"Loss")))))</f>
        <v>62% of 13</v>
      </c>
      <c r="H11" s="56" t="str">
        <f>IF($A11=H$4,"—",IF((SUMPRODUCT(('Match Log'!$D$4:$D$1510=$A11)*('Match Log'!$E$4:$E$1510="Win")*COUNTIFS('Match Log'!$A$4:$A$1510,'Match Log'!$A$4:$A$1510,'Match Log'!$D$4:$D$1510,H$4,'Match Log'!$E$4:$E$1510,"Loss"))+SUMPRODUCT(('Match Log'!$D$4:$D$1510=H$4)*('Match Log'!$E$4:$E$1510="Win")*COUNTIFS('Match Log'!$A$4:$A$1510,'Match Log'!$A$4:$A$1510,'Match Log'!$D$4:$D$1510,$A11,'Match Log'!$E$4:$E$1510,"Loss")))=0,"",TEXT(SUMPRODUCT(('Match Log'!$D$4:$D$1510=$A11)*('Match Log'!$E$4:$E$1510="Win")*COUNTIFS('Match Log'!$A$4:$A$1510,'Match Log'!$A$4:$A$1510,'Match Log'!$D$4:$D$1510,H$4,'Match Log'!$E$4:$E$1510,"Loss"))/(SUMPRODUCT(('Match Log'!$D$4:$D$1510=$A11)*('Match Log'!$E$4:$E$1510="Win")*COUNTIFS('Match Log'!$A$4:$A$1510,'Match Log'!$A$4:$A$1510,'Match Log'!$D$4:$D$1510,H$4,'Match Log'!$E$4:$E$1510,"Loss"))+SUMPRODUCT(('Match Log'!$D$4:$D$1510=H$4)*('Match Log'!$E$4:$E$1510="Win")*COUNTIFS('Match Log'!$A$4:$A$1510,'Match Log'!$A$4:$A$1510,'Match Log'!$D$4:$D$1510,$A11,'Match Log'!$E$4:$E$1510,"Loss"))),"0%")&amp;" of "&amp;(SUMPRODUCT(('Match Log'!$D$4:$D$1510=$A11)*('Match Log'!$E$4:$E$1510="Win")*COUNTIFS('Match Log'!$A$4:$A$1510,'Match Log'!$A$4:$A$1510,'Match Log'!$D$4:$D$1510,H$4,'Match Log'!$E$4:$E$1510,"Loss"))+SUMPRODUCT(('Match Log'!$D$4:$D$1510=H$4)*('Match Log'!$E$4:$E$1510="Win")*COUNTIFS('Match Log'!$A$4:$A$1510,'Match Log'!$A$4:$A$1510,'Match Log'!$D$4:$D$1510,$A11,'Match Log'!$E$4:$E$1510,"Loss")))))</f>
        <v>—</v>
      </c>
      <c r="I11" s="56" t="str">
        <f>IF($A11=I$4,"—",IF((SUMPRODUCT(('Match Log'!$D$4:$D$1510=$A11)*('Match Log'!$E$4:$E$1510="Win")*COUNTIFS('Match Log'!$A$4:$A$1510,'Match Log'!$A$4:$A$1510,'Match Log'!$D$4:$D$1510,I$4,'Match Log'!$E$4:$E$1510,"Loss"))+SUMPRODUCT(('Match Log'!$D$4:$D$1510=I$4)*('Match Log'!$E$4:$E$1510="Win")*COUNTIFS('Match Log'!$A$4:$A$1510,'Match Log'!$A$4:$A$1510,'Match Log'!$D$4:$D$1510,$A11,'Match Log'!$E$4:$E$1510,"Loss")))=0,"",TEXT(SUMPRODUCT(('Match Log'!$D$4:$D$1510=$A11)*('Match Log'!$E$4:$E$1510="Win")*COUNTIFS('Match Log'!$A$4:$A$1510,'Match Log'!$A$4:$A$1510,'Match Log'!$D$4:$D$1510,I$4,'Match Log'!$E$4:$E$1510,"Loss"))/(SUMPRODUCT(('Match Log'!$D$4:$D$1510=$A11)*('Match Log'!$E$4:$E$1510="Win")*COUNTIFS('Match Log'!$A$4:$A$1510,'Match Log'!$A$4:$A$1510,'Match Log'!$D$4:$D$1510,I$4,'Match Log'!$E$4:$E$1510,"Loss"))+SUMPRODUCT(('Match Log'!$D$4:$D$1510=I$4)*('Match Log'!$E$4:$E$1510="Win")*COUNTIFS('Match Log'!$A$4:$A$1510,'Match Log'!$A$4:$A$1510,'Match Log'!$D$4:$D$1510,$A11,'Match Log'!$E$4:$E$1510,"Loss"))),"0%")&amp;" of "&amp;(SUMPRODUCT(('Match Log'!$D$4:$D$1510=$A11)*('Match Log'!$E$4:$E$1510="Win")*COUNTIFS('Match Log'!$A$4:$A$1510,'Match Log'!$A$4:$A$1510,'Match Log'!$D$4:$D$1510,I$4,'Match Log'!$E$4:$E$1510,"Loss"))+SUMPRODUCT(('Match Log'!$D$4:$D$1510=I$4)*('Match Log'!$E$4:$E$1510="Win")*COUNTIFS('Match Log'!$A$4:$A$1510,'Match Log'!$A$4:$A$1510,'Match Log'!$D$4:$D$1510,$A11,'Match Log'!$E$4:$E$1510,"Loss")))))</f>
        <v>0% of 1</v>
      </c>
      <c r="J11" s="56" t="str">
        <f>IF($A11=J$4,"—",IF((SUMPRODUCT(('Match Log'!$D$4:$D$1510=$A11)*('Match Log'!$E$4:$E$1510="Win")*COUNTIFS('Match Log'!$A$4:$A$1510,'Match Log'!$A$4:$A$1510,'Match Log'!$D$4:$D$1510,J$4,'Match Log'!$E$4:$E$1510,"Loss"))+SUMPRODUCT(('Match Log'!$D$4:$D$1510=J$4)*('Match Log'!$E$4:$E$1510="Win")*COUNTIFS('Match Log'!$A$4:$A$1510,'Match Log'!$A$4:$A$1510,'Match Log'!$D$4:$D$1510,$A11,'Match Log'!$E$4:$E$1510,"Loss")))=0,"",TEXT(SUMPRODUCT(('Match Log'!$D$4:$D$1510=$A11)*('Match Log'!$E$4:$E$1510="Win")*COUNTIFS('Match Log'!$A$4:$A$1510,'Match Log'!$A$4:$A$1510,'Match Log'!$D$4:$D$1510,J$4,'Match Log'!$E$4:$E$1510,"Loss"))/(SUMPRODUCT(('Match Log'!$D$4:$D$1510=$A11)*('Match Log'!$E$4:$E$1510="Win")*COUNTIFS('Match Log'!$A$4:$A$1510,'Match Log'!$A$4:$A$1510,'Match Log'!$D$4:$D$1510,J$4,'Match Log'!$E$4:$E$1510,"Loss"))+SUMPRODUCT(('Match Log'!$D$4:$D$1510=J$4)*('Match Log'!$E$4:$E$1510="Win")*COUNTIFS('Match Log'!$A$4:$A$1510,'Match Log'!$A$4:$A$1510,'Match Log'!$D$4:$D$1510,$A11,'Match Log'!$E$4:$E$1510,"Loss"))),"0%")&amp;" of "&amp;(SUMPRODUCT(('Match Log'!$D$4:$D$1510=$A11)*('Match Log'!$E$4:$E$1510="Win")*COUNTIFS('Match Log'!$A$4:$A$1510,'Match Log'!$A$4:$A$1510,'Match Log'!$D$4:$D$1510,J$4,'Match Log'!$E$4:$E$1510,"Loss"))+SUMPRODUCT(('Match Log'!$D$4:$D$1510=J$4)*('Match Log'!$E$4:$E$1510="Win")*COUNTIFS('Match Log'!$A$4:$A$1510,'Match Log'!$A$4:$A$1510,'Match Log'!$D$4:$D$1510,$A11,'Match Log'!$E$4:$E$1510,"Loss")))))</f>
        <v>100% of 2</v>
      </c>
      <c r="K11" s="56" t="str">
        <f>IF($A11=K$4,"—",IF((SUMPRODUCT(('Match Log'!$D$4:$D$1510=$A11)*('Match Log'!$E$4:$E$1510="Win")*COUNTIFS('Match Log'!$A$4:$A$1510,'Match Log'!$A$4:$A$1510,'Match Log'!$D$4:$D$1510,K$4,'Match Log'!$E$4:$E$1510,"Loss"))+SUMPRODUCT(('Match Log'!$D$4:$D$1510=K$4)*('Match Log'!$E$4:$E$1510="Win")*COUNTIFS('Match Log'!$A$4:$A$1510,'Match Log'!$A$4:$A$1510,'Match Log'!$D$4:$D$1510,$A11,'Match Log'!$E$4:$E$1510,"Loss")))=0,"",TEXT(SUMPRODUCT(('Match Log'!$D$4:$D$1510=$A11)*('Match Log'!$E$4:$E$1510="Win")*COUNTIFS('Match Log'!$A$4:$A$1510,'Match Log'!$A$4:$A$1510,'Match Log'!$D$4:$D$1510,K$4,'Match Log'!$E$4:$E$1510,"Loss"))/(SUMPRODUCT(('Match Log'!$D$4:$D$1510=$A11)*('Match Log'!$E$4:$E$1510="Win")*COUNTIFS('Match Log'!$A$4:$A$1510,'Match Log'!$A$4:$A$1510,'Match Log'!$D$4:$D$1510,K$4,'Match Log'!$E$4:$E$1510,"Loss"))+SUMPRODUCT(('Match Log'!$D$4:$D$1510=K$4)*('Match Log'!$E$4:$E$1510="Win")*COUNTIFS('Match Log'!$A$4:$A$1510,'Match Log'!$A$4:$A$1510,'Match Log'!$D$4:$D$1510,$A11,'Match Log'!$E$4:$E$1510,"Loss"))),"0%")&amp;" of "&amp;(SUMPRODUCT(('Match Log'!$D$4:$D$1510=$A11)*('Match Log'!$E$4:$E$1510="Win")*COUNTIFS('Match Log'!$A$4:$A$1510,'Match Log'!$A$4:$A$1510,'Match Log'!$D$4:$D$1510,K$4,'Match Log'!$E$4:$E$1510,"Loss"))+SUMPRODUCT(('Match Log'!$D$4:$D$1510=K$4)*('Match Log'!$E$4:$E$1510="Win")*COUNTIFS('Match Log'!$A$4:$A$1510,'Match Log'!$A$4:$A$1510,'Match Log'!$D$4:$D$1510,$A11,'Match Log'!$E$4:$E$1510,"Loss")))))</f>
        <v>100% of 2</v>
      </c>
      <c r="L11" s="56" t="str">
        <f>IF($A11=L$4,"—",IF((SUMPRODUCT(('Match Log'!$D$4:$D$1510=$A11)*('Match Log'!$E$4:$E$1510="Win")*COUNTIFS('Match Log'!$A$4:$A$1510,'Match Log'!$A$4:$A$1510,'Match Log'!$D$4:$D$1510,L$4,'Match Log'!$E$4:$E$1510,"Loss"))+SUMPRODUCT(('Match Log'!$D$4:$D$1510=L$4)*('Match Log'!$E$4:$E$1510="Win")*COUNTIFS('Match Log'!$A$4:$A$1510,'Match Log'!$A$4:$A$1510,'Match Log'!$D$4:$D$1510,$A11,'Match Log'!$E$4:$E$1510,"Loss")))=0,"",TEXT(SUMPRODUCT(('Match Log'!$D$4:$D$1510=$A11)*('Match Log'!$E$4:$E$1510="Win")*COUNTIFS('Match Log'!$A$4:$A$1510,'Match Log'!$A$4:$A$1510,'Match Log'!$D$4:$D$1510,L$4,'Match Log'!$E$4:$E$1510,"Loss"))/(SUMPRODUCT(('Match Log'!$D$4:$D$1510=$A11)*('Match Log'!$E$4:$E$1510="Win")*COUNTIFS('Match Log'!$A$4:$A$1510,'Match Log'!$A$4:$A$1510,'Match Log'!$D$4:$D$1510,L$4,'Match Log'!$E$4:$E$1510,"Loss"))+SUMPRODUCT(('Match Log'!$D$4:$D$1510=L$4)*('Match Log'!$E$4:$E$1510="Win")*COUNTIFS('Match Log'!$A$4:$A$1510,'Match Log'!$A$4:$A$1510,'Match Log'!$D$4:$D$1510,$A11,'Match Log'!$E$4:$E$1510,"Loss"))),"0%")&amp;" of "&amp;(SUMPRODUCT(('Match Log'!$D$4:$D$1510=$A11)*('Match Log'!$E$4:$E$1510="Win")*COUNTIFS('Match Log'!$A$4:$A$1510,'Match Log'!$A$4:$A$1510,'Match Log'!$D$4:$D$1510,L$4,'Match Log'!$E$4:$E$1510,"Loss"))+SUMPRODUCT(('Match Log'!$D$4:$D$1510=L$4)*('Match Log'!$E$4:$E$1510="Win")*COUNTIFS('Match Log'!$A$4:$A$1510,'Match Log'!$A$4:$A$1510,'Match Log'!$D$4:$D$1510,$A11,'Match Log'!$E$4:$E$1510,"Loss")))))</f>
        <v>71% of 21</v>
      </c>
      <c r="M11" s="56" t="str">
        <f>IF($A11=M$4,"—",IF((SUMPRODUCT(('Match Log'!$D$4:$D$1510=$A11)*('Match Log'!$E$4:$E$1510="Win")*COUNTIFS('Match Log'!$A$4:$A$1510,'Match Log'!$A$4:$A$1510,'Match Log'!$D$4:$D$1510,M$4,'Match Log'!$E$4:$E$1510,"Loss"))+SUMPRODUCT(('Match Log'!$D$4:$D$1510=M$4)*('Match Log'!$E$4:$E$1510="Win")*COUNTIFS('Match Log'!$A$4:$A$1510,'Match Log'!$A$4:$A$1510,'Match Log'!$D$4:$D$1510,$A11,'Match Log'!$E$4:$E$1510,"Loss")))=0,"",TEXT(SUMPRODUCT(('Match Log'!$D$4:$D$1510=$A11)*('Match Log'!$E$4:$E$1510="Win")*COUNTIFS('Match Log'!$A$4:$A$1510,'Match Log'!$A$4:$A$1510,'Match Log'!$D$4:$D$1510,M$4,'Match Log'!$E$4:$E$1510,"Loss"))/(SUMPRODUCT(('Match Log'!$D$4:$D$1510=$A11)*('Match Log'!$E$4:$E$1510="Win")*COUNTIFS('Match Log'!$A$4:$A$1510,'Match Log'!$A$4:$A$1510,'Match Log'!$D$4:$D$1510,M$4,'Match Log'!$E$4:$E$1510,"Loss"))+SUMPRODUCT(('Match Log'!$D$4:$D$1510=M$4)*('Match Log'!$E$4:$E$1510="Win")*COUNTIFS('Match Log'!$A$4:$A$1510,'Match Log'!$A$4:$A$1510,'Match Log'!$D$4:$D$1510,$A11,'Match Log'!$E$4:$E$1510,"Loss"))),"0%")&amp;" of "&amp;(SUMPRODUCT(('Match Log'!$D$4:$D$1510=$A11)*('Match Log'!$E$4:$E$1510="Win")*COUNTIFS('Match Log'!$A$4:$A$1510,'Match Log'!$A$4:$A$1510,'Match Log'!$D$4:$D$1510,M$4,'Match Log'!$E$4:$E$1510,"Loss"))+SUMPRODUCT(('Match Log'!$D$4:$D$1510=M$4)*('Match Log'!$E$4:$E$1510="Win")*COUNTIFS('Match Log'!$A$4:$A$1510,'Match Log'!$A$4:$A$1510,'Match Log'!$D$4:$D$1510,$A11,'Match Log'!$E$4:$E$1510,"Loss")))))</f>
        <v>100% of 1</v>
      </c>
      <c r="N11" s="56" t="str">
        <f>IF($A11=N$4,"—",IF((SUMPRODUCT(('Match Log'!$D$4:$D$1510=$A11)*('Match Log'!$E$4:$E$1510="Win")*COUNTIFS('Match Log'!$A$4:$A$1510,'Match Log'!$A$4:$A$1510,'Match Log'!$D$4:$D$1510,N$4,'Match Log'!$E$4:$E$1510,"Loss"))+SUMPRODUCT(('Match Log'!$D$4:$D$1510=N$4)*('Match Log'!$E$4:$E$1510="Win")*COUNTIFS('Match Log'!$A$4:$A$1510,'Match Log'!$A$4:$A$1510,'Match Log'!$D$4:$D$1510,$A11,'Match Log'!$E$4:$E$1510,"Loss")))=0,"",TEXT(SUMPRODUCT(('Match Log'!$D$4:$D$1510=$A11)*('Match Log'!$E$4:$E$1510="Win")*COUNTIFS('Match Log'!$A$4:$A$1510,'Match Log'!$A$4:$A$1510,'Match Log'!$D$4:$D$1510,N$4,'Match Log'!$E$4:$E$1510,"Loss"))/(SUMPRODUCT(('Match Log'!$D$4:$D$1510=$A11)*('Match Log'!$E$4:$E$1510="Win")*COUNTIFS('Match Log'!$A$4:$A$1510,'Match Log'!$A$4:$A$1510,'Match Log'!$D$4:$D$1510,N$4,'Match Log'!$E$4:$E$1510,"Loss"))+SUMPRODUCT(('Match Log'!$D$4:$D$1510=N$4)*('Match Log'!$E$4:$E$1510="Win")*COUNTIFS('Match Log'!$A$4:$A$1510,'Match Log'!$A$4:$A$1510,'Match Log'!$D$4:$D$1510,$A11,'Match Log'!$E$4:$E$1510,"Loss"))),"0%")&amp;" of "&amp;(SUMPRODUCT(('Match Log'!$D$4:$D$1510=$A11)*('Match Log'!$E$4:$E$1510="Win")*COUNTIFS('Match Log'!$A$4:$A$1510,'Match Log'!$A$4:$A$1510,'Match Log'!$D$4:$D$1510,N$4,'Match Log'!$E$4:$E$1510,"Loss"))+SUMPRODUCT(('Match Log'!$D$4:$D$1510=N$4)*('Match Log'!$E$4:$E$1510="Win")*COUNTIFS('Match Log'!$A$4:$A$1510,'Match Log'!$A$4:$A$1510,'Match Log'!$D$4:$D$1510,$A11,'Match Log'!$E$4:$E$1510,"Loss")))))</f>
        <v>50% of 2</v>
      </c>
      <c r="O11" s="56" t="str">
        <f>IF($A11=O$4,"—",IF((SUMPRODUCT(('Match Log'!$D$4:$D$1510=$A11)*('Match Log'!$E$4:$E$1510="Win")*COUNTIFS('Match Log'!$A$4:$A$1510,'Match Log'!$A$4:$A$1510,'Match Log'!$D$4:$D$1510,O$4,'Match Log'!$E$4:$E$1510,"Loss"))+SUMPRODUCT(('Match Log'!$D$4:$D$1510=O$4)*('Match Log'!$E$4:$E$1510="Win")*COUNTIFS('Match Log'!$A$4:$A$1510,'Match Log'!$A$4:$A$1510,'Match Log'!$D$4:$D$1510,$A11,'Match Log'!$E$4:$E$1510,"Loss")))=0,"",TEXT(SUMPRODUCT(('Match Log'!$D$4:$D$1510=$A11)*('Match Log'!$E$4:$E$1510="Win")*COUNTIFS('Match Log'!$A$4:$A$1510,'Match Log'!$A$4:$A$1510,'Match Log'!$D$4:$D$1510,O$4,'Match Log'!$E$4:$E$1510,"Loss"))/(SUMPRODUCT(('Match Log'!$D$4:$D$1510=$A11)*('Match Log'!$E$4:$E$1510="Win")*COUNTIFS('Match Log'!$A$4:$A$1510,'Match Log'!$A$4:$A$1510,'Match Log'!$D$4:$D$1510,O$4,'Match Log'!$E$4:$E$1510,"Loss"))+SUMPRODUCT(('Match Log'!$D$4:$D$1510=O$4)*('Match Log'!$E$4:$E$1510="Win")*COUNTIFS('Match Log'!$A$4:$A$1510,'Match Log'!$A$4:$A$1510,'Match Log'!$D$4:$D$1510,$A11,'Match Log'!$E$4:$E$1510,"Loss"))),"0%")&amp;" of "&amp;(SUMPRODUCT(('Match Log'!$D$4:$D$1510=$A11)*('Match Log'!$E$4:$E$1510="Win")*COUNTIFS('Match Log'!$A$4:$A$1510,'Match Log'!$A$4:$A$1510,'Match Log'!$D$4:$D$1510,O$4,'Match Log'!$E$4:$E$1510,"Loss"))+SUMPRODUCT(('Match Log'!$D$4:$D$1510=O$4)*('Match Log'!$E$4:$E$1510="Win")*COUNTIFS('Match Log'!$A$4:$A$1510,'Match Log'!$A$4:$A$1510,'Match Log'!$D$4:$D$1510,$A11,'Match Log'!$E$4:$E$1510,"Loss")))))</f>
        <v/>
      </c>
    </row>
    <row r="12" spans="1:15" ht="15" customHeight="1" x14ac:dyDescent="0.2">
      <c r="A12" s="51" t="s">
        <v>22</v>
      </c>
      <c r="B12" s="56" t="str">
        <f>IF($A12=B$4,"—",IF((SUMPRODUCT(('Match Log'!$D$4:$D$1510=$A12)*('Match Log'!$E$4:$E$1510="Win")*COUNTIFS('Match Log'!$A$4:$A$1510,'Match Log'!$A$4:$A$1510,'Match Log'!$D$4:$D$1510,B$4,'Match Log'!$E$4:$E$1510,"Loss"))+SUMPRODUCT(('Match Log'!$D$4:$D$1510=B$4)*('Match Log'!$E$4:$E$1510="Win")*COUNTIFS('Match Log'!$A$4:$A$1510,'Match Log'!$A$4:$A$1510,'Match Log'!$D$4:$D$1510,$A12,'Match Log'!$E$4:$E$1510,"Loss")))=0,"",TEXT(SUMPRODUCT(('Match Log'!$D$4:$D$1510=$A12)*('Match Log'!$E$4:$E$1510="Win")*COUNTIFS('Match Log'!$A$4:$A$1510,'Match Log'!$A$4:$A$1510,'Match Log'!$D$4:$D$1510,B$4,'Match Log'!$E$4:$E$1510,"Loss"))/(SUMPRODUCT(('Match Log'!$D$4:$D$1510=$A12)*('Match Log'!$E$4:$E$1510="Win")*COUNTIFS('Match Log'!$A$4:$A$1510,'Match Log'!$A$4:$A$1510,'Match Log'!$D$4:$D$1510,B$4,'Match Log'!$E$4:$E$1510,"Loss"))+SUMPRODUCT(('Match Log'!$D$4:$D$1510=B$4)*('Match Log'!$E$4:$E$1510="Win")*COUNTIFS('Match Log'!$A$4:$A$1510,'Match Log'!$A$4:$A$1510,'Match Log'!$D$4:$D$1510,$A12,'Match Log'!$E$4:$E$1510,"Loss"))),"0%")&amp;" of "&amp;(SUMPRODUCT(('Match Log'!$D$4:$D$1510=$A12)*('Match Log'!$E$4:$E$1510="Win")*COUNTIFS('Match Log'!$A$4:$A$1510,'Match Log'!$A$4:$A$1510,'Match Log'!$D$4:$D$1510,B$4,'Match Log'!$E$4:$E$1510,"Loss"))+SUMPRODUCT(('Match Log'!$D$4:$D$1510=B$4)*('Match Log'!$E$4:$E$1510="Win")*COUNTIFS('Match Log'!$A$4:$A$1510,'Match Log'!$A$4:$A$1510,'Match Log'!$D$4:$D$1510,$A12,'Match Log'!$E$4:$E$1510,"Loss")))))</f>
        <v>47% of 30</v>
      </c>
      <c r="C12" s="56" t="str">
        <f>IF($A12=C$4,"—",IF((SUMPRODUCT(('Match Log'!$D$4:$D$1510=$A12)*('Match Log'!$E$4:$E$1510="Win")*COUNTIFS('Match Log'!$A$4:$A$1510,'Match Log'!$A$4:$A$1510,'Match Log'!$D$4:$D$1510,C$4,'Match Log'!$E$4:$E$1510,"Loss"))+SUMPRODUCT(('Match Log'!$D$4:$D$1510=C$4)*('Match Log'!$E$4:$E$1510="Win")*COUNTIFS('Match Log'!$A$4:$A$1510,'Match Log'!$A$4:$A$1510,'Match Log'!$D$4:$D$1510,$A12,'Match Log'!$E$4:$E$1510,"Loss")))=0,"",TEXT(SUMPRODUCT(('Match Log'!$D$4:$D$1510=$A12)*('Match Log'!$E$4:$E$1510="Win")*COUNTIFS('Match Log'!$A$4:$A$1510,'Match Log'!$A$4:$A$1510,'Match Log'!$D$4:$D$1510,C$4,'Match Log'!$E$4:$E$1510,"Loss"))/(SUMPRODUCT(('Match Log'!$D$4:$D$1510=$A12)*('Match Log'!$E$4:$E$1510="Win")*COUNTIFS('Match Log'!$A$4:$A$1510,'Match Log'!$A$4:$A$1510,'Match Log'!$D$4:$D$1510,C$4,'Match Log'!$E$4:$E$1510,"Loss"))+SUMPRODUCT(('Match Log'!$D$4:$D$1510=C$4)*('Match Log'!$E$4:$E$1510="Win")*COUNTIFS('Match Log'!$A$4:$A$1510,'Match Log'!$A$4:$A$1510,'Match Log'!$D$4:$D$1510,$A12,'Match Log'!$E$4:$E$1510,"Loss"))),"0%")&amp;" of "&amp;(SUMPRODUCT(('Match Log'!$D$4:$D$1510=$A12)*('Match Log'!$E$4:$E$1510="Win")*COUNTIFS('Match Log'!$A$4:$A$1510,'Match Log'!$A$4:$A$1510,'Match Log'!$D$4:$D$1510,C$4,'Match Log'!$E$4:$E$1510,"Loss"))+SUMPRODUCT(('Match Log'!$D$4:$D$1510=C$4)*('Match Log'!$E$4:$E$1510="Win")*COUNTIFS('Match Log'!$A$4:$A$1510,'Match Log'!$A$4:$A$1510,'Match Log'!$D$4:$D$1510,$A12,'Match Log'!$E$4:$E$1510,"Loss")))))</f>
        <v>0% of 2</v>
      </c>
      <c r="D12" s="56" t="str">
        <f>IF($A12=D$4,"—",IF((SUMPRODUCT(('Match Log'!$D$4:$D$1510=$A12)*('Match Log'!$E$4:$E$1510="Win")*COUNTIFS('Match Log'!$A$4:$A$1510,'Match Log'!$A$4:$A$1510,'Match Log'!$D$4:$D$1510,D$4,'Match Log'!$E$4:$E$1510,"Loss"))+SUMPRODUCT(('Match Log'!$D$4:$D$1510=D$4)*('Match Log'!$E$4:$E$1510="Win")*COUNTIFS('Match Log'!$A$4:$A$1510,'Match Log'!$A$4:$A$1510,'Match Log'!$D$4:$D$1510,$A12,'Match Log'!$E$4:$E$1510,"Loss")))=0,"",TEXT(SUMPRODUCT(('Match Log'!$D$4:$D$1510=$A12)*('Match Log'!$E$4:$E$1510="Win")*COUNTIFS('Match Log'!$A$4:$A$1510,'Match Log'!$A$4:$A$1510,'Match Log'!$D$4:$D$1510,D$4,'Match Log'!$E$4:$E$1510,"Loss"))/(SUMPRODUCT(('Match Log'!$D$4:$D$1510=$A12)*('Match Log'!$E$4:$E$1510="Win")*COUNTIFS('Match Log'!$A$4:$A$1510,'Match Log'!$A$4:$A$1510,'Match Log'!$D$4:$D$1510,D$4,'Match Log'!$E$4:$E$1510,"Loss"))+SUMPRODUCT(('Match Log'!$D$4:$D$1510=D$4)*('Match Log'!$E$4:$E$1510="Win")*COUNTIFS('Match Log'!$A$4:$A$1510,'Match Log'!$A$4:$A$1510,'Match Log'!$D$4:$D$1510,$A12,'Match Log'!$E$4:$E$1510,"Loss"))),"0%")&amp;" of "&amp;(SUMPRODUCT(('Match Log'!$D$4:$D$1510=$A12)*('Match Log'!$E$4:$E$1510="Win")*COUNTIFS('Match Log'!$A$4:$A$1510,'Match Log'!$A$4:$A$1510,'Match Log'!$D$4:$D$1510,D$4,'Match Log'!$E$4:$E$1510,"Loss"))+SUMPRODUCT(('Match Log'!$D$4:$D$1510=D$4)*('Match Log'!$E$4:$E$1510="Win")*COUNTIFS('Match Log'!$A$4:$A$1510,'Match Log'!$A$4:$A$1510,'Match Log'!$D$4:$D$1510,$A12,'Match Log'!$E$4:$E$1510,"Loss")))))</f>
        <v>14% of 7</v>
      </c>
      <c r="E12" s="56" t="str">
        <f>IF($A12=E$4,"—",IF((SUMPRODUCT(('Match Log'!$D$4:$D$1510=$A12)*('Match Log'!$E$4:$E$1510="Win")*COUNTIFS('Match Log'!$A$4:$A$1510,'Match Log'!$A$4:$A$1510,'Match Log'!$D$4:$D$1510,E$4,'Match Log'!$E$4:$E$1510,"Loss"))+SUMPRODUCT(('Match Log'!$D$4:$D$1510=E$4)*('Match Log'!$E$4:$E$1510="Win")*COUNTIFS('Match Log'!$A$4:$A$1510,'Match Log'!$A$4:$A$1510,'Match Log'!$D$4:$D$1510,$A12,'Match Log'!$E$4:$E$1510,"Loss")))=0,"",TEXT(SUMPRODUCT(('Match Log'!$D$4:$D$1510=$A12)*('Match Log'!$E$4:$E$1510="Win")*COUNTIFS('Match Log'!$A$4:$A$1510,'Match Log'!$A$4:$A$1510,'Match Log'!$D$4:$D$1510,E$4,'Match Log'!$E$4:$E$1510,"Loss"))/(SUMPRODUCT(('Match Log'!$D$4:$D$1510=$A12)*('Match Log'!$E$4:$E$1510="Win")*COUNTIFS('Match Log'!$A$4:$A$1510,'Match Log'!$A$4:$A$1510,'Match Log'!$D$4:$D$1510,E$4,'Match Log'!$E$4:$E$1510,"Loss"))+SUMPRODUCT(('Match Log'!$D$4:$D$1510=E$4)*('Match Log'!$E$4:$E$1510="Win")*COUNTIFS('Match Log'!$A$4:$A$1510,'Match Log'!$A$4:$A$1510,'Match Log'!$D$4:$D$1510,$A12,'Match Log'!$E$4:$E$1510,"Loss"))),"0%")&amp;" of "&amp;(SUMPRODUCT(('Match Log'!$D$4:$D$1510=$A12)*('Match Log'!$E$4:$E$1510="Win")*COUNTIFS('Match Log'!$A$4:$A$1510,'Match Log'!$A$4:$A$1510,'Match Log'!$D$4:$D$1510,E$4,'Match Log'!$E$4:$E$1510,"Loss"))+SUMPRODUCT(('Match Log'!$D$4:$D$1510=E$4)*('Match Log'!$E$4:$E$1510="Win")*COUNTIFS('Match Log'!$A$4:$A$1510,'Match Log'!$A$4:$A$1510,'Match Log'!$D$4:$D$1510,$A12,'Match Log'!$E$4:$E$1510,"Loss")))))</f>
        <v>100% of 4</v>
      </c>
      <c r="F12" s="56" t="str">
        <f>IF($A12=F$4,"—",IF((SUMPRODUCT(('Match Log'!$D$4:$D$1510=$A12)*('Match Log'!$E$4:$E$1510="Win")*COUNTIFS('Match Log'!$A$4:$A$1510,'Match Log'!$A$4:$A$1510,'Match Log'!$D$4:$D$1510,F$4,'Match Log'!$E$4:$E$1510,"Loss"))+SUMPRODUCT(('Match Log'!$D$4:$D$1510=F$4)*('Match Log'!$E$4:$E$1510="Win")*COUNTIFS('Match Log'!$A$4:$A$1510,'Match Log'!$A$4:$A$1510,'Match Log'!$D$4:$D$1510,$A12,'Match Log'!$E$4:$E$1510,"Loss")))=0,"",TEXT(SUMPRODUCT(('Match Log'!$D$4:$D$1510=$A12)*('Match Log'!$E$4:$E$1510="Win")*COUNTIFS('Match Log'!$A$4:$A$1510,'Match Log'!$A$4:$A$1510,'Match Log'!$D$4:$D$1510,F$4,'Match Log'!$E$4:$E$1510,"Loss"))/(SUMPRODUCT(('Match Log'!$D$4:$D$1510=$A12)*('Match Log'!$E$4:$E$1510="Win")*COUNTIFS('Match Log'!$A$4:$A$1510,'Match Log'!$A$4:$A$1510,'Match Log'!$D$4:$D$1510,F$4,'Match Log'!$E$4:$E$1510,"Loss"))+SUMPRODUCT(('Match Log'!$D$4:$D$1510=F$4)*('Match Log'!$E$4:$E$1510="Win")*COUNTIFS('Match Log'!$A$4:$A$1510,'Match Log'!$A$4:$A$1510,'Match Log'!$D$4:$D$1510,$A12,'Match Log'!$E$4:$E$1510,"Loss"))),"0%")&amp;" of "&amp;(SUMPRODUCT(('Match Log'!$D$4:$D$1510=$A12)*('Match Log'!$E$4:$E$1510="Win")*COUNTIFS('Match Log'!$A$4:$A$1510,'Match Log'!$A$4:$A$1510,'Match Log'!$D$4:$D$1510,F$4,'Match Log'!$E$4:$E$1510,"Loss"))+SUMPRODUCT(('Match Log'!$D$4:$D$1510=F$4)*('Match Log'!$E$4:$E$1510="Win")*COUNTIFS('Match Log'!$A$4:$A$1510,'Match Log'!$A$4:$A$1510,'Match Log'!$D$4:$D$1510,$A12,'Match Log'!$E$4:$E$1510,"Loss")))))</f>
        <v>36% of 33</v>
      </c>
      <c r="G12" s="56" t="str">
        <f>IF($A12=G$4,"—",IF((SUMPRODUCT(('Match Log'!$D$4:$D$1510=$A12)*('Match Log'!$E$4:$E$1510="Win")*COUNTIFS('Match Log'!$A$4:$A$1510,'Match Log'!$A$4:$A$1510,'Match Log'!$D$4:$D$1510,G$4,'Match Log'!$E$4:$E$1510,"Loss"))+SUMPRODUCT(('Match Log'!$D$4:$D$1510=G$4)*('Match Log'!$E$4:$E$1510="Win")*COUNTIFS('Match Log'!$A$4:$A$1510,'Match Log'!$A$4:$A$1510,'Match Log'!$D$4:$D$1510,$A12,'Match Log'!$E$4:$E$1510,"Loss")))=0,"",TEXT(SUMPRODUCT(('Match Log'!$D$4:$D$1510=$A12)*('Match Log'!$E$4:$E$1510="Win")*COUNTIFS('Match Log'!$A$4:$A$1510,'Match Log'!$A$4:$A$1510,'Match Log'!$D$4:$D$1510,G$4,'Match Log'!$E$4:$E$1510,"Loss"))/(SUMPRODUCT(('Match Log'!$D$4:$D$1510=$A12)*('Match Log'!$E$4:$E$1510="Win")*COUNTIFS('Match Log'!$A$4:$A$1510,'Match Log'!$A$4:$A$1510,'Match Log'!$D$4:$D$1510,G$4,'Match Log'!$E$4:$E$1510,"Loss"))+SUMPRODUCT(('Match Log'!$D$4:$D$1510=G$4)*('Match Log'!$E$4:$E$1510="Win")*COUNTIFS('Match Log'!$A$4:$A$1510,'Match Log'!$A$4:$A$1510,'Match Log'!$D$4:$D$1510,$A12,'Match Log'!$E$4:$E$1510,"Loss"))),"0%")&amp;" of "&amp;(SUMPRODUCT(('Match Log'!$D$4:$D$1510=$A12)*('Match Log'!$E$4:$E$1510="Win")*COUNTIFS('Match Log'!$A$4:$A$1510,'Match Log'!$A$4:$A$1510,'Match Log'!$D$4:$D$1510,G$4,'Match Log'!$E$4:$E$1510,"Loss"))+SUMPRODUCT(('Match Log'!$D$4:$D$1510=G$4)*('Match Log'!$E$4:$E$1510="Win")*COUNTIFS('Match Log'!$A$4:$A$1510,'Match Log'!$A$4:$A$1510,'Match Log'!$D$4:$D$1510,$A12,'Match Log'!$E$4:$E$1510,"Loss")))))</f>
        <v>47% of 68</v>
      </c>
      <c r="H12" s="56" t="str">
        <f>IF($A12=H$4,"—",IF((SUMPRODUCT(('Match Log'!$D$4:$D$1510=$A12)*('Match Log'!$E$4:$E$1510="Win")*COUNTIFS('Match Log'!$A$4:$A$1510,'Match Log'!$A$4:$A$1510,'Match Log'!$D$4:$D$1510,H$4,'Match Log'!$E$4:$E$1510,"Loss"))+SUMPRODUCT(('Match Log'!$D$4:$D$1510=H$4)*('Match Log'!$E$4:$E$1510="Win")*COUNTIFS('Match Log'!$A$4:$A$1510,'Match Log'!$A$4:$A$1510,'Match Log'!$D$4:$D$1510,$A12,'Match Log'!$E$4:$E$1510,"Loss")))=0,"",TEXT(SUMPRODUCT(('Match Log'!$D$4:$D$1510=$A12)*('Match Log'!$E$4:$E$1510="Win")*COUNTIFS('Match Log'!$A$4:$A$1510,'Match Log'!$A$4:$A$1510,'Match Log'!$D$4:$D$1510,H$4,'Match Log'!$E$4:$E$1510,"Loss"))/(SUMPRODUCT(('Match Log'!$D$4:$D$1510=$A12)*('Match Log'!$E$4:$E$1510="Win")*COUNTIFS('Match Log'!$A$4:$A$1510,'Match Log'!$A$4:$A$1510,'Match Log'!$D$4:$D$1510,H$4,'Match Log'!$E$4:$E$1510,"Loss"))+SUMPRODUCT(('Match Log'!$D$4:$D$1510=H$4)*('Match Log'!$E$4:$E$1510="Win")*COUNTIFS('Match Log'!$A$4:$A$1510,'Match Log'!$A$4:$A$1510,'Match Log'!$D$4:$D$1510,$A12,'Match Log'!$E$4:$E$1510,"Loss"))),"0%")&amp;" of "&amp;(SUMPRODUCT(('Match Log'!$D$4:$D$1510=$A12)*('Match Log'!$E$4:$E$1510="Win")*COUNTIFS('Match Log'!$A$4:$A$1510,'Match Log'!$A$4:$A$1510,'Match Log'!$D$4:$D$1510,H$4,'Match Log'!$E$4:$E$1510,"Loss"))+SUMPRODUCT(('Match Log'!$D$4:$D$1510=H$4)*('Match Log'!$E$4:$E$1510="Win")*COUNTIFS('Match Log'!$A$4:$A$1510,'Match Log'!$A$4:$A$1510,'Match Log'!$D$4:$D$1510,$A12,'Match Log'!$E$4:$E$1510,"Loss")))))</f>
        <v>100% of 1</v>
      </c>
      <c r="I12" s="56" t="str">
        <f>IF($A12=I$4,"—",IF((SUMPRODUCT(('Match Log'!$D$4:$D$1510=$A12)*('Match Log'!$E$4:$E$1510="Win")*COUNTIFS('Match Log'!$A$4:$A$1510,'Match Log'!$A$4:$A$1510,'Match Log'!$D$4:$D$1510,I$4,'Match Log'!$E$4:$E$1510,"Loss"))+SUMPRODUCT(('Match Log'!$D$4:$D$1510=I$4)*('Match Log'!$E$4:$E$1510="Win")*COUNTIFS('Match Log'!$A$4:$A$1510,'Match Log'!$A$4:$A$1510,'Match Log'!$D$4:$D$1510,$A12,'Match Log'!$E$4:$E$1510,"Loss")))=0,"",TEXT(SUMPRODUCT(('Match Log'!$D$4:$D$1510=$A12)*('Match Log'!$E$4:$E$1510="Win")*COUNTIFS('Match Log'!$A$4:$A$1510,'Match Log'!$A$4:$A$1510,'Match Log'!$D$4:$D$1510,I$4,'Match Log'!$E$4:$E$1510,"Loss"))/(SUMPRODUCT(('Match Log'!$D$4:$D$1510=$A12)*('Match Log'!$E$4:$E$1510="Win")*COUNTIFS('Match Log'!$A$4:$A$1510,'Match Log'!$A$4:$A$1510,'Match Log'!$D$4:$D$1510,I$4,'Match Log'!$E$4:$E$1510,"Loss"))+SUMPRODUCT(('Match Log'!$D$4:$D$1510=I$4)*('Match Log'!$E$4:$E$1510="Win")*COUNTIFS('Match Log'!$A$4:$A$1510,'Match Log'!$A$4:$A$1510,'Match Log'!$D$4:$D$1510,$A12,'Match Log'!$E$4:$E$1510,"Loss"))),"0%")&amp;" of "&amp;(SUMPRODUCT(('Match Log'!$D$4:$D$1510=$A12)*('Match Log'!$E$4:$E$1510="Win")*COUNTIFS('Match Log'!$A$4:$A$1510,'Match Log'!$A$4:$A$1510,'Match Log'!$D$4:$D$1510,I$4,'Match Log'!$E$4:$E$1510,"Loss"))+SUMPRODUCT(('Match Log'!$D$4:$D$1510=I$4)*('Match Log'!$E$4:$E$1510="Win")*COUNTIFS('Match Log'!$A$4:$A$1510,'Match Log'!$A$4:$A$1510,'Match Log'!$D$4:$D$1510,$A12,'Match Log'!$E$4:$E$1510,"Loss")))))</f>
        <v>—</v>
      </c>
      <c r="J12" s="56" t="str">
        <f>IF($A12=J$4,"—",IF((SUMPRODUCT(('Match Log'!$D$4:$D$1510=$A12)*('Match Log'!$E$4:$E$1510="Win")*COUNTIFS('Match Log'!$A$4:$A$1510,'Match Log'!$A$4:$A$1510,'Match Log'!$D$4:$D$1510,J$4,'Match Log'!$E$4:$E$1510,"Loss"))+SUMPRODUCT(('Match Log'!$D$4:$D$1510=J$4)*('Match Log'!$E$4:$E$1510="Win")*COUNTIFS('Match Log'!$A$4:$A$1510,'Match Log'!$A$4:$A$1510,'Match Log'!$D$4:$D$1510,$A12,'Match Log'!$E$4:$E$1510,"Loss")))=0,"",TEXT(SUMPRODUCT(('Match Log'!$D$4:$D$1510=$A12)*('Match Log'!$E$4:$E$1510="Win")*COUNTIFS('Match Log'!$A$4:$A$1510,'Match Log'!$A$4:$A$1510,'Match Log'!$D$4:$D$1510,J$4,'Match Log'!$E$4:$E$1510,"Loss"))/(SUMPRODUCT(('Match Log'!$D$4:$D$1510=$A12)*('Match Log'!$E$4:$E$1510="Win")*COUNTIFS('Match Log'!$A$4:$A$1510,'Match Log'!$A$4:$A$1510,'Match Log'!$D$4:$D$1510,J$4,'Match Log'!$E$4:$E$1510,"Loss"))+SUMPRODUCT(('Match Log'!$D$4:$D$1510=J$4)*('Match Log'!$E$4:$E$1510="Win")*COUNTIFS('Match Log'!$A$4:$A$1510,'Match Log'!$A$4:$A$1510,'Match Log'!$D$4:$D$1510,$A12,'Match Log'!$E$4:$E$1510,"Loss"))),"0%")&amp;" of "&amp;(SUMPRODUCT(('Match Log'!$D$4:$D$1510=$A12)*('Match Log'!$E$4:$E$1510="Win")*COUNTIFS('Match Log'!$A$4:$A$1510,'Match Log'!$A$4:$A$1510,'Match Log'!$D$4:$D$1510,J$4,'Match Log'!$E$4:$E$1510,"Loss"))+SUMPRODUCT(('Match Log'!$D$4:$D$1510=J$4)*('Match Log'!$E$4:$E$1510="Win")*COUNTIFS('Match Log'!$A$4:$A$1510,'Match Log'!$A$4:$A$1510,'Match Log'!$D$4:$D$1510,$A12,'Match Log'!$E$4:$E$1510,"Loss")))))</f>
        <v>33% of 12</v>
      </c>
      <c r="K12" s="56" t="str">
        <f>IF($A12=K$4,"—",IF((SUMPRODUCT(('Match Log'!$D$4:$D$1510=$A12)*('Match Log'!$E$4:$E$1510="Win")*COUNTIFS('Match Log'!$A$4:$A$1510,'Match Log'!$A$4:$A$1510,'Match Log'!$D$4:$D$1510,K$4,'Match Log'!$E$4:$E$1510,"Loss"))+SUMPRODUCT(('Match Log'!$D$4:$D$1510=K$4)*('Match Log'!$E$4:$E$1510="Win")*COUNTIFS('Match Log'!$A$4:$A$1510,'Match Log'!$A$4:$A$1510,'Match Log'!$D$4:$D$1510,$A12,'Match Log'!$E$4:$E$1510,"Loss")))=0,"",TEXT(SUMPRODUCT(('Match Log'!$D$4:$D$1510=$A12)*('Match Log'!$E$4:$E$1510="Win")*COUNTIFS('Match Log'!$A$4:$A$1510,'Match Log'!$A$4:$A$1510,'Match Log'!$D$4:$D$1510,K$4,'Match Log'!$E$4:$E$1510,"Loss"))/(SUMPRODUCT(('Match Log'!$D$4:$D$1510=$A12)*('Match Log'!$E$4:$E$1510="Win")*COUNTIFS('Match Log'!$A$4:$A$1510,'Match Log'!$A$4:$A$1510,'Match Log'!$D$4:$D$1510,K$4,'Match Log'!$E$4:$E$1510,"Loss"))+SUMPRODUCT(('Match Log'!$D$4:$D$1510=K$4)*('Match Log'!$E$4:$E$1510="Win")*COUNTIFS('Match Log'!$A$4:$A$1510,'Match Log'!$A$4:$A$1510,'Match Log'!$D$4:$D$1510,$A12,'Match Log'!$E$4:$E$1510,"Loss"))),"0%")&amp;" of "&amp;(SUMPRODUCT(('Match Log'!$D$4:$D$1510=$A12)*('Match Log'!$E$4:$E$1510="Win")*COUNTIFS('Match Log'!$A$4:$A$1510,'Match Log'!$A$4:$A$1510,'Match Log'!$D$4:$D$1510,K$4,'Match Log'!$E$4:$E$1510,"Loss"))+SUMPRODUCT(('Match Log'!$D$4:$D$1510=K$4)*('Match Log'!$E$4:$E$1510="Win")*COUNTIFS('Match Log'!$A$4:$A$1510,'Match Log'!$A$4:$A$1510,'Match Log'!$D$4:$D$1510,$A12,'Match Log'!$E$4:$E$1510,"Loss")))))</f>
        <v>100% of 2</v>
      </c>
      <c r="L12" s="56" t="str">
        <f>IF($A12=L$4,"—",IF((SUMPRODUCT(('Match Log'!$D$4:$D$1510=$A12)*('Match Log'!$E$4:$E$1510="Win")*COUNTIFS('Match Log'!$A$4:$A$1510,'Match Log'!$A$4:$A$1510,'Match Log'!$D$4:$D$1510,L$4,'Match Log'!$E$4:$E$1510,"Loss"))+SUMPRODUCT(('Match Log'!$D$4:$D$1510=L$4)*('Match Log'!$E$4:$E$1510="Win")*COUNTIFS('Match Log'!$A$4:$A$1510,'Match Log'!$A$4:$A$1510,'Match Log'!$D$4:$D$1510,$A12,'Match Log'!$E$4:$E$1510,"Loss")))=0,"",TEXT(SUMPRODUCT(('Match Log'!$D$4:$D$1510=$A12)*('Match Log'!$E$4:$E$1510="Win")*COUNTIFS('Match Log'!$A$4:$A$1510,'Match Log'!$A$4:$A$1510,'Match Log'!$D$4:$D$1510,L$4,'Match Log'!$E$4:$E$1510,"Loss"))/(SUMPRODUCT(('Match Log'!$D$4:$D$1510=$A12)*('Match Log'!$E$4:$E$1510="Win")*COUNTIFS('Match Log'!$A$4:$A$1510,'Match Log'!$A$4:$A$1510,'Match Log'!$D$4:$D$1510,L$4,'Match Log'!$E$4:$E$1510,"Loss"))+SUMPRODUCT(('Match Log'!$D$4:$D$1510=L$4)*('Match Log'!$E$4:$E$1510="Win")*COUNTIFS('Match Log'!$A$4:$A$1510,'Match Log'!$A$4:$A$1510,'Match Log'!$D$4:$D$1510,$A12,'Match Log'!$E$4:$E$1510,"Loss"))),"0%")&amp;" of "&amp;(SUMPRODUCT(('Match Log'!$D$4:$D$1510=$A12)*('Match Log'!$E$4:$E$1510="Win")*COUNTIFS('Match Log'!$A$4:$A$1510,'Match Log'!$A$4:$A$1510,'Match Log'!$D$4:$D$1510,L$4,'Match Log'!$E$4:$E$1510,"Loss"))+SUMPRODUCT(('Match Log'!$D$4:$D$1510=L$4)*('Match Log'!$E$4:$E$1510="Win")*COUNTIFS('Match Log'!$A$4:$A$1510,'Match Log'!$A$4:$A$1510,'Match Log'!$D$4:$D$1510,$A12,'Match Log'!$E$4:$E$1510,"Loss")))))</f>
        <v>70% of 10</v>
      </c>
      <c r="M12" s="56" t="str">
        <f>IF($A12=M$4,"—",IF((SUMPRODUCT(('Match Log'!$D$4:$D$1510=$A12)*('Match Log'!$E$4:$E$1510="Win")*COUNTIFS('Match Log'!$A$4:$A$1510,'Match Log'!$A$4:$A$1510,'Match Log'!$D$4:$D$1510,M$4,'Match Log'!$E$4:$E$1510,"Loss"))+SUMPRODUCT(('Match Log'!$D$4:$D$1510=M$4)*('Match Log'!$E$4:$E$1510="Win")*COUNTIFS('Match Log'!$A$4:$A$1510,'Match Log'!$A$4:$A$1510,'Match Log'!$D$4:$D$1510,$A12,'Match Log'!$E$4:$E$1510,"Loss")))=0,"",TEXT(SUMPRODUCT(('Match Log'!$D$4:$D$1510=$A12)*('Match Log'!$E$4:$E$1510="Win")*COUNTIFS('Match Log'!$A$4:$A$1510,'Match Log'!$A$4:$A$1510,'Match Log'!$D$4:$D$1510,M$4,'Match Log'!$E$4:$E$1510,"Loss"))/(SUMPRODUCT(('Match Log'!$D$4:$D$1510=$A12)*('Match Log'!$E$4:$E$1510="Win")*COUNTIFS('Match Log'!$A$4:$A$1510,'Match Log'!$A$4:$A$1510,'Match Log'!$D$4:$D$1510,M$4,'Match Log'!$E$4:$E$1510,"Loss"))+SUMPRODUCT(('Match Log'!$D$4:$D$1510=M$4)*('Match Log'!$E$4:$E$1510="Win")*COUNTIFS('Match Log'!$A$4:$A$1510,'Match Log'!$A$4:$A$1510,'Match Log'!$D$4:$D$1510,$A12,'Match Log'!$E$4:$E$1510,"Loss"))),"0%")&amp;" of "&amp;(SUMPRODUCT(('Match Log'!$D$4:$D$1510=$A12)*('Match Log'!$E$4:$E$1510="Win")*COUNTIFS('Match Log'!$A$4:$A$1510,'Match Log'!$A$4:$A$1510,'Match Log'!$D$4:$D$1510,M$4,'Match Log'!$E$4:$E$1510,"Loss"))+SUMPRODUCT(('Match Log'!$D$4:$D$1510=M$4)*('Match Log'!$E$4:$E$1510="Win")*COUNTIFS('Match Log'!$A$4:$A$1510,'Match Log'!$A$4:$A$1510,'Match Log'!$D$4:$D$1510,$A12,'Match Log'!$E$4:$E$1510,"Loss")))))</f>
        <v>57% of 7</v>
      </c>
      <c r="N12" s="56" t="str">
        <f>IF($A12=N$4,"—",IF((SUMPRODUCT(('Match Log'!$D$4:$D$1510=$A12)*('Match Log'!$E$4:$E$1510="Win")*COUNTIFS('Match Log'!$A$4:$A$1510,'Match Log'!$A$4:$A$1510,'Match Log'!$D$4:$D$1510,N$4,'Match Log'!$E$4:$E$1510,"Loss"))+SUMPRODUCT(('Match Log'!$D$4:$D$1510=N$4)*('Match Log'!$E$4:$E$1510="Win")*COUNTIFS('Match Log'!$A$4:$A$1510,'Match Log'!$A$4:$A$1510,'Match Log'!$D$4:$D$1510,$A12,'Match Log'!$E$4:$E$1510,"Loss")))=0,"",TEXT(SUMPRODUCT(('Match Log'!$D$4:$D$1510=$A12)*('Match Log'!$E$4:$E$1510="Win")*COUNTIFS('Match Log'!$A$4:$A$1510,'Match Log'!$A$4:$A$1510,'Match Log'!$D$4:$D$1510,N$4,'Match Log'!$E$4:$E$1510,"Loss"))/(SUMPRODUCT(('Match Log'!$D$4:$D$1510=$A12)*('Match Log'!$E$4:$E$1510="Win")*COUNTIFS('Match Log'!$A$4:$A$1510,'Match Log'!$A$4:$A$1510,'Match Log'!$D$4:$D$1510,N$4,'Match Log'!$E$4:$E$1510,"Loss"))+SUMPRODUCT(('Match Log'!$D$4:$D$1510=N$4)*('Match Log'!$E$4:$E$1510="Win")*COUNTIFS('Match Log'!$A$4:$A$1510,'Match Log'!$A$4:$A$1510,'Match Log'!$D$4:$D$1510,$A12,'Match Log'!$E$4:$E$1510,"Loss"))),"0%")&amp;" of "&amp;(SUMPRODUCT(('Match Log'!$D$4:$D$1510=$A12)*('Match Log'!$E$4:$E$1510="Win")*COUNTIFS('Match Log'!$A$4:$A$1510,'Match Log'!$A$4:$A$1510,'Match Log'!$D$4:$D$1510,N$4,'Match Log'!$E$4:$E$1510,"Loss"))+SUMPRODUCT(('Match Log'!$D$4:$D$1510=N$4)*('Match Log'!$E$4:$E$1510="Win")*COUNTIFS('Match Log'!$A$4:$A$1510,'Match Log'!$A$4:$A$1510,'Match Log'!$D$4:$D$1510,$A12,'Match Log'!$E$4:$E$1510,"Loss")))))</f>
        <v>83% of 6</v>
      </c>
      <c r="O12" s="56" t="str">
        <f>IF($A12=O$4,"—",IF((SUMPRODUCT(('Match Log'!$D$4:$D$1510=$A12)*('Match Log'!$E$4:$E$1510="Win")*COUNTIFS('Match Log'!$A$4:$A$1510,'Match Log'!$A$4:$A$1510,'Match Log'!$D$4:$D$1510,O$4,'Match Log'!$E$4:$E$1510,"Loss"))+SUMPRODUCT(('Match Log'!$D$4:$D$1510=O$4)*('Match Log'!$E$4:$E$1510="Win")*COUNTIFS('Match Log'!$A$4:$A$1510,'Match Log'!$A$4:$A$1510,'Match Log'!$D$4:$D$1510,$A12,'Match Log'!$E$4:$E$1510,"Loss")))=0,"",TEXT(SUMPRODUCT(('Match Log'!$D$4:$D$1510=$A12)*('Match Log'!$E$4:$E$1510="Win")*COUNTIFS('Match Log'!$A$4:$A$1510,'Match Log'!$A$4:$A$1510,'Match Log'!$D$4:$D$1510,O$4,'Match Log'!$E$4:$E$1510,"Loss"))/(SUMPRODUCT(('Match Log'!$D$4:$D$1510=$A12)*('Match Log'!$E$4:$E$1510="Win")*COUNTIFS('Match Log'!$A$4:$A$1510,'Match Log'!$A$4:$A$1510,'Match Log'!$D$4:$D$1510,O$4,'Match Log'!$E$4:$E$1510,"Loss"))+SUMPRODUCT(('Match Log'!$D$4:$D$1510=O$4)*('Match Log'!$E$4:$E$1510="Win")*COUNTIFS('Match Log'!$A$4:$A$1510,'Match Log'!$A$4:$A$1510,'Match Log'!$D$4:$D$1510,$A12,'Match Log'!$E$4:$E$1510,"Loss"))),"0%")&amp;" of "&amp;(SUMPRODUCT(('Match Log'!$D$4:$D$1510=$A12)*('Match Log'!$E$4:$E$1510="Win")*COUNTIFS('Match Log'!$A$4:$A$1510,'Match Log'!$A$4:$A$1510,'Match Log'!$D$4:$D$1510,O$4,'Match Log'!$E$4:$E$1510,"Loss"))+SUMPRODUCT(('Match Log'!$D$4:$D$1510=O$4)*('Match Log'!$E$4:$E$1510="Win")*COUNTIFS('Match Log'!$A$4:$A$1510,'Match Log'!$A$4:$A$1510,'Match Log'!$D$4:$D$1510,$A12,'Match Log'!$E$4:$E$1510,"Loss")))))</f>
        <v/>
      </c>
    </row>
    <row r="13" spans="1:15" ht="15" customHeight="1" x14ac:dyDescent="0.2">
      <c r="A13" s="51" t="s">
        <v>23</v>
      </c>
      <c r="B13" s="56" t="str">
        <f>IF($A13=B$4,"—",IF((SUMPRODUCT(('Match Log'!$D$4:$D$1510=$A13)*('Match Log'!$E$4:$E$1510="Win")*COUNTIFS('Match Log'!$A$4:$A$1510,'Match Log'!$A$4:$A$1510,'Match Log'!$D$4:$D$1510,B$4,'Match Log'!$E$4:$E$1510,"Loss"))+SUMPRODUCT(('Match Log'!$D$4:$D$1510=B$4)*('Match Log'!$E$4:$E$1510="Win")*COUNTIFS('Match Log'!$A$4:$A$1510,'Match Log'!$A$4:$A$1510,'Match Log'!$D$4:$D$1510,$A13,'Match Log'!$E$4:$E$1510,"Loss")))=0,"",TEXT(SUMPRODUCT(('Match Log'!$D$4:$D$1510=$A13)*('Match Log'!$E$4:$E$1510="Win")*COUNTIFS('Match Log'!$A$4:$A$1510,'Match Log'!$A$4:$A$1510,'Match Log'!$D$4:$D$1510,B$4,'Match Log'!$E$4:$E$1510,"Loss"))/(SUMPRODUCT(('Match Log'!$D$4:$D$1510=$A13)*('Match Log'!$E$4:$E$1510="Win")*COUNTIFS('Match Log'!$A$4:$A$1510,'Match Log'!$A$4:$A$1510,'Match Log'!$D$4:$D$1510,B$4,'Match Log'!$E$4:$E$1510,"Loss"))+SUMPRODUCT(('Match Log'!$D$4:$D$1510=B$4)*('Match Log'!$E$4:$E$1510="Win")*COUNTIFS('Match Log'!$A$4:$A$1510,'Match Log'!$A$4:$A$1510,'Match Log'!$D$4:$D$1510,$A13,'Match Log'!$E$4:$E$1510,"Loss"))),"0%")&amp;" of "&amp;(SUMPRODUCT(('Match Log'!$D$4:$D$1510=$A13)*('Match Log'!$E$4:$E$1510="Win")*COUNTIFS('Match Log'!$A$4:$A$1510,'Match Log'!$A$4:$A$1510,'Match Log'!$D$4:$D$1510,B$4,'Match Log'!$E$4:$E$1510,"Loss"))+SUMPRODUCT(('Match Log'!$D$4:$D$1510=B$4)*('Match Log'!$E$4:$E$1510="Win")*COUNTIFS('Match Log'!$A$4:$A$1510,'Match Log'!$A$4:$A$1510,'Match Log'!$D$4:$D$1510,$A13,'Match Log'!$E$4:$E$1510,"Loss")))))</f>
        <v>25% of 4</v>
      </c>
      <c r="C13" s="56" t="str">
        <f>IF($A13=C$4,"—",IF((SUMPRODUCT(('Match Log'!$D$4:$D$1510=$A13)*('Match Log'!$E$4:$E$1510="Win")*COUNTIFS('Match Log'!$A$4:$A$1510,'Match Log'!$A$4:$A$1510,'Match Log'!$D$4:$D$1510,C$4,'Match Log'!$E$4:$E$1510,"Loss"))+SUMPRODUCT(('Match Log'!$D$4:$D$1510=C$4)*('Match Log'!$E$4:$E$1510="Win")*COUNTIFS('Match Log'!$A$4:$A$1510,'Match Log'!$A$4:$A$1510,'Match Log'!$D$4:$D$1510,$A13,'Match Log'!$E$4:$E$1510,"Loss")))=0,"",TEXT(SUMPRODUCT(('Match Log'!$D$4:$D$1510=$A13)*('Match Log'!$E$4:$E$1510="Win")*COUNTIFS('Match Log'!$A$4:$A$1510,'Match Log'!$A$4:$A$1510,'Match Log'!$D$4:$D$1510,C$4,'Match Log'!$E$4:$E$1510,"Loss"))/(SUMPRODUCT(('Match Log'!$D$4:$D$1510=$A13)*('Match Log'!$E$4:$E$1510="Win")*COUNTIFS('Match Log'!$A$4:$A$1510,'Match Log'!$A$4:$A$1510,'Match Log'!$D$4:$D$1510,C$4,'Match Log'!$E$4:$E$1510,"Loss"))+SUMPRODUCT(('Match Log'!$D$4:$D$1510=C$4)*('Match Log'!$E$4:$E$1510="Win")*COUNTIFS('Match Log'!$A$4:$A$1510,'Match Log'!$A$4:$A$1510,'Match Log'!$D$4:$D$1510,$A13,'Match Log'!$E$4:$E$1510,"Loss"))),"0%")&amp;" of "&amp;(SUMPRODUCT(('Match Log'!$D$4:$D$1510=$A13)*('Match Log'!$E$4:$E$1510="Win")*COUNTIFS('Match Log'!$A$4:$A$1510,'Match Log'!$A$4:$A$1510,'Match Log'!$D$4:$D$1510,C$4,'Match Log'!$E$4:$E$1510,"Loss"))+SUMPRODUCT(('Match Log'!$D$4:$D$1510=C$4)*('Match Log'!$E$4:$E$1510="Win")*COUNTIFS('Match Log'!$A$4:$A$1510,'Match Log'!$A$4:$A$1510,'Match Log'!$D$4:$D$1510,$A13,'Match Log'!$E$4:$E$1510,"Loss")))))</f>
        <v>0% of 2</v>
      </c>
      <c r="D13" s="56" t="str">
        <f>IF($A13=D$4,"—",IF((SUMPRODUCT(('Match Log'!$D$4:$D$1510=$A13)*('Match Log'!$E$4:$E$1510="Win")*COUNTIFS('Match Log'!$A$4:$A$1510,'Match Log'!$A$4:$A$1510,'Match Log'!$D$4:$D$1510,D$4,'Match Log'!$E$4:$E$1510,"Loss"))+SUMPRODUCT(('Match Log'!$D$4:$D$1510=D$4)*('Match Log'!$E$4:$E$1510="Win")*COUNTIFS('Match Log'!$A$4:$A$1510,'Match Log'!$A$4:$A$1510,'Match Log'!$D$4:$D$1510,$A13,'Match Log'!$E$4:$E$1510,"Loss")))=0,"",TEXT(SUMPRODUCT(('Match Log'!$D$4:$D$1510=$A13)*('Match Log'!$E$4:$E$1510="Win")*COUNTIFS('Match Log'!$A$4:$A$1510,'Match Log'!$A$4:$A$1510,'Match Log'!$D$4:$D$1510,D$4,'Match Log'!$E$4:$E$1510,"Loss"))/(SUMPRODUCT(('Match Log'!$D$4:$D$1510=$A13)*('Match Log'!$E$4:$E$1510="Win")*COUNTIFS('Match Log'!$A$4:$A$1510,'Match Log'!$A$4:$A$1510,'Match Log'!$D$4:$D$1510,D$4,'Match Log'!$E$4:$E$1510,"Loss"))+SUMPRODUCT(('Match Log'!$D$4:$D$1510=D$4)*('Match Log'!$E$4:$E$1510="Win")*COUNTIFS('Match Log'!$A$4:$A$1510,'Match Log'!$A$4:$A$1510,'Match Log'!$D$4:$D$1510,$A13,'Match Log'!$E$4:$E$1510,"Loss"))),"0%")&amp;" of "&amp;(SUMPRODUCT(('Match Log'!$D$4:$D$1510=$A13)*('Match Log'!$E$4:$E$1510="Win")*COUNTIFS('Match Log'!$A$4:$A$1510,'Match Log'!$A$4:$A$1510,'Match Log'!$D$4:$D$1510,D$4,'Match Log'!$E$4:$E$1510,"Loss"))+SUMPRODUCT(('Match Log'!$D$4:$D$1510=D$4)*('Match Log'!$E$4:$E$1510="Win")*COUNTIFS('Match Log'!$A$4:$A$1510,'Match Log'!$A$4:$A$1510,'Match Log'!$D$4:$D$1510,$A13,'Match Log'!$E$4:$E$1510,"Loss")))))</f>
        <v/>
      </c>
      <c r="E13" s="56" t="str">
        <f>IF($A13=E$4,"—",IF((SUMPRODUCT(('Match Log'!$D$4:$D$1510=$A13)*('Match Log'!$E$4:$E$1510="Win")*COUNTIFS('Match Log'!$A$4:$A$1510,'Match Log'!$A$4:$A$1510,'Match Log'!$D$4:$D$1510,E$4,'Match Log'!$E$4:$E$1510,"Loss"))+SUMPRODUCT(('Match Log'!$D$4:$D$1510=E$4)*('Match Log'!$E$4:$E$1510="Win")*COUNTIFS('Match Log'!$A$4:$A$1510,'Match Log'!$A$4:$A$1510,'Match Log'!$D$4:$D$1510,$A13,'Match Log'!$E$4:$E$1510,"Loss")))=0,"",TEXT(SUMPRODUCT(('Match Log'!$D$4:$D$1510=$A13)*('Match Log'!$E$4:$E$1510="Win")*COUNTIFS('Match Log'!$A$4:$A$1510,'Match Log'!$A$4:$A$1510,'Match Log'!$D$4:$D$1510,E$4,'Match Log'!$E$4:$E$1510,"Loss"))/(SUMPRODUCT(('Match Log'!$D$4:$D$1510=$A13)*('Match Log'!$E$4:$E$1510="Win")*COUNTIFS('Match Log'!$A$4:$A$1510,'Match Log'!$A$4:$A$1510,'Match Log'!$D$4:$D$1510,E$4,'Match Log'!$E$4:$E$1510,"Loss"))+SUMPRODUCT(('Match Log'!$D$4:$D$1510=E$4)*('Match Log'!$E$4:$E$1510="Win")*COUNTIFS('Match Log'!$A$4:$A$1510,'Match Log'!$A$4:$A$1510,'Match Log'!$D$4:$D$1510,$A13,'Match Log'!$E$4:$E$1510,"Loss"))),"0%")&amp;" of "&amp;(SUMPRODUCT(('Match Log'!$D$4:$D$1510=$A13)*('Match Log'!$E$4:$E$1510="Win")*COUNTIFS('Match Log'!$A$4:$A$1510,'Match Log'!$A$4:$A$1510,'Match Log'!$D$4:$D$1510,E$4,'Match Log'!$E$4:$E$1510,"Loss"))+SUMPRODUCT(('Match Log'!$D$4:$D$1510=E$4)*('Match Log'!$E$4:$E$1510="Win")*COUNTIFS('Match Log'!$A$4:$A$1510,'Match Log'!$A$4:$A$1510,'Match Log'!$D$4:$D$1510,$A13,'Match Log'!$E$4:$E$1510,"Loss")))))</f>
        <v>86% of 7</v>
      </c>
      <c r="F13" s="56" t="str">
        <f>IF($A13=F$4,"—",IF((SUMPRODUCT(('Match Log'!$D$4:$D$1510=$A13)*('Match Log'!$E$4:$E$1510="Win")*COUNTIFS('Match Log'!$A$4:$A$1510,'Match Log'!$A$4:$A$1510,'Match Log'!$D$4:$D$1510,F$4,'Match Log'!$E$4:$E$1510,"Loss"))+SUMPRODUCT(('Match Log'!$D$4:$D$1510=F$4)*('Match Log'!$E$4:$E$1510="Win")*COUNTIFS('Match Log'!$A$4:$A$1510,'Match Log'!$A$4:$A$1510,'Match Log'!$D$4:$D$1510,$A13,'Match Log'!$E$4:$E$1510,"Loss")))=0,"",TEXT(SUMPRODUCT(('Match Log'!$D$4:$D$1510=$A13)*('Match Log'!$E$4:$E$1510="Win")*COUNTIFS('Match Log'!$A$4:$A$1510,'Match Log'!$A$4:$A$1510,'Match Log'!$D$4:$D$1510,F$4,'Match Log'!$E$4:$E$1510,"Loss"))/(SUMPRODUCT(('Match Log'!$D$4:$D$1510=$A13)*('Match Log'!$E$4:$E$1510="Win")*COUNTIFS('Match Log'!$A$4:$A$1510,'Match Log'!$A$4:$A$1510,'Match Log'!$D$4:$D$1510,F$4,'Match Log'!$E$4:$E$1510,"Loss"))+SUMPRODUCT(('Match Log'!$D$4:$D$1510=F$4)*('Match Log'!$E$4:$E$1510="Win")*COUNTIFS('Match Log'!$A$4:$A$1510,'Match Log'!$A$4:$A$1510,'Match Log'!$D$4:$D$1510,$A13,'Match Log'!$E$4:$E$1510,"Loss"))),"0%")&amp;" of "&amp;(SUMPRODUCT(('Match Log'!$D$4:$D$1510=$A13)*('Match Log'!$E$4:$E$1510="Win")*COUNTIFS('Match Log'!$A$4:$A$1510,'Match Log'!$A$4:$A$1510,'Match Log'!$D$4:$D$1510,F$4,'Match Log'!$E$4:$E$1510,"Loss"))+SUMPRODUCT(('Match Log'!$D$4:$D$1510=F$4)*('Match Log'!$E$4:$E$1510="Win")*COUNTIFS('Match Log'!$A$4:$A$1510,'Match Log'!$A$4:$A$1510,'Match Log'!$D$4:$D$1510,$A13,'Match Log'!$E$4:$E$1510,"Loss")))))</f>
        <v>71% of 7</v>
      </c>
      <c r="G13" s="56" t="str">
        <f>IF($A13=G$4,"—",IF((SUMPRODUCT(('Match Log'!$D$4:$D$1510=$A13)*('Match Log'!$E$4:$E$1510="Win")*COUNTIFS('Match Log'!$A$4:$A$1510,'Match Log'!$A$4:$A$1510,'Match Log'!$D$4:$D$1510,G$4,'Match Log'!$E$4:$E$1510,"Loss"))+SUMPRODUCT(('Match Log'!$D$4:$D$1510=G$4)*('Match Log'!$E$4:$E$1510="Win")*COUNTIFS('Match Log'!$A$4:$A$1510,'Match Log'!$A$4:$A$1510,'Match Log'!$D$4:$D$1510,$A13,'Match Log'!$E$4:$E$1510,"Loss")))=0,"",TEXT(SUMPRODUCT(('Match Log'!$D$4:$D$1510=$A13)*('Match Log'!$E$4:$E$1510="Win")*COUNTIFS('Match Log'!$A$4:$A$1510,'Match Log'!$A$4:$A$1510,'Match Log'!$D$4:$D$1510,G$4,'Match Log'!$E$4:$E$1510,"Loss"))/(SUMPRODUCT(('Match Log'!$D$4:$D$1510=$A13)*('Match Log'!$E$4:$E$1510="Win")*COUNTIFS('Match Log'!$A$4:$A$1510,'Match Log'!$A$4:$A$1510,'Match Log'!$D$4:$D$1510,G$4,'Match Log'!$E$4:$E$1510,"Loss"))+SUMPRODUCT(('Match Log'!$D$4:$D$1510=G$4)*('Match Log'!$E$4:$E$1510="Win")*COUNTIFS('Match Log'!$A$4:$A$1510,'Match Log'!$A$4:$A$1510,'Match Log'!$D$4:$D$1510,$A13,'Match Log'!$E$4:$E$1510,"Loss"))),"0%")&amp;" of "&amp;(SUMPRODUCT(('Match Log'!$D$4:$D$1510=$A13)*('Match Log'!$E$4:$E$1510="Win")*COUNTIFS('Match Log'!$A$4:$A$1510,'Match Log'!$A$4:$A$1510,'Match Log'!$D$4:$D$1510,G$4,'Match Log'!$E$4:$E$1510,"Loss"))+SUMPRODUCT(('Match Log'!$D$4:$D$1510=G$4)*('Match Log'!$E$4:$E$1510="Win")*COUNTIFS('Match Log'!$A$4:$A$1510,'Match Log'!$A$4:$A$1510,'Match Log'!$D$4:$D$1510,$A13,'Match Log'!$E$4:$E$1510,"Loss")))))</f>
        <v>33% of 6</v>
      </c>
      <c r="H13" s="56" t="str">
        <f>IF($A13=H$4,"—",IF((SUMPRODUCT(('Match Log'!$D$4:$D$1510=$A13)*('Match Log'!$E$4:$E$1510="Win")*COUNTIFS('Match Log'!$A$4:$A$1510,'Match Log'!$A$4:$A$1510,'Match Log'!$D$4:$D$1510,H$4,'Match Log'!$E$4:$E$1510,"Loss"))+SUMPRODUCT(('Match Log'!$D$4:$D$1510=H$4)*('Match Log'!$E$4:$E$1510="Win")*COUNTIFS('Match Log'!$A$4:$A$1510,'Match Log'!$A$4:$A$1510,'Match Log'!$D$4:$D$1510,$A13,'Match Log'!$E$4:$E$1510,"Loss")))=0,"",TEXT(SUMPRODUCT(('Match Log'!$D$4:$D$1510=$A13)*('Match Log'!$E$4:$E$1510="Win")*COUNTIFS('Match Log'!$A$4:$A$1510,'Match Log'!$A$4:$A$1510,'Match Log'!$D$4:$D$1510,H$4,'Match Log'!$E$4:$E$1510,"Loss"))/(SUMPRODUCT(('Match Log'!$D$4:$D$1510=$A13)*('Match Log'!$E$4:$E$1510="Win")*COUNTIFS('Match Log'!$A$4:$A$1510,'Match Log'!$A$4:$A$1510,'Match Log'!$D$4:$D$1510,H$4,'Match Log'!$E$4:$E$1510,"Loss"))+SUMPRODUCT(('Match Log'!$D$4:$D$1510=H$4)*('Match Log'!$E$4:$E$1510="Win")*COUNTIFS('Match Log'!$A$4:$A$1510,'Match Log'!$A$4:$A$1510,'Match Log'!$D$4:$D$1510,$A13,'Match Log'!$E$4:$E$1510,"Loss"))),"0%")&amp;" of "&amp;(SUMPRODUCT(('Match Log'!$D$4:$D$1510=$A13)*('Match Log'!$E$4:$E$1510="Win")*COUNTIFS('Match Log'!$A$4:$A$1510,'Match Log'!$A$4:$A$1510,'Match Log'!$D$4:$D$1510,H$4,'Match Log'!$E$4:$E$1510,"Loss"))+SUMPRODUCT(('Match Log'!$D$4:$D$1510=H$4)*('Match Log'!$E$4:$E$1510="Win")*COUNTIFS('Match Log'!$A$4:$A$1510,'Match Log'!$A$4:$A$1510,'Match Log'!$D$4:$D$1510,$A13,'Match Log'!$E$4:$E$1510,"Loss")))))</f>
        <v>0% of 2</v>
      </c>
      <c r="I13" s="56" t="str">
        <f>IF($A13=I$4,"—",IF((SUMPRODUCT(('Match Log'!$D$4:$D$1510=$A13)*('Match Log'!$E$4:$E$1510="Win")*COUNTIFS('Match Log'!$A$4:$A$1510,'Match Log'!$A$4:$A$1510,'Match Log'!$D$4:$D$1510,I$4,'Match Log'!$E$4:$E$1510,"Loss"))+SUMPRODUCT(('Match Log'!$D$4:$D$1510=I$4)*('Match Log'!$E$4:$E$1510="Win")*COUNTIFS('Match Log'!$A$4:$A$1510,'Match Log'!$A$4:$A$1510,'Match Log'!$D$4:$D$1510,$A13,'Match Log'!$E$4:$E$1510,"Loss")))=0,"",TEXT(SUMPRODUCT(('Match Log'!$D$4:$D$1510=$A13)*('Match Log'!$E$4:$E$1510="Win")*COUNTIFS('Match Log'!$A$4:$A$1510,'Match Log'!$A$4:$A$1510,'Match Log'!$D$4:$D$1510,I$4,'Match Log'!$E$4:$E$1510,"Loss"))/(SUMPRODUCT(('Match Log'!$D$4:$D$1510=$A13)*('Match Log'!$E$4:$E$1510="Win")*COUNTIFS('Match Log'!$A$4:$A$1510,'Match Log'!$A$4:$A$1510,'Match Log'!$D$4:$D$1510,I$4,'Match Log'!$E$4:$E$1510,"Loss"))+SUMPRODUCT(('Match Log'!$D$4:$D$1510=I$4)*('Match Log'!$E$4:$E$1510="Win")*COUNTIFS('Match Log'!$A$4:$A$1510,'Match Log'!$A$4:$A$1510,'Match Log'!$D$4:$D$1510,$A13,'Match Log'!$E$4:$E$1510,"Loss"))),"0%")&amp;" of "&amp;(SUMPRODUCT(('Match Log'!$D$4:$D$1510=$A13)*('Match Log'!$E$4:$E$1510="Win")*COUNTIFS('Match Log'!$A$4:$A$1510,'Match Log'!$A$4:$A$1510,'Match Log'!$D$4:$D$1510,I$4,'Match Log'!$E$4:$E$1510,"Loss"))+SUMPRODUCT(('Match Log'!$D$4:$D$1510=I$4)*('Match Log'!$E$4:$E$1510="Win")*COUNTIFS('Match Log'!$A$4:$A$1510,'Match Log'!$A$4:$A$1510,'Match Log'!$D$4:$D$1510,$A13,'Match Log'!$E$4:$E$1510,"Loss")))))</f>
        <v>67% of 12</v>
      </c>
      <c r="J13" s="56" t="str">
        <f>IF($A13=J$4,"—",IF((SUMPRODUCT(('Match Log'!$D$4:$D$1510=$A13)*('Match Log'!$E$4:$E$1510="Win")*COUNTIFS('Match Log'!$A$4:$A$1510,'Match Log'!$A$4:$A$1510,'Match Log'!$D$4:$D$1510,J$4,'Match Log'!$E$4:$E$1510,"Loss"))+SUMPRODUCT(('Match Log'!$D$4:$D$1510=J$4)*('Match Log'!$E$4:$E$1510="Win")*COUNTIFS('Match Log'!$A$4:$A$1510,'Match Log'!$A$4:$A$1510,'Match Log'!$D$4:$D$1510,$A13,'Match Log'!$E$4:$E$1510,"Loss")))=0,"",TEXT(SUMPRODUCT(('Match Log'!$D$4:$D$1510=$A13)*('Match Log'!$E$4:$E$1510="Win")*COUNTIFS('Match Log'!$A$4:$A$1510,'Match Log'!$A$4:$A$1510,'Match Log'!$D$4:$D$1510,J$4,'Match Log'!$E$4:$E$1510,"Loss"))/(SUMPRODUCT(('Match Log'!$D$4:$D$1510=$A13)*('Match Log'!$E$4:$E$1510="Win")*COUNTIFS('Match Log'!$A$4:$A$1510,'Match Log'!$A$4:$A$1510,'Match Log'!$D$4:$D$1510,J$4,'Match Log'!$E$4:$E$1510,"Loss"))+SUMPRODUCT(('Match Log'!$D$4:$D$1510=J$4)*('Match Log'!$E$4:$E$1510="Win")*COUNTIFS('Match Log'!$A$4:$A$1510,'Match Log'!$A$4:$A$1510,'Match Log'!$D$4:$D$1510,$A13,'Match Log'!$E$4:$E$1510,"Loss"))),"0%")&amp;" of "&amp;(SUMPRODUCT(('Match Log'!$D$4:$D$1510=$A13)*('Match Log'!$E$4:$E$1510="Win")*COUNTIFS('Match Log'!$A$4:$A$1510,'Match Log'!$A$4:$A$1510,'Match Log'!$D$4:$D$1510,J$4,'Match Log'!$E$4:$E$1510,"Loss"))+SUMPRODUCT(('Match Log'!$D$4:$D$1510=J$4)*('Match Log'!$E$4:$E$1510="Win")*COUNTIFS('Match Log'!$A$4:$A$1510,'Match Log'!$A$4:$A$1510,'Match Log'!$D$4:$D$1510,$A13,'Match Log'!$E$4:$E$1510,"Loss")))))</f>
        <v>—</v>
      </c>
      <c r="K13" s="56" t="str">
        <f>IF($A13=K$4,"—",IF((SUMPRODUCT(('Match Log'!$D$4:$D$1510=$A13)*('Match Log'!$E$4:$E$1510="Win")*COUNTIFS('Match Log'!$A$4:$A$1510,'Match Log'!$A$4:$A$1510,'Match Log'!$D$4:$D$1510,K$4,'Match Log'!$E$4:$E$1510,"Loss"))+SUMPRODUCT(('Match Log'!$D$4:$D$1510=K$4)*('Match Log'!$E$4:$E$1510="Win")*COUNTIFS('Match Log'!$A$4:$A$1510,'Match Log'!$A$4:$A$1510,'Match Log'!$D$4:$D$1510,$A13,'Match Log'!$E$4:$E$1510,"Loss")))=0,"",TEXT(SUMPRODUCT(('Match Log'!$D$4:$D$1510=$A13)*('Match Log'!$E$4:$E$1510="Win")*COUNTIFS('Match Log'!$A$4:$A$1510,'Match Log'!$A$4:$A$1510,'Match Log'!$D$4:$D$1510,K$4,'Match Log'!$E$4:$E$1510,"Loss"))/(SUMPRODUCT(('Match Log'!$D$4:$D$1510=$A13)*('Match Log'!$E$4:$E$1510="Win")*COUNTIFS('Match Log'!$A$4:$A$1510,'Match Log'!$A$4:$A$1510,'Match Log'!$D$4:$D$1510,K$4,'Match Log'!$E$4:$E$1510,"Loss"))+SUMPRODUCT(('Match Log'!$D$4:$D$1510=K$4)*('Match Log'!$E$4:$E$1510="Win")*COUNTIFS('Match Log'!$A$4:$A$1510,'Match Log'!$A$4:$A$1510,'Match Log'!$D$4:$D$1510,$A13,'Match Log'!$E$4:$E$1510,"Loss"))),"0%")&amp;" of "&amp;(SUMPRODUCT(('Match Log'!$D$4:$D$1510=$A13)*('Match Log'!$E$4:$E$1510="Win")*COUNTIFS('Match Log'!$A$4:$A$1510,'Match Log'!$A$4:$A$1510,'Match Log'!$D$4:$D$1510,K$4,'Match Log'!$E$4:$E$1510,"Loss"))+SUMPRODUCT(('Match Log'!$D$4:$D$1510=K$4)*('Match Log'!$E$4:$E$1510="Win")*COUNTIFS('Match Log'!$A$4:$A$1510,'Match Log'!$A$4:$A$1510,'Match Log'!$D$4:$D$1510,$A13,'Match Log'!$E$4:$E$1510,"Loss")))))</f>
        <v>100% of 1</v>
      </c>
      <c r="L13" s="56" t="str">
        <f>IF($A13=L$4,"—",IF((SUMPRODUCT(('Match Log'!$D$4:$D$1510=$A13)*('Match Log'!$E$4:$E$1510="Win")*COUNTIFS('Match Log'!$A$4:$A$1510,'Match Log'!$A$4:$A$1510,'Match Log'!$D$4:$D$1510,L$4,'Match Log'!$E$4:$E$1510,"Loss"))+SUMPRODUCT(('Match Log'!$D$4:$D$1510=L$4)*('Match Log'!$E$4:$E$1510="Win")*COUNTIFS('Match Log'!$A$4:$A$1510,'Match Log'!$A$4:$A$1510,'Match Log'!$D$4:$D$1510,$A13,'Match Log'!$E$4:$E$1510,"Loss")))=0,"",TEXT(SUMPRODUCT(('Match Log'!$D$4:$D$1510=$A13)*('Match Log'!$E$4:$E$1510="Win")*COUNTIFS('Match Log'!$A$4:$A$1510,'Match Log'!$A$4:$A$1510,'Match Log'!$D$4:$D$1510,L$4,'Match Log'!$E$4:$E$1510,"Loss"))/(SUMPRODUCT(('Match Log'!$D$4:$D$1510=$A13)*('Match Log'!$E$4:$E$1510="Win")*COUNTIFS('Match Log'!$A$4:$A$1510,'Match Log'!$A$4:$A$1510,'Match Log'!$D$4:$D$1510,L$4,'Match Log'!$E$4:$E$1510,"Loss"))+SUMPRODUCT(('Match Log'!$D$4:$D$1510=L$4)*('Match Log'!$E$4:$E$1510="Win")*COUNTIFS('Match Log'!$A$4:$A$1510,'Match Log'!$A$4:$A$1510,'Match Log'!$D$4:$D$1510,$A13,'Match Log'!$E$4:$E$1510,"Loss"))),"0%")&amp;" of "&amp;(SUMPRODUCT(('Match Log'!$D$4:$D$1510=$A13)*('Match Log'!$E$4:$E$1510="Win")*COUNTIFS('Match Log'!$A$4:$A$1510,'Match Log'!$A$4:$A$1510,'Match Log'!$D$4:$D$1510,L$4,'Match Log'!$E$4:$E$1510,"Loss"))+SUMPRODUCT(('Match Log'!$D$4:$D$1510=L$4)*('Match Log'!$E$4:$E$1510="Win")*COUNTIFS('Match Log'!$A$4:$A$1510,'Match Log'!$A$4:$A$1510,'Match Log'!$D$4:$D$1510,$A13,'Match Log'!$E$4:$E$1510,"Loss")))))</f>
        <v>83% of 6</v>
      </c>
      <c r="M13" s="56" t="str">
        <f>IF($A13=M$4,"—",IF((SUMPRODUCT(('Match Log'!$D$4:$D$1510=$A13)*('Match Log'!$E$4:$E$1510="Win")*COUNTIFS('Match Log'!$A$4:$A$1510,'Match Log'!$A$4:$A$1510,'Match Log'!$D$4:$D$1510,M$4,'Match Log'!$E$4:$E$1510,"Loss"))+SUMPRODUCT(('Match Log'!$D$4:$D$1510=M$4)*('Match Log'!$E$4:$E$1510="Win")*COUNTIFS('Match Log'!$A$4:$A$1510,'Match Log'!$A$4:$A$1510,'Match Log'!$D$4:$D$1510,$A13,'Match Log'!$E$4:$E$1510,"Loss")))=0,"",TEXT(SUMPRODUCT(('Match Log'!$D$4:$D$1510=$A13)*('Match Log'!$E$4:$E$1510="Win")*COUNTIFS('Match Log'!$A$4:$A$1510,'Match Log'!$A$4:$A$1510,'Match Log'!$D$4:$D$1510,M$4,'Match Log'!$E$4:$E$1510,"Loss"))/(SUMPRODUCT(('Match Log'!$D$4:$D$1510=$A13)*('Match Log'!$E$4:$E$1510="Win")*COUNTIFS('Match Log'!$A$4:$A$1510,'Match Log'!$A$4:$A$1510,'Match Log'!$D$4:$D$1510,M$4,'Match Log'!$E$4:$E$1510,"Loss"))+SUMPRODUCT(('Match Log'!$D$4:$D$1510=M$4)*('Match Log'!$E$4:$E$1510="Win")*COUNTIFS('Match Log'!$A$4:$A$1510,'Match Log'!$A$4:$A$1510,'Match Log'!$D$4:$D$1510,$A13,'Match Log'!$E$4:$E$1510,"Loss"))),"0%")&amp;" of "&amp;(SUMPRODUCT(('Match Log'!$D$4:$D$1510=$A13)*('Match Log'!$E$4:$E$1510="Win")*COUNTIFS('Match Log'!$A$4:$A$1510,'Match Log'!$A$4:$A$1510,'Match Log'!$D$4:$D$1510,M$4,'Match Log'!$E$4:$E$1510,"Loss"))+SUMPRODUCT(('Match Log'!$D$4:$D$1510=M$4)*('Match Log'!$E$4:$E$1510="Win")*COUNTIFS('Match Log'!$A$4:$A$1510,'Match Log'!$A$4:$A$1510,'Match Log'!$D$4:$D$1510,$A13,'Match Log'!$E$4:$E$1510,"Loss")))))</f>
        <v>100% of 2</v>
      </c>
      <c r="N13" s="56" t="str">
        <f>IF($A13=N$4,"—",IF((SUMPRODUCT(('Match Log'!$D$4:$D$1510=$A13)*('Match Log'!$E$4:$E$1510="Win")*COUNTIFS('Match Log'!$A$4:$A$1510,'Match Log'!$A$4:$A$1510,'Match Log'!$D$4:$D$1510,N$4,'Match Log'!$E$4:$E$1510,"Loss"))+SUMPRODUCT(('Match Log'!$D$4:$D$1510=N$4)*('Match Log'!$E$4:$E$1510="Win")*COUNTIFS('Match Log'!$A$4:$A$1510,'Match Log'!$A$4:$A$1510,'Match Log'!$D$4:$D$1510,$A13,'Match Log'!$E$4:$E$1510,"Loss")))=0,"",TEXT(SUMPRODUCT(('Match Log'!$D$4:$D$1510=$A13)*('Match Log'!$E$4:$E$1510="Win")*COUNTIFS('Match Log'!$A$4:$A$1510,'Match Log'!$A$4:$A$1510,'Match Log'!$D$4:$D$1510,N$4,'Match Log'!$E$4:$E$1510,"Loss"))/(SUMPRODUCT(('Match Log'!$D$4:$D$1510=$A13)*('Match Log'!$E$4:$E$1510="Win")*COUNTIFS('Match Log'!$A$4:$A$1510,'Match Log'!$A$4:$A$1510,'Match Log'!$D$4:$D$1510,N$4,'Match Log'!$E$4:$E$1510,"Loss"))+SUMPRODUCT(('Match Log'!$D$4:$D$1510=N$4)*('Match Log'!$E$4:$E$1510="Win")*COUNTIFS('Match Log'!$A$4:$A$1510,'Match Log'!$A$4:$A$1510,'Match Log'!$D$4:$D$1510,$A13,'Match Log'!$E$4:$E$1510,"Loss"))),"0%")&amp;" of "&amp;(SUMPRODUCT(('Match Log'!$D$4:$D$1510=$A13)*('Match Log'!$E$4:$E$1510="Win")*COUNTIFS('Match Log'!$A$4:$A$1510,'Match Log'!$A$4:$A$1510,'Match Log'!$D$4:$D$1510,N$4,'Match Log'!$E$4:$E$1510,"Loss"))+SUMPRODUCT(('Match Log'!$D$4:$D$1510=N$4)*('Match Log'!$E$4:$E$1510="Win")*COUNTIFS('Match Log'!$A$4:$A$1510,'Match Log'!$A$4:$A$1510,'Match Log'!$D$4:$D$1510,$A13,'Match Log'!$E$4:$E$1510,"Loss")))))</f>
        <v>0% of 1</v>
      </c>
      <c r="O13" s="56" t="str">
        <f>IF($A13=O$4,"—",IF((SUMPRODUCT(('Match Log'!$D$4:$D$1510=$A13)*('Match Log'!$E$4:$E$1510="Win")*COUNTIFS('Match Log'!$A$4:$A$1510,'Match Log'!$A$4:$A$1510,'Match Log'!$D$4:$D$1510,O$4,'Match Log'!$E$4:$E$1510,"Loss"))+SUMPRODUCT(('Match Log'!$D$4:$D$1510=O$4)*('Match Log'!$E$4:$E$1510="Win")*COUNTIFS('Match Log'!$A$4:$A$1510,'Match Log'!$A$4:$A$1510,'Match Log'!$D$4:$D$1510,$A13,'Match Log'!$E$4:$E$1510,"Loss")))=0,"",TEXT(SUMPRODUCT(('Match Log'!$D$4:$D$1510=$A13)*('Match Log'!$E$4:$E$1510="Win")*COUNTIFS('Match Log'!$A$4:$A$1510,'Match Log'!$A$4:$A$1510,'Match Log'!$D$4:$D$1510,O$4,'Match Log'!$E$4:$E$1510,"Loss"))/(SUMPRODUCT(('Match Log'!$D$4:$D$1510=$A13)*('Match Log'!$E$4:$E$1510="Win")*COUNTIFS('Match Log'!$A$4:$A$1510,'Match Log'!$A$4:$A$1510,'Match Log'!$D$4:$D$1510,O$4,'Match Log'!$E$4:$E$1510,"Loss"))+SUMPRODUCT(('Match Log'!$D$4:$D$1510=O$4)*('Match Log'!$E$4:$E$1510="Win")*COUNTIFS('Match Log'!$A$4:$A$1510,'Match Log'!$A$4:$A$1510,'Match Log'!$D$4:$D$1510,$A13,'Match Log'!$E$4:$E$1510,"Loss"))),"0%")&amp;" of "&amp;(SUMPRODUCT(('Match Log'!$D$4:$D$1510=$A13)*('Match Log'!$E$4:$E$1510="Win")*COUNTIFS('Match Log'!$A$4:$A$1510,'Match Log'!$A$4:$A$1510,'Match Log'!$D$4:$D$1510,O$4,'Match Log'!$E$4:$E$1510,"Loss"))+SUMPRODUCT(('Match Log'!$D$4:$D$1510=O$4)*('Match Log'!$E$4:$E$1510="Win")*COUNTIFS('Match Log'!$A$4:$A$1510,'Match Log'!$A$4:$A$1510,'Match Log'!$D$4:$D$1510,$A13,'Match Log'!$E$4:$E$1510,"Loss")))))</f>
        <v/>
      </c>
    </row>
    <row r="14" spans="1:15" ht="15" customHeight="1" x14ac:dyDescent="0.2">
      <c r="A14" s="51" t="s">
        <v>24</v>
      </c>
      <c r="B14" s="56" t="str">
        <f>IF($A14=B$4,"—",IF((SUMPRODUCT(('Match Log'!$D$4:$D$1510=$A14)*('Match Log'!$E$4:$E$1510="Win")*COUNTIFS('Match Log'!$A$4:$A$1510,'Match Log'!$A$4:$A$1510,'Match Log'!$D$4:$D$1510,B$4,'Match Log'!$E$4:$E$1510,"Loss"))+SUMPRODUCT(('Match Log'!$D$4:$D$1510=B$4)*('Match Log'!$E$4:$E$1510="Win")*COUNTIFS('Match Log'!$A$4:$A$1510,'Match Log'!$A$4:$A$1510,'Match Log'!$D$4:$D$1510,$A14,'Match Log'!$E$4:$E$1510,"Loss")))=0,"",TEXT(SUMPRODUCT(('Match Log'!$D$4:$D$1510=$A14)*('Match Log'!$E$4:$E$1510="Win")*COUNTIFS('Match Log'!$A$4:$A$1510,'Match Log'!$A$4:$A$1510,'Match Log'!$D$4:$D$1510,B$4,'Match Log'!$E$4:$E$1510,"Loss"))/(SUMPRODUCT(('Match Log'!$D$4:$D$1510=$A14)*('Match Log'!$E$4:$E$1510="Win")*COUNTIFS('Match Log'!$A$4:$A$1510,'Match Log'!$A$4:$A$1510,'Match Log'!$D$4:$D$1510,B$4,'Match Log'!$E$4:$E$1510,"Loss"))+SUMPRODUCT(('Match Log'!$D$4:$D$1510=B$4)*('Match Log'!$E$4:$E$1510="Win")*COUNTIFS('Match Log'!$A$4:$A$1510,'Match Log'!$A$4:$A$1510,'Match Log'!$D$4:$D$1510,$A14,'Match Log'!$E$4:$E$1510,"Loss"))),"0%")&amp;" of "&amp;(SUMPRODUCT(('Match Log'!$D$4:$D$1510=$A14)*('Match Log'!$E$4:$E$1510="Win")*COUNTIFS('Match Log'!$A$4:$A$1510,'Match Log'!$A$4:$A$1510,'Match Log'!$D$4:$D$1510,B$4,'Match Log'!$E$4:$E$1510,"Loss"))+SUMPRODUCT(('Match Log'!$D$4:$D$1510=B$4)*('Match Log'!$E$4:$E$1510="Win")*COUNTIFS('Match Log'!$A$4:$A$1510,'Match Log'!$A$4:$A$1510,'Match Log'!$D$4:$D$1510,$A14,'Match Log'!$E$4:$E$1510,"Loss")))))</f>
        <v/>
      </c>
      <c r="C14" s="56" t="str">
        <f>IF($A14=C$4,"—",IF((SUMPRODUCT(('Match Log'!$D$4:$D$1510=$A14)*('Match Log'!$E$4:$E$1510="Win")*COUNTIFS('Match Log'!$A$4:$A$1510,'Match Log'!$A$4:$A$1510,'Match Log'!$D$4:$D$1510,C$4,'Match Log'!$E$4:$E$1510,"Loss"))+SUMPRODUCT(('Match Log'!$D$4:$D$1510=C$4)*('Match Log'!$E$4:$E$1510="Win")*COUNTIFS('Match Log'!$A$4:$A$1510,'Match Log'!$A$4:$A$1510,'Match Log'!$D$4:$D$1510,$A14,'Match Log'!$E$4:$E$1510,"Loss")))=0,"",TEXT(SUMPRODUCT(('Match Log'!$D$4:$D$1510=$A14)*('Match Log'!$E$4:$E$1510="Win")*COUNTIFS('Match Log'!$A$4:$A$1510,'Match Log'!$A$4:$A$1510,'Match Log'!$D$4:$D$1510,C$4,'Match Log'!$E$4:$E$1510,"Loss"))/(SUMPRODUCT(('Match Log'!$D$4:$D$1510=$A14)*('Match Log'!$E$4:$E$1510="Win")*COUNTIFS('Match Log'!$A$4:$A$1510,'Match Log'!$A$4:$A$1510,'Match Log'!$D$4:$D$1510,C$4,'Match Log'!$E$4:$E$1510,"Loss"))+SUMPRODUCT(('Match Log'!$D$4:$D$1510=C$4)*('Match Log'!$E$4:$E$1510="Win")*COUNTIFS('Match Log'!$A$4:$A$1510,'Match Log'!$A$4:$A$1510,'Match Log'!$D$4:$D$1510,$A14,'Match Log'!$E$4:$E$1510,"Loss"))),"0%")&amp;" of "&amp;(SUMPRODUCT(('Match Log'!$D$4:$D$1510=$A14)*('Match Log'!$E$4:$E$1510="Win")*COUNTIFS('Match Log'!$A$4:$A$1510,'Match Log'!$A$4:$A$1510,'Match Log'!$D$4:$D$1510,C$4,'Match Log'!$E$4:$E$1510,"Loss"))+SUMPRODUCT(('Match Log'!$D$4:$D$1510=C$4)*('Match Log'!$E$4:$E$1510="Win")*COUNTIFS('Match Log'!$A$4:$A$1510,'Match Log'!$A$4:$A$1510,'Match Log'!$D$4:$D$1510,$A14,'Match Log'!$E$4:$E$1510,"Loss")))))</f>
        <v>0% of 1</v>
      </c>
      <c r="D14" s="56" t="str">
        <f>IF($A14=D$4,"—",IF((SUMPRODUCT(('Match Log'!$D$4:$D$1510=$A14)*('Match Log'!$E$4:$E$1510="Win")*COUNTIFS('Match Log'!$A$4:$A$1510,'Match Log'!$A$4:$A$1510,'Match Log'!$D$4:$D$1510,D$4,'Match Log'!$E$4:$E$1510,"Loss"))+SUMPRODUCT(('Match Log'!$D$4:$D$1510=D$4)*('Match Log'!$E$4:$E$1510="Win")*COUNTIFS('Match Log'!$A$4:$A$1510,'Match Log'!$A$4:$A$1510,'Match Log'!$D$4:$D$1510,$A14,'Match Log'!$E$4:$E$1510,"Loss")))=0,"",TEXT(SUMPRODUCT(('Match Log'!$D$4:$D$1510=$A14)*('Match Log'!$E$4:$E$1510="Win")*COUNTIFS('Match Log'!$A$4:$A$1510,'Match Log'!$A$4:$A$1510,'Match Log'!$D$4:$D$1510,D$4,'Match Log'!$E$4:$E$1510,"Loss"))/(SUMPRODUCT(('Match Log'!$D$4:$D$1510=$A14)*('Match Log'!$E$4:$E$1510="Win")*COUNTIFS('Match Log'!$A$4:$A$1510,'Match Log'!$A$4:$A$1510,'Match Log'!$D$4:$D$1510,D$4,'Match Log'!$E$4:$E$1510,"Loss"))+SUMPRODUCT(('Match Log'!$D$4:$D$1510=D$4)*('Match Log'!$E$4:$E$1510="Win")*COUNTIFS('Match Log'!$A$4:$A$1510,'Match Log'!$A$4:$A$1510,'Match Log'!$D$4:$D$1510,$A14,'Match Log'!$E$4:$E$1510,"Loss"))),"0%")&amp;" of "&amp;(SUMPRODUCT(('Match Log'!$D$4:$D$1510=$A14)*('Match Log'!$E$4:$E$1510="Win")*COUNTIFS('Match Log'!$A$4:$A$1510,'Match Log'!$A$4:$A$1510,'Match Log'!$D$4:$D$1510,D$4,'Match Log'!$E$4:$E$1510,"Loss"))+SUMPRODUCT(('Match Log'!$D$4:$D$1510=D$4)*('Match Log'!$E$4:$E$1510="Win")*COUNTIFS('Match Log'!$A$4:$A$1510,'Match Log'!$A$4:$A$1510,'Match Log'!$D$4:$D$1510,$A14,'Match Log'!$E$4:$E$1510,"Loss")))))</f>
        <v>0% of 1</v>
      </c>
      <c r="E14" s="56" t="str">
        <f>IF($A14=E$4,"—",IF((SUMPRODUCT(('Match Log'!$D$4:$D$1510=$A14)*('Match Log'!$E$4:$E$1510="Win")*COUNTIFS('Match Log'!$A$4:$A$1510,'Match Log'!$A$4:$A$1510,'Match Log'!$D$4:$D$1510,E$4,'Match Log'!$E$4:$E$1510,"Loss"))+SUMPRODUCT(('Match Log'!$D$4:$D$1510=E$4)*('Match Log'!$E$4:$E$1510="Win")*COUNTIFS('Match Log'!$A$4:$A$1510,'Match Log'!$A$4:$A$1510,'Match Log'!$D$4:$D$1510,$A14,'Match Log'!$E$4:$E$1510,"Loss")))=0,"",TEXT(SUMPRODUCT(('Match Log'!$D$4:$D$1510=$A14)*('Match Log'!$E$4:$E$1510="Win")*COUNTIFS('Match Log'!$A$4:$A$1510,'Match Log'!$A$4:$A$1510,'Match Log'!$D$4:$D$1510,E$4,'Match Log'!$E$4:$E$1510,"Loss"))/(SUMPRODUCT(('Match Log'!$D$4:$D$1510=$A14)*('Match Log'!$E$4:$E$1510="Win")*COUNTIFS('Match Log'!$A$4:$A$1510,'Match Log'!$A$4:$A$1510,'Match Log'!$D$4:$D$1510,E$4,'Match Log'!$E$4:$E$1510,"Loss"))+SUMPRODUCT(('Match Log'!$D$4:$D$1510=E$4)*('Match Log'!$E$4:$E$1510="Win")*COUNTIFS('Match Log'!$A$4:$A$1510,'Match Log'!$A$4:$A$1510,'Match Log'!$D$4:$D$1510,$A14,'Match Log'!$E$4:$E$1510,"Loss"))),"0%")&amp;" of "&amp;(SUMPRODUCT(('Match Log'!$D$4:$D$1510=$A14)*('Match Log'!$E$4:$E$1510="Win")*COUNTIFS('Match Log'!$A$4:$A$1510,'Match Log'!$A$4:$A$1510,'Match Log'!$D$4:$D$1510,E$4,'Match Log'!$E$4:$E$1510,"Loss"))+SUMPRODUCT(('Match Log'!$D$4:$D$1510=E$4)*('Match Log'!$E$4:$E$1510="Win")*COUNTIFS('Match Log'!$A$4:$A$1510,'Match Log'!$A$4:$A$1510,'Match Log'!$D$4:$D$1510,$A14,'Match Log'!$E$4:$E$1510,"Loss")))))</f>
        <v>0% of 1</v>
      </c>
      <c r="F14" s="56" t="str">
        <f>IF($A14=F$4,"—",IF((SUMPRODUCT(('Match Log'!$D$4:$D$1510=$A14)*('Match Log'!$E$4:$E$1510="Win")*COUNTIFS('Match Log'!$A$4:$A$1510,'Match Log'!$A$4:$A$1510,'Match Log'!$D$4:$D$1510,F$4,'Match Log'!$E$4:$E$1510,"Loss"))+SUMPRODUCT(('Match Log'!$D$4:$D$1510=F$4)*('Match Log'!$E$4:$E$1510="Win")*COUNTIFS('Match Log'!$A$4:$A$1510,'Match Log'!$A$4:$A$1510,'Match Log'!$D$4:$D$1510,$A14,'Match Log'!$E$4:$E$1510,"Loss")))=0,"",TEXT(SUMPRODUCT(('Match Log'!$D$4:$D$1510=$A14)*('Match Log'!$E$4:$E$1510="Win")*COUNTIFS('Match Log'!$A$4:$A$1510,'Match Log'!$A$4:$A$1510,'Match Log'!$D$4:$D$1510,F$4,'Match Log'!$E$4:$E$1510,"Loss"))/(SUMPRODUCT(('Match Log'!$D$4:$D$1510=$A14)*('Match Log'!$E$4:$E$1510="Win")*COUNTIFS('Match Log'!$A$4:$A$1510,'Match Log'!$A$4:$A$1510,'Match Log'!$D$4:$D$1510,F$4,'Match Log'!$E$4:$E$1510,"Loss"))+SUMPRODUCT(('Match Log'!$D$4:$D$1510=F$4)*('Match Log'!$E$4:$E$1510="Win")*COUNTIFS('Match Log'!$A$4:$A$1510,'Match Log'!$A$4:$A$1510,'Match Log'!$D$4:$D$1510,$A14,'Match Log'!$E$4:$E$1510,"Loss"))),"0%")&amp;" of "&amp;(SUMPRODUCT(('Match Log'!$D$4:$D$1510=$A14)*('Match Log'!$E$4:$E$1510="Win")*COUNTIFS('Match Log'!$A$4:$A$1510,'Match Log'!$A$4:$A$1510,'Match Log'!$D$4:$D$1510,F$4,'Match Log'!$E$4:$E$1510,"Loss"))+SUMPRODUCT(('Match Log'!$D$4:$D$1510=F$4)*('Match Log'!$E$4:$E$1510="Win")*COUNTIFS('Match Log'!$A$4:$A$1510,'Match Log'!$A$4:$A$1510,'Match Log'!$D$4:$D$1510,$A14,'Match Log'!$E$4:$E$1510,"Loss")))))</f>
        <v>0% of 4</v>
      </c>
      <c r="G14" s="56" t="str">
        <f>IF($A14=G$4,"—",IF((SUMPRODUCT(('Match Log'!$D$4:$D$1510=$A14)*('Match Log'!$E$4:$E$1510="Win")*COUNTIFS('Match Log'!$A$4:$A$1510,'Match Log'!$A$4:$A$1510,'Match Log'!$D$4:$D$1510,G$4,'Match Log'!$E$4:$E$1510,"Loss"))+SUMPRODUCT(('Match Log'!$D$4:$D$1510=G$4)*('Match Log'!$E$4:$E$1510="Win")*COUNTIFS('Match Log'!$A$4:$A$1510,'Match Log'!$A$4:$A$1510,'Match Log'!$D$4:$D$1510,$A14,'Match Log'!$E$4:$E$1510,"Loss")))=0,"",TEXT(SUMPRODUCT(('Match Log'!$D$4:$D$1510=$A14)*('Match Log'!$E$4:$E$1510="Win")*COUNTIFS('Match Log'!$A$4:$A$1510,'Match Log'!$A$4:$A$1510,'Match Log'!$D$4:$D$1510,G$4,'Match Log'!$E$4:$E$1510,"Loss"))/(SUMPRODUCT(('Match Log'!$D$4:$D$1510=$A14)*('Match Log'!$E$4:$E$1510="Win")*COUNTIFS('Match Log'!$A$4:$A$1510,'Match Log'!$A$4:$A$1510,'Match Log'!$D$4:$D$1510,G$4,'Match Log'!$E$4:$E$1510,"Loss"))+SUMPRODUCT(('Match Log'!$D$4:$D$1510=G$4)*('Match Log'!$E$4:$E$1510="Win")*COUNTIFS('Match Log'!$A$4:$A$1510,'Match Log'!$A$4:$A$1510,'Match Log'!$D$4:$D$1510,$A14,'Match Log'!$E$4:$E$1510,"Loss"))),"0%")&amp;" of "&amp;(SUMPRODUCT(('Match Log'!$D$4:$D$1510=$A14)*('Match Log'!$E$4:$E$1510="Win")*COUNTIFS('Match Log'!$A$4:$A$1510,'Match Log'!$A$4:$A$1510,'Match Log'!$D$4:$D$1510,G$4,'Match Log'!$E$4:$E$1510,"Loss"))+SUMPRODUCT(('Match Log'!$D$4:$D$1510=G$4)*('Match Log'!$E$4:$E$1510="Win")*COUNTIFS('Match Log'!$A$4:$A$1510,'Match Log'!$A$4:$A$1510,'Match Log'!$D$4:$D$1510,$A14,'Match Log'!$E$4:$E$1510,"Loss")))))</f>
        <v/>
      </c>
      <c r="H14" s="56" t="str">
        <f>IF($A14=H$4,"—",IF((SUMPRODUCT(('Match Log'!$D$4:$D$1510=$A14)*('Match Log'!$E$4:$E$1510="Win")*COUNTIFS('Match Log'!$A$4:$A$1510,'Match Log'!$A$4:$A$1510,'Match Log'!$D$4:$D$1510,H$4,'Match Log'!$E$4:$E$1510,"Loss"))+SUMPRODUCT(('Match Log'!$D$4:$D$1510=H$4)*('Match Log'!$E$4:$E$1510="Win")*COUNTIFS('Match Log'!$A$4:$A$1510,'Match Log'!$A$4:$A$1510,'Match Log'!$D$4:$D$1510,$A14,'Match Log'!$E$4:$E$1510,"Loss")))=0,"",TEXT(SUMPRODUCT(('Match Log'!$D$4:$D$1510=$A14)*('Match Log'!$E$4:$E$1510="Win")*COUNTIFS('Match Log'!$A$4:$A$1510,'Match Log'!$A$4:$A$1510,'Match Log'!$D$4:$D$1510,H$4,'Match Log'!$E$4:$E$1510,"Loss"))/(SUMPRODUCT(('Match Log'!$D$4:$D$1510=$A14)*('Match Log'!$E$4:$E$1510="Win")*COUNTIFS('Match Log'!$A$4:$A$1510,'Match Log'!$A$4:$A$1510,'Match Log'!$D$4:$D$1510,H$4,'Match Log'!$E$4:$E$1510,"Loss"))+SUMPRODUCT(('Match Log'!$D$4:$D$1510=H$4)*('Match Log'!$E$4:$E$1510="Win")*COUNTIFS('Match Log'!$A$4:$A$1510,'Match Log'!$A$4:$A$1510,'Match Log'!$D$4:$D$1510,$A14,'Match Log'!$E$4:$E$1510,"Loss"))),"0%")&amp;" of "&amp;(SUMPRODUCT(('Match Log'!$D$4:$D$1510=$A14)*('Match Log'!$E$4:$E$1510="Win")*COUNTIFS('Match Log'!$A$4:$A$1510,'Match Log'!$A$4:$A$1510,'Match Log'!$D$4:$D$1510,H$4,'Match Log'!$E$4:$E$1510,"Loss"))+SUMPRODUCT(('Match Log'!$D$4:$D$1510=H$4)*('Match Log'!$E$4:$E$1510="Win")*COUNTIFS('Match Log'!$A$4:$A$1510,'Match Log'!$A$4:$A$1510,'Match Log'!$D$4:$D$1510,$A14,'Match Log'!$E$4:$E$1510,"Loss")))))</f>
        <v>0% of 2</v>
      </c>
      <c r="I14" s="56" t="str">
        <f>IF($A14=I$4,"—",IF((SUMPRODUCT(('Match Log'!$D$4:$D$1510=$A14)*('Match Log'!$E$4:$E$1510="Win")*COUNTIFS('Match Log'!$A$4:$A$1510,'Match Log'!$A$4:$A$1510,'Match Log'!$D$4:$D$1510,I$4,'Match Log'!$E$4:$E$1510,"Loss"))+SUMPRODUCT(('Match Log'!$D$4:$D$1510=I$4)*('Match Log'!$E$4:$E$1510="Win")*COUNTIFS('Match Log'!$A$4:$A$1510,'Match Log'!$A$4:$A$1510,'Match Log'!$D$4:$D$1510,$A14,'Match Log'!$E$4:$E$1510,"Loss")))=0,"",TEXT(SUMPRODUCT(('Match Log'!$D$4:$D$1510=$A14)*('Match Log'!$E$4:$E$1510="Win")*COUNTIFS('Match Log'!$A$4:$A$1510,'Match Log'!$A$4:$A$1510,'Match Log'!$D$4:$D$1510,I$4,'Match Log'!$E$4:$E$1510,"Loss"))/(SUMPRODUCT(('Match Log'!$D$4:$D$1510=$A14)*('Match Log'!$E$4:$E$1510="Win")*COUNTIFS('Match Log'!$A$4:$A$1510,'Match Log'!$A$4:$A$1510,'Match Log'!$D$4:$D$1510,I$4,'Match Log'!$E$4:$E$1510,"Loss"))+SUMPRODUCT(('Match Log'!$D$4:$D$1510=I$4)*('Match Log'!$E$4:$E$1510="Win")*COUNTIFS('Match Log'!$A$4:$A$1510,'Match Log'!$A$4:$A$1510,'Match Log'!$D$4:$D$1510,$A14,'Match Log'!$E$4:$E$1510,"Loss"))),"0%")&amp;" of "&amp;(SUMPRODUCT(('Match Log'!$D$4:$D$1510=$A14)*('Match Log'!$E$4:$E$1510="Win")*COUNTIFS('Match Log'!$A$4:$A$1510,'Match Log'!$A$4:$A$1510,'Match Log'!$D$4:$D$1510,I$4,'Match Log'!$E$4:$E$1510,"Loss"))+SUMPRODUCT(('Match Log'!$D$4:$D$1510=I$4)*('Match Log'!$E$4:$E$1510="Win")*COUNTIFS('Match Log'!$A$4:$A$1510,'Match Log'!$A$4:$A$1510,'Match Log'!$D$4:$D$1510,$A14,'Match Log'!$E$4:$E$1510,"Loss")))))</f>
        <v>0% of 2</v>
      </c>
      <c r="J14" s="56" t="str">
        <f>IF($A14=J$4,"—",IF((SUMPRODUCT(('Match Log'!$D$4:$D$1510=$A14)*('Match Log'!$E$4:$E$1510="Win")*COUNTIFS('Match Log'!$A$4:$A$1510,'Match Log'!$A$4:$A$1510,'Match Log'!$D$4:$D$1510,J$4,'Match Log'!$E$4:$E$1510,"Loss"))+SUMPRODUCT(('Match Log'!$D$4:$D$1510=J$4)*('Match Log'!$E$4:$E$1510="Win")*COUNTIFS('Match Log'!$A$4:$A$1510,'Match Log'!$A$4:$A$1510,'Match Log'!$D$4:$D$1510,$A14,'Match Log'!$E$4:$E$1510,"Loss")))=0,"",TEXT(SUMPRODUCT(('Match Log'!$D$4:$D$1510=$A14)*('Match Log'!$E$4:$E$1510="Win")*COUNTIFS('Match Log'!$A$4:$A$1510,'Match Log'!$A$4:$A$1510,'Match Log'!$D$4:$D$1510,J$4,'Match Log'!$E$4:$E$1510,"Loss"))/(SUMPRODUCT(('Match Log'!$D$4:$D$1510=$A14)*('Match Log'!$E$4:$E$1510="Win")*COUNTIFS('Match Log'!$A$4:$A$1510,'Match Log'!$A$4:$A$1510,'Match Log'!$D$4:$D$1510,J$4,'Match Log'!$E$4:$E$1510,"Loss"))+SUMPRODUCT(('Match Log'!$D$4:$D$1510=J$4)*('Match Log'!$E$4:$E$1510="Win")*COUNTIFS('Match Log'!$A$4:$A$1510,'Match Log'!$A$4:$A$1510,'Match Log'!$D$4:$D$1510,$A14,'Match Log'!$E$4:$E$1510,"Loss"))),"0%")&amp;" of "&amp;(SUMPRODUCT(('Match Log'!$D$4:$D$1510=$A14)*('Match Log'!$E$4:$E$1510="Win")*COUNTIFS('Match Log'!$A$4:$A$1510,'Match Log'!$A$4:$A$1510,'Match Log'!$D$4:$D$1510,J$4,'Match Log'!$E$4:$E$1510,"Loss"))+SUMPRODUCT(('Match Log'!$D$4:$D$1510=J$4)*('Match Log'!$E$4:$E$1510="Win")*COUNTIFS('Match Log'!$A$4:$A$1510,'Match Log'!$A$4:$A$1510,'Match Log'!$D$4:$D$1510,$A14,'Match Log'!$E$4:$E$1510,"Loss")))))</f>
        <v>0% of 1</v>
      </c>
      <c r="K14" s="56" t="str">
        <f>IF($A14=K$4,"—",IF((SUMPRODUCT(('Match Log'!$D$4:$D$1510=$A14)*('Match Log'!$E$4:$E$1510="Win")*COUNTIFS('Match Log'!$A$4:$A$1510,'Match Log'!$A$4:$A$1510,'Match Log'!$D$4:$D$1510,K$4,'Match Log'!$E$4:$E$1510,"Loss"))+SUMPRODUCT(('Match Log'!$D$4:$D$1510=K$4)*('Match Log'!$E$4:$E$1510="Win")*COUNTIFS('Match Log'!$A$4:$A$1510,'Match Log'!$A$4:$A$1510,'Match Log'!$D$4:$D$1510,$A14,'Match Log'!$E$4:$E$1510,"Loss")))=0,"",TEXT(SUMPRODUCT(('Match Log'!$D$4:$D$1510=$A14)*('Match Log'!$E$4:$E$1510="Win")*COUNTIFS('Match Log'!$A$4:$A$1510,'Match Log'!$A$4:$A$1510,'Match Log'!$D$4:$D$1510,K$4,'Match Log'!$E$4:$E$1510,"Loss"))/(SUMPRODUCT(('Match Log'!$D$4:$D$1510=$A14)*('Match Log'!$E$4:$E$1510="Win")*COUNTIFS('Match Log'!$A$4:$A$1510,'Match Log'!$A$4:$A$1510,'Match Log'!$D$4:$D$1510,K$4,'Match Log'!$E$4:$E$1510,"Loss"))+SUMPRODUCT(('Match Log'!$D$4:$D$1510=K$4)*('Match Log'!$E$4:$E$1510="Win")*COUNTIFS('Match Log'!$A$4:$A$1510,'Match Log'!$A$4:$A$1510,'Match Log'!$D$4:$D$1510,$A14,'Match Log'!$E$4:$E$1510,"Loss"))),"0%")&amp;" of "&amp;(SUMPRODUCT(('Match Log'!$D$4:$D$1510=$A14)*('Match Log'!$E$4:$E$1510="Win")*COUNTIFS('Match Log'!$A$4:$A$1510,'Match Log'!$A$4:$A$1510,'Match Log'!$D$4:$D$1510,K$4,'Match Log'!$E$4:$E$1510,"Loss"))+SUMPRODUCT(('Match Log'!$D$4:$D$1510=K$4)*('Match Log'!$E$4:$E$1510="Win")*COUNTIFS('Match Log'!$A$4:$A$1510,'Match Log'!$A$4:$A$1510,'Match Log'!$D$4:$D$1510,$A14,'Match Log'!$E$4:$E$1510,"Loss")))))</f>
        <v>—</v>
      </c>
      <c r="L14" s="56" t="str">
        <f>IF($A14=L$4,"—",IF((SUMPRODUCT(('Match Log'!$D$4:$D$1510=$A14)*('Match Log'!$E$4:$E$1510="Win")*COUNTIFS('Match Log'!$A$4:$A$1510,'Match Log'!$A$4:$A$1510,'Match Log'!$D$4:$D$1510,L$4,'Match Log'!$E$4:$E$1510,"Loss"))+SUMPRODUCT(('Match Log'!$D$4:$D$1510=L$4)*('Match Log'!$E$4:$E$1510="Win")*COUNTIFS('Match Log'!$A$4:$A$1510,'Match Log'!$A$4:$A$1510,'Match Log'!$D$4:$D$1510,$A14,'Match Log'!$E$4:$E$1510,"Loss")))=0,"",TEXT(SUMPRODUCT(('Match Log'!$D$4:$D$1510=$A14)*('Match Log'!$E$4:$E$1510="Win")*COUNTIFS('Match Log'!$A$4:$A$1510,'Match Log'!$A$4:$A$1510,'Match Log'!$D$4:$D$1510,L$4,'Match Log'!$E$4:$E$1510,"Loss"))/(SUMPRODUCT(('Match Log'!$D$4:$D$1510=$A14)*('Match Log'!$E$4:$E$1510="Win")*COUNTIFS('Match Log'!$A$4:$A$1510,'Match Log'!$A$4:$A$1510,'Match Log'!$D$4:$D$1510,L$4,'Match Log'!$E$4:$E$1510,"Loss"))+SUMPRODUCT(('Match Log'!$D$4:$D$1510=L$4)*('Match Log'!$E$4:$E$1510="Win")*COUNTIFS('Match Log'!$A$4:$A$1510,'Match Log'!$A$4:$A$1510,'Match Log'!$D$4:$D$1510,$A14,'Match Log'!$E$4:$E$1510,"Loss"))),"0%")&amp;" of "&amp;(SUMPRODUCT(('Match Log'!$D$4:$D$1510=$A14)*('Match Log'!$E$4:$E$1510="Win")*COUNTIFS('Match Log'!$A$4:$A$1510,'Match Log'!$A$4:$A$1510,'Match Log'!$D$4:$D$1510,L$4,'Match Log'!$E$4:$E$1510,"Loss"))+SUMPRODUCT(('Match Log'!$D$4:$D$1510=L$4)*('Match Log'!$E$4:$E$1510="Win")*COUNTIFS('Match Log'!$A$4:$A$1510,'Match Log'!$A$4:$A$1510,'Match Log'!$D$4:$D$1510,$A14,'Match Log'!$E$4:$E$1510,"Loss")))))</f>
        <v>67% of 3</v>
      </c>
      <c r="M14" s="56" t="str">
        <f>IF($A14=M$4,"—",IF((SUMPRODUCT(('Match Log'!$D$4:$D$1510=$A14)*('Match Log'!$E$4:$E$1510="Win")*COUNTIFS('Match Log'!$A$4:$A$1510,'Match Log'!$A$4:$A$1510,'Match Log'!$D$4:$D$1510,M$4,'Match Log'!$E$4:$E$1510,"Loss"))+SUMPRODUCT(('Match Log'!$D$4:$D$1510=M$4)*('Match Log'!$E$4:$E$1510="Win")*COUNTIFS('Match Log'!$A$4:$A$1510,'Match Log'!$A$4:$A$1510,'Match Log'!$D$4:$D$1510,$A14,'Match Log'!$E$4:$E$1510,"Loss")))=0,"",TEXT(SUMPRODUCT(('Match Log'!$D$4:$D$1510=$A14)*('Match Log'!$E$4:$E$1510="Win")*COUNTIFS('Match Log'!$A$4:$A$1510,'Match Log'!$A$4:$A$1510,'Match Log'!$D$4:$D$1510,M$4,'Match Log'!$E$4:$E$1510,"Loss"))/(SUMPRODUCT(('Match Log'!$D$4:$D$1510=$A14)*('Match Log'!$E$4:$E$1510="Win")*COUNTIFS('Match Log'!$A$4:$A$1510,'Match Log'!$A$4:$A$1510,'Match Log'!$D$4:$D$1510,M$4,'Match Log'!$E$4:$E$1510,"Loss"))+SUMPRODUCT(('Match Log'!$D$4:$D$1510=M$4)*('Match Log'!$E$4:$E$1510="Win")*COUNTIFS('Match Log'!$A$4:$A$1510,'Match Log'!$A$4:$A$1510,'Match Log'!$D$4:$D$1510,$A14,'Match Log'!$E$4:$E$1510,"Loss"))),"0%")&amp;" of "&amp;(SUMPRODUCT(('Match Log'!$D$4:$D$1510=$A14)*('Match Log'!$E$4:$E$1510="Win")*COUNTIFS('Match Log'!$A$4:$A$1510,'Match Log'!$A$4:$A$1510,'Match Log'!$D$4:$D$1510,M$4,'Match Log'!$E$4:$E$1510,"Loss"))+SUMPRODUCT(('Match Log'!$D$4:$D$1510=M$4)*('Match Log'!$E$4:$E$1510="Win")*COUNTIFS('Match Log'!$A$4:$A$1510,'Match Log'!$A$4:$A$1510,'Match Log'!$D$4:$D$1510,$A14,'Match Log'!$E$4:$E$1510,"Loss")))))</f>
        <v>0% of 1</v>
      </c>
      <c r="N14" s="56" t="str">
        <f>IF($A14=N$4,"—",IF((SUMPRODUCT(('Match Log'!$D$4:$D$1510=$A14)*('Match Log'!$E$4:$E$1510="Win")*COUNTIFS('Match Log'!$A$4:$A$1510,'Match Log'!$A$4:$A$1510,'Match Log'!$D$4:$D$1510,N$4,'Match Log'!$E$4:$E$1510,"Loss"))+SUMPRODUCT(('Match Log'!$D$4:$D$1510=N$4)*('Match Log'!$E$4:$E$1510="Win")*COUNTIFS('Match Log'!$A$4:$A$1510,'Match Log'!$A$4:$A$1510,'Match Log'!$D$4:$D$1510,$A14,'Match Log'!$E$4:$E$1510,"Loss")))=0,"",TEXT(SUMPRODUCT(('Match Log'!$D$4:$D$1510=$A14)*('Match Log'!$E$4:$E$1510="Win")*COUNTIFS('Match Log'!$A$4:$A$1510,'Match Log'!$A$4:$A$1510,'Match Log'!$D$4:$D$1510,N$4,'Match Log'!$E$4:$E$1510,"Loss"))/(SUMPRODUCT(('Match Log'!$D$4:$D$1510=$A14)*('Match Log'!$E$4:$E$1510="Win")*COUNTIFS('Match Log'!$A$4:$A$1510,'Match Log'!$A$4:$A$1510,'Match Log'!$D$4:$D$1510,N$4,'Match Log'!$E$4:$E$1510,"Loss"))+SUMPRODUCT(('Match Log'!$D$4:$D$1510=N$4)*('Match Log'!$E$4:$E$1510="Win")*COUNTIFS('Match Log'!$A$4:$A$1510,'Match Log'!$A$4:$A$1510,'Match Log'!$D$4:$D$1510,$A14,'Match Log'!$E$4:$E$1510,"Loss"))),"0%")&amp;" of "&amp;(SUMPRODUCT(('Match Log'!$D$4:$D$1510=$A14)*('Match Log'!$E$4:$E$1510="Win")*COUNTIFS('Match Log'!$A$4:$A$1510,'Match Log'!$A$4:$A$1510,'Match Log'!$D$4:$D$1510,N$4,'Match Log'!$E$4:$E$1510,"Loss"))+SUMPRODUCT(('Match Log'!$D$4:$D$1510=N$4)*('Match Log'!$E$4:$E$1510="Win")*COUNTIFS('Match Log'!$A$4:$A$1510,'Match Log'!$A$4:$A$1510,'Match Log'!$D$4:$D$1510,$A14,'Match Log'!$E$4:$E$1510,"Loss")))))</f>
        <v>0% of 1</v>
      </c>
      <c r="O14" s="56" t="str">
        <f>IF($A14=O$4,"—",IF((SUMPRODUCT(('Match Log'!$D$4:$D$1510=$A14)*('Match Log'!$E$4:$E$1510="Win")*COUNTIFS('Match Log'!$A$4:$A$1510,'Match Log'!$A$4:$A$1510,'Match Log'!$D$4:$D$1510,O$4,'Match Log'!$E$4:$E$1510,"Loss"))+SUMPRODUCT(('Match Log'!$D$4:$D$1510=O$4)*('Match Log'!$E$4:$E$1510="Win")*COUNTIFS('Match Log'!$A$4:$A$1510,'Match Log'!$A$4:$A$1510,'Match Log'!$D$4:$D$1510,$A14,'Match Log'!$E$4:$E$1510,"Loss")))=0,"",TEXT(SUMPRODUCT(('Match Log'!$D$4:$D$1510=$A14)*('Match Log'!$E$4:$E$1510="Win")*COUNTIFS('Match Log'!$A$4:$A$1510,'Match Log'!$A$4:$A$1510,'Match Log'!$D$4:$D$1510,O$4,'Match Log'!$E$4:$E$1510,"Loss"))/(SUMPRODUCT(('Match Log'!$D$4:$D$1510=$A14)*('Match Log'!$E$4:$E$1510="Win")*COUNTIFS('Match Log'!$A$4:$A$1510,'Match Log'!$A$4:$A$1510,'Match Log'!$D$4:$D$1510,O$4,'Match Log'!$E$4:$E$1510,"Loss"))+SUMPRODUCT(('Match Log'!$D$4:$D$1510=O$4)*('Match Log'!$E$4:$E$1510="Win")*COUNTIFS('Match Log'!$A$4:$A$1510,'Match Log'!$A$4:$A$1510,'Match Log'!$D$4:$D$1510,$A14,'Match Log'!$E$4:$E$1510,"Loss"))),"0%")&amp;" of "&amp;(SUMPRODUCT(('Match Log'!$D$4:$D$1510=$A14)*('Match Log'!$E$4:$E$1510="Win")*COUNTIFS('Match Log'!$A$4:$A$1510,'Match Log'!$A$4:$A$1510,'Match Log'!$D$4:$D$1510,O$4,'Match Log'!$E$4:$E$1510,"Loss"))+SUMPRODUCT(('Match Log'!$D$4:$D$1510=O$4)*('Match Log'!$E$4:$E$1510="Win")*COUNTIFS('Match Log'!$A$4:$A$1510,'Match Log'!$A$4:$A$1510,'Match Log'!$D$4:$D$1510,$A14,'Match Log'!$E$4:$E$1510,"Loss")))))</f>
        <v/>
      </c>
    </row>
    <row r="15" spans="1:15" ht="15" customHeight="1" x14ac:dyDescent="0.2">
      <c r="A15" s="51" t="s">
        <v>25</v>
      </c>
      <c r="B15" s="56" t="str">
        <f>IF($A15=B$4,"—",IF((SUMPRODUCT(('Match Log'!$D$4:$D$1510=$A15)*('Match Log'!$E$4:$E$1510="Win")*COUNTIFS('Match Log'!$A$4:$A$1510,'Match Log'!$A$4:$A$1510,'Match Log'!$D$4:$D$1510,B$4,'Match Log'!$E$4:$E$1510,"Loss"))+SUMPRODUCT(('Match Log'!$D$4:$D$1510=B$4)*('Match Log'!$E$4:$E$1510="Win")*COUNTIFS('Match Log'!$A$4:$A$1510,'Match Log'!$A$4:$A$1510,'Match Log'!$D$4:$D$1510,$A15,'Match Log'!$E$4:$E$1510,"Loss")))=0,"",TEXT(SUMPRODUCT(('Match Log'!$D$4:$D$1510=$A15)*('Match Log'!$E$4:$E$1510="Win")*COUNTIFS('Match Log'!$A$4:$A$1510,'Match Log'!$A$4:$A$1510,'Match Log'!$D$4:$D$1510,B$4,'Match Log'!$E$4:$E$1510,"Loss"))/(SUMPRODUCT(('Match Log'!$D$4:$D$1510=$A15)*('Match Log'!$E$4:$E$1510="Win")*COUNTIFS('Match Log'!$A$4:$A$1510,'Match Log'!$A$4:$A$1510,'Match Log'!$D$4:$D$1510,B$4,'Match Log'!$E$4:$E$1510,"Loss"))+SUMPRODUCT(('Match Log'!$D$4:$D$1510=B$4)*('Match Log'!$E$4:$E$1510="Win")*COUNTIFS('Match Log'!$A$4:$A$1510,'Match Log'!$A$4:$A$1510,'Match Log'!$D$4:$D$1510,$A15,'Match Log'!$E$4:$E$1510,"Loss"))),"0%")&amp;" of "&amp;(SUMPRODUCT(('Match Log'!$D$4:$D$1510=$A15)*('Match Log'!$E$4:$E$1510="Win")*COUNTIFS('Match Log'!$A$4:$A$1510,'Match Log'!$A$4:$A$1510,'Match Log'!$D$4:$D$1510,B$4,'Match Log'!$E$4:$E$1510,"Loss"))+SUMPRODUCT(('Match Log'!$D$4:$D$1510=B$4)*('Match Log'!$E$4:$E$1510="Win")*COUNTIFS('Match Log'!$A$4:$A$1510,'Match Log'!$A$4:$A$1510,'Match Log'!$D$4:$D$1510,$A15,'Match Log'!$E$4:$E$1510,"Loss")))))</f>
        <v>33% of 6</v>
      </c>
      <c r="C15" s="56" t="str">
        <f>IF($A15=C$4,"—",IF((SUMPRODUCT(('Match Log'!$D$4:$D$1510=$A15)*('Match Log'!$E$4:$E$1510="Win")*COUNTIFS('Match Log'!$A$4:$A$1510,'Match Log'!$A$4:$A$1510,'Match Log'!$D$4:$D$1510,C$4,'Match Log'!$E$4:$E$1510,"Loss"))+SUMPRODUCT(('Match Log'!$D$4:$D$1510=C$4)*('Match Log'!$E$4:$E$1510="Win")*COUNTIFS('Match Log'!$A$4:$A$1510,'Match Log'!$A$4:$A$1510,'Match Log'!$D$4:$D$1510,$A15,'Match Log'!$E$4:$E$1510,"Loss")))=0,"",TEXT(SUMPRODUCT(('Match Log'!$D$4:$D$1510=$A15)*('Match Log'!$E$4:$E$1510="Win")*COUNTIFS('Match Log'!$A$4:$A$1510,'Match Log'!$A$4:$A$1510,'Match Log'!$D$4:$D$1510,C$4,'Match Log'!$E$4:$E$1510,"Loss"))/(SUMPRODUCT(('Match Log'!$D$4:$D$1510=$A15)*('Match Log'!$E$4:$E$1510="Win")*COUNTIFS('Match Log'!$A$4:$A$1510,'Match Log'!$A$4:$A$1510,'Match Log'!$D$4:$D$1510,C$4,'Match Log'!$E$4:$E$1510,"Loss"))+SUMPRODUCT(('Match Log'!$D$4:$D$1510=C$4)*('Match Log'!$E$4:$E$1510="Win")*COUNTIFS('Match Log'!$A$4:$A$1510,'Match Log'!$A$4:$A$1510,'Match Log'!$D$4:$D$1510,$A15,'Match Log'!$E$4:$E$1510,"Loss"))),"0%")&amp;" of "&amp;(SUMPRODUCT(('Match Log'!$D$4:$D$1510=$A15)*('Match Log'!$E$4:$E$1510="Win")*COUNTIFS('Match Log'!$A$4:$A$1510,'Match Log'!$A$4:$A$1510,'Match Log'!$D$4:$D$1510,C$4,'Match Log'!$E$4:$E$1510,"Loss"))+SUMPRODUCT(('Match Log'!$D$4:$D$1510=C$4)*('Match Log'!$E$4:$E$1510="Win")*COUNTIFS('Match Log'!$A$4:$A$1510,'Match Log'!$A$4:$A$1510,'Match Log'!$D$4:$D$1510,$A15,'Match Log'!$E$4:$E$1510,"Loss")))))</f>
        <v>60% of 5</v>
      </c>
      <c r="D15" s="56" t="str">
        <f>IF($A15=D$4,"—",IF((SUMPRODUCT(('Match Log'!$D$4:$D$1510=$A15)*('Match Log'!$E$4:$E$1510="Win")*COUNTIFS('Match Log'!$A$4:$A$1510,'Match Log'!$A$4:$A$1510,'Match Log'!$D$4:$D$1510,D$4,'Match Log'!$E$4:$E$1510,"Loss"))+SUMPRODUCT(('Match Log'!$D$4:$D$1510=D$4)*('Match Log'!$E$4:$E$1510="Win")*COUNTIFS('Match Log'!$A$4:$A$1510,'Match Log'!$A$4:$A$1510,'Match Log'!$D$4:$D$1510,$A15,'Match Log'!$E$4:$E$1510,"Loss")))=0,"",TEXT(SUMPRODUCT(('Match Log'!$D$4:$D$1510=$A15)*('Match Log'!$E$4:$E$1510="Win")*COUNTIFS('Match Log'!$A$4:$A$1510,'Match Log'!$A$4:$A$1510,'Match Log'!$D$4:$D$1510,D$4,'Match Log'!$E$4:$E$1510,"Loss"))/(SUMPRODUCT(('Match Log'!$D$4:$D$1510=$A15)*('Match Log'!$E$4:$E$1510="Win")*COUNTIFS('Match Log'!$A$4:$A$1510,'Match Log'!$A$4:$A$1510,'Match Log'!$D$4:$D$1510,D$4,'Match Log'!$E$4:$E$1510,"Loss"))+SUMPRODUCT(('Match Log'!$D$4:$D$1510=D$4)*('Match Log'!$E$4:$E$1510="Win")*COUNTIFS('Match Log'!$A$4:$A$1510,'Match Log'!$A$4:$A$1510,'Match Log'!$D$4:$D$1510,$A15,'Match Log'!$E$4:$E$1510,"Loss"))),"0%")&amp;" of "&amp;(SUMPRODUCT(('Match Log'!$D$4:$D$1510=$A15)*('Match Log'!$E$4:$E$1510="Win")*COUNTIFS('Match Log'!$A$4:$A$1510,'Match Log'!$A$4:$A$1510,'Match Log'!$D$4:$D$1510,D$4,'Match Log'!$E$4:$E$1510,"Loss"))+SUMPRODUCT(('Match Log'!$D$4:$D$1510=D$4)*('Match Log'!$E$4:$E$1510="Win")*COUNTIFS('Match Log'!$A$4:$A$1510,'Match Log'!$A$4:$A$1510,'Match Log'!$D$4:$D$1510,$A15,'Match Log'!$E$4:$E$1510,"Loss")))))</f>
        <v>50% of 2</v>
      </c>
      <c r="E15" s="56" t="str">
        <f>IF($A15=E$4,"—",IF((SUMPRODUCT(('Match Log'!$D$4:$D$1510=$A15)*('Match Log'!$E$4:$E$1510="Win")*COUNTIFS('Match Log'!$A$4:$A$1510,'Match Log'!$A$4:$A$1510,'Match Log'!$D$4:$D$1510,E$4,'Match Log'!$E$4:$E$1510,"Loss"))+SUMPRODUCT(('Match Log'!$D$4:$D$1510=E$4)*('Match Log'!$E$4:$E$1510="Win")*COUNTIFS('Match Log'!$A$4:$A$1510,'Match Log'!$A$4:$A$1510,'Match Log'!$D$4:$D$1510,$A15,'Match Log'!$E$4:$E$1510,"Loss")))=0,"",TEXT(SUMPRODUCT(('Match Log'!$D$4:$D$1510=$A15)*('Match Log'!$E$4:$E$1510="Win")*COUNTIFS('Match Log'!$A$4:$A$1510,'Match Log'!$A$4:$A$1510,'Match Log'!$D$4:$D$1510,E$4,'Match Log'!$E$4:$E$1510,"Loss"))/(SUMPRODUCT(('Match Log'!$D$4:$D$1510=$A15)*('Match Log'!$E$4:$E$1510="Win")*COUNTIFS('Match Log'!$A$4:$A$1510,'Match Log'!$A$4:$A$1510,'Match Log'!$D$4:$D$1510,E$4,'Match Log'!$E$4:$E$1510,"Loss"))+SUMPRODUCT(('Match Log'!$D$4:$D$1510=E$4)*('Match Log'!$E$4:$E$1510="Win")*COUNTIFS('Match Log'!$A$4:$A$1510,'Match Log'!$A$4:$A$1510,'Match Log'!$D$4:$D$1510,$A15,'Match Log'!$E$4:$E$1510,"Loss"))),"0%")&amp;" of "&amp;(SUMPRODUCT(('Match Log'!$D$4:$D$1510=$A15)*('Match Log'!$E$4:$E$1510="Win")*COUNTIFS('Match Log'!$A$4:$A$1510,'Match Log'!$A$4:$A$1510,'Match Log'!$D$4:$D$1510,E$4,'Match Log'!$E$4:$E$1510,"Loss"))+SUMPRODUCT(('Match Log'!$D$4:$D$1510=E$4)*('Match Log'!$E$4:$E$1510="Win")*COUNTIFS('Match Log'!$A$4:$A$1510,'Match Log'!$A$4:$A$1510,'Match Log'!$D$4:$D$1510,$A15,'Match Log'!$E$4:$E$1510,"Loss")))))</f>
        <v>100% of 1</v>
      </c>
      <c r="F15" s="56" t="str">
        <f>IF($A15=F$4,"—",IF((SUMPRODUCT(('Match Log'!$D$4:$D$1510=$A15)*('Match Log'!$E$4:$E$1510="Win")*COUNTIFS('Match Log'!$A$4:$A$1510,'Match Log'!$A$4:$A$1510,'Match Log'!$D$4:$D$1510,F$4,'Match Log'!$E$4:$E$1510,"Loss"))+SUMPRODUCT(('Match Log'!$D$4:$D$1510=F$4)*('Match Log'!$E$4:$E$1510="Win")*COUNTIFS('Match Log'!$A$4:$A$1510,'Match Log'!$A$4:$A$1510,'Match Log'!$D$4:$D$1510,$A15,'Match Log'!$E$4:$E$1510,"Loss")))=0,"",TEXT(SUMPRODUCT(('Match Log'!$D$4:$D$1510=$A15)*('Match Log'!$E$4:$E$1510="Win")*COUNTIFS('Match Log'!$A$4:$A$1510,'Match Log'!$A$4:$A$1510,'Match Log'!$D$4:$D$1510,F$4,'Match Log'!$E$4:$E$1510,"Loss"))/(SUMPRODUCT(('Match Log'!$D$4:$D$1510=$A15)*('Match Log'!$E$4:$E$1510="Win")*COUNTIFS('Match Log'!$A$4:$A$1510,'Match Log'!$A$4:$A$1510,'Match Log'!$D$4:$D$1510,F$4,'Match Log'!$E$4:$E$1510,"Loss"))+SUMPRODUCT(('Match Log'!$D$4:$D$1510=F$4)*('Match Log'!$E$4:$E$1510="Win")*COUNTIFS('Match Log'!$A$4:$A$1510,'Match Log'!$A$4:$A$1510,'Match Log'!$D$4:$D$1510,$A15,'Match Log'!$E$4:$E$1510,"Loss"))),"0%")&amp;" of "&amp;(SUMPRODUCT(('Match Log'!$D$4:$D$1510=$A15)*('Match Log'!$E$4:$E$1510="Win")*COUNTIFS('Match Log'!$A$4:$A$1510,'Match Log'!$A$4:$A$1510,'Match Log'!$D$4:$D$1510,F$4,'Match Log'!$E$4:$E$1510,"Loss"))+SUMPRODUCT(('Match Log'!$D$4:$D$1510=F$4)*('Match Log'!$E$4:$E$1510="Win")*COUNTIFS('Match Log'!$A$4:$A$1510,'Match Log'!$A$4:$A$1510,'Match Log'!$D$4:$D$1510,$A15,'Match Log'!$E$4:$E$1510,"Loss")))))</f>
        <v>33% of 6</v>
      </c>
      <c r="G15" s="56" t="str">
        <f>IF($A15=G$4,"—",IF((SUMPRODUCT(('Match Log'!$D$4:$D$1510=$A15)*('Match Log'!$E$4:$E$1510="Win")*COUNTIFS('Match Log'!$A$4:$A$1510,'Match Log'!$A$4:$A$1510,'Match Log'!$D$4:$D$1510,G$4,'Match Log'!$E$4:$E$1510,"Loss"))+SUMPRODUCT(('Match Log'!$D$4:$D$1510=G$4)*('Match Log'!$E$4:$E$1510="Win")*COUNTIFS('Match Log'!$A$4:$A$1510,'Match Log'!$A$4:$A$1510,'Match Log'!$D$4:$D$1510,$A15,'Match Log'!$E$4:$E$1510,"Loss")))=0,"",TEXT(SUMPRODUCT(('Match Log'!$D$4:$D$1510=$A15)*('Match Log'!$E$4:$E$1510="Win")*COUNTIFS('Match Log'!$A$4:$A$1510,'Match Log'!$A$4:$A$1510,'Match Log'!$D$4:$D$1510,G$4,'Match Log'!$E$4:$E$1510,"Loss"))/(SUMPRODUCT(('Match Log'!$D$4:$D$1510=$A15)*('Match Log'!$E$4:$E$1510="Win")*COUNTIFS('Match Log'!$A$4:$A$1510,'Match Log'!$A$4:$A$1510,'Match Log'!$D$4:$D$1510,G$4,'Match Log'!$E$4:$E$1510,"Loss"))+SUMPRODUCT(('Match Log'!$D$4:$D$1510=G$4)*('Match Log'!$E$4:$E$1510="Win")*COUNTIFS('Match Log'!$A$4:$A$1510,'Match Log'!$A$4:$A$1510,'Match Log'!$D$4:$D$1510,$A15,'Match Log'!$E$4:$E$1510,"Loss"))),"0%")&amp;" of "&amp;(SUMPRODUCT(('Match Log'!$D$4:$D$1510=$A15)*('Match Log'!$E$4:$E$1510="Win")*COUNTIFS('Match Log'!$A$4:$A$1510,'Match Log'!$A$4:$A$1510,'Match Log'!$D$4:$D$1510,G$4,'Match Log'!$E$4:$E$1510,"Loss"))+SUMPRODUCT(('Match Log'!$D$4:$D$1510=G$4)*('Match Log'!$E$4:$E$1510="Win")*COUNTIFS('Match Log'!$A$4:$A$1510,'Match Log'!$A$4:$A$1510,'Match Log'!$D$4:$D$1510,$A15,'Match Log'!$E$4:$E$1510,"Loss")))))</f>
        <v>46% of 35</v>
      </c>
      <c r="H15" s="56" t="str">
        <f>IF($A15=H$4,"—",IF((SUMPRODUCT(('Match Log'!$D$4:$D$1510=$A15)*('Match Log'!$E$4:$E$1510="Win")*COUNTIFS('Match Log'!$A$4:$A$1510,'Match Log'!$A$4:$A$1510,'Match Log'!$D$4:$D$1510,H$4,'Match Log'!$E$4:$E$1510,"Loss"))+SUMPRODUCT(('Match Log'!$D$4:$D$1510=H$4)*('Match Log'!$E$4:$E$1510="Win")*COUNTIFS('Match Log'!$A$4:$A$1510,'Match Log'!$A$4:$A$1510,'Match Log'!$D$4:$D$1510,$A15,'Match Log'!$E$4:$E$1510,"Loss")))=0,"",TEXT(SUMPRODUCT(('Match Log'!$D$4:$D$1510=$A15)*('Match Log'!$E$4:$E$1510="Win")*COUNTIFS('Match Log'!$A$4:$A$1510,'Match Log'!$A$4:$A$1510,'Match Log'!$D$4:$D$1510,H$4,'Match Log'!$E$4:$E$1510,"Loss"))/(SUMPRODUCT(('Match Log'!$D$4:$D$1510=$A15)*('Match Log'!$E$4:$E$1510="Win")*COUNTIFS('Match Log'!$A$4:$A$1510,'Match Log'!$A$4:$A$1510,'Match Log'!$D$4:$D$1510,H$4,'Match Log'!$E$4:$E$1510,"Loss"))+SUMPRODUCT(('Match Log'!$D$4:$D$1510=H$4)*('Match Log'!$E$4:$E$1510="Win")*COUNTIFS('Match Log'!$A$4:$A$1510,'Match Log'!$A$4:$A$1510,'Match Log'!$D$4:$D$1510,$A15,'Match Log'!$E$4:$E$1510,"Loss"))),"0%")&amp;" of "&amp;(SUMPRODUCT(('Match Log'!$D$4:$D$1510=$A15)*('Match Log'!$E$4:$E$1510="Win")*COUNTIFS('Match Log'!$A$4:$A$1510,'Match Log'!$A$4:$A$1510,'Match Log'!$D$4:$D$1510,H$4,'Match Log'!$E$4:$E$1510,"Loss"))+SUMPRODUCT(('Match Log'!$D$4:$D$1510=H$4)*('Match Log'!$E$4:$E$1510="Win")*COUNTIFS('Match Log'!$A$4:$A$1510,'Match Log'!$A$4:$A$1510,'Match Log'!$D$4:$D$1510,$A15,'Match Log'!$E$4:$E$1510,"Loss")))))</f>
        <v>29% of 21</v>
      </c>
      <c r="I15" s="56" t="str">
        <f>IF($A15=I$4,"—",IF((SUMPRODUCT(('Match Log'!$D$4:$D$1510=$A15)*('Match Log'!$E$4:$E$1510="Win")*COUNTIFS('Match Log'!$A$4:$A$1510,'Match Log'!$A$4:$A$1510,'Match Log'!$D$4:$D$1510,I$4,'Match Log'!$E$4:$E$1510,"Loss"))+SUMPRODUCT(('Match Log'!$D$4:$D$1510=I$4)*('Match Log'!$E$4:$E$1510="Win")*COUNTIFS('Match Log'!$A$4:$A$1510,'Match Log'!$A$4:$A$1510,'Match Log'!$D$4:$D$1510,$A15,'Match Log'!$E$4:$E$1510,"Loss")))=0,"",TEXT(SUMPRODUCT(('Match Log'!$D$4:$D$1510=$A15)*('Match Log'!$E$4:$E$1510="Win")*COUNTIFS('Match Log'!$A$4:$A$1510,'Match Log'!$A$4:$A$1510,'Match Log'!$D$4:$D$1510,I$4,'Match Log'!$E$4:$E$1510,"Loss"))/(SUMPRODUCT(('Match Log'!$D$4:$D$1510=$A15)*('Match Log'!$E$4:$E$1510="Win")*COUNTIFS('Match Log'!$A$4:$A$1510,'Match Log'!$A$4:$A$1510,'Match Log'!$D$4:$D$1510,I$4,'Match Log'!$E$4:$E$1510,"Loss"))+SUMPRODUCT(('Match Log'!$D$4:$D$1510=I$4)*('Match Log'!$E$4:$E$1510="Win")*COUNTIFS('Match Log'!$A$4:$A$1510,'Match Log'!$A$4:$A$1510,'Match Log'!$D$4:$D$1510,$A15,'Match Log'!$E$4:$E$1510,"Loss"))),"0%")&amp;" of "&amp;(SUMPRODUCT(('Match Log'!$D$4:$D$1510=$A15)*('Match Log'!$E$4:$E$1510="Win")*COUNTIFS('Match Log'!$A$4:$A$1510,'Match Log'!$A$4:$A$1510,'Match Log'!$D$4:$D$1510,I$4,'Match Log'!$E$4:$E$1510,"Loss"))+SUMPRODUCT(('Match Log'!$D$4:$D$1510=I$4)*('Match Log'!$E$4:$E$1510="Win")*COUNTIFS('Match Log'!$A$4:$A$1510,'Match Log'!$A$4:$A$1510,'Match Log'!$D$4:$D$1510,$A15,'Match Log'!$E$4:$E$1510,"Loss")))))</f>
        <v>30% of 10</v>
      </c>
      <c r="J15" s="56" t="str">
        <f>IF($A15=J$4,"—",IF((SUMPRODUCT(('Match Log'!$D$4:$D$1510=$A15)*('Match Log'!$E$4:$E$1510="Win")*COUNTIFS('Match Log'!$A$4:$A$1510,'Match Log'!$A$4:$A$1510,'Match Log'!$D$4:$D$1510,J$4,'Match Log'!$E$4:$E$1510,"Loss"))+SUMPRODUCT(('Match Log'!$D$4:$D$1510=J$4)*('Match Log'!$E$4:$E$1510="Win")*COUNTIFS('Match Log'!$A$4:$A$1510,'Match Log'!$A$4:$A$1510,'Match Log'!$D$4:$D$1510,$A15,'Match Log'!$E$4:$E$1510,"Loss")))=0,"",TEXT(SUMPRODUCT(('Match Log'!$D$4:$D$1510=$A15)*('Match Log'!$E$4:$E$1510="Win")*COUNTIFS('Match Log'!$A$4:$A$1510,'Match Log'!$A$4:$A$1510,'Match Log'!$D$4:$D$1510,J$4,'Match Log'!$E$4:$E$1510,"Loss"))/(SUMPRODUCT(('Match Log'!$D$4:$D$1510=$A15)*('Match Log'!$E$4:$E$1510="Win")*COUNTIFS('Match Log'!$A$4:$A$1510,'Match Log'!$A$4:$A$1510,'Match Log'!$D$4:$D$1510,J$4,'Match Log'!$E$4:$E$1510,"Loss"))+SUMPRODUCT(('Match Log'!$D$4:$D$1510=J$4)*('Match Log'!$E$4:$E$1510="Win")*COUNTIFS('Match Log'!$A$4:$A$1510,'Match Log'!$A$4:$A$1510,'Match Log'!$D$4:$D$1510,$A15,'Match Log'!$E$4:$E$1510,"Loss"))),"0%")&amp;" of "&amp;(SUMPRODUCT(('Match Log'!$D$4:$D$1510=$A15)*('Match Log'!$E$4:$E$1510="Win")*COUNTIFS('Match Log'!$A$4:$A$1510,'Match Log'!$A$4:$A$1510,'Match Log'!$D$4:$D$1510,J$4,'Match Log'!$E$4:$E$1510,"Loss"))+SUMPRODUCT(('Match Log'!$D$4:$D$1510=J$4)*('Match Log'!$E$4:$E$1510="Win")*COUNTIFS('Match Log'!$A$4:$A$1510,'Match Log'!$A$4:$A$1510,'Match Log'!$D$4:$D$1510,$A15,'Match Log'!$E$4:$E$1510,"Loss")))))</f>
        <v>17% of 6</v>
      </c>
      <c r="K15" s="56" t="str">
        <f>IF($A15=K$4,"—",IF((SUMPRODUCT(('Match Log'!$D$4:$D$1510=$A15)*('Match Log'!$E$4:$E$1510="Win")*COUNTIFS('Match Log'!$A$4:$A$1510,'Match Log'!$A$4:$A$1510,'Match Log'!$D$4:$D$1510,K$4,'Match Log'!$E$4:$E$1510,"Loss"))+SUMPRODUCT(('Match Log'!$D$4:$D$1510=K$4)*('Match Log'!$E$4:$E$1510="Win")*COUNTIFS('Match Log'!$A$4:$A$1510,'Match Log'!$A$4:$A$1510,'Match Log'!$D$4:$D$1510,$A15,'Match Log'!$E$4:$E$1510,"Loss")))=0,"",TEXT(SUMPRODUCT(('Match Log'!$D$4:$D$1510=$A15)*('Match Log'!$E$4:$E$1510="Win")*COUNTIFS('Match Log'!$A$4:$A$1510,'Match Log'!$A$4:$A$1510,'Match Log'!$D$4:$D$1510,K$4,'Match Log'!$E$4:$E$1510,"Loss"))/(SUMPRODUCT(('Match Log'!$D$4:$D$1510=$A15)*('Match Log'!$E$4:$E$1510="Win")*COUNTIFS('Match Log'!$A$4:$A$1510,'Match Log'!$A$4:$A$1510,'Match Log'!$D$4:$D$1510,K$4,'Match Log'!$E$4:$E$1510,"Loss"))+SUMPRODUCT(('Match Log'!$D$4:$D$1510=K$4)*('Match Log'!$E$4:$E$1510="Win")*COUNTIFS('Match Log'!$A$4:$A$1510,'Match Log'!$A$4:$A$1510,'Match Log'!$D$4:$D$1510,$A15,'Match Log'!$E$4:$E$1510,"Loss"))),"0%")&amp;" of "&amp;(SUMPRODUCT(('Match Log'!$D$4:$D$1510=$A15)*('Match Log'!$E$4:$E$1510="Win")*COUNTIFS('Match Log'!$A$4:$A$1510,'Match Log'!$A$4:$A$1510,'Match Log'!$D$4:$D$1510,K$4,'Match Log'!$E$4:$E$1510,"Loss"))+SUMPRODUCT(('Match Log'!$D$4:$D$1510=K$4)*('Match Log'!$E$4:$E$1510="Win")*COUNTIFS('Match Log'!$A$4:$A$1510,'Match Log'!$A$4:$A$1510,'Match Log'!$D$4:$D$1510,$A15,'Match Log'!$E$4:$E$1510,"Loss")))))</f>
        <v>33% of 3</v>
      </c>
      <c r="L15" s="56" t="str">
        <f>IF($A15=L$4,"—",IF((SUMPRODUCT(('Match Log'!$D$4:$D$1510=$A15)*('Match Log'!$E$4:$E$1510="Win")*COUNTIFS('Match Log'!$A$4:$A$1510,'Match Log'!$A$4:$A$1510,'Match Log'!$D$4:$D$1510,L$4,'Match Log'!$E$4:$E$1510,"Loss"))+SUMPRODUCT(('Match Log'!$D$4:$D$1510=L$4)*('Match Log'!$E$4:$E$1510="Win")*COUNTIFS('Match Log'!$A$4:$A$1510,'Match Log'!$A$4:$A$1510,'Match Log'!$D$4:$D$1510,$A15,'Match Log'!$E$4:$E$1510,"Loss")))=0,"",TEXT(SUMPRODUCT(('Match Log'!$D$4:$D$1510=$A15)*('Match Log'!$E$4:$E$1510="Win")*COUNTIFS('Match Log'!$A$4:$A$1510,'Match Log'!$A$4:$A$1510,'Match Log'!$D$4:$D$1510,L$4,'Match Log'!$E$4:$E$1510,"Loss"))/(SUMPRODUCT(('Match Log'!$D$4:$D$1510=$A15)*('Match Log'!$E$4:$E$1510="Win")*COUNTIFS('Match Log'!$A$4:$A$1510,'Match Log'!$A$4:$A$1510,'Match Log'!$D$4:$D$1510,L$4,'Match Log'!$E$4:$E$1510,"Loss"))+SUMPRODUCT(('Match Log'!$D$4:$D$1510=L$4)*('Match Log'!$E$4:$E$1510="Win")*COUNTIFS('Match Log'!$A$4:$A$1510,'Match Log'!$A$4:$A$1510,'Match Log'!$D$4:$D$1510,$A15,'Match Log'!$E$4:$E$1510,"Loss"))),"0%")&amp;" of "&amp;(SUMPRODUCT(('Match Log'!$D$4:$D$1510=$A15)*('Match Log'!$E$4:$E$1510="Win")*COUNTIFS('Match Log'!$A$4:$A$1510,'Match Log'!$A$4:$A$1510,'Match Log'!$D$4:$D$1510,L$4,'Match Log'!$E$4:$E$1510,"Loss"))+SUMPRODUCT(('Match Log'!$D$4:$D$1510=L$4)*('Match Log'!$E$4:$E$1510="Win")*COUNTIFS('Match Log'!$A$4:$A$1510,'Match Log'!$A$4:$A$1510,'Match Log'!$D$4:$D$1510,$A15,'Match Log'!$E$4:$E$1510,"Loss")))))</f>
        <v>—</v>
      </c>
      <c r="M15" s="56" t="str">
        <f>IF($A15=M$4,"—",IF((SUMPRODUCT(('Match Log'!$D$4:$D$1510=$A15)*('Match Log'!$E$4:$E$1510="Win")*COUNTIFS('Match Log'!$A$4:$A$1510,'Match Log'!$A$4:$A$1510,'Match Log'!$D$4:$D$1510,M$4,'Match Log'!$E$4:$E$1510,"Loss"))+SUMPRODUCT(('Match Log'!$D$4:$D$1510=M$4)*('Match Log'!$E$4:$E$1510="Win")*COUNTIFS('Match Log'!$A$4:$A$1510,'Match Log'!$A$4:$A$1510,'Match Log'!$D$4:$D$1510,$A15,'Match Log'!$E$4:$E$1510,"Loss")))=0,"",TEXT(SUMPRODUCT(('Match Log'!$D$4:$D$1510=$A15)*('Match Log'!$E$4:$E$1510="Win")*COUNTIFS('Match Log'!$A$4:$A$1510,'Match Log'!$A$4:$A$1510,'Match Log'!$D$4:$D$1510,M$4,'Match Log'!$E$4:$E$1510,"Loss"))/(SUMPRODUCT(('Match Log'!$D$4:$D$1510=$A15)*('Match Log'!$E$4:$E$1510="Win")*COUNTIFS('Match Log'!$A$4:$A$1510,'Match Log'!$A$4:$A$1510,'Match Log'!$D$4:$D$1510,M$4,'Match Log'!$E$4:$E$1510,"Loss"))+SUMPRODUCT(('Match Log'!$D$4:$D$1510=M$4)*('Match Log'!$E$4:$E$1510="Win")*COUNTIFS('Match Log'!$A$4:$A$1510,'Match Log'!$A$4:$A$1510,'Match Log'!$D$4:$D$1510,$A15,'Match Log'!$E$4:$E$1510,"Loss"))),"0%")&amp;" of "&amp;(SUMPRODUCT(('Match Log'!$D$4:$D$1510=$A15)*('Match Log'!$E$4:$E$1510="Win")*COUNTIFS('Match Log'!$A$4:$A$1510,'Match Log'!$A$4:$A$1510,'Match Log'!$D$4:$D$1510,M$4,'Match Log'!$E$4:$E$1510,"Loss"))+SUMPRODUCT(('Match Log'!$D$4:$D$1510=M$4)*('Match Log'!$E$4:$E$1510="Win")*COUNTIFS('Match Log'!$A$4:$A$1510,'Match Log'!$A$4:$A$1510,'Match Log'!$D$4:$D$1510,$A15,'Match Log'!$E$4:$E$1510,"Loss")))))</f>
        <v>100% of 1</v>
      </c>
      <c r="N15" s="56" t="str">
        <f>IF($A15=N$4,"—",IF((SUMPRODUCT(('Match Log'!$D$4:$D$1510=$A15)*('Match Log'!$E$4:$E$1510="Win")*COUNTIFS('Match Log'!$A$4:$A$1510,'Match Log'!$A$4:$A$1510,'Match Log'!$D$4:$D$1510,N$4,'Match Log'!$E$4:$E$1510,"Loss"))+SUMPRODUCT(('Match Log'!$D$4:$D$1510=N$4)*('Match Log'!$E$4:$E$1510="Win")*COUNTIFS('Match Log'!$A$4:$A$1510,'Match Log'!$A$4:$A$1510,'Match Log'!$D$4:$D$1510,$A15,'Match Log'!$E$4:$E$1510,"Loss")))=0,"",TEXT(SUMPRODUCT(('Match Log'!$D$4:$D$1510=$A15)*('Match Log'!$E$4:$E$1510="Win")*COUNTIFS('Match Log'!$A$4:$A$1510,'Match Log'!$A$4:$A$1510,'Match Log'!$D$4:$D$1510,N$4,'Match Log'!$E$4:$E$1510,"Loss"))/(SUMPRODUCT(('Match Log'!$D$4:$D$1510=$A15)*('Match Log'!$E$4:$E$1510="Win")*COUNTIFS('Match Log'!$A$4:$A$1510,'Match Log'!$A$4:$A$1510,'Match Log'!$D$4:$D$1510,N$4,'Match Log'!$E$4:$E$1510,"Loss"))+SUMPRODUCT(('Match Log'!$D$4:$D$1510=N$4)*('Match Log'!$E$4:$E$1510="Win")*COUNTIFS('Match Log'!$A$4:$A$1510,'Match Log'!$A$4:$A$1510,'Match Log'!$D$4:$D$1510,$A15,'Match Log'!$E$4:$E$1510,"Loss"))),"0%")&amp;" of "&amp;(SUMPRODUCT(('Match Log'!$D$4:$D$1510=$A15)*('Match Log'!$E$4:$E$1510="Win")*COUNTIFS('Match Log'!$A$4:$A$1510,'Match Log'!$A$4:$A$1510,'Match Log'!$D$4:$D$1510,N$4,'Match Log'!$E$4:$E$1510,"Loss"))+SUMPRODUCT(('Match Log'!$D$4:$D$1510=N$4)*('Match Log'!$E$4:$E$1510="Win")*COUNTIFS('Match Log'!$A$4:$A$1510,'Match Log'!$A$4:$A$1510,'Match Log'!$D$4:$D$1510,$A15,'Match Log'!$E$4:$E$1510,"Loss")))))</f>
        <v>50% of 2</v>
      </c>
      <c r="O15" s="56" t="str">
        <f>IF($A15=O$4,"—",IF((SUMPRODUCT(('Match Log'!$D$4:$D$1510=$A15)*('Match Log'!$E$4:$E$1510="Win")*COUNTIFS('Match Log'!$A$4:$A$1510,'Match Log'!$A$4:$A$1510,'Match Log'!$D$4:$D$1510,O$4,'Match Log'!$E$4:$E$1510,"Loss"))+SUMPRODUCT(('Match Log'!$D$4:$D$1510=O$4)*('Match Log'!$E$4:$E$1510="Win")*COUNTIFS('Match Log'!$A$4:$A$1510,'Match Log'!$A$4:$A$1510,'Match Log'!$D$4:$D$1510,$A15,'Match Log'!$E$4:$E$1510,"Loss")))=0,"",TEXT(SUMPRODUCT(('Match Log'!$D$4:$D$1510=$A15)*('Match Log'!$E$4:$E$1510="Win")*COUNTIFS('Match Log'!$A$4:$A$1510,'Match Log'!$A$4:$A$1510,'Match Log'!$D$4:$D$1510,O$4,'Match Log'!$E$4:$E$1510,"Loss"))/(SUMPRODUCT(('Match Log'!$D$4:$D$1510=$A15)*('Match Log'!$E$4:$E$1510="Win")*COUNTIFS('Match Log'!$A$4:$A$1510,'Match Log'!$A$4:$A$1510,'Match Log'!$D$4:$D$1510,O$4,'Match Log'!$E$4:$E$1510,"Loss"))+SUMPRODUCT(('Match Log'!$D$4:$D$1510=O$4)*('Match Log'!$E$4:$E$1510="Win")*COUNTIFS('Match Log'!$A$4:$A$1510,'Match Log'!$A$4:$A$1510,'Match Log'!$D$4:$D$1510,$A15,'Match Log'!$E$4:$E$1510,"Loss"))),"0%")&amp;" of "&amp;(SUMPRODUCT(('Match Log'!$D$4:$D$1510=$A15)*('Match Log'!$E$4:$E$1510="Win")*COUNTIFS('Match Log'!$A$4:$A$1510,'Match Log'!$A$4:$A$1510,'Match Log'!$D$4:$D$1510,O$4,'Match Log'!$E$4:$E$1510,"Loss"))+SUMPRODUCT(('Match Log'!$D$4:$D$1510=O$4)*('Match Log'!$E$4:$E$1510="Win")*COUNTIFS('Match Log'!$A$4:$A$1510,'Match Log'!$A$4:$A$1510,'Match Log'!$D$4:$D$1510,$A15,'Match Log'!$E$4:$E$1510,"Loss")))))</f>
        <v/>
      </c>
    </row>
    <row r="16" spans="1:15" ht="15" customHeight="1" x14ac:dyDescent="0.2">
      <c r="A16" s="51" t="s">
        <v>26</v>
      </c>
      <c r="B16" s="56" t="str">
        <f>IF($A16=B$4,"—",IF((SUMPRODUCT(('Match Log'!$D$4:$D$1510=$A16)*('Match Log'!$E$4:$E$1510="Win")*COUNTIFS('Match Log'!$A$4:$A$1510,'Match Log'!$A$4:$A$1510,'Match Log'!$D$4:$D$1510,B$4,'Match Log'!$E$4:$E$1510,"Loss"))+SUMPRODUCT(('Match Log'!$D$4:$D$1510=B$4)*('Match Log'!$E$4:$E$1510="Win")*COUNTIFS('Match Log'!$A$4:$A$1510,'Match Log'!$A$4:$A$1510,'Match Log'!$D$4:$D$1510,$A16,'Match Log'!$E$4:$E$1510,"Loss")))=0,"",TEXT(SUMPRODUCT(('Match Log'!$D$4:$D$1510=$A16)*('Match Log'!$E$4:$E$1510="Win")*COUNTIFS('Match Log'!$A$4:$A$1510,'Match Log'!$A$4:$A$1510,'Match Log'!$D$4:$D$1510,B$4,'Match Log'!$E$4:$E$1510,"Loss"))/(SUMPRODUCT(('Match Log'!$D$4:$D$1510=$A16)*('Match Log'!$E$4:$E$1510="Win")*COUNTIFS('Match Log'!$A$4:$A$1510,'Match Log'!$A$4:$A$1510,'Match Log'!$D$4:$D$1510,B$4,'Match Log'!$E$4:$E$1510,"Loss"))+SUMPRODUCT(('Match Log'!$D$4:$D$1510=B$4)*('Match Log'!$E$4:$E$1510="Win")*COUNTIFS('Match Log'!$A$4:$A$1510,'Match Log'!$A$4:$A$1510,'Match Log'!$D$4:$D$1510,$A16,'Match Log'!$E$4:$E$1510,"Loss"))),"0%")&amp;" of "&amp;(SUMPRODUCT(('Match Log'!$D$4:$D$1510=$A16)*('Match Log'!$E$4:$E$1510="Win")*COUNTIFS('Match Log'!$A$4:$A$1510,'Match Log'!$A$4:$A$1510,'Match Log'!$D$4:$D$1510,B$4,'Match Log'!$E$4:$E$1510,"Loss"))+SUMPRODUCT(('Match Log'!$D$4:$D$1510=B$4)*('Match Log'!$E$4:$E$1510="Win")*COUNTIFS('Match Log'!$A$4:$A$1510,'Match Log'!$A$4:$A$1510,'Match Log'!$D$4:$D$1510,$A16,'Match Log'!$E$4:$E$1510,"Loss")))))</f>
        <v>100% of 1</v>
      </c>
      <c r="C16" s="56" t="str">
        <f>IF($A16=C$4,"—",IF((SUMPRODUCT(('Match Log'!$D$4:$D$1510=$A16)*('Match Log'!$E$4:$E$1510="Win")*COUNTIFS('Match Log'!$A$4:$A$1510,'Match Log'!$A$4:$A$1510,'Match Log'!$D$4:$D$1510,C$4,'Match Log'!$E$4:$E$1510,"Loss"))+SUMPRODUCT(('Match Log'!$D$4:$D$1510=C$4)*('Match Log'!$E$4:$E$1510="Win")*COUNTIFS('Match Log'!$A$4:$A$1510,'Match Log'!$A$4:$A$1510,'Match Log'!$D$4:$D$1510,$A16,'Match Log'!$E$4:$E$1510,"Loss")))=0,"",TEXT(SUMPRODUCT(('Match Log'!$D$4:$D$1510=$A16)*('Match Log'!$E$4:$E$1510="Win")*COUNTIFS('Match Log'!$A$4:$A$1510,'Match Log'!$A$4:$A$1510,'Match Log'!$D$4:$D$1510,C$4,'Match Log'!$E$4:$E$1510,"Loss"))/(SUMPRODUCT(('Match Log'!$D$4:$D$1510=$A16)*('Match Log'!$E$4:$E$1510="Win")*COUNTIFS('Match Log'!$A$4:$A$1510,'Match Log'!$A$4:$A$1510,'Match Log'!$D$4:$D$1510,C$4,'Match Log'!$E$4:$E$1510,"Loss"))+SUMPRODUCT(('Match Log'!$D$4:$D$1510=C$4)*('Match Log'!$E$4:$E$1510="Win")*COUNTIFS('Match Log'!$A$4:$A$1510,'Match Log'!$A$4:$A$1510,'Match Log'!$D$4:$D$1510,$A16,'Match Log'!$E$4:$E$1510,"Loss"))),"0%")&amp;" of "&amp;(SUMPRODUCT(('Match Log'!$D$4:$D$1510=$A16)*('Match Log'!$E$4:$E$1510="Win")*COUNTIFS('Match Log'!$A$4:$A$1510,'Match Log'!$A$4:$A$1510,'Match Log'!$D$4:$D$1510,C$4,'Match Log'!$E$4:$E$1510,"Loss"))+SUMPRODUCT(('Match Log'!$D$4:$D$1510=C$4)*('Match Log'!$E$4:$E$1510="Win")*COUNTIFS('Match Log'!$A$4:$A$1510,'Match Log'!$A$4:$A$1510,'Match Log'!$D$4:$D$1510,$A16,'Match Log'!$E$4:$E$1510,"Loss")))))</f>
        <v>100% of 1</v>
      </c>
      <c r="D16" s="56" t="str">
        <f>IF($A16=D$4,"—",IF((SUMPRODUCT(('Match Log'!$D$4:$D$1510=$A16)*('Match Log'!$E$4:$E$1510="Win")*COUNTIFS('Match Log'!$A$4:$A$1510,'Match Log'!$A$4:$A$1510,'Match Log'!$D$4:$D$1510,D$4,'Match Log'!$E$4:$E$1510,"Loss"))+SUMPRODUCT(('Match Log'!$D$4:$D$1510=D$4)*('Match Log'!$E$4:$E$1510="Win")*COUNTIFS('Match Log'!$A$4:$A$1510,'Match Log'!$A$4:$A$1510,'Match Log'!$D$4:$D$1510,$A16,'Match Log'!$E$4:$E$1510,"Loss")))=0,"",TEXT(SUMPRODUCT(('Match Log'!$D$4:$D$1510=$A16)*('Match Log'!$E$4:$E$1510="Win")*COUNTIFS('Match Log'!$A$4:$A$1510,'Match Log'!$A$4:$A$1510,'Match Log'!$D$4:$D$1510,D$4,'Match Log'!$E$4:$E$1510,"Loss"))/(SUMPRODUCT(('Match Log'!$D$4:$D$1510=$A16)*('Match Log'!$E$4:$E$1510="Win")*COUNTIFS('Match Log'!$A$4:$A$1510,'Match Log'!$A$4:$A$1510,'Match Log'!$D$4:$D$1510,D$4,'Match Log'!$E$4:$E$1510,"Loss"))+SUMPRODUCT(('Match Log'!$D$4:$D$1510=D$4)*('Match Log'!$E$4:$E$1510="Win")*COUNTIFS('Match Log'!$A$4:$A$1510,'Match Log'!$A$4:$A$1510,'Match Log'!$D$4:$D$1510,$A16,'Match Log'!$E$4:$E$1510,"Loss"))),"0%")&amp;" of "&amp;(SUMPRODUCT(('Match Log'!$D$4:$D$1510=$A16)*('Match Log'!$E$4:$E$1510="Win")*COUNTIFS('Match Log'!$A$4:$A$1510,'Match Log'!$A$4:$A$1510,'Match Log'!$D$4:$D$1510,D$4,'Match Log'!$E$4:$E$1510,"Loss"))+SUMPRODUCT(('Match Log'!$D$4:$D$1510=D$4)*('Match Log'!$E$4:$E$1510="Win")*COUNTIFS('Match Log'!$A$4:$A$1510,'Match Log'!$A$4:$A$1510,'Match Log'!$D$4:$D$1510,$A16,'Match Log'!$E$4:$E$1510,"Loss")))))</f>
        <v/>
      </c>
      <c r="E16" s="56" t="str">
        <f>IF($A16=E$4,"—",IF((SUMPRODUCT(('Match Log'!$D$4:$D$1510=$A16)*('Match Log'!$E$4:$E$1510="Win")*COUNTIFS('Match Log'!$A$4:$A$1510,'Match Log'!$A$4:$A$1510,'Match Log'!$D$4:$D$1510,E$4,'Match Log'!$E$4:$E$1510,"Loss"))+SUMPRODUCT(('Match Log'!$D$4:$D$1510=E$4)*('Match Log'!$E$4:$E$1510="Win")*COUNTIFS('Match Log'!$A$4:$A$1510,'Match Log'!$A$4:$A$1510,'Match Log'!$D$4:$D$1510,$A16,'Match Log'!$E$4:$E$1510,"Loss")))=0,"",TEXT(SUMPRODUCT(('Match Log'!$D$4:$D$1510=$A16)*('Match Log'!$E$4:$E$1510="Win")*COUNTIFS('Match Log'!$A$4:$A$1510,'Match Log'!$A$4:$A$1510,'Match Log'!$D$4:$D$1510,E$4,'Match Log'!$E$4:$E$1510,"Loss"))/(SUMPRODUCT(('Match Log'!$D$4:$D$1510=$A16)*('Match Log'!$E$4:$E$1510="Win")*COUNTIFS('Match Log'!$A$4:$A$1510,'Match Log'!$A$4:$A$1510,'Match Log'!$D$4:$D$1510,E$4,'Match Log'!$E$4:$E$1510,"Loss"))+SUMPRODUCT(('Match Log'!$D$4:$D$1510=E$4)*('Match Log'!$E$4:$E$1510="Win")*COUNTIFS('Match Log'!$A$4:$A$1510,'Match Log'!$A$4:$A$1510,'Match Log'!$D$4:$D$1510,$A16,'Match Log'!$E$4:$E$1510,"Loss"))),"0%")&amp;" of "&amp;(SUMPRODUCT(('Match Log'!$D$4:$D$1510=$A16)*('Match Log'!$E$4:$E$1510="Win")*COUNTIFS('Match Log'!$A$4:$A$1510,'Match Log'!$A$4:$A$1510,'Match Log'!$D$4:$D$1510,E$4,'Match Log'!$E$4:$E$1510,"Loss"))+SUMPRODUCT(('Match Log'!$D$4:$D$1510=E$4)*('Match Log'!$E$4:$E$1510="Win")*COUNTIFS('Match Log'!$A$4:$A$1510,'Match Log'!$A$4:$A$1510,'Match Log'!$D$4:$D$1510,$A16,'Match Log'!$E$4:$E$1510,"Loss")))))</f>
        <v/>
      </c>
      <c r="F16" s="56" t="str">
        <f>IF($A16=F$4,"—",IF((SUMPRODUCT(('Match Log'!$D$4:$D$1510=$A16)*('Match Log'!$E$4:$E$1510="Win")*COUNTIFS('Match Log'!$A$4:$A$1510,'Match Log'!$A$4:$A$1510,'Match Log'!$D$4:$D$1510,F$4,'Match Log'!$E$4:$E$1510,"Loss"))+SUMPRODUCT(('Match Log'!$D$4:$D$1510=F$4)*('Match Log'!$E$4:$E$1510="Win")*COUNTIFS('Match Log'!$A$4:$A$1510,'Match Log'!$A$4:$A$1510,'Match Log'!$D$4:$D$1510,$A16,'Match Log'!$E$4:$E$1510,"Loss")))=0,"",TEXT(SUMPRODUCT(('Match Log'!$D$4:$D$1510=$A16)*('Match Log'!$E$4:$E$1510="Win")*COUNTIFS('Match Log'!$A$4:$A$1510,'Match Log'!$A$4:$A$1510,'Match Log'!$D$4:$D$1510,F$4,'Match Log'!$E$4:$E$1510,"Loss"))/(SUMPRODUCT(('Match Log'!$D$4:$D$1510=$A16)*('Match Log'!$E$4:$E$1510="Win")*COUNTIFS('Match Log'!$A$4:$A$1510,'Match Log'!$A$4:$A$1510,'Match Log'!$D$4:$D$1510,F$4,'Match Log'!$E$4:$E$1510,"Loss"))+SUMPRODUCT(('Match Log'!$D$4:$D$1510=F$4)*('Match Log'!$E$4:$E$1510="Win")*COUNTIFS('Match Log'!$A$4:$A$1510,'Match Log'!$A$4:$A$1510,'Match Log'!$D$4:$D$1510,$A16,'Match Log'!$E$4:$E$1510,"Loss"))),"0%")&amp;" of "&amp;(SUMPRODUCT(('Match Log'!$D$4:$D$1510=$A16)*('Match Log'!$E$4:$E$1510="Win")*COUNTIFS('Match Log'!$A$4:$A$1510,'Match Log'!$A$4:$A$1510,'Match Log'!$D$4:$D$1510,F$4,'Match Log'!$E$4:$E$1510,"Loss"))+SUMPRODUCT(('Match Log'!$D$4:$D$1510=F$4)*('Match Log'!$E$4:$E$1510="Win")*COUNTIFS('Match Log'!$A$4:$A$1510,'Match Log'!$A$4:$A$1510,'Match Log'!$D$4:$D$1510,$A16,'Match Log'!$E$4:$E$1510,"Loss")))))</f>
        <v>100% of 1</v>
      </c>
      <c r="G16" s="56" t="str">
        <f>IF($A16=G$4,"—",IF((SUMPRODUCT(('Match Log'!$D$4:$D$1510=$A16)*('Match Log'!$E$4:$E$1510="Win")*COUNTIFS('Match Log'!$A$4:$A$1510,'Match Log'!$A$4:$A$1510,'Match Log'!$D$4:$D$1510,G$4,'Match Log'!$E$4:$E$1510,"Loss"))+SUMPRODUCT(('Match Log'!$D$4:$D$1510=G$4)*('Match Log'!$E$4:$E$1510="Win")*COUNTIFS('Match Log'!$A$4:$A$1510,'Match Log'!$A$4:$A$1510,'Match Log'!$D$4:$D$1510,$A16,'Match Log'!$E$4:$E$1510,"Loss")))=0,"",TEXT(SUMPRODUCT(('Match Log'!$D$4:$D$1510=$A16)*('Match Log'!$E$4:$E$1510="Win")*COUNTIFS('Match Log'!$A$4:$A$1510,'Match Log'!$A$4:$A$1510,'Match Log'!$D$4:$D$1510,G$4,'Match Log'!$E$4:$E$1510,"Loss"))/(SUMPRODUCT(('Match Log'!$D$4:$D$1510=$A16)*('Match Log'!$E$4:$E$1510="Win")*COUNTIFS('Match Log'!$A$4:$A$1510,'Match Log'!$A$4:$A$1510,'Match Log'!$D$4:$D$1510,G$4,'Match Log'!$E$4:$E$1510,"Loss"))+SUMPRODUCT(('Match Log'!$D$4:$D$1510=G$4)*('Match Log'!$E$4:$E$1510="Win")*COUNTIFS('Match Log'!$A$4:$A$1510,'Match Log'!$A$4:$A$1510,'Match Log'!$D$4:$D$1510,$A16,'Match Log'!$E$4:$E$1510,"Loss"))),"0%")&amp;" of "&amp;(SUMPRODUCT(('Match Log'!$D$4:$D$1510=$A16)*('Match Log'!$E$4:$E$1510="Win")*COUNTIFS('Match Log'!$A$4:$A$1510,'Match Log'!$A$4:$A$1510,'Match Log'!$D$4:$D$1510,G$4,'Match Log'!$E$4:$E$1510,"Loss"))+SUMPRODUCT(('Match Log'!$D$4:$D$1510=G$4)*('Match Log'!$E$4:$E$1510="Win")*COUNTIFS('Match Log'!$A$4:$A$1510,'Match Log'!$A$4:$A$1510,'Match Log'!$D$4:$D$1510,$A16,'Match Log'!$E$4:$E$1510,"Loss")))))</f>
        <v>100% of 1</v>
      </c>
      <c r="H16" s="56" t="str">
        <f>IF($A16=H$4,"—",IF((SUMPRODUCT(('Match Log'!$D$4:$D$1510=$A16)*('Match Log'!$E$4:$E$1510="Win")*COUNTIFS('Match Log'!$A$4:$A$1510,'Match Log'!$A$4:$A$1510,'Match Log'!$D$4:$D$1510,H$4,'Match Log'!$E$4:$E$1510,"Loss"))+SUMPRODUCT(('Match Log'!$D$4:$D$1510=H$4)*('Match Log'!$E$4:$E$1510="Win")*COUNTIFS('Match Log'!$A$4:$A$1510,'Match Log'!$A$4:$A$1510,'Match Log'!$D$4:$D$1510,$A16,'Match Log'!$E$4:$E$1510,"Loss")))=0,"",TEXT(SUMPRODUCT(('Match Log'!$D$4:$D$1510=$A16)*('Match Log'!$E$4:$E$1510="Win")*COUNTIFS('Match Log'!$A$4:$A$1510,'Match Log'!$A$4:$A$1510,'Match Log'!$D$4:$D$1510,H$4,'Match Log'!$E$4:$E$1510,"Loss"))/(SUMPRODUCT(('Match Log'!$D$4:$D$1510=$A16)*('Match Log'!$E$4:$E$1510="Win")*COUNTIFS('Match Log'!$A$4:$A$1510,'Match Log'!$A$4:$A$1510,'Match Log'!$D$4:$D$1510,H$4,'Match Log'!$E$4:$E$1510,"Loss"))+SUMPRODUCT(('Match Log'!$D$4:$D$1510=H$4)*('Match Log'!$E$4:$E$1510="Win")*COUNTIFS('Match Log'!$A$4:$A$1510,'Match Log'!$A$4:$A$1510,'Match Log'!$D$4:$D$1510,$A16,'Match Log'!$E$4:$E$1510,"Loss"))),"0%")&amp;" of "&amp;(SUMPRODUCT(('Match Log'!$D$4:$D$1510=$A16)*('Match Log'!$E$4:$E$1510="Win")*COUNTIFS('Match Log'!$A$4:$A$1510,'Match Log'!$A$4:$A$1510,'Match Log'!$D$4:$D$1510,H$4,'Match Log'!$E$4:$E$1510,"Loss"))+SUMPRODUCT(('Match Log'!$D$4:$D$1510=H$4)*('Match Log'!$E$4:$E$1510="Win")*COUNTIFS('Match Log'!$A$4:$A$1510,'Match Log'!$A$4:$A$1510,'Match Log'!$D$4:$D$1510,$A16,'Match Log'!$E$4:$E$1510,"Loss")))))</f>
        <v>0% of 1</v>
      </c>
      <c r="I16" s="56" t="str">
        <f>IF($A16=I$4,"—",IF((SUMPRODUCT(('Match Log'!$D$4:$D$1510=$A16)*('Match Log'!$E$4:$E$1510="Win")*COUNTIFS('Match Log'!$A$4:$A$1510,'Match Log'!$A$4:$A$1510,'Match Log'!$D$4:$D$1510,I$4,'Match Log'!$E$4:$E$1510,"Loss"))+SUMPRODUCT(('Match Log'!$D$4:$D$1510=I$4)*('Match Log'!$E$4:$E$1510="Win")*COUNTIFS('Match Log'!$A$4:$A$1510,'Match Log'!$A$4:$A$1510,'Match Log'!$D$4:$D$1510,$A16,'Match Log'!$E$4:$E$1510,"Loss")))=0,"",TEXT(SUMPRODUCT(('Match Log'!$D$4:$D$1510=$A16)*('Match Log'!$E$4:$E$1510="Win")*COUNTIFS('Match Log'!$A$4:$A$1510,'Match Log'!$A$4:$A$1510,'Match Log'!$D$4:$D$1510,I$4,'Match Log'!$E$4:$E$1510,"Loss"))/(SUMPRODUCT(('Match Log'!$D$4:$D$1510=$A16)*('Match Log'!$E$4:$E$1510="Win")*COUNTIFS('Match Log'!$A$4:$A$1510,'Match Log'!$A$4:$A$1510,'Match Log'!$D$4:$D$1510,I$4,'Match Log'!$E$4:$E$1510,"Loss"))+SUMPRODUCT(('Match Log'!$D$4:$D$1510=I$4)*('Match Log'!$E$4:$E$1510="Win")*COUNTIFS('Match Log'!$A$4:$A$1510,'Match Log'!$A$4:$A$1510,'Match Log'!$D$4:$D$1510,$A16,'Match Log'!$E$4:$E$1510,"Loss"))),"0%")&amp;" of "&amp;(SUMPRODUCT(('Match Log'!$D$4:$D$1510=$A16)*('Match Log'!$E$4:$E$1510="Win")*COUNTIFS('Match Log'!$A$4:$A$1510,'Match Log'!$A$4:$A$1510,'Match Log'!$D$4:$D$1510,I$4,'Match Log'!$E$4:$E$1510,"Loss"))+SUMPRODUCT(('Match Log'!$D$4:$D$1510=I$4)*('Match Log'!$E$4:$E$1510="Win")*COUNTIFS('Match Log'!$A$4:$A$1510,'Match Log'!$A$4:$A$1510,'Match Log'!$D$4:$D$1510,$A16,'Match Log'!$E$4:$E$1510,"Loss")))))</f>
        <v>43% of 7</v>
      </c>
      <c r="J16" s="56" t="str">
        <f>IF($A16=J$4,"—",IF((SUMPRODUCT(('Match Log'!$D$4:$D$1510=$A16)*('Match Log'!$E$4:$E$1510="Win")*COUNTIFS('Match Log'!$A$4:$A$1510,'Match Log'!$A$4:$A$1510,'Match Log'!$D$4:$D$1510,J$4,'Match Log'!$E$4:$E$1510,"Loss"))+SUMPRODUCT(('Match Log'!$D$4:$D$1510=J$4)*('Match Log'!$E$4:$E$1510="Win")*COUNTIFS('Match Log'!$A$4:$A$1510,'Match Log'!$A$4:$A$1510,'Match Log'!$D$4:$D$1510,$A16,'Match Log'!$E$4:$E$1510,"Loss")))=0,"",TEXT(SUMPRODUCT(('Match Log'!$D$4:$D$1510=$A16)*('Match Log'!$E$4:$E$1510="Win")*COUNTIFS('Match Log'!$A$4:$A$1510,'Match Log'!$A$4:$A$1510,'Match Log'!$D$4:$D$1510,J$4,'Match Log'!$E$4:$E$1510,"Loss"))/(SUMPRODUCT(('Match Log'!$D$4:$D$1510=$A16)*('Match Log'!$E$4:$E$1510="Win")*COUNTIFS('Match Log'!$A$4:$A$1510,'Match Log'!$A$4:$A$1510,'Match Log'!$D$4:$D$1510,J$4,'Match Log'!$E$4:$E$1510,"Loss"))+SUMPRODUCT(('Match Log'!$D$4:$D$1510=J$4)*('Match Log'!$E$4:$E$1510="Win")*COUNTIFS('Match Log'!$A$4:$A$1510,'Match Log'!$A$4:$A$1510,'Match Log'!$D$4:$D$1510,$A16,'Match Log'!$E$4:$E$1510,"Loss"))),"0%")&amp;" of "&amp;(SUMPRODUCT(('Match Log'!$D$4:$D$1510=$A16)*('Match Log'!$E$4:$E$1510="Win")*COUNTIFS('Match Log'!$A$4:$A$1510,'Match Log'!$A$4:$A$1510,'Match Log'!$D$4:$D$1510,J$4,'Match Log'!$E$4:$E$1510,"Loss"))+SUMPRODUCT(('Match Log'!$D$4:$D$1510=J$4)*('Match Log'!$E$4:$E$1510="Win")*COUNTIFS('Match Log'!$A$4:$A$1510,'Match Log'!$A$4:$A$1510,'Match Log'!$D$4:$D$1510,$A16,'Match Log'!$E$4:$E$1510,"Loss")))))</f>
        <v>0% of 2</v>
      </c>
      <c r="K16" s="56" t="str">
        <f>IF($A16=K$4,"—",IF((SUMPRODUCT(('Match Log'!$D$4:$D$1510=$A16)*('Match Log'!$E$4:$E$1510="Win")*COUNTIFS('Match Log'!$A$4:$A$1510,'Match Log'!$A$4:$A$1510,'Match Log'!$D$4:$D$1510,K$4,'Match Log'!$E$4:$E$1510,"Loss"))+SUMPRODUCT(('Match Log'!$D$4:$D$1510=K$4)*('Match Log'!$E$4:$E$1510="Win")*COUNTIFS('Match Log'!$A$4:$A$1510,'Match Log'!$A$4:$A$1510,'Match Log'!$D$4:$D$1510,$A16,'Match Log'!$E$4:$E$1510,"Loss")))=0,"",TEXT(SUMPRODUCT(('Match Log'!$D$4:$D$1510=$A16)*('Match Log'!$E$4:$E$1510="Win")*COUNTIFS('Match Log'!$A$4:$A$1510,'Match Log'!$A$4:$A$1510,'Match Log'!$D$4:$D$1510,K$4,'Match Log'!$E$4:$E$1510,"Loss"))/(SUMPRODUCT(('Match Log'!$D$4:$D$1510=$A16)*('Match Log'!$E$4:$E$1510="Win")*COUNTIFS('Match Log'!$A$4:$A$1510,'Match Log'!$A$4:$A$1510,'Match Log'!$D$4:$D$1510,K$4,'Match Log'!$E$4:$E$1510,"Loss"))+SUMPRODUCT(('Match Log'!$D$4:$D$1510=K$4)*('Match Log'!$E$4:$E$1510="Win")*COUNTIFS('Match Log'!$A$4:$A$1510,'Match Log'!$A$4:$A$1510,'Match Log'!$D$4:$D$1510,$A16,'Match Log'!$E$4:$E$1510,"Loss"))),"0%")&amp;" of "&amp;(SUMPRODUCT(('Match Log'!$D$4:$D$1510=$A16)*('Match Log'!$E$4:$E$1510="Win")*COUNTIFS('Match Log'!$A$4:$A$1510,'Match Log'!$A$4:$A$1510,'Match Log'!$D$4:$D$1510,K$4,'Match Log'!$E$4:$E$1510,"Loss"))+SUMPRODUCT(('Match Log'!$D$4:$D$1510=K$4)*('Match Log'!$E$4:$E$1510="Win")*COUNTIFS('Match Log'!$A$4:$A$1510,'Match Log'!$A$4:$A$1510,'Match Log'!$D$4:$D$1510,$A16,'Match Log'!$E$4:$E$1510,"Loss")))))</f>
        <v>100% of 1</v>
      </c>
      <c r="L16" s="56" t="str">
        <f>IF($A16=L$4,"—",IF((SUMPRODUCT(('Match Log'!$D$4:$D$1510=$A16)*('Match Log'!$E$4:$E$1510="Win")*COUNTIFS('Match Log'!$A$4:$A$1510,'Match Log'!$A$4:$A$1510,'Match Log'!$D$4:$D$1510,L$4,'Match Log'!$E$4:$E$1510,"Loss"))+SUMPRODUCT(('Match Log'!$D$4:$D$1510=L$4)*('Match Log'!$E$4:$E$1510="Win")*COUNTIFS('Match Log'!$A$4:$A$1510,'Match Log'!$A$4:$A$1510,'Match Log'!$D$4:$D$1510,$A16,'Match Log'!$E$4:$E$1510,"Loss")))=0,"",TEXT(SUMPRODUCT(('Match Log'!$D$4:$D$1510=$A16)*('Match Log'!$E$4:$E$1510="Win")*COUNTIFS('Match Log'!$A$4:$A$1510,'Match Log'!$A$4:$A$1510,'Match Log'!$D$4:$D$1510,L$4,'Match Log'!$E$4:$E$1510,"Loss"))/(SUMPRODUCT(('Match Log'!$D$4:$D$1510=$A16)*('Match Log'!$E$4:$E$1510="Win")*COUNTIFS('Match Log'!$A$4:$A$1510,'Match Log'!$A$4:$A$1510,'Match Log'!$D$4:$D$1510,L$4,'Match Log'!$E$4:$E$1510,"Loss"))+SUMPRODUCT(('Match Log'!$D$4:$D$1510=L$4)*('Match Log'!$E$4:$E$1510="Win")*COUNTIFS('Match Log'!$A$4:$A$1510,'Match Log'!$A$4:$A$1510,'Match Log'!$D$4:$D$1510,$A16,'Match Log'!$E$4:$E$1510,"Loss"))),"0%")&amp;" of "&amp;(SUMPRODUCT(('Match Log'!$D$4:$D$1510=$A16)*('Match Log'!$E$4:$E$1510="Win")*COUNTIFS('Match Log'!$A$4:$A$1510,'Match Log'!$A$4:$A$1510,'Match Log'!$D$4:$D$1510,L$4,'Match Log'!$E$4:$E$1510,"Loss"))+SUMPRODUCT(('Match Log'!$D$4:$D$1510=L$4)*('Match Log'!$E$4:$E$1510="Win")*COUNTIFS('Match Log'!$A$4:$A$1510,'Match Log'!$A$4:$A$1510,'Match Log'!$D$4:$D$1510,$A16,'Match Log'!$E$4:$E$1510,"Loss")))))</f>
        <v>0% of 1</v>
      </c>
      <c r="M16" s="56" t="str">
        <f>IF($A16=M$4,"—",IF((SUMPRODUCT(('Match Log'!$D$4:$D$1510=$A16)*('Match Log'!$E$4:$E$1510="Win")*COUNTIFS('Match Log'!$A$4:$A$1510,'Match Log'!$A$4:$A$1510,'Match Log'!$D$4:$D$1510,M$4,'Match Log'!$E$4:$E$1510,"Loss"))+SUMPRODUCT(('Match Log'!$D$4:$D$1510=M$4)*('Match Log'!$E$4:$E$1510="Win")*COUNTIFS('Match Log'!$A$4:$A$1510,'Match Log'!$A$4:$A$1510,'Match Log'!$D$4:$D$1510,$A16,'Match Log'!$E$4:$E$1510,"Loss")))=0,"",TEXT(SUMPRODUCT(('Match Log'!$D$4:$D$1510=$A16)*('Match Log'!$E$4:$E$1510="Win")*COUNTIFS('Match Log'!$A$4:$A$1510,'Match Log'!$A$4:$A$1510,'Match Log'!$D$4:$D$1510,M$4,'Match Log'!$E$4:$E$1510,"Loss"))/(SUMPRODUCT(('Match Log'!$D$4:$D$1510=$A16)*('Match Log'!$E$4:$E$1510="Win")*COUNTIFS('Match Log'!$A$4:$A$1510,'Match Log'!$A$4:$A$1510,'Match Log'!$D$4:$D$1510,M$4,'Match Log'!$E$4:$E$1510,"Loss"))+SUMPRODUCT(('Match Log'!$D$4:$D$1510=M$4)*('Match Log'!$E$4:$E$1510="Win")*COUNTIFS('Match Log'!$A$4:$A$1510,'Match Log'!$A$4:$A$1510,'Match Log'!$D$4:$D$1510,$A16,'Match Log'!$E$4:$E$1510,"Loss"))),"0%")&amp;" of "&amp;(SUMPRODUCT(('Match Log'!$D$4:$D$1510=$A16)*('Match Log'!$E$4:$E$1510="Win")*COUNTIFS('Match Log'!$A$4:$A$1510,'Match Log'!$A$4:$A$1510,'Match Log'!$D$4:$D$1510,M$4,'Match Log'!$E$4:$E$1510,"Loss"))+SUMPRODUCT(('Match Log'!$D$4:$D$1510=M$4)*('Match Log'!$E$4:$E$1510="Win")*COUNTIFS('Match Log'!$A$4:$A$1510,'Match Log'!$A$4:$A$1510,'Match Log'!$D$4:$D$1510,$A16,'Match Log'!$E$4:$E$1510,"Loss")))))</f>
        <v>—</v>
      </c>
      <c r="N16" s="56" t="str">
        <f>IF($A16=N$4,"—",IF((SUMPRODUCT(('Match Log'!$D$4:$D$1510=$A16)*('Match Log'!$E$4:$E$1510="Win")*COUNTIFS('Match Log'!$A$4:$A$1510,'Match Log'!$A$4:$A$1510,'Match Log'!$D$4:$D$1510,N$4,'Match Log'!$E$4:$E$1510,"Loss"))+SUMPRODUCT(('Match Log'!$D$4:$D$1510=N$4)*('Match Log'!$E$4:$E$1510="Win")*COUNTIFS('Match Log'!$A$4:$A$1510,'Match Log'!$A$4:$A$1510,'Match Log'!$D$4:$D$1510,$A16,'Match Log'!$E$4:$E$1510,"Loss")))=0,"",TEXT(SUMPRODUCT(('Match Log'!$D$4:$D$1510=$A16)*('Match Log'!$E$4:$E$1510="Win")*COUNTIFS('Match Log'!$A$4:$A$1510,'Match Log'!$A$4:$A$1510,'Match Log'!$D$4:$D$1510,N$4,'Match Log'!$E$4:$E$1510,"Loss"))/(SUMPRODUCT(('Match Log'!$D$4:$D$1510=$A16)*('Match Log'!$E$4:$E$1510="Win")*COUNTIFS('Match Log'!$A$4:$A$1510,'Match Log'!$A$4:$A$1510,'Match Log'!$D$4:$D$1510,N$4,'Match Log'!$E$4:$E$1510,"Loss"))+SUMPRODUCT(('Match Log'!$D$4:$D$1510=N$4)*('Match Log'!$E$4:$E$1510="Win")*COUNTIFS('Match Log'!$A$4:$A$1510,'Match Log'!$A$4:$A$1510,'Match Log'!$D$4:$D$1510,$A16,'Match Log'!$E$4:$E$1510,"Loss"))),"0%")&amp;" of "&amp;(SUMPRODUCT(('Match Log'!$D$4:$D$1510=$A16)*('Match Log'!$E$4:$E$1510="Win")*COUNTIFS('Match Log'!$A$4:$A$1510,'Match Log'!$A$4:$A$1510,'Match Log'!$D$4:$D$1510,N$4,'Match Log'!$E$4:$E$1510,"Loss"))+SUMPRODUCT(('Match Log'!$D$4:$D$1510=N$4)*('Match Log'!$E$4:$E$1510="Win")*COUNTIFS('Match Log'!$A$4:$A$1510,'Match Log'!$A$4:$A$1510,'Match Log'!$D$4:$D$1510,$A16,'Match Log'!$E$4:$E$1510,"Loss")))))</f>
        <v>57% of 7</v>
      </c>
      <c r="O16" s="56" t="str">
        <f>IF($A16=O$4,"—",IF((SUMPRODUCT(('Match Log'!$D$4:$D$1510=$A16)*('Match Log'!$E$4:$E$1510="Win")*COUNTIFS('Match Log'!$A$4:$A$1510,'Match Log'!$A$4:$A$1510,'Match Log'!$D$4:$D$1510,O$4,'Match Log'!$E$4:$E$1510,"Loss"))+SUMPRODUCT(('Match Log'!$D$4:$D$1510=O$4)*('Match Log'!$E$4:$E$1510="Win")*COUNTIFS('Match Log'!$A$4:$A$1510,'Match Log'!$A$4:$A$1510,'Match Log'!$D$4:$D$1510,$A16,'Match Log'!$E$4:$E$1510,"Loss")))=0,"",TEXT(SUMPRODUCT(('Match Log'!$D$4:$D$1510=$A16)*('Match Log'!$E$4:$E$1510="Win")*COUNTIFS('Match Log'!$A$4:$A$1510,'Match Log'!$A$4:$A$1510,'Match Log'!$D$4:$D$1510,O$4,'Match Log'!$E$4:$E$1510,"Loss"))/(SUMPRODUCT(('Match Log'!$D$4:$D$1510=$A16)*('Match Log'!$E$4:$E$1510="Win")*COUNTIFS('Match Log'!$A$4:$A$1510,'Match Log'!$A$4:$A$1510,'Match Log'!$D$4:$D$1510,O$4,'Match Log'!$E$4:$E$1510,"Loss"))+SUMPRODUCT(('Match Log'!$D$4:$D$1510=O$4)*('Match Log'!$E$4:$E$1510="Win")*COUNTIFS('Match Log'!$A$4:$A$1510,'Match Log'!$A$4:$A$1510,'Match Log'!$D$4:$D$1510,$A16,'Match Log'!$E$4:$E$1510,"Loss"))),"0%")&amp;" of "&amp;(SUMPRODUCT(('Match Log'!$D$4:$D$1510=$A16)*('Match Log'!$E$4:$E$1510="Win")*COUNTIFS('Match Log'!$A$4:$A$1510,'Match Log'!$A$4:$A$1510,'Match Log'!$D$4:$D$1510,O$4,'Match Log'!$E$4:$E$1510,"Loss"))+SUMPRODUCT(('Match Log'!$D$4:$D$1510=O$4)*('Match Log'!$E$4:$E$1510="Win")*COUNTIFS('Match Log'!$A$4:$A$1510,'Match Log'!$A$4:$A$1510,'Match Log'!$D$4:$D$1510,$A16,'Match Log'!$E$4:$E$1510,"Loss")))))</f>
        <v/>
      </c>
    </row>
    <row r="17" spans="1:15" ht="15" customHeight="1" x14ac:dyDescent="0.2">
      <c r="A17" s="51" t="s">
        <v>27</v>
      </c>
      <c r="B17" s="56" t="str">
        <f>IF($A17=B$4,"—",IF((SUMPRODUCT(('Match Log'!$D$4:$D$1510=$A17)*('Match Log'!$E$4:$E$1510="Win")*COUNTIFS('Match Log'!$A$4:$A$1510,'Match Log'!$A$4:$A$1510,'Match Log'!$D$4:$D$1510,B$4,'Match Log'!$E$4:$E$1510,"Loss"))+SUMPRODUCT(('Match Log'!$D$4:$D$1510=B$4)*('Match Log'!$E$4:$E$1510="Win")*COUNTIFS('Match Log'!$A$4:$A$1510,'Match Log'!$A$4:$A$1510,'Match Log'!$D$4:$D$1510,$A17,'Match Log'!$E$4:$E$1510,"Loss")))=0,"",TEXT(SUMPRODUCT(('Match Log'!$D$4:$D$1510=$A17)*('Match Log'!$E$4:$E$1510="Win")*COUNTIFS('Match Log'!$A$4:$A$1510,'Match Log'!$A$4:$A$1510,'Match Log'!$D$4:$D$1510,B$4,'Match Log'!$E$4:$E$1510,"Loss"))/(SUMPRODUCT(('Match Log'!$D$4:$D$1510=$A17)*('Match Log'!$E$4:$E$1510="Win")*COUNTIFS('Match Log'!$A$4:$A$1510,'Match Log'!$A$4:$A$1510,'Match Log'!$D$4:$D$1510,B$4,'Match Log'!$E$4:$E$1510,"Loss"))+SUMPRODUCT(('Match Log'!$D$4:$D$1510=B$4)*('Match Log'!$E$4:$E$1510="Win")*COUNTIFS('Match Log'!$A$4:$A$1510,'Match Log'!$A$4:$A$1510,'Match Log'!$D$4:$D$1510,$A17,'Match Log'!$E$4:$E$1510,"Loss"))),"0%")&amp;" of "&amp;(SUMPRODUCT(('Match Log'!$D$4:$D$1510=$A17)*('Match Log'!$E$4:$E$1510="Win")*COUNTIFS('Match Log'!$A$4:$A$1510,'Match Log'!$A$4:$A$1510,'Match Log'!$D$4:$D$1510,B$4,'Match Log'!$E$4:$E$1510,"Loss"))+SUMPRODUCT(('Match Log'!$D$4:$D$1510=B$4)*('Match Log'!$E$4:$E$1510="Win")*COUNTIFS('Match Log'!$A$4:$A$1510,'Match Log'!$A$4:$A$1510,'Match Log'!$D$4:$D$1510,$A17,'Match Log'!$E$4:$E$1510,"Loss")))))</f>
        <v/>
      </c>
      <c r="C17" s="56" t="str">
        <f>IF($A17=C$4,"—",IF((SUMPRODUCT(('Match Log'!$D$4:$D$1510=$A17)*('Match Log'!$E$4:$E$1510="Win")*COUNTIFS('Match Log'!$A$4:$A$1510,'Match Log'!$A$4:$A$1510,'Match Log'!$D$4:$D$1510,C$4,'Match Log'!$E$4:$E$1510,"Loss"))+SUMPRODUCT(('Match Log'!$D$4:$D$1510=C$4)*('Match Log'!$E$4:$E$1510="Win")*COUNTIFS('Match Log'!$A$4:$A$1510,'Match Log'!$A$4:$A$1510,'Match Log'!$D$4:$D$1510,$A17,'Match Log'!$E$4:$E$1510,"Loss")))=0,"",TEXT(SUMPRODUCT(('Match Log'!$D$4:$D$1510=$A17)*('Match Log'!$E$4:$E$1510="Win")*COUNTIFS('Match Log'!$A$4:$A$1510,'Match Log'!$A$4:$A$1510,'Match Log'!$D$4:$D$1510,C$4,'Match Log'!$E$4:$E$1510,"Loss"))/(SUMPRODUCT(('Match Log'!$D$4:$D$1510=$A17)*('Match Log'!$E$4:$E$1510="Win")*COUNTIFS('Match Log'!$A$4:$A$1510,'Match Log'!$A$4:$A$1510,'Match Log'!$D$4:$D$1510,C$4,'Match Log'!$E$4:$E$1510,"Loss"))+SUMPRODUCT(('Match Log'!$D$4:$D$1510=C$4)*('Match Log'!$E$4:$E$1510="Win")*COUNTIFS('Match Log'!$A$4:$A$1510,'Match Log'!$A$4:$A$1510,'Match Log'!$D$4:$D$1510,$A17,'Match Log'!$E$4:$E$1510,"Loss"))),"0%")&amp;" of "&amp;(SUMPRODUCT(('Match Log'!$D$4:$D$1510=$A17)*('Match Log'!$E$4:$E$1510="Win")*COUNTIFS('Match Log'!$A$4:$A$1510,'Match Log'!$A$4:$A$1510,'Match Log'!$D$4:$D$1510,C$4,'Match Log'!$E$4:$E$1510,"Loss"))+SUMPRODUCT(('Match Log'!$D$4:$D$1510=C$4)*('Match Log'!$E$4:$E$1510="Win")*COUNTIFS('Match Log'!$A$4:$A$1510,'Match Log'!$A$4:$A$1510,'Match Log'!$D$4:$D$1510,$A17,'Match Log'!$E$4:$E$1510,"Loss")))))</f>
        <v/>
      </c>
      <c r="D17" s="56" t="str">
        <f>IF($A17=D$4,"—",IF((SUMPRODUCT(('Match Log'!$D$4:$D$1510=$A17)*('Match Log'!$E$4:$E$1510="Win")*COUNTIFS('Match Log'!$A$4:$A$1510,'Match Log'!$A$4:$A$1510,'Match Log'!$D$4:$D$1510,D$4,'Match Log'!$E$4:$E$1510,"Loss"))+SUMPRODUCT(('Match Log'!$D$4:$D$1510=D$4)*('Match Log'!$E$4:$E$1510="Win")*COUNTIFS('Match Log'!$A$4:$A$1510,'Match Log'!$A$4:$A$1510,'Match Log'!$D$4:$D$1510,$A17,'Match Log'!$E$4:$E$1510,"Loss")))=0,"",TEXT(SUMPRODUCT(('Match Log'!$D$4:$D$1510=$A17)*('Match Log'!$E$4:$E$1510="Win")*COUNTIFS('Match Log'!$A$4:$A$1510,'Match Log'!$A$4:$A$1510,'Match Log'!$D$4:$D$1510,D$4,'Match Log'!$E$4:$E$1510,"Loss"))/(SUMPRODUCT(('Match Log'!$D$4:$D$1510=$A17)*('Match Log'!$E$4:$E$1510="Win")*COUNTIFS('Match Log'!$A$4:$A$1510,'Match Log'!$A$4:$A$1510,'Match Log'!$D$4:$D$1510,D$4,'Match Log'!$E$4:$E$1510,"Loss"))+SUMPRODUCT(('Match Log'!$D$4:$D$1510=D$4)*('Match Log'!$E$4:$E$1510="Win")*COUNTIFS('Match Log'!$A$4:$A$1510,'Match Log'!$A$4:$A$1510,'Match Log'!$D$4:$D$1510,$A17,'Match Log'!$E$4:$E$1510,"Loss"))),"0%")&amp;" of "&amp;(SUMPRODUCT(('Match Log'!$D$4:$D$1510=$A17)*('Match Log'!$E$4:$E$1510="Win")*COUNTIFS('Match Log'!$A$4:$A$1510,'Match Log'!$A$4:$A$1510,'Match Log'!$D$4:$D$1510,D$4,'Match Log'!$E$4:$E$1510,"Loss"))+SUMPRODUCT(('Match Log'!$D$4:$D$1510=D$4)*('Match Log'!$E$4:$E$1510="Win")*COUNTIFS('Match Log'!$A$4:$A$1510,'Match Log'!$A$4:$A$1510,'Match Log'!$D$4:$D$1510,$A17,'Match Log'!$E$4:$E$1510,"Loss")))))</f>
        <v/>
      </c>
      <c r="E17" s="56" t="str">
        <f>IF($A17=E$4,"—",IF((SUMPRODUCT(('Match Log'!$D$4:$D$1510=$A17)*('Match Log'!$E$4:$E$1510="Win")*COUNTIFS('Match Log'!$A$4:$A$1510,'Match Log'!$A$4:$A$1510,'Match Log'!$D$4:$D$1510,E$4,'Match Log'!$E$4:$E$1510,"Loss"))+SUMPRODUCT(('Match Log'!$D$4:$D$1510=E$4)*('Match Log'!$E$4:$E$1510="Win")*COUNTIFS('Match Log'!$A$4:$A$1510,'Match Log'!$A$4:$A$1510,'Match Log'!$D$4:$D$1510,$A17,'Match Log'!$E$4:$E$1510,"Loss")))=0,"",TEXT(SUMPRODUCT(('Match Log'!$D$4:$D$1510=$A17)*('Match Log'!$E$4:$E$1510="Win")*COUNTIFS('Match Log'!$A$4:$A$1510,'Match Log'!$A$4:$A$1510,'Match Log'!$D$4:$D$1510,E$4,'Match Log'!$E$4:$E$1510,"Loss"))/(SUMPRODUCT(('Match Log'!$D$4:$D$1510=$A17)*('Match Log'!$E$4:$E$1510="Win")*COUNTIFS('Match Log'!$A$4:$A$1510,'Match Log'!$A$4:$A$1510,'Match Log'!$D$4:$D$1510,E$4,'Match Log'!$E$4:$E$1510,"Loss"))+SUMPRODUCT(('Match Log'!$D$4:$D$1510=E$4)*('Match Log'!$E$4:$E$1510="Win")*COUNTIFS('Match Log'!$A$4:$A$1510,'Match Log'!$A$4:$A$1510,'Match Log'!$D$4:$D$1510,$A17,'Match Log'!$E$4:$E$1510,"Loss"))),"0%")&amp;" of "&amp;(SUMPRODUCT(('Match Log'!$D$4:$D$1510=$A17)*('Match Log'!$E$4:$E$1510="Win")*COUNTIFS('Match Log'!$A$4:$A$1510,'Match Log'!$A$4:$A$1510,'Match Log'!$D$4:$D$1510,E$4,'Match Log'!$E$4:$E$1510,"Loss"))+SUMPRODUCT(('Match Log'!$D$4:$D$1510=E$4)*('Match Log'!$E$4:$E$1510="Win")*COUNTIFS('Match Log'!$A$4:$A$1510,'Match Log'!$A$4:$A$1510,'Match Log'!$D$4:$D$1510,$A17,'Match Log'!$E$4:$E$1510,"Loss")))))</f>
        <v/>
      </c>
      <c r="F17" s="56" t="str">
        <f>IF($A17=F$4,"—",IF((SUMPRODUCT(('Match Log'!$D$4:$D$1510=$A17)*('Match Log'!$E$4:$E$1510="Win")*COUNTIFS('Match Log'!$A$4:$A$1510,'Match Log'!$A$4:$A$1510,'Match Log'!$D$4:$D$1510,F$4,'Match Log'!$E$4:$E$1510,"Loss"))+SUMPRODUCT(('Match Log'!$D$4:$D$1510=F$4)*('Match Log'!$E$4:$E$1510="Win")*COUNTIFS('Match Log'!$A$4:$A$1510,'Match Log'!$A$4:$A$1510,'Match Log'!$D$4:$D$1510,$A17,'Match Log'!$E$4:$E$1510,"Loss")))=0,"",TEXT(SUMPRODUCT(('Match Log'!$D$4:$D$1510=$A17)*('Match Log'!$E$4:$E$1510="Win")*COUNTIFS('Match Log'!$A$4:$A$1510,'Match Log'!$A$4:$A$1510,'Match Log'!$D$4:$D$1510,F$4,'Match Log'!$E$4:$E$1510,"Loss"))/(SUMPRODUCT(('Match Log'!$D$4:$D$1510=$A17)*('Match Log'!$E$4:$E$1510="Win")*COUNTIFS('Match Log'!$A$4:$A$1510,'Match Log'!$A$4:$A$1510,'Match Log'!$D$4:$D$1510,F$4,'Match Log'!$E$4:$E$1510,"Loss"))+SUMPRODUCT(('Match Log'!$D$4:$D$1510=F$4)*('Match Log'!$E$4:$E$1510="Win")*COUNTIFS('Match Log'!$A$4:$A$1510,'Match Log'!$A$4:$A$1510,'Match Log'!$D$4:$D$1510,$A17,'Match Log'!$E$4:$E$1510,"Loss"))),"0%")&amp;" of "&amp;(SUMPRODUCT(('Match Log'!$D$4:$D$1510=$A17)*('Match Log'!$E$4:$E$1510="Win")*COUNTIFS('Match Log'!$A$4:$A$1510,'Match Log'!$A$4:$A$1510,'Match Log'!$D$4:$D$1510,F$4,'Match Log'!$E$4:$E$1510,"Loss"))+SUMPRODUCT(('Match Log'!$D$4:$D$1510=F$4)*('Match Log'!$E$4:$E$1510="Win")*COUNTIFS('Match Log'!$A$4:$A$1510,'Match Log'!$A$4:$A$1510,'Match Log'!$D$4:$D$1510,$A17,'Match Log'!$E$4:$E$1510,"Loss")))))</f>
        <v>0% of 1</v>
      </c>
      <c r="G17" s="56" t="str">
        <f>IF($A17=G$4,"—",IF((SUMPRODUCT(('Match Log'!$D$4:$D$1510=$A17)*('Match Log'!$E$4:$E$1510="Win")*COUNTIFS('Match Log'!$A$4:$A$1510,'Match Log'!$A$4:$A$1510,'Match Log'!$D$4:$D$1510,G$4,'Match Log'!$E$4:$E$1510,"Loss"))+SUMPRODUCT(('Match Log'!$D$4:$D$1510=G$4)*('Match Log'!$E$4:$E$1510="Win")*COUNTIFS('Match Log'!$A$4:$A$1510,'Match Log'!$A$4:$A$1510,'Match Log'!$D$4:$D$1510,$A17,'Match Log'!$E$4:$E$1510,"Loss")))=0,"",TEXT(SUMPRODUCT(('Match Log'!$D$4:$D$1510=$A17)*('Match Log'!$E$4:$E$1510="Win")*COUNTIFS('Match Log'!$A$4:$A$1510,'Match Log'!$A$4:$A$1510,'Match Log'!$D$4:$D$1510,G$4,'Match Log'!$E$4:$E$1510,"Loss"))/(SUMPRODUCT(('Match Log'!$D$4:$D$1510=$A17)*('Match Log'!$E$4:$E$1510="Win")*COUNTIFS('Match Log'!$A$4:$A$1510,'Match Log'!$A$4:$A$1510,'Match Log'!$D$4:$D$1510,G$4,'Match Log'!$E$4:$E$1510,"Loss"))+SUMPRODUCT(('Match Log'!$D$4:$D$1510=G$4)*('Match Log'!$E$4:$E$1510="Win")*COUNTIFS('Match Log'!$A$4:$A$1510,'Match Log'!$A$4:$A$1510,'Match Log'!$D$4:$D$1510,$A17,'Match Log'!$E$4:$E$1510,"Loss"))),"0%")&amp;" of "&amp;(SUMPRODUCT(('Match Log'!$D$4:$D$1510=$A17)*('Match Log'!$E$4:$E$1510="Win")*COUNTIFS('Match Log'!$A$4:$A$1510,'Match Log'!$A$4:$A$1510,'Match Log'!$D$4:$D$1510,G$4,'Match Log'!$E$4:$E$1510,"Loss"))+SUMPRODUCT(('Match Log'!$D$4:$D$1510=G$4)*('Match Log'!$E$4:$E$1510="Win")*COUNTIFS('Match Log'!$A$4:$A$1510,'Match Log'!$A$4:$A$1510,'Match Log'!$D$4:$D$1510,$A17,'Match Log'!$E$4:$E$1510,"Loss")))))</f>
        <v>0% of 2</v>
      </c>
      <c r="H17" s="56" t="str">
        <f>IF($A17=H$4,"—",IF((SUMPRODUCT(('Match Log'!$D$4:$D$1510=$A17)*('Match Log'!$E$4:$E$1510="Win")*COUNTIFS('Match Log'!$A$4:$A$1510,'Match Log'!$A$4:$A$1510,'Match Log'!$D$4:$D$1510,H$4,'Match Log'!$E$4:$E$1510,"Loss"))+SUMPRODUCT(('Match Log'!$D$4:$D$1510=H$4)*('Match Log'!$E$4:$E$1510="Win")*COUNTIFS('Match Log'!$A$4:$A$1510,'Match Log'!$A$4:$A$1510,'Match Log'!$D$4:$D$1510,$A17,'Match Log'!$E$4:$E$1510,"Loss")))=0,"",TEXT(SUMPRODUCT(('Match Log'!$D$4:$D$1510=$A17)*('Match Log'!$E$4:$E$1510="Win")*COUNTIFS('Match Log'!$A$4:$A$1510,'Match Log'!$A$4:$A$1510,'Match Log'!$D$4:$D$1510,H$4,'Match Log'!$E$4:$E$1510,"Loss"))/(SUMPRODUCT(('Match Log'!$D$4:$D$1510=$A17)*('Match Log'!$E$4:$E$1510="Win")*COUNTIFS('Match Log'!$A$4:$A$1510,'Match Log'!$A$4:$A$1510,'Match Log'!$D$4:$D$1510,H$4,'Match Log'!$E$4:$E$1510,"Loss"))+SUMPRODUCT(('Match Log'!$D$4:$D$1510=H$4)*('Match Log'!$E$4:$E$1510="Win")*COUNTIFS('Match Log'!$A$4:$A$1510,'Match Log'!$A$4:$A$1510,'Match Log'!$D$4:$D$1510,$A17,'Match Log'!$E$4:$E$1510,"Loss"))),"0%")&amp;" of "&amp;(SUMPRODUCT(('Match Log'!$D$4:$D$1510=$A17)*('Match Log'!$E$4:$E$1510="Win")*COUNTIFS('Match Log'!$A$4:$A$1510,'Match Log'!$A$4:$A$1510,'Match Log'!$D$4:$D$1510,H$4,'Match Log'!$E$4:$E$1510,"Loss"))+SUMPRODUCT(('Match Log'!$D$4:$D$1510=H$4)*('Match Log'!$E$4:$E$1510="Win")*COUNTIFS('Match Log'!$A$4:$A$1510,'Match Log'!$A$4:$A$1510,'Match Log'!$D$4:$D$1510,$A17,'Match Log'!$E$4:$E$1510,"Loss")))))</f>
        <v>50% of 2</v>
      </c>
      <c r="I17" s="56" t="str">
        <f>IF($A17=I$4,"—",IF((SUMPRODUCT(('Match Log'!$D$4:$D$1510=$A17)*('Match Log'!$E$4:$E$1510="Win")*COUNTIFS('Match Log'!$A$4:$A$1510,'Match Log'!$A$4:$A$1510,'Match Log'!$D$4:$D$1510,I$4,'Match Log'!$E$4:$E$1510,"Loss"))+SUMPRODUCT(('Match Log'!$D$4:$D$1510=I$4)*('Match Log'!$E$4:$E$1510="Win")*COUNTIFS('Match Log'!$A$4:$A$1510,'Match Log'!$A$4:$A$1510,'Match Log'!$D$4:$D$1510,$A17,'Match Log'!$E$4:$E$1510,"Loss")))=0,"",TEXT(SUMPRODUCT(('Match Log'!$D$4:$D$1510=$A17)*('Match Log'!$E$4:$E$1510="Win")*COUNTIFS('Match Log'!$A$4:$A$1510,'Match Log'!$A$4:$A$1510,'Match Log'!$D$4:$D$1510,I$4,'Match Log'!$E$4:$E$1510,"Loss"))/(SUMPRODUCT(('Match Log'!$D$4:$D$1510=$A17)*('Match Log'!$E$4:$E$1510="Win")*COUNTIFS('Match Log'!$A$4:$A$1510,'Match Log'!$A$4:$A$1510,'Match Log'!$D$4:$D$1510,I$4,'Match Log'!$E$4:$E$1510,"Loss"))+SUMPRODUCT(('Match Log'!$D$4:$D$1510=I$4)*('Match Log'!$E$4:$E$1510="Win")*COUNTIFS('Match Log'!$A$4:$A$1510,'Match Log'!$A$4:$A$1510,'Match Log'!$D$4:$D$1510,$A17,'Match Log'!$E$4:$E$1510,"Loss"))),"0%")&amp;" of "&amp;(SUMPRODUCT(('Match Log'!$D$4:$D$1510=$A17)*('Match Log'!$E$4:$E$1510="Win")*COUNTIFS('Match Log'!$A$4:$A$1510,'Match Log'!$A$4:$A$1510,'Match Log'!$D$4:$D$1510,I$4,'Match Log'!$E$4:$E$1510,"Loss"))+SUMPRODUCT(('Match Log'!$D$4:$D$1510=I$4)*('Match Log'!$E$4:$E$1510="Win")*COUNTIFS('Match Log'!$A$4:$A$1510,'Match Log'!$A$4:$A$1510,'Match Log'!$D$4:$D$1510,$A17,'Match Log'!$E$4:$E$1510,"Loss")))))</f>
        <v>17% of 6</v>
      </c>
      <c r="J17" s="56" t="str">
        <f>IF($A17=J$4,"—",IF((SUMPRODUCT(('Match Log'!$D$4:$D$1510=$A17)*('Match Log'!$E$4:$E$1510="Win")*COUNTIFS('Match Log'!$A$4:$A$1510,'Match Log'!$A$4:$A$1510,'Match Log'!$D$4:$D$1510,J$4,'Match Log'!$E$4:$E$1510,"Loss"))+SUMPRODUCT(('Match Log'!$D$4:$D$1510=J$4)*('Match Log'!$E$4:$E$1510="Win")*COUNTIFS('Match Log'!$A$4:$A$1510,'Match Log'!$A$4:$A$1510,'Match Log'!$D$4:$D$1510,$A17,'Match Log'!$E$4:$E$1510,"Loss")))=0,"",TEXT(SUMPRODUCT(('Match Log'!$D$4:$D$1510=$A17)*('Match Log'!$E$4:$E$1510="Win")*COUNTIFS('Match Log'!$A$4:$A$1510,'Match Log'!$A$4:$A$1510,'Match Log'!$D$4:$D$1510,J$4,'Match Log'!$E$4:$E$1510,"Loss"))/(SUMPRODUCT(('Match Log'!$D$4:$D$1510=$A17)*('Match Log'!$E$4:$E$1510="Win")*COUNTIFS('Match Log'!$A$4:$A$1510,'Match Log'!$A$4:$A$1510,'Match Log'!$D$4:$D$1510,J$4,'Match Log'!$E$4:$E$1510,"Loss"))+SUMPRODUCT(('Match Log'!$D$4:$D$1510=J$4)*('Match Log'!$E$4:$E$1510="Win")*COUNTIFS('Match Log'!$A$4:$A$1510,'Match Log'!$A$4:$A$1510,'Match Log'!$D$4:$D$1510,$A17,'Match Log'!$E$4:$E$1510,"Loss"))),"0%")&amp;" of "&amp;(SUMPRODUCT(('Match Log'!$D$4:$D$1510=$A17)*('Match Log'!$E$4:$E$1510="Win")*COUNTIFS('Match Log'!$A$4:$A$1510,'Match Log'!$A$4:$A$1510,'Match Log'!$D$4:$D$1510,J$4,'Match Log'!$E$4:$E$1510,"Loss"))+SUMPRODUCT(('Match Log'!$D$4:$D$1510=J$4)*('Match Log'!$E$4:$E$1510="Win")*COUNTIFS('Match Log'!$A$4:$A$1510,'Match Log'!$A$4:$A$1510,'Match Log'!$D$4:$D$1510,$A17,'Match Log'!$E$4:$E$1510,"Loss")))))</f>
        <v>100% of 1</v>
      </c>
      <c r="K17" s="56" t="str">
        <f>IF($A17=K$4,"—",IF((SUMPRODUCT(('Match Log'!$D$4:$D$1510=$A17)*('Match Log'!$E$4:$E$1510="Win")*COUNTIFS('Match Log'!$A$4:$A$1510,'Match Log'!$A$4:$A$1510,'Match Log'!$D$4:$D$1510,K$4,'Match Log'!$E$4:$E$1510,"Loss"))+SUMPRODUCT(('Match Log'!$D$4:$D$1510=K$4)*('Match Log'!$E$4:$E$1510="Win")*COUNTIFS('Match Log'!$A$4:$A$1510,'Match Log'!$A$4:$A$1510,'Match Log'!$D$4:$D$1510,$A17,'Match Log'!$E$4:$E$1510,"Loss")))=0,"",TEXT(SUMPRODUCT(('Match Log'!$D$4:$D$1510=$A17)*('Match Log'!$E$4:$E$1510="Win")*COUNTIFS('Match Log'!$A$4:$A$1510,'Match Log'!$A$4:$A$1510,'Match Log'!$D$4:$D$1510,K$4,'Match Log'!$E$4:$E$1510,"Loss"))/(SUMPRODUCT(('Match Log'!$D$4:$D$1510=$A17)*('Match Log'!$E$4:$E$1510="Win")*COUNTIFS('Match Log'!$A$4:$A$1510,'Match Log'!$A$4:$A$1510,'Match Log'!$D$4:$D$1510,K$4,'Match Log'!$E$4:$E$1510,"Loss"))+SUMPRODUCT(('Match Log'!$D$4:$D$1510=K$4)*('Match Log'!$E$4:$E$1510="Win")*COUNTIFS('Match Log'!$A$4:$A$1510,'Match Log'!$A$4:$A$1510,'Match Log'!$D$4:$D$1510,$A17,'Match Log'!$E$4:$E$1510,"Loss"))),"0%")&amp;" of "&amp;(SUMPRODUCT(('Match Log'!$D$4:$D$1510=$A17)*('Match Log'!$E$4:$E$1510="Win")*COUNTIFS('Match Log'!$A$4:$A$1510,'Match Log'!$A$4:$A$1510,'Match Log'!$D$4:$D$1510,K$4,'Match Log'!$E$4:$E$1510,"Loss"))+SUMPRODUCT(('Match Log'!$D$4:$D$1510=K$4)*('Match Log'!$E$4:$E$1510="Win")*COUNTIFS('Match Log'!$A$4:$A$1510,'Match Log'!$A$4:$A$1510,'Match Log'!$D$4:$D$1510,$A17,'Match Log'!$E$4:$E$1510,"Loss")))))</f>
        <v>100% of 1</v>
      </c>
      <c r="L17" s="56" t="str">
        <f>IF($A17=L$4,"—",IF((SUMPRODUCT(('Match Log'!$D$4:$D$1510=$A17)*('Match Log'!$E$4:$E$1510="Win")*COUNTIFS('Match Log'!$A$4:$A$1510,'Match Log'!$A$4:$A$1510,'Match Log'!$D$4:$D$1510,L$4,'Match Log'!$E$4:$E$1510,"Loss"))+SUMPRODUCT(('Match Log'!$D$4:$D$1510=L$4)*('Match Log'!$E$4:$E$1510="Win")*COUNTIFS('Match Log'!$A$4:$A$1510,'Match Log'!$A$4:$A$1510,'Match Log'!$D$4:$D$1510,$A17,'Match Log'!$E$4:$E$1510,"Loss")))=0,"",TEXT(SUMPRODUCT(('Match Log'!$D$4:$D$1510=$A17)*('Match Log'!$E$4:$E$1510="Win")*COUNTIFS('Match Log'!$A$4:$A$1510,'Match Log'!$A$4:$A$1510,'Match Log'!$D$4:$D$1510,L$4,'Match Log'!$E$4:$E$1510,"Loss"))/(SUMPRODUCT(('Match Log'!$D$4:$D$1510=$A17)*('Match Log'!$E$4:$E$1510="Win")*COUNTIFS('Match Log'!$A$4:$A$1510,'Match Log'!$A$4:$A$1510,'Match Log'!$D$4:$D$1510,L$4,'Match Log'!$E$4:$E$1510,"Loss"))+SUMPRODUCT(('Match Log'!$D$4:$D$1510=L$4)*('Match Log'!$E$4:$E$1510="Win")*COUNTIFS('Match Log'!$A$4:$A$1510,'Match Log'!$A$4:$A$1510,'Match Log'!$D$4:$D$1510,$A17,'Match Log'!$E$4:$E$1510,"Loss"))),"0%")&amp;" of "&amp;(SUMPRODUCT(('Match Log'!$D$4:$D$1510=$A17)*('Match Log'!$E$4:$E$1510="Win")*COUNTIFS('Match Log'!$A$4:$A$1510,'Match Log'!$A$4:$A$1510,'Match Log'!$D$4:$D$1510,L$4,'Match Log'!$E$4:$E$1510,"Loss"))+SUMPRODUCT(('Match Log'!$D$4:$D$1510=L$4)*('Match Log'!$E$4:$E$1510="Win")*COUNTIFS('Match Log'!$A$4:$A$1510,'Match Log'!$A$4:$A$1510,'Match Log'!$D$4:$D$1510,$A17,'Match Log'!$E$4:$E$1510,"Loss")))))</f>
        <v>50% of 2</v>
      </c>
      <c r="M17" s="56" t="str">
        <f>IF($A17=M$4,"—",IF((SUMPRODUCT(('Match Log'!$D$4:$D$1510=$A17)*('Match Log'!$E$4:$E$1510="Win")*COUNTIFS('Match Log'!$A$4:$A$1510,'Match Log'!$A$4:$A$1510,'Match Log'!$D$4:$D$1510,M$4,'Match Log'!$E$4:$E$1510,"Loss"))+SUMPRODUCT(('Match Log'!$D$4:$D$1510=M$4)*('Match Log'!$E$4:$E$1510="Win")*COUNTIFS('Match Log'!$A$4:$A$1510,'Match Log'!$A$4:$A$1510,'Match Log'!$D$4:$D$1510,$A17,'Match Log'!$E$4:$E$1510,"Loss")))=0,"",TEXT(SUMPRODUCT(('Match Log'!$D$4:$D$1510=$A17)*('Match Log'!$E$4:$E$1510="Win")*COUNTIFS('Match Log'!$A$4:$A$1510,'Match Log'!$A$4:$A$1510,'Match Log'!$D$4:$D$1510,M$4,'Match Log'!$E$4:$E$1510,"Loss"))/(SUMPRODUCT(('Match Log'!$D$4:$D$1510=$A17)*('Match Log'!$E$4:$E$1510="Win")*COUNTIFS('Match Log'!$A$4:$A$1510,'Match Log'!$A$4:$A$1510,'Match Log'!$D$4:$D$1510,M$4,'Match Log'!$E$4:$E$1510,"Loss"))+SUMPRODUCT(('Match Log'!$D$4:$D$1510=M$4)*('Match Log'!$E$4:$E$1510="Win")*COUNTIFS('Match Log'!$A$4:$A$1510,'Match Log'!$A$4:$A$1510,'Match Log'!$D$4:$D$1510,$A17,'Match Log'!$E$4:$E$1510,"Loss"))),"0%")&amp;" of "&amp;(SUMPRODUCT(('Match Log'!$D$4:$D$1510=$A17)*('Match Log'!$E$4:$E$1510="Win")*COUNTIFS('Match Log'!$A$4:$A$1510,'Match Log'!$A$4:$A$1510,'Match Log'!$D$4:$D$1510,M$4,'Match Log'!$E$4:$E$1510,"Loss"))+SUMPRODUCT(('Match Log'!$D$4:$D$1510=M$4)*('Match Log'!$E$4:$E$1510="Win")*COUNTIFS('Match Log'!$A$4:$A$1510,'Match Log'!$A$4:$A$1510,'Match Log'!$D$4:$D$1510,$A17,'Match Log'!$E$4:$E$1510,"Loss")))))</f>
        <v>43% of 7</v>
      </c>
      <c r="N17" s="56" t="str">
        <f>IF($A17=N$4,"—",IF((SUMPRODUCT(('Match Log'!$D$4:$D$1510=$A17)*('Match Log'!$E$4:$E$1510="Win")*COUNTIFS('Match Log'!$A$4:$A$1510,'Match Log'!$A$4:$A$1510,'Match Log'!$D$4:$D$1510,N$4,'Match Log'!$E$4:$E$1510,"Loss"))+SUMPRODUCT(('Match Log'!$D$4:$D$1510=N$4)*('Match Log'!$E$4:$E$1510="Win")*COUNTIFS('Match Log'!$A$4:$A$1510,'Match Log'!$A$4:$A$1510,'Match Log'!$D$4:$D$1510,$A17,'Match Log'!$E$4:$E$1510,"Loss")))=0,"",TEXT(SUMPRODUCT(('Match Log'!$D$4:$D$1510=$A17)*('Match Log'!$E$4:$E$1510="Win")*COUNTIFS('Match Log'!$A$4:$A$1510,'Match Log'!$A$4:$A$1510,'Match Log'!$D$4:$D$1510,N$4,'Match Log'!$E$4:$E$1510,"Loss"))/(SUMPRODUCT(('Match Log'!$D$4:$D$1510=$A17)*('Match Log'!$E$4:$E$1510="Win")*COUNTIFS('Match Log'!$A$4:$A$1510,'Match Log'!$A$4:$A$1510,'Match Log'!$D$4:$D$1510,N$4,'Match Log'!$E$4:$E$1510,"Loss"))+SUMPRODUCT(('Match Log'!$D$4:$D$1510=N$4)*('Match Log'!$E$4:$E$1510="Win")*COUNTIFS('Match Log'!$A$4:$A$1510,'Match Log'!$A$4:$A$1510,'Match Log'!$D$4:$D$1510,$A17,'Match Log'!$E$4:$E$1510,"Loss"))),"0%")&amp;" of "&amp;(SUMPRODUCT(('Match Log'!$D$4:$D$1510=$A17)*('Match Log'!$E$4:$E$1510="Win")*COUNTIFS('Match Log'!$A$4:$A$1510,'Match Log'!$A$4:$A$1510,'Match Log'!$D$4:$D$1510,N$4,'Match Log'!$E$4:$E$1510,"Loss"))+SUMPRODUCT(('Match Log'!$D$4:$D$1510=N$4)*('Match Log'!$E$4:$E$1510="Win")*COUNTIFS('Match Log'!$A$4:$A$1510,'Match Log'!$A$4:$A$1510,'Match Log'!$D$4:$D$1510,$A17,'Match Log'!$E$4:$E$1510,"Loss")))))</f>
        <v>—</v>
      </c>
      <c r="O17" s="56" t="str">
        <f>IF($A17=O$4,"—",IF((SUMPRODUCT(('Match Log'!$D$4:$D$1510=$A17)*('Match Log'!$E$4:$E$1510="Win")*COUNTIFS('Match Log'!$A$4:$A$1510,'Match Log'!$A$4:$A$1510,'Match Log'!$D$4:$D$1510,O$4,'Match Log'!$E$4:$E$1510,"Loss"))+SUMPRODUCT(('Match Log'!$D$4:$D$1510=O$4)*('Match Log'!$E$4:$E$1510="Win")*COUNTIFS('Match Log'!$A$4:$A$1510,'Match Log'!$A$4:$A$1510,'Match Log'!$D$4:$D$1510,$A17,'Match Log'!$E$4:$E$1510,"Loss")))=0,"",TEXT(SUMPRODUCT(('Match Log'!$D$4:$D$1510=$A17)*('Match Log'!$E$4:$E$1510="Win")*COUNTIFS('Match Log'!$A$4:$A$1510,'Match Log'!$A$4:$A$1510,'Match Log'!$D$4:$D$1510,O$4,'Match Log'!$E$4:$E$1510,"Loss"))/(SUMPRODUCT(('Match Log'!$D$4:$D$1510=$A17)*('Match Log'!$E$4:$E$1510="Win")*COUNTIFS('Match Log'!$A$4:$A$1510,'Match Log'!$A$4:$A$1510,'Match Log'!$D$4:$D$1510,O$4,'Match Log'!$E$4:$E$1510,"Loss"))+SUMPRODUCT(('Match Log'!$D$4:$D$1510=O$4)*('Match Log'!$E$4:$E$1510="Win")*COUNTIFS('Match Log'!$A$4:$A$1510,'Match Log'!$A$4:$A$1510,'Match Log'!$D$4:$D$1510,$A17,'Match Log'!$E$4:$E$1510,"Loss"))),"0%")&amp;" of "&amp;(SUMPRODUCT(('Match Log'!$D$4:$D$1510=$A17)*('Match Log'!$E$4:$E$1510="Win")*COUNTIFS('Match Log'!$A$4:$A$1510,'Match Log'!$A$4:$A$1510,'Match Log'!$D$4:$D$1510,O$4,'Match Log'!$E$4:$E$1510,"Loss"))+SUMPRODUCT(('Match Log'!$D$4:$D$1510=O$4)*('Match Log'!$E$4:$E$1510="Win")*COUNTIFS('Match Log'!$A$4:$A$1510,'Match Log'!$A$4:$A$1510,'Match Log'!$D$4:$D$1510,$A17,'Match Log'!$E$4:$E$1510,"Loss")))))</f>
        <v/>
      </c>
    </row>
    <row r="18" spans="1:15" ht="15" customHeight="1" x14ac:dyDescent="0.2">
      <c r="A18" s="51" t="s">
        <v>28</v>
      </c>
      <c r="B18" s="56" t="str">
        <f>IF($A18=B$4,"—",IF((SUMPRODUCT(('Match Log'!$D$4:$D$1510=$A18)*('Match Log'!$E$4:$E$1510="Win")*COUNTIFS('Match Log'!$A$4:$A$1510,'Match Log'!$A$4:$A$1510,'Match Log'!$D$4:$D$1510,B$4,'Match Log'!$E$4:$E$1510,"Loss"))+SUMPRODUCT(('Match Log'!$D$4:$D$1510=B$4)*('Match Log'!$E$4:$E$1510="Win")*COUNTIFS('Match Log'!$A$4:$A$1510,'Match Log'!$A$4:$A$1510,'Match Log'!$D$4:$D$1510,$A18,'Match Log'!$E$4:$E$1510,"Loss")))=0,"",TEXT(SUMPRODUCT(('Match Log'!$D$4:$D$1510=$A18)*('Match Log'!$E$4:$E$1510="Win")*COUNTIFS('Match Log'!$A$4:$A$1510,'Match Log'!$A$4:$A$1510,'Match Log'!$D$4:$D$1510,B$4,'Match Log'!$E$4:$E$1510,"Loss"))/(SUMPRODUCT(('Match Log'!$D$4:$D$1510=$A18)*('Match Log'!$E$4:$E$1510="Win")*COUNTIFS('Match Log'!$A$4:$A$1510,'Match Log'!$A$4:$A$1510,'Match Log'!$D$4:$D$1510,B$4,'Match Log'!$E$4:$E$1510,"Loss"))+SUMPRODUCT(('Match Log'!$D$4:$D$1510=B$4)*('Match Log'!$E$4:$E$1510="Win")*COUNTIFS('Match Log'!$A$4:$A$1510,'Match Log'!$A$4:$A$1510,'Match Log'!$D$4:$D$1510,$A18,'Match Log'!$E$4:$E$1510,"Loss"))),"0%")&amp;" of "&amp;(SUMPRODUCT(('Match Log'!$D$4:$D$1510=$A18)*('Match Log'!$E$4:$E$1510="Win")*COUNTIFS('Match Log'!$A$4:$A$1510,'Match Log'!$A$4:$A$1510,'Match Log'!$D$4:$D$1510,B$4,'Match Log'!$E$4:$E$1510,"Loss"))+SUMPRODUCT(('Match Log'!$D$4:$D$1510=B$4)*('Match Log'!$E$4:$E$1510="Win")*COUNTIFS('Match Log'!$A$4:$A$1510,'Match Log'!$A$4:$A$1510,'Match Log'!$D$4:$D$1510,$A18,'Match Log'!$E$4:$E$1510,"Loss")))))</f>
        <v/>
      </c>
      <c r="C18" s="56" t="str">
        <f>IF($A18=C$4,"—",IF((SUMPRODUCT(('Match Log'!$D$4:$D$1510=$A18)*('Match Log'!$E$4:$E$1510="Win")*COUNTIFS('Match Log'!$A$4:$A$1510,'Match Log'!$A$4:$A$1510,'Match Log'!$D$4:$D$1510,C$4,'Match Log'!$E$4:$E$1510,"Loss"))+SUMPRODUCT(('Match Log'!$D$4:$D$1510=C$4)*('Match Log'!$E$4:$E$1510="Win")*COUNTIFS('Match Log'!$A$4:$A$1510,'Match Log'!$A$4:$A$1510,'Match Log'!$D$4:$D$1510,$A18,'Match Log'!$E$4:$E$1510,"Loss")))=0,"",TEXT(SUMPRODUCT(('Match Log'!$D$4:$D$1510=$A18)*('Match Log'!$E$4:$E$1510="Win")*COUNTIFS('Match Log'!$A$4:$A$1510,'Match Log'!$A$4:$A$1510,'Match Log'!$D$4:$D$1510,C$4,'Match Log'!$E$4:$E$1510,"Loss"))/(SUMPRODUCT(('Match Log'!$D$4:$D$1510=$A18)*('Match Log'!$E$4:$E$1510="Win")*COUNTIFS('Match Log'!$A$4:$A$1510,'Match Log'!$A$4:$A$1510,'Match Log'!$D$4:$D$1510,C$4,'Match Log'!$E$4:$E$1510,"Loss"))+SUMPRODUCT(('Match Log'!$D$4:$D$1510=C$4)*('Match Log'!$E$4:$E$1510="Win")*COUNTIFS('Match Log'!$A$4:$A$1510,'Match Log'!$A$4:$A$1510,'Match Log'!$D$4:$D$1510,$A18,'Match Log'!$E$4:$E$1510,"Loss"))),"0%")&amp;" of "&amp;(SUMPRODUCT(('Match Log'!$D$4:$D$1510=$A18)*('Match Log'!$E$4:$E$1510="Win")*COUNTIFS('Match Log'!$A$4:$A$1510,'Match Log'!$A$4:$A$1510,'Match Log'!$D$4:$D$1510,C$4,'Match Log'!$E$4:$E$1510,"Loss"))+SUMPRODUCT(('Match Log'!$D$4:$D$1510=C$4)*('Match Log'!$E$4:$E$1510="Win")*COUNTIFS('Match Log'!$A$4:$A$1510,'Match Log'!$A$4:$A$1510,'Match Log'!$D$4:$D$1510,$A18,'Match Log'!$E$4:$E$1510,"Loss")))))</f>
        <v/>
      </c>
      <c r="D18" s="56" t="str">
        <f>IF($A18=D$4,"—",IF((SUMPRODUCT(('Match Log'!$D$4:$D$1510=$A18)*('Match Log'!$E$4:$E$1510="Win")*COUNTIFS('Match Log'!$A$4:$A$1510,'Match Log'!$A$4:$A$1510,'Match Log'!$D$4:$D$1510,D$4,'Match Log'!$E$4:$E$1510,"Loss"))+SUMPRODUCT(('Match Log'!$D$4:$D$1510=D$4)*('Match Log'!$E$4:$E$1510="Win")*COUNTIFS('Match Log'!$A$4:$A$1510,'Match Log'!$A$4:$A$1510,'Match Log'!$D$4:$D$1510,$A18,'Match Log'!$E$4:$E$1510,"Loss")))=0,"",TEXT(SUMPRODUCT(('Match Log'!$D$4:$D$1510=$A18)*('Match Log'!$E$4:$E$1510="Win")*COUNTIFS('Match Log'!$A$4:$A$1510,'Match Log'!$A$4:$A$1510,'Match Log'!$D$4:$D$1510,D$4,'Match Log'!$E$4:$E$1510,"Loss"))/(SUMPRODUCT(('Match Log'!$D$4:$D$1510=$A18)*('Match Log'!$E$4:$E$1510="Win")*COUNTIFS('Match Log'!$A$4:$A$1510,'Match Log'!$A$4:$A$1510,'Match Log'!$D$4:$D$1510,D$4,'Match Log'!$E$4:$E$1510,"Loss"))+SUMPRODUCT(('Match Log'!$D$4:$D$1510=D$4)*('Match Log'!$E$4:$E$1510="Win")*COUNTIFS('Match Log'!$A$4:$A$1510,'Match Log'!$A$4:$A$1510,'Match Log'!$D$4:$D$1510,$A18,'Match Log'!$E$4:$E$1510,"Loss"))),"0%")&amp;" of "&amp;(SUMPRODUCT(('Match Log'!$D$4:$D$1510=$A18)*('Match Log'!$E$4:$E$1510="Win")*COUNTIFS('Match Log'!$A$4:$A$1510,'Match Log'!$A$4:$A$1510,'Match Log'!$D$4:$D$1510,D$4,'Match Log'!$E$4:$E$1510,"Loss"))+SUMPRODUCT(('Match Log'!$D$4:$D$1510=D$4)*('Match Log'!$E$4:$E$1510="Win")*COUNTIFS('Match Log'!$A$4:$A$1510,'Match Log'!$A$4:$A$1510,'Match Log'!$D$4:$D$1510,$A18,'Match Log'!$E$4:$E$1510,"Loss")))))</f>
        <v/>
      </c>
      <c r="E18" s="56" t="str">
        <f>IF($A18=E$4,"—",IF((SUMPRODUCT(('Match Log'!$D$4:$D$1510=$A18)*('Match Log'!$E$4:$E$1510="Win")*COUNTIFS('Match Log'!$A$4:$A$1510,'Match Log'!$A$4:$A$1510,'Match Log'!$D$4:$D$1510,E$4,'Match Log'!$E$4:$E$1510,"Loss"))+SUMPRODUCT(('Match Log'!$D$4:$D$1510=E$4)*('Match Log'!$E$4:$E$1510="Win")*COUNTIFS('Match Log'!$A$4:$A$1510,'Match Log'!$A$4:$A$1510,'Match Log'!$D$4:$D$1510,$A18,'Match Log'!$E$4:$E$1510,"Loss")))=0,"",TEXT(SUMPRODUCT(('Match Log'!$D$4:$D$1510=$A18)*('Match Log'!$E$4:$E$1510="Win")*COUNTIFS('Match Log'!$A$4:$A$1510,'Match Log'!$A$4:$A$1510,'Match Log'!$D$4:$D$1510,E$4,'Match Log'!$E$4:$E$1510,"Loss"))/(SUMPRODUCT(('Match Log'!$D$4:$D$1510=$A18)*('Match Log'!$E$4:$E$1510="Win")*COUNTIFS('Match Log'!$A$4:$A$1510,'Match Log'!$A$4:$A$1510,'Match Log'!$D$4:$D$1510,E$4,'Match Log'!$E$4:$E$1510,"Loss"))+SUMPRODUCT(('Match Log'!$D$4:$D$1510=E$4)*('Match Log'!$E$4:$E$1510="Win")*COUNTIFS('Match Log'!$A$4:$A$1510,'Match Log'!$A$4:$A$1510,'Match Log'!$D$4:$D$1510,$A18,'Match Log'!$E$4:$E$1510,"Loss"))),"0%")&amp;" of "&amp;(SUMPRODUCT(('Match Log'!$D$4:$D$1510=$A18)*('Match Log'!$E$4:$E$1510="Win")*COUNTIFS('Match Log'!$A$4:$A$1510,'Match Log'!$A$4:$A$1510,'Match Log'!$D$4:$D$1510,E$4,'Match Log'!$E$4:$E$1510,"Loss"))+SUMPRODUCT(('Match Log'!$D$4:$D$1510=E$4)*('Match Log'!$E$4:$E$1510="Win")*COUNTIFS('Match Log'!$A$4:$A$1510,'Match Log'!$A$4:$A$1510,'Match Log'!$D$4:$D$1510,$A18,'Match Log'!$E$4:$E$1510,"Loss")))))</f>
        <v/>
      </c>
      <c r="F18" s="56" t="str">
        <f>IF($A18=F$4,"—",IF((SUMPRODUCT(('Match Log'!$D$4:$D$1510=$A18)*('Match Log'!$E$4:$E$1510="Win")*COUNTIFS('Match Log'!$A$4:$A$1510,'Match Log'!$A$4:$A$1510,'Match Log'!$D$4:$D$1510,F$4,'Match Log'!$E$4:$E$1510,"Loss"))+SUMPRODUCT(('Match Log'!$D$4:$D$1510=F$4)*('Match Log'!$E$4:$E$1510="Win")*COUNTIFS('Match Log'!$A$4:$A$1510,'Match Log'!$A$4:$A$1510,'Match Log'!$D$4:$D$1510,$A18,'Match Log'!$E$4:$E$1510,"Loss")))=0,"",TEXT(SUMPRODUCT(('Match Log'!$D$4:$D$1510=$A18)*('Match Log'!$E$4:$E$1510="Win")*COUNTIFS('Match Log'!$A$4:$A$1510,'Match Log'!$A$4:$A$1510,'Match Log'!$D$4:$D$1510,F$4,'Match Log'!$E$4:$E$1510,"Loss"))/(SUMPRODUCT(('Match Log'!$D$4:$D$1510=$A18)*('Match Log'!$E$4:$E$1510="Win")*COUNTIFS('Match Log'!$A$4:$A$1510,'Match Log'!$A$4:$A$1510,'Match Log'!$D$4:$D$1510,F$4,'Match Log'!$E$4:$E$1510,"Loss"))+SUMPRODUCT(('Match Log'!$D$4:$D$1510=F$4)*('Match Log'!$E$4:$E$1510="Win")*COUNTIFS('Match Log'!$A$4:$A$1510,'Match Log'!$A$4:$A$1510,'Match Log'!$D$4:$D$1510,$A18,'Match Log'!$E$4:$E$1510,"Loss"))),"0%")&amp;" of "&amp;(SUMPRODUCT(('Match Log'!$D$4:$D$1510=$A18)*('Match Log'!$E$4:$E$1510="Win")*COUNTIFS('Match Log'!$A$4:$A$1510,'Match Log'!$A$4:$A$1510,'Match Log'!$D$4:$D$1510,F$4,'Match Log'!$E$4:$E$1510,"Loss"))+SUMPRODUCT(('Match Log'!$D$4:$D$1510=F$4)*('Match Log'!$E$4:$E$1510="Win")*COUNTIFS('Match Log'!$A$4:$A$1510,'Match Log'!$A$4:$A$1510,'Match Log'!$D$4:$D$1510,$A18,'Match Log'!$E$4:$E$1510,"Loss")))))</f>
        <v/>
      </c>
      <c r="G18" s="56" t="str">
        <f>IF($A18=G$4,"—",IF((SUMPRODUCT(('Match Log'!$D$4:$D$1510=$A18)*('Match Log'!$E$4:$E$1510="Win")*COUNTIFS('Match Log'!$A$4:$A$1510,'Match Log'!$A$4:$A$1510,'Match Log'!$D$4:$D$1510,G$4,'Match Log'!$E$4:$E$1510,"Loss"))+SUMPRODUCT(('Match Log'!$D$4:$D$1510=G$4)*('Match Log'!$E$4:$E$1510="Win")*COUNTIFS('Match Log'!$A$4:$A$1510,'Match Log'!$A$4:$A$1510,'Match Log'!$D$4:$D$1510,$A18,'Match Log'!$E$4:$E$1510,"Loss")))=0,"",TEXT(SUMPRODUCT(('Match Log'!$D$4:$D$1510=$A18)*('Match Log'!$E$4:$E$1510="Win")*COUNTIFS('Match Log'!$A$4:$A$1510,'Match Log'!$A$4:$A$1510,'Match Log'!$D$4:$D$1510,G$4,'Match Log'!$E$4:$E$1510,"Loss"))/(SUMPRODUCT(('Match Log'!$D$4:$D$1510=$A18)*('Match Log'!$E$4:$E$1510="Win")*COUNTIFS('Match Log'!$A$4:$A$1510,'Match Log'!$A$4:$A$1510,'Match Log'!$D$4:$D$1510,G$4,'Match Log'!$E$4:$E$1510,"Loss"))+SUMPRODUCT(('Match Log'!$D$4:$D$1510=G$4)*('Match Log'!$E$4:$E$1510="Win")*COUNTIFS('Match Log'!$A$4:$A$1510,'Match Log'!$A$4:$A$1510,'Match Log'!$D$4:$D$1510,$A18,'Match Log'!$E$4:$E$1510,"Loss"))),"0%")&amp;" of "&amp;(SUMPRODUCT(('Match Log'!$D$4:$D$1510=$A18)*('Match Log'!$E$4:$E$1510="Win")*COUNTIFS('Match Log'!$A$4:$A$1510,'Match Log'!$A$4:$A$1510,'Match Log'!$D$4:$D$1510,G$4,'Match Log'!$E$4:$E$1510,"Loss"))+SUMPRODUCT(('Match Log'!$D$4:$D$1510=G$4)*('Match Log'!$E$4:$E$1510="Win")*COUNTIFS('Match Log'!$A$4:$A$1510,'Match Log'!$A$4:$A$1510,'Match Log'!$D$4:$D$1510,$A18,'Match Log'!$E$4:$E$1510,"Loss")))))</f>
        <v/>
      </c>
      <c r="H18" s="56" t="str">
        <f>IF($A18=H$4,"—",IF((SUMPRODUCT(('Match Log'!$D$4:$D$1510=$A18)*('Match Log'!$E$4:$E$1510="Win")*COUNTIFS('Match Log'!$A$4:$A$1510,'Match Log'!$A$4:$A$1510,'Match Log'!$D$4:$D$1510,H$4,'Match Log'!$E$4:$E$1510,"Loss"))+SUMPRODUCT(('Match Log'!$D$4:$D$1510=H$4)*('Match Log'!$E$4:$E$1510="Win")*COUNTIFS('Match Log'!$A$4:$A$1510,'Match Log'!$A$4:$A$1510,'Match Log'!$D$4:$D$1510,$A18,'Match Log'!$E$4:$E$1510,"Loss")))=0,"",TEXT(SUMPRODUCT(('Match Log'!$D$4:$D$1510=$A18)*('Match Log'!$E$4:$E$1510="Win")*COUNTIFS('Match Log'!$A$4:$A$1510,'Match Log'!$A$4:$A$1510,'Match Log'!$D$4:$D$1510,H$4,'Match Log'!$E$4:$E$1510,"Loss"))/(SUMPRODUCT(('Match Log'!$D$4:$D$1510=$A18)*('Match Log'!$E$4:$E$1510="Win")*COUNTIFS('Match Log'!$A$4:$A$1510,'Match Log'!$A$4:$A$1510,'Match Log'!$D$4:$D$1510,H$4,'Match Log'!$E$4:$E$1510,"Loss"))+SUMPRODUCT(('Match Log'!$D$4:$D$1510=H$4)*('Match Log'!$E$4:$E$1510="Win")*COUNTIFS('Match Log'!$A$4:$A$1510,'Match Log'!$A$4:$A$1510,'Match Log'!$D$4:$D$1510,$A18,'Match Log'!$E$4:$E$1510,"Loss"))),"0%")&amp;" of "&amp;(SUMPRODUCT(('Match Log'!$D$4:$D$1510=$A18)*('Match Log'!$E$4:$E$1510="Win")*COUNTIFS('Match Log'!$A$4:$A$1510,'Match Log'!$A$4:$A$1510,'Match Log'!$D$4:$D$1510,H$4,'Match Log'!$E$4:$E$1510,"Loss"))+SUMPRODUCT(('Match Log'!$D$4:$D$1510=H$4)*('Match Log'!$E$4:$E$1510="Win")*COUNTIFS('Match Log'!$A$4:$A$1510,'Match Log'!$A$4:$A$1510,'Match Log'!$D$4:$D$1510,$A18,'Match Log'!$E$4:$E$1510,"Loss")))))</f>
        <v/>
      </c>
      <c r="I18" s="56" t="str">
        <f>IF($A18=I$4,"—",IF((SUMPRODUCT(('Match Log'!$D$4:$D$1510=$A18)*('Match Log'!$E$4:$E$1510="Win")*COUNTIFS('Match Log'!$A$4:$A$1510,'Match Log'!$A$4:$A$1510,'Match Log'!$D$4:$D$1510,I$4,'Match Log'!$E$4:$E$1510,"Loss"))+SUMPRODUCT(('Match Log'!$D$4:$D$1510=I$4)*('Match Log'!$E$4:$E$1510="Win")*COUNTIFS('Match Log'!$A$4:$A$1510,'Match Log'!$A$4:$A$1510,'Match Log'!$D$4:$D$1510,$A18,'Match Log'!$E$4:$E$1510,"Loss")))=0,"",TEXT(SUMPRODUCT(('Match Log'!$D$4:$D$1510=$A18)*('Match Log'!$E$4:$E$1510="Win")*COUNTIFS('Match Log'!$A$4:$A$1510,'Match Log'!$A$4:$A$1510,'Match Log'!$D$4:$D$1510,I$4,'Match Log'!$E$4:$E$1510,"Loss"))/(SUMPRODUCT(('Match Log'!$D$4:$D$1510=$A18)*('Match Log'!$E$4:$E$1510="Win")*COUNTIFS('Match Log'!$A$4:$A$1510,'Match Log'!$A$4:$A$1510,'Match Log'!$D$4:$D$1510,I$4,'Match Log'!$E$4:$E$1510,"Loss"))+SUMPRODUCT(('Match Log'!$D$4:$D$1510=I$4)*('Match Log'!$E$4:$E$1510="Win")*COUNTIFS('Match Log'!$A$4:$A$1510,'Match Log'!$A$4:$A$1510,'Match Log'!$D$4:$D$1510,$A18,'Match Log'!$E$4:$E$1510,"Loss"))),"0%")&amp;" of "&amp;(SUMPRODUCT(('Match Log'!$D$4:$D$1510=$A18)*('Match Log'!$E$4:$E$1510="Win")*COUNTIFS('Match Log'!$A$4:$A$1510,'Match Log'!$A$4:$A$1510,'Match Log'!$D$4:$D$1510,I$4,'Match Log'!$E$4:$E$1510,"Loss"))+SUMPRODUCT(('Match Log'!$D$4:$D$1510=I$4)*('Match Log'!$E$4:$E$1510="Win")*COUNTIFS('Match Log'!$A$4:$A$1510,'Match Log'!$A$4:$A$1510,'Match Log'!$D$4:$D$1510,$A18,'Match Log'!$E$4:$E$1510,"Loss")))))</f>
        <v/>
      </c>
      <c r="J18" s="56" t="str">
        <f>IF($A18=J$4,"—",IF((SUMPRODUCT(('Match Log'!$D$4:$D$1510=$A18)*('Match Log'!$E$4:$E$1510="Win")*COUNTIFS('Match Log'!$A$4:$A$1510,'Match Log'!$A$4:$A$1510,'Match Log'!$D$4:$D$1510,J$4,'Match Log'!$E$4:$E$1510,"Loss"))+SUMPRODUCT(('Match Log'!$D$4:$D$1510=J$4)*('Match Log'!$E$4:$E$1510="Win")*COUNTIFS('Match Log'!$A$4:$A$1510,'Match Log'!$A$4:$A$1510,'Match Log'!$D$4:$D$1510,$A18,'Match Log'!$E$4:$E$1510,"Loss")))=0,"",TEXT(SUMPRODUCT(('Match Log'!$D$4:$D$1510=$A18)*('Match Log'!$E$4:$E$1510="Win")*COUNTIFS('Match Log'!$A$4:$A$1510,'Match Log'!$A$4:$A$1510,'Match Log'!$D$4:$D$1510,J$4,'Match Log'!$E$4:$E$1510,"Loss"))/(SUMPRODUCT(('Match Log'!$D$4:$D$1510=$A18)*('Match Log'!$E$4:$E$1510="Win")*COUNTIFS('Match Log'!$A$4:$A$1510,'Match Log'!$A$4:$A$1510,'Match Log'!$D$4:$D$1510,J$4,'Match Log'!$E$4:$E$1510,"Loss"))+SUMPRODUCT(('Match Log'!$D$4:$D$1510=J$4)*('Match Log'!$E$4:$E$1510="Win")*COUNTIFS('Match Log'!$A$4:$A$1510,'Match Log'!$A$4:$A$1510,'Match Log'!$D$4:$D$1510,$A18,'Match Log'!$E$4:$E$1510,"Loss"))),"0%")&amp;" of "&amp;(SUMPRODUCT(('Match Log'!$D$4:$D$1510=$A18)*('Match Log'!$E$4:$E$1510="Win")*COUNTIFS('Match Log'!$A$4:$A$1510,'Match Log'!$A$4:$A$1510,'Match Log'!$D$4:$D$1510,J$4,'Match Log'!$E$4:$E$1510,"Loss"))+SUMPRODUCT(('Match Log'!$D$4:$D$1510=J$4)*('Match Log'!$E$4:$E$1510="Win")*COUNTIFS('Match Log'!$A$4:$A$1510,'Match Log'!$A$4:$A$1510,'Match Log'!$D$4:$D$1510,$A18,'Match Log'!$E$4:$E$1510,"Loss")))))</f>
        <v/>
      </c>
      <c r="K18" s="56" t="str">
        <f>IF($A18=K$4,"—",IF((SUMPRODUCT(('Match Log'!$D$4:$D$1510=$A18)*('Match Log'!$E$4:$E$1510="Win")*COUNTIFS('Match Log'!$A$4:$A$1510,'Match Log'!$A$4:$A$1510,'Match Log'!$D$4:$D$1510,K$4,'Match Log'!$E$4:$E$1510,"Loss"))+SUMPRODUCT(('Match Log'!$D$4:$D$1510=K$4)*('Match Log'!$E$4:$E$1510="Win")*COUNTIFS('Match Log'!$A$4:$A$1510,'Match Log'!$A$4:$A$1510,'Match Log'!$D$4:$D$1510,$A18,'Match Log'!$E$4:$E$1510,"Loss")))=0,"",TEXT(SUMPRODUCT(('Match Log'!$D$4:$D$1510=$A18)*('Match Log'!$E$4:$E$1510="Win")*COUNTIFS('Match Log'!$A$4:$A$1510,'Match Log'!$A$4:$A$1510,'Match Log'!$D$4:$D$1510,K$4,'Match Log'!$E$4:$E$1510,"Loss"))/(SUMPRODUCT(('Match Log'!$D$4:$D$1510=$A18)*('Match Log'!$E$4:$E$1510="Win")*COUNTIFS('Match Log'!$A$4:$A$1510,'Match Log'!$A$4:$A$1510,'Match Log'!$D$4:$D$1510,K$4,'Match Log'!$E$4:$E$1510,"Loss"))+SUMPRODUCT(('Match Log'!$D$4:$D$1510=K$4)*('Match Log'!$E$4:$E$1510="Win")*COUNTIFS('Match Log'!$A$4:$A$1510,'Match Log'!$A$4:$A$1510,'Match Log'!$D$4:$D$1510,$A18,'Match Log'!$E$4:$E$1510,"Loss"))),"0%")&amp;" of "&amp;(SUMPRODUCT(('Match Log'!$D$4:$D$1510=$A18)*('Match Log'!$E$4:$E$1510="Win")*COUNTIFS('Match Log'!$A$4:$A$1510,'Match Log'!$A$4:$A$1510,'Match Log'!$D$4:$D$1510,K$4,'Match Log'!$E$4:$E$1510,"Loss"))+SUMPRODUCT(('Match Log'!$D$4:$D$1510=K$4)*('Match Log'!$E$4:$E$1510="Win")*COUNTIFS('Match Log'!$A$4:$A$1510,'Match Log'!$A$4:$A$1510,'Match Log'!$D$4:$D$1510,$A18,'Match Log'!$E$4:$E$1510,"Loss")))))</f>
        <v/>
      </c>
      <c r="L18" s="56" t="str">
        <f>IF($A18=L$4,"—",IF((SUMPRODUCT(('Match Log'!$D$4:$D$1510=$A18)*('Match Log'!$E$4:$E$1510="Win")*COUNTIFS('Match Log'!$A$4:$A$1510,'Match Log'!$A$4:$A$1510,'Match Log'!$D$4:$D$1510,L$4,'Match Log'!$E$4:$E$1510,"Loss"))+SUMPRODUCT(('Match Log'!$D$4:$D$1510=L$4)*('Match Log'!$E$4:$E$1510="Win")*COUNTIFS('Match Log'!$A$4:$A$1510,'Match Log'!$A$4:$A$1510,'Match Log'!$D$4:$D$1510,$A18,'Match Log'!$E$4:$E$1510,"Loss")))=0,"",TEXT(SUMPRODUCT(('Match Log'!$D$4:$D$1510=$A18)*('Match Log'!$E$4:$E$1510="Win")*COUNTIFS('Match Log'!$A$4:$A$1510,'Match Log'!$A$4:$A$1510,'Match Log'!$D$4:$D$1510,L$4,'Match Log'!$E$4:$E$1510,"Loss"))/(SUMPRODUCT(('Match Log'!$D$4:$D$1510=$A18)*('Match Log'!$E$4:$E$1510="Win")*COUNTIFS('Match Log'!$A$4:$A$1510,'Match Log'!$A$4:$A$1510,'Match Log'!$D$4:$D$1510,L$4,'Match Log'!$E$4:$E$1510,"Loss"))+SUMPRODUCT(('Match Log'!$D$4:$D$1510=L$4)*('Match Log'!$E$4:$E$1510="Win")*COUNTIFS('Match Log'!$A$4:$A$1510,'Match Log'!$A$4:$A$1510,'Match Log'!$D$4:$D$1510,$A18,'Match Log'!$E$4:$E$1510,"Loss"))),"0%")&amp;" of "&amp;(SUMPRODUCT(('Match Log'!$D$4:$D$1510=$A18)*('Match Log'!$E$4:$E$1510="Win")*COUNTIFS('Match Log'!$A$4:$A$1510,'Match Log'!$A$4:$A$1510,'Match Log'!$D$4:$D$1510,L$4,'Match Log'!$E$4:$E$1510,"Loss"))+SUMPRODUCT(('Match Log'!$D$4:$D$1510=L$4)*('Match Log'!$E$4:$E$1510="Win")*COUNTIFS('Match Log'!$A$4:$A$1510,'Match Log'!$A$4:$A$1510,'Match Log'!$D$4:$D$1510,$A18,'Match Log'!$E$4:$E$1510,"Loss")))))</f>
        <v/>
      </c>
      <c r="M18" s="56" t="str">
        <f>IF($A18=M$4,"—",IF((SUMPRODUCT(('Match Log'!$D$4:$D$1510=$A18)*('Match Log'!$E$4:$E$1510="Win")*COUNTIFS('Match Log'!$A$4:$A$1510,'Match Log'!$A$4:$A$1510,'Match Log'!$D$4:$D$1510,M$4,'Match Log'!$E$4:$E$1510,"Loss"))+SUMPRODUCT(('Match Log'!$D$4:$D$1510=M$4)*('Match Log'!$E$4:$E$1510="Win")*COUNTIFS('Match Log'!$A$4:$A$1510,'Match Log'!$A$4:$A$1510,'Match Log'!$D$4:$D$1510,$A18,'Match Log'!$E$4:$E$1510,"Loss")))=0,"",TEXT(SUMPRODUCT(('Match Log'!$D$4:$D$1510=$A18)*('Match Log'!$E$4:$E$1510="Win")*COUNTIFS('Match Log'!$A$4:$A$1510,'Match Log'!$A$4:$A$1510,'Match Log'!$D$4:$D$1510,M$4,'Match Log'!$E$4:$E$1510,"Loss"))/(SUMPRODUCT(('Match Log'!$D$4:$D$1510=$A18)*('Match Log'!$E$4:$E$1510="Win")*COUNTIFS('Match Log'!$A$4:$A$1510,'Match Log'!$A$4:$A$1510,'Match Log'!$D$4:$D$1510,M$4,'Match Log'!$E$4:$E$1510,"Loss"))+SUMPRODUCT(('Match Log'!$D$4:$D$1510=M$4)*('Match Log'!$E$4:$E$1510="Win")*COUNTIFS('Match Log'!$A$4:$A$1510,'Match Log'!$A$4:$A$1510,'Match Log'!$D$4:$D$1510,$A18,'Match Log'!$E$4:$E$1510,"Loss"))),"0%")&amp;" of "&amp;(SUMPRODUCT(('Match Log'!$D$4:$D$1510=$A18)*('Match Log'!$E$4:$E$1510="Win")*COUNTIFS('Match Log'!$A$4:$A$1510,'Match Log'!$A$4:$A$1510,'Match Log'!$D$4:$D$1510,M$4,'Match Log'!$E$4:$E$1510,"Loss"))+SUMPRODUCT(('Match Log'!$D$4:$D$1510=M$4)*('Match Log'!$E$4:$E$1510="Win")*COUNTIFS('Match Log'!$A$4:$A$1510,'Match Log'!$A$4:$A$1510,'Match Log'!$D$4:$D$1510,$A18,'Match Log'!$E$4:$E$1510,"Loss")))))</f>
        <v/>
      </c>
      <c r="N18" s="56" t="str">
        <f>IF($A18=N$4,"—",IF((SUMPRODUCT(('Match Log'!$D$4:$D$1510=$A18)*('Match Log'!$E$4:$E$1510="Win")*COUNTIFS('Match Log'!$A$4:$A$1510,'Match Log'!$A$4:$A$1510,'Match Log'!$D$4:$D$1510,N$4,'Match Log'!$E$4:$E$1510,"Loss"))+SUMPRODUCT(('Match Log'!$D$4:$D$1510=N$4)*('Match Log'!$E$4:$E$1510="Win")*COUNTIFS('Match Log'!$A$4:$A$1510,'Match Log'!$A$4:$A$1510,'Match Log'!$D$4:$D$1510,$A18,'Match Log'!$E$4:$E$1510,"Loss")))=0,"",TEXT(SUMPRODUCT(('Match Log'!$D$4:$D$1510=$A18)*('Match Log'!$E$4:$E$1510="Win")*COUNTIFS('Match Log'!$A$4:$A$1510,'Match Log'!$A$4:$A$1510,'Match Log'!$D$4:$D$1510,N$4,'Match Log'!$E$4:$E$1510,"Loss"))/(SUMPRODUCT(('Match Log'!$D$4:$D$1510=$A18)*('Match Log'!$E$4:$E$1510="Win")*COUNTIFS('Match Log'!$A$4:$A$1510,'Match Log'!$A$4:$A$1510,'Match Log'!$D$4:$D$1510,N$4,'Match Log'!$E$4:$E$1510,"Loss"))+SUMPRODUCT(('Match Log'!$D$4:$D$1510=N$4)*('Match Log'!$E$4:$E$1510="Win")*COUNTIFS('Match Log'!$A$4:$A$1510,'Match Log'!$A$4:$A$1510,'Match Log'!$D$4:$D$1510,$A18,'Match Log'!$E$4:$E$1510,"Loss"))),"0%")&amp;" of "&amp;(SUMPRODUCT(('Match Log'!$D$4:$D$1510=$A18)*('Match Log'!$E$4:$E$1510="Win")*COUNTIFS('Match Log'!$A$4:$A$1510,'Match Log'!$A$4:$A$1510,'Match Log'!$D$4:$D$1510,N$4,'Match Log'!$E$4:$E$1510,"Loss"))+SUMPRODUCT(('Match Log'!$D$4:$D$1510=N$4)*('Match Log'!$E$4:$E$1510="Win")*COUNTIFS('Match Log'!$A$4:$A$1510,'Match Log'!$A$4:$A$1510,'Match Log'!$D$4:$D$1510,$A18,'Match Log'!$E$4:$E$1510,"Loss")))))</f>
        <v/>
      </c>
      <c r="O18" s="56" t="str">
        <f>IF($A18=O$4,"—",IF((SUMPRODUCT(('Match Log'!$D$4:$D$1510=$A18)*('Match Log'!$E$4:$E$1510="Win")*COUNTIFS('Match Log'!$A$4:$A$1510,'Match Log'!$A$4:$A$1510,'Match Log'!$D$4:$D$1510,O$4,'Match Log'!$E$4:$E$1510,"Loss"))+SUMPRODUCT(('Match Log'!$D$4:$D$1510=O$4)*('Match Log'!$E$4:$E$1510="Win")*COUNTIFS('Match Log'!$A$4:$A$1510,'Match Log'!$A$4:$A$1510,'Match Log'!$D$4:$D$1510,$A18,'Match Log'!$E$4:$E$1510,"Loss")))=0,"",TEXT(SUMPRODUCT(('Match Log'!$D$4:$D$1510=$A18)*('Match Log'!$E$4:$E$1510="Win")*COUNTIFS('Match Log'!$A$4:$A$1510,'Match Log'!$A$4:$A$1510,'Match Log'!$D$4:$D$1510,O$4,'Match Log'!$E$4:$E$1510,"Loss"))/(SUMPRODUCT(('Match Log'!$D$4:$D$1510=$A18)*('Match Log'!$E$4:$E$1510="Win")*COUNTIFS('Match Log'!$A$4:$A$1510,'Match Log'!$A$4:$A$1510,'Match Log'!$D$4:$D$1510,O$4,'Match Log'!$E$4:$E$1510,"Loss"))+SUMPRODUCT(('Match Log'!$D$4:$D$1510=O$4)*('Match Log'!$E$4:$E$1510="Win")*COUNTIFS('Match Log'!$A$4:$A$1510,'Match Log'!$A$4:$A$1510,'Match Log'!$D$4:$D$1510,$A18,'Match Log'!$E$4:$E$1510,"Loss"))),"0%")&amp;" of "&amp;(SUMPRODUCT(('Match Log'!$D$4:$D$1510=$A18)*('Match Log'!$E$4:$E$1510="Win")*COUNTIFS('Match Log'!$A$4:$A$1510,'Match Log'!$A$4:$A$1510,'Match Log'!$D$4:$D$1510,O$4,'Match Log'!$E$4:$E$1510,"Loss"))+SUMPRODUCT(('Match Log'!$D$4:$D$1510=O$4)*('Match Log'!$E$4:$E$1510="Win")*COUNTIFS('Match Log'!$A$4:$A$1510,'Match Log'!$A$4:$A$1510,'Match Log'!$D$4:$D$1510,$A18,'Match Log'!$E$4:$E$1510,"Loss")))))</f>
        <v>—</v>
      </c>
    </row>
    <row r="19" spans="1:15" ht="15" customHeight="1" x14ac:dyDescent="0.2">
      <c r="A19" s="51"/>
      <c r="B19" s="77"/>
      <c r="C19" s="77"/>
      <c r="D19" s="77"/>
      <c r="E19" s="77"/>
      <c r="F19" s="77"/>
      <c r="G19" s="77"/>
      <c r="H19" s="77"/>
      <c r="I19" s="77"/>
      <c r="J19" s="77"/>
      <c r="K19" s="77"/>
      <c r="L19" s="77"/>
    </row>
    <row r="20" spans="1:15" ht="15" customHeight="1" x14ac:dyDescent="0.2">
      <c r="A20" s="78" t="s">
        <v>293</v>
      </c>
      <c r="B20" s="77"/>
      <c r="C20" s="77"/>
      <c r="D20" s="77"/>
      <c r="E20" s="77"/>
      <c r="F20" s="77"/>
      <c r="G20" s="77"/>
      <c r="H20" s="77"/>
      <c r="I20" s="77"/>
      <c r="J20" s="77"/>
      <c r="K20" s="77"/>
      <c r="L20" s="77"/>
    </row>
    <row r="21" spans="1:15" ht="15" customHeight="1" x14ac:dyDescent="0.2">
      <c r="A21" s="76" t="s">
        <v>294</v>
      </c>
      <c r="B21" s="51" t="s">
        <v>15</v>
      </c>
      <c r="C21" s="51" t="s">
        <v>16</v>
      </c>
      <c r="D21" s="51" t="s">
        <v>17</v>
      </c>
      <c r="E21" s="51" t="s">
        <v>18</v>
      </c>
      <c r="F21" s="51" t="s">
        <v>19</v>
      </c>
      <c r="G21" s="51" t="s">
        <v>20</v>
      </c>
      <c r="H21" s="51" t="s">
        <v>21</v>
      </c>
      <c r="I21" s="51" t="s">
        <v>22</v>
      </c>
      <c r="J21" s="51" t="s">
        <v>23</v>
      </c>
      <c r="K21" s="51" t="s">
        <v>24</v>
      </c>
      <c r="L21" s="51" t="s">
        <v>25</v>
      </c>
      <c r="M21" s="51" t="s">
        <v>26</v>
      </c>
      <c r="N21" s="51" t="s">
        <v>27</v>
      </c>
      <c r="O21" s="51" t="s">
        <v>28</v>
      </c>
    </row>
    <row r="22" spans="1:15" ht="15" customHeight="1" x14ac:dyDescent="0.2">
      <c r="A22" s="51" t="s">
        <v>15</v>
      </c>
      <c r="B22" s="77">
        <f>IF($A22=B$21,0,SUMPRODUCT(('Match Log'!$D$4:$D$1510=$A22)*(COUNTIFS('Match Log'!$A$4:$A$1510,'Match Log'!$A$4:$A$1510,'Match Log'!$D$4:$D$1510,B$21)&gt;0)))</f>
        <v>0</v>
      </c>
      <c r="C22" s="77">
        <f>IF($A22=C$21,0,SUMPRODUCT(('Match Log'!$D$4:$D$1510=$A22)*(COUNTIFS('Match Log'!$A$4:$A$1510,'Match Log'!$A$4:$A$1510,'Match Log'!$D$4:$D$1510,C$21)&gt;0)))</f>
        <v>3</v>
      </c>
      <c r="D22" s="77">
        <f>IF($A22=D$21,0,SUMPRODUCT(('Match Log'!$D$4:$D$1510=$A22)*(COUNTIFS('Match Log'!$A$4:$A$1510,'Match Log'!$A$4:$A$1510,'Match Log'!$D$4:$D$1510,D$21)&gt;0)))</f>
        <v>6</v>
      </c>
      <c r="E22" s="77">
        <f>IF($A22=E$21,0,SUMPRODUCT(('Match Log'!$D$4:$D$1510=$A22)*(COUNTIFS('Match Log'!$A$4:$A$1510,'Match Log'!$A$4:$A$1510,'Match Log'!$D$4:$D$1510,E$21)&gt;0)))</f>
        <v>8</v>
      </c>
      <c r="F22" s="77">
        <f>IF($A22=F$21,0,SUMPRODUCT(('Match Log'!$D$4:$D$1510=$A22)*(COUNTIFS('Match Log'!$A$4:$A$1510,'Match Log'!$A$4:$A$1510,'Match Log'!$D$4:$D$1510,F$21)&gt;0)))</f>
        <v>3</v>
      </c>
      <c r="G22" s="77">
        <f>IF($A22=G$21,0,SUMPRODUCT(('Match Log'!$D$4:$D$1510=$A22)*(COUNTIFS('Match Log'!$A$4:$A$1510,'Match Log'!$A$4:$A$1510,'Match Log'!$D$4:$D$1510,G$21)&gt;0)))</f>
        <v>60</v>
      </c>
      <c r="H22" s="77">
        <f>IF($A22=H$21,0,SUMPRODUCT(('Match Log'!$D$4:$D$1510=$A22)*(COUNTIFS('Match Log'!$A$4:$A$1510,'Match Log'!$A$4:$A$1510,'Match Log'!$D$4:$D$1510,H$21)&gt;0)))</f>
        <v>8</v>
      </c>
      <c r="I22" s="77">
        <f>IF($A22=I$21,0,SUMPRODUCT(('Match Log'!$D$4:$D$1510=$A22)*(COUNTIFS('Match Log'!$A$4:$A$1510,'Match Log'!$A$4:$A$1510,'Match Log'!$D$4:$D$1510,I$21)&gt;0)))</f>
        <v>41</v>
      </c>
      <c r="J22" s="77">
        <f>IF($A22=J$21,0,SUMPRODUCT(('Match Log'!$D$4:$D$1510=$A22)*(COUNTIFS('Match Log'!$A$4:$A$1510,'Match Log'!$A$4:$A$1510,'Match Log'!$D$4:$D$1510,J$21)&gt;0)))</f>
        <v>7</v>
      </c>
      <c r="K22" s="77">
        <f>IF($A22=K$21,0,SUMPRODUCT(('Match Log'!$D$4:$D$1510=$A22)*(COUNTIFS('Match Log'!$A$4:$A$1510,'Match Log'!$A$4:$A$1510,'Match Log'!$D$4:$D$1510,K$21)&gt;0)))</f>
        <v>2</v>
      </c>
      <c r="L22" s="77">
        <f>IF($A22=L$21,0,SUMPRODUCT(('Match Log'!$D$4:$D$1510=$A22)*(COUNTIFS('Match Log'!$A$4:$A$1510,'Match Log'!$A$4:$A$1510,'Match Log'!$D$4:$D$1510,L$21)&gt;0)))</f>
        <v>10</v>
      </c>
      <c r="M22" s="77">
        <f>IF($A22=M$21,0,SUMPRODUCT(('Match Log'!$D$4:$D$1510=$A22)*(COUNTIFS('Match Log'!$A$4:$A$1510,'Match Log'!$A$4:$A$1510,'Match Log'!$D$4:$D$1510,M$21)&gt;0)))</f>
        <v>1</v>
      </c>
      <c r="N22" s="77">
        <f>IF($A22=N$21,0,SUMPRODUCT(('Match Log'!$D$4:$D$1510=$A22)*(COUNTIFS('Match Log'!$A$4:$A$1510,'Match Log'!$A$4:$A$1510,'Match Log'!$D$4:$D$1510,N$21)&gt;0)))</f>
        <v>0</v>
      </c>
      <c r="O22" s="77">
        <f>IF($A22=O$21,0,SUMPRODUCT(('Match Log'!$D$4:$D$1510=$A22)*(COUNTIFS('Match Log'!$A$4:$A$1510,'Match Log'!$A$4:$A$1510,'Match Log'!$D$4:$D$1510,O$21)&gt;0)))</f>
        <v>0</v>
      </c>
    </row>
    <row r="23" spans="1:15" ht="15" customHeight="1" x14ac:dyDescent="0.2">
      <c r="A23" s="51" t="s">
        <v>16</v>
      </c>
      <c r="B23" s="77">
        <f>IF($A23=B$21,0,SUMPRODUCT(('Match Log'!$D$4:$D$1510=$A23)*(COUNTIFS('Match Log'!$A$4:$A$1510,'Match Log'!$A$4:$A$1510,'Match Log'!$D$4:$D$1510,B$21)&gt;0)))</f>
        <v>3</v>
      </c>
      <c r="C23" s="77">
        <f>IF($A23=C$21,0,SUMPRODUCT(('Match Log'!$D$4:$D$1510=$A23)*(COUNTIFS('Match Log'!$A$4:$A$1510,'Match Log'!$A$4:$A$1510,'Match Log'!$D$4:$D$1510,C$21)&gt;0)))</f>
        <v>0</v>
      </c>
      <c r="D23" s="77">
        <f>IF($A23=D$21,0,SUMPRODUCT(('Match Log'!$D$4:$D$1510=$A23)*(COUNTIFS('Match Log'!$A$4:$A$1510,'Match Log'!$A$4:$A$1510,'Match Log'!$D$4:$D$1510,D$21)&gt;0)))</f>
        <v>0</v>
      </c>
      <c r="E23" s="77">
        <f>IF($A23=E$21,0,SUMPRODUCT(('Match Log'!$D$4:$D$1510=$A23)*(COUNTIFS('Match Log'!$A$4:$A$1510,'Match Log'!$A$4:$A$1510,'Match Log'!$D$4:$D$1510,E$21)&gt;0)))</f>
        <v>1</v>
      </c>
      <c r="F23" s="77">
        <f>IF($A23=F$21,0,SUMPRODUCT(('Match Log'!$D$4:$D$1510=$A23)*(COUNTIFS('Match Log'!$A$4:$A$1510,'Match Log'!$A$4:$A$1510,'Match Log'!$D$4:$D$1510,F$21)&gt;0)))</f>
        <v>1</v>
      </c>
      <c r="G23" s="77">
        <f>IF($A23=G$21,0,SUMPRODUCT(('Match Log'!$D$4:$D$1510=$A23)*(COUNTIFS('Match Log'!$A$4:$A$1510,'Match Log'!$A$4:$A$1510,'Match Log'!$D$4:$D$1510,G$21)&gt;0)))</f>
        <v>1</v>
      </c>
      <c r="H23" s="77">
        <f>IF($A23=H$21,0,SUMPRODUCT(('Match Log'!$D$4:$D$1510=$A23)*(COUNTIFS('Match Log'!$A$4:$A$1510,'Match Log'!$A$4:$A$1510,'Match Log'!$D$4:$D$1510,H$21)&gt;0)))</f>
        <v>3</v>
      </c>
      <c r="I23" s="77">
        <f>IF($A23=I$21,0,SUMPRODUCT(('Match Log'!$D$4:$D$1510=$A23)*(COUNTIFS('Match Log'!$A$4:$A$1510,'Match Log'!$A$4:$A$1510,'Match Log'!$D$4:$D$1510,I$21)&gt;0)))</f>
        <v>2</v>
      </c>
      <c r="J23" s="77">
        <f>IF($A23=J$21,0,SUMPRODUCT(('Match Log'!$D$4:$D$1510=$A23)*(COUNTIFS('Match Log'!$A$4:$A$1510,'Match Log'!$A$4:$A$1510,'Match Log'!$D$4:$D$1510,J$21)&gt;0)))</f>
        <v>2</v>
      </c>
      <c r="K23" s="77">
        <f>IF($A23=K$21,0,SUMPRODUCT(('Match Log'!$D$4:$D$1510=$A23)*(COUNTIFS('Match Log'!$A$4:$A$1510,'Match Log'!$A$4:$A$1510,'Match Log'!$D$4:$D$1510,K$21)&gt;0)))</f>
        <v>1</v>
      </c>
      <c r="L23" s="77">
        <f>IF($A23=L$21,0,SUMPRODUCT(('Match Log'!$D$4:$D$1510=$A23)*(COUNTIFS('Match Log'!$A$4:$A$1510,'Match Log'!$A$4:$A$1510,'Match Log'!$D$4:$D$1510,L$21)&gt;0)))</f>
        <v>5</v>
      </c>
      <c r="M23" s="77">
        <f>IF($A23=M$21,0,SUMPRODUCT(('Match Log'!$D$4:$D$1510=$A23)*(COUNTIFS('Match Log'!$A$4:$A$1510,'Match Log'!$A$4:$A$1510,'Match Log'!$D$4:$D$1510,M$21)&gt;0)))</f>
        <v>1</v>
      </c>
      <c r="N23" s="77">
        <f>IF($A23=N$21,0,SUMPRODUCT(('Match Log'!$D$4:$D$1510=$A23)*(COUNTIFS('Match Log'!$A$4:$A$1510,'Match Log'!$A$4:$A$1510,'Match Log'!$D$4:$D$1510,N$21)&gt;0)))</f>
        <v>4</v>
      </c>
      <c r="O23" s="77">
        <f>IF($A23=O$21,0,SUMPRODUCT(('Match Log'!$D$4:$D$1510=$A23)*(COUNTIFS('Match Log'!$A$4:$A$1510,'Match Log'!$A$4:$A$1510,'Match Log'!$D$4:$D$1510,O$21)&gt;0)))</f>
        <v>0</v>
      </c>
    </row>
    <row r="24" spans="1:15" ht="15" customHeight="1" x14ac:dyDescent="0.2">
      <c r="A24" s="51" t="s">
        <v>17</v>
      </c>
      <c r="B24" s="77">
        <f>IF($A24=B$21,0,SUMPRODUCT(('Match Log'!$D$4:$D$1510=$A24)*(COUNTIFS('Match Log'!$A$4:$A$1510,'Match Log'!$A$4:$A$1510,'Match Log'!$D$4:$D$1510,B$21)&gt;0)))</f>
        <v>6</v>
      </c>
      <c r="C24" s="77">
        <f>IF($A24=C$21,0,SUMPRODUCT(('Match Log'!$D$4:$D$1510=$A24)*(COUNTIFS('Match Log'!$A$4:$A$1510,'Match Log'!$A$4:$A$1510,'Match Log'!$D$4:$D$1510,C$21)&gt;0)))</f>
        <v>0</v>
      </c>
      <c r="D24" s="77">
        <f>IF($A24=D$21,0,SUMPRODUCT(('Match Log'!$D$4:$D$1510=$A24)*(COUNTIFS('Match Log'!$A$4:$A$1510,'Match Log'!$A$4:$A$1510,'Match Log'!$D$4:$D$1510,D$21)&gt;0)))</f>
        <v>0</v>
      </c>
      <c r="E24" s="77">
        <f>IF($A24=E$21,0,SUMPRODUCT(('Match Log'!$D$4:$D$1510=$A24)*(COUNTIFS('Match Log'!$A$4:$A$1510,'Match Log'!$A$4:$A$1510,'Match Log'!$D$4:$D$1510,E$21)&gt;0)))</f>
        <v>1</v>
      </c>
      <c r="F24" s="77">
        <f>IF($A24=F$21,0,SUMPRODUCT(('Match Log'!$D$4:$D$1510=$A24)*(COUNTIFS('Match Log'!$A$4:$A$1510,'Match Log'!$A$4:$A$1510,'Match Log'!$D$4:$D$1510,F$21)&gt;0)))</f>
        <v>2</v>
      </c>
      <c r="G24" s="77">
        <f>IF($A24=G$21,0,SUMPRODUCT(('Match Log'!$D$4:$D$1510=$A24)*(COUNTIFS('Match Log'!$A$4:$A$1510,'Match Log'!$A$4:$A$1510,'Match Log'!$D$4:$D$1510,G$21)&gt;0)))</f>
        <v>13</v>
      </c>
      <c r="H24" s="77">
        <f>IF($A24=H$21,0,SUMPRODUCT(('Match Log'!$D$4:$D$1510=$A24)*(COUNTIFS('Match Log'!$A$4:$A$1510,'Match Log'!$A$4:$A$1510,'Match Log'!$D$4:$D$1510,H$21)&gt;0)))</f>
        <v>4</v>
      </c>
      <c r="I24" s="77">
        <f>IF($A24=I$21,0,SUMPRODUCT(('Match Log'!$D$4:$D$1510=$A24)*(COUNTIFS('Match Log'!$A$4:$A$1510,'Match Log'!$A$4:$A$1510,'Match Log'!$D$4:$D$1510,I$21)&gt;0)))</f>
        <v>12</v>
      </c>
      <c r="J24" s="77">
        <f>IF($A24=J$21,0,SUMPRODUCT(('Match Log'!$D$4:$D$1510=$A24)*(COUNTIFS('Match Log'!$A$4:$A$1510,'Match Log'!$A$4:$A$1510,'Match Log'!$D$4:$D$1510,J$21)&gt;0)))</f>
        <v>0</v>
      </c>
      <c r="K24" s="77">
        <f>IF($A24=K$21,0,SUMPRODUCT(('Match Log'!$D$4:$D$1510=$A24)*(COUNTIFS('Match Log'!$A$4:$A$1510,'Match Log'!$A$4:$A$1510,'Match Log'!$D$4:$D$1510,K$21)&gt;0)))</f>
        <v>1</v>
      </c>
      <c r="L24" s="77">
        <f>IF($A24=L$21,0,SUMPRODUCT(('Match Log'!$D$4:$D$1510=$A24)*(COUNTIFS('Match Log'!$A$4:$A$1510,'Match Log'!$A$4:$A$1510,'Match Log'!$D$4:$D$1510,L$21)&gt;0)))</f>
        <v>7</v>
      </c>
      <c r="M24" s="77">
        <f>IF($A24=M$21,0,SUMPRODUCT(('Match Log'!$D$4:$D$1510=$A24)*(COUNTIFS('Match Log'!$A$4:$A$1510,'Match Log'!$A$4:$A$1510,'Match Log'!$D$4:$D$1510,M$21)&gt;0)))</f>
        <v>0</v>
      </c>
      <c r="N24" s="77">
        <f>IF($A24=N$21,0,SUMPRODUCT(('Match Log'!$D$4:$D$1510=$A24)*(COUNTIFS('Match Log'!$A$4:$A$1510,'Match Log'!$A$4:$A$1510,'Match Log'!$D$4:$D$1510,N$21)&gt;0)))</f>
        <v>0</v>
      </c>
      <c r="O24" s="77">
        <f>IF($A24=O$21,0,SUMPRODUCT(('Match Log'!$D$4:$D$1510=$A24)*(COUNTIFS('Match Log'!$A$4:$A$1510,'Match Log'!$A$4:$A$1510,'Match Log'!$D$4:$D$1510,O$21)&gt;0)))</f>
        <v>0</v>
      </c>
    </row>
    <row r="25" spans="1:15" ht="15" customHeight="1" x14ac:dyDescent="0.2">
      <c r="A25" s="51" t="s">
        <v>18</v>
      </c>
      <c r="B25" s="77">
        <f>IF($A25=B$21,0,SUMPRODUCT(('Match Log'!$D$4:$D$1510=$A25)*(COUNTIFS('Match Log'!$A$4:$A$1510,'Match Log'!$A$4:$A$1510,'Match Log'!$D$4:$D$1510,B$21)&gt;0)))</f>
        <v>8</v>
      </c>
      <c r="C25" s="77">
        <f>IF($A25=C$21,0,SUMPRODUCT(('Match Log'!$D$4:$D$1510=$A25)*(COUNTIFS('Match Log'!$A$4:$A$1510,'Match Log'!$A$4:$A$1510,'Match Log'!$D$4:$D$1510,C$21)&gt;0)))</f>
        <v>1</v>
      </c>
      <c r="D25" s="77">
        <f>IF($A25=D$21,0,SUMPRODUCT(('Match Log'!$D$4:$D$1510=$A25)*(COUNTIFS('Match Log'!$A$4:$A$1510,'Match Log'!$A$4:$A$1510,'Match Log'!$D$4:$D$1510,D$21)&gt;0)))</f>
        <v>1</v>
      </c>
      <c r="E25" s="77">
        <f>IF($A25=E$21,0,SUMPRODUCT(('Match Log'!$D$4:$D$1510=$A25)*(COUNTIFS('Match Log'!$A$4:$A$1510,'Match Log'!$A$4:$A$1510,'Match Log'!$D$4:$D$1510,E$21)&gt;0)))</f>
        <v>0</v>
      </c>
      <c r="F25" s="77">
        <f>IF($A25=F$21,0,SUMPRODUCT(('Match Log'!$D$4:$D$1510=$A25)*(COUNTIFS('Match Log'!$A$4:$A$1510,'Match Log'!$A$4:$A$1510,'Match Log'!$D$4:$D$1510,F$21)&gt;0)))</f>
        <v>5</v>
      </c>
      <c r="G25" s="77">
        <f>IF($A25=G$21,0,SUMPRODUCT(('Match Log'!$D$4:$D$1510=$A25)*(COUNTIFS('Match Log'!$A$4:$A$1510,'Match Log'!$A$4:$A$1510,'Match Log'!$D$4:$D$1510,G$21)&gt;0)))</f>
        <v>4</v>
      </c>
      <c r="H25" s="77">
        <f>IF($A25=H$21,0,SUMPRODUCT(('Match Log'!$D$4:$D$1510=$A25)*(COUNTIFS('Match Log'!$A$4:$A$1510,'Match Log'!$A$4:$A$1510,'Match Log'!$D$4:$D$1510,H$21)&gt;0)))</f>
        <v>3</v>
      </c>
      <c r="I25" s="77">
        <f>IF($A25=I$21,0,SUMPRODUCT(('Match Log'!$D$4:$D$1510=$A25)*(COUNTIFS('Match Log'!$A$4:$A$1510,'Match Log'!$A$4:$A$1510,'Match Log'!$D$4:$D$1510,I$21)&gt;0)))</f>
        <v>6</v>
      </c>
      <c r="J25" s="77">
        <f>IF($A25=J$21,0,SUMPRODUCT(('Match Log'!$D$4:$D$1510=$A25)*(COUNTIFS('Match Log'!$A$4:$A$1510,'Match Log'!$A$4:$A$1510,'Match Log'!$D$4:$D$1510,J$21)&gt;0)))</f>
        <v>7</v>
      </c>
      <c r="K25" s="77">
        <f>IF($A25=K$21,0,SUMPRODUCT(('Match Log'!$D$4:$D$1510=$A25)*(COUNTIFS('Match Log'!$A$4:$A$1510,'Match Log'!$A$4:$A$1510,'Match Log'!$D$4:$D$1510,K$21)&gt;0)))</f>
        <v>1</v>
      </c>
      <c r="L25" s="77">
        <f>IF($A25=L$21,0,SUMPRODUCT(('Match Log'!$D$4:$D$1510=$A25)*(COUNTIFS('Match Log'!$A$4:$A$1510,'Match Log'!$A$4:$A$1510,'Match Log'!$D$4:$D$1510,L$21)&gt;0)))</f>
        <v>3</v>
      </c>
      <c r="M25" s="77">
        <f>IF($A25=M$21,0,SUMPRODUCT(('Match Log'!$D$4:$D$1510=$A25)*(COUNTIFS('Match Log'!$A$4:$A$1510,'Match Log'!$A$4:$A$1510,'Match Log'!$D$4:$D$1510,M$21)&gt;0)))</f>
        <v>5</v>
      </c>
      <c r="N25" s="77">
        <f>IF($A25=N$21,0,SUMPRODUCT(('Match Log'!$D$4:$D$1510=$A25)*(COUNTIFS('Match Log'!$A$4:$A$1510,'Match Log'!$A$4:$A$1510,'Match Log'!$D$4:$D$1510,N$21)&gt;0)))</f>
        <v>0</v>
      </c>
      <c r="O25" s="77">
        <f>IF($A25=O$21,0,SUMPRODUCT(('Match Log'!$D$4:$D$1510=$A25)*(COUNTIFS('Match Log'!$A$4:$A$1510,'Match Log'!$A$4:$A$1510,'Match Log'!$D$4:$D$1510,O$21)&gt;0)))</f>
        <v>0</v>
      </c>
    </row>
    <row r="26" spans="1:15" ht="15" customHeight="1" x14ac:dyDescent="0.2">
      <c r="A26" s="51" t="s">
        <v>19</v>
      </c>
      <c r="B26" s="77">
        <f>IF($A26=B$21,0,SUMPRODUCT(('Match Log'!$D$4:$D$1510=$A26)*(COUNTIFS('Match Log'!$A$4:$A$1510,'Match Log'!$A$4:$A$1510,'Match Log'!$D$4:$D$1510,B$21)&gt;0)))</f>
        <v>3</v>
      </c>
      <c r="C26" s="77">
        <f>IF($A26=C$21,0,SUMPRODUCT(('Match Log'!$D$4:$D$1510=$A26)*(COUNTIFS('Match Log'!$A$4:$A$1510,'Match Log'!$A$4:$A$1510,'Match Log'!$D$4:$D$1510,C$21)&gt;0)))</f>
        <v>1</v>
      </c>
      <c r="D26" s="77">
        <f>IF($A26=D$21,0,SUMPRODUCT(('Match Log'!$D$4:$D$1510=$A26)*(COUNTIFS('Match Log'!$A$4:$A$1510,'Match Log'!$A$4:$A$1510,'Match Log'!$D$4:$D$1510,D$21)&gt;0)))</f>
        <v>2</v>
      </c>
      <c r="E26" s="77">
        <f>IF($A26=E$21,0,SUMPRODUCT(('Match Log'!$D$4:$D$1510=$A26)*(COUNTIFS('Match Log'!$A$4:$A$1510,'Match Log'!$A$4:$A$1510,'Match Log'!$D$4:$D$1510,E$21)&gt;0)))</f>
        <v>5</v>
      </c>
      <c r="F26" s="77">
        <f>IF($A26=F$21,0,SUMPRODUCT(('Match Log'!$D$4:$D$1510=$A26)*(COUNTIFS('Match Log'!$A$4:$A$1510,'Match Log'!$A$4:$A$1510,'Match Log'!$D$4:$D$1510,F$21)&gt;0)))</f>
        <v>0</v>
      </c>
      <c r="G26" s="77">
        <f>IF($A26=G$21,0,SUMPRODUCT(('Match Log'!$D$4:$D$1510=$A26)*(COUNTIFS('Match Log'!$A$4:$A$1510,'Match Log'!$A$4:$A$1510,'Match Log'!$D$4:$D$1510,G$21)&gt;0)))</f>
        <v>21</v>
      </c>
      <c r="H26" s="77">
        <f>IF($A26=H$21,0,SUMPRODUCT(('Match Log'!$D$4:$D$1510=$A26)*(COUNTIFS('Match Log'!$A$4:$A$1510,'Match Log'!$A$4:$A$1510,'Match Log'!$D$4:$D$1510,H$21)&gt;0)))</f>
        <v>4</v>
      </c>
      <c r="I26" s="77">
        <f>IF($A26=I$21,0,SUMPRODUCT(('Match Log'!$D$4:$D$1510=$A26)*(COUNTIFS('Match Log'!$A$4:$A$1510,'Match Log'!$A$4:$A$1510,'Match Log'!$D$4:$D$1510,I$21)&gt;0)))</f>
        <v>34</v>
      </c>
      <c r="J26" s="77">
        <f>IF($A26=J$21,0,SUMPRODUCT(('Match Log'!$D$4:$D$1510=$A26)*(COUNTIFS('Match Log'!$A$4:$A$1510,'Match Log'!$A$4:$A$1510,'Match Log'!$D$4:$D$1510,J$21)&gt;0)))</f>
        <v>8</v>
      </c>
      <c r="K26" s="77">
        <f>IF($A26=K$21,0,SUMPRODUCT(('Match Log'!$D$4:$D$1510=$A26)*(COUNTIFS('Match Log'!$A$4:$A$1510,'Match Log'!$A$4:$A$1510,'Match Log'!$D$4:$D$1510,K$21)&gt;0)))</f>
        <v>4</v>
      </c>
      <c r="L26" s="77">
        <f>IF($A26=L$21,0,SUMPRODUCT(('Match Log'!$D$4:$D$1510=$A26)*(COUNTIFS('Match Log'!$A$4:$A$1510,'Match Log'!$A$4:$A$1510,'Match Log'!$D$4:$D$1510,L$21)&gt;0)))</f>
        <v>7</v>
      </c>
      <c r="M26" s="77">
        <f>IF($A26=M$21,0,SUMPRODUCT(('Match Log'!$D$4:$D$1510=$A26)*(COUNTIFS('Match Log'!$A$4:$A$1510,'Match Log'!$A$4:$A$1510,'Match Log'!$D$4:$D$1510,M$21)&gt;0)))</f>
        <v>1</v>
      </c>
      <c r="N26" s="77">
        <f>IF($A26=N$21,0,SUMPRODUCT(('Match Log'!$D$4:$D$1510=$A26)*(COUNTIFS('Match Log'!$A$4:$A$1510,'Match Log'!$A$4:$A$1510,'Match Log'!$D$4:$D$1510,N$21)&gt;0)))</f>
        <v>1</v>
      </c>
      <c r="O26" s="77">
        <f>IF($A26=O$21,0,SUMPRODUCT(('Match Log'!$D$4:$D$1510=$A26)*(COUNTIFS('Match Log'!$A$4:$A$1510,'Match Log'!$A$4:$A$1510,'Match Log'!$D$4:$D$1510,O$21)&gt;0)))</f>
        <v>0</v>
      </c>
    </row>
    <row r="27" spans="1:15" ht="15" customHeight="1" x14ac:dyDescent="0.2">
      <c r="A27" s="51" t="s">
        <v>20</v>
      </c>
      <c r="B27" s="77">
        <f>IF($A27=B$21,0,SUMPRODUCT(('Match Log'!$D$4:$D$1510=$A27)*(COUNTIFS('Match Log'!$A$4:$A$1510,'Match Log'!$A$4:$A$1510,'Match Log'!$D$4:$D$1510,B$21)&gt;0)))</f>
        <v>60</v>
      </c>
      <c r="C27" s="77">
        <f>IF($A27=C$21,0,SUMPRODUCT(('Match Log'!$D$4:$D$1510=$A27)*(COUNTIFS('Match Log'!$A$4:$A$1510,'Match Log'!$A$4:$A$1510,'Match Log'!$D$4:$D$1510,C$21)&gt;0)))</f>
        <v>1</v>
      </c>
      <c r="D27" s="77">
        <f>IF($A27=D$21,0,SUMPRODUCT(('Match Log'!$D$4:$D$1510=$A27)*(COUNTIFS('Match Log'!$A$4:$A$1510,'Match Log'!$A$4:$A$1510,'Match Log'!$D$4:$D$1510,D$21)&gt;0)))</f>
        <v>13</v>
      </c>
      <c r="E27" s="77">
        <f>IF($A27=E$21,0,SUMPRODUCT(('Match Log'!$D$4:$D$1510=$A27)*(COUNTIFS('Match Log'!$A$4:$A$1510,'Match Log'!$A$4:$A$1510,'Match Log'!$D$4:$D$1510,E$21)&gt;0)))</f>
        <v>4</v>
      </c>
      <c r="F27" s="77">
        <f>IF($A27=F$21,0,SUMPRODUCT(('Match Log'!$D$4:$D$1510=$A27)*(COUNTIFS('Match Log'!$A$4:$A$1510,'Match Log'!$A$4:$A$1510,'Match Log'!$D$4:$D$1510,F$21)&gt;0)))</f>
        <v>21</v>
      </c>
      <c r="G27" s="77">
        <f>IF($A27=G$21,0,SUMPRODUCT(('Match Log'!$D$4:$D$1510=$A27)*(COUNTIFS('Match Log'!$A$4:$A$1510,'Match Log'!$A$4:$A$1510,'Match Log'!$D$4:$D$1510,G$21)&gt;0)))</f>
        <v>0</v>
      </c>
      <c r="H27" s="77">
        <f>IF($A27=H$21,0,SUMPRODUCT(('Match Log'!$D$4:$D$1510=$A27)*(COUNTIFS('Match Log'!$A$4:$A$1510,'Match Log'!$A$4:$A$1510,'Match Log'!$D$4:$D$1510,H$21)&gt;0)))</f>
        <v>17</v>
      </c>
      <c r="I27" s="77">
        <f>IF($A27=I$21,0,SUMPRODUCT(('Match Log'!$D$4:$D$1510=$A27)*(COUNTIFS('Match Log'!$A$4:$A$1510,'Match Log'!$A$4:$A$1510,'Match Log'!$D$4:$D$1510,I$21)&gt;0)))</f>
        <v>80</v>
      </c>
      <c r="J27" s="77">
        <f>IF($A27=J$21,0,SUMPRODUCT(('Match Log'!$D$4:$D$1510=$A27)*(COUNTIFS('Match Log'!$A$4:$A$1510,'Match Log'!$A$4:$A$1510,'Match Log'!$D$4:$D$1510,J$21)&gt;0)))</f>
        <v>7</v>
      </c>
      <c r="K27" s="77">
        <f>IF($A27=K$21,0,SUMPRODUCT(('Match Log'!$D$4:$D$1510=$A27)*(COUNTIFS('Match Log'!$A$4:$A$1510,'Match Log'!$A$4:$A$1510,'Match Log'!$D$4:$D$1510,K$21)&gt;0)))</f>
        <v>0</v>
      </c>
      <c r="L27" s="77">
        <f>IF($A27=L$21,0,SUMPRODUCT(('Match Log'!$D$4:$D$1510=$A27)*(COUNTIFS('Match Log'!$A$4:$A$1510,'Match Log'!$A$4:$A$1510,'Match Log'!$D$4:$D$1510,L$21)&gt;0)))</f>
        <v>50</v>
      </c>
      <c r="M27" s="77">
        <f>IF($A27=M$21,0,SUMPRODUCT(('Match Log'!$D$4:$D$1510=$A27)*(COUNTIFS('Match Log'!$A$4:$A$1510,'Match Log'!$A$4:$A$1510,'Match Log'!$D$4:$D$1510,M$21)&gt;0)))</f>
        <v>1</v>
      </c>
      <c r="N27" s="77">
        <f>IF($A27=N$21,0,SUMPRODUCT(('Match Log'!$D$4:$D$1510=$A27)*(COUNTIFS('Match Log'!$A$4:$A$1510,'Match Log'!$A$4:$A$1510,'Match Log'!$D$4:$D$1510,N$21)&gt;0)))</f>
        <v>3</v>
      </c>
      <c r="O27" s="77">
        <f>IF($A27=O$21,0,SUMPRODUCT(('Match Log'!$D$4:$D$1510=$A27)*(COUNTIFS('Match Log'!$A$4:$A$1510,'Match Log'!$A$4:$A$1510,'Match Log'!$D$4:$D$1510,O$21)&gt;0)))</f>
        <v>0</v>
      </c>
    </row>
    <row r="28" spans="1:15" ht="15" customHeight="1" x14ac:dyDescent="0.2">
      <c r="A28" s="51" t="s">
        <v>21</v>
      </c>
      <c r="B28" s="77">
        <f>IF($A28=B$21,0,SUMPRODUCT(('Match Log'!$D$4:$D$1510=$A28)*(COUNTIFS('Match Log'!$A$4:$A$1510,'Match Log'!$A$4:$A$1510,'Match Log'!$D$4:$D$1510,B$21)&gt;0)))</f>
        <v>8</v>
      </c>
      <c r="C28" s="77">
        <f>IF($A28=C$21,0,SUMPRODUCT(('Match Log'!$D$4:$D$1510=$A28)*(COUNTIFS('Match Log'!$A$4:$A$1510,'Match Log'!$A$4:$A$1510,'Match Log'!$D$4:$D$1510,C$21)&gt;0)))</f>
        <v>3</v>
      </c>
      <c r="D28" s="77">
        <f>IF($A28=D$21,0,SUMPRODUCT(('Match Log'!$D$4:$D$1510=$A28)*(COUNTIFS('Match Log'!$A$4:$A$1510,'Match Log'!$A$4:$A$1510,'Match Log'!$D$4:$D$1510,D$21)&gt;0)))</f>
        <v>4</v>
      </c>
      <c r="E28" s="77">
        <f>IF($A28=E$21,0,SUMPRODUCT(('Match Log'!$D$4:$D$1510=$A28)*(COUNTIFS('Match Log'!$A$4:$A$1510,'Match Log'!$A$4:$A$1510,'Match Log'!$D$4:$D$1510,E$21)&gt;0)))</f>
        <v>3</v>
      </c>
      <c r="F28" s="77">
        <f>IF($A28=F$21,0,SUMPRODUCT(('Match Log'!$D$4:$D$1510=$A28)*(COUNTIFS('Match Log'!$A$4:$A$1510,'Match Log'!$A$4:$A$1510,'Match Log'!$D$4:$D$1510,F$21)&gt;0)))</f>
        <v>4</v>
      </c>
      <c r="G28" s="77">
        <f>IF($A28=G$21,0,SUMPRODUCT(('Match Log'!$D$4:$D$1510=$A28)*(COUNTIFS('Match Log'!$A$4:$A$1510,'Match Log'!$A$4:$A$1510,'Match Log'!$D$4:$D$1510,G$21)&gt;0)))</f>
        <v>17</v>
      </c>
      <c r="H28" s="77">
        <f>IF($A28=H$21,0,SUMPRODUCT(('Match Log'!$D$4:$D$1510=$A28)*(COUNTIFS('Match Log'!$A$4:$A$1510,'Match Log'!$A$4:$A$1510,'Match Log'!$D$4:$D$1510,H$21)&gt;0)))</f>
        <v>0</v>
      </c>
      <c r="I28" s="77">
        <f>IF($A28=I$21,0,SUMPRODUCT(('Match Log'!$D$4:$D$1510=$A28)*(COUNTIFS('Match Log'!$A$4:$A$1510,'Match Log'!$A$4:$A$1510,'Match Log'!$D$4:$D$1510,I$21)&gt;0)))</f>
        <v>5</v>
      </c>
      <c r="J28" s="77">
        <f>IF($A28=J$21,0,SUMPRODUCT(('Match Log'!$D$4:$D$1510=$A28)*(COUNTIFS('Match Log'!$A$4:$A$1510,'Match Log'!$A$4:$A$1510,'Match Log'!$D$4:$D$1510,J$21)&gt;0)))</f>
        <v>5</v>
      </c>
      <c r="K28" s="77">
        <f>IF($A28=K$21,0,SUMPRODUCT(('Match Log'!$D$4:$D$1510=$A28)*(COUNTIFS('Match Log'!$A$4:$A$1510,'Match Log'!$A$4:$A$1510,'Match Log'!$D$4:$D$1510,K$21)&gt;0)))</f>
        <v>2</v>
      </c>
      <c r="L28" s="77">
        <f>IF($A28=L$21,0,SUMPRODUCT(('Match Log'!$D$4:$D$1510=$A28)*(COUNTIFS('Match Log'!$A$4:$A$1510,'Match Log'!$A$4:$A$1510,'Match Log'!$D$4:$D$1510,L$21)&gt;0)))</f>
        <v>33</v>
      </c>
      <c r="M28" s="77">
        <f>IF($A28=M$21,0,SUMPRODUCT(('Match Log'!$D$4:$D$1510=$A28)*(COUNTIFS('Match Log'!$A$4:$A$1510,'Match Log'!$A$4:$A$1510,'Match Log'!$D$4:$D$1510,M$21)&gt;0)))</f>
        <v>1</v>
      </c>
      <c r="N28" s="77">
        <f>IF($A28=N$21,0,SUMPRODUCT(('Match Log'!$D$4:$D$1510=$A28)*(COUNTIFS('Match Log'!$A$4:$A$1510,'Match Log'!$A$4:$A$1510,'Match Log'!$D$4:$D$1510,N$21)&gt;0)))</f>
        <v>2</v>
      </c>
      <c r="O28" s="77">
        <f>IF($A28=O$21,0,SUMPRODUCT(('Match Log'!$D$4:$D$1510=$A28)*(COUNTIFS('Match Log'!$A$4:$A$1510,'Match Log'!$A$4:$A$1510,'Match Log'!$D$4:$D$1510,O$21)&gt;0)))</f>
        <v>0</v>
      </c>
    </row>
    <row r="29" spans="1:15" ht="15" customHeight="1" x14ac:dyDescent="0.2">
      <c r="A29" s="51" t="s">
        <v>22</v>
      </c>
      <c r="B29" s="77">
        <f>IF($A29=B$21,0,SUMPRODUCT(('Match Log'!$D$4:$D$1510=$A29)*(COUNTIFS('Match Log'!$A$4:$A$1510,'Match Log'!$A$4:$A$1510,'Match Log'!$D$4:$D$1510,B$21)&gt;0)))</f>
        <v>41</v>
      </c>
      <c r="C29" s="77">
        <f>IF($A29=C$21,0,SUMPRODUCT(('Match Log'!$D$4:$D$1510=$A29)*(COUNTIFS('Match Log'!$A$4:$A$1510,'Match Log'!$A$4:$A$1510,'Match Log'!$D$4:$D$1510,C$21)&gt;0)))</f>
        <v>2</v>
      </c>
      <c r="D29" s="77">
        <f>IF($A29=D$21,0,SUMPRODUCT(('Match Log'!$D$4:$D$1510=$A29)*(COUNTIFS('Match Log'!$A$4:$A$1510,'Match Log'!$A$4:$A$1510,'Match Log'!$D$4:$D$1510,D$21)&gt;0)))</f>
        <v>12</v>
      </c>
      <c r="E29" s="77">
        <f>IF($A29=E$21,0,SUMPRODUCT(('Match Log'!$D$4:$D$1510=$A29)*(COUNTIFS('Match Log'!$A$4:$A$1510,'Match Log'!$A$4:$A$1510,'Match Log'!$D$4:$D$1510,E$21)&gt;0)))</f>
        <v>6</v>
      </c>
      <c r="F29" s="77">
        <f>IF($A29=F$21,0,SUMPRODUCT(('Match Log'!$D$4:$D$1510=$A29)*(COUNTIFS('Match Log'!$A$4:$A$1510,'Match Log'!$A$4:$A$1510,'Match Log'!$D$4:$D$1510,F$21)&gt;0)))</f>
        <v>34</v>
      </c>
      <c r="G29" s="77">
        <f>IF($A29=G$21,0,SUMPRODUCT(('Match Log'!$D$4:$D$1510=$A29)*(COUNTIFS('Match Log'!$A$4:$A$1510,'Match Log'!$A$4:$A$1510,'Match Log'!$D$4:$D$1510,G$21)&gt;0)))</f>
        <v>80</v>
      </c>
      <c r="H29" s="77">
        <f>IF($A29=H$21,0,SUMPRODUCT(('Match Log'!$D$4:$D$1510=$A29)*(COUNTIFS('Match Log'!$A$4:$A$1510,'Match Log'!$A$4:$A$1510,'Match Log'!$D$4:$D$1510,H$21)&gt;0)))</f>
        <v>5</v>
      </c>
      <c r="I29" s="77">
        <f>IF($A29=I$21,0,SUMPRODUCT(('Match Log'!$D$4:$D$1510=$A29)*(COUNTIFS('Match Log'!$A$4:$A$1510,'Match Log'!$A$4:$A$1510,'Match Log'!$D$4:$D$1510,I$21)&gt;0)))</f>
        <v>0</v>
      </c>
      <c r="J29" s="77">
        <f>IF($A29=J$21,0,SUMPRODUCT(('Match Log'!$D$4:$D$1510=$A29)*(COUNTIFS('Match Log'!$A$4:$A$1510,'Match Log'!$A$4:$A$1510,'Match Log'!$D$4:$D$1510,J$21)&gt;0)))</f>
        <v>24</v>
      </c>
      <c r="K29" s="77">
        <f>IF($A29=K$21,0,SUMPRODUCT(('Match Log'!$D$4:$D$1510=$A29)*(COUNTIFS('Match Log'!$A$4:$A$1510,'Match Log'!$A$4:$A$1510,'Match Log'!$D$4:$D$1510,K$21)&gt;0)))</f>
        <v>2</v>
      </c>
      <c r="L29" s="77">
        <f>IF($A29=L$21,0,SUMPRODUCT(('Match Log'!$D$4:$D$1510=$A29)*(COUNTIFS('Match Log'!$A$4:$A$1510,'Match Log'!$A$4:$A$1510,'Match Log'!$D$4:$D$1510,L$21)&gt;0)))</f>
        <v>17</v>
      </c>
      <c r="M29" s="77">
        <f>IF($A29=M$21,0,SUMPRODUCT(('Match Log'!$D$4:$D$1510=$A29)*(COUNTIFS('Match Log'!$A$4:$A$1510,'Match Log'!$A$4:$A$1510,'Match Log'!$D$4:$D$1510,M$21)&gt;0)))</f>
        <v>7</v>
      </c>
      <c r="N29" s="77">
        <f>IF($A29=N$21,0,SUMPRODUCT(('Match Log'!$D$4:$D$1510=$A29)*(COUNTIFS('Match Log'!$A$4:$A$1510,'Match Log'!$A$4:$A$1510,'Match Log'!$D$4:$D$1510,N$21)&gt;0)))</f>
        <v>9</v>
      </c>
      <c r="O29" s="77">
        <f>IF($A29=O$21,0,SUMPRODUCT(('Match Log'!$D$4:$D$1510=$A29)*(COUNTIFS('Match Log'!$A$4:$A$1510,'Match Log'!$A$4:$A$1510,'Match Log'!$D$4:$D$1510,O$21)&gt;0)))</f>
        <v>0</v>
      </c>
    </row>
    <row r="30" spans="1:15" ht="15" customHeight="1" x14ac:dyDescent="0.2">
      <c r="A30" s="51" t="s">
        <v>23</v>
      </c>
      <c r="B30" s="77">
        <f>IF($A30=B$21,0,SUMPRODUCT(('Match Log'!$D$4:$D$1510=$A30)*(COUNTIFS('Match Log'!$A$4:$A$1510,'Match Log'!$A$4:$A$1510,'Match Log'!$D$4:$D$1510,B$21)&gt;0)))</f>
        <v>7</v>
      </c>
      <c r="C30" s="77">
        <f>IF($A30=C$21,0,SUMPRODUCT(('Match Log'!$D$4:$D$1510=$A30)*(COUNTIFS('Match Log'!$A$4:$A$1510,'Match Log'!$A$4:$A$1510,'Match Log'!$D$4:$D$1510,C$21)&gt;0)))</f>
        <v>2</v>
      </c>
      <c r="D30" s="77">
        <f>IF($A30=D$21,0,SUMPRODUCT(('Match Log'!$D$4:$D$1510=$A30)*(COUNTIFS('Match Log'!$A$4:$A$1510,'Match Log'!$A$4:$A$1510,'Match Log'!$D$4:$D$1510,D$21)&gt;0)))</f>
        <v>0</v>
      </c>
      <c r="E30" s="77">
        <f>IF($A30=E$21,0,SUMPRODUCT(('Match Log'!$D$4:$D$1510=$A30)*(COUNTIFS('Match Log'!$A$4:$A$1510,'Match Log'!$A$4:$A$1510,'Match Log'!$D$4:$D$1510,E$21)&gt;0)))</f>
        <v>7</v>
      </c>
      <c r="F30" s="77">
        <f>IF($A30=F$21,0,SUMPRODUCT(('Match Log'!$D$4:$D$1510=$A30)*(COUNTIFS('Match Log'!$A$4:$A$1510,'Match Log'!$A$4:$A$1510,'Match Log'!$D$4:$D$1510,F$21)&gt;0)))</f>
        <v>8</v>
      </c>
      <c r="G30" s="77">
        <f>IF($A30=G$21,0,SUMPRODUCT(('Match Log'!$D$4:$D$1510=$A30)*(COUNTIFS('Match Log'!$A$4:$A$1510,'Match Log'!$A$4:$A$1510,'Match Log'!$D$4:$D$1510,G$21)&gt;0)))</f>
        <v>7</v>
      </c>
      <c r="H30" s="77">
        <f>IF($A30=H$21,0,SUMPRODUCT(('Match Log'!$D$4:$D$1510=$A30)*(COUNTIFS('Match Log'!$A$4:$A$1510,'Match Log'!$A$4:$A$1510,'Match Log'!$D$4:$D$1510,H$21)&gt;0)))</f>
        <v>5</v>
      </c>
      <c r="I30" s="77">
        <f>IF($A30=I$21,0,SUMPRODUCT(('Match Log'!$D$4:$D$1510=$A30)*(COUNTIFS('Match Log'!$A$4:$A$1510,'Match Log'!$A$4:$A$1510,'Match Log'!$D$4:$D$1510,I$21)&gt;0)))</f>
        <v>24</v>
      </c>
      <c r="J30" s="77">
        <f>IF($A30=J$21,0,SUMPRODUCT(('Match Log'!$D$4:$D$1510=$A30)*(COUNTIFS('Match Log'!$A$4:$A$1510,'Match Log'!$A$4:$A$1510,'Match Log'!$D$4:$D$1510,J$21)&gt;0)))</f>
        <v>0</v>
      </c>
      <c r="K30" s="77">
        <f>IF($A30=K$21,0,SUMPRODUCT(('Match Log'!$D$4:$D$1510=$A30)*(COUNTIFS('Match Log'!$A$4:$A$1510,'Match Log'!$A$4:$A$1510,'Match Log'!$D$4:$D$1510,K$21)&gt;0)))</f>
        <v>1</v>
      </c>
      <c r="L30" s="77">
        <f>IF($A30=L$21,0,SUMPRODUCT(('Match Log'!$D$4:$D$1510=$A30)*(COUNTIFS('Match Log'!$A$4:$A$1510,'Match Log'!$A$4:$A$1510,'Match Log'!$D$4:$D$1510,L$21)&gt;0)))</f>
        <v>6</v>
      </c>
      <c r="M30" s="77">
        <f>IF($A30=M$21,0,SUMPRODUCT(('Match Log'!$D$4:$D$1510=$A30)*(COUNTIFS('Match Log'!$A$4:$A$1510,'Match Log'!$A$4:$A$1510,'Match Log'!$D$4:$D$1510,M$21)&gt;0)))</f>
        <v>2</v>
      </c>
      <c r="N30" s="77">
        <f>IF($A30=N$21,0,SUMPRODUCT(('Match Log'!$D$4:$D$1510=$A30)*(COUNTIFS('Match Log'!$A$4:$A$1510,'Match Log'!$A$4:$A$1510,'Match Log'!$D$4:$D$1510,N$21)&gt;0)))</f>
        <v>1</v>
      </c>
      <c r="O30" s="77">
        <f>IF($A30=O$21,0,SUMPRODUCT(('Match Log'!$D$4:$D$1510=$A30)*(COUNTIFS('Match Log'!$A$4:$A$1510,'Match Log'!$A$4:$A$1510,'Match Log'!$D$4:$D$1510,O$21)&gt;0)))</f>
        <v>0</v>
      </c>
    </row>
    <row r="31" spans="1:15" ht="15" customHeight="1" x14ac:dyDescent="0.2">
      <c r="A31" s="51" t="s">
        <v>24</v>
      </c>
      <c r="B31" s="77">
        <f>IF($A31=B$21,0,SUMPRODUCT(('Match Log'!$D$4:$D$1510=$A31)*(COUNTIFS('Match Log'!$A$4:$A$1510,'Match Log'!$A$4:$A$1510,'Match Log'!$D$4:$D$1510,B$21)&gt;0)))</f>
        <v>2</v>
      </c>
      <c r="C31" s="77">
        <f>IF($A31=C$21,0,SUMPRODUCT(('Match Log'!$D$4:$D$1510=$A31)*(COUNTIFS('Match Log'!$A$4:$A$1510,'Match Log'!$A$4:$A$1510,'Match Log'!$D$4:$D$1510,C$21)&gt;0)))</f>
        <v>1</v>
      </c>
      <c r="D31" s="77">
        <f>IF($A31=D$21,0,SUMPRODUCT(('Match Log'!$D$4:$D$1510=$A31)*(COUNTIFS('Match Log'!$A$4:$A$1510,'Match Log'!$A$4:$A$1510,'Match Log'!$D$4:$D$1510,D$21)&gt;0)))</f>
        <v>1</v>
      </c>
      <c r="E31" s="77">
        <f>IF($A31=E$21,0,SUMPRODUCT(('Match Log'!$D$4:$D$1510=$A31)*(COUNTIFS('Match Log'!$A$4:$A$1510,'Match Log'!$A$4:$A$1510,'Match Log'!$D$4:$D$1510,E$21)&gt;0)))</f>
        <v>1</v>
      </c>
      <c r="F31" s="77">
        <f>IF($A31=F$21,0,SUMPRODUCT(('Match Log'!$D$4:$D$1510=$A31)*(COUNTIFS('Match Log'!$A$4:$A$1510,'Match Log'!$A$4:$A$1510,'Match Log'!$D$4:$D$1510,F$21)&gt;0)))</f>
        <v>4</v>
      </c>
      <c r="G31" s="77">
        <f>IF($A31=G$21,0,SUMPRODUCT(('Match Log'!$D$4:$D$1510=$A31)*(COUNTIFS('Match Log'!$A$4:$A$1510,'Match Log'!$A$4:$A$1510,'Match Log'!$D$4:$D$1510,G$21)&gt;0)))</f>
        <v>0</v>
      </c>
      <c r="H31" s="77">
        <f>IF($A31=H$21,0,SUMPRODUCT(('Match Log'!$D$4:$D$1510=$A31)*(COUNTIFS('Match Log'!$A$4:$A$1510,'Match Log'!$A$4:$A$1510,'Match Log'!$D$4:$D$1510,H$21)&gt;0)))</f>
        <v>2</v>
      </c>
      <c r="I31" s="77">
        <f>IF($A31=I$21,0,SUMPRODUCT(('Match Log'!$D$4:$D$1510=$A31)*(COUNTIFS('Match Log'!$A$4:$A$1510,'Match Log'!$A$4:$A$1510,'Match Log'!$D$4:$D$1510,I$21)&gt;0)))</f>
        <v>2</v>
      </c>
      <c r="J31" s="77">
        <f>IF($A31=J$21,0,SUMPRODUCT(('Match Log'!$D$4:$D$1510=$A31)*(COUNTIFS('Match Log'!$A$4:$A$1510,'Match Log'!$A$4:$A$1510,'Match Log'!$D$4:$D$1510,J$21)&gt;0)))</f>
        <v>1</v>
      </c>
      <c r="K31" s="77">
        <f>IF($A31=K$21,0,SUMPRODUCT(('Match Log'!$D$4:$D$1510=$A31)*(COUNTIFS('Match Log'!$A$4:$A$1510,'Match Log'!$A$4:$A$1510,'Match Log'!$D$4:$D$1510,K$21)&gt;0)))</f>
        <v>0</v>
      </c>
      <c r="L31" s="77">
        <f>IF($A31=L$21,0,SUMPRODUCT(('Match Log'!$D$4:$D$1510=$A31)*(COUNTIFS('Match Log'!$A$4:$A$1510,'Match Log'!$A$4:$A$1510,'Match Log'!$D$4:$D$1510,L$21)&gt;0)))</f>
        <v>3</v>
      </c>
      <c r="M31" s="77">
        <f>IF($A31=M$21,0,SUMPRODUCT(('Match Log'!$D$4:$D$1510=$A31)*(COUNTIFS('Match Log'!$A$4:$A$1510,'Match Log'!$A$4:$A$1510,'Match Log'!$D$4:$D$1510,M$21)&gt;0)))</f>
        <v>1</v>
      </c>
      <c r="N31" s="77">
        <f>IF($A31=N$21,0,SUMPRODUCT(('Match Log'!$D$4:$D$1510=$A31)*(COUNTIFS('Match Log'!$A$4:$A$1510,'Match Log'!$A$4:$A$1510,'Match Log'!$D$4:$D$1510,N$21)&gt;0)))</f>
        <v>1</v>
      </c>
      <c r="O31" s="77">
        <f>IF($A31=O$21,0,SUMPRODUCT(('Match Log'!$D$4:$D$1510=$A31)*(COUNTIFS('Match Log'!$A$4:$A$1510,'Match Log'!$A$4:$A$1510,'Match Log'!$D$4:$D$1510,O$21)&gt;0)))</f>
        <v>0</v>
      </c>
    </row>
    <row r="32" spans="1:15" ht="15" customHeight="1" x14ac:dyDescent="0.2">
      <c r="A32" s="51" t="s">
        <v>25</v>
      </c>
      <c r="B32" s="77">
        <f>IF($A32=B$21,0,SUMPRODUCT(('Match Log'!$D$4:$D$1510=$A32)*(COUNTIFS('Match Log'!$A$4:$A$1510,'Match Log'!$A$4:$A$1510,'Match Log'!$D$4:$D$1510,B$21)&gt;0)))</f>
        <v>10</v>
      </c>
      <c r="C32" s="77">
        <f>IF($A32=C$21,0,SUMPRODUCT(('Match Log'!$D$4:$D$1510=$A32)*(COUNTIFS('Match Log'!$A$4:$A$1510,'Match Log'!$A$4:$A$1510,'Match Log'!$D$4:$D$1510,C$21)&gt;0)))</f>
        <v>5</v>
      </c>
      <c r="D32" s="77">
        <f>IF($A32=D$21,0,SUMPRODUCT(('Match Log'!$D$4:$D$1510=$A32)*(COUNTIFS('Match Log'!$A$4:$A$1510,'Match Log'!$A$4:$A$1510,'Match Log'!$D$4:$D$1510,D$21)&gt;0)))</f>
        <v>7</v>
      </c>
      <c r="E32" s="77">
        <f>IF($A32=E$21,0,SUMPRODUCT(('Match Log'!$D$4:$D$1510=$A32)*(COUNTIFS('Match Log'!$A$4:$A$1510,'Match Log'!$A$4:$A$1510,'Match Log'!$D$4:$D$1510,E$21)&gt;0)))</f>
        <v>3</v>
      </c>
      <c r="F32" s="77">
        <f>IF($A32=F$21,0,SUMPRODUCT(('Match Log'!$D$4:$D$1510=$A32)*(COUNTIFS('Match Log'!$A$4:$A$1510,'Match Log'!$A$4:$A$1510,'Match Log'!$D$4:$D$1510,F$21)&gt;0)))</f>
        <v>7</v>
      </c>
      <c r="G32" s="77">
        <f>IF($A32=G$21,0,SUMPRODUCT(('Match Log'!$D$4:$D$1510=$A32)*(COUNTIFS('Match Log'!$A$4:$A$1510,'Match Log'!$A$4:$A$1510,'Match Log'!$D$4:$D$1510,G$21)&gt;0)))</f>
        <v>50</v>
      </c>
      <c r="H32" s="77">
        <f>IF($A32=H$21,0,SUMPRODUCT(('Match Log'!$D$4:$D$1510=$A32)*(COUNTIFS('Match Log'!$A$4:$A$1510,'Match Log'!$A$4:$A$1510,'Match Log'!$D$4:$D$1510,H$21)&gt;0)))</f>
        <v>33</v>
      </c>
      <c r="I32" s="77">
        <f>IF($A32=I$21,0,SUMPRODUCT(('Match Log'!$D$4:$D$1510=$A32)*(COUNTIFS('Match Log'!$A$4:$A$1510,'Match Log'!$A$4:$A$1510,'Match Log'!$D$4:$D$1510,I$21)&gt;0)))</f>
        <v>17</v>
      </c>
      <c r="J32" s="77">
        <f>IF($A32=J$21,0,SUMPRODUCT(('Match Log'!$D$4:$D$1510=$A32)*(COUNTIFS('Match Log'!$A$4:$A$1510,'Match Log'!$A$4:$A$1510,'Match Log'!$D$4:$D$1510,J$21)&gt;0)))</f>
        <v>6</v>
      </c>
      <c r="K32" s="77">
        <f>IF($A32=K$21,0,SUMPRODUCT(('Match Log'!$D$4:$D$1510=$A32)*(COUNTIFS('Match Log'!$A$4:$A$1510,'Match Log'!$A$4:$A$1510,'Match Log'!$D$4:$D$1510,K$21)&gt;0)))</f>
        <v>3</v>
      </c>
      <c r="L32" s="77">
        <f>IF($A32=L$21,0,SUMPRODUCT(('Match Log'!$D$4:$D$1510=$A32)*(COUNTIFS('Match Log'!$A$4:$A$1510,'Match Log'!$A$4:$A$1510,'Match Log'!$D$4:$D$1510,L$21)&gt;0)))</f>
        <v>0</v>
      </c>
      <c r="M32" s="77">
        <f>IF($A32=M$21,0,SUMPRODUCT(('Match Log'!$D$4:$D$1510=$A32)*(COUNTIFS('Match Log'!$A$4:$A$1510,'Match Log'!$A$4:$A$1510,'Match Log'!$D$4:$D$1510,M$21)&gt;0)))</f>
        <v>1</v>
      </c>
      <c r="N32" s="77">
        <f>IF($A32=N$21,0,SUMPRODUCT(('Match Log'!$D$4:$D$1510=$A32)*(COUNTIFS('Match Log'!$A$4:$A$1510,'Match Log'!$A$4:$A$1510,'Match Log'!$D$4:$D$1510,N$21)&gt;0)))</f>
        <v>2</v>
      </c>
      <c r="O32" s="77">
        <f>IF($A32=O$21,0,SUMPRODUCT(('Match Log'!$D$4:$D$1510=$A32)*(COUNTIFS('Match Log'!$A$4:$A$1510,'Match Log'!$A$4:$A$1510,'Match Log'!$D$4:$D$1510,O$21)&gt;0)))</f>
        <v>0</v>
      </c>
    </row>
    <row r="33" spans="1:15" ht="15" customHeight="1" x14ac:dyDescent="0.2">
      <c r="A33" s="51" t="s">
        <v>26</v>
      </c>
      <c r="B33" s="77">
        <f>IF($A33=B$21,0,SUMPRODUCT(('Match Log'!$D$4:$D$1510=$A33)*(COUNTIFS('Match Log'!$A$4:$A$1510,'Match Log'!$A$4:$A$1510,'Match Log'!$D$4:$D$1510,B$21)&gt;0)))</f>
        <v>1</v>
      </c>
      <c r="C33" s="77">
        <f>IF($A33=C$21,0,SUMPRODUCT(('Match Log'!$D$4:$D$1510=$A33)*(COUNTIFS('Match Log'!$A$4:$A$1510,'Match Log'!$A$4:$A$1510,'Match Log'!$D$4:$D$1510,C$21)&gt;0)))</f>
        <v>1</v>
      </c>
      <c r="D33" s="77">
        <f>IF($A33=D$21,0,SUMPRODUCT(('Match Log'!$D$4:$D$1510=$A33)*(COUNTIFS('Match Log'!$A$4:$A$1510,'Match Log'!$A$4:$A$1510,'Match Log'!$D$4:$D$1510,D$21)&gt;0)))</f>
        <v>0</v>
      </c>
      <c r="E33" s="77">
        <f>IF($A33=E$21,0,SUMPRODUCT(('Match Log'!$D$4:$D$1510=$A33)*(COUNTIFS('Match Log'!$A$4:$A$1510,'Match Log'!$A$4:$A$1510,'Match Log'!$D$4:$D$1510,E$21)&gt;0)))</f>
        <v>5</v>
      </c>
      <c r="F33" s="77">
        <f>IF($A33=F$21,0,SUMPRODUCT(('Match Log'!$D$4:$D$1510=$A33)*(COUNTIFS('Match Log'!$A$4:$A$1510,'Match Log'!$A$4:$A$1510,'Match Log'!$D$4:$D$1510,F$21)&gt;0)))</f>
        <v>1</v>
      </c>
      <c r="G33" s="77">
        <f>IF($A33=G$21,0,SUMPRODUCT(('Match Log'!$D$4:$D$1510=$A33)*(COUNTIFS('Match Log'!$A$4:$A$1510,'Match Log'!$A$4:$A$1510,'Match Log'!$D$4:$D$1510,G$21)&gt;0)))</f>
        <v>1</v>
      </c>
      <c r="H33" s="77">
        <f>IF($A33=H$21,0,SUMPRODUCT(('Match Log'!$D$4:$D$1510=$A33)*(COUNTIFS('Match Log'!$A$4:$A$1510,'Match Log'!$A$4:$A$1510,'Match Log'!$D$4:$D$1510,H$21)&gt;0)))</f>
        <v>1</v>
      </c>
      <c r="I33" s="77">
        <f>IF($A33=I$21,0,SUMPRODUCT(('Match Log'!$D$4:$D$1510=$A33)*(COUNTIFS('Match Log'!$A$4:$A$1510,'Match Log'!$A$4:$A$1510,'Match Log'!$D$4:$D$1510,I$21)&gt;0)))</f>
        <v>7</v>
      </c>
      <c r="J33" s="77">
        <f>IF($A33=J$21,0,SUMPRODUCT(('Match Log'!$D$4:$D$1510=$A33)*(COUNTIFS('Match Log'!$A$4:$A$1510,'Match Log'!$A$4:$A$1510,'Match Log'!$D$4:$D$1510,J$21)&gt;0)))</f>
        <v>2</v>
      </c>
      <c r="K33" s="77">
        <f>IF($A33=K$21,0,SUMPRODUCT(('Match Log'!$D$4:$D$1510=$A33)*(COUNTIFS('Match Log'!$A$4:$A$1510,'Match Log'!$A$4:$A$1510,'Match Log'!$D$4:$D$1510,K$21)&gt;0)))</f>
        <v>1</v>
      </c>
      <c r="L33" s="77">
        <f>IF($A33=L$21,0,SUMPRODUCT(('Match Log'!$D$4:$D$1510=$A33)*(COUNTIFS('Match Log'!$A$4:$A$1510,'Match Log'!$A$4:$A$1510,'Match Log'!$D$4:$D$1510,L$21)&gt;0)))</f>
        <v>1</v>
      </c>
      <c r="M33" s="77">
        <f>IF($A33=M$21,0,SUMPRODUCT(('Match Log'!$D$4:$D$1510=$A33)*(COUNTIFS('Match Log'!$A$4:$A$1510,'Match Log'!$A$4:$A$1510,'Match Log'!$D$4:$D$1510,M$21)&gt;0)))</f>
        <v>0</v>
      </c>
      <c r="N33" s="77">
        <f>IF($A33=N$21,0,SUMPRODUCT(('Match Log'!$D$4:$D$1510=$A33)*(COUNTIFS('Match Log'!$A$4:$A$1510,'Match Log'!$A$4:$A$1510,'Match Log'!$D$4:$D$1510,N$21)&gt;0)))</f>
        <v>9</v>
      </c>
      <c r="O33" s="77">
        <f>IF($A33=O$21,0,SUMPRODUCT(('Match Log'!$D$4:$D$1510=$A33)*(COUNTIFS('Match Log'!$A$4:$A$1510,'Match Log'!$A$4:$A$1510,'Match Log'!$D$4:$D$1510,O$21)&gt;0)))</f>
        <v>0</v>
      </c>
    </row>
    <row r="34" spans="1:15" ht="15" customHeight="1" x14ac:dyDescent="0.2">
      <c r="A34" s="51" t="s">
        <v>27</v>
      </c>
      <c r="B34" s="77">
        <f>IF($A34=B$21,0,SUMPRODUCT(('Match Log'!$D$4:$D$1510=$A34)*(COUNTIFS('Match Log'!$A$4:$A$1510,'Match Log'!$A$4:$A$1510,'Match Log'!$D$4:$D$1510,B$21)&gt;0)))</f>
        <v>0</v>
      </c>
      <c r="C34" s="77">
        <f>IF($A34=C$21,0,SUMPRODUCT(('Match Log'!$D$4:$D$1510=$A34)*(COUNTIFS('Match Log'!$A$4:$A$1510,'Match Log'!$A$4:$A$1510,'Match Log'!$D$4:$D$1510,C$21)&gt;0)))</f>
        <v>4</v>
      </c>
      <c r="D34" s="77">
        <f>IF($A34=D$21,0,SUMPRODUCT(('Match Log'!$D$4:$D$1510=$A34)*(COUNTIFS('Match Log'!$A$4:$A$1510,'Match Log'!$A$4:$A$1510,'Match Log'!$D$4:$D$1510,D$21)&gt;0)))</f>
        <v>0</v>
      </c>
      <c r="E34" s="77">
        <f>IF($A34=E$21,0,SUMPRODUCT(('Match Log'!$D$4:$D$1510=$A34)*(COUNTIFS('Match Log'!$A$4:$A$1510,'Match Log'!$A$4:$A$1510,'Match Log'!$D$4:$D$1510,E$21)&gt;0)))</f>
        <v>0</v>
      </c>
      <c r="F34" s="77">
        <f>IF($A34=F$21,0,SUMPRODUCT(('Match Log'!$D$4:$D$1510=$A34)*(COUNTIFS('Match Log'!$A$4:$A$1510,'Match Log'!$A$4:$A$1510,'Match Log'!$D$4:$D$1510,F$21)&gt;0)))</f>
        <v>1</v>
      </c>
      <c r="G34" s="77">
        <f>IF($A34=G$21,0,SUMPRODUCT(('Match Log'!$D$4:$D$1510=$A34)*(COUNTIFS('Match Log'!$A$4:$A$1510,'Match Log'!$A$4:$A$1510,'Match Log'!$D$4:$D$1510,G$21)&gt;0)))</f>
        <v>3</v>
      </c>
      <c r="H34" s="77">
        <f>IF($A34=H$21,0,SUMPRODUCT(('Match Log'!$D$4:$D$1510=$A34)*(COUNTIFS('Match Log'!$A$4:$A$1510,'Match Log'!$A$4:$A$1510,'Match Log'!$D$4:$D$1510,H$21)&gt;0)))</f>
        <v>2</v>
      </c>
      <c r="I34" s="77">
        <f>IF($A34=I$21,0,SUMPRODUCT(('Match Log'!$D$4:$D$1510=$A34)*(COUNTIFS('Match Log'!$A$4:$A$1510,'Match Log'!$A$4:$A$1510,'Match Log'!$D$4:$D$1510,I$21)&gt;0)))</f>
        <v>9</v>
      </c>
      <c r="J34" s="77">
        <f>IF($A34=J$21,0,SUMPRODUCT(('Match Log'!$D$4:$D$1510=$A34)*(COUNTIFS('Match Log'!$A$4:$A$1510,'Match Log'!$A$4:$A$1510,'Match Log'!$D$4:$D$1510,J$21)&gt;0)))</f>
        <v>1</v>
      </c>
      <c r="K34" s="77">
        <f>IF($A34=K$21,0,SUMPRODUCT(('Match Log'!$D$4:$D$1510=$A34)*(COUNTIFS('Match Log'!$A$4:$A$1510,'Match Log'!$A$4:$A$1510,'Match Log'!$D$4:$D$1510,K$21)&gt;0)))</f>
        <v>1</v>
      </c>
      <c r="L34" s="77">
        <f>IF($A34=L$21,0,SUMPRODUCT(('Match Log'!$D$4:$D$1510=$A34)*(COUNTIFS('Match Log'!$A$4:$A$1510,'Match Log'!$A$4:$A$1510,'Match Log'!$D$4:$D$1510,L$21)&gt;0)))</f>
        <v>2</v>
      </c>
      <c r="M34" s="77">
        <f>IF($A34=M$21,0,SUMPRODUCT(('Match Log'!$D$4:$D$1510=$A34)*(COUNTIFS('Match Log'!$A$4:$A$1510,'Match Log'!$A$4:$A$1510,'Match Log'!$D$4:$D$1510,M$21)&gt;0)))</f>
        <v>9</v>
      </c>
      <c r="N34" s="77">
        <f>IF($A34=N$21,0,SUMPRODUCT(('Match Log'!$D$4:$D$1510=$A34)*(COUNTIFS('Match Log'!$A$4:$A$1510,'Match Log'!$A$4:$A$1510,'Match Log'!$D$4:$D$1510,N$21)&gt;0)))</f>
        <v>0</v>
      </c>
      <c r="O34" s="77">
        <f>IF($A34=O$21,0,SUMPRODUCT(('Match Log'!$D$4:$D$1510=$A34)*(COUNTIFS('Match Log'!$A$4:$A$1510,'Match Log'!$A$4:$A$1510,'Match Log'!$D$4:$D$1510,O$21)&gt;0)))</f>
        <v>0</v>
      </c>
    </row>
    <row r="35" spans="1:15" ht="15" customHeight="1" x14ac:dyDescent="0.2">
      <c r="A35" s="51" t="s">
        <v>28</v>
      </c>
      <c r="B35" s="77">
        <f>IF($A35=B$21,0,SUMPRODUCT(('Match Log'!$D$4:$D$1510=$A35)*(COUNTIFS('Match Log'!$A$4:$A$1510,'Match Log'!$A$4:$A$1510,'Match Log'!$D$4:$D$1510,B$21)&gt;0)))</f>
        <v>0</v>
      </c>
      <c r="C35" s="77">
        <f>IF($A35=C$21,0,SUMPRODUCT(('Match Log'!$D$4:$D$1510=$A35)*(COUNTIFS('Match Log'!$A$4:$A$1510,'Match Log'!$A$4:$A$1510,'Match Log'!$D$4:$D$1510,C$21)&gt;0)))</f>
        <v>0</v>
      </c>
      <c r="D35" s="77">
        <f>IF($A35=D$21,0,SUMPRODUCT(('Match Log'!$D$4:$D$1510=$A35)*(COUNTIFS('Match Log'!$A$4:$A$1510,'Match Log'!$A$4:$A$1510,'Match Log'!$D$4:$D$1510,D$21)&gt;0)))</f>
        <v>0</v>
      </c>
      <c r="E35" s="77">
        <f>IF($A35=E$21,0,SUMPRODUCT(('Match Log'!$D$4:$D$1510=$A35)*(COUNTIFS('Match Log'!$A$4:$A$1510,'Match Log'!$A$4:$A$1510,'Match Log'!$D$4:$D$1510,E$21)&gt;0)))</f>
        <v>0</v>
      </c>
      <c r="F35" s="77">
        <f>IF($A35=F$21,0,SUMPRODUCT(('Match Log'!$D$4:$D$1510=$A35)*(COUNTIFS('Match Log'!$A$4:$A$1510,'Match Log'!$A$4:$A$1510,'Match Log'!$D$4:$D$1510,F$21)&gt;0)))</f>
        <v>0</v>
      </c>
      <c r="G35" s="77">
        <f>IF($A35=G$21,0,SUMPRODUCT(('Match Log'!$D$4:$D$1510=$A35)*(COUNTIFS('Match Log'!$A$4:$A$1510,'Match Log'!$A$4:$A$1510,'Match Log'!$D$4:$D$1510,G$21)&gt;0)))</f>
        <v>0</v>
      </c>
      <c r="H35" s="77">
        <f>IF($A35=H$21,0,SUMPRODUCT(('Match Log'!$D$4:$D$1510=$A35)*(COUNTIFS('Match Log'!$A$4:$A$1510,'Match Log'!$A$4:$A$1510,'Match Log'!$D$4:$D$1510,H$21)&gt;0)))</f>
        <v>0</v>
      </c>
      <c r="I35" s="77">
        <f>IF($A35=I$21,0,SUMPRODUCT(('Match Log'!$D$4:$D$1510=$A35)*(COUNTIFS('Match Log'!$A$4:$A$1510,'Match Log'!$A$4:$A$1510,'Match Log'!$D$4:$D$1510,I$21)&gt;0)))</f>
        <v>0</v>
      </c>
      <c r="J35" s="77">
        <f>IF($A35=J$21,0,SUMPRODUCT(('Match Log'!$D$4:$D$1510=$A35)*(COUNTIFS('Match Log'!$A$4:$A$1510,'Match Log'!$A$4:$A$1510,'Match Log'!$D$4:$D$1510,J$21)&gt;0)))</f>
        <v>0</v>
      </c>
      <c r="K35" s="77">
        <f>IF($A35=K$21,0,SUMPRODUCT(('Match Log'!$D$4:$D$1510=$A35)*(COUNTIFS('Match Log'!$A$4:$A$1510,'Match Log'!$A$4:$A$1510,'Match Log'!$D$4:$D$1510,K$21)&gt;0)))</f>
        <v>0</v>
      </c>
      <c r="L35" s="77">
        <f>IF($A35=L$21,0,SUMPRODUCT(('Match Log'!$D$4:$D$1510=$A35)*(COUNTIFS('Match Log'!$A$4:$A$1510,'Match Log'!$A$4:$A$1510,'Match Log'!$D$4:$D$1510,L$21)&gt;0)))</f>
        <v>0</v>
      </c>
      <c r="M35" s="77">
        <f>IF($A35=M$21,0,SUMPRODUCT(('Match Log'!$D$4:$D$1510=$A35)*(COUNTIFS('Match Log'!$A$4:$A$1510,'Match Log'!$A$4:$A$1510,'Match Log'!$D$4:$D$1510,M$21)&gt;0)))</f>
        <v>0</v>
      </c>
      <c r="N35" s="77">
        <f>IF($A35=N$21,0,SUMPRODUCT(('Match Log'!$D$4:$D$1510=$A35)*(COUNTIFS('Match Log'!$A$4:$A$1510,'Match Log'!$A$4:$A$1510,'Match Log'!$D$4:$D$1510,N$21)&gt;0)))</f>
        <v>0</v>
      </c>
      <c r="O35" s="77">
        <f>IF($A35=O$21,0,SUMPRODUCT(('Match Log'!$D$4:$D$1510=$A35)*(COUNTIFS('Match Log'!$A$4:$A$1510,'Match Log'!$A$4:$A$1510,'Match Log'!$D$4:$D$1510,O$21)&gt;0)))</f>
        <v>0</v>
      </c>
    </row>
  </sheetData>
  <mergeCells count="2">
    <mergeCell ref="A3:O3"/>
    <mergeCell ref="A2:O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0892F"/>
  </sheetPr>
  <dimension ref="A1:V130"/>
  <sheetViews>
    <sheetView showGridLines="0" zoomScale="126" zoomScaleNormal="126" workbookViewId="0">
      <pane ySplit="7" topLeftCell="A62" activePane="bottomLeft" state="frozen"/>
      <selection pane="bottomLeft" activeCell="B85" sqref="B85:O85"/>
    </sheetView>
  </sheetViews>
  <sheetFormatPr baseColWidth="10" defaultColWidth="8.83203125" defaultRowHeight="15" x14ac:dyDescent="0.2"/>
  <cols>
    <col min="1" max="1" width="21" customWidth="1"/>
    <col min="19" max="19" width="5.1640625" customWidth="1"/>
  </cols>
  <sheetData>
    <row r="1" spans="1:18" ht="21" customHeight="1" x14ac:dyDescent="0.25">
      <c r="A1" s="59" t="s">
        <v>295</v>
      </c>
    </row>
    <row r="2" spans="1:18" ht="15" customHeight="1" x14ac:dyDescent="0.2">
      <c r="A2" s="164" t="s">
        <v>296</v>
      </c>
      <c r="B2" s="146"/>
      <c r="C2" s="146"/>
      <c r="D2" s="146"/>
      <c r="E2" s="146"/>
      <c r="F2" s="146"/>
      <c r="G2" s="146"/>
      <c r="H2" s="146"/>
      <c r="I2" s="146"/>
      <c r="J2" s="146"/>
      <c r="K2" s="146"/>
      <c r="L2" s="146"/>
      <c r="M2" s="146"/>
      <c r="N2" s="146"/>
      <c r="O2" s="146"/>
      <c r="P2" s="146"/>
      <c r="Q2" s="146"/>
    </row>
    <row r="3" spans="1:18" ht="18.75" customHeight="1" x14ac:dyDescent="0.2">
      <c r="A3" s="43" t="s">
        <v>297</v>
      </c>
      <c r="C3" s="79">
        <f>SUM($P$8:$P$32)</f>
        <v>327</v>
      </c>
    </row>
    <row r="4" spans="1:18" ht="18.75" customHeight="1" x14ac:dyDescent="0.2">
      <c r="A4" s="43" t="s">
        <v>298</v>
      </c>
      <c r="C4" s="163" t="str">
        <f ca="1">INDEX($A$89:$A$102,MATCH(MAX($S$89:$S$102),$S$89:$S$102,0))</f>
        <v>Josh</v>
      </c>
      <c r="D4" s="146"/>
      <c r="E4" s="146"/>
      <c r="F4" s="146"/>
      <c r="G4" s="146"/>
    </row>
    <row r="6" spans="1:18" ht="15" customHeight="1" x14ac:dyDescent="0.2">
      <c r="A6" s="162" t="s">
        <v>299</v>
      </c>
      <c r="B6" s="146"/>
      <c r="C6" s="146"/>
      <c r="D6" s="146"/>
      <c r="E6" s="146"/>
      <c r="F6" s="146"/>
      <c r="G6" s="146"/>
      <c r="H6" s="146"/>
      <c r="I6" s="146"/>
      <c r="J6" s="146"/>
      <c r="K6" s="146"/>
      <c r="L6" s="146"/>
      <c r="M6" s="146"/>
      <c r="N6" s="146"/>
      <c r="O6" s="146"/>
      <c r="P6" s="146"/>
      <c r="Q6" s="146"/>
    </row>
    <row r="7" spans="1:18" ht="91.5" customHeight="1" x14ac:dyDescent="0.2">
      <c r="A7" s="80" t="s">
        <v>235</v>
      </c>
      <c r="B7" s="81" t="s">
        <v>15</v>
      </c>
      <c r="C7" s="81" t="s">
        <v>16</v>
      </c>
      <c r="D7" s="81" t="s">
        <v>17</v>
      </c>
      <c r="E7" s="81" t="s">
        <v>18</v>
      </c>
      <c r="F7" s="81" t="s">
        <v>19</v>
      </c>
      <c r="G7" s="81" t="s">
        <v>20</v>
      </c>
      <c r="H7" s="81" t="s">
        <v>21</v>
      </c>
      <c r="I7" s="81" t="s">
        <v>22</v>
      </c>
      <c r="J7" s="81" t="s">
        <v>23</v>
      </c>
      <c r="K7" s="81" t="s">
        <v>24</v>
      </c>
      <c r="L7" s="81" t="s">
        <v>25</v>
      </c>
      <c r="M7" s="81" t="s">
        <v>26</v>
      </c>
      <c r="N7" s="81" t="s">
        <v>27</v>
      </c>
      <c r="O7" s="81" t="s">
        <v>28</v>
      </c>
      <c r="P7" s="80" t="s">
        <v>10</v>
      </c>
      <c r="Q7" s="80" t="s">
        <v>241</v>
      </c>
      <c r="R7" s="80" t="s">
        <v>300</v>
      </c>
    </row>
    <row r="8" spans="1:18" ht="15" customHeight="1" x14ac:dyDescent="0.2">
      <c r="A8" s="82" t="s">
        <v>33</v>
      </c>
      <c r="B8" s="83">
        <f>COUNTIFS('Match Log'!$D$4:$D$1510,B$7,'Match Log'!$C$4:$C$1510,$A8)</f>
        <v>0</v>
      </c>
      <c r="C8" s="83">
        <f>COUNTIFS('Match Log'!$D$4:$D$1510,C$7,'Match Log'!$C$4:$C$1510,$A8)</f>
        <v>0</v>
      </c>
      <c r="D8" s="83">
        <f>COUNTIFS('Match Log'!$D$4:$D$1510,D$7,'Match Log'!$C$4:$C$1510,$A8)</f>
        <v>3</v>
      </c>
      <c r="E8" s="83">
        <f>COUNTIFS('Match Log'!$D$4:$D$1510,E$7,'Match Log'!$C$4:$C$1510,$A8)</f>
        <v>0</v>
      </c>
      <c r="F8" s="83">
        <f>COUNTIFS('Match Log'!$D$4:$D$1510,F$7,'Match Log'!$C$4:$C$1510,$A8)</f>
        <v>0</v>
      </c>
      <c r="G8" s="83">
        <f>COUNTIFS('Match Log'!$D$4:$D$1510,G$7,'Match Log'!$C$4:$C$1510,$A8)</f>
        <v>7</v>
      </c>
      <c r="H8" s="83">
        <f>COUNTIFS('Match Log'!$D$4:$D$1510,H$7,'Match Log'!$C$4:$C$1510,$A8)</f>
        <v>1</v>
      </c>
      <c r="I8" s="83">
        <f>COUNTIFS('Match Log'!$D$4:$D$1510,I$7,'Match Log'!$C$4:$C$1510,$A8)</f>
        <v>5</v>
      </c>
      <c r="J8" s="83">
        <f>COUNTIFS('Match Log'!$D$4:$D$1510,J$7,'Match Log'!$C$4:$C$1510,$A8)</f>
        <v>0</v>
      </c>
      <c r="K8" s="83">
        <f>COUNTIFS('Match Log'!$D$4:$D$1510,K$7,'Match Log'!$C$4:$C$1510,$A8)</f>
        <v>0</v>
      </c>
      <c r="L8" s="83">
        <f>COUNTIFS('Match Log'!$D$4:$D$1510,L$7,'Match Log'!$C$4:$C$1510,$A8)</f>
        <v>0</v>
      </c>
      <c r="M8" s="83">
        <f>COUNTIFS('Match Log'!$D$4:$D$1510,M$7,'Match Log'!$C$4:$C$1510,$A8)</f>
        <v>0</v>
      </c>
      <c r="N8" s="83">
        <f>COUNTIFS('Match Log'!$D$4:$D$1510,N$7,'Match Log'!$C$4:$C$1510,$A8)</f>
        <v>0</v>
      </c>
      <c r="O8" s="83">
        <f>COUNTIFS('Match Log'!$D$4:$D$1510,O$7,'Match Log'!$C$4:$C$1510,$A8)</f>
        <v>0</v>
      </c>
      <c r="P8" s="84">
        <f>SUMPRODUCT(('Match Log'!$C$4:$C$1510=$A8)*('Match Log'!$D$4:$D$1510='Match Log'!$G$4:$G$1510)*('Match Log'!$D$4:$D$1510&lt;&gt;""))</f>
        <v>8</v>
      </c>
      <c r="Q8" s="85" t="str">
        <f t="shared" ref="Q8:Q32" si="0">IF($P8=0,"—",INDEX($B$34:$O$34,MATCH(MAX($B35:$O35),$B35:$O35,0)))</f>
        <v>Shawn</v>
      </c>
      <c r="R8" s="84">
        <f t="shared" ref="R8:R32" si="1">IF($P8=0,"—",MAX($B35:$O35))</f>
        <v>7</v>
      </c>
    </row>
    <row r="9" spans="1:18" ht="15" customHeight="1" x14ac:dyDescent="0.2">
      <c r="A9" s="82" t="s">
        <v>34</v>
      </c>
      <c r="B9" s="83">
        <f>COUNTIFS('Match Log'!$D$4:$D$1510,B$7,'Match Log'!$C$4:$C$1510,$A9)</f>
        <v>9</v>
      </c>
      <c r="C9" s="83">
        <f>COUNTIFS('Match Log'!$D$4:$D$1510,C$7,'Match Log'!$C$4:$C$1510,$A9)</f>
        <v>0</v>
      </c>
      <c r="D9" s="83">
        <f>COUNTIFS('Match Log'!$D$4:$D$1510,D$7,'Match Log'!$C$4:$C$1510,$A9)</f>
        <v>0</v>
      </c>
      <c r="E9" s="83">
        <f>COUNTIFS('Match Log'!$D$4:$D$1510,E$7,'Match Log'!$C$4:$C$1510,$A9)</f>
        <v>3</v>
      </c>
      <c r="F9" s="83">
        <f>COUNTIFS('Match Log'!$D$4:$D$1510,F$7,'Match Log'!$C$4:$C$1510,$A9)</f>
        <v>0</v>
      </c>
      <c r="G9" s="83">
        <f>COUNTIFS('Match Log'!$D$4:$D$1510,G$7,'Match Log'!$C$4:$C$1510,$A9)</f>
        <v>11</v>
      </c>
      <c r="H9" s="83">
        <f>COUNTIFS('Match Log'!$D$4:$D$1510,H$7,'Match Log'!$C$4:$C$1510,$A9)</f>
        <v>7</v>
      </c>
      <c r="I9" s="83">
        <f>COUNTIFS('Match Log'!$D$4:$D$1510,I$7,'Match Log'!$C$4:$C$1510,$A9)</f>
        <v>10</v>
      </c>
      <c r="J9" s="83">
        <f>COUNTIFS('Match Log'!$D$4:$D$1510,J$7,'Match Log'!$C$4:$C$1510,$A9)</f>
        <v>4</v>
      </c>
      <c r="K9" s="83">
        <f>COUNTIFS('Match Log'!$D$4:$D$1510,K$7,'Match Log'!$C$4:$C$1510,$A9)</f>
        <v>0</v>
      </c>
      <c r="L9" s="83">
        <f>COUNTIFS('Match Log'!$D$4:$D$1510,L$7,'Match Log'!$C$4:$C$1510,$A9)</f>
        <v>7</v>
      </c>
      <c r="M9" s="83">
        <f>COUNTIFS('Match Log'!$D$4:$D$1510,M$7,'Match Log'!$C$4:$C$1510,$A9)</f>
        <v>3</v>
      </c>
      <c r="N9" s="83">
        <f>COUNTIFS('Match Log'!$D$4:$D$1510,N$7,'Match Log'!$C$4:$C$1510,$A9)</f>
        <v>4</v>
      </c>
      <c r="O9" s="83">
        <f>COUNTIFS('Match Log'!$D$4:$D$1510,O$7,'Match Log'!$C$4:$C$1510,$A9)</f>
        <v>0</v>
      </c>
      <c r="P9" s="84">
        <f>SUMPRODUCT(('Match Log'!$C$4:$C$1510=$A9)*('Match Log'!$D$4:$D$1510='Match Log'!$G$4:$G$1510)*('Match Log'!$D$4:$D$1510&lt;&gt;""))</f>
        <v>20</v>
      </c>
      <c r="Q9" s="85" t="str">
        <f t="shared" si="0"/>
        <v>Aaron</v>
      </c>
      <c r="R9" s="84">
        <f t="shared" si="1"/>
        <v>5</v>
      </c>
    </row>
    <row r="10" spans="1:18" ht="15" customHeight="1" x14ac:dyDescent="0.2">
      <c r="A10" s="82" t="s">
        <v>35</v>
      </c>
      <c r="B10" s="83">
        <f>COUNTIFS('Match Log'!$D$4:$D$1510,B$7,'Match Log'!$C$4:$C$1510,$A10)</f>
        <v>14</v>
      </c>
      <c r="C10" s="83">
        <f>COUNTIFS('Match Log'!$D$4:$D$1510,C$7,'Match Log'!$C$4:$C$1510,$A10)</f>
        <v>0</v>
      </c>
      <c r="D10" s="83">
        <f>COUNTIFS('Match Log'!$D$4:$D$1510,D$7,'Match Log'!$C$4:$C$1510,$A10)</f>
        <v>1</v>
      </c>
      <c r="E10" s="83">
        <f>COUNTIFS('Match Log'!$D$4:$D$1510,E$7,'Match Log'!$C$4:$C$1510,$A10)</f>
        <v>0</v>
      </c>
      <c r="F10" s="83">
        <f>COUNTIFS('Match Log'!$D$4:$D$1510,F$7,'Match Log'!$C$4:$C$1510,$A10)</f>
        <v>1</v>
      </c>
      <c r="G10" s="83">
        <f>COUNTIFS('Match Log'!$D$4:$D$1510,G$7,'Match Log'!$C$4:$C$1510,$A10)</f>
        <v>23</v>
      </c>
      <c r="H10" s="83">
        <f>COUNTIFS('Match Log'!$D$4:$D$1510,H$7,'Match Log'!$C$4:$C$1510,$A10)</f>
        <v>1</v>
      </c>
      <c r="I10" s="83">
        <f>COUNTIFS('Match Log'!$D$4:$D$1510,I$7,'Match Log'!$C$4:$C$1510,$A10)</f>
        <v>14</v>
      </c>
      <c r="J10" s="83">
        <f>COUNTIFS('Match Log'!$D$4:$D$1510,J$7,'Match Log'!$C$4:$C$1510,$A10)</f>
        <v>0</v>
      </c>
      <c r="K10" s="83">
        <f>COUNTIFS('Match Log'!$D$4:$D$1510,K$7,'Match Log'!$C$4:$C$1510,$A10)</f>
        <v>0</v>
      </c>
      <c r="L10" s="83">
        <f>COUNTIFS('Match Log'!$D$4:$D$1510,L$7,'Match Log'!$C$4:$C$1510,$A10)</f>
        <v>8</v>
      </c>
      <c r="M10" s="83">
        <f>COUNTIFS('Match Log'!$D$4:$D$1510,M$7,'Match Log'!$C$4:$C$1510,$A10)</f>
        <v>0</v>
      </c>
      <c r="N10" s="83">
        <f>COUNTIFS('Match Log'!$D$4:$D$1510,N$7,'Match Log'!$C$4:$C$1510,$A10)</f>
        <v>0</v>
      </c>
      <c r="O10" s="83">
        <f>COUNTIFS('Match Log'!$D$4:$D$1510,O$7,'Match Log'!$C$4:$C$1510,$A10)</f>
        <v>0</v>
      </c>
      <c r="P10" s="84">
        <f>SUMPRODUCT(('Match Log'!$C$4:$C$1510=$A10)*('Match Log'!$D$4:$D$1510='Match Log'!$G$4:$G$1510)*('Match Log'!$D$4:$D$1510&lt;&gt;""))</f>
        <v>31</v>
      </c>
      <c r="Q10" s="85" t="str">
        <f t="shared" si="0"/>
        <v>Aaron</v>
      </c>
      <c r="R10" s="84">
        <f t="shared" si="1"/>
        <v>11</v>
      </c>
    </row>
    <row r="11" spans="1:18" ht="15" customHeight="1" x14ac:dyDescent="0.2">
      <c r="A11" s="82" t="s">
        <v>36</v>
      </c>
      <c r="B11" s="83">
        <f>COUNTIFS('Match Log'!$D$4:$D$1510,B$7,'Match Log'!$C$4:$C$1510,$A11)</f>
        <v>1</v>
      </c>
      <c r="C11" s="83">
        <f>COUNTIFS('Match Log'!$D$4:$D$1510,C$7,'Match Log'!$C$4:$C$1510,$A11)</f>
        <v>0</v>
      </c>
      <c r="D11" s="83">
        <f>COUNTIFS('Match Log'!$D$4:$D$1510,D$7,'Match Log'!$C$4:$C$1510,$A11)</f>
        <v>1</v>
      </c>
      <c r="E11" s="83">
        <f>COUNTIFS('Match Log'!$D$4:$D$1510,E$7,'Match Log'!$C$4:$C$1510,$A11)</f>
        <v>0</v>
      </c>
      <c r="F11" s="83">
        <f>COUNTIFS('Match Log'!$D$4:$D$1510,F$7,'Match Log'!$C$4:$C$1510,$A11)</f>
        <v>0</v>
      </c>
      <c r="G11" s="83">
        <f>COUNTIFS('Match Log'!$D$4:$D$1510,G$7,'Match Log'!$C$4:$C$1510,$A11)</f>
        <v>1</v>
      </c>
      <c r="H11" s="83">
        <f>COUNTIFS('Match Log'!$D$4:$D$1510,H$7,'Match Log'!$C$4:$C$1510,$A11)</f>
        <v>0</v>
      </c>
      <c r="I11" s="83">
        <f>COUNTIFS('Match Log'!$D$4:$D$1510,I$7,'Match Log'!$C$4:$C$1510,$A11)</f>
        <v>1</v>
      </c>
      <c r="J11" s="83">
        <f>COUNTIFS('Match Log'!$D$4:$D$1510,J$7,'Match Log'!$C$4:$C$1510,$A11)</f>
        <v>0</v>
      </c>
      <c r="K11" s="83">
        <f>COUNTIFS('Match Log'!$D$4:$D$1510,K$7,'Match Log'!$C$4:$C$1510,$A11)</f>
        <v>0</v>
      </c>
      <c r="L11" s="83">
        <f>COUNTIFS('Match Log'!$D$4:$D$1510,L$7,'Match Log'!$C$4:$C$1510,$A11)</f>
        <v>1</v>
      </c>
      <c r="M11" s="83">
        <f>COUNTIFS('Match Log'!$D$4:$D$1510,M$7,'Match Log'!$C$4:$C$1510,$A11)</f>
        <v>0</v>
      </c>
      <c r="N11" s="83">
        <f>COUNTIFS('Match Log'!$D$4:$D$1510,N$7,'Match Log'!$C$4:$C$1510,$A11)</f>
        <v>0</v>
      </c>
      <c r="O11" s="83">
        <f>COUNTIFS('Match Log'!$D$4:$D$1510,O$7,'Match Log'!$C$4:$C$1510,$A11)</f>
        <v>0</v>
      </c>
      <c r="P11" s="84">
        <f>SUMPRODUCT(('Match Log'!$C$4:$C$1510=$A11)*('Match Log'!$D$4:$D$1510='Match Log'!$G$4:$G$1510)*('Match Log'!$D$4:$D$1510&lt;&gt;""))</f>
        <v>1</v>
      </c>
      <c r="Q11" s="85" t="str">
        <f t="shared" si="0"/>
        <v>Shawn</v>
      </c>
      <c r="R11" s="84">
        <f t="shared" si="1"/>
        <v>1</v>
      </c>
    </row>
    <row r="12" spans="1:18" ht="15" customHeight="1" x14ac:dyDescent="0.2">
      <c r="A12" s="82" t="s">
        <v>37</v>
      </c>
      <c r="B12" s="83">
        <f>COUNTIFS('Match Log'!$D$4:$D$1510,B$7,'Match Log'!$C$4:$C$1510,$A12)</f>
        <v>0</v>
      </c>
      <c r="C12" s="83">
        <f>COUNTIFS('Match Log'!$D$4:$D$1510,C$7,'Match Log'!$C$4:$C$1510,$A12)</f>
        <v>1</v>
      </c>
      <c r="D12" s="83">
        <f>COUNTIFS('Match Log'!$D$4:$D$1510,D$7,'Match Log'!$C$4:$C$1510,$A12)</f>
        <v>0</v>
      </c>
      <c r="E12" s="83">
        <f>COUNTIFS('Match Log'!$D$4:$D$1510,E$7,'Match Log'!$C$4:$C$1510,$A12)</f>
        <v>2</v>
      </c>
      <c r="F12" s="83">
        <f>COUNTIFS('Match Log'!$D$4:$D$1510,F$7,'Match Log'!$C$4:$C$1510,$A12)</f>
        <v>5</v>
      </c>
      <c r="G12" s="83">
        <f>COUNTIFS('Match Log'!$D$4:$D$1510,G$7,'Match Log'!$C$4:$C$1510,$A12)</f>
        <v>1</v>
      </c>
      <c r="H12" s="83">
        <f>COUNTIFS('Match Log'!$D$4:$D$1510,H$7,'Match Log'!$C$4:$C$1510,$A12)</f>
        <v>2</v>
      </c>
      <c r="I12" s="83">
        <f>COUNTIFS('Match Log'!$D$4:$D$1510,I$7,'Match Log'!$C$4:$C$1510,$A12)</f>
        <v>12</v>
      </c>
      <c r="J12" s="83">
        <f>COUNTIFS('Match Log'!$D$4:$D$1510,J$7,'Match Log'!$C$4:$C$1510,$A12)</f>
        <v>14</v>
      </c>
      <c r="K12" s="83">
        <f>COUNTIFS('Match Log'!$D$4:$D$1510,K$7,'Match Log'!$C$4:$C$1510,$A12)</f>
        <v>3</v>
      </c>
      <c r="L12" s="83">
        <f>COUNTIFS('Match Log'!$D$4:$D$1510,L$7,'Match Log'!$C$4:$C$1510,$A12)</f>
        <v>4</v>
      </c>
      <c r="M12" s="83">
        <f>COUNTIFS('Match Log'!$D$4:$D$1510,M$7,'Match Log'!$C$4:$C$1510,$A12)</f>
        <v>4</v>
      </c>
      <c r="N12" s="83">
        <f>COUNTIFS('Match Log'!$D$4:$D$1510,N$7,'Match Log'!$C$4:$C$1510,$A12)</f>
        <v>4</v>
      </c>
      <c r="O12" s="83">
        <f>COUNTIFS('Match Log'!$D$4:$D$1510,O$7,'Match Log'!$C$4:$C$1510,$A12)</f>
        <v>0</v>
      </c>
      <c r="P12" s="84">
        <f>SUMPRODUCT(('Match Log'!$C$4:$C$1510=$A12)*('Match Log'!$D$4:$D$1510='Match Log'!$G$4:$G$1510)*('Match Log'!$D$4:$D$1510&lt;&gt;""))</f>
        <v>26</v>
      </c>
      <c r="Q12" s="85" t="str">
        <f t="shared" si="0"/>
        <v>Dean B</v>
      </c>
      <c r="R12" s="84">
        <f t="shared" si="1"/>
        <v>8</v>
      </c>
    </row>
    <row r="13" spans="1:18" ht="15" customHeight="1" x14ac:dyDescent="0.2">
      <c r="A13" s="82" t="s">
        <v>38</v>
      </c>
      <c r="B13" s="83">
        <f>COUNTIFS('Match Log'!$D$4:$D$1510,B$7,'Match Log'!$C$4:$C$1510,$A13)</f>
        <v>1</v>
      </c>
      <c r="C13" s="83">
        <f>COUNTIFS('Match Log'!$D$4:$D$1510,C$7,'Match Log'!$C$4:$C$1510,$A13)</f>
        <v>0</v>
      </c>
      <c r="D13" s="83">
        <f>COUNTIFS('Match Log'!$D$4:$D$1510,D$7,'Match Log'!$C$4:$C$1510,$A13)</f>
        <v>1</v>
      </c>
      <c r="E13" s="83">
        <f>COUNTIFS('Match Log'!$D$4:$D$1510,E$7,'Match Log'!$C$4:$C$1510,$A13)</f>
        <v>1</v>
      </c>
      <c r="F13" s="83">
        <f>COUNTIFS('Match Log'!$D$4:$D$1510,F$7,'Match Log'!$C$4:$C$1510,$A13)</f>
        <v>1</v>
      </c>
      <c r="G13" s="83">
        <f>COUNTIFS('Match Log'!$D$4:$D$1510,G$7,'Match Log'!$C$4:$C$1510,$A13)</f>
        <v>1</v>
      </c>
      <c r="H13" s="83">
        <f>COUNTIFS('Match Log'!$D$4:$D$1510,H$7,'Match Log'!$C$4:$C$1510,$A13)</f>
        <v>1</v>
      </c>
      <c r="I13" s="83">
        <f>COUNTIFS('Match Log'!$D$4:$D$1510,I$7,'Match Log'!$C$4:$C$1510,$A13)</f>
        <v>1</v>
      </c>
      <c r="J13" s="83">
        <f>COUNTIFS('Match Log'!$D$4:$D$1510,J$7,'Match Log'!$C$4:$C$1510,$A13)</f>
        <v>0</v>
      </c>
      <c r="K13" s="83">
        <f>COUNTIFS('Match Log'!$D$4:$D$1510,K$7,'Match Log'!$C$4:$C$1510,$A13)</f>
        <v>0</v>
      </c>
      <c r="L13" s="83">
        <f>COUNTIFS('Match Log'!$D$4:$D$1510,L$7,'Match Log'!$C$4:$C$1510,$A13)</f>
        <v>1</v>
      </c>
      <c r="M13" s="83">
        <f>COUNTIFS('Match Log'!$D$4:$D$1510,M$7,'Match Log'!$C$4:$C$1510,$A13)</f>
        <v>0</v>
      </c>
      <c r="N13" s="83">
        <f>COUNTIFS('Match Log'!$D$4:$D$1510,N$7,'Match Log'!$C$4:$C$1510,$A13)</f>
        <v>0</v>
      </c>
      <c r="O13" s="83">
        <f>COUNTIFS('Match Log'!$D$4:$D$1510,O$7,'Match Log'!$C$4:$C$1510,$A13)</f>
        <v>0</v>
      </c>
      <c r="P13" s="84">
        <f>SUMPRODUCT(('Match Log'!$C$4:$C$1510=$A13)*('Match Log'!$D$4:$D$1510='Match Log'!$G$4:$G$1510)*('Match Log'!$D$4:$D$1510&lt;&gt;""))</f>
        <v>1</v>
      </c>
      <c r="Q13" s="85" t="str">
        <f t="shared" si="0"/>
        <v>Aaron</v>
      </c>
      <c r="R13" s="84">
        <f t="shared" si="1"/>
        <v>1</v>
      </c>
    </row>
    <row r="14" spans="1:18" ht="15" customHeight="1" x14ac:dyDescent="0.2">
      <c r="A14" s="82" t="s">
        <v>39</v>
      </c>
      <c r="B14" s="83">
        <f>COUNTIFS('Match Log'!$D$4:$D$1510,B$7,'Match Log'!$C$4:$C$1510,$A14)</f>
        <v>0</v>
      </c>
      <c r="C14" s="83">
        <f>COUNTIFS('Match Log'!$D$4:$D$1510,C$7,'Match Log'!$C$4:$C$1510,$A14)</f>
        <v>0</v>
      </c>
      <c r="D14" s="83">
        <f>COUNTIFS('Match Log'!$D$4:$D$1510,D$7,'Match Log'!$C$4:$C$1510,$A14)</f>
        <v>0</v>
      </c>
      <c r="E14" s="83">
        <f>COUNTIFS('Match Log'!$D$4:$D$1510,E$7,'Match Log'!$C$4:$C$1510,$A14)</f>
        <v>0</v>
      </c>
      <c r="F14" s="83">
        <f>COUNTIFS('Match Log'!$D$4:$D$1510,F$7,'Match Log'!$C$4:$C$1510,$A14)</f>
        <v>0</v>
      </c>
      <c r="G14" s="83">
        <f>COUNTIFS('Match Log'!$D$4:$D$1510,G$7,'Match Log'!$C$4:$C$1510,$A14)</f>
        <v>0</v>
      </c>
      <c r="H14" s="83">
        <f>COUNTIFS('Match Log'!$D$4:$D$1510,H$7,'Match Log'!$C$4:$C$1510,$A14)</f>
        <v>0</v>
      </c>
      <c r="I14" s="83">
        <f>COUNTIFS('Match Log'!$D$4:$D$1510,I$7,'Match Log'!$C$4:$C$1510,$A14)</f>
        <v>0</v>
      </c>
      <c r="J14" s="83">
        <f>COUNTIFS('Match Log'!$D$4:$D$1510,J$7,'Match Log'!$C$4:$C$1510,$A14)</f>
        <v>0</v>
      </c>
      <c r="K14" s="83">
        <f>COUNTIFS('Match Log'!$D$4:$D$1510,K$7,'Match Log'!$C$4:$C$1510,$A14)</f>
        <v>0</v>
      </c>
      <c r="L14" s="83">
        <f>COUNTIFS('Match Log'!$D$4:$D$1510,L$7,'Match Log'!$C$4:$C$1510,$A14)</f>
        <v>0</v>
      </c>
      <c r="M14" s="83">
        <f>COUNTIFS('Match Log'!$D$4:$D$1510,M$7,'Match Log'!$C$4:$C$1510,$A14)</f>
        <v>0</v>
      </c>
      <c r="N14" s="83">
        <f>COUNTIFS('Match Log'!$D$4:$D$1510,N$7,'Match Log'!$C$4:$C$1510,$A14)</f>
        <v>0</v>
      </c>
      <c r="O14" s="83">
        <f>COUNTIFS('Match Log'!$D$4:$D$1510,O$7,'Match Log'!$C$4:$C$1510,$A14)</f>
        <v>0</v>
      </c>
      <c r="P14" s="84">
        <f>SUMPRODUCT(('Match Log'!$C$4:$C$1510=$A14)*('Match Log'!$D$4:$D$1510='Match Log'!$G$4:$G$1510)*('Match Log'!$D$4:$D$1510&lt;&gt;""))</f>
        <v>0</v>
      </c>
      <c r="Q14" s="85" t="str">
        <f t="shared" si="0"/>
        <v>—</v>
      </c>
      <c r="R14" s="84" t="str">
        <f t="shared" si="1"/>
        <v>—</v>
      </c>
    </row>
    <row r="15" spans="1:18" ht="15" customHeight="1" x14ac:dyDescent="0.2">
      <c r="A15" s="82" t="s">
        <v>40</v>
      </c>
      <c r="B15" s="83">
        <f>COUNTIFS('Match Log'!$D$4:$D$1510,B$7,'Match Log'!$C$4:$C$1510,$A15)</f>
        <v>0</v>
      </c>
      <c r="C15" s="83">
        <f>COUNTIFS('Match Log'!$D$4:$D$1510,C$7,'Match Log'!$C$4:$C$1510,$A15)</f>
        <v>0</v>
      </c>
      <c r="D15" s="83">
        <f>COUNTIFS('Match Log'!$D$4:$D$1510,D$7,'Match Log'!$C$4:$C$1510,$A15)</f>
        <v>0</v>
      </c>
      <c r="E15" s="83">
        <f>COUNTIFS('Match Log'!$D$4:$D$1510,E$7,'Match Log'!$C$4:$C$1510,$A15)</f>
        <v>0</v>
      </c>
      <c r="F15" s="83">
        <f>COUNTIFS('Match Log'!$D$4:$D$1510,F$7,'Match Log'!$C$4:$C$1510,$A15)</f>
        <v>0</v>
      </c>
      <c r="G15" s="83">
        <f>COUNTIFS('Match Log'!$D$4:$D$1510,G$7,'Match Log'!$C$4:$C$1510,$A15)</f>
        <v>0</v>
      </c>
      <c r="H15" s="83">
        <f>COUNTIFS('Match Log'!$D$4:$D$1510,H$7,'Match Log'!$C$4:$C$1510,$A15)</f>
        <v>0</v>
      </c>
      <c r="I15" s="83">
        <f>COUNTIFS('Match Log'!$D$4:$D$1510,I$7,'Match Log'!$C$4:$C$1510,$A15)</f>
        <v>0</v>
      </c>
      <c r="J15" s="83">
        <f>COUNTIFS('Match Log'!$D$4:$D$1510,J$7,'Match Log'!$C$4:$C$1510,$A15)</f>
        <v>0</v>
      </c>
      <c r="K15" s="83">
        <f>COUNTIFS('Match Log'!$D$4:$D$1510,K$7,'Match Log'!$C$4:$C$1510,$A15)</f>
        <v>0</v>
      </c>
      <c r="L15" s="83">
        <f>COUNTIFS('Match Log'!$D$4:$D$1510,L$7,'Match Log'!$C$4:$C$1510,$A15)</f>
        <v>0</v>
      </c>
      <c r="M15" s="83">
        <f>COUNTIFS('Match Log'!$D$4:$D$1510,M$7,'Match Log'!$C$4:$C$1510,$A15)</f>
        <v>0</v>
      </c>
      <c r="N15" s="83">
        <f>COUNTIFS('Match Log'!$D$4:$D$1510,N$7,'Match Log'!$C$4:$C$1510,$A15)</f>
        <v>0</v>
      </c>
      <c r="O15" s="83">
        <f>COUNTIFS('Match Log'!$D$4:$D$1510,O$7,'Match Log'!$C$4:$C$1510,$A15)</f>
        <v>0</v>
      </c>
      <c r="P15" s="84">
        <f>SUMPRODUCT(('Match Log'!$C$4:$C$1510=$A15)*('Match Log'!$D$4:$D$1510='Match Log'!$G$4:$G$1510)*('Match Log'!$D$4:$D$1510&lt;&gt;""))</f>
        <v>0</v>
      </c>
      <c r="Q15" s="85" t="str">
        <f t="shared" si="0"/>
        <v>—</v>
      </c>
      <c r="R15" s="84" t="str">
        <f t="shared" si="1"/>
        <v>—</v>
      </c>
    </row>
    <row r="16" spans="1:18" ht="15" customHeight="1" x14ac:dyDescent="0.2">
      <c r="A16" s="82" t="s">
        <v>41</v>
      </c>
      <c r="B16" s="83">
        <f>COUNTIFS('Match Log'!$D$4:$D$1510,B$7,'Match Log'!$C$4:$C$1510,$A16)</f>
        <v>2</v>
      </c>
      <c r="C16" s="83">
        <f>COUNTIFS('Match Log'!$D$4:$D$1510,C$7,'Match Log'!$C$4:$C$1510,$A16)</f>
        <v>0</v>
      </c>
      <c r="D16" s="83">
        <f>COUNTIFS('Match Log'!$D$4:$D$1510,D$7,'Match Log'!$C$4:$C$1510,$A16)</f>
        <v>0</v>
      </c>
      <c r="E16" s="83">
        <f>COUNTIFS('Match Log'!$D$4:$D$1510,E$7,'Match Log'!$C$4:$C$1510,$A16)</f>
        <v>1</v>
      </c>
      <c r="F16" s="83">
        <f>COUNTIFS('Match Log'!$D$4:$D$1510,F$7,'Match Log'!$C$4:$C$1510,$A16)</f>
        <v>2</v>
      </c>
      <c r="G16" s="83">
        <f>COUNTIFS('Match Log'!$D$4:$D$1510,G$7,'Match Log'!$C$4:$C$1510,$A16)</f>
        <v>3</v>
      </c>
      <c r="H16" s="83">
        <f>COUNTIFS('Match Log'!$D$4:$D$1510,H$7,'Match Log'!$C$4:$C$1510,$A16)</f>
        <v>0</v>
      </c>
      <c r="I16" s="83">
        <f>COUNTIFS('Match Log'!$D$4:$D$1510,I$7,'Match Log'!$C$4:$C$1510,$A16)</f>
        <v>2</v>
      </c>
      <c r="J16" s="83">
        <f>COUNTIFS('Match Log'!$D$4:$D$1510,J$7,'Match Log'!$C$4:$C$1510,$A16)</f>
        <v>0</v>
      </c>
      <c r="K16" s="83">
        <f>COUNTIFS('Match Log'!$D$4:$D$1510,K$7,'Match Log'!$C$4:$C$1510,$A16)</f>
        <v>0</v>
      </c>
      <c r="L16" s="83">
        <f>COUNTIFS('Match Log'!$D$4:$D$1510,L$7,'Match Log'!$C$4:$C$1510,$A16)</f>
        <v>2</v>
      </c>
      <c r="M16" s="83">
        <f>COUNTIFS('Match Log'!$D$4:$D$1510,M$7,'Match Log'!$C$4:$C$1510,$A16)</f>
        <v>0</v>
      </c>
      <c r="N16" s="83">
        <f>COUNTIFS('Match Log'!$D$4:$D$1510,N$7,'Match Log'!$C$4:$C$1510,$A16)</f>
        <v>0</v>
      </c>
      <c r="O16" s="83">
        <f>COUNTIFS('Match Log'!$D$4:$D$1510,O$7,'Match Log'!$C$4:$C$1510,$A16)</f>
        <v>0</v>
      </c>
      <c r="P16" s="84">
        <f>SUMPRODUCT(('Match Log'!$C$4:$C$1510=$A16)*('Match Log'!$D$4:$D$1510='Match Log'!$G$4:$G$1510)*('Match Log'!$D$4:$D$1510&lt;&gt;""))</f>
        <v>4</v>
      </c>
      <c r="Q16" s="85" t="str">
        <f t="shared" si="0"/>
        <v>Josh</v>
      </c>
      <c r="R16" s="84">
        <f t="shared" si="1"/>
        <v>2</v>
      </c>
    </row>
    <row r="17" spans="1:22" ht="15" customHeight="1" x14ac:dyDescent="0.2">
      <c r="A17" s="82" t="s">
        <v>42</v>
      </c>
      <c r="B17" s="83">
        <f>COUNTIFS('Match Log'!$D$4:$D$1510,B$7,'Match Log'!$C$4:$C$1510,$A17)</f>
        <v>0</v>
      </c>
      <c r="C17" s="83">
        <f>COUNTIFS('Match Log'!$D$4:$D$1510,C$7,'Match Log'!$C$4:$C$1510,$A17)</f>
        <v>0</v>
      </c>
      <c r="D17" s="83">
        <f>COUNTIFS('Match Log'!$D$4:$D$1510,D$7,'Match Log'!$C$4:$C$1510,$A17)</f>
        <v>0</v>
      </c>
      <c r="E17" s="83">
        <f>COUNTIFS('Match Log'!$D$4:$D$1510,E$7,'Match Log'!$C$4:$C$1510,$A17)</f>
        <v>0</v>
      </c>
      <c r="F17" s="83">
        <f>COUNTIFS('Match Log'!$D$4:$D$1510,F$7,'Match Log'!$C$4:$C$1510,$A17)</f>
        <v>0</v>
      </c>
      <c r="G17" s="83">
        <f>COUNTIFS('Match Log'!$D$4:$D$1510,G$7,'Match Log'!$C$4:$C$1510,$A17)</f>
        <v>6</v>
      </c>
      <c r="H17" s="83">
        <f>COUNTIFS('Match Log'!$D$4:$D$1510,H$7,'Match Log'!$C$4:$C$1510,$A17)</f>
        <v>6</v>
      </c>
      <c r="I17" s="83">
        <f>COUNTIFS('Match Log'!$D$4:$D$1510,I$7,'Match Log'!$C$4:$C$1510,$A17)</f>
        <v>0</v>
      </c>
      <c r="J17" s="83">
        <f>COUNTIFS('Match Log'!$D$4:$D$1510,J$7,'Match Log'!$C$4:$C$1510,$A17)</f>
        <v>0</v>
      </c>
      <c r="K17" s="83">
        <f>COUNTIFS('Match Log'!$D$4:$D$1510,K$7,'Match Log'!$C$4:$C$1510,$A17)</f>
        <v>0</v>
      </c>
      <c r="L17" s="83">
        <f>COUNTIFS('Match Log'!$D$4:$D$1510,L$7,'Match Log'!$C$4:$C$1510,$A17)</f>
        <v>6</v>
      </c>
      <c r="M17" s="83">
        <f>COUNTIFS('Match Log'!$D$4:$D$1510,M$7,'Match Log'!$C$4:$C$1510,$A17)</f>
        <v>0</v>
      </c>
      <c r="N17" s="83">
        <f>COUNTIFS('Match Log'!$D$4:$D$1510,N$7,'Match Log'!$C$4:$C$1510,$A17)</f>
        <v>0</v>
      </c>
      <c r="O17" s="83">
        <f>COUNTIFS('Match Log'!$D$4:$D$1510,O$7,'Match Log'!$C$4:$C$1510,$A17)</f>
        <v>0</v>
      </c>
      <c r="P17" s="84">
        <f>SUMPRODUCT(('Match Log'!$C$4:$C$1510=$A17)*('Match Log'!$D$4:$D$1510='Match Log'!$G$4:$G$1510)*('Match Log'!$D$4:$D$1510&lt;&gt;""))</f>
        <v>6</v>
      </c>
      <c r="Q17" s="85" t="str">
        <f t="shared" si="0"/>
        <v>Simon</v>
      </c>
      <c r="R17" s="84">
        <f t="shared" si="1"/>
        <v>5</v>
      </c>
    </row>
    <row r="18" spans="1:22" ht="15" customHeight="1" x14ac:dyDescent="0.2">
      <c r="A18" s="82" t="s">
        <v>43</v>
      </c>
      <c r="B18" s="83">
        <f>COUNTIFS('Match Log'!$D$4:$D$1510,B$7,'Match Log'!$C$4:$C$1510,$A18)</f>
        <v>0</v>
      </c>
      <c r="C18" s="83">
        <f>COUNTIFS('Match Log'!$D$4:$D$1510,C$7,'Match Log'!$C$4:$C$1510,$A18)</f>
        <v>0</v>
      </c>
      <c r="D18" s="83">
        <f>COUNTIFS('Match Log'!$D$4:$D$1510,D$7,'Match Log'!$C$4:$C$1510,$A18)</f>
        <v>0</v>
      </c>
      <c r="E18" s="83">
        <f>COUNTIFS('Match Log'!$D$4:$D$1510,E$7,'Match Log'!$C$4:$C$1510,$A18)</f>
        <v>0</v>
      </c>
      <c r="F18" s="83">
        <f>COUNTIFS('Match Log'!$D$4:$D$1510,F$7,'Match Log'!$C$4:$C$1510,$A18)</f>
        <v>0</v>
      </c>
      <c r="G18" s="83">
        <f>COUNTIFS('Match Log'!$D$4:$D$1510,G$7,'Match Log'!$C$4:$C$1510,$A18)</f>
        <v>0</v>
      </c>
      <c r="H18" s="83">
        <f>COUNTIFS('Match Log'!$D$4:$D$1510,H$7,'Match Log'!$C$4:$C$1510,$A18)</f>
        <v>0</v>
      </c>
      <c r="I18" s="83">
        <f>COUNTIFS('Match Log'!$D$4:$D$1510,I$7,'Match Log'!$C$4:$C$1510,$A18)</f>
        <v>0</v>
      </c>
      <c r="J18" s="83">
        <f>COUNTIFS('Match Log'!$D$4:$D$1510,J$7,'Match Log'!$C$4:$C$1510,$A18)</f>
        <v>0</v>
      </c>
      <c r="K18" s="83">
        <f>COUNTIFS('Match Log'!$D$4:$D$1510,K$7,'Match Log'!$C$4:$C$1510,$A18)</f>
        <v>0</v>
      </c>
      <c r="L18" s="83">
        <f>COUNTIFS('Match Log'!$D$4:$D$1510,L$7,'Match Log'!$C$4:$C$1510,$A18)</f>
        <v>0</v>
      </c>
      <c r="M18" s="83">
        <f>COUNTIFS('Match Log'!$D$4:$D$1510,M$7,'Match Log'!$C$4:$C$1510,$A18)</f>
        <v>0</v>
      </c>
      <c r="N18" s="83">
        <f>COUNTIFS('Match Log'!$D$4:$D$1510,N$7,'Match Log'!$C$4:$C$1510,$A18)</f>
        <v>0</v>
      </c>
      <c r="O18" s="83">
        <f>COUNTIFS('Match Log'!$D$4:$D$1510,O$7,'Match Log'!$C$4:$C$1510,$A18)</f>
        <v>0</v>
      </c>
      <c r="P18" s="84">
        <f>SUMPRODUCT(('Match Log'!$C$4:$C$1510=$A18)*('Match Log'!$D$4:$D$1510='Match Log'!$G$4:$G$1510)*('Match Log'!$D$4:$D$1510&lt;&gt;""))</f>
        <v>0</v>
      </c>
      <c r="Q18" s="85" t="str">
        <f t="shared" si="0"/>
        <v>—</v>
      </c>
      <c r="R18" s="84" t="str">
        <f t="shared" si="1"/>
        <v>—</v>
      </c>
    </row>
    <row r="19" spans="1:22" ht="15" customHeight="1" x14ac:dyDescent="0.2">
      <c r="A19" s="82" t="s">
        <v>44</v>
      </c>
      <c r="B19" s="83">
        <f>COUNTIFS('Match Log'!$D$4:$D$1510,B$7,'Match Log'!$C$4:$C$1510,$A19)</f>
        <v>16</v>
      </c>
      <c r="C19" s="83">
        <f>COUNTIFS('Match Log'!$D$4:$D$1510,C$7,'Match Log'!$C$4:$C$1510,$A19)</f>
        <v>1</v>
      </c>
      <c r="D19" s="83">
        <f>COUNTIFS('Match Log'!$D$4:$D$1510,D$7,'Match Log'!$C$4:$C$1510,$A19)</f>
        <v>0</v>
      </c>
      <c r="E19" s="83">
        <f>COUNTIFS('Match Log'!$D$4:$D$1510,E$7,'Match Log'!$C$4:$C$1510,$A19)</f>
        <v>9</v>
      </c>
      <c r="F19" s="83">
        <f>COUNTIFS('Match Log'!$D$4:$D$1510,F$7,'Match Log'!$C$4:$C$1510,$A19)</f>
        <v>15</v>
      </c>
      <c r="G19" s="83">
        <f>COUNTIFS('Match Log'!$D$4:$D$1510,G$7,'Match Log'!$C$4:$C$1510,$A19)</f>
        <v>15</v>
      </c>
      <c r="H19" s="83">
        <f>COUNTIFS('Match Log'!$D$4:$D$1510,H$7,'Match Log'!$C$4:$C$1510,$A19)</f>
        <v>10</v>
      </c>
      <c r="I19" s="83">
        <f>COUNTIFS('Match Log'!$D$4:$D$1510,I$7,'Match Log'!$C$4:$C$1510,$A19)</f>
        <v>16</v>
      </c>
      <c r="J19" s="83">
        <f>COUNTIFS('Match Log'!$D$4:$D$1510,J$7,'Match Log'!$C$4:$C$1510,$A19)</f>
        <v>7</v>
      </c>
      <c r="K19" s="83">
        <f>COUNTIFS('Match Log'!$D$4:$D$1510,K$7,'Match Log'!$C$4:$C$1510,$A19)</f>
        <v>5</v>
      </c>
      <c r="L19" s="83">
        <f>COUNTIFS('Match Log'!$D$4:$D$1510,L$7,'Match Log'!$C$4:$C$1510,$A19)</f>
        <v>18</v>
      </c>
      <c r="M19" s="83">
        <f>COUNTIFS('Match Log'!$D$4:$D$1510,M$7,'Match Log'!$C$4:$C$1510,$A19)</f>
        <v>0</v>
      </c>
      <c r="N19" s="83">
        <f>COUNTIFS('Match Log'!$D$4:$D$1510,N$7,'Match Log'!$C$4:$C$1510,$A19)</f>
        <v>0</v>
      </c>
      <c r="O19" s="83">
        <f>COUNTIFS('Match Log'!$D$4:$D$1510,O$7,'Match Log'!$C$4:$C$1510,$A19)</f>
        <v>0</v>
      </c>
      <c r="P19" s="84">
        <f>SUMPRODUCT(('Match Log'!$C$4:$C$1510=$A19)*('Match Log'!$D$4:$D$1510='Match Log'!$G$4:$G$1510)*('Match Log'!$D$4:$D$1510&lt;&gt;""))</f>
        <v>56</v>
      </c>
      <c r="Q19" s="85" t="str">
        <f t="shared" si="0"/>
        <v>Josh</v>
      </c>
      <c r="R19" s="84">
        <f t="shared" si="1"/>
        <v>13</v>
      </c>
    </row>
    <row r="20" spans="1:22" ht="15" customHeight="1" x14ac:dyDescent="0.2">
      <c r="A20" s="82" t="s">
        <v>9</v>
      </c>
      <c r="B20" s="83">
        <f>COUNTIFS('Match Log'!$D$4:$D$1510,B$7,'Match Log'!$C$4:$C$1510,$A20)</f>
        <v>7</v>
      </c>
      <c r="C20" s="83">
        <f>COUNTIFS('Match Log'!$D$4:$D$1510,C$7,'Match Log'!$C$4:$C$1510,$A20)</f>
        <v>0</v>
      </c>
      <c r="D20" s="83">
        <f>COUNTIFS('Match Log'!$D$4:$D$1510,D$7,'Match Log'!$C$4:$C$1510,$A20)</f>
        <v>0</v>
      </c>
      <c r="E20" s="83">
        <f>COUNTIFS('Match Log'!$D$4:$D$1510,E$7,'Match Log'!$C$4:$C$1510,$A20)</f>
        <v>0</v>
      </c>
      <c r="F20" s="83">
        <f>COUNTIFS('Match Log'!$D$4:$D$1510,F$7,'Match Log'!$C$4:$C$1510,$A20)</f>
        <v>1</v>
      </c>
      <c r="G20" s="83">
        <f>COUNTIFS('Match Log'!$D$4:$D$1510,G$7,'Match Log'!$C$4:$C$1510,$A20)</f>
        <v>13</v>
      </c>
      <c r="H20" s="83">
        <f>COUNTIFS('Match Log'!$D$4:$D$1510,H$7,'Match Log'!$C$4:$C$1510,$A20)</f>
        <v>0</v>
      </c>
      <c r="I20" s="83">
        <f>COUNTIFS('Match Log'!$D$4:$D$1510,I$7,'Match Log'!$C$4:$C$1510,$A20)</f>
        <v>6</v>
      </c>
      <c r="J20" s="83">
        <f>COUNTIFS('Match Log'!$D$4:$D$1510,J$7,'Match Log'!$C$4:$C$1510,$A20)</f>
        <v>0</v>
      </c>
      <c r="K20" s="83">
        <f>COUNTIFS('Match Log'!$D$4:$D$1510,K$7,'Match Log'!$C$4:$C$1510,$A20)</f>
        <v>0</v>
      </c>
      <c r="L20" s="83">
        <f>COUNTIFS('Match Log'!$D$4:$D$1510,L$7,'Match Log'!$C$4:$C$1510,$A20)</f>
        <v>3</v>
      </c>
      <c r="M20" s="83">
        <f>COUNTIFS('Match Log'!$D$4:$D$1510,M$7,'Match Log'!$C$4:$C$1510,$A20)</f>
        <v>0</v>
      </c>
      <c r="N20" s="83">
        <f>COUNTIFS('Match Log'!$D$4:$D$1510,N$7,'Match Log'!$C$4:$C$1510,$A20)</f>
        <v>0</v>
      </c>
      <c r="O20" s="83">
        <f>COUNTIFS('Match Log'!$D$4:$D$1510,O$7,'Match Log'!$C$4:$C$1510,$A20)</f>
        <v>0</v>
      </c>
      <c r="P20" s="84">
        <f>SUMPRODUCT(('Match Log'!$C$4:$C$1510=$A20)*('Match Log'!$D$4:$D$1510='Match Log'!$G$4:$G$1510)*('Match Log'!$D$4:$D$1510&lt;&gt;""))</f>
        <v>14</v>
      </c>
      <c r="Q20" s="85" t="str">
        <f t="shared" si="0"/>
        <v>Shawn</v>
      </c>
      <c r="R20" s="84">
        <f t="shared" si="1"/>
        <v>5</v>
      </c>
      <c r="V20" t="s">
        <v>445</v>
      </c>
    </row>
    <row r="21" spans="1:22" ht="15" customHeight="1" x14ac:dyDescent="0.2">
      <c r="A21" s="82" t="s">
        <v>45</v>
      </c>
      <c r="B21" s="83">
        <f>COUNTIFS('Match Log'!$D$4:$D$1510,B$7,'Match Log'!$C$4:$C$1510,$A21)</f>
        <v>3</v>
      </c>
      <c r="C21" s="83">
        <f>COUNTIFS('Match Log'!$D$4:$D$1510,C$7,'Match Log'!$C$4:$C$1510,$A21)</f>
        <v>0</v>
      </c>
      <c r="D21" s="83">
        <f>COUNTIFS('Match Log'!$D$4:$D$1510,D$7,'Match Log'!$C$4:$C$1510,$A21)</f>
        <v>1</v>
      </c>
      <c r="E21" s="83">
        <f>COUNTIFS('Match Log'!$D$4:$D$1510,E$7,'Match Log'!$C$4:$C$1510,$A21)</f>
        <v>0</v>
      </c>
      <c r="F21" s="83">
        <f>COUNTIFS('Match Log'!$D$4:$D$1510,F$7,'Match Log'!$C$4:$C$1510,$A21)</f>
        <v>7</v>
      </c>
      <c r="G21" s="83">
        <f>COUNTIFS('Match Log'!$D$4:$D$1510,G$7,'Match Log'!$C$4:$C$1510,$A21)</f>
        <v>16</v>
      </c>
      <c r="H21" s="83">
        <f>COUNTIFS('Match Log'!$D$4:$D$1510,H$7,'Match Log'!$C$4:$C$1510,$A21)</f>
        <v>1</v>
      </c>
      <c r="I21" s="83">
        <f>COUNTIFS('Match Log'!$D$4:$D$1510,I$7,'Match Log'!$C$4:$C$1510,$A21)</f>
        <v>7</v>
      </c>
      <c r="J21" s="83">
        <f>COUNTIFS('Match Log'!$D$4:$D$1510,J$7,'Match Log'!$C$4:$C$1510,$A21)</f>
        <v>0</v>
      </c>
      <c r="K21" s="83">
        <f>COUNTIFS('Match Log'!$D$4:$D$1510,K$7,'Match Log'!$C$4:$C$1510,$A21)</f>
        <v>0</v>
      </c>
      <c r="L21" s="83">
        <f>COUNTIFS('Match Log'!$D$4:$D$1510,L$7,'Match Log'!$C$4:$C$1510,$A21)</f>
        <v>13</v>
      </c>
      <c r="M21" s="83">
        <f>COUNTIFS('Match Log'!$D$4:$D$1510,M$7,'Match Log'!$C$4:$C$1510,$A21)</f>
        <v>0</v>
      </c>
      <c r="N21" s="83">
        <f>COUNTIFS('Match Log'!$D$4:$D$1510,N$7,'Match Log'!$C$4:$C$1510,$A21)</f>
        <v>0</v>
      </c>
      <c r="O21" s="83">
        <f>COUNTIFS('Match Log'!$D$4:$D$1510,O$7,'Match Log'!$C$4:$C$1510,$A21)</f>
        <v>0</v>
      </c>
      <c r="P21" s="84">
        <f>SUMPRODUCT(('Match Log'!$C$4:$C$1510=$A21)*('Match Log'!$D$4:$D$1510='Match Log'!$G$4:$G$1510)*('Match Log'!$D$4:$D$1510&lt;&gt;""))</f>
        <v>23</v>
      </c>
      <c r="Q21" s="85" t="str">
        <f t="shared" si="0"/>
        <v>Oscar</v>
      </c>
      <c r="R21" s="84">
        <f t="shared" si="1"/>
        <v>9</v>
      </c>
    </row>
    <row r="22" spans="1:22" ht="15" customHeight="1" x14ac:dyDescent="0.2">
      <c r="A22" s="82" t="s">
        <v>46</v>
      </c>
      <c r="B22" s="83">
        <f>COUNTIFS('Match Log'!$D$4:$D$1510,B$7,'Match Log'!$C$4:$C$1510,$A22)</f>
        <v>0</v>
      </c>
      <c r="C22" s="83">
        <f>COUNTIFS('Match Log'!$D$4:$D$1510,C$7,'Match Log'!$C$4:$C$1510,$A22)</f>
        <v>0</v>
      </c>
      <c r="D22" s="83">
        <f>COUNTIFS('Match Log'!$D$4:$D$1510,D$7,'Match Log'!$C$4:$C$1510,$A22)</f>
        <v>0</v>
      </c>
      <c r="E22" s="83">
        <f>COUNTIFS('Match Log'!$D$4:$D$1510,E$7,'Match Log'!$C$4:$C$1510,$A22)</f>
        <v>0</v>
      </c>
      <c r="F22" s="83">
        <f>COUNTIFS('Match Log'!$D$4:$D$1510,F$7,'Match Log'!$C$4:$C$1510,$A22)</f>
        <v>0</v>
      </c>
      <c r="G22" s="83">
        <f>COUNTIFS('Match Log'!$D$4:$D$1510,G$7,'Match Log'!$C$4:$C$1510,$A22)</f>
        <v>0</v>
      </c>
      <c r="H22" s="83">
        <f>COUNTIFS('Match Log'!$D$4:$D$1510,H$7,'Match Log'!$C$4:$C$1510,$A22)</f>
        <v>0</v>
      </c>
      <c r="I22" s="83">
        <f>COUNTIFS('Match Log'!$D$4:$D$1510,I$7,'Match Log'!$C$4:$C$1510,$A22)</f>
        <v>0</v>
      </c>
      <c r="J22" s="83">
        <f>COUNTIFS('Match Log'!$D$4:$D$1510,J$7,'Match Log'!$C$4:$C$1510,$A22)</f>
        <v>0</v>
      </c>
      <c r="K22" s="83">
        <f>COUNTIFS('Match Log'!$D$4:$D$1510,K$7,'Match Log'!$C$4:$C$1510,$A22)</f>
        <v>0</v>
      </c>
      <c r="L22" s="83">
        <f>COUNTIFS('Match Log'!$D$4:$D$1510,L$7,'Match Log'!$C$4:$C$1510,$A22)</f>
        <v>0</v>
      </c>
      <c r="M22" s="83">
        <f>COUNTIFS('Match Log'!$D$4:$D$1510,M$7,'Match Log'!$C$4:$C$1510,$A22)</f>
        <v>0</v>
      </c>
      <c r="N22" s="83">
        <f>COUNTIFS('Match Log'!$D$4:$D$1510,N$7,'Match Log'!$C$4:$C$1510,$A22)</f>
        <v>0</v>
      </c>
      <c r="O22" s="83">
        <f>COUNTIFS('Match Log'!$D$4:$D$1510,O$7,'Match Log'!$C$4:$C$1510,$A22)</f>
        <v>0</v>
      </c>
      <c r="P22" s="84">
        <f>SUMPRODUCT(('Match Log'!$C$4:$C$1510=$A22)*('Match Log'!$D$4:$D$1510='Match Log'!$G$4:$G$1510)*('Match Log'!$D$4:$D$1510&lt;&gt;""))</f>
        <v>0</v>
      </c>
      <c r="Q22" s="85" t="str">
        <f t="shared" si="0"/>
        <v>—</v>
      </c>
      <c r="R22" s="84" t="str">
        <f t="shared" si="1"/>
        <v>—</v>
      </c>
    </row>
    <row r="23" spans="1:22" ht="15" customHeight="1" x14ac:dyDescent="0.2">
      <c r="A23" s="82" t="s">
        <v>47</v>
      </c>
      <c r="B23" s="83">
        <f>COUNTIFS('Match Log'!$D$4:$D$1510,B$7,'Match Log'!$C$4:$C$1510,$A23)</f>
        <v>12</v>
      </c>
      <c r="C23" s="83">
        <f>COUNTIFS('Match Log'!$D$4:$D$1510,C$7,'Match Log'!$C$4:$C$1510,$A23)</f>
        <v>0</v>
      </c>
      <c r="D23" s="83">
        <f>COUNTIFS('Match Log'!$D$4:$D$1510,D$7,'Match Log'!$C$4:$C$1510,$A23)</f>
        <v>2</v>
      </c>
      <c r="E23" s="83">
        <f>COUNTIFS('Match Log'!$D$4:$D$1510,E$7,'Match Log'!$C$4:$C$1510,$A23)</f>
        <v>0</v>
      </c>
      <c r="F23" s="83">
        <f>COUNTIFS('Match Log'!$D$4:$D$1510,F$7,'Match Log'!$C$4:$C$1510,$A23)</f>
        <v>0</v>
      </c>
      <c r="G23" s="83">
        <f>COUNTIFS('Match Log'!$D$4:$D$1510,G$7,'Match Log'!$C$4:$C$1510,$A23)</f>
        <v>0</v>
      </c>
      <c r="H23" s="83">
        <f>COUNTIFS('Match Log'!$D$4:$D$1510,H$7,'Match Log'!$C$4:$C$1510,$A23)</f>
        <v>0</v>
      </c>
      <c r="I23" s="83">
        <f>COUNTIFS('Match Log'!$D$4:$D$1510,I$7,'Match Log'!$C$4:$C$1510,$A23)</f>
        <v>12</v>
      </c>
      <c r="J23" s="83">
        <f>COUNTIFS('Match Log'!$D$4:$D$1510,J$7,'Match Log'!$C$4:$C$1510,$A23)</f>
        <v>0</v>
      </c>
      <c r="K23" s="83">
        <f>COUNTIFS('Match Log'!$D$4:$D$1510,K$7,'Match Log'!$C$4:$C$1510,$A23)</f>
        <v>0</v>
      </c>
      <c r="L23" s="83">
        <f>COUNTIFS('Match Log'!$D$4:$D$1510,L$7,'Match Log'!$C$4:$C$1510,$A23)</f>
        <v>0</v>
      </c>
      <c r="M23" s="83">
        <f>COUNTIFS('Match Log'!$D$4:$D$1510,M$7,'Match Log'!$C$4:$C$1510,$A23)</f>
        <v>0</v>
      </c>
      <c r="N23" s="83">
        <f>COUNTIFS('Match Log'!$D$4:$D$1510,N$7,'Match Log'!$C$4:$C$1510,$A23)</f>
        <v>0</v>
      </c>
      <c r="O23" s="83">
        <f>COUNTIFS('Match Log'!$D$4:$D$1510,O$7,'Match Log'!$C$4:$C$1510,$A23)</f>
        <v>0</v>
      </c>
      <c r="P23" s="84">
        <f>SUMPRODUCT(('Match Log'!$C$4:$C$1510=$A23)*('Match Log'!$D$4:$D$1510='Match Log'!$G$4:$G$1510)*('Match Log'!$D$4:$D$1510&lt;&gt;""))</f>
        <v>13</v>
      </c>
      <c r="Q23" s="85" t="str">
        <f t="shared" si="0"/>
        <v>Daniel (Ferret)</v>
      </c>
      <c r="R23" s="84">
        <f t="shared" si="1"/>
        <v>8</v>
      </c>
    </row>
    <row r="24" spans="1:22" ht="15" customHeight="1" x14ac:dyDescent="0.2">
      <c r="A24" s="82" t="s">
        <v>48</v>
      </c>
      <c r="B24" s="83">
        <f>COUNTIFS('Match Log'!$D$4:$D$1510,B$7,'Match Log'!$C$4:$C$1510,$A24)</f>
        <v>1</v>
      </c>
      <c r="C24" s="83">
        <f>COUNTIFS('Match Log'!$D$4:$D$1510,C$7,'Match Log'!$C$4:$C$1510,$A24)</f>
        <v>0</v>
      </c>
      <c r="D24" s="83">
        <f>COUNTIFS('Match Log'!$D$4:$D$1510,D$7,'Match Log'!$C$4:$C$1510,$A24)</f>
        <v>1</v>
      </c>
      <c r="E24" s="83">
        <f>COUNTIFS('Match Log'!$D$4:$D$1510,E$7,'Match Log'!$C$4:$C$1510,$A24)</f>
        <v>0</v>
      </c>
      <c r="F24" s="83">
        <f>COUNTIFS('Match Log'!$D$4:$D$1510,F$7,'Match Log'!$C$4:$C$1510,$A24)</f>
        <v>2</v>
      </c>
      <c r="G24" s="83">
        <f>COUNTIFS('Match Log'!$D$4:$D$1510,G$7,'Match Log'!$C$4:$C$1510,$A24)</f>
        <v>1</v>
      </c>
      <c r="H24" s="83">
        <f>COUNTIFS('Match Log'!$D$4:$D$1510,H$7,'Match Log'!$C$4:$C$1510,$A24)</f>
        <v>1</v>
      </c>
      <c r="I24" s="83">
        <f>COUNTIFS('Match Log'!$D$4:$D$1510,I$7,'Match Log'!$C$4:$C$1510,$A24)</f>
        <v>2</v>
      </c>
      <c r="J24" s="83">
        <f>COUNTIFS('Match Log'!$D$4:$D$1510,J$7,'Match Log'!$C$4:$C$1510,$A24)</f>
        <v>0</v>
      </c>
      <c r="K24" s="83">
        <f>COUNTIFS('Match Log'!$D$4:$D$1510,K$7,'Match Log'!$C$4:$C$1510,$A24)</f>
        <v>0</v>
      </c>
      <c r="L24" s="83">
        <f>COUNTIFS('Match Log'!$D$4:$D$1510,L$7,'Match Log'!$C$4:$C$1510,$A24)</f>
        <v>0</v>
      </c>
      <c r="M24" s="83">
        <f>COUNTIFS('Match Log'!$D$4:$D$1510,M$7,'Match Log'!$C$4:$C$1510,$A24)</f>
        <v>0</v>
      </c>
      <c r="N24" s="83">
        <f>COUNTIFS('Match Log'!$D$4:$D$1510,N$7,'Match Log'!$C$4:$C$1510,$A24)</f>
        <v>0</v>
      </c>
      <c r="O24" s="83">
        <f>COUNTIFS('Match Log'!$D$4:$D$1510,O$7,'Match Log'!$C$4:$C$1510,$A24)</f>
        <v>0</v>
      </c>
      <c r="P24" s="84">
        <f>SUMPRODUCT(('Match Log'!$C$4:$C$1510=$A24)*('Match Log'!$D$4:$D$1510='Match Log'!$G$4:$G$1510)*('Match Log'!$D$4:$D$1510&lt;&gt;""))</f>
        <v>2</v>
      </c>
      <c r="Q24" s="85" t="str">
        <f t="shared" si="0"/>
        <v>Josh</v>
      </c>
      <c r="R24" s="84">
        <f t="shared" si="1"/>
        <v>2</v>
      </c>
    </row>
    <row r="25" spans="1:22" ht="15" customHeight="1" x14ac:dyDescent="0.2">
      <c r="A25" s="82" t="s">
        <v>49</v>
      </c>
      <c r="B25" s="83">
        <f>COUNTIFS('Match Log'!$D$4:$D$1510,B$7,'Match Log'!$C$4:$C$1510,$A25)</f>
        <v>7</v>
      </c>
      <c r="C25" s="83">
        <f>COUNTIFS('Match Log'!$D$4:$D$1510,C$7,'Match Log'!$C$4:$C$1510,$A25)</f>
        <v>8</v>
      </c>
      <c r="D25" s="83">
        <f>COUNTIFS('Match Log'!$D$4:$D$1510,D$7,'Match Log'!$C$4:$C$1510,$A25)</f>
        <v>1</v>
      </c>
      <c r="E25" s="83">
        <f>COUNTIFS('Match Log'!$D$4:$D$1510,E$7,'Match Log'!$C$4:$C$1510,$A25)</f>
        <v>7</v>
      </c>
      <c r="F25" s="83">
        <f>COUNTIFS('Match Log'!$D$4:$D$1510,F$7,'Match Log'!$C$4:$C$1510,$A25)</f>
        <v>8</v>
      </c>
      <c r="G25" s="83">
        <f>COUNTIFS('Match Log'!$D$4:$D$1510,G$7,'Match Log'!$C$4:$C$1510,$A25)</f>
        <v>9</v>
      </c>
      <c r="H25" s="83">
        <f>COUNTIFS('Match Log'!$D$4:$D$1510,H$7,'Match Log'!$C$4:$C$1510,$A25)</f>
        <v>11</v>
      </c>
      <c r="I25" s="83">
        <f>COUNTIFS('Match Log'!$D$4:$D$1510,I$7,'Match Log'!$C$4:$C$1510,$A25)</f>
        <v>9</v>
      </c>
      <c r="J25" s="83">
        <f>COUNTIFS('Match Log'!$D$4:$D$1510,J$7,'Match Log'!$C$4:$C$1510,$A25)</f>
        <v>10</v>
      </c>
      <c r="K25" s="83">
        <f>COUNTIFS('Match Log'!$D$4:$D$1510,K$7,'Match Log'!$C$4:$C$1510,$A25)</f>
        <v>7</v>
      </c>
      <c r="L25" s="83">
        <f>COUNTIFS('Match Log'!$D$4:$D$1510,L$7,'Match Log'!$C$4:$C$1510,$A25)</f>
        <v>12</v>
      </c>
      <c r="M25" s="83">
        <f>COUNTIFS('Match Log'!$D$4:$D$1510,M$7,'Match Log'!$C$4:$C$1510,$A25)</f>
        <v>5</v>
      </c>
      <c r="N25" s="83">
        <f>COUNTIFS('Match Log'!$D$4:$D$1510,N$7,'Match Log'!$C$4:$C$1510,$A25)</f>
        <v>4</v>
      </c>
      <c r="O25" s="83">
        <f>COUNTIFS('Match Log'!$D$4:$D$1510,O$7,'Match Log'!$C$4:$C$1510,$A25)</f>
        <v>0</v>
      </c>
      <c r="P25" s="84">
        <f>SUMPRODUCT(('Match Log'!$C$4:$C$1510=$A25)*('Match Log'!$D$4:$D$1510='Match Log'!$G$4:$G$1510)*('Match Log'!$D$4:$D$1510&lt;&gt;""))</f>
        <v>31</v>
      </c>
      <c r="Q25" s="85" t="str">
        <f t="shared" si="0"/>
        <v>Simon</v>
      </c>
      <c r="R25" s="84">
        <f t="shared" si="1"/>
        <v>8</v>
      </c>
    </row>
    <row r="26" spans="1:22" ht="15" customHeight="1" x14ac:dyDescent="0.2">
      <c r="A26" s="82" t="s">
        <v>50</v>
      </c>
      <c r="B26" s="83">
        <f>COUNTIFS('Match Log'!$D$4:$D$1510,B$7,'Match Log'!$C$4:$C$1510,$A26)</f>
        <v>16</v>
      </c>
      <c r="C26" s="83">
        <f>COUNTIFS('Match Log'!$D$4:$D$1510,C$7,'Match Log'!$C$4:$C$1510,$A26)</f>
        <v>0</v>
      </c>
      <c r="D26" s="83">
        <f>COUNTIFS('Match Log'!$D$4:$D$1510,D$7,'Match Log'!$C$4:$C$1510,$A26)</f>
        <v>10</v>
      </c>
      <c r="E26" s="83">
        <f>COUNTIFS('Match Log'!$D$4:$D$1510,E$7,'Match Log'!$C$4:$C$1510,$A26)</f>
        <v>0</v>
      </c>
      <c r="F26" s="83">
        <f>COUNTIFS('Match Log'!$D$4:$D$1510,F$7,'Match Log'!$C$4:$C$1510,$A26)</f>
        <v>4</v>
      </c>
      <c r="G26" s="83">
        <f>COUNTIFS('Match Log'!$D$4:$D$1510,G$7,'Match Log'!$C$4:$C$1510,$A26)</f>
        <v>48</v>
      </c>
      <c r="H26" s="83">
        <f>COUNTIFS('Match Log'!$D$4:$D$1510,H$7,'Match Log'!$C$4:$C$1510,$A26)</f>
        <v>1</v>
      </c>
      <c r="I26" s="83">
        <f>COUNTIFS('Match Log'!$D$4:$D$1510,I$7,'Match Log'!$C$4:$C$1510,$A26)</f>
        <v>41</v>
      </c>
      <c r="J26" s="83">
        <f>COUNTIFS('Match Log'!$D$4:$D$1510,J$7,'Match Log'!$C$4:$C$1510,$A26)</f>
        <v>0</v>
      </c>
      <c r="K26" s="83">
        <f>COUNTIFS('Match Log'!$D$4:$D$1510,K$7,'Match Log'!$C$4:$C$1510,$A26)</f>
        <v>0</v>
      </c>
      <c r="L26" s="83">
        <f>COUNTIFS('Match Log'!$D$4:$D$1510,L$7,'Match Log'!$C$4:$C$1510,$A26)</f>
        <v>11</v>
      </c>
      <c r="M26" s="83">
        <f>COUNTIFS('Match Log'!$D$4:$D$1510,M$7,'Match Log'!$C$4:$C$1510,$A26)</f>
        <v>0</v>
      </c>
      <c r="N26" s="83">
        <f>COUNTIFS('Match Log'!$D$4:$D$1510,N$7,'Match Log'!$C$4:$C$1510,$A26)</f>
        <v>2</v>
      </c>
      <c r="O26" s="83">
        <f>COUNTIFS('Match Log'!$D$4:$D$1510,O$7,'Match Log'!$C$4:$C$1510,$A26)</f>
        <v>0</v>
      </c>
      <c r="P26" s="84">
        <f>SUMPRODUCT(('Match Log'!$C$4:$C$1510=$A26)*('Match Log'!$D$4:$D$1510='Match Log'!$G$4:$G$1510)*('Match Log'!$D$4:$D$1510&lt;&gt;""))</f>
        <v>57</v>
      </c>
      <c r="Q26" s="85" t="str">
        <f t="shared" si="0"/>
        <v>Daniel (Ferret)</v>
      </c>
      <c r="R26" s="84">
        <f t="shared" si="1"/>
        <v>25</v>
      </c>
    </row>
    <row r="27" spans="1:22" x14ac:dyDescent="0.2">
      <c r="A27" s="82" t="s">
        <v>51</v>
      </c>
      <c r="B27" s="83">
        <f>COUNTIFS('Match Log'!$D$4:$D$1510,B$7,'Match Log'!$C$4:$C$1510,$A27)</f>
        <v>4</v>
      </c>
      <c r="C27" s="83">
        <f>COUNTIFS('Match Log'!$D$4:$D$1510,C$7,'Match Log'!$C$4:$C$1510,$A27)</f>
        <v>0</v>
      </c>
      <c r="D27" s="83">
        <f>COUNTIFS('Match Log'!$D$4:$D$1510,D$7,'Match Log'!$C$4:$C$1510,$A27)</f>
        <v>2</v>
      </c>
      <c r="E27" s="83">
        <f>COUNTIFS('Match Log'!$D$4:$D$1510,E$7,'Match Log'!$C$4:$C$1510,$A27)</f>
        <v>0</v>
      </c>
      <c r="F27" s="83">
        <f>COUNTIFS('Match Log'!$D$4:$D$1510,F$7,'Match Log'!$C$4:$C$1510,$A27)</f>
        <v>0</v>
      </c>
      <c r="G27" s="83">
        <f>COUNTIFS('Match Log'!$D$4:$D$1510,G$7,'Match Log'!$C$4:$C$1510,$A27)</f>
        <v>7</v>
      </c>
      <c r="H27" s="83">
        <f>COUNTIFS('Match Log'!$D$4:$D$1510,H$7,'Match Log'!$C$4:$C$1510,$A27)</f>
        <v>0</v>
      </c>
      <c r="I27" s="83">
        <f>COUNTIFS('Match Log'!$D$4:$D$1510,I$7,'Match Log'!$C$4:$C$1510,$A27)</f>
        <v>7</v>
      </c>
      <c r="J27" s="83">
        <f>COUNTIFS('Match Log'!$D$4:$D$1510,J$7,'Match Log'!$C$4:$C$1510,$A27)</f>
        <v>2</v>
      </c>
      <c r="K27" s="83">
        <f>COUNTIFS('Match Log'!$D$4:$D$1510,K$7,'Match Log'!$C$4:$C$1510,$A27)</f>
        <v>0</v>
      </c>
      <c r="L27" s="83">
        <f>COUNTIFS('Match Log'!$D$4:$D$1510,L$7,'Match Log'!$C$4:$C$1510,$A27)</f>
        <v>1</v>
      </c>
      <c r="M27" s="83">
        <f>COUNTIFS('Match Log'!$D$4:$D$1510,M$7,'Match Log'!$C$4:$C$1510,$A27)</f>
        <v>0</v>
      </c>
      <c r="N27" s="83">
        <f>COUNTIFS('Match Log'!$D$4:$D$1510,N$7,'Match Log'!$C$4:$C$1510,$A27)</f>
        <v>0</v>
      </c>
      <c r="O27" s="83">
        <f>COUNTIFS('Match Log'!$D$4:$D$1510,O$7,'Match Log'!$C$4:$C$1510,$A27)</f>
        <v>0</v>
      </c>
      <c r="P27" s="84">
        <f>SUMPRODUCT(('Match Log'!$C$4:$C$1510=$A27)*('Match Log'!$D$4:$D$1510='Match Log'!$G$4:$G$1510)*('Match Log'!$D$4:$D$1510&lt;&gt;""))</f>
        <v>7</v>
      </c>
      <c r="Q27" s="85" t="str">
        <f t="shared" si="0"/>
        <v>Shawn</v>
      </c>
      <c r="R27" s="84">
        <f t="shared" si="1"/>
        <v>5</v>
      </c>
    </row>
    <row r="28" spans="1:22" x14ac:dyDescent="0.2">
      <c r="A28" s="82" t="s">
        <v>52</v>
      </c>
      <c r="B28" s="83">
        <f>COUNTIFS('Match Log'!$D$4:$D$1510,B$7,'Match Log'!$C$4:$C$1510,$A28)</f>
        <v>0</v>
      </c>
      <c r="C28" s="83">
        <f>COUNTIFS('Match Log'!$D$4:$D$1510,C$7,'Match Log'!$C$4:$C$1510,$A28)</f>
        <v>0</v>
      </c>
      <c r="D28" s="83">
        <f>COUNTIFS('Match Log'!$D$4:$D$1510,D$7,'Match Log'!$C$4:$C$1510,$A28)</f>
        <v>0</v>
      </c>
      <c r="E28" s="83">
        <f>COUNTIFS('Match Log'!$D$4:$D$1510,E$7,'Match Log'!$C$4:$C$1510,$A28)</f>
        <v>0</v>
      </c>
      <c r="F28" s="83">
        <f>COUNTIFS('Match Log'!$D$4:$D$1510,F$7,'Match Log'!$C$4:$C$1510,$A28)</f>
        <v>4</v>
      </c>
      <c r="G28" s="83">
        <f>COUNTIFS('Match Log'!$D$4:$D$1510,G$7,'Match Log'!$C$4:$C$1510,$A28)</f>
        <v>2</v>
      </c>
      <c r="H28" s="83">
        <f>COUNTIFS('Match Log'!$D$4:$D$1510,H$7,'Match Log'!$C$4:$C$1510,$A28)</f>
        <v>0</v>
      </c>
      <c r="I28" s="83">
        <f>COUNTIFS('Match Log'!$D$4:$D$1510,I$7,'Match Log'!$C$4:$C$1510,$A28)</f>
        <v>2</v>
      </c>
      <c r="J28" s="83">
        <f>COUNTIFS('Match Log'!$D$4:$D$1510,J$7,'Match Log'!$C$4:$C$1510,$A28)</f>
        <v>4</v>
      </c>
      <c r="K28" s="83">
        <f>COUNTIFS('Match Log'!$D$4:$D$1510,K$7,'Match Log'!$C$4:$C$1510,$A28)</f>
        <v>0</v>
      </c>
      <c r="L28" s="83">
        <f>COUNTIFS('Match Log'!$D$4:$D$1510,L$7,'Match Log'!$C$4:$C$1510,$A28)</f>
        <v>0</v>
      </c>
      <c r="M28" s="83">
        <f>COUNTIFS('Match Log'!$D$4:$D$1510,M$7,'Match Log'!$C$4:$C$1510,$A28)</f>
        <v>0</v>
      </c>
      <c r="N28" s="83">
        <f>COUNTIFS('Match Log'!$D$4:$D$1510,N$7,'Match Log'!$C$4:$C$1510,$A28)</f>
        <v>0</v>
      </c>
      <c r="O28" s="83">
        <f>COUNTIFS('Match Log'!$D$4:$D$1510,O$7,'Match Log'!$C$4:$C$1510,$A28)</f>
        <v>0</v>
      </c>
      <c r="P28" s="84">
        <f>SUMPRODUCT(('Match Log'!$C$4:$C$1510=$A28)*('Match Log'!$D$4:$D$1510='Match Log'!$G$4:$G$1510)*('Match Log'!$D$4:$D$1510&lt;&gt;""))</f>
        <v>6</v>
      </c>
      <c r="Q28" s="85" t="str">
        <f t="shared" si="0"/>
        <v>Dean B</v>
      </c>
      <c r="R28" s="84">
        <f t="shared" si="1"/>
        <v>4</v>
      </c>
    </row>
    <row r="29" spans="1:22" x14ac:dyDescent="0.2">
      <c r="A29" s="82" t="s">
        <v>53</v>
      </c>
      <c r="B29" s="83">
        <f>COUNTIFS('Match Log'!$D$4:$D$1510,B$7,'Match Log'!$C$4:$C$1510,$A29)</f>
        <v>0</v>
      </c>
      <c r="C29" s="83">
        <f>COUNTIFS('Match Log'!$D$4:$D$1510,C$7,'Match Log'!$C$4:$C$1510,$A29)</f>
        <v>0</v>
      </c>
      <c r="D29" s="83">
        <f>COUNTIFS('Match Log'!$D$4:$D$1510,D$7,'Match Log'!$C$4:$C$1510,$A29)</f>
        <v>0</v>
      </c>
      <c r="E29" s="83">
        <f>COUNTIFS('Match Log'!$D$4:$D$1510,E$7,'Match Log'!$C$4:$C$1510,$A29)</f>
        <v>0</v>
      </c>
      <c r="F29" s="83">
        <f>COUNTIFS('Match Log'!$D$4:$D$1510,F$7,'Match Log'!$C$4:$C$1510,$A29)</f>
        <v>2</v>
      </c>
      <c r="G29" s="83">
        <f>COUNTIFS('Match Log'!$D$4:$D$1510,G$7,'Match Log'!$C$4:$C$1510,$A29)</f>
        <v>1</v>
      </c>
      <c r="H29" s="83">
        <f>COUNTIFS('Match Log'!$D$4:$D$1510,H$7,'Match Log'!$C$4:$C$1510,$A29)</f>
        <v>0</v>
      </c>
      <c r="I29" s="83">
        <f>COUNTIFS('Match Log'!$D$4:$D$1510,I$7,'Match Log'!$C$4:$C$1510,$A29)</f>
        <v>1</v>
      </c>
      <c r="J29" s="83">
        <f>COUNTIFS('Match Log'!$D$4:$D$1510,J$7,'Match Log'!$C$4:$C$1510,$A29)</f>
        <v>0</v>
      </c>
      <c r="K29" s="83">
        <f>COUNTIFS('Match Log'!$D$4:$D$1510,K$7,'Match Log'!$C$4:$C$1510,$A29)</f>
        <v>0</v>
      </c>
      <c r="L29" s="83">
        <f>COUNTIFS('Match Log'!$D$4:$D$1510,L$7,'Match Log'!$C$4:$C$1510,$A29)</f>
        <v>0</v>
      </c>
      <c r="M29" s="83">
        <f>COUNTIFS('Match Log'!$D$4:$D$1510,M$7,'Match Log'!$C$4:$C$1510,$A29)</f>
        <v>0</v>
      </c>
      <c r="N29" s="83">
        <f>COUNTIFS('Match Log'!$D$4:$D$1510,N$7,'Match Log'!$C$4:$C$1510,$A29)</f>
        <v>0</v>
      </c>
      <c r="O29" s="83">
        <f>COUNTIFS('Match Log'!$D$4:$D$1510,O$7,'Match Log'!$C$4:$C$1510,$A29)</f>
        <v>0</v>
      </c>
      <c r="P29" s="84">
        <f>SUMPRODUCT(('Match Log'!$C$4:$C$1510=$A29)*('Match Log'!$D$4:$D$1510='Match Log'!$G$4:$G$1510)*('Match Log'!$D$4:$D$1510&lt;&gt;""))</f>
        <v>2</v>
      </c>
      <c r="Q29" s="85" t="str">
        <f t="shared" si="0"/>
        <v>Josh</v>
      </c>
      <c r="R29" s="84">
        <f t="shared" si="1"/>
        <v>1</v>
      </c>
    </row>
    <row r="30" spans="1:22" x14ac:dyDescent="0.2">
      <c r="A30" s="82" t="s">
        <v>54</v>
      </c>
      <c r="B30" s="83">
        <f>COUNTIFS('Match Log'!$D$4:$D$1510,B$7,'Match Log'!$C$4:$C$1510,$A30)</f>
        <v>1</v>
      </c>
      <c r="C30" s="83">
        <f>COUNTIFS('Match Log'!$D$4:$D$1510,C$7,'Match Log'!$C$4:$C$1510,$A30)</f>
        <v>0</v>
      </c>
      <c r="D30" s="83">
        <f>COUNTIFS('Match Log'!$D$4:$D$1510,D$7,'Match Log'!$C$4:$C$1510,$A30)</f>
        <v>0</v>
      </c>
      <c r="E30" s="83">
        <f>COUNTIFS('Match Log'!$D$4:$D$1510,E$7,'Match Log'!$C$4:$C$1510,$A30)</f>
        <v>0</v>
      </c>
      <c r="F30" s="83">
        <f>COUNTIFS('Match Log'!$D$4:$D$1510,F$7,'Match Log'!$C$4:$C$1510,$A30)</f>
        <v>5</v>
      </c>
      <c r="G30" s="83">
        <f>COUNTIFS('Match Log'!$D$4:$D$1510,G$7,'Match Log'!$C$4:$C$1510,$A30)</f>
        <v>3</v>
      </c>
      <c r="H30" s="83">
        <f>COUNTIFS('Match Log'!$D$4:$D$1510,H$7,'Match Log'!$C$4:$C$1510,$A30)</f>
        <v>2</v>
      </c>
      <c r="I30" s="83">
        <f>COUNTIFS('Match Log'!$D$4:$D$1510,I$7,'Match Log'!$C$4:$C$1510,$A30)</f>
        <v>9</v>
      </c>
      <c r="J30" s="83">
        <f>COUNTIFS('Match Log'!$D$4:$D$1510,J$7,'Match Log'!$C$4:$C$1510,$A30)</f>
        <v>0</v>
      </c>
      <c r="K30" s="83">
        <f>COUNTIFS('Match Log'!$D$4:$D$1510,K$7,'Match Log'!$C$4:$C$1510,$A30)</f>
        <v>0</v>
      </c>
      <c r="L30" s="83">
        <f>COUNTIFS('Match Log'!$D$4:$D$1510,L$7,'Match Log'!$C$4:$C$1510,$A30)</f>
        <v>2</v>
      </c>
      <c r="M30" s="83">
        <f>COUNTIFS('Match Log'!$D$4:$D$1510,M$7,'Match Log'!$C$4:$C$1510,$A30)</f>
        <v>3</v>
      </c>
      <c r="N30" s="83">
        <f>COUNTIFS('Match Log'!$D$4:$D$1510,N$7,'Match Log'!$C$4:$C$1510,$A30)</f>
        <v>3</v>
      </c>
      <c r="O30" s="83">
        <f>COUNTIFS('Match Log'!$D$4:$D$1510,O$7,'Match Log'!$C$4:$C$1510,$A30)</f>
        <v>0</v>
      </c>
      <c r="P30" s="84">
        <f>SUMPRODUCT(('Match Log'!$C$4:$C$1510=$A30)*('Match Log'!$D$4:$D$1510='Match Log'!$G$4:$G$1510)*('Match Log'!$D$4:$D$1510&lt;&gt;""))</f>
        <v>11</v>
      </c>
      <c r="Q30" s="85" t="str">
        <f t="shared" si="0"/>
        <v>Josh</v>
      </c>
      <c r="R30" s="84">
        <f t="shared" si="1"/>
        <v>3</v>
      </c>
    </row>
    <row r="31" spans="1:22" x14ac:dyDescent="0.2">
      <c r="A31" s="82" t="s">
        <v>446</v>
      </c>
      <c r="B31" s="83">
        <f>COUNTIFS('Match Log'!$D$4:$D$1510,B$7,'Match Log'!$C$4:$C$1510,$A31)</f>
        <v>0</v>
      </c>
      <c r="C31" s="83">
        <f>COUNTIFS('Match Log'!$D$4:$D$1510,C$7,'Match Log'!$C$4:$C$1510,$A31)</f>
        <v>0</v>
      </c>
      <c r="D31" s="83">
        <f>COUNTIFS('Match Log'!$D$4:$D$1510,D$7,'Match Log'!$C$4:$C$1510,$A31)</f>
        <v>0</v>
      </c>
      <c r="E31" s="83">
        <f>COUNTIFS('Match Log'!$D$4:$D$1510,E$7,'Match Log'!$C$4:$C$1510,$A31)</f>
        <v>0</v>
      </c>
      <c r="F31" s="83">
        <f>COUNTIFS('Match Log'!$D$4:$D$1510,F$7,'Match Log'!$C$4:$C$1510,$A31)</f>
        <v>3</v>
      </c>
      <c r="G31" s="83">
        <f>COUNTIFS('Match Log'!$D$4:$D$1510,G$7,'Match Log'!$C$4:$C$1510,$A31)</f>
        <v>0</v>
      </c>
      <c r="H31" s="83">
        <f>COUNTIFS('Match Log'!$D$4:$D$1510,H$7,'Match Log'!$C$4:$C$1510,$A31)</f>
        <v>0</v>
      </c>
      <c r="I31" s="83">
        <f>COUNTIFS('Match Log'!$D$4:$D$1510,I$7,'Match Log'!$C$4:$C$1510,$A31)</f>
        <v>3</v>
      </c>
      <c r="J31" s="83">
        <f>COUNTIFS('Match Log'!$D$4:$D$1510,J$7,'Match Log'!$C$4:$C$1510,$A31)</f>
        <v>0</v>
      </c>
      <c r="K31" s="83">
        <f>COUNTIFS('Match Log'!$D$4:$D$1510,K$7,'Match Log'!$C$4:$C$1510,$A31)</f>
        <v>0</v>
      </c>
      <c r="L31" s="83">
        <f>COUNTIFS('Match Log'!$D$4:$D$1510,L$7,'Match Log'!$C$4:$C$1510,$A31)</f>
        <v>0</v>
      </c>
      <c r="M31" s="83">
        <f>COUNTIFS('Match Log'!$D$4:$D$1510,M$7,'Match Log'!$C$4:$C$1510,$A31)</f>
        <v>0</v>
      </c>
      <c r="N31" s="83">
        <f>COUNTIFS('Match Log'!$D$4:$D$1510,N$7,'Match Log'!$C$4:$C$1510,$A31)</f>
        <v>0</v>
      </c>
      <c r="O31" s="83">
        <f>COUNTIFS('Match Log'!$D$4:$D$1510,O$7,'Match Log'!$C$4:$C$1510,$A31)</f>
        <v>0</v>
      </c>
      <c r="P31" s="84">
        <f>SUMPRODUCT(('Match Log'!$C$4:$C$1510=$A31)*('Match Log'!$D$4:$D$1510='Match Log'!$G$4:$G$1510)*('Match Log'!$D$4:$D$1510&lt;&gt;""))</f>
        <v>3</v>
      </c>
      <c r="Q31" s="85" t="str">
        <f t="shared" si="0"/>
        <v>Josh</v>
      </c>
      <c r="R31" s="84">
        <f t="shared" si="1"/>
        <v>2</v>
      </c>
    </row>
    <row r="32" spans="1:22" x14ac:dyDescent="0.2">
      <c r="A32" s="82" t="s">
        <v>55</v>
      </c>
      <c r="B32" s="83">
        <f>COUNTIFS('Match Log'!$D$4:$D$1510,B$7,'Match Log'!$C$4:$C$1510,$A32)</f>
        <v>0</v>
      </c>
      <c r="C32" s="83">
        <f>COUNTIFS('Match Log'!$D$4:$D$1510,C$7,'Match Log'!$C$4:$C$1510,$A32)</f>
        <v>0</v>
      </c>
      <c r="D32" s="83">
        <f>COUNTIFS('Match Log'!$D$4:$D$1510,D$7,'Match Log'!$C$4:$C$1510,$A32)</f>
        <v>0</v>
      </c>
      <c r="E32" s="83">
        <f>COUNTIFS('Match Log'!$D$4:$D$1510,E$7,'Match Log'!$C$4:$C$1510,$A32)</f>
        <v>0</v>
      </c>
      <c r="F32" s="83">
        <f>COUNTIFS('Match Log'!$D$4:$D$1510,F$7,'Match Log'!$C$4:$C$1510,$A32)</f>
        <v>5</v>
      </c>
      <c r="G32" s="83">
        <f>COUNTIFS('Match Log'!$D$4:$D$1510,G$7,'Match Log'!$C$4:$C$1510,$A32)</f>
        <v>3</v>
      </c>
      <c r="H32" s="83">
        <f>COUNTIFS('Match Log'!$D$4:$D$1510,H$7,'Match Log'!$C$4:$C$1510,$A32)</f>
        <v>0</v>
      </c>
      <c r="I32" s="83">
        <f>COUNTIFS('Match Log'!$D$4:$D$1510,I$7,'Match Log'!$C$4:$C$1510,$A32)</f>
        <v>2</v>
      </c>
      <c r="J32" s="83">
        <f>COUNTIFS('Match Log'!$D$4:$D$1510,J$7,'Match Log'!$C$4:$C$1510,$A32)</f>
        <v>1</v>
      </c>
      <c r="K32" s="83">
        <f>COUNTIFS('Match Log'!$D$4:$D$1510,K$7,'Match Log'!$C$4:$C$1510,$A32)</f>
        <v>0</v>
      </c>
      <c r="L32" s="83">
        <f>COUNTIFS('Match Log'!$D$4:$D$1510,L$7,'Match Log'!$C$4:$C$1510,$A32)</f>
        <v>0</v>
      </c>
      <c r="M32" s="83">
        <f>COUNTIFS('Match Log'!$D$4:$D$1510,M$7,'Match Log'!$C$4:$C$1510,$A32)</f>
        <v>0</v>
      </c>
      <c r="N32" s="83">
        <f>COUNTIFS('Match Log'!$D$4:$D$1510,N$7,'Match Log'!$C$4:$C$1510,$A32)</f>
        <v>0</v>
      </c>
      <c r="O32" s="83">
        <f>COUNTIFS('Match Log'!$D$4:$D$1510,O$7,'Match Log'!$C$4:$C$1510,$A32)</f>
        <v>0</v>
      </c>
      <c r="P32" s="84">
        <f>SUMPRODUCT(('Match Log'!$C$4:$C$1510=$A32)*('Match Log'!$D$4:$D$1510='Match Log'!$G$4:$G$1510)*('Match Log'!$D$4:$D$1510&lt;&gt;""))</f>
        <v>5</v>
      </c>
      <c r="Q32" s="85" t="str">
        <f t="shared" si="0"/>
        <v>Josh</v>
      </c>
      <c r="R32" s="84">
        <f t="shared" si="1"/>
        <v>2</v>
      </c>
    </row>
    <row r="33" spans="1:17" ht="15" customHeight="1" x14ac:dyDescent="0.2">
      <c r="A33" s="162" t="s">
        <v>301</v>
      </c>
      <c r="B33" s="146"/>
      <c r="C33" s="146"/>
      <c r="D33" s="146"/>
      <c r="E33" s="146"/>
      <c r="F33" s="146"/>
      <c r="G33" s="146"/>
      <c r="H33" s="146"/>
      <c r="I33" s="146"/>
      <c r="J33" s="146"/>
      <c r="K33" s="146"/>
      <c r="L33" s="146"/>
      <c r="M33" s="146"/>
      <c r="N33" s="146"/>
      <c r="O33" s="146"/>
      <c r="P33" s="146"/>
      <c r="Q33" s="146"/>
    </row>
    <row r="34" spans="1:17" ht="91.5" customHeight="1" x14ac:dyDescent="0.2">
      <c r="A34" s="80" t="s">
        <v>235</v>
      </c>
      <c r="B34" s="81" t="s">
        <v>15</v>
      </c>
      <c r="C34" s="81" t="s">
        <v>16</v>
      </c>
      <c r="D34" s="81" t="s">
        <v>17</v>
      </c>
      <c r="E34" s="81" t="s">
        <v>18</v>
      </c>
      <c r="F34" s="81" t="s">
        <v>19</v>
      </c>
      <c r="G34" s="81" t="s">
        <v>20</v>
      </c>
      <c r="H34" s="81" t="s">
        <v>21</v>
      </c>
      <c r="I34" s="81" t="s">
        <v>22</v>
      </c>
      <c r="J34" s="81" t="s">
        <v>23</v>
      </c>
      <c r="K34" s="81" t="s">
        <v>24</v>
      </c>
      <c r="L34" s="81" t="s">
        <v>25</v>
      </c>
      <c r="M34" s="81" t="s">
        <v>26</v>
      </c>
      <c r="N34" s="81" t="s">
        <v>27</v>
      </c>
      <c r="O34" s="81" t="s">
        <v>28</v>
      </c>
    </row>
    <row r="35" spans="1:17" ht="15" customHeight="1" x14ac:dyDescent="0.2">
      <c r="A35" s="82" t="s">
        <v>33</v>
      </c>
      <c r="B35" s="83">
        <f>COUNTIFS('Match Log'!$D$4:$D$1510,B$34,'Match Log'!$C$4:$C$1510,$A35,'Match Log'!$E$4:$E$1510,"Win")</f>
        <v>0</v>
      </c>
      <c r="C35" s="83">
        <f>COUNTIFS('Match Log'!$D$4:$D$1510,C$34,'Match Log'!$C$4:$C$1510,$A35,'Match Log'!$E$4:$E$1510,"Win")</f>
        <v>0</v>
      </c>
      <c r="D35" s="83">
        <f>COUNTIFS('Match Log'!$D$4:$D$1510,D$34,'Match Log'!$C$4:$C$1510,$A35,'Match Log'!$E$4:$E$1510,"Win")</f>
        <v>1</v>
      </c>
      <c r="E35" s="83">
        <f>COUNTIFS('Match Log'!$D$4:$D$1510,E$34,'Match Log'!$C$4:$C$1510,$A35,'Match Log'!$E$4:$E$1510,"Win")</f>
        <v>0</v>
      </c>
      <c r="F35" s="83">
        <f>COUNTIFS('Match Log'!$D$4:$D$1510,F$34,'Match Log'!$C$4:$C$1510,$A35,'Match Log'!$E$4:$E$1510,"Win")</f>
        <v>0</v>
      </c>
      <c r="G35" s="83">
        <f>COUNTIFS('Match Log'!$D$4:$D$1510,G$34,'Match Log'!$C$4:$C$1510,$A35,'Match Log'!$E$4:$E$1510,"Win")</f>
        <v>7</v>
      </c>
      <c r="H35" s="83">
        <f>COUNTIFS('Match Log'!$D$4:$D$1510,H$34,'Match Log'!$C$4:$C$1510,$A35,'Match Log'!$E$4:$E$1510,"Win")</f>
        <v>0</v>
      </c>
      <c r="I35" s="83">
        <f>COUNTIFS('Match Log'!$D$4:$D$1510,I$34,'Match Log'!$C$4:$C$1510,$A35,'Match Log'!$E$4:$E$1510,"Win")</f>
        <v>0</v>
      </c>
      <c r="J35" s="83">
        <f>COUNTIFS('Match Log'!$D$4:$D$1510,J$34,'Match Log'!$C$4:$C$1510,$A35,'Match Log'!$E$4:$E$1510,"Win")</f>
        <v>0</v>
      </c>
      <c r="K35" s="83">
        <f>COUNTIFS('Match Log'!$D$4:$D$1510,K$34,'Match Log'!$C$4:$C$1510,$A35,'Match Log'!$E$4:$E$1510,"Win")</f>
        <v>0</v>
      </c>
      <c r="L35" s="83">
        <f>COUNTIFS('Match Log'!$D$4:$D$1510,L$34,'Match Log'!$C$4:$C$1510,$A35,'Match Log'!$E$4:$E$1510,"Win")</f>
        <v>0</v>
      </c>
      <c r="M35" s="83">
        <f>COUNTIFS('Match Log'!$D$4:$D$1510,M$34,'Match Log'!$C$4:$C$1510,$A35,'Match Log'!$E$4:$E$1510,"Win")</f>
        <v>0</v>
      </c>
      <c r="N35" s="83">
        <f>COUNTIFS('Match Log'!$D$4:$D$1510,N$34,'Match Log'!$C$4:$C$1510,$A35,'Match Log'!$E$4:$E$1510,"Win")</f>
        <v>0</v>
      </c>
      <c r="O35" s="83">
        <f>COUNTIFS('Match Log'!$D$4:$D$1510,O$34,'Match Log'!$C$4:$C$1510,$A35,'Match Log'!$E$4:$E$1510,"Win")</f>
        <v>0</v>
      </c>
    </row>
    <row r="36" spans="1:17" ht="15" customHeight="1" x14ac:dyDescent="0.2">
      <c r="A36" s="82" t="s">
        <v>34</v>
      </c>
      <c r="B36" s="83">
        <f>COUNTIFS('Match Log'!$D$4:$D$1510,B$34,'Match Log'!$C$4:$C$1510,$A36,'Match Log'!$E$4:$E$1510,"Win")</f>
        <v>5</v>
      </c>
      <c r="C36" s="83">
        <f>COUNTIFS('Match Log'!$D$4:$D$1510,C$34,'Match Log'!$C$4:$C$1510,$A36,'Match Log'!$E$4:$E$1510,"Win")</f>
        <v>0</v>
      </c>
      <c r="D36" s="83">
        <f>COUNTIFS('Match Log'!$D$4:$D$1510,D$34,'Match Log'!$C$4:$C$1510,$A36,'Match Log'!$E$4:$E$1510,"Win")</f>
        <v>0</v>
      </c>
      <c r="E36" s="83">
        <f>COUNTIFS('Match Log'!$D$4:$D$1510,E$34,'Match Log'!$C$4:$C$1510,$A36,'Match Log'!$E$4:$E$1510,"Win")</f>
        <v>1</v>
      </c>
      <c r="F36" s="83">
        <f>COUNTIFS('Match Log'!$D$4:$D$1510,F$34,'Match Log'!$C$4:$C$1510,$A36,'Match Log'!$E$4:$E$1510,"Win")</f>
        <v>0</v>
      </c>
      <c r="G36" s="83">
        <f>COUNTIFS('Match Log'!$D$4:$D$1510,G$34,'Match Log'!$C$4:$C$1510,$A36,'Match Log'!$E$4:$E$1510,"Win")</f>
        <v>3</v>
      </c>
      <c r="H36" s="83">
        <f>COUNTIFS('Match Log'!$D$4:$D$1510,H$34,'Match Log'!$C$4:$C$1510,$A36,'Match Log'!$E$4:$E$1510,"Win")</f>
        <v>2</v>
      </c>
      <c r="I36" s="83">
        <f>COUNTIFS('Match Log'!$D$4:$D$1510,I$34,'Match Log'!$C$4:$C$1510,$A36,'Match Log'!$E$4:$E$1510,"Win")</f>
        <v>3</v>
      </c>
      <c r="J36" s="83">
        <f>COUNTIFS('Match Log'!$D$4:$D$1510,J$34,'Match Log'!$C$4:$C$1510,$A36,'Match Log'!$E$4:$E$1510,"Win")</f>
        <v>1</v>
      </c>
      <c r="K36" s="83">
        <f>COUNTIFS('Match Log'!$D$4:$D$1510,K$34,'Match Log'!$C$4:$C$1510,$A36,'Match Log'!$E$4:$E$1510,"Win")</f>
        <v>0</v>
      </c>
      <c r="L36" s="83">
        <f>COUNTIFS('Match Log'!$D$4:$D$1510,L$34,'Match Log'!$C$4:$C$1510,$A36,'Match Log'!$E$4:$E$1510,"Win")</f>
        <v>3</v>
      </c>
      <c r="M36" s="83">
        <f>COUNTIFS('Match Log'!$D$4:$D$1510,M$34,'Match Log'!$C$4:$C$1510,$A36,'Match Log'!$E$4:$E$1510,"Win")</f>
        <v>1</v>
      </c>
      <c r="N36" s="83">
        <f>COUNTIFS('Match Log'!$D$4:$D$1510,N$34,'Match Log'!$C$4:$C$1510,$A36,'Match Log'!$E$4:$E$1510,"Win")</f>
        <v>1</v>
      </c>
      <c r="O36" s="83">
        <f>COUNTIFS('Match Log'!$D$4:$D$1510,O$34,'Match Log'!$C$4:$C$1510,$A36,'Match Log'!$E$4:$E$1510,"Win")</f>
        <v>0</v>
      </c>
    </row>
    <row r="37" spans="1:17" ht="15" customHeight="1" x14ac:dyDescent="0.2">
      <c r="A37" s="82" t="s">
        <v>35</v>
      </c>
      <c r="B37" s="83">
        <f>COUNTIFS('Match Log'!$D$4:$D$1510,B$34,'Match Log'!$C$4:$C$1510,$A37,'Match Log'!$E$4:$E$1510,"Win")</f>
        <v>11</v>
      </c>
      <c r="C37" s="83">
        <f>COUNTIFS('Match Log'!$D$4:$D$1510,C$34,'Match Log'!$C$4:$C$1510,$A37,'Match Log'!$E$4:$E$1510,"Win")</f>
        <v>0</v>
      </c>
      <c r="D37" s="83">
        <f>COUNTIFS('Match Log'!$D$4:$D$1510,D$34,'Match Log'!$C$4:$C$1510,$A37,'Match Log'!$E$4:$E$1510,"Win")</f>
        <v>0</v>
      </c>
      <c r="E37" s="83">
        <f>COUNTIFS('Match Log'!$D$4:$D$1510,E$34,'Match Log'!$C$4:$C$1510,$A37,'Match Log'!$E$4:$E$1510,"Win")</f>
        <v>0</v>
      </c>
      <c r="F37" s="83">
        <f>COUNTIFS('Match Log'!$D$4:$D$1510,F$34,'Match Log'!$C$4:$C$1510,$A37,'Match Log'!$E$4:$E$1510,"Win")</f>
        <v>0</v>
      </c>
      <c r="G37" s="83">
        <f>COUNTIFS('Match Log'!$D$4:$D$1510,G$34,'Match Log'!$C$4:$C$1510,$A37,'Match Log'!$E$4:$E$1510,"Win")</f>
        <v>10</v>
      </c>
      <c r="H37" s="83">
        <f>COUNTIFS('Match Log'!$D$4:$D$1510,H$34,'Match Log'!$C$4:$C$1510,$A37,'Match Log'!$E$4:$E$1510,"Win")</f>
        <v>0</v>
      </c>
      <c r="I37" s="83">
        <f>COUNTIFS('Match Log'!$D$4:$D$1510,I$34,'Match Log'!$C$4:$C$1510,$A37,'Match Log'!$E$4:$E$1510,"Win")</f>
        <v>6</v>
      </c>
      <c r="J37" s="83">
        <f>COUNTIFS('Match Log'!$D$4:$D$1510,J$34,'Match Log'!$C$4:$C$1510,$A37,'Match Log'!$E$4:$E$1510,"Win")</f>
        <v>0</v>
      </c>
      <c r="K37" s="83">
        <f>COUNTIFS('Match Log'!$D$4:$D$1510,K$34,'Match Log'!$C$4:$C$1510,$A37,'Match Log'!$E$4:$E$1510,"Win")</f>
        <v>0</v>
      </c>
      <c r="L37" s="83">
        <f>COUNTIFS('Match Log'!$D$4:$D$1510,L$34,'Match Log'!$C$4:$C$1510,$A37,'Match Log'!$E$4:$E$1510,"Win")</f>
        <v>4</v>
      </c>
      <c r="M37" s="83">
        <f>COUNTIFS('Match Log'!$D$4:$D$1510,M$34,'Match Log'!$C$4:$C$1510,$A37,'Match Log'!$E$4:$E$1510,"Win")</f>
        <v>0</v>
      </c>
      <c r="N37" s="83">
        <f>COUNTIFS('Match Log'!$D$4:$D$1510,N$34,'Match Log'!$C$4:$C$1510,$A37,'Match Log'!$E$4:$E$1510,"Win")</f>
        <v>0</v>
      </c>
      <c r="O37" s="83">
        <f>COUNTIFS('Match Log'!$D$4:$D$1510,O$34,'Match Log'!$C$4:$C$1510,$A37,'Match Log'!$E$4:$E$1510,"Win")</f>
        <v>0</v>
      </c>
    </row>
    <row r="38" spans="1:17" ht="15" customHeight="1" x14ac:dyDescent="0.2">
      <c r="A38" s="82" t="s">
        <v>36</v>
      </c>
      <c r="B38" s="83">
        <f>COUNTIFS('Match Log'!$D$4:$D$1510,B$34,'Match Log'!$C$4:$C$1510,$A38,'Match Log'!$E$4:$E$1510,"Win")</f>
        <v>0</v>
      </c>
      <c r="C38" s="83">
        <f>COUNTIFS('Match Log'!$D$4:$D$1510,C$34,'Match Log'!$C$4:$C$1510,$A38,'Match Log'!$E$4:$E$1510,"Win")</f>
        <v>0</v>
      </c>
      <c r="D38" s="83">
        <f>COUNTIFS('Match Log'!$D$4:$D$1510,D$34,'Match Log'!$C$4:$C$1510,$A38,'Match Log'!$E$4:$E$1510,"Win")</f>
        <v>0</v>
      </c>
      <c r="E38" s="83">
        <f>COUNTIFS('Match Log'!$D$4:$D$1510,E$34,'Match Log'!$C$4:$C$1510,$A38,'Match Log'!$E$4:$E$1510,"Win")</f>
        <v>0</v>
      </c>
      <c r="F38" s="83">
        <f>COUNTIFS('Match Log'!$D$4:$D$1510,F$34,'Match Log'!$C$4:$C$1510,$A38,'Match Log'!$E$4:$E$1510,"Win")</f>
        <v>0</v>
      </c>
      <c r="G38" s="83">
        <f>COUNTIFS('Match Log'!$D$4:$D$1510,G$34,'Match Log'!$C$4:$C$1510,$A38,'Match Log'!$E$4:$E$1510,"Win")</f>
        <v>1</v>
      </c>
      <c r="H38" s="83">
        <f>COUNTIFS('Match Log'!$D$4:$D$1510,H$34,'Match Log'!$C$4:$C$1510,$A38,'Match Log'!$E$4:$E$1510,"Win")</f>
        <v>0</v>
      </c>
      <c r="I38" s="83">
        <f>COUNTIFS('Match Log'!$D$4:$D$1510,I$34,'Match Log'!$C$4:$C$1510,$A38,'Match Log'!$E$4:$E$1510,"Win")</f>
        <v>0</v>
      </c>
      <c r="J38" s="83">
        <f>COUNTIFS('Match Log'!$D$4:$D$1510,J$34,'Match Log'!$C$4:$C$1510,$A38,'Match Log'!$E$4:$E$1510,"Win")</f>
        <v>0</v>
      </c>
      <c r="K38" s="83">
        <f>COUNTIFS('Match Log'!$D$4:$D$1510,K$34,'Match Log'!$C$4:$C$1510,$A38,'Match Log'!$E$4:$E$1510,"Win")</f>
        <v>0</v>
      </c>
      <c r="L38" s="83">
        <f>COUNTIFS('Match Log'!$D$4:$D$1510,L$34,'Match Log'!$C$4:$C$1510,$A38,'Match Log'!$E$4:$E$1510,"Win")</f>
        <v>0</v>
      </c>
      <c r="M38" s="83">
        <f>COUNTIFS('Match Log'!$D$4:$D$1510,M$34,'Match Log'!$C$4:$C$1510,$A38,'Match Log'!$E$4:$E$1510,"Win")</f>
        <v>0</v>
      </c>
      <c r="N38" s="83">
        <f>COUNTIFS('Match Log'!$D$4:$D$1510,N$34,'Match Log'!$C$4:$C$1510,$A38,'Match Log'!$E$4:$E$1510,"Win")</f>
        <v>0</v>
      </c>
      <c r="O38" s="83">
        <f>COUNTIFS('Match Log'!$D$4:$D$1510,O$34,'Match Log'!$C$4:$C$1510,$A38,'Match Log'!$E$4:$E$1510,"Win")</f>
        <v>0</v>
      </c>
    </row>
    <row r="39" spans="1:17" ht="15" customHeight="1" x14ac:dyDescent="0.2">
      <c r="A39" s="82" t="s">
        <v>37</v>
      </c>
      <c r="B39" s="83">
        <f>COUNTIFS('Match Log'!$D$4:$D$1510,B$34,'Match Log'!$C$4:$C$1510,$A39,'Match Log'!$E$4:$E$1510,"Win")</f>
        <v>0</v>
      </c>
      <c r="C39" s="83">
        <f>COUNTIFS('Match Log'!$D$4:$D$1510,C$34,'Match Log'!$C$4:$C$1510,$A39,'Match Log'!$E$4:$E$1510,"Win")</f>
        <v>0</v>
      </c>
      <c r="D39" s="83">
        <f>COUNTIFS('Match Log'!$D$4:$D$1510,D$34,'Match Log'!$C$4:$C$1510,$A39,'Match Log'!$E$4:$E$1510,"Win")</f>
        <v>0</v>
      </c>
      <c r="E39" s="83">
        <f>COUNTIFS('Match Log'!$D$4:$D$1510,E$34,'Match Log'!$C$4:$C$1510,$A39,'Match Log'!$E$4:$E$1510,"Win")</f>
        <v>0</v>
      </c>
      <c r="F39" s="83">
        <f>COUNTIFS('Match Log'!$D$4:$D$1510,F$34,'Match Log'!$C$4:$C$1510,$A39,'Match Log'!$E$4:$E$1510,"Win")</f>
        <v>3</v>
      </c>
      <c r="G39" s="83">
        <f>COUNTIFS('Match Log'!$D$4:$D$1510,G$34,'Match Log'!$C$4:$C$1510,$A39,'Match Log'!$E$4:$E$1510,"Win")</f>
        <v>1</v>
      </c>
      <c r="H39" s="83">
        <f>COUNTIFS('Match Log'!$D$4:$D$1510,H$34,'Match Log'!$C$4:$C$1510,$A39,'Match Log'!$E$4:$E$1510,"Win")</f>
        <v>2</v>
      </c>
      <c r="I39" s="83">
        <f>COUNTIFS('Match Log'!$D$4:$D$1510,I$34,'Match Log'!$C$4:$C$1510,$A39,'Match Log'!$E$4:$E$1510,"Win")</f>
        <v>5</v>
      </c>
      <c r="J39" s="83">
        <f>COUNTIFS('Match Log'!$D$4:$D$1510,J$34,'Match Log'!$C$4:$C$1510,$A39,'Match Log'!$E$4:$E$1510,"Win")</f>
        <v>8</v>
      </c>
      <c r="K39" s="83">
        <f>COUNTIFS('Match Log'!$D$4:$D$1510,K$34,'Match Log'!$C$4:$C$1510,$A39,'Match Log'!$E$4:$E$1510,"Win")</f>
        <v>0</v>
      </c>
      <c r="L39" s="83">
        <f>COUNTIFS('Match Log'!$D$4:$D$1510,L$34,'Match Log'!$C$4:$C$1510,$A39,'Match Log'!$E$4:$E$1510,"Win")</f>
        <v>2</v>
      </c>
      <c r="M39" s="83">
        <f>COUNTIFS('Match Log'!$D$4:$D$1510,M$34,'Match Log'!$C$4:$C$1510,$A39,'Match Log'!$E$4:$E$1510,"Win")</f>
        <v>2</v>
      </c>
      <c r="N39" s="83">
        <f>COUNTIFS('Match Log'!$D$4:$D$1510,N$34,'Match Log'!$C$4:$C$1510,$A39,'Match Log'!$E$4:$E$1510,"Win")</f>
        <v>3</v>
      </c>
      <c r="O39" s="83">
        <f>COUNTIFS('Match Log'!$D$4:$D$1510,O$34,'Match Log'!$C$4:$C$1510,$A39,'Match Log'!$E$4:$E$1510,"Win")</f>
        <v>0</v>
      </c>
    </row>
    <row r="40" spans="1:17" ht="15" customHeight="1" x14ac:dyDescent="0.2">
      <c r="A40" s="82" t="s">
        <v>38</v>
      </c>
      <c r="B40" s="83">
        <f>COUNTIFS('Match Log'!$D$4:$D$1510,B$34,'Match Log'!$C$4:$C$1510,$A40,'Match Log'!$E$4:$E$1510,"Win")</f>
        <v>1</v>
      </c>
      <c r="C40" s="83">
        <f>COUNTIFS('Match Log'!$D$4:$D$1510,C$34,'Match Log'!$C$4:$C$1510,$A40,'Match Log'!$E$4:$E$1510,"Win")</f>
        <v>0</v>
      </c>
      <c r="D40" s="83">
        <f>COUNTIFS('Match Log'!$D$4:$D$1510,D$34,'Match Log'!$C$4:$C$1510,$A40,'Match Log'!$E$4:$E$1510,"Win")</f>
        <v>0</v>
      </c>
      <c r="E40" s="83">
        <f>COUNTIFS('Match Log'!$D$4:$D$1510,E$34,'Match Log'!$C$4:$C$1510,$A40,'Match Log'!$E$4:$E$1510,"Win")</f>
        <v>0</v>
      </c>
      <c r="F40" s="83">
        <f>COUNTIFS('Match Log'!$D$4:$D$1510,F$34,'Match Log'!$C$4:$C$1510,$A40,'Match Log'!$E$4:$E$1510,"Win")</f>
        <v>0</v>
      </c>
      <c r="G40" s="83">
        <f>COUNTIFS('Match Log'!$D$4:$D$1510,G$34,'Match Log'!$C$4:$C$1510,$A40,'Match Log'!$E$4:$E$1510,"Win")</f>
        <v>0</v>
      </c>
      <c r="H40" s="83">
        <f>COUNTIFS('Match Log'!$D$4:$D$1510,H$34,'Match Log'!$C$4:$C$1510,$A40,'Match Log'!$E$4:$E$1510,"Win")</f>
        <v>0</v>
      </c>
      <c r="I40" s="83">
        <f>COUNTIFS('Match Log'!$D$4:$D$1510,I$34,'Match Log'!$C$4:$C$1510,$A40,'Match Log'!$E$4:$E$1510,"Win")</f>
        <v>0</v>
      </c>
      <c r="J40" s="83">
        <f>COUNTIFS('Match Log'!$D$4:$D$1510,J$34,'Match Log'!$C$4:$C$1510,$A40,'Match Log'!$E$4:$E$1510,"Win")</f>
        <v>0</v>
      </c>
      <c r="K40" s="83">
        <f>COUNTIFS('Match Log'!$D$4:$D$1510,K$34,'Match Log'!$C$4:$C$1510,$A40,'Match Log'!$E$4:$E$1510,"Win")</f>
        <v>0</v>
      </c>
      <c r="L40" s="83">
        <f>COUNTIFS('Match Log'!$D$4:$D$1510,L$34,'Match Log'!$C$4:$C$1510,$A40,'Match Log'!$E$4:$E$1510,"Win")</f>
        <v>0</v>
      </c>
      <c r="M40" s="83">
        <f>COUNTIFS('Match Log'!$D$4:$D$1510,M$34,'Match Log'!$C$4:$C$1510,$A40,'Match Log'!$E$4:$E$1510,"Win")</f>
        <v>0</v>
      </c>
      <c r="N40" s="83">
        <f>COUNTIFS('Match Log'!$D$4:$D$1510,N$34,'Match Log'!$C$4:$C$1510,$A40,'Match Log'!$E$4:$E$1510,"Win")</f>
        <v>0</v>
      </c>
      <c r="O40" s="83">
        <f>COUNTIFS('Match Log'!$D$4:$D$1510,O$34,'Match Log'!$C$4:$C$1510,$A40,'Match Log'!$E$4:$E$1510,"Win")</f>
        <v>0</v>
      </c>
    </row>
    <row r="41" spans="1:17" ht="15" customHeight="1" x14ac:dyDescent="0.2">
      <c r="A41" s="82" t="s">
        <v>39</v>
      </c>
      <c r="B41" s="83">
        <f>COUNTIFS('Match Log'!$D$4:$D$1510,B$34,'Match Log'!$C$4:$C$1510,$A41,'Match Log'!$E$4:$E$1510,"Win")</f>
        <v>0</v>
      </c>
      <c r="C41" s="83">
        <f>COUNTIFS('Match Log'!$D$4:$D$1510,C$34,'Match Log'!$C$4:$C$1510,$A41,'Match Log'!$E$4:$E$1510,"Win")</f>
        <v>0</v>
      </c>
      <c r="D41" s="83">
        <f>COUNTIFS('Match Log'!$D$4:$D$1510,D$34,'Match Log'!$C$4:$C$1510,$A41,'Match Log'!$E$4:$E$1510,"Win")</f>
        <v>0</v>
      </c>
      <c r="E41" s="83">
        <f>COUNTIFS('Match Log'!$D$4:$D$1510,E$34,'Match Log'!$C$4:$C$1510,$A41,'Match Log'!$E$4:$E$1510,"Win")</f>
        <v>0</v>
      </c>
      <c r="F41" s="83">
        <f>COUNTIFS('Match Log'!$D$4:$D$1510,F$34,'Match Log'!$C$4:$C$1510,$A41,'Match Log'!$E$4:$E$1510,"Win")</f>
        <v>0</v>
      </c>
      <c r="G41" s="83">
        <f>COUNTIFS('Match Log'!$D$4:$D$1510,G$34,'Match Log'!$C$4:$C$1510,$A41,'Match Log'!$E$4:$E$1510,"Win")</f>
        <v>0</v>
      </c>
      <c r="H41" s="83">
        <f>COUNTIFS('Match Log'!$D$4:$D$1510,H$34,'Match Log'!$C$4:$C$1510,$A41,'Match Log'!$E$4:$E$1510,"Win")</f>
        <v>0</v>
      </c>
      <c r="I41" s="83">
        <f>COUNTIFS('Match Log'!$D$4:$D$1510,I$34,'Match Log'!$C$4:$C$1510,$A41,'Match Log'!$E$4:$E$1510,"Win")</f>
        <v>0</v>
      </c>
      <c r="J41" s="83">
        <f>COUNTIFS('Match Log'!$D$4:$D$1510,J$34,'Match Log'!$C$4:$C$1510,$A41,'Match Log'!$E$4:$E$1510,"Win")</f>
        <v>0</v>
      </c>
      <c r="K41" s="83">
        <f>COUNTIFS('Match Log'!$D$4:$D$1510,K$34,'Match Log'!$C$4:$C$1510,$A41,'Match Log'!$E$4:$E$1510,"Win")</f>
        <v>0</v>
      </c>
      <c r="L41" s="83">
        <f>COUNTIFS('Match Log'!$D$4:$D$1510,L$34,'Match Log'!$C$4:$C$1510,$A41,'Match Log'!$E$4:$E$1510,"Win")</f>
        <v>0</v>
      </c>
      <c r="M41" s="83">
        <f>COUNTIFS('Match Log'!$D$4:$D$1510,M$34,'Match Log'!$C$4:$C$1510,$A41,'Match Log'!$E$4:$E$1510,"Win")</f>
        <v>0</v>
      </c>
      <c r="N41" s="83">
        <f>COUNTIFS('Match Log'!$D$4:$D$1510,N$34,'Match Log'!$C$4:$C$1510,$A41,'Match Log'!$E$4:$E$1510,"Win")</f>
        <v>0</v>
      </c>
      <c r="O41" s="83">
        <f>COUNTIFS('Match Log'!$D$4:$D$1510,O$34,'Match Log'!$C$4:$C$1510,$A41,'Match Log'!$E$4:$E$1510,"Win")</f>
        <v>0</v>
      </c>
    </row>
    <row r="42" spans="1:17" ht="15" customHeight="1" x14ac:dyDescent="0.2">
      <c r="A42" s="82" t="s">
        <v>40</v>
      </c>
      <c r="B42" s="83">
        <f>COUNTIFS('Match Log'!$D$4:$D$1510,B$34,'Match Log'!$C$4:$C$1510,$A42,'Match Log'!$E$4:$E$1510,"Win")</f>
        <v>0</v>
      </c>
      <c r="C42" s="83">
        <f>COUNTIFS('Match Log'!$D$4:$D$1510,C$34,'Match Log'!$C$4:$C$1510,$A42,'Match Log'!$E$4:$E$1510,"Win")</f>
        <v>0</v>
      </c>
      <c r="D42" s="83">
        <f>COUNTIFS('Match Log'!$D$4:$D$1510,D$34,'Match Log'!$C$4:$C$1510,$A42,'Match Log'!$E$4:$E$1510,"Win")</f>
        <v>0</v>
      </c>
      <c r="E42" s="83">
        <f>COUNTIFS('Match Log'!$D$4:$D$1510,E$34,'Match Log'!$C$4:$C$1510,$A42,'Match Log'!$E$4:$E$1510,"Win")</f>
        <v>0</v>
      </c>
      <c r="F42" s="83">
        <f>COUNTIFS('Match Log'!$D$4:$D$1510,F$34,'Match Log'!$C$4:$C$1510,$A42,'Match Log'!$E$4:$E$1510,"Win")</f>
        <v>0</v>
      </c>
      <c r="G42" s="83">
        <f>COUNTIFS('Match Log'!$D$4:$D$1510,G$34,'Match Log'!$C$4:$C$1510,$A42,'Match Log'!$E$4:$E$1510,"Win")</f>
        <v>0</v>
      </c>
      <c r="H42" s="83">
        <f>COUNTIFS('Match Log'!$D$4:$D$1510,H$34,'Match Log'!$C$4:$C$1510,$A42,'Match Log'!$E$4:$E$1510,"Win")</f>
        <v>0</v>
      </c>
      <c r="I42" s="83">
        <f>COUNTIFS('Match Log'!$D$4:$D$1510,I$34,'Match Log'!$C$4:$C$1510,$A42,'Match Log'!$E$4:$E$1510,"Win")</f>
        <v>0</v>
      </c>
      <c r="J42" s="83">
        <f>COUNTIFS('Match Log'!$D$4:$D$1510,J$34,'Match Log'!$C$4:$C$1510,$A42,'Match Log'!$E$4:$E$1510,"Win")</f>
        <v>0</v>
      </c>
      <c r="K42" s="83">
        <f>COUNTIFS('Match Log'!$D$4:$D$1510,K$34,'Match Log'!$C$4:$C$1510,$A42,'Match Log'!$E$4:$E$1510,"Win")</f>
        <v>0</v>
      </c>
      <c r="L42" s="83">
        <f>COUNTIFS('Match Log'!$D$4:$D$1510,L$34,'Match Log'!$C$4:$C$1510,$A42,'Match Log'!$E$4:$E$1510,"Win")</f>
        <v>0</v>
      </c>
      <c r="M42" s="83">
        <f>COUNTIFS('Match Log'!$D$4:$D$1510,M$34,'Match Log'!$C$4:$C$1510,$A42,'Match Log'!$E$4:$E$1510,"Win")</f>
        <v>0</v>
      </c>
      <c r="N42" s="83">
        <f>COUNTIFS('Match Log'!$D$4:$D$1510,N$34,'Match Log'!$C$4:$C$1510,$A42,'Match Log'!$E$4:$E$1510,"Win")</f>
        <v>0</v>
      </c>
      <c r="O42" s="83">
        <f>COUNTIFS('Match Log'!$D$4:$D$1510,O$34,'Match Log'!$C$4:$C$1510,$A42,'Match Log'!$E$4:$E$1510,"Win")</f>
        <v>0</v>
      </c>
    </row>
    <row r="43" spans="1:17" ht="15" customHeight="1" x14ac:dyDescent="0.2">
      <c r="A43" s="82" t="s">
        <v>41</v>
      </c>
      <c r="B43" s="83">
        <f>COUNTIFS('Match Log'!$D$4:$D$1510,B$34,'Match Log'!$C$4:$C$1510,$A43,'Match Log'!$E$4:$E$1510,"Win")</f>
        <v>0</v>
      </c>
      <c r="C43" s="83">
        <f>COUNTIFS('Match Log'!$D$4:$D$1510,C$34,'Match Log'!$C$4:$C$1510,$A43,'Match Log'!$E$4:$E$1510,"Win")</f>
        <v>0</v>
      </c>
      <c r="D43" s="83">
        <f>COUNTIFS('Match Log'!$D$4:$D$1510,D$34,'Match Log'!$C$4:$C$1510,$A43,'Match Log'!$E$4:$E$1510,"Win")</f>
        <v>0</v>
      </c>
      <c r="E43" s="83">
        <f>COUNTIFS('Match Log'!$D$4:$D$1510,E$34,'Match Log'!$C$4:$C$1510,$A43,'Match Log'!$E$4:$E$1510,"Win")</f>
        <v>0</v>
      </c>
      <c r="F43" s="83">
        <f>COUNTIFS('Match Log'!$D$4:$D$1510,F$34,'Match Log'!$C$4:$C$1510,$A43,'Match Log'!$E$4:$E$1510,"Win")</f>
        <v>2</v>
      </c>
      <c r="G43" s="83">
        <f>COUNTIFS('Match Log'!$D$4:$D$1510,G$34,'Match Log'!$C$4:$C$1510,$A43,'Match Log'!$E$4:$E$1510,"Win")</f>
        <v>2</v>
      </c>
      <c r="H43" s="83">
        <f>COUNTIFS('Match Log'!$D$4:$D$1510,H$34,'Match Log'!$C$4:$C$1510,$A43,'Match Log'!$E$4:$E$1510,"Win")</f>
        <v>0</v>
      </c>
      <c r="I43" s="83">
        <f>COUNTIFS('Match Log'!$D$4:$D$1510,I$34,'Match Log'!$C$4:$C$1510,$A43,'Match Log'!$E$4:$E$1510,"Win")</f>
        <v>0</v>
      </c>
      <c r="J43" s="83">
        <f>COUNTIFS('Match Log'!$D$4:$D$1510,J$34,'Match Log'!$C$4:$C$1510,$A43,'Match Log'!$E$4:$E$1510,"Win")</f>
        <v>0</v>
      </c>
      <c r="K43" s="83">
        <f>COUNTIFS('Match Log'!$D$4:$D$1510,K$34,'Match Log'!$C$4:$C$1510,$A43,'Match Log'!$E$4:$E$1510,"Win")</f>
        <v>0</v>
      </c>
      <c r="L43" s="83">
        <f>COUNTIFS('Match Log'!$D$4:$D$1510,L$34,'Match Log'!$C$4:$C$1510,$A43,'Match Log'!$E$4:$E$1510,"Win")</f>
        <v>0</v>
      </c>
      <c r="M43" s="83">
        <f>COUNTIFS('Match Log'!$D$4:$D$1510,M$34,'Match Log'!$C$4:$C$1510,$A43,'Match Log'!$E$4:$E$1510,"Win")</f>
        <v>0</v>
      </c>
      <c r="N43" s="83">
        <f>COUNTIFS('Match Log'!$D$4:$D$1510,N$34,'Match Log'!$C$4:$C$1510,$A43,'Match Log'!$E$4:$E$1510,"Win")</f>
        <v>0</v>
      </c>
      <c r="O43" s="83">
        <f>COUNTIFS('Match Log'!$D$4:$D$1510,O$34,'Match Log'!$C$4:$C$1510,$A43,'Match Log'!$E$4:$E$1510,"Win")</f>
        <v>0</v>
      </c>
    </row>
    <row r="44" spans="1:17" ht="15" customHeight="1" x14ac:dyDescent="0.2">
      <c r="A44" s="82" t="s">
        <v>42</v>
      </c>
      <c r="B44" s="83">
        <f>COUNTIFS('Match Log'!$D$4:$D$1510,B$34,'Match Log'!$C$4:$C$1510,$A44,'Match Log'!$E$4:$E$1510,"Win")</f>
        <v>0</v>
      </c>
      <c r="C44" s="83">
        <f>COUNTIFS('Match Log'!$D$4:$D$1510,C$34,'Match Log'!$C$4:$C$1510,$A44,'Match Log'!$E$4:$E$1510,"Win")</f>
        <v>0</v>
      </c>
      <c r="D44" s="83">
        <f>COUNTIFS('Match Log'!$D$4:$D$1510,D$34,'Match Log'!$C$4:$C$1510,$A44,'Match Log'!$E$4:$E$1510,"Win")</f>
        <v>0</v>
      </c>
      <c r="E44" s="83">
        <f>COUNTIFS('Match Log'!$D$4:$D$1510,E$34,'Match Log'!$C$4:$C$1510,$A44,'Match Log'!$E$4:$E$1510,"Win")</f>
        <v>0</v>
      </c>
      <c r="F44" s="83">
        <f>COUNTIFS('Match Log'!$D$4:$D$1510,F$34,'Match Log'!$C$4:$C$1510,$A44,'Match Log'!$E$4:$E$1510,"Win")</f>
        <v>0</v>
      </c>
      <c r="G44" s="83">
        <f>COUNTIFS('Match Log'!$D$4:$D$1510,G$34,'Match Log'!$C$4:$C$1510,$A44,'Match Log'!$E$4:$E$1510,"Win")</f>
        <v>1</v>
      </c>
      <c r="H44" s="83">
        <f>COUNTIFS('Match Log'!$D$4:$D$1510,H$34,'Match Log'!$C$4:$C$1510,$A44,'Match Log'!$E$4:$E$1510,"Win")</f>
        <v>5</v>
      </c>
      <c r="I44" s="83">
        <f>COUNTIFS('Match Log'!$D$4:$D$1510,I$34,'Match Log'!$C$4:$C$1510,$A44,'Match Log'!$E$4:$E$1510,"Win")</f>
        <v>0</v>
      </c>
      <c r="J44" s="83">
        <f>COUNTIFS('Match Log'!$D$4:$D$1510,J$34,'Match Log'!$C$4:$C$1510,$A44,'Match Log'!$E$4:$E$1510,"Win")</f>
        <v>0</v>
      </c>
      <c r="K44" s="83">
        <f>COUNTIFS('Match Log'!$D$4:$D$1510,K$34,'Match Log'!$C$4:$C$1510,$A44,'Match Log'!$E$4:$E$1510,"Win")</f>
        <v>0</v>
      </c>
      <c r="L44" s="83">
        <f>COUNTIFS('Match Log'!$D$4:$D$1510,L$34,'Match Log'!$C$4:$C$1510,$A44,'Match Log'!$E$4:$E$1510,"Win")</f>
        <v>0</v>
      </c>
      <c r="M44" s="83">
        <f>COUNTIFS('Match Log'!$D$4:$D$1510,M$34,'Match Log'!$C$4:$C$1510,$A44,'Match Log'!$E$4:$E$1510,"Win")</f>
        <v>0</v>
      </c>
      <c r="N44" s="83">
        <f>COUNTIFS('Match Log'!$D$4:$D$1510,N$34,'Match Log'!$C$4:$C$1510,$A44,'Match Log'!$E$4:$E$1510,"Win")</f>
        <v>0</v>
      </c>
      <c r="O44" s="83">
        <f>COUNTIFS('Match Log'!$D$4:$D$1510,O$34,'Match Log'!$C$4:$C$1510,$A44,'Match Log'!$E$4:$E$1510,"Win")</f>
        <v>0</v>
      </c>
    </row>
    <row r="45" spans="1:17" ht="15" customHeight="1" x14ac:dyDescent="0.2">
      <c r="A45" s="82" t="s">
        <v>43</v>
      </c>
      <c r="B45" s="83">
        <f>COUNTIFS('Match Log'!$D$4:$D$1510,B$34,'Match Log'!$C$4:$C$1510,$A45,'Match Log'!$E$4:$E$1510,"Win")</f>
        <v>0</v>
      </c>
      <c r="C45" s="83">
        <f>COUNTIFS('Match Log'!$D$4:$D$1510,C$34,'Match Log'!$C$4:$C$1510,$A45,'Match Log'!$E$4:$E$1510,"Win")</f>
        <v>0</v>
      </c>
      <c r="D45" s="83">
        <f>COUNTIFS('Match Log'!$D$4:$D$1510,D$34,'Match Log'!$C$4:$C$1510,$A45,'Match Log'!$E$4:$E$1510,"Win")</f>
        <v>0</v>
      </c>
      <c r="E45" s="83">
        <f>COUNTIFS('Match Log'!$D$4:$D$1510,E$34,'Match Log'!$C$4:$C$1510,$A45,'Match Log'!$E$4:$E$1510,"Win")</f>
        <v>0</v>
      </c>
      <c r="F45" s="83">
        <f>COUNTIFS('Match Log'!$D$4:$D$1510,F$34,'Match Log'!$C$4:$C$1510,$A45,'Match Log'!$E$4:$E$1510,"Win")</f>
        <v>0</v>
      </c>
      <c r="G45" s="83">
        <f>COUNTIFS('Match Log'!$D$4:$D$1510,G$34,'Match Log'!$C$4:$C$1510,$A45,'Match Log'!$E$4:$E$1510,"Win")</f>
        <v>0</v>
      </c>
      <c r="H45" s="83">
        <f>COUNTIFS('Match Log'!$D$4:$D$1510,H$34,'Match Log'!$C$4:$C$1510,$A45,'Match Log'!$E$4:$E$1510,"Win")</f>
        <v>0</v>
      </c>
      <c r="I45" s="83">
        <f>COUNTIFS('Match Log'!$D$4:$D$1510,I$34,'Match Log'!$C$4:$C$1510,$A45,'Match Log'!$E$4:$E$1510,"Win")</f>
        <v>0</v>
      </c>
      <c r="J45" s="83">
        <f>COUNTIFS('Match Log'!$D$4:$D$1510,J$34,'Match Log'!$C$4:$C$1510,$A45,'Match Log'!$E$4:$E$1510,"Win")</f>
        <v>0</v>
      </c>
      <c r="K45" s="83">
        <f>COUNTIFS('Match Log'!$D$4:$D$1510,K$34,'Match Log'!$C$4:$C$1510,$A45,'Match Log'!$E$4:$E$1510,"Win")</f>
        <v>0</v>
      </c>
      <c r="L45" s="83">
        <f>COUNTIFS('Match Log'!$D$4:$D$1510,L$34,'Match Log'!$C$4:$C$1510,$A45,'Match Log'!$E$4:$E$1510,"Win")</f>
        <v>0</v>
      </c>
      <c r="M45" s="83">
        <f>COUNTIFS('Match Log'!$D$4:$D$1510,M$34,'Match Log'!$C$4:$C$1510,$A45,'Match Log'!$E$4:$E$1510,"Win")</f>
        <v>0</v>
      </c>
      <c r="N45" s="83">
        <f>COUNTIFS('Match Log'!$D$4:$D$1510,N$34,'Match Log'!$C$4:$C$1510,$A45,'Match Log'!$E$4:$E$1510,"Win")</f>
        <v>0</v>
      </c>
      <c r="O45" s="83">
        <f>COUNTIFS('Match Log'!$D$4:$D$1510,O$34,'Match Log'!$C$4:$C$1510,$A45,'Match Log'!$E$4:$E$1510,"Win")</f>
        <v>0</v>
      </c>
    </row>
    <row r="46" spans="1:17" ht="15" customHeight="1" x14ac:dyDescent="0.2">
      <c r="A46" s="82" t="s">
        <v>44</v>
      </c>
      <c r="B46" s="83">
        <f>COUNTIFS('Match Log'!$D$4:$D$1510,B$34,'Match Log'!$C$4:$C$1510,$A46,'Match Log'!$E$4:$E$1510,"Win")</f>
        <v>10</v>
      </c>
      <c r="C46" s="83">
        <f>COUNTIFS('Match Log'!$D$4:$D$1510,C$34,'Match Log'!$C$4:$C$1510,$A46,'Match Log'!$E$4:$E$1510,"Win")</f>
        <v>0</v>
      </c>
      <c r="D46" s="83">
        <f>COUNTIFS('Match Log'!$D$4:$D$1510,D$34,'Match Log'!$C$4:$C$1510,$A46,'Match Log'!$E$4:$E$1510,"Win")</f>
        <v>0</v>
      </c>
      <c r="E46" s="83">
        <f>COUNTIFS('Match Log'!$D$4:$D$1510,E$34,'Match Log'!$C$4:$C$1510,$A46,'Match Log'!$E$4:$E$1510,"Win")</f>
        <v>1</v>
      </c>
      <c r="F46" s="83">
        <f>COUNTIFS('Match Log'!$D$4:$D$1510,F$34,'Match Log'!$C$4:$C$1510,$A46,'Match Log'!$E$4:$E$1510,"Win")</f>
        <v>13</v>
      </c>
      <c r="G46" s="83">
        <f>COUNTIFS('Match Log'!$D$4:$D$1510,G$34,'Match Log'!$C$4:$C$1510,$A46,'Match Log'!$E$4:$E$1510,"Win")</f>
        <v>13</v>
      </c>
      <c r="H46" s="83">
        <f>COUNTIFS('Match Log'!$D$4:$D$1510,H$34,'Match Log'!$C$4:$C$1510,$A46,'Match Log'!$E$4:$E$1510,"Win")</f>
        <v>5</v>
      </c>
      <c r="I46" s="83">
        <f>COUNTIFS('Match Log'!$D$4:$D$1510,I$34,'Match Log'!$C$4:$C$1510,$A46,'Match Log'!$E$4:$E$1510,"Win")</f>
        <v>3</v>
      </c>
      <c r="J46" s="83">
        <f>COUNTIFS('Match Log'!$D$4:$D$1510,J$34,'Match Log'!$C$4:$C$1510,$A46,'Match Log'!$E$4:$E$1510,"Win")</f>
        <v>5</v>
      </c>
      <c r="K46" s="83">
        <f>COUNTIFS('Match Log'!$D$4:$D$1510,K$34,'Match Log'!$C$4:$C$1510,$A46,'Match Log'!$E$4:$E$1510,"Win")</f>
        <v>0</v>
      </c>
      <c r="L46" s="83">
        <f>COUNTIFS('Match Log'!$D$4:$D$1510,L$34,'Match Log'!$C$4:$C$1510,$A46,'Match Log'!$E$4:$E$1510,"Win")</f>
        <v>6</v>
      </c>
      <c r="M46" s="83">
        <f>COUNTIFS('Match Log'!$D$4:$D$1510,M$34,'Match Log'!$C$4:$C$1510,$A46,'Match Log'!$E$4:$E$1510,"Win")</f>
        <v>0</v>
      </c>
      <c r="N46" s="83">
        <f>COUNTIFS('Match Log'!$D$4:$D$1510,N$34,'Match Log'!$C$4:$C$1510,$A46,'Match Log'!$E$4:$E$1510,"Win")</f>
        <v>0</v>
      </c>
      <c r="O46" s="83">
        <f>COUNTIFS('Match Log'!$D$4:$D$1510,O$34,'Match Log'!$C$4:$C$1510,$A46,'Match Log'!$E$4:$E$1510,"Win")</f>
        <v>0</v>
      </c>
    </row>
    <row r="47" spans="1:17" ht="15" customHeight="1" x14ac:dyDescent="0.2">
      <c r="A47" s="82" t="s">
        <v>9</v>
      </c>
      <c r="B47" s="83">
        <f>COUNTIFS('Match Log'!$D$4:$D$1510,B$34,'Match Log'!$C$4:$C$1510,$A47,'Match Log'!$E$4:$E$1510,"Win")</f>
        <v>3</v>
      </c>
      <c r="C47" s="83">
        <f>COUNTIFS('Match Log'!$D$4:$D$1510,C$34,'Match Log'!$C$4:$C$1510,$A47,'Match Log'!$E$4:$E$1510,"Win")</f>
        <v>0</v>
      </c>
      <c r="D47" s="83">
        <f>COUNTIFS('Match Log'!$D$4:$D$1510,D$34,'Match Log'!$C$4:$C$1510,$A47,'Match Log'!$E$4:$E$1510,"Win")</f>
        <v>0</v>
      </c>
      <c r="E47" s="83">
        <f>COUNTIFS('Match Log'!$D$4:$D$1510,E$34,'Match Log'!$C$4:$C$1510,$A47,'Match Log'!$E$4:$E$1510,"Win")</f>
        <v>0</v>
      </c>
      <c r="F47" s="83">
        <f>COUNTIFS('Match Log'!$D$4:$D$1510,F$34,'Match Log'!$C$4:$C$1510,$A47,'Match Log'!$E$4:$E$1510,"Win")</f>
        <v>0</v>
      </c>
      <c r="G47" s="83">
        <f>COUNTIFS('Match Log'!$D$4:$D$1510,G$34,'Match Log'!$C$4:$C$1510,$A47,'Match Log'!$E$4:$E$1510,"Win")</f>
        <v>5</v>
      </c>
      <c r="H47" s="83">
        <f>COUNTIFS('Match Log'!$D$4:$D$1510,H$34,'Match Log'!$C$4:$C$1510,$A47,'Match Log'!$E$4:$E$1510,"Win")</f>
        <v>0</v>
      </c>
      <c r="I47" s="83">
        <f>COUNTIFS('Match Log'!$D$4:$D$1510,I$34,'Match Log'!$C$4:$C$1510,$A47,'Match Log'!$E$4:$E$1510,"Win")</f>
        <v>5</v>
      </c>
      <c r="J47" s="83">
        <f>COUNTIFS('Match Log'!$D$4:$D$1510,J$34,'Match Log'!$C$4:$C$1510,$A47,'Match Log'!$E$4:$E$1510,"Win")</f>
        <v>0</v>
      </c>
      <c r="K47" s="83">
        <f>COUNTIFS('Match Log'!$D$4:$D$1510,K$34,'Match Log'!$C$4:$C$1510,$A47,'Match Log'!$E$4:$E$1510,"Win")</f>
        <v>0</v>
      </c>
      <c r="L47" s="83">
        <f>COUNTIFS('Match Log'!$D$4:$D$1510,L$34,'Match Log'!$C$4:$C$1510,$A47,'Match Log'!$E$4:$E$1510,"Win")</f>
        <v>1</v>
      </c>
      <c r="M47" s="83">
        <f>COUNTIFS('Match Log'!$D$4:$D$1510,M$34,'Match Log'!$C$4:$C$1510,$A47,'Match Log'!$E$4:$E$1510,"Win")</f>
        <v>0</v>
      </c>
      <c r="N47" s="83">
        <f>COUNTIFS('Match Log'!$D$4:$D$1510,N$34,'Match Log'!$C$4:$C$1510,$A47,'Match Log'!$E$4:$E$1510,"Win")</f>
        <v>0</v>
      </c>
      <c r="O47" s="83">
        <f>COUNTIFS('Match Log'!$D$4:$D$1510,O$34,'Match Log'!$C$4:$C$1510,$A47,'Match Log'!$E$4:$E$1510,"Win")</f>
        <v>0</v>
      </c>
    </row>
    <row r="48" spans="1:17" ht="15" customHeight="1" x14ac:dyDescent="0.2">
      <c r="A48" s="82" t="s">
        <v>45</v>
      </c>
      <c r="B48" s="83">
        <f>COUNTIFS('Match Log'!$D$4:$D$1510,B$34,'Match Log'!$C$4:$C$1510,$A48,'Match Log'!$E$4:$E$1510,"Win")</f>
        <v>3</v>
      </c>
      <c r="C48" s="83">
        <f>COUNTIFS('Match Log'!$D$4:$D$1510,C$34,'Match Log'!$C$4:$C$1510,$A48,'Match Log'!$E$4:$E$1510,"Win")</f>
        <v>0</v>
      </c>
      <c r="D48" s="83">
        <f>COUNTIFS('Match Log'!$D$4:$D$1510,D$34,'Match Log'!$C$4:$C$1510,$A48,'Match Log'!$E$4:$E$1510,"Win")</f>
        <v>1</v>
      </c>
      <c r="E48" s="83">
        <f>COUNTIFS('Match Log'!$D$4:$D$1510,E$34,'Match Log'!$C$4:$C$1510,$A48,'Match Log'!$E$4:$E$1510,"Win")</f>
        <v>0</v>
      </c>
      <c r="F48" s="83">
        <f>COUNTIFS('Match Log'!$D$4:$D$1510,F$34,'Match Log'!$C$4:$C$1510,$A48,'Match Log'!$E$4:$E$1510,"Win")</f>
        <v>6</v>
      </c>
      <c r="G48" s="83">
        <f>COUNTIFS('Match Log'!$D$4:$D$1510,G$34,'Match Log'!$C$4:$C$1510,$A48,'Match Log'!$E$4:$E$1510,"Win")</f>
        <v>1</v>
      </c>
      <c r="H48" s="83">
        <f>COUNTIFS('Match Log'!$D$4:$D$1510,H$34,'Match Log'!$C$4:$C$1510,$A48,'Match Log'!$E$4:$E$1510,"Win")</f>
        <v>0</v>
      </c>
      <c r="I48" s="83">
        <f>COUNTIFS('Match Log'!$D$4:$D$1510,I$34,'Match Log'!$C$4:$C$1510,$A48,'Match Log'!$E$4:$E$1510,"Win")</f>
        <v>3</v>
      </c>
      <c r="J48" s="83">
        <f>COUNTIFS('Match Log'!$D$4:$D$1510,J$34,'Match Log'!$C$4:$C$1510,$A48,'Match Log'!$E$4:$E$1510,"Win")</f>
        <v>0</v>
      </c>
      <c r="K48" s="83">
        <f>COUNTIFS('Match Log'!$D$4:$D$1510,K$34,'Match Log'!$C$4:$C$1510,$A48,'Match Log'!$E$4:$E$1510,"Win")</f>
        <v>0</v>
      </c>
      <c r="L48" s="83">
        <f>COUNTIFS('Match Log'!$D$4:$D$1510,L$34,'Match Log'!$C$4:$C$1510,$A48,'Match Log'!$E$4:$E$1510,"Win")</f>
        <v>9</v>
      </c>
      <c r="M48" s="83">
        <f>COUNTIFS('Match Log'!$D$4:$D$1510,M$34,'Match Log'!$C$4:$C$1510,$A48,'Match Log'!$E$4:$E$1510,"Win")</f>
        <v>0</v>
      </c>
      <c r="N48" s="83">
        <f>COUNTIFS('Match Log'!$D$4:$D$1510,N$34,'Match Log'!$C$4:$C$1510,$A48,'Match Log'!$E$4:$E$1510,"Win")</f>
        <v>0</v>
      </c>
      <c r="O48" s="83">
        <f>COUNTIFS('Match Log'!$D$4:$D$1510,O$34,'Match Log'!$C$4:$C$1510,$A48,'Match Log'!$E$4:$E$1510,"Win")</f>
        <v>0</v>
      </c>
    </row>
    <row r="49" spans="1:17" ht="15" customHeight="1" x14ac:dyDescent="0.2">
      <c r="A49" s="82" t="s">
        <v>46</v>
      </c>
      <c r="B49" s="83">
        <f>COUNTIFS('Match Log'!$D$4:$D$1510,B$34,'Match Log'!$C$4:$C$1510,$A49,'Match Log'!$E$4:$E$1510,"Win")</f>
        <v>0</v>
      </c>
      <c r="C49" s="83">
        <f>COUNTIFS('Match Log'!$D$4:$D$1510,C$34,'Match Log'!$C$4:$C$1510,$A49,'Match Log'!$E$4:$E$1510,"Win")</f>
        <v>0</v>
      </c>
      <c r="D49" s="83">
        <f>COUNTIFS('Match Log'!$D$4:$D$1510,D$34,'Match Log'!$C$4:$C$1510,$A49,'Match Log'!$E$4:$E$1510,"Win")</f>
        <v>0</v>
      </c>
      <c r="E49" s="83">
        <f>COUNTIFS('Match Log'!$D$4:$D$1510,E$34,'Match Log'!$C$4:$C$1510,$A49,'Match Log'!$E$4:$E$1510,"Win")</f>
        <v>0</v>
      </c>
      <c r="F49" s="83">
        <f>COUNTIFS('Match Log'!$D$4:$D$1510,F$34,'Match Log'!$C$4:$C$1510,$A49,'Match Log'!$E$4:$E$1510,"Win")</f>
        <v>0</v>
      </c>
      <c r="G49" s="83">
        <f>COUNTIFS('Match Log'!$D$4:$D$1510,G$34,'Match Log'!$C$4:$C$1510,$A49,'Match Log'!$E$4:$E$1510,"Win")</f>
        <v>0</v>
      </c>
      <c r="H49" s="83">
        <f>COUNTIFS('Match Log'!$D$4:$D$1510,H$34,'Match Log'!$C$4:$C$1510,$A49,'Match Log'!$E$4:$E$1510,"Win")</f>
        <v>0</v>
      </c>
      <c r="I49" s="83">
        <f>COUNTIFS('Match Log'!$D$4:$D$1510,I$34,'Match Log'!$C$4:$C$1510,$A49,'Match Log'!$E$4:$E$1510,"Win")</f>
        <v>0</v>
      </c>
      <c r="J49" s="83">
        <f>COUNTIFS('Match Log'!$D$4:$D$1510,J$34,'Match Log'!$C$4:$C$1510,$A49,'Match Log'!$E$4:$E$1510,"Win")</f>
        <v>0</v>
      </c>
      <c r="K49" s="83">
        <f>COUNTIFS('Match Log'!$D$4:$D$1510,K$34,'Match Log'!$C$4:$C$1510,$A49,'Match Log'!$E$4:$E$1510,"Win")</f>
        <v>0</v>
      </c>
      <c r="L49" s="83">
        <f>COUNTIFS('Match Log'!$D$4:$D$1510,L$34,'Match Log'!$C$4:$C$1510,$A49,'Match Log'!$E$4:$E$1510,"Win")</f>
        <v>0</v>
      </c>
      <c r="M49" s="83">
        <f>COUNTIFS('Match Log'!$D$4:$D$1510,M$34,'Match Log'!$C$4:$C$1510,$A49,'Match Log'!$E$4:$E$1510,"Win")</f>
        <v>0</v>
      </c>
      <c r="N49" s="83">
        <f>COUNTIFS('Match Log'!$D$4:$D$1510,N$34,'Match Log'!$C$4:$C$1510,$A49,'Match Log'!$E$4:$E$1510,"Win")</f>
        <v>0</v>
      </c>
      <c r="O49" s="83">
        <f>COUNTIFS('Match Log'!$D$4:$D$1510,O$34,'Match Log'!$C$4:$C$1510,$A49,'Match Log'!$E$4:$E$1510,"Win")</f>
        <v>0</v>
      </c>
    </row>
    <row r="50" spans="1:17" ht="15" customHeight="1" x14ac:dyDescent="0.2">
      <c r="A50" s="82" t="s">
        <v>47</v>
      </c>
      <c r="B50" s="83">
        <f>COUNTIFS('Match Log'!$D$4:$D$1510,B$34,'Match Log'!$C$4:$C$1510,$A50,'Match Log'!$E$4:$E$1510,"Win")</f>
        <v>5</v>
      </c>
      <c r="C50" s="83">
        <f>COUNTIFS('Match Log'!$D$4:$D$1510,C$34,'Match Log'!$C$4:$C$1510,$A50,'Match Log'!$E$4:$E$1510,"Win")</f>
        <v>0</v>
      </c>
      <c r="D50" s="83">
        <f>COUNTIFS('Match Log'!$D$4:$D$1510,D$34,'Match Log'!$C$4:$C$1510,$A50,'Match Log'!$E$4:$E$1510,"Win")</f>
        <v>0</v>
      </c>
      <c r="E50" s="83">
        <f>COUNTIFS('Match Log'!$D$4:$D$1510,E$34,'Match Log'!$C$4:$C$1510,$A50,'Match Log'!$E$4:$E$1510,"Win")</f>
        <v>0</v>
      </c>
      <c r="F50" s="83">
        <f>COUNTIFS('Match Log'!$D$4:$D$1510,F$34,'Match Log'!$C$4:$C$1510,$A50,'Match Log'!$E$4:$E$1510,"Win")</f>
        <v>0</v>
      </c>
      <c r="G50" s="83">
        <f>COUNTIFS('Match Log'!$D$4:$D$1510,G$34,'Match Log'!$C$4:$C$1510,$A50,'Match Log'!$E$4:$E$1510,"Win")</f>
        <v>0</v>
      </c>
      <c r="H50" s="83">
        <f>COUNTIFS('Match Log'!$D$4:$D$1510,H$34,'Match Log'!$C$4:$C$1510,$A50,'Match Log'!$E$4:$E$1510,"Win")</f>
        <v>0</v>
      </c>
      <c r="I50" s="83">
        <f>COUNTIFS('Match Log'!$D$4:$D$1510,I$34,'Match Log'!$C$4:$C$1510,$A50,'Match Log'!$E$4:$E$1510,"Win")</f>
        <v>8</v>
      </c>
      <c r="J50" s="83">
        <f>COUNTIFS('Match Log'!$D$4:$D$1510,J$34,'Match Log'!$C$4:$C$1510,$A50,'Match Log'!$E$4:$E$1510,"Win")</f>
        <v>0</v>
      </c>
      <c r="K50" s="83">
        <f>COUNTIFS('Match Log'!$D$4:$D$1510,K$34,'Match Log'!$C$4:$C$1510,$A50,'Match Log'!$E$4:$E$1510,"Win")</f>
        <v>0</v>
      </c>
      <c r="L50" s="83">
        <f>COUNTIFS('Match Log'!$D$4:$D$1510,L$34,'Match Log'!$C$4:$C$1510,$A50,'Match Log'!$E$4:$E$1510,"Win")</f>
        <v>0</v>
      </c>
      <c r="M50" s="83">
        <f>COUNTIFS('Match Log'!$D$4:$D$1510,M$34,'Match Log'!$C$4:$C$1510,$A50,'Match Log'!$E$4:$E$1510,"Win")</f>
        <v>0</v>
      </c>
      <c r="N50" s="83">
        <f>COUNTIFS('Match Log'!$D$4:$D$1510,N$34,'Match Log'!$C$4:$C$1510,$A50,'Match Log'!$E$4:$E$1510,"Win")</f>
        <v>0</v>
      </c>
      <c r="O50" s="83">
        <f>COUNTIFS('Match Log'!$D$4:$D$1510,O$34,'Match Log'!$C$4:$C$1510,$A50,'Match Log'!$E$4:$E$1510,"Win")</f>
        <v>0</v>
      </c>
    </row>
    <row r="51" spans="1:17" ht="15" customHeight="1" x14ac:dyDescent="0.2">
      <c r="A51" s="82" t="s">
        <v>48</v>
      </c>
      <c r="B51" s="83">
        <f>COUNTIFS('Match Log'!$D$4:$D$1510,B$34,'Match Log'!$C$4:$C$1510,$A51,'Match Log'!$E$4:$E$1510,"Win")</f>
        <v>0</v>
      </c>
      <c r="C51" s="83">
        <f>COUNTIFS('Match Log'!$D$4:$D$1510,C$34,'Match Log'!$C$4:$C$1510,$A51,'Match Log'!$E$4:$E$1510,"Win")</f>
        <v>0</v>
      </c>
      <c r="D51" s="83">
        <f>COUNTIFS('Match Log'!$D$4:$D$1510,D$34,'Match Log'!$C$4:$C$1510,$A51,'Match Log'!$E$4:$E$1510,"Win")</f>
        <v>0</v>
      </c>
      <c r="E51" s="83">
        <f>COUNTIFS('Match Log'!$D$4:$D$1510,E$34,'Match Log'!$C$4:$C$1510,$A51,'Match Log'!$E$4:$E$1510,"Win")</f>
        <v>0</v>
      </c>
      <c r="F51" s="83">
        <f>COUNTIFS('Match Log'!$D$4:$D$1510,F$34,'Match Log'!$C$4:$C$1510,$A51,'Match Log'!$E$4:$E$1510,"Win")</f>
        <v>2</v>
      </c>
      <c r="G51" s="83">
        <f>COUNTIFS('Match Log'!$D$4:$D$1510,G$34,'Match Log'!$C$4:$C$1510,$A51,'Match Log'!$E$4:$E$1510,"Win")</f>
        <v>0</v>
      </c>
      <c r="H51" s="83">
        <f>COUNTIFS('Match Log'!$D$4:$D$1510,H$34,'Match Log'!$C$4:$C$1510,$A51,'Match Log'!$E$4:$E$1510,"Win")</f>
        <v>0</v>
      </c>
      <c r="I51" s="83">
        <f>COUNTIFS('Match Log'!$D$4:$D$1510,I$34,'Match Log'!$C$4:$C$1510,$A51,'Match Log'!$E$4:$E$1510,"Win")</f>
        <v>0</v>
      </c>
      <c r="J51" s="83">
        <f>COUNTIFS('Match Log'!$D$4:$D$1510,J$34,'Match Log'!$C$4:$C$1510,$A51,'Match Log'!$E$4:$E$1510,"Win")</f>
        <v>0</v>
      </c>
      <c r="K51" s="83">
        <f>COUNTIFS('Match Log'!$D$4:$D$1510,K$34,'Match Log'!$C$4:$C$1510,$A51,'Match Log'!$E$4:$E$1510,"Win")</f>
        <v>0</v>
      </c>
      <c r="L51" s="83">
        <f>COUNTIFS('Match Log'!$D$4:$D$1510,L$34,'Match Log'!$C$4:$C$1510,$A51,'Match Log'!$E$4:$E$1510,"Win")</f>
        <v>0</v>
      </c>
      <c r="M51" s="83">
        <f>COUNTIFS('Match Log'!$D$4:$D$1510,M$34,'Match Log'!$C$4:$C$1510,$A51,'Match Log'!$E$4:$E$1510,"Win")</f>
        <v>0</v>
      </c>
      <c r="N51" s="83">
        <f>COUNTIFS('Match Log'!$D$4:$D$1510,N$34,'Match Log'!$C$4:$C$1510,$A51,'Match Log'!$E$4:$E$1510,"Win")</f>
        <v>0</v>
      </c>
      <c r="O51" s="83">
        <f>COUNTIFS('Match Log'!$D$4:$D$1510,O$34,'Match Log'!$C$4:$C$1510,$A51,'Match Log'!$E$4:$E$1510,"Win")</f>
        <v>0</v>
      </c>
    </row>
    <row r="52" spans="1:17" ht="15" customHeight="1" x14ac:dyDescent="0.2">
      <c r="A52" s="82" t="s">
        <v>49</v>
      </c>
      <c r="B52" s="83">
        <f>COUNTIFS('Match Log'!$D$4:$D$1510,B$34,'Match Log'!$C$4:$C$1510,$A52,'Match Log'!$E$4:$E$1510,"Win")</f>
        <v>2</v>
      </c>
      <c r="C52" s="83">
        <f>COUNTIFS('Match Log'!$D$4:$D$1510,C$34,'Match Log'!$C$4:$C$1510,$A52,'Match Log'!$E$4:$E$1510,"Win")</f>
        <v>5</v>
      </c>
      <c r="D52" s="83">
        <f>COUNTIFS('Match Log'!$D$4:$D$1510,D$34,'Match Log'!$C$4:$C$1510,$A52,'Match Log'!$E$4:$E$1510,"Win")</f>
        <v>1</v>
      </c>
      <c r="E52" s="83">
        <f>COUNTIFS('Match Log'!$D$4:$D$1510,E$34,'Match Log'!$C$4:$C$1510,$A52,'Match Log'!$E$4:$E$1510,"Win")</f>
        <v>3</v>
      </c>
      <c r="F52" s="83">
        <f>COUNTIFS('Match Log'!$D$4:$D$1510,F$34,'Match Log'!$C$4:$C$1510,$A52,'Match Log'!$E$4:$E$1510,"Win")</f>
        <v>3</v>
      </c>
      <c r="G52" s="83">
        <f>COUNTIFS('Match Log'!$D$4:$D$1510,G$34,'Match Log'!$C$4:$C$1510,$A52,'Match Log'!$E$4:$E$1510,"Win")</f>
        <v>4</v>
      </c>
      <c r="H52" s="83">
        <f>COUNTIFS('Match Log'!$D$4:$D$1510,H$34,'Match Log'!$C$4:$C$1510,$A52,'Match Log'!$E$4:$E$1510,"Win")</f>
        <v>8</v>
      </c>
      <c r="I52" s="83">
        <f>COUNTIFS('Match Log'!$D$4:$D$1510,I$34,'Match Log'!$C$4:$C$1510,$A52,'Match Log'!$E$4:$E$1510,"Win")</f>
        <v>5</v>
      </c>
      <c r="J52" s="83">
        <f>COUNTIFS('Match Log'!$D$4:$D$1510,J$34,'Match Log'!$C$4:$C$1510,$A52,'Match Log'!$E$4:$E$1510,"Win")</f>
        <v>7</v>
      </c>
      <c r="K52" s="83">
        <f>COUNTIFS('Match Log'!$D$4:$D$1510,K$34,'Match Log'!$C$4:$C$1510,$A52,'Match Log'!$E$4:$E$1510,"Win")</f>
        <v>2</v>
      </c>
      <c r="L52" s="83">
        <f>COUNTIFS('Match Log'!$D$4:$D$1510,L$34,'Match Log'!$C$4:$C$1510,$A52,'Match Log'!$E$4:$E$1510,"Win")</f>
        <v>5</v>
      </c>
      <c r="M52" s="83">
        <f>COUNTIFS('Match Log'!$D$4:$D$1510,M$34,'Match Log'!$C$4:$C$1510,$A52,'Match Log'!$E$4:$E$1510,"Win")</f>
        <v>2</v>
      </c>
      <c r="N52" s="83">
        <f>COUNTIFS('Match Log'!$D$4:$D$1510,N$34,'Match Log'!$C$4:$C$1510,$A52,'Match Log'!$E$4:$E$1510,"Win")</f>
        <v>2</v>
      </c>
      <c r="O52" s="83">
        <f>COUNTIFS('Match Log'!$D$4:$D$1510,O$34,'Match Log'!$C$4:$C$1510,$A52,'Match Log'!$E$4:$E$1510,"Win")</f>
        <v>0</v>
      </c>
    </row>
    <row r="53" spans="1:17" ht="15" customHeight="1" x14ac:dyDescent="0.2">
      <c r="A53" s="82" t="s">
        <v>50</v>
      </c>
      <c r="B53" s="83">
        <f>COUNTIFS('Match Log'!$D$4:$D$1510,B$34,'Match Log'!$C$4:$C$1510,$A53,'Match Log'!$E$4:$E$1510,"Win")</f>
        <v>3</v>
      </c>
      <c r="C53" s="83">
        <f>COUNTIFS('Match Log'!$D$4:$D$1510,C$34,'Match Log'!$C$4:$C$1510,$A53,'Match Log'!$E$4:$E$1510,"Win")</f>
        <v>0</v>
      </c>
      <c r="D53" s="83">
        <f>COUNTIFS('Match Log'!$D$4:$D$1510,D$34,'Match Log'!$C$4:$C$1510,$A53,'Match Log'!$E$4:$E$1510,"Win")</f>
        <v>4</v>
      </c>
      <c r="E53" s="83">
        <f>COUNTIFS('Match Log'!$D$4:$D$1510,E$34,'Match Log'!$C$4:$C$1510,$A53,'Match Log'!$E$4:$E$1510,"Win")</f>
        <v>0</v>
      </c>
      <c r="F53" s="83">
        <f>COUNTIFS('Match Log'!$D$4:$D$1510,F$34,'Match Log'!$C$4:$C$1510,$A53,'Match Log'!$E$4:$E$1510,"Win")</f>
        <v>2</v>
      </c>
      <c r="G53" s="83">
        <f>COUNTIFS('Match Log'!$D$4:$D$1510,G$34,'Match Log'!$C$4:$C$1510,$A53,'Match Log'!$E$4:$E$1510,"Win")</f>
        <v>23</v>
      </c>
      <c r="H53" s="83">
        <f>COUNTIFS('Match Log'!$D$4:$D$1510,H$34,'Match Log'!$C$4:$C$1510,$A53,'Match Log'!$E$4:$E$1510,"Win")</f>
        <v>0</v>
      </c>
      <c r="I53" s="83">
        <f>COUNTIFS('Match Log'!$D$4:$D$1510,I$34,'Match Log'!$C$4:$C$1510,$A53,'Match Log'!$E$4:$E$1510,"Win")</f>
        <v>25</v>
      </c>
      <c r="J53" s="83">
        <f>COUNTIFS('Match Log'!$D$4:$D$1510,J$34,'Match Log'!$C$4:$C$1510,$A53,'Match Log'!$E$4:$E$1510,"Win")</f>
        <v>0</v>
      </c>
      <c r="K53" s="83">
        <f>COUNTIFS('Match Log'!$D$4:$D$1510,K$34,'Match Log'!$C$4:$C$1510,$A53,'Match Log'!$E$4:$E$1510,"Win")</f>
        <v>0</v>
      </c>
      <c r="L53" s="83">
        <f>COUNTIFS('Match Log'!$D$4:$D$1510,L$34,'Match Log'!$C$4:$C$1510,$A53,'Match Log'!$E$4:$E$1510,"Win")</f>
        <v>2</v>
      </c>
      <c r="M53" s="83">
        <f>COUNTIFS('Match Log'!$D$4:$D$1510,M$34,'Match Log'!$C$4:$C$1510,$A53,'Match Log'!$E$4:$E$1510,"Win")</f>
        <v>0</v>
      </c>
      <c r="N53" s="83">
        <f>COUNTIFS('Match Log'!$D$4:$D$1510,N$34,'Match Log'!$C$4:$C$1510,$A53,'Match Log'!$E$4:$E$1510,"Win")</f>
        <v>0</v>
      </c>
      <c r="O53" s="83">
        <f>COUNTIFS('Match Log'!$D$4:$D$1510,O$34,'Match Log'!$C$4:$C$1510,$A53,'Match Log'!$E$4:$E$1510,"Win")</f>
        <v>0</v>
      </c>
    </row>
    <row r="54" spans="1:17" x14ac:dyDescent="0.2">
      <c r="A54" s="82" t="s">
        <v>51</v>
      </c>
      <c r="B54" s="83">
        <f>COUNTIFS('Match Log'!$D$4:$D$1510,B$34,'Match Log'!$C$4:$C$1510,$A54,'Match Log'!$E$4:$E$1510,"Win")</f>
        <v>0</v>
      </c>
      <c r="C54" s="83">
        <f>COUNTIFS('Match Log'!$D$4:$D$1510,C$34,'Match Log'!$C$4:$C$1510,$A54,'Match Log'!$E$4:$E$1510,"Win")</f>
        <v>0</v>
      </c>
      <c r="D54" s="83">
        <f>COUNTIFS('Match Log'!$D$4:$D$1510,D$34,'Match Log'!$C$4:$C$1510,$A54,'Match Log'!$E$4:$E$1510,"Win")</f>
        <v>2</v>
      </c>
      <c r="E54" s="83">
        <f>COUNTIFS('Match Log'!$D$4:$D$1510,E$34,'Match Log'!$C$4:$C$1510,$A54,'Match Log'!$E$4:$E$1510,"Win")</f>
        <v>0</v>
      </c>
      <c r="F54" s="83">
        <f>COUNTIFS('Match Log'!$D$4:$D$1510,F$34,'Match Log'!$C$4:$C$1510,$A54,'Match Log'!$E$4:$E$1510,"Win")</f>
        <v>0</v>
      </c>
      <c r="G54" s="83">
        <f>COUNTIFS('Match Log'!$D$4:$D$1510,G$34,'Match Log'!$C$4:$C$1510,$A54,'Match Log'!$E$4:$E$1510,"Win")</f>
        <v>5</v>
      </c>
      <c r="H54" s="83">
        <f>COUNTIFS('Match Log'!$D$4:$D$1510,H$34,'Match Log'!$C$4:$C$1510,$A54,'Match Log'!$E$4:$E$1510,"Win")</f>
        <v>0</v>
      </c>
      <c r="I54" s="83">
        <f>COUNTIFS('Match Log'!$D$4:$D$1510,I$34,'Match Log'!$C$4:$C$1510,$A54,'Match Log'!$E$4:$E$1510,"Win")</f>
        <v>0</v>
      </c>
      <c r="J54" s="83">
        <f>COUNTIFS('Match Log'!$D$4:$D$1510,J$34,'Match Log'!$C$4:$C$1510,$A54,'Match Log'!$E$4:$E$1510,"Win")</f>
        <v>0</v>
      </c>
      <c r="K54" s="83">
        <f>COUNTIFS('Match Log'!$D$4:$D$1510,K$34,'Match Log'!$C$4:$C$1510,$A54,'Match Log'!$E$4:$E$1510,"Win")</f>
        <v>0</v>
      </c>
      <c r="L54" s="83">
        <f>COUNTIFS('Match Log'!$D$4:$D$1510,L$34,'Match Log'!$C$4:$C$1510,$A54,'Match Log'!$E$4:$E$1510,"Win")</f>
        <v>0</v>
      </c>
      <c r="M54" s="83">
        <f>COUNTIFS('Match Log'!$D$4:$D$1510,M$34,'Match Log'!$C$4:$C$1510,$A54,'Match Log'!$E$4:$E$1510,"Win")</f>
        <v>0</v>
      </c>
      <c r="N54" s="83">
        <f>COUNTIFS('Match Log'!$D$4:$D$1510,N$34,'Match Log'!$C$4:$C$1510,$A54,'Match Log'!$E$4:$E$1510,"Win")</f>
        <v>0</v>
      </c>
      <c r="O54" s="83">
        <f>COUNTIFS('Match Log'!$D$4:$D$1510,O$34,'Match Log'!$C$4:$C$1510,$A54,'Match Log'!$E$4:$E$1510,"Win")</f>
        <v>0</v>
      </c>
    </row>
    <row r="55" spans="1:17" x14ac:dyDescent="0.2">
      <c r="A55" s="82" t="s">
        <v>52</v>
      </c>
      <c r="B55" s="83">
        <f>COUNTIFS('Match Log'!$D$4:$D$1510,B$34,'Match Log'!$C$4:$C$1510,$A55,'Match Log'!$E$4:$E$1510,"Win")</f>
        <v>0</v>
      </c>
      <c r="C55" s="83">
        <f>COUNTIFS('Match Log'!$D$4:$D$1510,C$34,'Match Log'!$C$4:$C$1510,$A55,'Match Log'!$E$4:$E$1510,"Win")</f>
        <v>0</v>
      </c>
      <c r="D55" s="83">
        <f>COUNTIFS('Match Log'!$D$4:$D$1510,D$34,'Match Log'!$C$4:$C$1510,$A55,'Match Log'!$E$4:$E$1510,"Win")</f>
        <v>0</v>
      </c>
      <c r="E55" s="83">
        <f>COUNTIFS('Match Log'!$D$4:$D$1510,E$34,'Match Log'!$C$4:$C$1510,$A55,'Match Log'!$E$4:$E$1510,"Win")</f>
        <v>0</v>
      </c>
      <c r="F55" s="83">
        <f>COUNTIFS('Match Log'!$D$4:$D$1510,F$34,'Match Log'!$C$4:$C$1510,$A55,'Match Log'!$E$4:$E$1510,"Win")</f>
        <v>1</v>
      </c>
      <c r="G55" s="83">
        <f>COUNTIFS('Match Log'!$D$4:$D$1510,G$34,'Match Log'!$C$4:$C$1510,$A55,'Match Log'!$E$4:$E$1510,"Win")</f>
        <v>1</v>
      </c>
      <c r="H55" s="83">
        <f>COUNTIFS('Match Log'!$D$4:$D$1510,H$34,'Match Log'!$C$4:$C$1510,$A55,'Match Log'!$E$4:$E$1510,"Win")</f>
        <v>0</v>
      </c>
      <c r="I55" s="83">
        <f>COUNTIFS('Match Log'!$D$4:$D$1510,I$34,'Match Log'!$C$4:$C$1510,$A55,'Match Log'!$E$4:$E$1510,"Win")</f>
        <v>0</v>
      </c>
      <c r="J55" s="83">
        <f>COUNTIFS('Match Log'!$D$4:$D$1510,J$34,'Match Log'!$C$4:$C$1510,$A55,'Match Log'!$E$4:$E$1510,"Win")</f>
        <v>4</v>
      </c>
      <c r="K55" s="83">
        <f>COUNTIFS('Match Log'!$D$4:$D$1510,K$34,'Match Log'!$C$4:$C$1510,$A55,'Match Log'!$E$4:$E$1510,"Win")</f>
        <v>0</v>
      </c>
      <c r="L55" s="83">
        <f>COUNTIFS('Match Log'!$D$4:$D$1510,L$34,'Match Log'!$C$4:$C$1510,$A55,'Match Log'!$E$4:$E$1510,"Win")</f>
        <v>0</v>
      </c>
      <c r="M55" s="83">
        <f>COUNTIFS('Match Log'!$D$4:$D$1510,M$34,'Match Log'!$C$4:$C$1510,$A55,'Match Log'!$E$4:$E$1510,"Win")</f>
        <v>0</v>
      </c>
      <c r="N55" s="83">
        <f>COUNTIFS('Match Log'!$D$4:$D$1510,N$34,'Match Log'!$C$4:$C$1510,$A55,'Match Log'!$E$4:$E$1510,"Win")</f>
        <v>0</v>
      </c>
      <c r="O55" s="83">
        <f>COUNTIFS('Match Log'!$D$4:$D$1510,O$34,'Match Log'!$C$4:$C$1510,$A55,'Match Log'!$E$4:$E$1510,"Win")</f>
        <v>0</v>
      </c>
    </row>
    <row r="56" spans="1:17" x14ac:dyDescent="0.2">
      <c r="A56" s="82" t="s">
        <v>53</v>
      </c>
      <c r="B56" s="83">
        <f>COUNTIFS('Match Log'!$D$4:$D$1510,B$34,'Match Log'!$C$4:$C$1510,$A56,'Match Log'!$E$4:$E$1510,"Win")</f>
        <v>0</v>
      </c>
      <c r="C56" s="83">
        <f>COUNTIFS('Match Log'!$D$4:$D$1510,C$34,'Match Log'!$C$4:$C$1510,$A56,'Match Log'!$E$4:$E$1510,"Win")</f>
        <v>0</v>
      </c>
      <c r="D56" s="83">
        <f>COUNTIFS('Match Log'!$D$4:$D$1510,D$34,'Match Log'!$C$4:$C$1510,$A56,'Match Log'!$E$4:$E$1510,"Win")</f>
        <v>0</v>
      </c>
      <c r="E56" s="83">
        <f>COUNTIFS('Match Log'!$D$4:$D$1510,E$34,'Match Log'!$C$4:$C$1510,$A56,'Match Log'!$E$4:$E$1510,"Win")</f>
        <v>0</v>
      </c>
      <c r="F56" s="83">
        <f>COUNTIFS('Match Log'!$D$4:$D$1510,F$34,'Match Log'!$C$4:$C$1510,$A56,'Match Log'!$E$4:$E$1510,"Win")</f>
        <v>1</v>
      </c>
      <c r="G56" s="83">
        <f>COUNTIFS('Match Log'!$D$4:$D$1510,G$34,'Match Log'!$C$4:$C$1510,$A56,'Match Log'!$E$4:$E$1510,"Win")</f>
        <v>1</v>
      </c>
      <c r="H56" s="83">
        <f>COUNTIFS('Match Log'!$D$4:$D$1510,H$34,'Match Log'!$C$4:$C$1510,$A56,'Match Log'!$E$4:$E$1510,"Win")</f>
        <v>0</v>
      </c>
      <c r="I56" s="83">
        <f>COUNTIFS('Match Log'!$D$4:$D$1510,I$34,'Match Log'!$C$4:$C$1510,$A56,'Match Log'!$E$4:$E$1510,"Win")</f>
        <v>0</v>
      </c>
      <c r="J56" s="83">
        <f>COUNTIFS('Match Log'!$D$4:$D$1510,J$34,'Match Log'!$C$4:$C$1510,$A56,'Match Log'!$E$4:$E$1510,"Win")</f>
        <v>0</v>
      </c>
      <c r="K56" s="83">
        <f>COUNTIFS('Match Log'!$D$4:$D$1510,K$34,'Match Log'!$C$4:$C$1510,$A56,'Match Log'!$E$4:$E$1510,"Win")</f>
        <v>0</v>
      </c>
      <c r="L56" s="83">
        <f>COUNTIFS('Match Log'!$D$4:$D$1510,L$34,'Match Log'!$C$4:$C$1510,$A56,'Match Log'!$E$4:$E$1510,"Win")</f>
        <v>0</v>
      </c>
      <c r="M56" s="83">
        <f>COUNTIFS('Match Log'!$D$4:$D$1510,M$34,'Match Log'!$C$4:$C$1510,$A56,'Match Log'!$E$4:$E$1510,"Win")</f>
        <v>0</v>
      </c>
      <c r="N56" s="83">
        <f>COUNTIFS('Match Log'!$D$4:$D$1510,N$34,'Match Log'!$C$4:$C$1510,$A56,'Match Log'!$E$4:$E$1510,"Win")</f>
        <v>0</v>
      </c>
      <c r="O56" s="83">
        <f>COUNTIFS('Match Log'!$D$4:$D$1510,O$34,'Match Log'!$C$4:$C$1510,$A56,'Match Log'!$E$4:$E$1510,"Win")</f>
        <v>0</v>
      </c>
    </row>
    <row r="57" spans="1:17" x14ac:dyDescent="0.2">
      <c r="A57" s="82" t="s">
        <v>54</v>
      </c>
      <c r="B57" s="83">
        <f>COUNTIFS('Match Log'!$D$4:$D$1510,B$34,'Match Log'!$C$4:$C$1510,$A57,'Match Log'!$E$4:$E$1510,"Win")</f>
        <v>1</v>
      </c>
      <c r="C57" s="83">
        <f>COUNTIFS('Match Log'!$D$4:$D$1510,C$34,'Match Log'!$C$4:$C$1510,$A57,'Match Log'!$E$4:$E$1510,"Win")</f>
        <v>0</v>
      </c>
      <c r="D57" s="83">
        <f>COUNTIFS('Match Log'!$D$4:$D$1510,D$34,'Match Log'!$C$4:$C$1510,$A57,'Match Log'!$E$4:$E$1510,"Win")</f>
        <v>0</v>
      </c>
      <c r="E57" s="83">
        <f>COUNTIFS('Match Log'!$D$4:$D$1510,E$34,'Match Log'!$C$4:$C$1510,$A57,'Match Log'!$E$4:$E$1510,"Win")</f>
        <v>0</v>
      </c>
      <c r="F57" s="83">
        <f>COUNTIFS('Match Log'!$D$4:$D$1510,F$34,'Match Log'!$C$4:$C$1510,$A57,'Match Log'!$E$4:$E$1510,"Win")</f>
        <v>3</v>
      </c>
      <c r="G57" s="83">
        <f>COUNTIFS('Match Log'!$D$4:$D$1510,G$34,'Match Log'!$C$4:$C$1510,$A57,'Match Log'!$E$4:$E$1510,"Win")</f>
        <v>1</v>
      </c>
      <c r="H57" s="83">
        <f>COUNTIFS('Match Log'!$D$4:$D$1510,H$34,'Match Log'!$C$4:$C$1510,$A57,'Match Log'!$E$4:$E$1510,"Win")</f>
        <v>1</v>
      </c>
      <c r="I57" s="83">
        <f>COUNTIFS('Match Log'!$D$4:$D$1510,I$34,'Match Log'!$C$4:$C$1510,$A57,'Match Log'!$E$4:$E$1510,"Win")</f>
        <v>3</v>
      </c>
      <c r="J57" s="83">
        <f>COUNTIFS('Match Log'!$D$4:$D$1510,J$34,'Match Log'!$C$4:$C$1510,$A57,'Match Log'!$E$4:$E$1510,"Win")</f>
        <v>0</v>
      </c>
      <c r="K57" s="83">
        <f>COUNTIFS('Match Log'!$D$4:$D$1510,K$34,'Match Log'!$C$4:$C$1510,$A57,'Match Log'!$E$4:$E$1510,"Win")</f>
        <v>0</v>
      </c>
      <c r="L57" s="83">
        <f>COUNTIFS('Match Log'!$D$4:$D$1510,L$34,'Match Log'!$C$4:$C$1510,$A57,'Match Log'!$E$4:$E$1510,"Win")</f>
        <v>0</v>
      </c>
      <c r="M57" s="83">
        <f>COUNTIFS('Match Log'!$D$4:$D$1510,M$34,'Match Log'!$C$4:$C$1510,$A57,'Match Log'!$E$4:$E$1510,"Win")</f>
        <v>2</v>
      </c>
      <c r="N57" s="83">
        <f>COUNTIFS('Match Log'!$D$4:$D$1510,N$34,'Match Log'!$C$4:$C$1510,$A57,'Match Log'!$E$4:$E$1510,"Win")</f>
        <v>0</v>
      </c>
      <c r="O57" s="83">
        <f>COUNTIFS('Match Log'!$D$4:$D$1510,O$34,'Match Log'!$C$4:$C$1510,$A57,'Match Log'!$E$4:$E$1510,"Win")</f>
        <v>0</v>
      </c>
    </row>
    <row r="58" spans="1:17" x14ac:dyDescent="0.2">
      <c r="A58" s="82" t="s">
        <v>446</v>
      </c>
      <c r="B58" s="83">
        <f>COUNTIFS('Match Log'!$D$4:$D$1510,B$34,'Match Log'!$C$4:$C$1510,$A58,'Match Log'!$E$4:$E$1510,"Win")</f>
        <v>0</v>
      </c>
      <c r="C58" s="83">
        <f>COUNTIFS('Match Log'!$D$4:$D$1510,C$34,'Match Log'!$C$4:$C$1510,$A58,'Match Log'!$E$4:$E$1510,"Win")</f>
        <v>0</v>
      </c>
      <c r="D58" s="83">
        <f>COUNTIFS('Match Log'!$D$4:$D$1510,D$34,'Match Log'!$C$4:$C$1510,$A58,'Match Log'!$E$4:$E$1510,"Win")</f>
        <v>0</v>
      </c>
      <c r="E58" s="83">
        <f>COUNTIFS('Match Log'!$D$4:$D$1510,E$34,'Match Log'!$C$4:$C$1510,$A58,'Match Log'!$E$4:$E$1510,"Win")</f>
        <v>0</v>
      </c>
      <c r="F58" s="83">
        <f>COUNTIFS('Match Log'!$D$4:$D$1510,F$34,'Match Log'!$C$4:$C$1510,$A58,'Match Log'!$E$4:$E$1510,"Win")</f>
        <v>2</v>
      </c>
      <c r="G58" s="83">
        <f>COUNTIFS('Match Log'!$D$4:$D$1510,G$34,'Match Log'!$C$4:$C$1510,$A58,'Match Log'!$E$4:$E$1510,"Win")</f>
        <v>0</v>
      </c>
      <c r="H58" s="83">
        <f>COUNTIFS('Match Log'!$D$4:$D$1510,H$34,'Match Log'!$C$4:$C$1510,$A58,'Match Log'!$E$4:$E$1510,"Win")</f>
        <v>0</v>
      </c>
      <c r="I58" s="83">
        <f>COUNTIFS('Match Log'!$D$4:$D$1510,I$34,'Match Log'!$C$4:$C$1510,$A58,'Match Log'!$E$4:$E$1510,"Win")</f>
        <v>1</v>
      </c>
      <c r="J58" s="83">
        <f>COUNTIFS('Match Log'!$D$4:$D$1510,J$34,'Match Log'!$C$4:$C$1510,$A58,'Match Log'!$E$4:$E$1510,"Win")</f>
        <v>0</v>
      </c>
      <c r="K58" s="83">
        <f>COUNTIFS('Match Log'!$D$4:$D$1510,K$34,'Match Log'!$C$4:$C$1510,$A58,'Match Log'!$E$4:$E$1510,"Win")</f>
        <v>0</v>
      </c>
      <c r="L58" s="83">
        <f>COUNTIFS('Match Log'!$D$4:$D$1510,L$34,'Match Log'!$C$4:$C$1510,$A58,'Match Log'!$E$4:$E$1510,"Win")</f>
        <v>0</v>
      </c>
      <c r="M58" s="83">
        <f>COUNTIFS('Match Log'!$D$4:$D$1510,M$34,'Match Log'!$C$4:$C$1510,$A58,'Match Log'!$E$4:$E$1510,"Win")</f>
        <v>0</v>
      </c>
      <c r="N58" s="83">
        <f>COUNTIFS('Match Log'!$D$4:$D$1510,N$34,'Match Log'!$C$4:$C$1510,$A58,'Match Log'!$E$4:$E$1510,"Win")</f>
        <v>0</v>
      </c>
      <c r="O58" s="83">
        <f>COUNTIFS('Match Log'!$D$4:$D$1510,O$34,'Match Log'!$C$4:$C$1510,$A58,'Match Log'!$E$4:$E$1510,"Win")</f>
        <v>0</v>
      </c>
    </row>
    <row r="59" spans="1:17" x14ac:dyDescent="0.2">
      <c r="A59" s="82" t="s">
        <v>55</v>
      </c>
      <c r="B59" s="83">
        <f>COUNTIFS('Match Log'!$D$4:$D$1510,B$34,'Match Log'!$C$4:$C$1510,$A59,'Match Log'!$E$4:$E$1510,"Win")</f>
        <v>0</v>
      </c>
      <c r="C59" s="83">
        <f>COUNTIFS('Match Log'!$D$4:$D$1510,C$34,'Match Log'!$C$4:$C$1510,$A59,'Match Log'!$E$4:$E$1510,"Win")</f>
        <v>0</v>
      </c>
      <c r="D59" s="83">
        <f>COUNTIFS('Match Log'!$D$4:$D$1510,D$34,'Match Log'!$C$4:$C$1510,$A59,'Match Log'!$E$4:$E$1510,"Win")</f>
        <v>0</v>
      </c>
      <c r="E59" s="83">
        <f>COUNTIFS('Match Log'!$D$4:$D$1510,E$34,'Match Log'!$C$4:$C$1510,$A59,'Match Log'!$E$4:$E$1510,"Win")</f>
        <v>0</v>
      </c>
      <c r="F59" s="83">
        <f>COUNTIFS('Match Log'!$D$4:$D$1510,F$34,'Match Log'!$C$4:$C$1510,$A59,'Match Log'!$E$4:$E$1510,"Win")</f>
        <v>2</v>
      </c>
      <c r="G59" s="83">
        <f>COUNTIFS('Match Log'!$D$4:$D$1510,G$34,'Match Log'!$C$4:$C$1510,$A59,'Match Log'!$E$4:$E$1510,"Win")</f>
        <v>1</v>
      </c>
      <c r="H59" s="83">
        <f>COUNTIFS('Match Log'!$D$4:$D$1510,H$34,'Match Log'!$C$4:$C$1510,$A59,'Match Log'!$E$4:$E$1510,"Win")</f>
        <v>0</v>
      </c>
      <c r="I59" s="83">
        <f>COUNTIFS('Match Log'!$D$4:$D$1510,I$34,'Match Log'!$C$4:$C$1510,$A59,'Match Log'!$E$4:$E$1510,"Win")</f>
        <v>2</v>
      </c>
      <c r="J59" s="83">
        <f>COUNTIFS('Match Log'!$D$4:$D$1510,J$34,'Match Log'!$C$4:$C$1510,$A59,'Match Log'!$E$4:$E$1510,"Win")</f>
        <v>0</v>
      </c>
      <c r="K59" s="83">
        <f>COUNTIFS('Match Log'!$D$4:$D$1510,K$34,'Match Log'!$C$4:$C$1510,$A59,'Match Log'!$E$4:$E$1510,"Win")</f>
        <v>0</v>
      </c>
      <c r="L59" s="83">
        <f>COUNTIFS('Match Log'!$D$4:$D$1510,L$34,'Match Log'!$C$4:$C$1510,$A59,'Match Log'!$E$4:$E$1510,"Win")</f>
        <v>0</v>
      </c>
      <c r="M59" s="83">
        <f>COUNTIFS('Match Log'!$D$4:$D$1510,M$34,'Match Log'!$C$4:$C$1510,$A59,'Match Log'!$E$4:$E$1510,"Win")</f>
        <v>0</v>
      </c>
      <c r="N59" s="83">
        <f>COUNTIFS('Match Log'!$D$4:$D$1510,N$34,'Match Log'!$C$4:$C$1510,$A59,'Match Log'!$E$4:$E$1510,"Win")</f>
        <v>0</v>
      </c>
      <c r="O59" s="83">
        <f>COUNTIFS('Match Log'!$D$4:$D$1510,O$34,'Match Log'!$C$4:$C$1510,$A59,'Match Log'!$E$4:$E$1510,"Win")</f>
        <v>0</v>
      </c>
    </row>
    <row r="60" spans="1:17" ht="15" customHeight="1" x14ac:dyDescent="0.2">
      <c r="A60" s="162" t="s">
        <v>302</v>
      </c>
      <c r="B60" s="146"/>
      <c r="C60" s="146"/>
      <c r="D60" s="146"/>
      <c r="E60" s="146"/>
      <c r="F60" s="146"/>
      <c r="G60" s="146"/>
      <c r="H60" s="146"/>
      <c r="I60" s="146"/>
      <c r="J60" s="146"/>
      <c r="K60" s="146"/>
      <c r="L60" s="146"/>
      <c r="M60" s="146"/>
      <c r="N60" s="146"/>
      <c r="O60" s="146"/>
      <c r="P60" s="146"/>
      <c r="Q60" s="146"/>
    </row>
    <row r="61" spans="1:17" ht="91.5" customHeight="1" x14ac:dyDescent="0.2">
      <c r="A61" s="80" t="s">
        <v>235</v>
      </c>
      <c r="B61" s="81" t="s">
        <v>15</v>
      </c>
      <c r="C61" s="81" t="s">
        <v>16</v>
      </c>
      <c r="D61" s="81" t="s">
        <v>17</v>
      </c>
      <c r="E61" s="81" t="s">
        <v>18</v>
      </c>
      <c r="F61" s="81" t="s">
        <v>19</v>
      </c>
      <c r="G61" s="81" t="s">
        <v>20</v>
      </c>
      <c r="H61" s="81" t="s">
        <v>21</v>
      </c>
      <c r="I61" s="81" t="s">
        <v>22</v>
      </c>
      <c r="J61" s="81" t="s">
        <v>23</v>
      </c>
      <c r="K61" s="81" t="s">
        <v>24</v>
      </c>
      <c r="L61" s="81" t="s">
        <v>25</v>
      </c>
      <c r="M61" s="81" t="s">
        <v>26</v>
      </c>
      <c r="N61" s="81" t="s">
        <v>27</v>
      </c>
      <c r="O61" s="81" t="s">
        <v>28</v>
      </c>
    </row>
    <row r="62" spans="1:17" ht="15" customHeight="1" x14ac:dyDescent="0.2">
      <c r="A62" s="82" t="s">
        <v>33</v>
      </c>
      <c r="B62" s="86" t="str">
        <f t="shared" ref="B62:O62" si="2">IF(B8=0,"",B35/B8)</f>
        <v/>
      </c>
      <c r="C62" s="86" t="str">
        <f t="shared" si="2"/>
        <v/>
      </c>
      <c r="D62" s="86">
        <f t="shared" si="2"/>
        <v>0.33333333333333331</v>
      </c>
      <c r="E62" s="86" t="str">
        <f t="shared" si="2"/>
        <v/>
      </c>
      <c r="F62" s="86" t="str">
        <f t="shared" si="2"/>
        <v/>
      </c>
      <c r="G62" s="86">
        <f t="shared" si="2"/>
        <v>1</v>
      </c>
      <c r="H62" s="86">
        <f t="shared" si="2"/>
        <v>0</v>
      </c>
      <c r="I62" s="86">
        <f t="shared" si="2"/>
        <v>0</v>
      </c>
      <c r="J62" s="86" t="str">
        <f t="shared" si="2"/>
        <v/>
      </c>
      <c r="K62" s="86" t="str">
        <f t="shared" si="2"/>
        <v/>
      </c>
      <c r="L62" s="86" t="str">
        <f t="shared" si="2"/>
        <v/>
      </c>
      <c r="M62" s="86" t="str">
        <f t="shared" si="2"/>
        <v/>
      </c>
      <c r="N62" s="86" t="str">
        <f t="shared" si="2"/>
        <v/>
      </c>
      <c r="O62" s="86" t="str">
        <f t="shared" si="2"/>
        <v/>
      </c>
    </row>
    <row r="63" spans="1:17" ht="15" customHeight="1" x14ac:dyDescent="0.2">
      <c r="A63" s="82" t="s">
        <v>34</v>
      </c>
      <c r="B63" s="86">
        <f t="shared" ref="B63:O63" si="3">IF(B9=0,"",B36/B9)</f>
        <v>0.55555555555555558</v>
      </c>
      <c r="C63" s="86" t="str">
        <f t="shared" si="3"/>
        <v/>
      </c>
      <c r="D63" s="86" t="str">
        <f t="shared" si="3"/>
        <v/>
      </c>
      <c r="E63" s="86">
        <f t="shared" si="3"/>
        <v>0.33333333333333331</v>
      </c>
      <c r="F63" s="86" t="str">
        <f t="shared" si="3"/>
        <v/>
      </c>
      <c r="G63" s="86">
        <f t="shared" si="3"/>
        <v>0.27272727272727271</v>
      </c>
      <c r="H63" s="86">
        <f t="shared" si="3"/>
        <v>0.2857142857142857</v>
      </c>
      <c r="I63" s="86">
        <f t="shared" si="3"/>
        <v>0.3</v>
      </c>
      <c r="J63" s="86">
        <f t="shared" si="3"/>
        <v>0.25</v>
      </c>
      <c r="K63" s="86" t="str">
        <f t="shared" si="3"/>
        <v/>
      </c>
      <c r="L63" s="86">
        <f t="shared" si="3"/>
        <v>0.42857142857142855</v>
      </c>
      <c r="M63" s="86">
        <f t="shared" si="3"/>
        <v>0.33333333333333331</v>
      </c>
      <c r="N63" s="86">
        <f t="shared" si="3"/>
        <v>0.25</v>
      </c>
      <c r="O63" s="86" t="str">
        <f t="shared" si="3"/>
        <v/>
      </c>
    </row>
    <row r="64" spans="1:17" ht="15" customHeight="1" x14ac:dyDescent="0.2">
      <c r="A64" s="82" t="s">
        <v>35</v>
      </c>
      <c r="B64" s="86">
        <f t="shared" ref="B64:O64" si="4">IF(B10=0,"",B37/B10)</f>
        <v>0.7857142857142857</v>
      </c>
      <c r="C64" s="86" t="str">
        <f t="shared" si="4"/>
        <v/>
      </c>
      <c r="D64" s="86">
        <f t="shared" si="4"/>
        <v>0</v>
      </c>
      <c r="E64" s="86" t="str">
        <f t="shared" si="4"/>
        <v/>
      </c>
      <c r="F64" s="86">
        <f t="shared" si="4"/>
        <v>0</v>
      </c>
      <c r="G64" s="86">
        <f t="shared" si="4"/>
        <v>0.43478260869565216</v>
      </c>
      <c r="H64" s="86">
        <f t="shared" si="4"/>
        <v>0</v>
      </c>
      <c r="I64" s="86">
        <f t="shared" si="4"/>
        <v>0.42857142857142855</v>
      </c>
      <c r="J64" s="86" t="str">
        <f t="shared" si="4"/>
        <v/>
      </c>
      <c r="K64" s="86" t="str">
        <f t="shared" si="4"/>
        <v/>
      </c>
      <c r="L64" s="86">
        <f t="shared" si="4"/>
        <v>0.5</v>
      </c>
      <c r="M64" s="86" t="str">
        <f t="shared" si="4"/>
        <v/>
      </c>
      <c r="N64" s="86" t="str">
        <f t="shared" si="4"/>
        <v/>
      </c>
      <c r="O64" s="86" t="str">
        <f t="shared" si="4"/>
        <v/>
      </c>
    </row>
    <row r="65" spans="1:15" ht="15" customHeight="1" x14ac:dyDescent="0.2">
      <c r="A65" s="82" t="s">
        <v>36</v>
      </c>
      <c r="B65" s="86">
        <f t="shared" ref="B65:O65" si="5">IF(B11=0,"",B38/B11)</f>
        <v>0</v>
      </c>
      <c r="C65" s="86" t="str">
        <f t="shared" si="5"/>
        <v/>
      </c>
      <c r="D65" s="86">
        <f t="shared" si="5"/>
        <v>0</v>
      </c>
      <c r="E65" s="86" t="str">
        <f t="shared" si="5"/>
        <v/>
      </c>
      <c r="F65" s="86" t="str">
        <f t="shared" si="5"/>
        <v/>
      </c>
      <c r="G65" s="86">
        <f t="shared" si="5"/>
        <v>1</v>
      </c>
      <c r="H65" s="86" t="str">
        <f t="shared" si="5"/>
        <v/>
      </c>
      <c r="I65" s="86">
        <f t="shared" si="5"/>
        <v>0</v>
      </c>
      <c r="J65" s="86" t="str">
        <f t="shared" si="5"/>
        <v/>
      </c>
      <c r="K65" s="86" t="str">
        <f t="shared" si="5"/>
        <v/>
      </c>
      <c r="L65" s="86">
        <f t="shared" si="5"/>
        <v>0</v>
      </c>
      <c r="M65" s="86" t="str">
        <f t="shared" si="5"/>
        <v/>
      </c>
      <c r="N65" s="86" t="str">
        <f t="shared" si="5"/>
        <v/>
      </c>
      <c r="O65" s="86" t="str">
        <f t="shared" si="5"/>
        <v/>
      </c>
    </row>
    <row r="66" spans="1:15" ht="15" customHeight="1" x14ac:dyDescent="0.2">
      <c r="A66" s="82" t="s">
        <v>37</v>
      </c>
      <c r="B66" s="86" t="str">
        <f t="shared" ref="B66:O66" si="6">IF(B12=0,"",B39/B12)</f>
        <v/>
      </c>
      <c r="C66" s="86">
        <f t="shared" si="6"/>
        <v>0</v>
      </c>
      <c r="D66" s="86" t="str">
        <f t="shared" si="6"/>
        <v/>
      </c>
      <c r="E66" s="86">
        <f t="shared" si="6"/>
        <v>0</v>
      </c>
      <c r="F66" s="86">
        <f t="shared" si="6"/>
        <v>0.6</v>
      </c>
      <c r="G66" s="86">
        <f t="shared" si="6"/>
        <v>1</v>
      </c>
      <c r="H66" s="86">
        <f t="shared" si="6"/>
        <v>1</v>
      </c>
      <c r="I66" s="86">
        <f t="shared" si="6"/>
        <v>0.41666666666666669</v>
      </c>
      <c r="J66" s="86">
        <f t="shared" si="6"/>
        <v>0.5714285714285714</v>
      </c>
      <c r="K66" s="86">
        <f t="shared" si="6"/>
        <v>0</v>
      </c>
      <c r="L66" s="86">
        <f t="shared" si="6"/>
        <v>0.5</v>
      </c>
      <c r="M66" s="86">
        <f t="shared" si="6"/>
        <v>0.5</v>
      </c>
      <c r="N66" s="86">
        <f t="shared" si="6"/>
        <v>0.75</v>
      </c>
      <c r="O66" s="86" t="str">
        <f t="shared" si="6"/>
        <v/>
      </c>
    </row>
    <row r="67" spans="1:15" ht="15" customHeight="1" x14ac:dyDescent="0.2">
      <c r="A67" s="82" t="s">
        <v>38</v>
      </c>
      <c r="B67" s="86">
        <f t="shared" ref="B67:O67" si="7">IF(B13=0,"",B40/B13)</f>
        <v>1</v>
      </c>
      <c r="C67" s="86" t="str">
        <f t="shared" si="7"/>
        <v/>
      </c>
      <c r="D67" s="86">
        <f t="shared" si="7"/>
        <v>0</v>
      </c>
      <c r="E67" s="86">
        <f t="shared" si="7"/>
        <v>0</v>
      </c>
      <c r="F67" s="86">
        <f t="shared" si="7"/>
        <v>0</v>
      </c>
      <c r="G67" s="86">
        <f t="shared" si="7"/>
        <v>0</v>
      </c>
      <c r="H67" s="86">
        <f t="shared" si="7"/>
        <v>0</v>
      </c>
      <c r="I67" s="86">
        <f t="shared" si="7"/>
        <v>0</v>
      </c>
      <c r="J67" s="86" t="str">
        <f t="shared" si="7"/>
        <v/>
      </c>
      <c r="K67" s="86" t="str">
        <f t="shared" si="7"/>
        <v/>
      </c>
      <c r="L67" s="86">
        <f t="shared" si="7"/>
        <v>0</v>
      </c>
      <c r="M67" s="86" t="str">
        <f t="shared" si="7"/>
        <v/>
      </c>
      <c r="N67" s="86" t="str">
        <f t="shared" si="7"/>
        <v/>
      </c>
      <c r="O67" s="86" t="str">
        <f t="shared" si="7"/>
        <v/>
      </c>
    </row>
    <row r="68" spans="1:15" ht="15" customHeight="1" x14ac:dyDescent="0.2">
      <c r="A68" s="82" t="s">
        <v>39</v>
      </c>
      <c r="B68" s="86" t="str">
        <f t="shared" ref="B68:O68" si="8">IF(B14=0,"",B41/B14)</f>
        <v/>
      </c>
      <c r="C68" s="86" t="str">
        <f t="shared" si="8"/>
        <v/>
      </c>
      <c r="D68" s="86" t="str">
        <f t="shared" si="8"/>
        <v/>
      </c>
      <c r="E68" s="86" t="str">
        <f t="shared" si="8"/>
        <v/>
      </c>
      <c r="F68" s="86" t="str">
        <f t="shared" si="8"/>
        <v/>
      </c>
      <c r="G68" s="86" t="str">
        <f t="shared" si="8"/>
        <v/>
      </c>
      <c r="H68" s="86" t="str">
        <f t="shared" si="8"/>
        <v/>
      </c>
      <c r="I68" s="86" t="str">
        <f t="shared" si="8"/>
        <v/>
      </c>
      <c r="J68" s="86" t="str">
        <f t="shared" si="8"/>
        <v/>
      </c>
      <c r="K68" s="86" t="str">
        <f t="shared" si="8"/>
        <v/>
      </c>
      <c r="L68" s="86" t="str">
        <f t="shared" si="8"/>
        <v/>
      </c>
      <c r="M68" s="86" t="str">
        <f t="shared" si="8"/>
        <v/>
      </c>
      <c r="N68" s="86" t="str">
        <f t="shared" si="8"/>
        <v/>
      </c>
      <c r="O68" s="86" t="str">
        <f t="shared" si="8"/>
        <v/>
      </c>
    </row>
    <row r="69" spans="1:15" ht="15" customHeight="1" x14ac:dyDescent="0.2">
      <c r="A69" s="82" t="s">
        <v>40</v>
      </c>
      <c r="B69" s="86" t="str">
        <f t="shared" ref="B69:O69" si="9">IF(B15=0,"",B42/B15)</f>
        <v/>
      </c>
      <c r="C69" s="86" t="str">
        <f t="shared" si="9"/>
        <v/>
      </c>
      <c r="D69" s="86" t="str">
        <f t="shared" si="9"/>
        <v/>
      </c>
      <c r="E69" s="86" t="str">
        <f t="shared" si="9"/>
        <v/>
      </c>
      <c r="F69" s="86" t="str">
        <f t="shared" si="9"/>
        <v/>
      </c>
      <c r="G69" s="86" t="str">
        <f t="shared" si="9"/>
        <v/>
      </c>
      <c r="H69" s="86" t="str">
        <f t="shared" si="9"/>
        <v/>
      </c>
      <c r="I69" s="86" t="str">
        <f t="shared" si="9"/>
        <v/>
      </c>
      <c r="J69" s="86" t="str">
        <f t="shared" si="9"/>
        <v/>
      </c>
      <c r="K69" s="86" t="str">
        <f t="shared" si="9"/>
        <v/>
      </c>
      <c r="L69" s="86" t="str">
        <f t="shared" si="9"/>
        <v/>
      </c>
      <c r="M69" s="86" t="str">
        <f t="shared" si="9"/>
        <v/>
      </c>
      <c r="N69" s="86" t="str">
        <f t="shared" si="9"/>
        <v/>
      </c>
      <c r="O69" s="86" t="str">
        <f t="shared" si="9"/>
        <v/>
      </c>
    </row>
    <row r="70" spans="1:15" ht="15" customHeight="1" x14ac:dyDescent="0.2">
      <c r="A70" s="82" t="s">
        <v>41</v>
      </c>
      <c r="B70" s="86">
        <f t="shared" ref="B70:O70" si="10">IF(B16=0,"",B43/B16)</f>
        <v>0</v>
      </c>
      <c r="C70" s="86" t="str">
        <f t="shared" si="10"/>
        <v/>
      </c>
      <c r="D70" s="86" t="str">
        <f t="shared" si="10"/>
        <v/>
      </c>
      <c r="E70" s="86">
        <f t="shared" si="10"/>
        <v>0</v>
      </c>
      <c r="F70" s="86">
        <f t="shared" si="10"/>
        <v>1</v>
      </c>
      <c r="G70" s="86">
        <f t="shared" si="10"/>
        <v>0.66666666666666663</v>
      </c>
      <c r="H70" s="86" t="str">
        <f t="shared" si="10"/>
        <v/>
      </c>
      <c r="I70" s="86">
        <f t="shared" si="10"/>
        <v>0</v>
      </c>
      <c r="J70" s="86" t="str">
        <f t="shared" si="10"/>
        <v/>
      </c>
      <c r="K70" s="86" t="str">
        <f t="shared" si="10"/>
        <v/>
      </c>
      <c r="L70" s="86">
        <f t="shared" si="10"/>
        <v>0</v>
      </c>
      <c r="M70" s="86" t="str">
        <f t="shared" si="10"/>
        <v/>
      </c>
      <c r="N70" s="86" t="str">
        <f t="shared" si="10"/>
        <v/>
      </c>
      <c r="O70" s="86" t="str">
        <f t="shared" si="10"/>
        <v/>
      </c>
    </row>
    <row r="71" spans="1:15" ht="15" customHeight="1" x14ac:dyDescent="0.2">
      <c r="A71" s="82" t="s">
        <v>42</v>
      </c>
      <c r="B71" s="86" t="str">
        <f t="shared" ref="B71:O71" si="11">IF(B17=0,"",B44/B17)</f>
        <v/>
      </c>
      <c r="C71" s="86" t="str">
        <f t="shared" si="11"/>
        <v/>
      </c>
      <c r="D71" s="86" t="str">
        <f t="shared" si="11"/>
        <v/>
      </c>
      <c r="E71" s="86" t="str">
        <f t="shared" si="11"/>
        <v/>
      </c>
      <c r="F71" s="86" t="str">
        <f t="shared" si="11"/>
        <v/>
      </c>
      <c r="G71" s="86">
        <f t="shared" si="11"/>
        <v>0.16666666666666666</v>
      </c>
      <c r="H71" s="86">
        <f t="shared" si="11"/>
        <v>0.83333333333333337</v>
      </c>
      <c r="I71" s="86" t="str">
        <f t="shared" si="11"/>
        <v/>
      </c>
      <c r="J71" s="86" t="str">
        <f t="shared" si="11"/>
        <v/>
      </c>
      <c r="K71" s="86" t="str">
        <f t="shared" si="11"/>
        <v/>
      </c>
      <c r="L71" s="86">
        <f t="shared" si="11"/>
        <v>0</v>
      </c>
      <c r="M71" s="86" t="str">
        <f t="shared" si="11"/>
        <v/>
      </c>
      <c r="N71" s="86" t="str">
        <f t="shared" si="11"/>
        <v/>
      </c>
      <c r="O71" s="86" t="str">
        <f t="shared" si="11"/>
        <v/>
      </c>
    </row>
    <row r="72" spans="1:15" ht="15" customHeight="1" x14ac:dyDescent="0.2">
      <c r="A72" s="82" t="s">
        <v>43</v>
      </c>
      <c r="B72" s="86" t="str">
        <f t="shared" ref="B72:O72" si="12">IF(B18=0,"",B45/B18)</f>
        <v/>
      </c>
      <c r="C72" s="86" t="str">
        <f t="shared" si="12"/>
        <v/>
      </c>
      <c r="D72" s="86" t="str">
        <f t="shared" si="12"/>
        <v/>
      </c>
      <c r="E72" s="86" t="str">
        <f t="shared" si="12"/>
        <v/>
      </c>
      <c r="F72" s="86" t="str">
        <f t="shared" si="12"/>
        <v/>
      </c>
      <c r="G72" s="86" t="str">
        <f t="shared" si="12"/>
        <v/>
      </c>
      <c r="H72" s="86" t="str">
        <f t="shared" si="12"/>
        <v/>
      </c>
      <c r="I72" s="86" t="str">
        <f t="shared" si="12"/>
        <v/>
      </c>
      <c r="J72" s="86" t="str">
        <f t="shared" si="12"/>
        <v/>
      </c>
      <c r="K72" s="86" t="str">
        <f t="shared" si="12"/>
        <v/>
      </c>
      <c r="L72" s="86" t="str">
        <f t="shared" si="12"/>
        <v/>
      </c>
      <c r="M72" s="86" t="str">
        <f t="shared" si="12"/>
        <v/>
      </c>
      <c r="N72" s="86" t="str">
        <f t="shared" si="12"/>
        <v/>
      </c>
      <c r="O72" s="86" t="str">
        <f t="shared" si="12"/>
        <v/>
      </c>
    </row>
    <row r="73" spans="1:15" ht="15" customHeight="1" x14ac:dyDescent="0.2">
      <c r="A73" s="82" t="s">
        <v>44</v>
      </c>
      <c r="B73" s="86">
        <f t="shared" ref="B73:O73" si="13">IF(B19=0,"",B46/B19)</f>
        <v>0.625</v>
      </c>
      <c r="C73" s="86">
        <f t="shared" si="13"/>
        <v>0</v>
      </c>
      <c r="D73" s="86" t="str">
        <f t="shared" si="13"/>
        <v/>
      </c>
      <c r="E73" s="86">
        <f t="shared" si="13"/>
        <v>0.1111111111111111</v>
      </c>
      <c r="F73" s="86">
        <f t="shared" si="13"/>
        <v>0.8666666666666667</v>
      </c>
      <c r="G73" s="86">
        <f t="shared" si="13"/>
        <v>0.8666666666666667</v>
      </c>
      <c r="H73" s="86">
        <f t="shared" si="13"/>
        <v>0.5</v>
      </c>
      <c r="I73" s="86">
        <f t="shared" si="13"/>
        <v>0.1875</v>
      </c>
      <c r="J73" s="86">
        <f t="shared" si="13"/>
        <v>0.7142857142857143</v>
      </c>
      <c r="K73" s="86">
        <f t="shared" si="13"/>
        <v>0</v>
      </c>
      <c r="L73" s="86">
        <f t="shared" si="13"/>
        <v>0.33333333333333331</v>
      </c>
      <c r="M73" s="86" t="str">
        <f t="shared" si="13"/>
        <v/>
      </c>
      <c r="N73" s="86" t="str">
        <f t="shared" si="13"/>
        <v/>
      </c>
      <c r="O73" s="86" t="str">
        <f t="shared" si="13"/>
        <v/>
      </c>
    </row>
    <row r="74" spans="1:15" ht="15" customHeight="1" x14ac:dyDescent="0.2">
      <c r="A74" s="82" t="s">
        <v>9</v>
      </c>
      <c r="B74" s="86">
        <f t="shared" ref="B74:O74" si="14">IF(B20=0,"",B47/B20)</f>
        <v>0.42857142857142855</v>
      </c>
      <c r="C74" s="86" t="str">
        <f t="shared" si="14"/>
        <v/>
      </c>
      <c r="D74" s="86" t="str">
        <f t="shared" si="14"/>
        <v/>
      </c>
      <c r="E74" s="86" t="str">
        <f t="shared" si="14"/>
        <v/>
      </c>
      <c r="F74" s="86">
        <f t="shared" si="14"/>
        <v>0</v>
      </c>
      <c r="G74" s="86">
        <f t="shared" si="14"/>
        <v>0.38461538461538464</v>
      </c>
      <c r="H74" s="86" t="str">
        <f t="shared" si="14"/>
        <v/>
      </c>
      <c r="I74" s="86">
        <f t="shared" si="14"/>
        <v>0.83333333333333337</v>
      </c>
      <c r="J74" s="86" t="str">
        <f t="shared" si="14"/>
        <v/>
      </c>
      <c r="K74" s="86" t="str">
        <f t="shared" si="14"/>
        <v/>
      </c>
      <c r="L74" s="86">
        <f t="shared" si="14"/>
        <v>0.33333333333333331</v>
      </c>
      <c r="M74" s="86" t="str">
        <f t="shared" si="14"/>
        <v/>
      </c>
      <c r="N74" s="86" t="str">
        <f t="shared" si="14"/>
        <v/>
      </c>
      <c r="O74" s="86" t="str">
        <f t="shared" si="14"/>
        <v/>
      </c>
    </row>
    <row r="75" spans="1:15" ht="15" customHeight="1" x14ac:dyDescent="0.2">
      <c r="A75" s="82" t="s">
        <v>45</v>
      </c>
      <c r="B75" s="86">
        <f t="shared" ref="B75:O75" si="15">IF(B21=0,"",B48/B21)</f>
        <v>1</v>
      </c>
      <c r="C75" s="86" t="str">
        <f t="shared" si="15"/>
        <v/>
      </c>
      <c r="D75" s="86">
        <f t="shared" si="15"/>
        <v>1</v>
      </c>
      <c r="E75" s="86" t="str">
        <f t="shared" si="15"/>
        <v/>
      </c>
      <c r="F75" s="86">
        <f t="shared" si="15"/>
        <v>0.8571428571428571</v>
      </c>
      <c r="G75" s="86">
        <f t="shared" si="15"/>
        <v>6.25E-2</v>
      </c>
      <c r="H75" s="86">
        <f t="shared" si="15"/>
        <v>0</v>
      </c>
      <c r="I75" s="86">
        <f t="shared" si="15"/>
        <v>0.42857142857142855</v>
      </c>
      <c r="J75" s="86" t="str">
        <f t="shared" si="15"/>
        <v/>
      </c>
      <c r="K75" s="86" t="str">
        <f t="shared" si="15"/>
        <v/>
      </c>
      <c r="L75" s="86">
        <f t="shared" si="15"/>
        <v>0.69230769230769229</v>
      </c>
      <c r="M75" s="86" t="str">
        <f t="shared" si="15"/>
        <v/>
      </c>
      <c r="N75" s="86" t="str">
        <f t="shared" si="15"/>
        <v/>
      </c>
      <c r="O75" s="86" t="str">
        <f t="shared" si="15"/>
        <v/>
      </c>
    </row>
    <row r="76" spans="1:15" ht="15" customHeight="1" x14ac:dyDescent="0.2">
      <c r="A76" s="82" t="s">
        <v>46</v>
      </c>
      <c r="B76" s="86" t="str">
        <f t="shared" ref="B76:O76" si="16">IF(B22=0,"",B49/B22)</f>
        <v/>
      </c>
      <c r="C76" s="86" t="str">
        <f t="shared" si="16"/>
        <v/>
      </c>
      <c r="D76" s="86" t="str">
        <f t="shared" si="16"/>
        <v/>
      </c>
      <c r="E76" s="86" t="str">
        <f t="shared" si="16"/>
        <v/>
      </c>
      <c r="F76" s="86" t="str">
        <f t="shared" si="16"/>
        <v/>
      </c>
      <c r="G76" s="86" t="str">
        <f t="shared" si="16"/>
        <v/>
      </c>
      <c r="H76" s="86" t="str">
        <f t="shared" si="16"/>
        <v/>
      </c>
      <c r="I76" s="86" t="str">
        <f t="shared" si="16"/>
        <v/>
      </c>
      <c r="J76" s="86" t="str">
        <f t="shared" si="16"/>
        <v/>
      </c>
      <c r="K76" s="86" t="str">
        <f t="shared" si="16"/>
        <v/>
      </c>
      <c r="L76" s="86" t="str">
        <f t="shared" si="16"/>
        <v/>
      </c>
      <c r="M76" s="86" t="str">
        <f t="shared" si="16"/>
        <v/>
      </c>
      <c r="N76" s="86" t="str">
        <f t="shared" si="16"/>
        <v/>
      </c>
      <c r="O76" s="86" t="str">
        <f t="shared" si="16"/>
        <v/>
      </c>
    </row>
    <row r="77" spans="1:15" ht="15" customHeight="1" x14ac:dyDescent="0.2">
      <c r="A77" s="82" t="s">
        <v>47</v>
      </c>
      <c r="B77" s="86">
        <f t="shared" ref="B77:O77" si="17">IF(B23=0,"",B50/B23)</f>
        <v>0.41666666666666669</v>
      </c>
      <c r="C77" s="86" t="str">
        <f t="shared" si="17"/>
        <v/>
      </c>
      <c r="D77" s="86">
        <f t="shared" si="17"/>
        <v>0</v>
      </c>
      <c r="E77" s="86" t="str">
        <f t="shared" si="17"/>
        <v/>
      </c>
      <c r="F77" s="86" t="str">
        <f t="shared" si="17"/>
        <v/>
      </c>
      <c r="G77" s="86" t="str">
        <f t="shared" si="17"/>
        <v/>
      </c>
      <c r="H77" s="86" t="str">
        <f t="shared" si="17"/>
        <v/>
      </c>
      <c r="I77" s="86">
        <f t="shared" si="17"/>
        <v>0.66666666666666663</v>
      </c>
      <c r="J77" s="86" t="str">
        <f t="shared" si="17"/>
        <v/>
      </c>
      <c r="K77" s="86" t="str">
        <f t="shared" si="17"/>
        <v/>
      </c>
      <c r="L77" s="86" t="str">
        <f t="shared" si="17"/>
        <v/>
      </c>
      <c r="M77" s="86" t="str">
        <f t="shared" si="17"/>
        <v/>
      </c>
      <c r="N77" s="86" t="str">
        <f t="shared" si="17"/>
        <v/>
      </c>
      <c r="O77" s="86" t="str">
        <f t="shared" si="17"/>
        <v/>
      </c>
    </row>
    <row r="78" spans="1:15" ht="15" customHeight="1" x14ac:dyDescent="0.2">
      <c r="A78" s="82" t="s">
        <v>48</v>
      </c>
      <c r="B78" s="86">
        <f t="shared" ref="B78:O78" si="18">IF(B24=0,"",B51/B24)</f>
        <v>0</v>
      </c>
      <c r="C78" s="86" t="str">
        <f t="shared" si="18"/>
        <v/>
      </c>
      <c r="D78" s="86">
        <f t="shared" si="18"/>
        <v>0</v>
      </c>
      <c r="E78" s="86" t="str">
        <f t="shared" si="18"/>
        <v/>
      </c>
      <c r="F78" s="86">
        <f t="shared" si="18"/>
        <v>1</v>
      </c>
      <c r="G78" s="86">
        <f t="shared" si="18"/>
        <v>0</v>
      </c>
      <c r="H78" s="86">
        <f t="shared" si="18"/>
        <v>0</v>
      </c>
      <c r="I78" s="86">
        <f t="shared" si="18"/>
        <v>0</v>
      </c>
      <c r="J78" s="86" t="str">
        <f t="shared" si="18"/>
        <v/>
      </c>
      <c r="K78" s="86" t="str">
        <f t="shared" si="18"/>
        <v/>
      </c>
      <c r="L78" s="86" t="str">
        <f t="shared" si="18"/>
        <v/>
      </c>
      <c r="M78" s="86" t="str">
        <f t="shared" si="18"/>
        <v/>
      </c>
      <c r="N78" s="86" t="str">
        <f t="shared" si="18"/>
        <v/>
      </c>
      <c r="O78" s="86" t="str">
        <f t="shared" si="18"/>
        <v/>
      </c>
    </row>
    <row r="79" spans="1:15" ht="15" customHeight="1" x14ac:dyDescent="0.2">
      <c r="A79" s="82" t="s">
        <v>49</v>
      </c>
      <c r="B79" s="86">
        <f t="shared" ref="B79:O79" si="19">IF(B25=0,"",B52/B25)</f>
        <v>0.2857142857142857</v>
      </c>
      <c r="C79" s="86">
        <f t="shared" si="19"/>
        <v>0.625</v>
      </c>
      <c r="D79" s="86">
        <f t="shared" si="19"/>
        <v>1</v>
      </c>
      <c r="E79" s="86">
        <f t="shared" si="19"/>
        <v>0.42857142857142855</v>
      </c>
      <c r="F79" s="86">
        <f t="shared" si="19"/>
        <v>0.375</v>
      </c>
      <c r="G79" s="86">
        <f t="shared" si="19"/>
        <v>0.44444444444444442</v>
      </c>
      <c r="H79" s="86">
        <f t="shared" si="19"/>
        <v>0.72727272727272729</v>
      </c>
      <c r="I79" s="86">
        <f t="shared" si="19"/>
        <v>0.55555555555555558</v>
      </c>
      <c r="J79" s="86">
        <f t="shared" si="19"/>
        <v>0.7</v>
      </c>
      <c r="K79" s="86">
        <f t="shared" si="19"/>
        <v>0.2857142857142857</v>
      </c>
      <c r="L79" s="86">
        <f t="shared" si="19"/>
        <v>0.41666666666666669</v>
      </c>
      <c r="M79" s="86">
        <f t="shared" si="19"/>
        <v>0.4</v>
      </c>
      <c r="N79" s="86">
        <f t="shared" si="19"/>
        <v>0.5</v>
      </c>
      <c r="O79" s="86" t="str">
        <f t="shared" si="19"/>
        <v/>
      </c>
    </row>
    <row r="80" spans="1:15" ht="15" customHeight="1" x14ac:dyDescent="0.2">
      <c r="A80" s="82" t="s">
        <v>50</v>
      </c>
      <c r="B80" s="86">
        <f t="shared" ref="B80:O80" si="20">IF(B26=0,"",B53/B26)</f>
        <v>0.1875</v>
      </c>
      <c r="C80" s="86" t="str">
        <f t="shared" si="20"/>
        <v/>
      </c>
      <c r="D80" s="86">
        <f t="shared" si="20"/>
        <v>0.4</v>
      </c>
      <c r="E80" s="86" t="str">
        <f t="shared" si="20"/>
        <v/>
      </c>
      <c r="F80" s="86">
        <f t="shared" si="20"/>
        <v>0.5</v>
      </c>
      <c r="G80" s="86">
        <f t="shared" si="20"/>
        <v>0.47916666666666669</v>
      </c>
      <c r="H80" s="86">
        <f t="shared" si="20"/>
        <v>0</v>
      </c>
      <c r="I80" s="86">
        <f t="shared" si="20"/>
        <v>0.6097560975609756</v>
      </c>
      <c r="J80" s="86" t="str">
        <f t="shared" si="20"/>
        <v/>
      </c>
      <c r="K80" s="86" t="str">
        <f t="shared" si="20"/>
        <v/>
      </c>
      <c r="L80" s="86">
        <f t="shared" si="20"/>
        <v>0.18181818181818182</v>
      </c>
      <c r="M80" s="86" t="str">
        <f t="shared" si="20"/>
        <v/>
      </c>
      <c r="N80" s="86">
        <f t="shared" si="20"/>
        <v>0</v>
      </c>
      <c r="O80" s="86" t="str">
        <f t="shared" si="20"/>
        <v/>
      </c>
    </row>
    <row r="81" spans="1:19" x14ac:dyDescent="0.2">
      <c r="A81" s="82" t="s">
        <v>51</v>
      </c>
      <c r="B81" s="86">
        <f t="shared" ref="B81:O81" si="21">IF(B27=0,"",B54/B27)</f>
        <v>0</v>
      </c>
      <c r="C81" s="86" t="str">
        <f t="shared" si="21"/>
        <v/>
      </c>
      <c r="D81" s="86">
        <f t="shared" si="21"/>
        <v>1</v>
      </c>
      <c r="E81" s="86" t="str">
        <f t="shared" si="21"/>
        <v/>
      </c>
      <c r="F81" s="86" t="str">
        <f t="shared" si="21"/>
        <v/>
      </c>
      <c r="G81" s="86">
        <f t="shared" si="21"/>
        <v>0.7142857142857143</v>
      </c>
      <c r="H81" s="86" t="str">
        <f t="shared" si="21"/>
        <v/>
      </c>
      <c r="I81" s="86">
        <f t="shared" si="21"/>
        <v>0</v>
      </c>
      <c r="J81" s="86">
        <f t="shared" si="21"/>
        <v>0</v>
      </c>
      <c r="K81" s="86" t="str">
        <f t="shared" si="21"/>
        <v/>
      </c>
      <c r="L81" s="86">
        <f t="shared" si="21"/>
        <v>0</v>
      </c>
      <c r="M81" s="86" t="str">
        <f t="shared" si="21"/>
        <v/>
      </c>
      <c r="N81" s="86" t="str">
        <f t="shared" si="21"/>
        <v/>
      </c>
      <c r="O81" s="86" t="str">
        <f t="shared" si="21"/>
        <v/>
      </c>
    </row>
    <row r="82" spans="1:19" x14ac:dyDescent="0.2">
      <c r="A82" s="82" t="s">
        <v>52</v>
      </c>
      <c r="B82" s="86" t="str">
        <f t="shared" ref="B82:O82" si="22">IF(B28=0,"",B55/B28)</f>
        <v/>
      </c>
      <c r="C82" s="86" t="str">
        <f t="shared" si="22"/>
        <v/>
      </c>
      <c r="D82" s="86" t="str">
        <f t="shared" si="22"/>
        <v/>
      </c>
      <c r="E82" s="86" t="str">
        <f t="shared" si="22"/>
        <v/>
      </c>
      <c r="F82" s="86">
        <f t="shared" si="22"/>
        <v>0.25</v>
      </c>
      <c r="G82" s="86">
        <f t="shared" si="22"/>
        <v>0.5</v>
      </c>
      <c r="H82" s="86" t="str">
        <f t="shared" si="22"/>
        <v/>
      </c>
      <c r="I82" s="86">
        <f t="shared" si="22"/>
        <v>0</v>
      </c>
      <c r="J82" s="86">
        <f t="shared" si="22"/>
        <v>1</v>
      </c>
      <c r="K82" s="86" t="str">
        <f t="shared" si="22"/>
        <v/>
      </c>
      <c r="L82" s="86" t="str">
        <f t="shared" si="22"/>
        <v/>
      </c>
      <c r="M82" s="86" t="str">
        <f t="shared" si="22"/>
        <v/>
      </c>
      <c r="N82" s="86" t="str">
        <f t="shared" si="22"/>
        <v/>
      </c>
      <c r="O82" s="86" t="str">
        <f t="shared" si="22"/>
        <v/>
      </c>
    </row>
    <row r="83" spans="1:19" x14ac:dyDescent="0.2">
      <c r="A83" s="82" t="s">
        <v>53</v>
      </c>
      <c r="B83" s="86" t="str">
        <f t="shared" ref="B83:O83" si="23">IF(B29=0,"",B56/B29)</f>
        <v/>
      </c>
      <c r="C83" s="86" t="str">
        <f t="shared" si="23"/>
        <v/>
      </c>
      <c r="D83" s="86" t="str">
        <f t="shared" si="23"/>
        <v/>
      </c>
      <c r="E83" s="86" t="str">
        <f t="shared" si="23"/>
        <v/>
      </c>
      <c r="F83" s="86">
        <f t="shared" si="23"/>
        <v>0.5</v>
      </c>
      <c r="G83" s="86">
        <f t="shared" si="23"/>
        <v>1</v>
      </c>
      <c r="H83" s="86" t="str">
        <f t="shared" si="23"/>
        <v/>
      </c>
      <c r="I83" s="86">
        <f t="shared" si="23"/>
        <v>0</v>
      </c>
      <c r="J83" s="86" t="str">
        <f t="shared" si="23"/>
        <v/>
      </c>
      <c r="K83" s="86" t="str">
        <f t="shared" si="23"/>
        <v/>
      </c>
      <c r="L83" s="86" t="str">
        <f t="shared" si="23"/>
        <v/>
      </c>
      <c r="M83" s="86" t="str">
        <f t="shared" si="23"/>
        <v/>
      </c>
      <c r="N83" s="86" t="str">
        <f t="shared" si="23"/>
        <v/>
      </c>
      <c r="O83" s="86" t="str">
        <f t="shared" si="23"/>
        <v/>
      </c>
    </row>
    <row r="84" spans="1:19" x14ac:dyDescent="0.2">
      <c r="A84" s="82" t="s">
        <v>54</v>
      </c>
      <c r="B84" s="86">
        <f t="shared" ref="B84:O84" si="24">IF(B30=0,"",B57/B30)</f>
        <v>1</v>
      </c>
      <c r="C84" s="86" t="str">
        <f t="shared" si="24"/>
        <v/>
      </c>
      <c r="D84" s="86" t="str">
        <f t="shared" si="24"/>
        <v/>
      </c>
      <c r="E84" s="86" t="str">
        <f t="shared" si="24"/>
        <v/>
      </c>
      <c r="F84" s="86">
        <f t="shared" si="24"/>
        <v>0.6</v>
      </c>
      <c r="G84" s="86">
        <f t="shared" si="24"/>
        <v>0.33333333333333331</v>
      </c>
      <c r="H84" s="86">
        <f t="shared" si="24"/>
        <v>0.5</v>
      </c>
      <c r="I84" s="86">
        <f t="shared" si="24"/>
        <v>0.33333333333333331</v>
      </c>
      <c r="J84" s="86" t="str">
        <f t="shared" si="24"/>
        <v/>
      </c>
      <c r="K84" s="86" t="str">
        <f t="shared" si="24"/>
        <v/>
      </c>
      <c r="L84" s="86">
        <f t="shared" si="24"/>
        <v>0</v>
      </c>
      <c r="M84" s="86">
        <f t="shared" si="24"/>
        <v>0.66666666666666663</v>
      </c>
      <c r="N84" s="86">
        <f t="shared" si="24"/>
        <v>0</v>
      </c>
      <c r="O84" s="86" t="str">
        <f t="shared" si="24"/>
        <v/>
      </c>
    </row>
    <row r="85" spans="1:19" x14ac:dyDescent="0.2">
      <c r="A85" s="82" t="s">
        <v>446</v>
      </c>
      <c r="B85" s="86" t="str">
        <f>IF(B31=0,"",B58/B31)</f>
        <v/>
      </c>
      <c r="C85" s="86" t="str">
        <f t="shared" ref="C85:O85" si="25">IF(C31=0,"",C58/C31)</f>
        <v/>
      </c>
      <c r="D85" s="86" t="str">
        <f t="shared" si="25"/>
        <v/>
      </c>
      <c r="E85" s="86" t="str">
        <f t="shared" si="25"/>
        <v/>
      </c>
      <c r="F85" s="86">
        <f t="shared" si="25"/>
        <v>0.66666666666666663</v>
      </c>
      <c r="G85" s="86" t="str">
        <f t="shared" si="25"/>
        <v/>
      </c>
      <c r="H85" s="86" t="str">
        <f t="shared" si="25"/>
        <v/>
      </c>
      <c r="I85" s="86">
        <f t="shared" si="25"/>
        <v>0.33333333333333331</v>
      </c>
      <c r="J85" s="86" t="str">
        <f t="shared" si="25"/>
        <v/>
      </c>
      <c r="K85" s="86" t="str">
        <f t="shared" si="25"/>
        <v/>
      </c>
      <c r="L85" s="86" t="str">
        <f t="shared" si="25"/>
        <v/>
      </c>
      <c r="M85" s="86" t="str">
        <f t="shared" si="25"/>
        <v/>
      </c>
      <c r="N85" s="86" t="str">
        <f t="shared" si="25"/>
        <v/>
      </c>
      <c r="O85" s="86" t="str">
        <f t="shared" si="25"/>
        <v/>
      </c>
    </row>
    <row r="86" spans="1:19" x14ac:dyDescent="0.2">
      <c r="A86" s="82" t="s">
        <v>55</v>
      </c>
      <c r="B86" s="86" t="str">
        <f>IF(B32=0,"",B59/B32)</f>
        <v/>
      </c>
      <c r="C86" s="86" t="str">
        <f t="shared" ref="C86:O86" si="26">IF(C32=0,"",C59/C32)</f>
        <v/>
      </c>
      <c r="D86" s="86" t="str">
        <f t="shared" si="26"/>
        <v/>
      </c>
      <c r="E86" s="86" t="str">
        <f t="shared" si="26"/>
        <v/>
      </c>
      <c r="F86" s="86">
        <f t="shared" si="26"/>
        <v>0.4</v>
      </c>
      <c r="G86" s="86">
        <f t="shared" si="26"/>
        <v>0.33333333333333331</v>
      </c>
      <c r="H86" s="86" t="str">
        <f t="shared" si="26"/>
        <v/>
      </c>
      <c r="I86" s="86">
        <f t="shared" si="26"/>
        <v>1</v>
      </c>
      <c r="J86" s="86">
        <f t="shared" si="26"/>
        <v>0</v>
      </c>
      <c r="K86" s="86" t="str">
        <f t="shared" si="26"/>
        <v/>
      </c>
      <c r="L86" s="86" t="str">
        <f t="shared" si="26"/>
        <v/>
      </c>
      <c r="M86" s="86" t="str">
        <f t="shared" si="26"/>
        <v/>
      </c>
      <c r="N86" s="86" t="str">
        <f t="shared" si="26"/>
        <v/>
      </c>
      <c r="O86" s="86" t="str">
        <f t="shared" si="26"/>
        <v/>
      </c>
    </row>
    <row r="87" spans="1:19" ht="15" customHeight="1" x14ac:dyDescent="0.2">
      <c r="A87" s="162" t="s">
        <v>303</v>
      </c>
      <c r="B87" s="146"/>
      <c r="C87" s="146"/>
      <c r="D87" s="146"/>
      <c r="E87" s="146"/>
      <c r="F87" s="146"/>
      <c r="G87" s="146"/>
      <c r="H87" s="146"/>
      <c r="I87" s="146"/>
      <c r="J87" s="146"/>
      <c r="K87" s="146"/>
      <c r="L87" s="146"/>
      <c r="M87" s="146"/>
      <c r="N87" s="146"/>
      <c r="O87" s="146"/>
      <c r="P87" s="146"/>
      <c r="Q87" s="146"/>
    </row>
    <row r="88" spans="1:19" ht="15" customHeight="1" x14ac:dyDescent="0.2">
      <c r="A88" s="87" t="s">
        <v>304</v>
      </c>
      <c r="B88" s="80" t="s">
        <v>10</v>
      </c>
      <c r="C88" s="80" t="s">
        <v>275</v>
      </c>
      <c r="D88" s="80" t="s">
        <v>11</v>
      </c>
      <c r="E88" s="80" t="s">
        <v>12</v>
      </c>
      <c r="F88" s="80" t="s">
        <v>6</v>
      </c>
      <c r="G88" s="80" t="s">
        <v>159</v>
      </c>
    </row>
    <row r="89" spans="1:19" ht="15" customHeight="1" x14ac:dyDescent="0.2">
      <c r="A89" s="82" t="s">
        <v>23</v>
      </c>
      <c r="B89" s="83">
        <f>COUNTIF('Match Log'!$D$4:$D$1510,$A89)</f>
        <v>42</v>
      </c>
      <c r="C89" s="83">
        <f>SUMPRODUCT(--(COUNTIFS('Match Log'!$D$4:$D$1510,$A89,'Match Log'!$C$4:$C$1510,Lists!$C$2:$C$26)&gt;0))</f>
        <v>7</v>
      </c>
      <c r="D89" s="83">
        <f>COUNTIFS('Match Log'!$D$4:$D$1510,$A89,'Match Log'!$E$4:$E$1510,"Win")</f>
        <v>25</v>
      </c>
      <c r="E89" s="86">
        <f t="shared" ref="E89:E102" si="27">IF($B89=0,"",$D89/$B89)</f>
        <v>0.59523809523809523</v>
      </c>
      <c r="F89" s="88">
        <f ca="1">IFERROR(INDEX(Calcs!$S$7:$S$20,MATCH($A89,Calcs!$A$7:$A$20,0)),"")</f>
        <v>1177.9015417269482</v>
      </c>
      <c r="G89" s="83" t="str">
        <f>IF($B89=0,"No games",IF(AND($B89&gt;='Guide &amp; Settings'!$C$45,$C89&gt;='Guide &amp; Settings'!$C$46),"Eligible","Provisional"))</f>
        <v>Eligible</v>
      </c>
      <c r="S89" s="89">
        <f ca="1">IF($G89="Eligible",IF(IFERROR(INDEX(Calcs!$T$7:$T$20,MATCH($A89,Calcs!$A$7:$A$20,0)),"")="Inactive",-1,$F89),-1)</f>
        <v>-1</v>
      </c>
    </row>
    <row r="90" spans="1:19" ht="15" customHeight="1" x14ac:dyDescent="0.2">
      <c r="A90" s="82" t="s">
        <v>19</v>
      </c>
      <c r="B90" s="83">
        <f>COUNTIF('Match Log'!$D$4:$D$1510,$A90)</f>
        <v>65</v>
      </c>
      <c r="C90" s="83">
        <f>SUMPRODUCT(--(COUNTIFS('Match Log'!$D$4:$D$1510,$A90,'Match Log'!$C$4:$C$1510,Lists!$C$2:$C$26)&gt;0))</f>
        <v>15</v>
      </c>
      <c r="D90" s="83">
        <f>COUNTIFS('Match Log'!$D$4:$D$1510,$A90,'Match Log'!$E$4:$E$1510,"Win")</f>
        <v>40</v>
      </c>
      <c r="E90" s="86">
        <f t="shared" si="27"/>
        <v>0.61538461538461542</v>
      </c>
      <c r="F90" s="88">
        <f ca="1">IFERROR(INDEX(Calcs!$S$7:$S$20,MATCH($A90,Calcs!$A$7:$A$20,0)),"")</f>
        <v>1273.6858369946654</v>
      </c>
      <c r="G90" s="83" t="str">
        <f>IF($B90=0,"No games",IF(AND($B90&gt;='Guide &amp; Settings'!$C$45,$C90&gt;='Guide &amp; Settings'!$C$46),"Eligible","Provisional"))</f>
        <v>Eligible</v>
      </c>
      <c r="S90" s="89">
        <f ca="1">IF($G90="Eligible",IF(IFERROR(INDEX(Calcs!$T$7:$T$20,MATCH($A90,Calcs!$A$7:$A$20,0)),"")="Inactive",-1,$F90),-1)</f>
        <v>1273.6858369946654</v>
      </c>
    </row>
    <row r="91" spans="1:19" ht="15" customHeight="1" x14ac:dyDescent="0.2">
      <c r="A91" s="82" t="s">
        <v>21</v>
      </c>
      <c r="B91" s="83">
        <f>COUNTIF('Match Log'!$D$4:$D$1510,$A91)</f>
        <v>44</v>
      </c>
      <c r="C91" s="83">
        <f>SUMPRODUCT(--(COUNTIFS('Match Log'!$D$4:$D$1510,$A91,'Match Log'!$C$4:$C$1510,Lists!$C$2:$C$26)&gt;0))</f>
        <v>12</v>
      </c>
      <c r="D91" s="83">
        <f>COUNTIFS('Match Log'!$D$4:$D$1510,$A91,'Match Log'!$E$4:$E$1510,"Win")</f>
        <v>23</v>
      </c>
      <c r="E91" s="86">
        <f t="shared" si="27"/>
        <v>0.52272727272727271</v>
      </c>
      <c r="F91" s="88">
        <f ca="1">IFERROR(INDEX(Calcs!$S$7:$S$20,MATCH($A91,Calcs!$A$7:$A$20,0)),"")</f>
        <v>1174.9945492849279</v>
      </c>
      <c r="G91" s="83" t="str">
        <f>IF($B91=0,"No games",IF(AND($B91&gt;='Guide &amp; Settings'!$C$45,$C91&gt;='Guide &amp; Settings'!$C$46),"Eligible","Provisional"))</f>
        <v>Eligible</v>
      </c>
      <c r="S91" s="89">
        <f ca="1">IF($G91="Eligible",IF(IFERROR(INDEX(Calcs!$T$7:$T$20,MATCH($A91,Calcs!$A$7:$A$20,0)),"")="Inactive",-1,$F91),-1)</f>
        <v>1174.9945492849279</v>
      </c>
    </row>
    <row r="92" spans="1:19" ht="15" customHeight="1" x14ac:dyDescent="0.2">
      <c r="A92" s="82" t="s">
        <v>25</v>
      </c>
      <c r="B92" s="83">
        <f>COUNTIF('Match Log'!$D$4:$D$1510,$A92)</f>
        <v>89</v>
      </c>
      <c r="C92" s="83">
        <f>SUMPRODUCT(--(COUNTIFS('Match Log'!$D$4:$D$1510,$A92,'Match Log'!$C$4:$C$1510,Lists!$C$2:$C$26)&gt;0))</f>
        <v>14</v>
      </c>
      <c r="D92" s="83">
        <f>COUNTIFS('Match Log'!$D$4:$D$1510,$A92,'Match Log'!$E$4:$E$1510,"Win")</f>
        <v>32</v>
      </c>
      <c r="E92" s="86">
        <f t="shared" si="27"/>
        <v>0.3595505617977528</v>
      </c>
      <c r="F92" s="88">
        <f ca="1">IFERROR(INDEX(Calcs!$S$7:$S$20,MATCH($A92,Calcs!$A$7:$A$20,0)),"")</f>
        <v>972.21010962469381</v>
      </c>
      <c r="G92" s="83" t="str">
        <f>IF($B92=0,"No games",IF(AND($B92&gt;='Guide &amp; Settings'!$C$45,$C92&gt;='Guide &amp; Settings'!$C$46),"Eligible","Provisional"))</f>
        <v>Eligible</v>
      </c>
      <c r="S92" s="89">
        <f ca="1">IF($G92="Eligible",IF(IFERROR(INDEX(Calcs!$T$7:$T$20,MATCH($A92,Calcs!$A$7:$A$20,0)),"")="Inactive",-1,$F92),-1)</f>
        <v>972.21010962469381</v>
      </c>
    </row>
    <row r="93" spans="1:19" ht="15" customHeight="1" x14ac:dyDescent="0.2">
      <c r="A93" s="82" t="s">
        <v>22</v>
      </c>
      <c r="B93" s="83">
        <f>COUNTIF('Match Log'!$D$4:$D$1510,$A93)</f>
        <v>162</v>
      </c>
      <c r="C93" s="83">
        <f>SUMPRODUCT(--(COUNTIFS('Match Log'!$D$4:$D$1510,$A93,'Match Log'!$C$4:$C$1510,Lists!$C$2:$C$26)&gt;0))</f>
        <v>20</v>
      </c>
      <c r="D93" s="83">
        <f>COUNTIFS('Match Log'!$D$4:$D$1510,$A93,'Match Log'!$E$4:$E$1510,"Win")</f>
        <v>69</v>
      </c>
      <c r="E93" s="86">
        <f t="shared" si="27"/>
        <v>0.42592592592592593</v>
      </c>
      <c r="F93" s="88">
        <f ca="1">IFERROR(INDEX(Calcs!$S$7:$S$20,MATCH($A93,Calcs!$A$7:$A$20,0)),"")</f>
        <v>1154.949342448014</v>
      </c>
      <c r="G93" s="83" t="str">
        <f>IF($B93=0,"No games",IF(AND($B93&gt;='Guide &amp; Settings'!$C$45,$C93&gt;='Guide &amp; Settings'!$C$46),"Eligible","Provisional"))</f>
        <v>Eligible</v>
      </c>
      <c r="S93" s="89">
        <f ca="1">IF($G93="Eligible",IF(IFERROR(INDEX(Calcs!$T$7:$T$20,MATCH($A93,Calcs!$A$7:$A$20,0)),"")="Inactive",-1,$F93),-1)</f>
        <v>1154.949342448014</v>
      </c>
    </row>
    <row r="94" spans="1:19" ht="15" customHeight="1" x14ac:dyDescent="0.2">
      <c r="A94" s="82" t="s">
        <v>15</v>
      </c>
      <c r="B94" s="83">
        <f>COUNTIF('Match Log'!$D$4:$D$1510,$A94)</f>
        <v>94</v>
      </c>
      <c r="C94" s="83">
        <f>SUMPRODUCT(--(COUNTIFS('Match Log'!$D$4:$D$1510,$A94,'Match Log'!$C$4:$C$1510,Lists!$C$2:$C$26)&gt;0))</f>
        <v>14</v>
      </c>
      <c r="D94" s="83">
        <f>COUNTIFS('Match Log'!$D$4:$D$1510,$A94,'Match Log'!$E$4:$E$1510,"Win")</f>
        <v>44</v>
      </c>
      <c r="E94" s="86">
        <f t="shared" si="27"/>
        <v>0.46808510638297873</v>
      </c>
      <c r="F94" s="88">
        <f ca="1">IFERROR(INDEX(Calcs!$S$7:$S$20,MATCH($A94,Calcs!$A$7:$A$20,0)),"")</f>
        <v>1223.1911759451084</v>
      </c>
      <c r="G94" s="83" t="str">
        <f>IF($B94=0,"No games",IF(AND($B94&gt;='Guide &amp; Settings'!$C$45,$C94&gt;='Guide &amp; Settings'!$C$46),"Eligible","Provisional"))</f>
        <v>Eligible</v>
      </c>
      <c r="S94" s="89">
        <f ca="1">IF($G94="Eligible",IF(IFERROR(INDEX(Calcs!$T$7:$T$20,MATCH($A94,Calcs!$A$7:$A$20,0)),"")="Inactive",-1,$F94),-1)</f>
        <v>1223.1911759451084</v>
      </c>
    </row>
    <row r="95" spans="1:19" ht="15" customHeight="1" x14ac:dyDescent="0.2">
      <c r="A95" s="82" t="s">
        <v>20</v>
      </c>
      <c r="B95" s="83">
        <f>COUNTIF('Match Log'!$D$4:$D$1510,$A95)</f>
        <v>171</v>
      </c>
      <c r="C95" s="83">
        <f>SUMPRODUCT(--(COUNTIFS('Match Log'!$D$4:$D$1510,$A95,'Match Log'!$C$4:$C$1510,Lists!$C$2:$C$26)&gt;0))</f>
        <v>19</v>
      </c>
      <c r="D95" s="83">
        <f>COUNTIFS('Match Log'!$D$4:$D$1510,$A95,'Match Log'!$E$4:$E$1510,"Win")</f>
        <v>80</v>
      </c>
      <c r="E95" s="86">
        <f t="shared" si="27"/>
        <v>0.46783625730994149</v>
      </c>
      <c r="F95" s="88">
        <f ca="1">IFERROR(INDEX(Calcs!$S$7:$S$20,MATCH($A95,Calcs!$A$7:$A$20,0)),"")</f>
        <v>1228.1633292156973</v>
      </c>
      <c r="G95" s="83" t="str">
        <f>IF($B95=0,"No games",IF(AND($B95&gt;='Guide &amp; Settings'!$C$45,$C95&gt;='Guide &amp; Settings'!$C$46),"Eligible","Provisional"))</f>
        <v>Eligible</v>
      </c>
      <c r="S95" s="89">
        <f ca="1">IF($G95="Eligible",IF(IFERROR(INDEX(Calcs!$T$7:$T$20,MATCH($A95,Calcs!$A$7:$A$20,0)),"")="Inactive",-1,$F95),-1)</f>
        <v>1228.1633292156973</v>
      </c>
    </row>
    <row r="96" spans="1:19" ht="15" customHeight="1" x14ac:dyDescent="0.2">
      <c r="A96" s="82" t="s">
        <v>16</v>
      </c>
      <c r="B96" s="83">
        <f>COUNTIF('Match Log'!$D$4:$D$1510,$A96)</f>
        <v>10</v>
      </c>
      <c r="C96" s="83">
        <f>SUMPRODUCT(--(COUNTIFS('Match Log'!$D$4:$D$1510,$A96,'Match Log'!$C$4:$C$1510,Lists!$C$2:$C$26)&gt;0))</f>
        <v>3</v>
      </c>
      <c r="D96" s="83">
        <f>COUNTIFS('Match Log'!$D$4:$D$1510,$A96,'Match Log'!$E$4:$E$1510,"Win")</f>
        <v>5</v>
      </c>
      <c r="E96" s="86">
        <f t="shared" si="27"/>
        <v>0.5</v>
      </c>
      <c r="F96" s="88">
        <f ca="1">IFERROR(INDEX(Calcs!$S$7:$S$20,MATCH($A96,Calcs!$A$7:$A$20,0)),"")</f>
        <v>879.51759653351382</v>
      </c>
      <c r="G96" s="83" t="str">
        <f>IF($B96=0,"No games",IF(AND($B96&gt;='Guide &amp; Settings'!$C$45,$C96&gt;='Guide &amp; Settings'!$C$46),"Eligible","Provisional"))</f>
        <v>Eligible</v>
      </c>
      <c r="S96" s="89">
        <f ca="1">IF($G96="Eligible",IF(IFERROR(INDEX(Calcs!$T$7:$T$20,MATCH($A96,Calcs!$A$7:$A$20,0)),"")="Inactive",-1,$F96),-1)</f>
        <v>-1</v>
      </c>
    </row>
    <row r="97" spans="1:19" ht="15" customHeight="1" x14ac:dyDescent="0.2">
      <c r="A97" s="82" t="s">
        <v>26</v>
      </c>
      <c r="B97" s="83">
        <f>COUNTIF('Match Log'!$D$4:$D$1510,$A97)</f>
        <v>15</v>
      </c>
      <c r="C97" s="83">
        <f>SUMPRODUCT(--(COUNTIFS('Match Log'!$D$4:$D$1510,$A97,'Match Log'!$C$4:$C$1510,Lists!$C$2:$C$26)&gt;0))</f>
        <v>4</v>
      </c>
      <c r="D97" s="83">
        <f>COUNTIFS('Match Log'!$D$4:$D$1510,$A97,'Match Log'!$E$4:$E$1510,"Win")</f>
        <v>7</v>
      </c>
      <c r="E97" s="86">
        <f t="shared" si="27"/>
        <v>0.46666666666666667</v>
      </c>
      <c r="F97" s="88">
        <f ca="1">IFERROR(INDEX(Calcs!$S$7:$S$20,MATCH($A97,Calcs!$A$7:$A$20,0)),"")</f>
        <v>1017.5488947064855</v>
      </c>
      <c r="G97" s="83" t="str">
        <f>IF($B97=0,"No games",IF(AND($B97&gt;='Guide &amp; Settings'!$C$45,$C97&gt;='Guide &amp; Settings'!$C$46),"Eligible","Provisional"))</f>
        <v>Eligible</v>
      </c>
      <c r="S97" s="89">
        <f ca="1">IF($G97="Eligible",IF(IFERROR(INDEX(Calcs!$T$7:$T$20,MATCH($A97,Calcs!$A$7:$A$20,0)),"")="Inactive",-1,$F97),-1)</f>
        <v>-1</v>
      </c>
    </row>
    <row r="98" spans="1:19" ht="15" customHeight="1" x14ac:dyDescent="0.2">
      <c r="A98" s="82" t="s">
        <v>27</v>
      </c>
      <c r="B98" s="83">
        <f>COUNTIF('Match Log'!$D$4:$D$1510,$A98)</f>
        <v>17</v>
      </c>
      <c r="C98" s="83">
        <f>SUMPRODUCT(--(COUNTIFS('Match Log'!$D$4:$D$1510,$A98,'Match Log'!$C$4:$C$1510,Lists!$C$2:$C$26)&gt;0))</f>
        <v>5</v>
      </c>
      <c r="D98" s="83">
        <f>COUNTIFS('Match Log'!$D$4:$D$1510,$A98,'Match Log'!$E$4:$E$1510,"Win")</f>
        <v>6</v>
      </c>
      <c r="E98" s="86">
        <f t="shared" si="27"/>
        <v>0.35294117647058826</v>
      </c>
      <c r="F98" s="88">
        <f ca="1">IFERROR(INDEX(Calcs!$S$7:$S$20,MATCH($A98,Calcs!$A$7:$A$20,0)),"")</f>
        <v>970.50724028215677</v>
      </c>
      <c r="G98" s="83" t="str">
        <f>IF($B98=0,"No games",IF(AND($B98&gt;='Guide &amp; Settings'!$C$45,$C98&gt;='Guide &amp; Settings'!$C$46),"Eligible","Provisional"))</f>
        <v>Eligible</v>
      </c>
      <c r="S98" s="89">
        <f ca="1">IF($G98="Eligible",IF(IFERROR(INDEX(Calcs!$T$7:$T$20,MATCH($A98,Calcs!$A$7:$A$20,0)),"")="Inactive",-1,$F98),-1)</f>
        <v>970.50724028215677</v>
      </c>
    </row>
    <row r="99" spans="1:19" ht="15" customHeight="1" x14ac:dyDescent="0.2">
      <c r="A99" s="82" t="s">
        <v>17</v>
      </c>
      <c r="B99" s="83">
        <f>COUNTIF('Match Log'!$D$4:$D$1510,$A99)</f>
        <v>23</v>
      </c>
      <c r="C99" s="83">
        <f>SUMPRODUCT(--(COUNTIFS('Match Log'!$D$4:$D$1510,$A99,'Match Log'!$C$4:$C$1510,Lists!$C$2:$C$26)&gt;0))</f>
        <v>10</v>
      </c>
      <c r="D99" s="83">
        <f>COUNTIFS('Match Log'!$D$4:$D$1510,$A99,'Match Log'!$E$4:$E$1510,"Win")</f>
        <v>9</v>
      </c>
      <c r="E99" s="86">
        <f t="shared" si="27"/>
        <v>0.39130434782608697</v>
      </c>
      <c r="F99" s="88">
        <f ca="1">IFERROR(INDEX(Calcs!$S$7:$S$20,MATCH($A99,Calcs!$A$7:$A$20,0)),"")</f>
        <v>1028.0761030598392</v>
      </c>
      <c r="G99" s="83" t="str">
        <f>IF($B99=0,"No games",IF(AND($B99&gt;='Guide &amp; Settings'!$C$45,$C99&gt;='Guide &amp; Settings'!$C$46),"Eligible","Provisional"))</f>
        <v>Eligible</v>
      </c>
      <c r="S99" s="89">
        <f ca="1">IF($G99="Eligible",IF(IFERROR(INDEX(Calcs!$T$7:$T$20,MATCH($A99,Calcs!$A$7:$A$20,0)),"")="Inactive",-1,$F99),-1)</f>
        <v>1028.0761030598392</v>
      </c>
    </row>
    <row r="100" spans="1:19" ht="15" customHeight="1" x14ac:dyDescent="0.2">
      <c r="A100" s="82" t="s">
        <v>28</v>
      </c>
      <c r="B100" s="83">
        <f>COUNTIF('Match Log'!$D$4:$D$1510,$A100)</f>
        <v>0</v>
      </c>
      <c r="C100" s="83">
        <f>SUMPRODUCT(--(COUNTIFS('Match Log'!$D$4:$D$1510,$A100,'Match Log'!$C$4:$C$1510,Lists!$C$2:$C$26)&gt;0))</f>
        <v>0</v>
      </c>
      <c r="D100" s="83">
        <f>COUNTIFS('Match Log'!$D$4:$D$1510,$A100,'Match Log'!$E$4:$E$1510,"Win")</f>
        <v>0</v>
      </c>
      <c r="E100" s="86" t="str">
        <f t="shared" si="27"/>
        <v/>
      </c>
      <c r="F100" s="88">
        <f>IFERROR(INDEX(Calcs!$S$7:$S$20,MATCH($A100,Calcs!$A$7:$A$20,0)),"")</f>
        <v>1000</v>
      </c>
      <c r="G100" s="83" t="str">
        <f>IF($B100=0,"No games",IF(AND($B100&gt;='Guide &amp; Settings'!$C$45,$C100&gt;='Guide &amp; Settings'!$C$46),"Eligible","Provisional"))</f>
        <v>No games</v>
      </c>
      <c r="S100">
        <f>IF($G100="Eligible",IF(IFERROR(INDEX(Calcs!$T$7:$T$20,MATCH($A100,Calcs!$A$7:$A$20,0)),"")="Inactive",-1,$F100),-1)</f>
        <v>-1</v>
      </c>
    </row>
    <row r="101" spans="1:19" ht="15" customHeight="1" x14ac:dyDescent="0.2">
      <c r="A101" s="82" t="s">
        <v>18</v>
      </c>
      <c r="B101" s="83">
        <f>COUNTIF('Match Log'!$D$4:$D$1510,$A101)</f>
        <v>23</v>
      </c>
      <c r="C101" s="83">
        <f>SUMPRODUCT(--(COUNTIFS('Match Log'!$D$4:$D$1510,$A101,'Match Log'!$C$4:$C$1510,Lists!$C$2:$C$26)&gt;0))</f>
        <v>6</v>
      </c>
      <c r="D101" s="83">
        <f>COUNTIFS('Match Log'!$D$4:$D$1510,$A101,'Match Log'!$E$4:$E$1510,"Win")</f>
        <v>5</v>
      </c>
      <c r="E101" s="86">
        <f t="shared" si="27"/>
        <v>0.21739130434782608</v>
      </c>
      <c r="F101" s="88">
        <f ca="1">IFERROR(INDEX(Calcs!$S$7:$S$20,MATCH($A101,Calcs!$A$7:$A$20,0)),"")</f>
        <v>827.03133644117429</v>
      </c>
      <c r="G101" s="83" t="str">
        <f>IF($B101=0,"No games",IF(AND($B101&gt;='Guide &amp; Settings'!$C$45,$C101&gt;='Guide &amp; Settings'!$C$46),"Eligible","Provisional"))</f>
        <v>Eligible</v>
      </c>
      <c r="S101" s="89">
        <f ca="1">IF($G101="Eligible",IF(IFERROR(INDEX(Calcs!$T$7:$T$20,MATCH($A101,Calcs!$A$7:$A$20,0)),"")="Inactive",-1,$F101),-1)</f>
        <v>-1</v>
      </c>
    </row>
    <row r="102" spans="1:19" ht="15" customHeight="1" x14ac:dyDescent="0.2">
      <c r="A102" s="82" t="s">
        <v>24</v>
      </c>
      <c r="B102" s="83">
        <f>COUNTIF('Match Log'!$D$4:$D$1510,$A102)</f>
        <v>15</v>
      </c>
      <c r="C102" s="83">
        <f>SUMPRODUCT(--(COUNTIFS('Match Log'!$D$4:$D$1510,$A102,'Match Log'!$C$4:$C$1510,Lists!$C$2:$C$26)&gt;0))</f>
        <v>3</v>
      </c>
      <c r="D102" s="83">
        <f>COUNTIFS('Match Log'!$D$4:$D$1510,$A102,'Match Log'!$E$4:$E$1510,"Win")</f>
        <v>2</v>
      </c>
      <c r="E102" s="86">
        <f t="shared" si="27"/>
        <v>0.13333333333333333</v>
      </c>
      <c r="F102" s="88">
        <f ca="1">IFERROR(INDEX(Calcs!$S$7:$S$20,MATCH($A102,Calcs!$A$7:$A$20,0)),"")</f>
        <v>752.22294373677494</v>
      </c>
      <c r="G102" s="83" t="str">
        <f>IF($B102=0,"No games",IF(AND($B102&gt;='Guide &amp; Settings'!$C$45,$C102&gt;='Guide &amp; Settings'!$C$46),"Eligible","Provisional"))</f>
        <v>Eligible</v>
      </c>
      <c r="S102" s="89">
        <f ca="1">IF($G102="Eligible",IF(IFERROR(INDEX(Calcs!$T$7:$T$20,MATCH($A102,Calcs!$A$7:$A$20,0)),"")="Inactive",-1,$F102),-1)</f>
        <v>-1</v>
      </c>
    </row>
    <row r="104" spans="1:19" ht="15" customHeight="1" x14ac:dyDescent="0.2">
      <c r="A104" s="162" t="s">
        <v>305</v>
      </c>
      <c r="B104" s="146"/>
      <c r="C104" s="146"/>
      <c r="D104" s="146"/>
      <c r="E104" s="146"/>
      <c r="F104" s="146"/>
      <c r="G104" s="146"/>
      <c r="H104" s="146"/>
      <c r="I104" s="146"/>
      <c r="J104" s="146"/>
      <c r="K104" s="146"/>
      <c r="L104" s="146"/>
      <c r="M104" s="146"/>
      <c r="N104" s="146"/>
      <c r="O104" s="146"/>
      <c r="P104" s="146"/>
      <c r="Q104" s="146"/>
    </row>
    <row r="105" spans="1:19" ht="91.5" customHeight="1" x14ac:dyDescent="0.2">
      <c r="A105" s="80" t="s">
        <v>235</v>
      </c>
      <c r="B105" s="81" t="s">
        <v>15</v>
      </c>
      <c r="C105" s="81" t="s">
        <v>16</v>
      </c>
      <c r="D105" s="81" t="s">
        <v>17</v>
      </c>
      <c r="E105" s="81" t="s">
        <v>18</v>
      </c>
      <c r="F105" s="81" t="s">
        <v>19</v>
      </c>
      <c r="G105" s="81" t="s">
        <v>20</v>
      </c>
      <c r="H105" s="81" t="s">
        <v>21</v>
      </c>
      <c r="I105" s="81" t="s">
        <v>22</v>
      </c>
      <c r="J105" s="81" t="s">
        <v>23</v>
      </c>
      <c r="K105" s="81" t="s">
        <v>24</v>
      </c>
      <c r="L105" s="81" t="s">
        <v>25</v>
      </c>
      <c r="M105" s="81" t="s">
        <v>26</v>
      </c>
      <c r="N105" s="81" t="s">
        <v>27</v>
      </c>
      <c r="O105" s="81" t="s">
        <v>28</v>
      </c>
      <c r="P105" s="80" t="s">
        <v>306</v>
      </c>
    </row>
    <row r="106" spans="1:19" ht="15" customHeight="1" x14ac:dyDescent="0.2">
      <c r="A106" s="82" t="s">
        <v>33</v>
      </c>
      <c r="B106" s="88" t="str">
        <f>IFERROR(LOOKUP(2,1/(('Match Log'!$D$4:$D$1510=B$105)*('Match Log'!$C$4:$C$1510=$A106)),'Match Log'!$AB$4:$AB$1510),"")</f>
        <v/>
      </c>
      <c r="C106" s="88" t="str">
        <f>IFERROR(LOOKUP(2,1/(('Match Log'!$D$4:$D$1510=C$105)*('Match Log'!$C$4:$C$1510=$A106)),'Match Log'!$AB$4:$AB$1510),"")</f>
        <v/>
      </c>
      <c r="D106" s="88">
        <f>IFERROR(LOOKUP(2,1/(('Match Log'!$D$4:$D$1510=D$105)*('Match Log'!$C$4:$C$1510=$A106)),'Match Log'!$AB$4:$AB$1510),"")</f>
        <v>989.86518234106882</v>
      </c>
      <c r="E106" s="88" t="str">
        <f>IFERROR(LOOKUP(2,1/(('Match Log'!$D$4:$D$1510=E$105)*('Match Log'!$C$4:$C$1510=$A106)),'Match Log'!$AB$4:$AB$1510),"")</f>
        <v/>
      </c>
      <c r="F106" s="88" t="str">
        <f>IFERROR(LOOKUP(2,1/(('Match Log'!$D$4:$D$1510=F$105)*('Match Log'!$C$4:$C$1510=$A106)),'Match Log'!$AB$4:$AB$1510),"")</f>
        <v/>
      </c>
      <c r="G106" s="88">
        <f>IFERROR(LOOKUP(2,1/(('Match Log'!$D$4:$D$1510=G$105)*('Match Log'!$C$4:$C$1510=$A106)),'Match Log'!$AB$4:$AB$1510),"")</f>
        <v>1092.9660632793311</v>
      </c>
      <c r="H106" s="88">
        <f>IFERROR(LOOKUP(2,1/(('Match Log'!$D$4:$D$1510=H$105)*('Match Log'!$C$4:$C$1510=$A106)),'Match Log'!$AB$4:$AB$1510),"")</f>
        <v>984</v>
      </c>
      <c r="I106" s="88">
        <f>IFERROR(LOOKUP(2,1/(('Match Log'!$D$4:$D$1510=I$105)*('Match Log'!$C$4:$C$1510=$A106)),'Match Log'!$AB$4:$AB$1510),"")</f>
        <v>933.16875437959993</v>
      </c>
      <c r="J106" s="88" t="str">
        <f>IFERROR(LOOKUP(2,1/(('Match Log'!$D$4:$D$1510=J$105)*('Match Log'!$C$4:$C$1510=$A106)),'Match Log'!$AB$4:$AB$1510),"")</f>
        <v/>
      </c>
      <c r="K106" s="88" t="str">
        <f>IFERROR(LOOKUP(2,1/(('Match Log'!$D$4:$D$1510=K$105)*('Match Log'!$C$4:$C$1510=$A106)),'Match Log'!$AB$4:$AB$1510),"")</f>
        <v/>
      </c>
      <c r="L106" s="88" t="str">
        <f>IFERROR(LOOKUP(2,1/(('Match Log'!$D$4:$D$1510=L$105)*('Match Log'!$C$4:$C$1510=$A106)),'Match Log'!$AB$4:$AB$1510),"")</f>
        <v/>
      </c>
      <c r="M106" s="88" t="str">
        <f>IFERROR(LOOKUP(2,1/(('Match Log'!$D$4:$D$1510=M$105)*('Match Log'!$C$4:$C$1510=$A106)),'Match Log'!$AB$4:$AB$1510),"")</f>
        <v/>
      </c>
      <c r="N106" s="88" t="str">
        <f>IFERROR(LOOKUP(2,1/(('Match Log'!$D$4:$D$1510=N$105)*('Match Log'!$C$4:$C$1510=$A106)),'Match Log'!$AB$4:$AB$1510),"")</f>
        <v/>
      </c>
      <c r="O106" s="88" t="str">
        <f>IFERROR(LOOKUP(2,1/(('Match Log'!$D$4:$D$1510=O$105)*('Match Log'!$C$4:$C$1510=$A106)),'Match Log'!$AB$4:$AB$1510),"")</f>
        <v/>
      </c>
      <c r="P106" s="85" t="str">
        <f t="shared" ref="P106:P130" si="28">IFERROR(INDEX($B$105:$O$105,MATCH(MAX($B106:$O106),$B106:$O106,0)),"—")</f>
        <v>Shawn</v>
      </c>
    </row>
    <row r="107" spans="1:19" ht="15" customHeight="1" x14ac:dyDescent="0.2">
      <c r="A107" s="82" t="s">
        <v>34</v>
      </c>
      <c r="B107" s="88">
        <f>IFERROR(LOOKUP(2,1/(('Match Log'!$D$4:$D$1510=B$105)*('Match Log'!$C$4:$C$1510=$A107)),'Match Log'!$AB$4:$AB$1510),"")</f>
        <v>1045.7168407037757</v>
      </c>
      <c r="C107" s="88" t="str">
        <f>IFERROR(LOOKUP(2,1/(('Match Log'!$D$4:$D$1510=C$105)*('Match Log'!$C$4:$C$1510=$A107)),'Match Log'!$AB$4:$AB$1510),"")</f>
        <v/>
      </c>
      <c r="D107" s="88" t="str">
        <f>IFERROR(LOOKUP(2,1/(('Match Log'!$D$4:$D$1510=D$105)*('Match Log'!$C$4:$C$1510=$A107)),'Match Log'!$AB$4:$AB$1510),"")</f>
        <v/>
      </c>
      <c r="E107" s="88">
        <f>IFERROR(LOOKUP(2,1/(('Match Log'!$D$4:$D$1510=E$105)*('Match Log'!$C$4:$C$1510=$A107)),'Match Log'!$AB$4:$AB$1510),"")</f>
        <v>994.56494831993177</v>
      </c>
      <c r="F107" s="88" t="str">
        <f>IFERROR(LOOKUP(2,1/(('Match Log'!$D$4:$D$1510=F$105)*('Match Log'!$C$4:$C$1510=$A107)),'Match Log'!$AB$4:$AB$1510),"")</f>
        <v/>
      </c>
      <c r="G107" s="88">
        <f>IFERROR(LOOKUP(2,1/(('Match Log'!$D$4:$D$1510=G$105)*('Match Log'!$C$4:$C$1510=$A107)),'Match Log'!$AB$4:$AB$1510),"")</f>
        <v>973.73504678032145</v>
      </c>
      <c r="H107" s="88">
        <f>IFERROR(LOOKUP(2,1/(('Match Log'!$D$4:$D$1510=H$105)*('Match Log'!$C$4:$C$1510=$A107)),'Match Log'!$AB$4:$AB$1510),"")</f>
        <v>989.73668858730241</v>
      </c>
      <c r="I107" s="88">
        <f>IFERROR(LOOKUP(2,1/(('Match Log'!$D$4:$D$1510=I$105)*('Match Log'!$C$4:$C$1510=$A107)),'Match Log'!$AB$4:$AB$1510),"")</f>
        <v>1006.7352082096049</v>
      </c>
      <c r="J107" s="88">
        <f>IFERROR(LOOKUP(2,1/(('Match Log'!$D$4:$D$1510=J$105)*('Match Log'!$C$4:$C$1510=$A107)),'Match Log'!$AB$4:$AB$1510),"")</f>
        <v>1001.628260139895</v>
      </c>
      <c r="K107" s="88" t="str">
        <f>IFERROR(LOOKUP(2,1/(('Match Log'!$D$4:$D$1510=K$105)*('Match Log'!$C$4:$C$1510=$A107)),'Match Log'!$AB$4:$AB$1510),"")</f>
        <v/>
      </c>
      <c r="L107" s="88">
        <f>IFERROR(LOOKUP(2,1/(('Match Log'!$D$4:$D$1510=L$105)*('Match Log'!$C$4:$C$1510=$A107)),'Match Log'!$AB$4:$AB$1510),"")</f>
        <v>1010.2362294568643</v>
      </c>
      <c r="M107" s="88">
        <f>IFERROR(LOOKUP(2,1/(('Match Log'!$D$4:$D$1510=M$105)*('Match Log'!$C$4:$C$1510=$A107)),'Match Log'!$AB$4:$AB$1510),"")</f>
        <v>993.98972574955303</v>
      </c>
      <c r="N107" s="88">
        <f>IFERROR(LOOKUP(2,1/(('Match Log'!$D$4:$D$1510=N$105)*('Match Log'!$C$4:$C$1510=$A107)),'Match Log'!$AB$4:$AB$1510),"")</f>
        <v>983.65705205275117</v>
      </c>
      <c r="O107" s="88" t="str">
        <f>IFERROR(LOOKUP(2,1/(('Match Log'!$D$4:$D$1510=O$105)*('Match Log'!$C$4:$C$1510=$A107)),'Match Log'!$AB$4:$AB$1510),"")</f>
        <v/>
      </c>
      <c r="P107" s="85" t="str">
        <f t="shared" si="28"/>
        <v>Aaron</v>
      </c>
    </row>
    <row r="108" spans="1:19" ht="15" customHeight="1" x14ac:dyDescent="0.2">
      <c r="A108" s="82" t="s">
        <v>35</v>
      </c>
      <c r="B108" s="88">
        <f>IFERROR(LOOKUP(2,1/(('Match Log'!$D$4:$D$1510=B$105)*('Match Log'!$C$4:$C$1510=$A108)),'Match Log'!$AB$4:$AB$1510),"")</f>
        <v>1098.815364968327</v>
      </c>
      <c r="C108" s="88" t="str">
        <f>IFERROR(LOOKUP(2,1/(('Match Log'!$D$4:$D$1510=C$105)*('Match Log'!$C$4:$C$1510=$A108)),'Match Log'!$AB$4:$AB$1510),"")</f>
        <v/>
      </c>
      <c r="D108" s="88">
        <f>IFERROR(LOOKUP(2,1/(('Match Log'!$D$4:$D$1510=D$105)*('Match Log'!$C$4:$C$1510=$A108)),'Match Log'!$AB$4:$AB$1510),"")</f>
        <v>984.73630679352198</v>
      </c>
      <c r="E108" s="88" t="str">
        <f>IFERROR(LOOKUP(2,1/(('Match Log'!$D$4:$D$1510=E$105)*('Match Log'!$C$4:$C$1510=$A108)),'Match Log'!$AB$4:$AB$1510),"")</f>
        <v/>
      </c>
      <c r="F108" s="88">
        <f>IFERROR(LOOKUP(2,1/(('Match Log'!$D$4:$D$1510=F$105)*('Match Log'!$C$4:$C$1510=$A108)),'Match Log'!$AB$4:$AB$1510),"")</f>
        <v>984</v>
      </c>
      <c r="G108" s="88">
        <f>IFERROR(LOOKUP(2,1/(('Match Log'!$D$4:$D$1510=G$105)*('Match Log'!$C$4:$C$1510=$A108)),'Match Log'!$AB$4:$AB$1510),"")</f>
        <v>961.80944993345406</v>
      </c>
      <c r="H108" s="88">
        <f>IFERROR(LOOKUP(2,1/(('Match Log'!$D$4:$D$1510=H$105)*('Match Log'!$C$4:$C$1510=$A108)),'Match Log'!$AB$4:$AB$1510),"")</f>
        <v>982.80710326897417</v>
      </c>
      <c r="I108" s="88">
        <f>IFERROR(LOOKUP(2,1/(('Match Log'!$D$4:$D$1510=I$105)*('Match Log'!$C$4:$C$1510=$A108)),'Match Log'!$AB$4:$AB$1510),"")</f>
        <v>981.23850741932449</v>
      </c>
      <c r="J108" s="88" t="str">
        <f>IFERROR(LOOKUP(2,1/(('Match Log'!$D$4:$D$1510=J$105)*('Match Log'!$C$4:$C$1510=$A108)),'Match Log'!$AB$4:$AB$1510),"")</f>
        <v/>
      </c>
      <c r="K108" s="88" t="str">
        <f>IFERROR(LOOKUP(2,1/(('Match Log'!$D$4:$D$1510=K$105)*('Match Log'!$C$4:$C$1510=$A108)),'Match Log'!$AB$4:$AB$1510),"")</f>
        <v/>
      </c>
      <c r="L108" s="88">
        <f>IFERROR(LOOKUP(2,1/(('Match Log'!$D$4:$D$1510=L$105)*('Match Log'!$C$4:$C$1510=$A108)),'Match Log'!$AB$4:$AB$1510),"")</f>
        <v>1006.5932676163981</v>
      </c>
      <c r="M108" s="88" t="str">
        <f>IFERROR(LOOKUP(2,1/(('Match Log'!$D$4:$D$1510=M$105)*('Match Log'!$C$4:$C$1510=$A108)),'Match Log'!$AB$4:$AB$1510),"")</f>
        <v/>
      </c>
      <c r="N108" s="88" t="str">
        <f>IFERROR(LOOKUP(2,1/(('Match Log'!$D$4:$D$1510=N$105)*('Match Log'!$C$4:$C$1510=$A108)),'Match Log'!$AB$4:$AB$1510),"")</f>
        <v/>
      </c>
      <c r="O108" s="88" t="str">
        <f>IFERROR(LOOKUP(2,1/(('Match Log'!$D$4:$D$1510=O$105)*('Match Log'!$C$4:$C$1510=$A108)),'Match Log'!$AB$4:$AB$1510),"")</f>
        <v/>
      </c>
      <c r="P108" s="85" t="str">
        <f t="shared" si="28"/>
        <v>Aaron</v>
      </c>
    </row>
    <row r="109" spans="1:19" ht="15" customHeight="1" x14ac:dyDescent="0.2">
      <c r="A109" s="82" t="s">
        <v>36</v>
      </c>
      <c r="B109" s="88">
        <f>IFERROR(LOOKUP(2,1/(('Match Log'!$D$4:$D$1510=B$105)*('Match Log'!$C$4:$C$1510=$A109)),'Match Log'!$AB$4:$AB$1510),"")</f>
        <v>996</v>
      </c>
      <c r="C109" s="88" t="str">
        <f>IFERROR(LOOKUP(2,1/(('Match Log'!$D$4:$D$1510=C$105)*('Match Log'!$C$4:$C$1510=$A109)),'Match Log'!$AB$4:$AB$1510),"")</f>
        <v/>
      </c>
      <c r="D109" s="88">
        <f>IFERROR(LOOKUP(2,1/(('Match Log'!$D$4:$D$1510=D$105)*('Match Log'!$C$4:$C$1510=$A109)),'Match Log'!$AB$4:$AB$1510),"")</f>
        <v>996</v>
      </c>
      <c r="E109" s="88" t="str">
        <f>IFERROR(LOOKUP(2,1/(('Match Log'!$D$4:$D$1510=E$105)*('Match Log'!$C$4:$C$1510=$A109)),'Match Log'!$AB$4:$AB$1510),"")</f>
        <v/>
      </c>
      <c r="F109" s="88" t="str">
        <f>IFERROR(LOOKUP(2,1/(('Match Log'!$D$4:$D$1510=F$105)*('Match Log'!$C$4:$C$1510=$A109)),'Match Log'!$AB$4:$AB$1510),"")</f>
        <v/>
      </c>
      <c r="G109" s="88">
        <f>IFERROR(LOOKUP(2,1/(('Match Log'!$D$4:$D$1510=G$105)*('Match Log'!$C$4:$C$1510=$A109)),'Match Log'!$AB$4:$AB$1510),"")</f>
        <v>1016</v>
      </c>
      <c r="H109" s="88" t="str">
        <f>IFERROR(LOOKUP(2,1/(('Match Log'!$D$4:$D$1510=H$105)*('Match Log'!$C$4:$C$1510=$A109)),'Match Log'!$AB$4:$AB$1510),"")</f>
        <v/>
      </c>
      <c r="I109" s="88">
        <f>IFERROR(LOOKUP(2,1/(('Match Log'!$D$4:$D$1510=I$105)*('Match Log'!$C$4:$C$1510=$A109)),'Match Log'!$AB$4:$AB$1510),"")</f>
        <v>996</v>
      </c>
      <c r="J109" s="88" t="str">
        <f>IFERROR(LOOKUP(2,1/(('Match Log'!$D$4:$D$1510=J$105)*('Match Log'!$C$4:$C$1510=$A109)),'Match Log'!$AB$4:$AB$1510),"")</f>
        <v/>
      </c>
      <c r="K109" s="88" t="str">
        <f>IFERROR(LOOKUP(2,1/(('Match Log'!$D$4:$D$1510=K$105)*('Match Log'!$C$4:$C$1510=$A109)),'Match Log'!$AB$4:$AB$1510),"")</f>
        <v/>
      </c>
      <c r="L109" s="88">
        <f>IFERROR(LOOKUP(2,1/(('Match Log'!$D$4:$D$1510=L$105)*('Match Log'!$C$4:$C$1510=$A109)),'Match Log'!$AB$4:$AB$1510),"")</f>
        <v>996</v>
      </c>
      <c r="M109" s="88" t="str">
        <f>IFERROR(LOOKUP(2,1/(('Match Log'!$D$4:$D$1510=M$105)*('Match Log'!$C$4:$C$1510=$A109)),'Match Log'!$AB$4:$AB$1510),"")</f>
        <v/>
      </c>
      <c r="N109" s="88" t="str">
        <f>IFERROR(LOOKUP(2,1/(('Match Log'!$D$4:$D$1510=N$105)*('Match Log'!$C$4:$C$1510=$A109)),'Match Log'!$AB$4:$AB$1510),"")</f>
        <v/>
      </c>
      <c r="O109" s="88" t="str">
        <f>IFERROR(LOOKUP(2,1/(('Match Log'!$D$4:$D$1510=O$105)*('Match Log'!$C$4:$C$1510=$A109)),'Match Log'!$AB$4:$AB$1510),"")</f>
        <v/>
      </c>
      <c r="P109" s="85" t="str">
        <f t="shared" si="28"/>
        <v>Shawn</v>
      </c>
    </row>
    <row r="110" spans="1:19" ht="15" customHeight="1" x14ac:dyDescent="0.2">
      <c r="A110" s="82" t="s">
        <v>37</v>
      </c>
      <c r="B110" s="88" t="str">
        <f>IFERROR(LOOKUP(2,1/(('Match Log'!$D$4:$D$1510=B$105)*('Match Log'!$C$4:$C$1510=$A110)),'Match Log'!$AB$4:$AB$1510),"")</f>
        <v/>
      </c>
      <c r="C110" s="88">
        <f>IFERROR(LOOKUP(2,1/(('Match Log'!$D$4:$D$1510=C$105)*('Match Log'!$C$4:$C$1510=$A110)),'Match Log'!$AB$4:$AB$1510),"")</f>
        <v>983.42320102843655</v>
      </c>
      <c r="D110" s="88" t="str">
        <f>IFERROR(LOOKUP(2,1/(('Match Log'!$D$4:$D$1510=D$105)*('Match Log'!$C$4:$C$1510=$A110)),'Match Log'!$AB$4:$AB$1510),"")</f>
        <v/>
      </c>
      <c r="E110" s="88">
        <f>IFERROR(LOOKUP(2,1/(('Match Log'!$D$4:$D$1510=E$105)*('Match Log'!$C$4:$C$1510=$A110)),'Match Log'!$AB$4:$AB$1510),"")</f>
        <v>971.03599003187298</v>
      </c>
      <c r="F110" s="88">
        <f>IFERROR(LOOKUP(2,1/(('Match Log'!$D$4:$D$1510=F$105)*('Match Log'!$C$4:$C$1510=$A110)),'Match Log'!$AB$4:$AB$1510),"")</f>
        <v>1016.8703665756711</v>
      </c>
      <c r="G110" s="88">
        <f>IFERROR(LOOKUP(2,1/(('Match Log'!$D$4:$D$1510=G$105)*('Match Log'!$C$4:$C$1510=$A110)),'Match Log'!$AB$4:$AB$1510),"")</f>
        <v>1015.2556013117346</v>
      </c>
      <c r="H110" s="88">
        <f>IFERROR(LOOKUP(2,1/(('Match Log'!$D$4:$D$1510=H$105)*('Match Log'!$C$4:$C$1510=$A110)),'Match Log'!$AB$4:$AB$1510),"")</f>
        <v>1030.1044213761372</v>
      </c>
      <c r="I110" s="88">
        <f>IFERROR(LOOKUP(2,1/(('Match Log'!$D$4:$D$1510=I$105)*('Match Log'!$C$4:$C$1510=$A110)),'Match Log'!$AB$4:$AB$1510),"")</f>
        <v>972.65946434071009</v>
      </c>
      <c r="J110" s="88">
        <f>IFERROR(LOOKUP(2,1/(('Match Log'!$D$4:$D$1510=J$105)*('Match Log'!$C$4:$C$1510=$A110)),'Match Log'!$AB$4:$AB$1510),"")</f>
        <v>1021.8038775592277</v>
      </c>
      <c r="K110" s="88">
        <f>IFERROR(LOOKUP(2,1/(('Match Log'!$D$4:$D$1510=K$105)*('Match Log'!$C$4:$C$1510=$A110)),'Match Log'!$AB$4:$AB$1510),"")</f>
        <v>954.8704688196633</v>
      </c>
      <c r="L110" s="88">
        <f>IFERROR(LOOKUP(2,1/(('Match Log'!$D$4:$D$1510=L$105)*('Match Log'!$C$4:$C$1510=$A110)),'Match Log'!$AB$4:$AB$1510),"")</f>
        <v>1004.0463383766044</v>
      </c>
      <c r="M110" s="88">
        <f>IFERROR(LOOKUP(2,1/(('Match Log'!$D$4:$D$1510=M$105)*('Match Log'!$C$4:$C$1510=$A110)),'Match Log'!$AB$4:$AB$1510),"")</f>
        <v>1000.6363905861837</v>
      </c>
      <c r="N110" s="88">
        <f>IFERROR(LOOKUP(2,1/(('Match Log'!$D$4:$D$1510=N$105)*('Match Log'!$C$4:$C$1510=$A110)),'Match Log'!$AB$4:$AB$1510),"")</f>
        <v>1029.2938799937585</v>
      </c>
      <c r="O110" s="88" t="str">
        <f>IFERROR(LOOKUP(2,1/(('Match Log'!$D$4:$D$1510=O$105)*('Match Log'!$C$4:$C$1510=$A110)),'Match Log'!$AB$4:$AB$1510),"")</f>
        <v/>
      </c>
      <c r="P110" s="85" t="str">
        <f t="shared" si="28"/>
        <v>Simon</v>
      </c>
    </row>
    <row r="111" spans="1:19" ht="15" customHeight="1" x14ac:dyDescent="0.2">
      <c r="A111" s="82" t="s">
        <v>38</v>
      </c>
      <c r="B111" s="88">
        <f>IFERROR(LOOKUP(2,1/(('Match Log'!$D$4:$D$1510=B$105)*('Match Log'!$C$4:$C$1510=$A111)),'Match Log'!$AB$4:$AB$1510),"")</f>
        <v>1016</v>
      </c>
      <c r="C111" s="88" t="str">
        <f>IFERROR(LOOKUP(2,1/(('Match Log'!$D$4:$D$1510=C$105)*('Match Log'!$C$4:$C$1510=$A111)),'Match Log'!$AB$4:$AB$1510),"")</f>
        <v/>
      </c>
      <c r="D111" s="88">
        <f>IFERROR(LOOKUP(2,1/(('Match Log'!$D$4:$D$1510=D$105)*('Match Log'!$C$4:$C$1510=$A111)),'Match Log'!$AB$4:$AB$1510),"")</f>
        <v>997.71428571428567</v>
      </c>
      <c r="E111" s="88">
        <f>IFERROR(LOOKUP(2,1/(('Match Log'!$D$4:$D$1510=E$105)*('Match Log'!$C$4:$C$1510=$A111)),'Match Log'!$AB$4:$AB$1510),"")</f>
        <v>997.71428571428567</v>
      </c>
      <c r="F111" s="88">
        <f>IFERROR(LOOKUP(2,1/(('Match Log'!$D$4:$D$1510=F$105)*('Match Log'!$C$4:$C$1510=$A111)),'Match Log'!$AB$4:$AB$1510),"")</f>
        <v>997.71428571428567</v>
      </c>
      <c r="G111" s="88">
        <f>IFERROR(LOOKUP(2,1/(('Match Log'!$D$4:$D$1510=G$105)*('Match Log'!$C$4:$C$1510=$A111)),'Match Log'!$AB$4:$AB$1510),"")</f>
        <v>997.71428571428567</v>
      </c>
      <c r="H111" s="88">
        <f>IFERROR(LOOKUP(2,1/(('Match Log'!$D$4:$D$1510=H$105)*('Match Log'!$C$4:$C$1510=$A111)),'Match Log'!$AB$4:$AB$1510),"")</f>
        <v>997.71428571428567</v>
      </c>
      <c r="I111" s="88">
        <f>IFERROR(LOOKUP(2,1/(('Match Log'!$D$4:$D$1510=I$105)*('Match Log'!$C$4:$C$1510=$A111)),'Match Log'!$AB$4:$AB$1510),"")</f>
        <v>997.71428571428567</v>
      </c>
      <c r="J111" s="88" t="str">
        <f>IFERROR(LOOKUP(2,1/(('Match Log'!$D$4:$D$1510=J$105)*('Match Log'!$C$4:$C$1510=$A111)),'Match Log'!$AB$4:$AB$1510),"")</f>
        <v/>
      </c>
      <c r="K111" s="88" t="str">
        <f>IFERROR(LOOKUP(2,1/(('Match Log'!$D$4:$D$1510=K$105)*('Match Log'!$C$4:$C$1510=$A111)),'Match Log'!$AB$4:$AB$1510),"")</f>
        <v/>
      </c>
      <c r="L111" s="88">
        <f>IFERROR(LOOKUP(2,1/(('Match Log'!$D$4:$D$1510=L$105)*('Match Log'!$C$4:$C$1510=$A111)),'Match Log'!$AB$4:$AB$1510),"")</f>
        <v>997.71428571428567</v>
      </c>
      <c r="M111" s="88" t="str">
        <f>IFERROR(LOOKUP(2,1/(('Match Log'!$D$4:$D$1510=M$105)*('Match Log'!$C$4:$C$1510=$A111)),'Match Log'!$AB$4:$AB$1510),"")</f>
        <v/>
      </c>
      <c r="N111" s="88" t="str">
        <f>IFERROR(LOOKUP(2,1/(('Match Log'!$D$4:$D$1510=N$105)*('Match Log'!$C$4:$C$1510=$A111)),'Match Log'!$AB$4:$AB$1510),"")</f>
        <v/>
      </c>
      <c r="O111" s="88" t="str">
        <f>IFERROR(LOOKUP(2,1/(('Match Log'!$D$4:$D$1510=O$105)*('Match Log'!$C$4:$C$1510=$A111)),'Match Log'!$AB$4:$AB$1510),"")</f>
        <v/>
      </c>
      <c r="P111" s="85" t="str">
        <f t="shared" si="28"/>
        <v>Aaron</v>
      </c>
    </row>
    <row r="112" spans="1:19" ht="15" customHeight="1" x14ac:dyDescent="0.2">
      <c r="A112" s="82" t="s">
        <v>39</v>
      </c>
      <c r="B112" s="88" t="str">
        <f>IFERROR(LOOKUP(2,1/(('Match Log'!$D$4:$D$1510=B$105)*('Match Log'!$C$4:$C$1510=$A112)),'Match Log'!$AB$4:$AB$1510),"")</f>
        <v/>
      </c>
      <c r="C112" s="88" t="str">
        <f>IFERROR(LOOKUP(2,1/(('Match Log'!$D$4:$D$1510=C$105)*('Match Log'!$C$4:$C$1510=$A112)),'Match Log'!$AB$4:$AB$1510),"")</f>
        <v/>
      </c>
      <c r="D112" s="88" t="str">
        <f>IFERROR(LOOKUP(2,1/(('Match Log'!$D$4:$D$1510=D$105)*('Match Log'!$C$4:$C$1510=$A112)),'Match Log'!$AB$4:$AB$1510),"")</f>
        <v/>
      </c>
      <c r="E112" s="88" t="str">
        <f>IFERROR(LOOKUP(2,1/(('Match Log'!$D$4:$D$1510=E$105)*('Match Log'!$C$4:$C$1510=$A112)),'Match Log'!$AB$4:$AB$1510),"")</f>
        <v/>
      </c>
      <c r="F112" s="88" t="str">
        <f>IFERROR(LOOKUP(2,1/(('Match Log'!$D$4:$D$1510=F$105)*('Match Log'!$C$4:$C$1510=$A112)),'Match Log'!$AB$4:$AB$1510),"")</f>
        <v/>
      </c>
      <c r="G112" s="88" t="str">
        <f>IFERROR(LOOKUP(2,1/(('Match Log'!$D$4:$D$1510=G$105)*('Match Log'!$C$4:$C$1510=$A112)),'Match Log'!$AB$4:$AB$1510),"")</f>
        <v/>
      </c>
      <c r="H112" s="88" t="str">
        <f>IFERROR(LOOKUP(2,1/(('Match Log'!$D$4:$D$1510=H$105)*('Match Log'!$C$4:$C$1510=$A112)),'Match Log'!$AB$4:$AB$1510),"")</f>
        <v/>
      </c>
      <c r="I112" s="88" t="str">
        <f>IFERROR(LOOKUP(2,1/(('Match Log'!$D$4:$D$1510=I$105)*('Match Log'!$C$4:$C$1510=$A112)),'Match Log'!$AB$4:$AB$1510),"")</f>
        <v/>
      </c>
      <c r="J112" s="88" t="str">
        <f>IFERROR(LOOKUP(2,1/(('Match Log'!$D$4:$D$1510=J$105)*('Match Log'!$C$4:$C$1510=$A112)),'Match Log'!$AB$4:$AB$1510),"")</f>
        <v/>
      </c>
      <c r="K112" s="88" t="str">
        <f>IFERROR(LOOKUP(2,1/(('Match Log'!$D$4:$D$1510=K$105)*('Match Log'!$C$4:$C$1510=$A112)),'Match Log'!$AB$4:$AB$1510),"")</f>
        <v/>
      </c>
      <c r="L112" s="88" t="str">
        <f>IFERROR(LOOKUP(2,1/(('Match Log'!$D$4:$D$1510=L$105)*('Match Log'!$C$4:$C$1510=$A112)),'Match Log'!$AB$4:$AB$1510),"")</f>
        <v/>
      </c>
      <c r="M112" s="88" t="str">
        <f>IFERROR(LOOKUP(2,1/(('Match Log'!$D$4:$D$1510=M$105)*('Match Log'!$C$4:$C$1510=$A112)),'Match Log'!$AB$4:$AB$1510),"")</f>
        <v/>
      </c>
      <c r="N112" s="88" t="str">
        <f>IFERROR(LOOKUP(2,1/(('Match Log'!$D$4:$D$1510=N$105)*('Match Log'!$C$4:$C$1510=$A112)),'Match Log'!$AB$4:$AB$1510),"")</f>
        <v/>
      </c>
      <c r="O112" s="88" t="str">
        <f>IFERROR(LOOKUP(2,1/(('Match Log'!$D$4:$D$1510=O$105)*('Match Log'!$C$4:$C$1510=$A112)),'Match Log'!$AB$4:$AB$1510),"")</f>
        <v/>
      </c>
      <c r="P112" s="85" t="str">
        <f t="shared" si="28"/>
        <v>—</v>
      </c>
    </row>
    <row r="113" spans="1:16" ht="15" customHeight="1" x14ac:dyDescent="0.2">
      <c r="A113" s="82" t="s">
        <v>40</v>
      </c>
      <c r="B113" s="88" t="str">
        <f>IFERROR(LOOKUP(2,1/(('Match Log'!$D$4:$D$1510=B$105)*('Match Log'!$C$4:$C$1510=$A113)),'Match Log'!$AB$4:$AB$1510),"")</f>
        <v/>
      </c>
      <c r="C113" s="88" t="str">
        <f>IFERROR(LOOKUP(2,1/(('Match Log'!$D$4:$D$1510=C$105)*('Match Log'!$C$4:$C$1510=$A113)),'Match Log'!$AB$4:$AB$1510),"")</f>
        <v/>
      </c>
      <c r="D113" s="88" t="str">
        <f>IFERROR(LOOKUP(2,1/(('Match Log'!$D$4:$D$1510=D$105)*('Match Log'!$C$4:$C$1510=$A113)),'Match Log'!$AB$4:$AB$1510),"")</f>
        <v/>
      </c>
      <c r="E113" s="88" t="str">
        <f>IFERROR(LOOKUP(2,1/(('Match Log'!$D$4:$D$1510=E$105)*('Match Log'!$C$4:$C$1510=$A113)),'Match Log'!$AB$4:$AB$1510),"")</f>
        <v/>
      </c>
      <c r="F113" s="88" t="str">
        <f>IFERROR(LOOKUP(2,1/(('Match Log'!$D$4:$D$1510=F$105)*('Match Log'!$C$4:$C$1510=$A113)),'Match Log'!$AB$4:$AB$1510),"")</f>
        <v/>
      </c>
      <c r="G113" s="88" t="str">
        <f>IFERROR(LOOKUP(2,1/(('Match Log'!$D$4:$D$1510=G$105)*('Match Log'!$C$4:$C$1510=$A113)),'Match Log'!$AB$4:$AB$1510),"")</f>
        <v/>
      </c>
      <c r="H113" s="88" t="str">
        <f>IFERROR(LOOKUP(2,1/(('Match Log'!$D$4:$D$1510=H$105)*('Match Log'!$C$4:$C$1510=$A113)),'Match Log'!$AB$4:$AB$1510),"")</f>
        <v/>
      </c>
      <c r="I113" s="88" t="str">
        <f>IFERROR(LOOKUP(2,1/(('Match Log'!$D$4:$D$1510=I$105)*('Match Log'!$C$4:$C$1510=$A113)),'Match Log'!$AB$4:$AB$1510),"")</f>
        <v/>
      </c>
      <c r="J113" s="88" t="str">
        <f>IFERROR(LOOKUP(2,1/(('Match Log'!$D$4:$D$1510=J$105)*('Match Log'!$C$4:$C$1510=$A113)),'Match Log'!$AB$4:$AB$1510),"")</f>
        <v/>
      </c>
      <c r="K113" s="88" t="str">
        <f>IFERROR(LOOKUP(2,1/(('Match Log'!$D$4:$D$1510=K$105)*('Match Log'!$C$4:$C$1510=$A113)),'Match Log'!$AB$4:$AB$1510),"")</f>
        <v/>
      </c>
      <c r="L113" s="88" t="str">
        <f>IFERROR(LOOKUP(2,1/(('Match Log'!$D$4:$D$1510=L$105)*('Match Log'!$C$4:$C$1510=$A113)),'Match Log'!$AB$4:$AB$1510),"")</f>
        <v/>
      </c>
      <c r="M113" s="88" t="str">
        <f>IFERROR(LOOKUP(2,1/(('Match Log'!$D$4:$D$1510=M$105)*('Match Log'!$C$4:$C$1510=$A113)),'Match Log'!$AB$4:$AB$1510),"")</f>
        <v/>
      </c>
      <c r="N113" s="88" t="str">
        <f>IFERROR(LOOKUP(2,1/(('Match Log'!$D$4:$D$1510=N$105)*('Match Log'!$C$4:$C$1510=$A113)),'Match Log'!$AB$4:$AB$1510),"")</f>
        <v/>
      </c>
      <c r="O113" s="88" t="str">
        <f>IFERROR(LOOKUP(2,1/(('Match Log'!$D$4:$D$1510=O$105)*('Match Log'!$C$4:$C$1510=$A113)),'Match Log'!$AB$4:$AB$1510),"")</f>
        <v/>
      </c>
      <c r="P113" s="85" t="str">
        <f t="shared" si="28"/>
        <v>—</v>
      </c>
    </row>
    <row r="114" spans="1:16" ht="15" customHeight="1" x14ac:dyDescent="0.2">
      <c r="A114" s="82" t="s">
        <v>41</v>
      </c>
      <c r="B114" s="88">
        <f>IFERROR(LOOKUP(2,1/(('Match Log'!$D$4:$D$1510=B$105)*('Match Log'!$C$4:$C$1510=$A114)),'Match Log'!$AB$4:$AB$1510),"")</f>
        <v>986.73639095472629</v>
      </c>
      <c r="C114" s="88" t="str">
        <f>IFERROR(LOOKUP(2,1/(('Match Log'!$D$4:$D$1510=C$105)*('Match Log'!$C$4:$C$1510=$A114)),'Match Log'!$AB$4:$AB$1510),"")</f>
        <v/>
      </c>
      <c r="D114" s="88" t="str">
        <f>IFERROR(LOOKUP(2,1/(('Match Log'!$D$4:$D$1510=D$105)*('Match Log'!$C$4:$C$1510=$A114)),'Match Log'!$AB$4:$AB$1510),"")</f>
        <v/>
      </c>
      <c r="E114" s="88">
        <f>IFERROR(LOOKUP(2,1/(('Match Log'!$D$4:$D$1510=E$105)*('Match Log'!$C$4:$C$1510=$A114)),'Match Log'!$AB$4:$AB$1510),"")</f>
        <v>991.81582574051538</v>
      </c>
      <c r="F114" s="88">
        <f>IFERROR(LOOKUP(2,1/(('Match Log'!$D$4:$D$1510=F$105)*('Match Log'!$C$4:$C$1510=$A114)),'Match Log'!$AB$4:$AB$1510),"")</f>
        <v>1031.2636932064779</v>
      </c>
      <c r="G114" s="88">
        <f>IFERROR(LOOKUP(2,1/(('Match Log'!$D$4:$D$1510=G$105)*('Match Log'!$C$4:$C$1510=$A114)),'Match Log'!$AB$4:$AB$1510),"")</f>
        <v>1023.5011654330204</v>
      </c>
      <c r="H114" s="88" t="str">
        <f>IFERROR(LOOKUP(2,1/(('Match Log'!$D$4:$D$1510=H$105)*('Match Log'!$C$4:$C$1510=$A114)),'Match Log'!$AB$4:$AB$1510),"")</f>
        <v/>
      </c>
      <c r="I114" s="88">
        <f>IFERROR(LOOKUP(2,1/(('Match Log'!$D$4:$D$1510=I$105)*('Match Log'!$C$4:$C$1510=$A114)),'Match Log'!$AB$4:$AB$1510),"")</f>
        <v>979.76518029401473</v>
      </c>
      <c r="J114" s="88" t="str">
        <f>IFERROR(LOOKUP(2,1/(('Match Log'!$D$4:$D$1510=J$105)*('Match Log'!$C$4:$C$1510=$A114)),'Match Log'!$AB$4:$AB$1510),"")</f>
        <v/>
      </c>
      <c r="K114" s="88" t="str">
        <f>IFERROR(LOOKUP(2,1/(('Match Log'!$D$4:$D$1510=K$105)*('Match Log'!$C$4:$C$1510=$A114)),'Match Log'!$AB$4:$AB$1510),"")</f>
        <v/>
      </c>
      <c r="L114" s="88">
        <f>IFERROR(LOOKUP(2,1/(('Match Log'!$D$4:$D$1510=L$105)*('Match Log'!$C$4:$C$1510=$A114)),'Match Log'!$AB$4:$AB$1510),"")</f>
        <v>986.91774437124525</v>
      </c>
      <c r="M114" s="88" t="str">
        <f>IFERROR(LOOKUP(2,1/(('Match Log'!$D$4:$D$1510=M$105)*('Match Log'!$C$4:$C$1510=$A114)),'Match Log'!$AB$4:$AB$1510),"")</f>
        <v/>
      </c>
      <c r="N114" s="88" t="str">
        <f>IFERROR(LOOKUP(2,1/(('Match Log'!$D$4:$D$1510=N$105)*('Match Log'!$C$4:$C$1510=$A114)),'Match Log'!$AB$4:$AB$1510),"")</f>
        <v/>
      </c>
      <c r="O114" s="88" t="str">
        <f>IFERROR(LOOKUP(2,1/(('Match Log'!$D$4:$D$1510=O$105)*('Match Log'!$C$4:$C$1510=$A114)),'Match Log'!$AB$4:$AB$1510),"")</f>
        <v/>
      </c>
      <c r="P114" s="85" t="str">
        <f t="shared" si="28"/>
        <v>Josh</v>
      </c>
    </row>
    <row r="115" spans="1:16" ht="15" customHeight="1" x14ac:dyDescent="0.2">
      <c r="A115" s="82" t="s">
        <v>42</v>
      </c>
      <c r="B115" s="88" t="str">
        <f>IFERROR(LOOKUP(2,1/(('Match Log'!$D$4:$D$1510=B$105)*('Match Log'!$C$4:$C$1510=$A115)),'Match Log'!$AB$4:$AB$1510),"")</f>
        <v/>
      </c>
      <c r="C115" s="88" t="str">
        <f>IFERROR(LOOKUP(2,1/(('Match Log'!$D$4:$D$1510=C$105)*('Match Log'!$C$4:$C$1510=$A115)),'Match Log'!$AB$4:$AB$1510),"")</f>
        <v/>
      </c>
      <c r="D115" s="88" t="str">
        <f>IFERROR(LOOKUP(2,1/(('Match Log'!$D$4:$D$1510=D$105)*('Match Log'!$C$4:$C$1510=$A115)),'Match Log'!$AB$4:$AB$1510),"")</f>
        <v/>
      </c>
      <c r="E115" s="88" t="str">
        <f>IFERROR(LOOKUP(2,1/(('Match Log'!$D$4:$D$1510=E$105)*('Match Log'!$C$4:$C$1510=$A115)),'Match Log'!$AB$4:$AB$1510),"")</f>
        <v/>
      </c>
      <c r="F115" s="88" t="str">
        <f>IFERROR(LOOKUP(2,1/(('Match Log'!$D$4:$D$1510=F$105)*('Match Log'!$C$4:$C$1510=$A115)),'Match Log'!$AB$4:$AB$1510),"")</f>
        <v/>
      </c>
      <c r="G115" s="88">
        <f>IFERROR(LOOKUP(2,1/(('Match Log'!$D$4:$D$1510=G$105)*('Match Log'!$C$4:$C$1510=$A115)),'Match Log'!$AB$4:$AB$1510),"")</f>
        <v>978.61089783350269</v>
      </c>
      <c r="H115" s="88">
        <f>IFERROR(LOOKUP(2,1/(('Match Log'!$D$4:$D$1510=H$105)*('Match Log'!$C$4:$C$1510=$A115)),'Match Log'!$AB$4:$AB$1510),"")</f>
        <v>1064.1847667071054</v>
      </c>
      <c r="I115" s="88" t="str">
        <f>IFERROR(LOOKUP(2,1/(('Match Log'!$D$4:$D$1510=I$105)*('Match Log'!$C$4:$C$1510=$A115)),'Match Log'!$AB$4:$AB$1510),"")</f>
        <v/>
      </c>
      <c r="J115" s="88" t="str">
        <f>IFERROR(LOOKUP(2,1/(('Match Log'!$D$4:$D$1510=J$105)*('Match Log'!$C$4:$C$1510=$A115)),'Match Log'!$AB$4:$AB$1510),"")</f>
        <v/>
      </c>
      <c r="K115" s="88" t="str">
        <f>IFERROR(LOOKUP(2,1/(('Match Log'!$D$4:$D$1510=K$105)*('Match Log'!$C$4:$C$1510=$A115)),'Match Log'!$AB$4:$AB$1510),"")</f>
        <v/>
      </c>
      <c r="L115" s="88">
        <f>IFERROR(LOOKUP(2,1/(('Match Log'!$D$4:$D$1510=L$105)*('Match Log'!$C$4:$C$1510=$A115)),'Match Log'!$AB$4:$AB$1510),"")</f>
        <v>957.20433545939204</v>
      </c>
      <c r="M115" s="88" t="str">
        <f>IFERROR(LOOKUP(2,1/(('Match Log'!$D$4:$D$1510=M$105)*('Match Log'!$C$4:$C$1510=$A115)),'Match Log'!$AB$4:$AB$1510),"")</f>
        <v/>
      </c>
      <c r="N115" s="88" t="str">
        <f>IFERROR(LOOKUP(2,1/(('Match Log'!$D$4:$D$1510=N$105)*('Match Log'!$C$4:$C$1510=$A115)),'Match Log'!$AB$4:$AB$1510),"")</f>
        <v/>
      </c>
      <c r="O115" s="88" t="str">
        <f>IFERROR(LOOKUP(2,1/(('Match Log'!$D$4:$D$1510=O$105)*('Match Log'!$C$4:$C$1510=$A115)),'Match Log'!$AB$4:$AB$1510),"")</f>
        <v/>
      </c>
      <c r="P115" s="85" t="str">
        <f t="shared" si="28"/>
        <v>Simon</v>
      </c>
    </row>
    <row r="116" spans="1:16" ht="15" customHeight="1" x14ac:dyDescent="0.2">
      <c r="A116" s="82" t="s">
        <v>43</v>
      </c>
      <c r="B116" s="88" t="str">
        <f>IFERROR(LOOKUP(2,1/(('Match Log'!$D$4:$D$1510=B$105)*('Match Log'!$C$4:$C$1510=$A116)),'Match Log'!$AB$4:$AB$1510),"")</f>
        <v/>
      </c>
      <c r="C116" s="88" t="str">
        <f>IFERROR(LOOKUP(2,1/(('Match Log'!$D$4:$D$1510=C$105)*('Match Log'!$C$4:$C$1510=$A116)),'Match Log'!$AB$4:$AB$1510),"")</f>
        <v/>
      </c>
      <c r="D116" s="88" t="str">
        <f>IFERROR(LOOKUP(2,1/(('Match Log'!$D$4:$D$1510=D$105)*('Match Log'!$C$4:$C$1510=$A116)),'Match Log'!$AB$4:$AB$1510),"")</f>
        <v/>
      </c>
      <c r="E116" s="88" t="str">
        <f>IFERROR(LOOKUP(2,1/(('Match Log'!$D$4:$D$1510=E$105)*('Match Log'!$C$4:$C$1510=$A116)),'Match Log'!$AB$4:$AB$1510),"")</f>
        <v/>
      </c>
      <c r="F116" s="88" t="str">
        <f>IFERROR(LOOKUP(2,1/(('Match Log'!$D$4:$D$1510=F$105)*('Match Log'!$C$4:$C$1510=$A116)),'Match Log'!$AB$4:$AB$1510),"")</f>
        <v/>
      </c>
      <c r="G116" s="88" t="str">
        <f>IFERROR(LOOKUP(2,1/(('Match Log'!$D$4:$D$1510=G$105)*('Match Log'!$C$4:$C$1510=$A116)),'Match Log'!$AB$4:$AB$1510),"")</f>
        <v/>
      </c>
      <c r="H116" s="88" t="str">
        <f>IFERROR(LOOKUP(2,1/(('Match Log'!$D$4:$D$1510=H$105)*('Match Log'!$C$4:$C$1510=$A116)),'Match Log'!$AB$4:$AB$1510),"")</f>
        <v/>
      </c>
      <c r="I116" s="88" t="str">
        <f>IFERROR(LOOKUP(2,1/(('Match Log'!$D$4:$D$1510=I$105)*('Match Log'!$C$4:$C$1510=$A116)),'Match Log'!$AB$4:$AB$1510),"")</f>
        <v/>
      </c>
      <c r="J116" s="88" t="str">
        <f>IFERROR(LOOKUP(2,1/(('Match Log'!$D$4:$D$1510=J$105)*('Match Log'!$C$4:$C$1510=$A116)),'Match Log'!$AB$4:$AB$1510),"")</f>
        <v/>
      </c>
      <c r="K116" s="88" t="str">
        <f>IFERROR(LOOKUP(2,1/(('Match Log'!$D$4:$D$1510=K$105)*('Match Log'!$C$4:$C$1510=$A116)),'Match Log'!$AB$4:$AB$1510),"")</f>
        <v/>
      </c>
      <c r="L116" s="88" t="str">
        <f>IFERROR(LOOKUP(2,1/(('Match Log'!$D$4:$D$1510=L$105)*('Match Log'!$C$4:$C$1510=$A116)),'Match Log'!$AB$4:$AB$1510),"")</f>
        <v/>
      </c>
      <c r="M116" s="88" t="str">
        <f>IFERROR(LOOKUP(2,1/(('Match Log'!$D$4:$D$1510=M$105)*('Match Log'!$C$4:$C$1510=$A116)),'Match Log'!$AB$4:$AB$1510),"")</f>
        <v/>
      </c>
      <c r="N116" s="88" t="str">
        <f>IFERROR(LOOKUP(2,1/(('Match Log'!$D$4:$D$1510=N$105)*('Match Log'!$C$4:$C$1510=$A116)),'Match Log'!$AB$4:$AB$1510),"")</f>
        <v/>
      </c>
      <c r="O116" s="88" t="str">
        <f>IFERROR(LOOKUP(2,1/(('Match Log'!$D$4:$D$1510=O$105)*('Match Log'!$C$4:$C$1510=$A116)),'Match Log'!$AB$4:$AB$1510),"")</f>
        <v/>
      </c>
      <c r="P116" s="85" t="str">
        <f t="shared" si="28"/>
        <v>—</v>
      </c>
    </row>
    <row r="117" spans="1:16" ht="15" customHeight="1" x14ac:dyDescent="0.2">
      <c r="A117" s="82" t="s">
        <v>44</v>
      </c>
      <c r="B117" s="88">
        <f>IFERROR(LOOKUP(2,1/(('Match Log'!$D$4:$D$1510=B$105)*('Match Log'!$C$4:$C$1510=$A117)),'Match Log'!$AB$4:$AB$1510),"")</f>
        <v>1068.3806900409925</v>
      </c>
      <c r="C117" s="88">
        <f>IFERROR(LOOKUP(2,1/(('Match Log'!$D$4:$D$1510=C$105)*('Match Log'!$C$4:$C$1510=$A117)),'Match Log'!$AB$4:$AB$1510),"")</f>
        <v>984.84959931593869</v>
      </c>
      <c r="D117" s="88" t="str">
        <f>IFERROR(LOOKUP(2,1/(('Match Log'!$D$4:$D$1510=D$105)*('Match Log'!$C$4:$C$1510=$A117)),'Match Log'!$AB$4:$AB$1510),"")</f>
        <v/>
      </c>
      <c r="E117" s="88">
        <f>IFERROR(LOOKUP(2,1/(('Match Log'!$D$4:$D$1510=E$105)*('Match Log'!$C$4:$C$1510=$A117)),'Match Log'!$AB$4:$AB$1510),"")</f>
        <v>908.91061237526969</v>
      </c>
      <c r="F117" s="88">
        <f>IFERROR(LOOKUP(2,1/(('Match Log'!$D$4:$D$1510=F$105)*('Match Log'!$C$4:$C$1510=$A117)),'Match Log'!$AB$4:$AB$1510),"")</f>
        <v>1109.0218511200758</v>
      </c>
      <c r="G117" s="88">
        <f>IFERROR(LOOKUP(2,1/(('Match Log'!$D$4:$D$1510=G$105)*('Match Log'!$C$4:$C$1510=$A117)),'Match Log'!$AB$4:$AB$1510),"")</f>
        <v>1119.0699268330097</v>
      </c>
      <c r="H117" s="88">
        <f>IFERROR(LOOKUP(2,1/(('Match Log'!$D$4:$D$1510=H$105)*('Match Log'!$C$4:$C$1510=$A117)),'Match Log'!$AB$4:$AB$1510),"")</f>
        <v>1005.6063630406824</v>
      </c>
      <c r="I117" s="88">
        <f>IFERROR(LOOKUP(2,1/(('Match Log'!$D$4:$D$1510=I$105)*('Match Log'!$C$4:$C$1510=$A117)),'Match Log'!$AB$4:$AB$1510),"")</f>
        <v>901.21134043896427</v>
      </c>
      <c r="J117" s="88">
        <f>IFERROR(LOOKUP(2,1/(('Match Log'!$D$4:$D$1510=J$105)*('Match Log'!$C$4:$C$1510=$A117)),'Match Log'!$AB$4:$AB$1510),"")</f>
        <v>1050.2932737901342</v>
      </c>
      <c r="K117" s="88">
        <f>IFERROR(LOOKUP(2,1/(('Match Log'!$D$4:$D$1510=K$105)*('Match Log'!$C$4:$C$1510=$A117)),'Match Log'!$AB$4:$AB$1510),"")</f>
        <v>930.59858869041068</v>
      </c>
      <c r="L117" s="88">
        <f>IFERROR(LOOKUP(2,1/(('Match Log'!$D$4:$D$1510=L$105)*('Match Log'!$C$4:$C$1510=$A117)),'Match Log'!$AB$4:$AB$1510),"")</f>
        <v>922.05775435452233</v>
      </c>
      <c r="M117" s="88" t="str">
        <f>IFERROR(LOOKUP(2,1/(('Match Log'!$D$4:$D$1510=M$105)*('Match Log'!$C$4:$C$1510=$A117)),'Match Log'!$AB$4:$AB$1510),"")</f>
        <v/>
      </c>
      <c r="N117" s="88" t="str">
        <f>IFERROR(LOOKUP(2,1/(('Match Log'!$D$4:$D$1510=N$105)*('Match Log'!$C$4:$C$1510=$A117)),'Match Log'!$AB$4:$AB$1510),"")</f>
        <v/>
      </c>
      <c r="O117" s="88" t="str">
        <f>IFERROR(LOOKUP(2,1/(('Match Log'!$D$4:$D$1510=O$105)*('Match Log'!$C$4:$C$1510=$A117)),'Match Log'!$AB$4:$AB$1510),"")</f>
        <v/>
      </c>
      <c r="P117" s="85" t="str">
        <f t="shared" si="28"/>
        <v>Shawn</v>
      </c>
    </row>
    <row r="118" spans="1:16" ht="15" customHeight="1" x14ac:dyDescent="0.2">
      <c r="A118" s="82" t="s">
        <v>9</v>
      </c>
      <c r="B118" s="88">
        <f>IFERROR(LOOKUP(2,1/(('Match Log'!$D$4:$D$1510=B$105)*('Match Log'!$C$4:$C$1510=$A118)),'Match Log'!$AB$4:$AB$1510),"")</f>
        <v>972.31321829488218</v>
      </c>
      <c r="C118" s="88" t="str">
        <f>IFERROR(LOOKUP(2,1/(('Match Log'!$D$4:$D$1510=C$105)*('Match Log'!$C$4:$C$1510=$A118)),'Match Log'!$AB$4:$AB$1510),"")</f>
        <v/>
      </c>
      <c r="D118" s="88" t="str">
        <f>IFERROR(LOOKUP(2,1/(('Match Log'!$D$4:$D$1510=D$105)*('Match Log'!$C$4:$C$1510=$A118)),'Match Log'!$AB$4:$AB$1510),"")</f>
        <v/>
      </c>
      <c r="E118" s="88" t="str">
        <f>IFERROR(LOOKUP(2,1/(('Match Log'!$D$4:$D$1510=E$105)*('Match Log'!$C$4:$C$1510=$A118)),'Match Log'!$AB$4:$AB$1510),"")</f>
        <v/>
      </c>
      <c r="F118" s="88">
        <f>IFERROR(LOOKUP(2,1/(('Match Log'!$D$4:$D$1510=F$105)*('Match Log'!$C$4:$C$1510=$A118)),'Match Log'!$AB$4:$AB$1510),"")</f>
        <v>985.41909823644232</v>
      </c>
      <c r="G118" s="88">
        <f>IFERROR(LOOKUP(2,1/(('Match Log'!$D$4:$D$1510=G$105)*('Match Log'!$C$4:$C$1510=$A118)),'Match Log'!$AB$4:$AB$1510),"")</f>
        <v>991.08057844368182</v>
      </c>
      <c r="H118" s="88" t="str">
        <f>IFERROR(LOOKUP(2,1/(('Match Log'!$D$4:$D$1510=H$105)*('Match Log'!$C$4:$C$1510=$A118)),'Match Log'!$AB$4:$AB$1510),"")</f>
        <v/>
      </c>
      <c r="I118" s="88">
        <f>IFERROR(LOOKUP(2,1/(('Match Log'!$D$4:$D$1510=I$105)*('Match Log'!$C$4:$C$1510=$A118)),'Match Log'!$AB$4:$AB$1510),"")</f>
        <v>1050.6407052513002</v>
      </c>
      <c r="J118" s="88" t="str">
        <f>IFERROR(LOOKUP(2,1/(('Match Log'!$D$4:$D$1510=J$105)*('Match Log'!$C$4:$C$1510=$A118)),'Match Log'!$AB$4:$AB$1510),"")</f>
        <v/>
      </c>
      <c r="K118" s="88" t="str">
        <f>IFERROR(LOOKUP(2,1/(('Match Log'!$D$4:$D$1510=K$105)*('Match Log'!$C$4:$C$1510=$A118)),'Match Log'!$AB$4:$AB$1510),"")</f>
        <v/>
      </c>
      <c r="L118" s="88">
        <f>IFERROR(LOOKUP(2,1/(('Match Log'!$D$4:$D$1510=L$105)*('Match Log'!$C$4:$C$1510=$A118)),'Match Log'!$AB$4:$AB$1510),"")</f>
        <v>1000.5463997736937</v>
      </c>
      <c r="M118" s="88" t="str">
        <f>IFERROR(LOOKUP(2,1/(('Match Log'!$D$4:$D$1510=M$105)*('Match Log'!$C$4:$C$1510=$A118)),'Match Log'!$AB$4:$AB$1510),"")</f>
        <v/>
      </c>
      <c r="N118" s="88" t="str">
        <f>IFERROR(LOOKUP(2,1/(('Match Log'!$D$4:$D$1510=N$105)*('Match Log'!$C$4:$C$1510=$A118)),'Match Log'!$AB$4:$AB$1510),"")</f>
        <v/>
      </c>
      <c r="O118" s="88" t="str">
        <f>IFERROR(LOOKUP(2,1/(('Match Log'!$D$4:$D$1510=O$105)*('Match Log'!$C$4:$C$1510=$A118)),'Match Log'!$AB$4:$AB$1510),"")</f>
        <v/>
      </c>
      <c r="P118" s="85" t="str">
        <f t="shared" si="28"/>
        <v>Daniel (Ferret)</v>
      </c>
    </row>
    <row r="119" spans="1:16" ht="15" customHeight="1" x14ac:dyDescent="0.2">
      <c r="A119" s="82" t="s">
        <v>45</v>
      </c>
      <c r="B119" s="88">
        <f>IFERROR(LOOKUP(2,1/(('Match Log'!$D$4:$D$1510=B$105)*('Match Log'!$C$4:$C$1510=$A119)),'Match Log'!$AB$4:$AB$1510),"")</f>
        <v>1041.6980478866124</v>
      </c>
      <c r="C119" s="88" t="str">
        <f>IFERROR(LOOKUP(2,1/(('Match Log'!$D$4:$D$1510=C$105)*('Match Log'!$C$4:$C$1510=$A119)),'Match Log'!$AB$4:$AB$1510),"")</f>
        <v/>
      </c>
      <c r="D119" s="88">
        <f>IFERROR(LOOKUP(2,1/(('Match Log'!$D$4:$D$1510=D$105)*('Match Log'!$C$4:$C$1510=$A119)),'Match Log'!$AB$4:$AB$1510),"")</f>
        <v>1015.2112453903334</v>
      </c>
      <c r="E119" s="88" t="str">
        <f>IFERROR(LOOKUP(2,1/(('Match Log'!$D$4:$D$1510=E$105)*('Match Log'!$C$4:$C$1510=$A119)),'Match Log'!$AB$4:$AB$1510),"")</f>
        <v/>
      </c>
      <c r="F119" s="88">
        <f>IFERROR(LOOKUP(2,1/(('Match Log'!$D$4:$D$1510=F$105)*('Match Log'!$C$4:$C$1510=$A119)),'Match Log'!$AB$4:$AB$1510),"")</f>
        <v>1055.4776164286188</v>
      </c>
      <c r="G119" s="88">
        <f>IFERROR(LOOKUP(2,1/(('Match Log'!$D$4:$D$1510=G$105)*('Match Log'!$C$4:$C$1510=$A119)),'Match Log'!$AB$4:$AB$1510),"")</f>
        <v>862.9705950891248</v>
      </c>
      <c r="H119" s="88">
        <f>IFERROR(LOOKUP(2,1/(('Match Log'!$D$4:$D$1510=H$105)*('Match Log'!$C$4:$C$1510=$A119)),'Match Log'!$AB$4:$AB$1510),"")</f>
        <v>994.66666666666663</v>
      </c>
      <c r="I119" s="88">
        <f>IFERROR(LOOKUP(2,1/(('Match Log'!$D$4:$D$1510=I$105)*('Match Log'!$C$4:$C$1510=$A119)),'Match Log'!$AB$4:$AB$1510),"")</f>
        <v>985.16234453768709</v>
      </c>
      <c r="J119" s="88" t="str">
        <f>IFERROR(LOOKUP(2,1/(('Match Log'!$D$4:$D$1510=J$105)*('Match Log'!$C$4:$C$1510=$A119)),'Match Log'!$AB$4:$AB$1510),"")</f>
        <v/>
      </c>
      <c r="K119" s="88" t="str">
        <f>IFERROR(LOOKUP(2,1/(('Match Log'!$D$4:$D$1510=K$105)*('Match Log'!$C$4:$C$1510=$A119)),'Match Log'!$AB$4:$AB$1510),"")</f>
        <v/>
      </c>
      <c r="L119" s="88">
        <f>IFERROR(LOOKUP(2,1/(('Match Log'!$D$4:$D$1510=L$105)*('Match Log'!$C$4:$C$1510=$A119)),'Match Log'!$AB$4:$AB$1510),"")</f>
        <v>1044.8134840009573</v>
      </c>
      <c r="M119" s="88" t="str">
        <f>IFERROR(LOOKUP(2,1/(('Match Log'!$D$4:$D$1510=M$105)*('Match Log'!$C$4:$C$1510=$A119)),'Match Log'!$AB$4:$AB$1510),"")</f>
        <v/>
      </c>
      <c r="N119" s="88" t="str">
        <f>IFERROR(LOOKUP(2,1/(('Match Log'!$D$4:$D$1510=N$105)*('Match Log'!$C$4:$C$1510=$A119)),'Match Log'!$AB$4:$AB$1510),"")</f>
        <v/>
      </c>
      <c r="O119" s="88" t="str">
        <f>IFERROR(LOOKUP(2,1/(('Match Log'!$D$4:$D$1510=O$105)*('Match Log'!$C$4:$C$1510=$A119)),'Match Log'!$AB$4:$AB$1510),"")</f>
        <v/>
      </c>
      <c r="P119" s="85" t="str">
        <f t="shared" si="28"/>
        <v>Josh</v>
      </c>
    </row>
    <row r="120" spans="1:16" ht="15" customHeight="1" x14ac:dyDescent="0.2">
      <c r="A120" s="82" t="s">
        <v>46</v>
      </c>
      <c r="B120" s="88" t="str">
        <f>IFERROR(LOOKUP(2,1/(('Match Log'!$D$4:$D$1510=B$105)*('Match Log'!$C$4:$C$1510=$A120)),'Match Log'!$AB$4:$AB$1510),"")</f>
        <v/>
      </c>
      <c r="C120" s="88" t="str">
        <f>IFERROR(LOOKUP(2,1/(('Match Log'!$D$4:$D$1510=C$105)*('Match Log'!$C$4:$C$1510=$A120)),'Match Log'!$AB$4:$AB$1510),"")</f>
        <v/>
      </c>
      <c r="D120" s="88" t="str">
        <f>IFERROR(LOOKUP(2,1/(('Match Log'!$D$4:$D$1510=D$105)*('Match Log'!$C$4:$C$1510=$A120)),'Match Log'!$AB$4:$AB$1510),"")</f>
        <v/>
      </c>
      <c r="E120" s="88" t="str">
        <f>IFERROR(LOOKUP(2,1/(('Match Log'!$D$4:$D$1510=E$105)*('Match Log'!$C$4:$C$1510=$A120)),'Match Log'!$AB$4:$AB$1510),"")</f>
        <v/>
      </c>
      <c r="F120" s="88" t="str">
        <f>IFERROR(LOOKUP(2,1/(('Match Log'!$D$4:$D$1510=F$105)*('Match Log'!$C$4:$C$1510=$A120)),'Match Log'!$AB$4:$AB$1510),"")</f>
        <v/>
      </c>
      <c r="G120" s="88" t="str">
        <f>IFERROR(LOOKUP(2,1/(('Match Log'!$D$4:$D$1510=G$105)*('Match Log'!$C$4:$C$1510=$A120)),'Match Log'!$AB$4:$AB$1510),"")</f>
        <v/>
      </c>
      <c r="H120" s="88" t="str">
        <f>IFERROR(LOOKUP(2,1/(('Match Log'!$D$4:$D$1510=H$105)*('Match Log'!$C$4:$C$1510=$A120)),'Match Log'!$AB$4:$AB$1510),"")</f>
        <v/>
      </c>
      <c r="I120" s="88" t="str">
        <f>IFERROR(LOOKUP(2,1/(('Match Log'!$D$4:$D$1510=I$105)*('Match Log'!$C$4:$C$1510=$A120)),'Match Log'!$AB$4:$AB$1510),"")</f>
        <v/>
      </c>
      <c r="J120" s="88" t="str">
        <f>IFERROR(LOOKUP(2,1/(('Match Log'!$D$4:$D$1510=J$105)*('Match Log'!$C$4:$C$1510=$A120)),'Match Log'!$AB$4:$AB$1510),"")</f>
        <v/>
      </c>
      <c r="K120" s="88" t="str">
        <f>IFERROR(LOOKUP(2,1/(('Match Log'!$D$4:$D$1510=K$105)*('Match Log'!$C$4:$C$1510=$A120)),'Match Log'!$AB$4:$AB$1510),"")</f>
        <v/>
      </c>
      <c r="L120" s="88" t="str">
        <f>IFERROR(LOOKUP(2,1/(('Match Log'!$D$4:$D$1510=L$105)*('Match Log'!$C$4:$C$1510=$A120)),'Match Log'!$AB$4:$AB$1510),"")</f>
        <v/>
      </c>
      <c r="M120" s="88" t="str">
        <f>IFERROR(LOOKUP(2,1/(('Match Log'!$D$4:$D$1510=M$105)*('Match Log'!$C$4:$C$1510=$A120)),'Match Log'!$AB$4:$AB$1510),"")</f>
        <v/>
      </c>
      <c r="N120" s="88" t="str">
        <f>IFERROR(LOOKUP(2,1/(('Match Log'!$D$4:$D$1510=N$105)*('Match Log'!$C$4:$C$1510=$A120)),'Match Log'!$AB$4:$AB$1510),"")</f>
        <v/>
      </c>
      <c r="O120" s="88" t="str">
        <f>IFERROR(LOOKUP(2,1/(('Match Log'!$D$4:$D$1510=O$105)*('Match Log'!$C$4:$C$1510=$A120)),'Match Log'!$AB$4:$AB$1510),"")</f>
        <v/>
      </c>
      <c r="P120" s="85" t="str">
        <f t="shared" si="28"/>
        <v>—</v>
      </c>
    </row>
    <row r="121" spans="1:16" ht="15" customHeight="1" x14ac:dyDescent="0.2">
      <c r="A121" s="82" t="s">
        <v>47</v>
      </c>
      <c r="B121" s="88">
        <f>IFERROR(LOOKUP(2,1/(('Match Log'!$D$4:$D$1510=B$105)*('Match Log'!$C$4:$C$1510=$A121)),'Match Log'!$AB$4:$AB$1510),"")</f>
        <v>1004.4279815334085</v>
      </c>
      <c r="C121" s="88" t="str">
        <f>IFERROR(LOOKUP(2,1/(('Match Log'!$D$4:$D$1510=C$105)*('Match Log'!$C$4:$C$1510=$A121)),'Match Log'!$AB$4:$AB$1510),"")</f>
        <v/>
      </c>
      <c r="D121" s="88">
        <f>IFERROR(LOOKUP(2,1/(('Match Log'!$D$4:$D$1510=D$105)*('Match Log'!$C$4:$C$1510=$A121)),'Match Log'!$AB$4:$AB$1510),"")</f>
        <v>968.70239866335282</v>
      </c>
      <c r="E121" s="88" t="str">
        <f>IFERROR(LOOKUP(2,1/(('Match Log'!$D$4:$D$1510=E$105)*('Match Log'!$C$4:$C$1510=$A121)),'Match Log'!$AB$4:$AB$1510),"")</f>
        <v/>
      </c>
      <c r="F121" s="88" t="str">
        <f>IFERROR(LOOKUP(2,1/(('Match Log'!$D$4:$D$1510=F$105)*('Match Log'!$C$4:$C$1510=$A121)),'Match Log'!$AB$4:$AB$1510),"")</f>
        <v/>
      </c>
      <c r="G121" s="88" t="str">
        <f>IFERROR(LOOKUP(2,1/(('Match Log'!$D$4:$D$1510=G$105)*('Match Log'!$C$4:$C$1510=$A121)),'Match Log'!$AB$4:$AB$1510),"")</f>
        <v/>
      </c>
      <c r="H121" s="88" t="str">
        <f>IFERROR(LOOKUP(2,1/(('Match Log'!$D$4:$D$1510=H$105)*('Match Log'!$C$4:$C$1510=$A121)),'Match Log'!$AB$4:$AB$1510),"")</f>
        <v/>
      </c>
      <c r="I121" s="88">
        <f>IFERROR(LOOKUP(2,1/(('Match Log'!$D$4:$D$1510=I$105)*('Match Log'!$C$4:$C$1510=$A121)),'Match Log'!$AB$4:$AB$1510),"")</f>
        <v>1026.8696198032385</v>
      </c>
      <c r="J121" s="88" t="str">
        <f>IFERROR(LOOKUP(2,1/(('Match Log'!$D$4:$D$1510=J$105)*('Match Log'!$C$4:$C$1510=$A121)),'Match Log'!$AB$4:$AB$1510),"")</f>
        <v/>
      </c>
      <c r="K121" s="88" t="str">
        <f>IFERROR(LOOKUP(2,1/(('Match Log'!$D$4:$D$1510=K$105)*('Match Log'!$C$4:$C$1510=$A121)),'Match Log'!$AB$4:$AB$1510),"")</f>
        <v/>
      </c>
      <c r="L121" s="88" t="str">
        <f>IFERROR(LOOKUP(2,1/(('Match Log'!$D$4:$D$1510=L$105)*('Match Log'!$C$4:$C$1510=$A121)),'Match Log'!$AB$4:$AB$1510),"")</f>
        <v/>
      </c>
      <c r="M121" s="88" t="str">
        <f>IFERROR(LOOKUP(2,1/(('Match Log'!$D$4:$D$1510=M$105)*('Match Log'!$C$4:$C$1510=$A121)),'Match Log'!$AB$4:$AB$1510),"")</f>
        <v/>
      </c>
      <c r="N121" s="88" t="str">
        <f>IFERROR(LOOKUP(2,1/(('Match Log'!$D$4:$D$1510=N$105)*('Match Log'!$C$4:$C$1510=$A121)),'Match Log'!$AB$4:$AB$1510),"")</f>
        <v/>
      </c>
      <c r="O121" s="88" t="str">
        <f>IFERROR(LOOKUP(2,1/(('Match Log'!$D$4:$D$1510=O$105)*('Match Log'!$C$4:$C$1510=$A121)),'Match Log'!$AB$4:$AB$1510),"")</f>
        <v/>
      </c>
      <c r="P121" s="85" t="str">
        <f t="shared" si="28"/>
        <v>Daniel (Ferret)</v>
      </c>
    </row>
    <row r="122" spans="1:16" ht="15" customHeight="1" x14ac:dyDescent="0.2">
      <c r="A122" s="82" t="s">
        <v>48</v>
      </c>
      <c r="B122" s="88">
        <f>IFERROR(LOOKUP(2,1/(('Match Log'!$D$4:$D$1510=B$105)*('Match Log'!$C$4:$C$1510=$A122)),'Match Log'!$AB$4:$AB$1510),"")</f>
        <v>996.18407669838052</v>
      </c>
      <c r="C122" s="88" t="str">
        <f>IFERROR(LOOKUP(2,1/(('Match Log'!$D$4:$D$1510=C$105)*('Match Log'!$C$4:$C$1510=$A122)),'Match Log'!$AB$4:$AB$1510),"")</f>
        <v/>
      </c>
      <c r="D122" s="88">
        <f>IFERROR(LOOKUP(2,1/(('Match Log'!$D$4:$D$1510=D$105)*('Match Log'!$C$4:$C$1510=$A122)),'Match Log'!$AB$4:$AB$1510),"")</f>
        <v>992</v>
      </c>
      <c r="E122" s="88" t="str">
        <f>IFERROR(LOOKUP(2,1/(('Match Log'!$D$4:$D$1510=E$105)*('Match Log'!$C$4:$C$1510=$A122)),'Match Log'!$AB$4:$AB$1510),"")</f>
        <v/>
      </c>
      <c r="F122" s="88">
        <f>IFERROR(LOOKUP(2,1/(('Match Log'!$D$4:$D$1510=F$105)*('Match Log'!$C$4:$C$1510=$A122)),'Match Log'!$AB$4:$AB$1510),"")</f>
        <v>1031.1718983470439</v>
      </c>
      <c r="G122" s="88">
        <f>IFERROR(LOOKUP(2,1/(('Match Log'!$D$4:$D$1510=G$105)*('Match Log'!$C$4:$C$1510=$A122)),'Match Log'!$AB$4:$AB$1510),"")</f>
        <v>996.18407669838052</v>
      </c>
      <c r="H122" s="88">
        <f>IFERROR(LOOKUP(2,1/(('Match Log'!$D$4:$D$1510=H$105)*('Match Log'!$C$4:$C$1510=$A122)),'Match Log'!$AB$4:$AB$1510),"")</f>
        <v>996.18407669838052</v>
      </c>
      <c r="I122" s="88">
        <f>IFERROR(LOOKUP(2,1/(('Match Log'!$D$4:$D$1510=I$105)*('Match Log'!$C$4:$C$1510=$A122)),'Match Log'!$AB$4:$AB$1510),"")</f>
        <v>988.27587155781464</v>
      </c>
      <c r="J122" s="88" t="str">
        <f>IFERROR(LOOKUP(2,1/(('Match Log'!$D$4:$D$1510=J$105)*('Match Log'!$C$4:$C$1510=$A122)),'Match Log'!$AB$4:$AB$1510),"")</f>
        <v/>
      </c>
      <c r="K122" s="88" t="str">
        <f>IFERROR(LOOKUP(2,1/(('Match Log'!$D$4:$D$1510=K$105)*('Match Log'!$C$4:$C$1510=$A122)),'Match Log'!$AB$4:$AB$1510),"")</f>
        <v/>
      </c>
      <c r="L122" s="88" t="str">
        <f>IFERROR(LOOKUP(2,1/(('Match Log'!$D$4:$D$1510=L$105)*('Match Log'!$C$4:$C$1510=$A122)),'Match Log'!$AB$4:$AB$1510),"")</f>
        <v/>
      </c>
      <c r="M122" s="88" t="str">
        <f>IFERROR(LOOKUP(2,1/(('Match Log'!$D$4:$D$1510=M$105)*('Match Log'!$C$4:$C$1510=$A122)),'Match Log'!$AB$4:$AB$1510),"")</f>
        <v/>
      </c>
      <c r="N122" s="88" t="str">
        <f>IFERROR(LOOKUP(2,1/(('Match Log'!$D$4:$D$1510=N$105)*('Match Log'!$C$4:$C$1510=$A122)),'Match Log'!$AB$4:$AB$1510),"")</f>
        <v/>
      </c>
      <c r="O122" s="88" t="str">
        <f>IFERROR(LOOKUP(2,1/(('Match Log'!$D$4:$D$1510=O$105)*('Match Log'!$C$4:$C$1510=$A122)),'Match Log'!$AB$4:$AB$1510),"")</f>
        <v/>
      </c>
      <c r="P122" s="85" t="str">
        <f t="shared" si="28"/>
        <v>Josh</v>
      </c>
    </row>
    <row r="123" spans="1:16" ht="15" customHeight="1" x14ac:dyDescent="0.2">
      <c r="A123" s="82" t="s">
        <v>49</v>
      </c>
      <c r="B123" s="88">
        <f>IFERROR(LOOKUP(2,1/(('Match Log'!$D$4:$D$1510=B$105)*('Match Log'!$C$4:$C$1510=$A123)),'Match Log'!$AB$4:$AB$1510),"")</f>
        <v>965.94883287862285</v>
      </c>
      <c r="C123" s="88">
        <f>IFERROR(LOOKUP(2,1/(('Match Log'!$D$4:$D$1510=C$105)*('Match Log'!$C$4:$C$1510=$A123)),'Match Log'!$AB$4:$AB$1510),"")</f>
        <v>1021.3645876209866</v>
      </c>
      <c r="D123" s="88">
        <f>IFERROR(LOOKUP(2,1/(('Match Log'!$D$4:$D$1510=D$105)*('Match Log'!$C$4:$C$1510=$A123)),'Match Log'!$AB$4:$AB$1510),"")</f>
        <v>1015.263693206478</v>
      </c>
      <c r="E123" s="88">
        <f>IFERROR(LOOKUP(2,1/(('Match Log'!$D$4:$D$1510=E$105)*('Match Log'!$C$4:$C$1510=$A123)),'Match Log'!$AB$4:$AB$1510),"")</f>
        <v>995.72748489903177</v>
      </c>
      <c r="F123" s="88">
        <f>IFERROR(LOOKUP(2,1/(('Match Log'!$D$4:$D$1510=F$105)*('Match Log'!$C$4:$C$1510=$A123)),'Match Log'!$AB$4:$AB$1510),"")</f>
        <v>980.52721563547436</v>
      </c>
      <c r="G123" s="88">
        <f>IFERROR(LOOKUP(2,1/(('Match Log'!$D$4:$D$1510=G$105)*('Match Log'!$C$4:$C$1510=$A123)),'Match Log'!$AB$4:$AB$1510),"")</f>
        <v>994.87575697010811</v>
      </c>
      <c r="H123" s="88">
        <f>IFERROR(LOOKUP(2,1/(('Match Log'!$D$4:$D$1510=H$105)*('Match Log'!$C$4:$C$1510=$A123)),'Match Log'!$AB$4:$AB$1510),"")</f>
        <v>1060.1693378874229</v>
      </c>
      <c r="I123" s="88">
        <f>IFERROR(LOOKUP(2,1/(('Match Log'!$D$4:$D$1510=I$105)*('Match Log'!$C$4:$C$1510=$A123)),'Match Log'!$AB$4:$AB$1510),"")</f>
        <v>993.32139176969508</v>
      </c>
      <c r="J123" s="88">
        <f>IFERROR(LOOKUP(2,1/(('Match Log'!$D$4:$D$1510=J$105)*('Match Log'!$C$4:$C$1510=$A123)),'Match Log'!$AB$4:$AB$1510),"")</f>
        <v>1039.1570131462133</v>
      </c>
      <c r="K123" s="88">
        <f>IFERROR(LOOKUP(2,1/(('Match Log'!$D$4:$D$1510=K$105)*('Match Log'!$C$4:$C$1510=$A123)),'Match Log'!$AB$4:$AB$1510),"")</f>
        <v>977.68101586373621</v>
      </c>
      <c r="L123" s="88">
        <f>IFERROR(LOOKUP(2,1/(('Match Log'!$D$4:$D$1510=L$105)*('Match Log'!$C$4:$C$1510=$A123)),'Match Log'!$AB$4:$AB$1510),"")</f>
        <v>959.92547606336859</v>
      </c>
      <c r="M123" s="88">
        <f>IFERROR(LOOKUP(2,1/(('Match Log'!$D$4:$D$1510=M$105)*('Match Log'!$C$4:$C$1510=$A123)),'Match Log'!$AB$4:$AB$1510),"")</f>
        <v>995.72748489903177</v>
      </c>
      <c r="N123" s="88">
        <f>IFERROR(LOOKUP(2,1/(('Match Log'!$D$4:$D$1510=N$105)*('Match Log'!$C$4:$C$1510=$A123)),'Match Log'!$AB$4:$AB$1510),"")</f>
        <v>1000.3107091598305</v>
      </c>
      <c r="O123" s="88" t="str">
        <f>IFERROR(LOOKUP(2,1/(('Match Log'!$D$4:$D$1510=O$105)*('Match Log'!$C$4:$C$1510=$A123)),'Match Log'!$AB$4:$AB$1510),"")</f>
        <v/>
      </c>
      <c r="P123" s="85" t="str">
        <f t="shared" si="28"/>
        <v>Simon</v>
      </c>
    </row>
    <row r="124" spans="1:16" ht="15" customHeight="1" x14ac:dyDescent="0.2">
      <c r="A124" s="82" t="s">
        <v>50</v>
      </c>
      <c r="B124" s="88">
        <f>IFERROR(LOOKUP(2,1/(('Match Log'!$D$4:$D$1510=B$105)*('Match Log'!$C$4:$C$1510=$A124)),'Match Log'!$AB$4:$AB$1510),"")</f>
        <v>932.56437254594471</v>
      </c>
      <c r="C124" s="88" t="str">
        <f>IFERROR(LOOKUP(2,1/(('Match Log'!$D$4:$D$1510=C$105)*('Match Log'!$C$4:$C$1510=$A124)),'Match Log'!$AB$4:$AB$1510),"")</f>
        <v/>
      </c>
      <c r="D124" s="88">
        <f>IFERROR(LOOKUP(2,1/(('Match Log'!$D$4:$D$1510=D$105)*('Match Log'!$C$4:$C$1510=$A124)),'Match Log'!$AB$4:$AB$1510),"")</f>
        <v>1009.8415025288778</v>
      </c>
      <c r="E124" s="88" t="str">
        <f>IFERROR(LOOKUP(2,1/(('Match Log'!$D$4:$D$1510=E$105)*('Match Log'!$C$4:$C$1510=$A124)),'Match Log'!$AB$4:$AB$1510),"")</f>
        <v/>
      </c>
      <c r="F124" s="88">
        <f>IFERROR(LOOKUP(2,1/(('Match Log'!$D$4:$D$1510=F$105)*('Match Log'!$C$4:$C$1510=$A124)),'Match Log'!$AB$4:$AB$1510),"")</f>
        <v>996.43763472122669</v>
      </c>
      <c r="G124" s="88">
        <f>IFERROR(LOOKUP(2,1/(('Match Log'!$D$4:$D$1510=G$105)*('Match Log'!$C$4:$C$1510=$A124)),'Match Log'!$AB$4:$AB$1510),"")</f>
        <v>1005.7273071221039</v>
      </c>
      <c r="H124" s="88">
        <f>IFERROR(LOOKUP(2,1/(('Match Log'!$D$4:$D$1510=H$105)*('Match Log'!$C$4:$C$1510=$A124)),'Match Log'!$AB$4:$AB$1510),"")</f>
        <v>995.11454772974389</v>
      </c>
      <c r="I124" s="88">
        <f>IFERROR(LOOKUP(2,1/(('Match Log'!$D$4:$D$1510=I$105)*('Match Log'!$C$4:$C$1510=$A124)),'Match Log'!$AB$4:$AB$1510),"")</f>
        <v>1120.7187948436672</v>
      </c>
      <c r="J124" s="88" t="str">
        <f>IFERROR(LOOKUP(2,1/(('Match Log'!$D$4:$D$1510=J$105)*('Match Log'!$C$4:$C$1510=$A124)),'Match Log'!$AB$4:$AB$1510),"")</f>
        <v/>
      </c>
      <c r="K124" s="88" t="str">
        <f>IFERROR(LOOKUP(2,1/(('Match Log'!$D$4:$D$1510=K$105)*('Match Log'!$C$4:$C$1510=$A124)),'Match Log'!$AB$4:$AB$1510),"")</f>
        <v/>
      </c>
      <c r="L124" s="88">
        <f>IFERROR(LOOKUP(2,1/(('Match Log'!$D$4:$D$1510=L$105)*('Match Log'!$C$4:$C$1510=$A124)),'Match Log'!$AB$4:$AB$1510),"")</f>
        <v>951.24465656388634</v>
      </c>
      <c r="M124" s="88" t="str">
        <f>IFERROR(LOOKUP(2,1/(('Match Log'!$D$4:$D$1510=M$105)*('Match Log'!$C$4:$C$1510=$A124)),'Match Log'!$AB$4:$AB$1510),"")</f>
        <v/>
      </c>
      <c r="N124" s="88">
        <f>IFERROR(LOOKUP(2,1/(('Match Log'!$D$4:$D$1510=N$105)*('Match Log'!$C$4:$C$1510=$A124)),'Match Log'!$AB$4:$AB$1510),"")</f>
        <v>988.35118394454946</v>
      </c>
      <c r="O124" s="88" t="str">
        <f>IFERROR(LOOKUP(2,1/(('Match Log'!$D$4:$D$1510=O$105)*('Match Log'!$C$4:$C$1510=$A124)),'Match Log'!$AB$4:$AB$1510),"")</f>
        <v/>
      </c>
      <c r="P124" s="85" t="str">
        <f t="shared" si="28"/>
        <v>Daniel (Ferret)</v>
      </c>
    </row>
    <row r="125" spans="1:16" x14ac:dyDescent="0.2">
      <c r="A125" s="82" t="s">
        <v>51</v>
      </c>
      <c r="B125" s="88">
        <f>IFERROR(LOOKUP(2,1/(('Match Log'!$D$4:$D$1510=B$105)*('Match Log'!$C$4:$C$1510=$A125)),'Match Log'!$AB$4:$AB$1510),"")</f>
        <v>980.11137676537214</v>
      </c>
      <c r="C125" s="88" t="str">
        <f>IFERROR(LOOKUP(2,1/(('Match Log'!$D$4:$D$1510=C$105)*('Match Log'!$C$4:$C$1510=$A125)),'Match Log'!$AB$4:$AB$1510),"")</f>
        <v/>
      </c>
      <c r="D125" s="88">
        <f>IFERROR(LOOKUP(2,1/(('Match Log'!$D$4:$D$1510=D$105)*('Match Log'!$C$4:$C$1510=$A125)),'Match Log'!$AB$4:$AB$1510),"")</f>
        <v>1031.9026992127265</v>
      </c>
      <c r="E125" s="88" t="str">
        <f>IFERROR(LOOKUP(2,1/(('Match Log'!$D$4:$D$1510=E$105)*('Match Log'!$C$4:$C$1510=$A125)),'Match Log'!$AB$4:$AB$1510),"")</f>
        <v/>
      </c>
      <c r="F125" s="88" t="str">
        <f>IFERROR(LOOKUP(2,1/(('Match Log'!$D$4:$D$1510=F$105)*('Match Log'!$C$4:$C$1510=$A125)),'Match Log'!$AB$4:$AB$1510),"")</f>
        <v/>
      </c>
      <c r="G125" s="88">
        <f>IFERROR(LOOKUP(2,1/(('Match Log'!$D$4:$D$1510=G$105)*('Match Log'!$C$4:$C$1510=$A125)),'Match Log'!$AB$4:$AB$1510),"")</f>
        <v>1056.1352620912564</v>
      </c>
      <c r="H125" s="88" t="str">
        <f>IFERROR(LOOKUP(2,1/(('Match Log'!$D$4:$D$1510=H$105)*('Match Log'!$C$4:$C$1510=$A125)),'Match Log'!$AB$4:$AB$1510),"")</f>
        <v/>
      </c>
      <c r="I125" s="88">
        <f>IFERROR(LOOKUP(2,1/(('Match Log'!$D$4:$D$1510=I$105)*('Match Log'!$C$4:$C$1510=$A125)),'Match Log'!$AB$4:$AB$1510),"")</f>
        <v>947.04869906956174</v>
      </c>
      <c r="J125" s="88">
        <f>IFERROR(LOOKUP(2,1/(('Match Log'!$D$4:$D$1510=J$105)*('Match Log'!$C$4:$C$1510=$A125)),'Match Log'!$AB$4:$AB$1510),"")</f>
        <v>989.66040116413285</v>
      </c>
      <c r="K125" s="88" t="str">
        <f>IFERROR(LOOKUP(2,1/(('Match Log'!$D$4:$D$1510=K$105)*('Match Log'!$C$4:$C$1510=$A125)),'Match Log'!$AB$4:$AB$1510),"")</f>
        <v/>
      </c>
      <c r="L125" s="88">
        <f>IFERROR(LOOKUP(2,1/(('Match Log'!$D$4:$D$1510=L$105)*('Match Log'!$C$4:$C$1510=$A125)),'Match Log'!$AB$4:$AB$1510),"")</f>
        <v>995.14156169695048</v>
      </c>
      <c r="M125" s="88" t="str">
        <f>IFERROR(LOOKUP(2,1/(('Match Log'!$D$4:$D$1510=M$105)*('Match Log'!$C$4:$C$1510=$A125)),'Match Log'!$AB$4:$AB$1510),"")</f>
        <v/>
      </c>
      <c r="N125" s="88" t="str">
        <f>IFERROR(LOOKUP(2,1/(('Match Log'!$D$4:$D$1510=N$105)*('Match Log'!$C$4:$C$1510=$A125)),'Match Log'!$AB$4:$AB$1510),"")</f>
        <v/>
      </c>
      <c r="O125" s="88" t="str">
        <f>IFERROR(LOOKUP(2,1/(('Match Log'!$D$4:$D$1510=O$105)*('Match Log'!$C$4:$C$1510=$A125)),'Match Log'!$AB$4:$AB$1510),"")</f>
        <v/>
      </c>
      <c r="P125" s="85" t="str">
        <f t="shared" si="28"/>
        <v>Shawn</v>
      </c>
    </row>
    <row r="126" spans="1:16" x14ac:dyDescent="0.2">
      <c r="A126" s="82" t="s">
        <v>52</v>
      </c>
      <c r="B126" s="88" t="str">
        <f>IFERROR(LOOKUP(2,1/(('Match Log'!$D$4:$D$1510=B$105)*('Match Log'!$C$4:$C$1510=$A126)),'Match Log'!$AB$4:$AB$1510),"")</f>
        <v/>
      </c>
      <c r="C126" s="88" t="str">
        <f>IFERROR(LOOKUP(2,1/(('Match Log'!$D$4:$D$1510=C$105)*('Match Log'!$C$4:$C$1510=$A126)),'Match Log'!$AB$4:$AB$1510),"")</f>
        <v/>
      </c>
      <c r="D126" s="88" t="str">
        <f>IFERROR(LOOKUP(2,1/(('Match Log'!$D$4:$D$1510=D$105)*('Match Log'!$C$4:$C$1510=$A126)),'Match Log'!$AB$4:$AB$1510),"")</f>
        <v/>
      </c>
      <c r="E126" s="88" t="str">
        <f>IFERROR(LOOKUP(2,1/(('Match Log'!$D$4:$D$1510=E$105)*('Match Log'!$C$4:$C$1510=$A126)),'Match Log'!$AB$4:$AB$1510),"")</f>
        <v/>
      </c>
      <c r="F126" s="88">
        <f>IFERROR(LOOKUP(2,1/(('Match Log'!$D$4:$D$1510=F$105)*('Match Log'!$C$4:$C$1510=$A126)),'Match Log'!$AB$4:$AB$1510),"")</f>
        <v>973.09901508317728</v>
      </c>
      <c r="G126" s="88">
        <f>IFERROR(LOOKUP(2,1/(('Match Log'!$D$4:$D$1510=G$105)*('Match Log'!$C$4:$C$1510=$A126)),'Match Log'!$AB$4:$AB$1510),"")</f>
        <v>999.0270542964812</v>
      </c>
      <c r="H126" s="88" t="str">
        <f>IFERROR(LOOKUP(2,1/(('Match Log'!$D$4:$D$1510=H$105)*('Match Log'!$C$4:$C$1510=$A126)),'Match Log'!$AB$4:$AB$1510),"")</f>
        <v/>
      </c>
      <c r="I126" s="88">
        <f>IFERROR(LOOKUP(2,1/(('Match Log'!$D$4:$D$1510=I$105)*('Match Log'!$C$4:$C$1510=$A126)),'Match Log'!$AB$4:$AB$1510),"")</f>
        <v>969.46950152897546</v>
      </c>
      <c r="J126" s="88">
        <f>IFERROR(LOOKUP(2,1/(('Match Log'!$D$4:$D$1510=J$105)*('Match Log'!$C$4:$C$1510=$A126)),'Match Log'!$AB$4:$AB$1510),"")</f>
        <v>1058.4044290913662</v>
      </c>
      <c r="K126" s="88" t="str">
        <f>IFERROR(LOOKUP(2,1/(('Match Log'!$D$4:$D$1510=K$105)*('Match Log'!$C$4:$C$1510=$A126)),'Match Log'!$AB$4:$AB$1510),"")</f>
        <v/>
      </c>
      <c r="L126" s="88" t="str">
        <f>IFERROR(LOOKUP(2,1/(('Match Log'!$D$4:$D$1510=L$105)*('Match Log'!$C$4:$C$1510=$A126)),'Match Log'!$AB$4:$AB$1510),"")</f>
        <v/>
      </c>
      <c r="M126" s="88" t="str">
        <f>IFERROR(LOOKUP(2,1/(('Match Log'!$D$4:$D$1510=M$105)*('Match Log'!$C$4:$C$1510=$A126)),'Match Log'!$AB$4:$AB$1510),"")</f>
        <v/>
      </c>
      <c r="N126" s="88" t="str">
        <f>IFERROR(LOOKUP(2,1/(('Match Log'!$D$4:$D$1510=N$105)*('Match Log'!$C$4:$C$1510=$A126)),'Match Log'!$AB$4:$AB$1510),"")</f>
        <v/>
      </c>
      <c r="O126" s="88" t="str">
        <f>IFERROR(LOOKUP(2,1/(('Match Log'!$D$4:$D$1510=O$105)*('Match Log'!$C$4:$C$1510=$A126)),'Match Log'!$AB$4:$AB$1510),"")</f>
        <v/>
      </c>
      <c r="P126" s="85" t="str">
        <f t="shared" si="28"/>
        <v>Dean B</v>
      </c>
    </row>
    <row r="127" spans="1:16" x14ac:dyDescent="0.2">
      <c r="A127" s="82" t="s">
        <v>53</v>
      </c>
      <c r="B127" s="88" t="str">
        <f>IFERROR(LOOKUP(2,1/(('Match Log'!$D$4:$D$1510=B$105)*('Match Log'!$C$4:$C$1510=$A127)),'Match Log'!$AB$4:$AB$1510),"")</f>
        <v/>
      </c>
      <c r="C127" s="88" t="str">
        <f>IFERROR(LOOKUP(2,1/(('Match Log'!$D$4:$D$1510=C$105)*('Match Log'!$C$4:$C$1510=$A127)),'Match Log'!$AB$4:$AB$1510),"")</f>
        <v/>
      </c>
      <c r="D127" s="88" t="str">
        <f>IFERROR(LOOKUP(2,1/(('Match Log'!$D$4:$D$1510=D$105)*('Match Log'!$C$4:$C$1510=$A127)),'Match Log'!$AB$4:$AB$1510),"")</f>
        <v/>
      </c>
      <c r="E127" s="88" t="str">
        <f>IFERROR(LOOKUP(2,1/(('Match Log'!$D$4:$D$1510=E$105)*('Match Log'!$C$4:$C$1510=$A127)),'Match Log'!$AB$4:$AB$1510),"")</f>
        <v/>
      </c>
      <c r="F127" s="88">
        <f>IFERROR(LOOKUP(2,1/(('Match Log'!$D$4:$D$1510=F$105)*('Match Log'!$C$4:$C$1510=$A127)),'Match Log'!$AB$4:$AB$1510),"")</f>
        <v>999.26369320647802</v>
      </c>
      <c r="G127" s="88">
        <f>IFERROR(LOOKUP(2,1/(('Match Log'!$D$4:$D$1510=G$105)*('Match Log'!$C$4:$C$1510=$A127)),'Match Log'!$AB$4:$AB$1510),"")</f>
        <v>1016.736306793522</v>
      </c>
      <c r="H127" s="88" t="str">
        <f>IFERROR(LOOKUP(2,1/(('Match Log'!$D$4:$D$1510=H$105)*('Match Log'!$C$4:$C$1510=$A127)),'Match Log'!$AB$4:$AB$1510),"")</f>
        <v/>
      </c>
      <c r="I127" s="88">
        <f>IFERROR(LOOKUP(2,1/(('Match Log'!$D$4:$D$1510=I$105)*('Match Log'!$C$4:$C$1510=$A127)),'Match Log'!$AB$4:$AB$1510),"")</f>
        <v>984</v>
      </c>
      <c r="J127" s="88" t="str">
        <f>IFERROR(LOOKUP(2,1/(('Match Log'!$D$4:$D$1510=J$105)*('Match Log'!$C$4:$C$1510=$A127)),'Match Log'!$AB$4:$AB$1510),"")</f>
        <v/>
      </c>
      <c r="K127" s="88" t="str">
        <f>IFERROR(LOOKUP(2,1/(('Match Log'!$D$4:$D$1510=K$105)*('Match Log'!$C$4:$C$1510=$A127)),'Match Log'!$AB$4:$AB$1510),"")</f>
        <v/>
      </c>
      <c r="L127" s="88" t="str">
        <f>IFERROR(LOOKUP(2,1/(('Match Log'!$D$4:$D$1510=L$105)*('Match Log'!$C$4:$C$1510=$A127)),'Match Log'!$AB$4:$AB$1510),"")</f>
        <v/>
      </c>
      <c r="M127" s="88" t="str">
        <f>IFERROR(LOOKUP(2,1/(('Match Log'!$D$4:$D$1510=M$105)*('Match Log'!$C$4:$C$1510=$A127)),'Match Log'!$AB$4:$AB$1510),"")</f>
        <v/>
      </c>
      <c r="N127" s="88" t="str">
        <f>IFERROR(LOOKUP(2,1/(('Match Log'!$D$4:$D$1510=N$105)*('Match Log'!$C$4:$C$1510=$A127)),'Match Log'!$AB$4:$AB$1510),"")</f>
        <v/>
      </c>
      <c r="O127" s="88" t="str">
        <f>IFERROR(LOOKUP(2,1/(('Match Log'!$D$4:$D$1510=O$105)*('Match Log'!$C$4:$C$1510=$A127)),'Match Log'!$AB$4:$AB$1510),"")</f>
        <v/>
      </c>
      <c r="P127" s="85" t="str">
        <f t="shared" si="28"/>
        <v>Shawn</v>
      </c>
    </row>
    <row r="128" spans="1:16" x14ac:dyDescent="0.2">
      <c r="A128" s="82" t="s">
        <v>54</v>
      </c>
      <c r="B128" s="88">
        <f>IFERROR(LOOKUP(2,1/(('Match Log'!$D$4:$D$1510=B$105)*('Match Log'!$C$4:$C$1510=$A128)),'Match Log'!$AB$4:$AB$1510),"")</f>
        <v>1015.697596359111</v>
      </c>
      <c r="C128" s="88" t="str">
        <f>IFERROR(LOOKUP(2,1/(('Match Log'!$D$4:$D$1510=C$105)*('Match Log'!$C$4:$C$1510=$A128)),'Match Log'!$AB$4:$AB$1510),"")</f>
        <v/>
      </c>
      <c r="D128" s="88" t="str">
        <f>IFERROR(LOOKUP(2,1/(('Match Log'!$D$4:$D$1510=D$105)*('Match Log'!$C$4:$C$1510=$A128)),'Match Log'!$AB$4:$AB$1510),"")</f>
        <v/>
      </c>
      <c r="E128" s="88" t="str">
        <f>IFERROR(LOOKUP(2,1/(('Match Log'!$D$4:$D$1510=E$105)*('Match Log'!$C$4:$C$1510=$A128)),'Match Log'!$AB$4:$AB$1510),"")</f>
        <v/>
      </c>
      <c r="F128" s="88">
        <f>IFERROR(LOOKUP(2,1/(('Match Log'!$D$4:$D$1510=F$105)*('Match Log'!$C$4:$C$1510=$A128)),'Match Log'!$AB$4:$AB$1510),"")</f>
        <v>1013.6658183566044</v>
      </c>
      <c r="G128" s="88">
        <f>IFERROR(LOOKUP(2,1/(('Match Log'!$D$4:$D$1510=G$105)*('Match Log'!$C$4:$C$1510=$A128)),'Match Log'!$AB$4:$AB$1510),"")</f>
        <v>1001.0904499010364</v>
      </c>
      <c r="H128" s="88">
        <f>IFERROR(LOOKUP(2,1/(('Match Log'!$D$4:$D$1510=H$105)*('Match Log'!$C$4:$C$1510=$A128)),'Match Log'!$AB$4:$AB$1510),"")</f>
        <v>1007.0894857856928</v>
      </c>
      <c r="I128" s="88">
        <f>IFERROR(LOOKUP(2,1/(('Match Log'!$D$4:$D$1510=I$105)*('Match Log'!$C$4:$C$1510=$A128)),'Match Log'!$AB$4:$AB$1510),"")</f>
        <v>979.16291977588639</v>
      </c>
      <c r="J128" s="88" t="str">
        <f>IFERROR(LOOKUP(2,1/(('Match Log'!$D$4:$D$1510=J$105)*('Match Log'!$C$4:$C$1510=$A128)),'Match Log'!$AB$4:$AB$1510),"")</f>
        <v/>
      </c>
      <c r="K128" s="88" t="str">
        <f>IFERROR(LOOKUP(2,1/(('Match Log'!$D$4:$D$1510=K$105)*('Match Log'!$C$4:$C$1510=$A128)),'Match Log'!$AB$4:$AB$1510),"")</f>
        <v/>
      </c>
      <c r="L128" s="88">
        <f>IFERROR(LOOKUP(2,1/(('Match Log'!$D$4:$D$1510=L$105)*('Match Log'!$C$4:$C$1510=$A128)),'Match Log'!$AB$4:$AB$1510),"")</f>
        <v>983.82006431327079</v>
      </c>
      <c r="M128" s="88">
        <f>IFERROR(LOOKUP(2,1/(('Match Log'!$D$4:$D$1510=M$105)*('Match Log'!$C$4:$C$1510=$A128)),'Match Log'!$AB$4:$AB$1510),"")</f>
        <v>1022.9345676926858</v>
      </c>
      <c r="N128" s="88">
        <f>IFERROR(LOOKUP(2,1/(('Match Log'!$D$4:$D$1510=N$105)*('Match Log'!$C$4:$C$1510=$A128)),'Match Log'!$AB$4:$AB$1510),"")</f>
        <v>976.53909781571224</v>
      </c>
      <c r="O128" s="88" t="str">
        <f>IFERROR(LOOKUP(2,1/(('Match Log'!$D$4:$D$1510=O$105)*('Match Log'!$C$4:$C$1510=$A128)),'Match Log'!$AB$4:$AB$1510),"")</f>
        <v/>
      </c>
      <c r="P128" s="85" t="str">
        <f t="shared" si="28"/>
        <v>Dean M</v>
      </c>
    </row>
    <row r="129" spans="1:16" x14ac:dyDescent="0.2">
      <c r="A129" s="82" t="s">
        <v>446</v>
      </c>
      <c r="B129" s="88" t="str">
        <f>IFERROR(LOOKUP(2,1/(('Match Log'!$D$4:$D$1510=B$105)*('Match Log'!$C$4:$C$1510=$A129)),'Match Log'!$AB$4:$AB$1510),"")</f>
        <v/>
      </c>
      <c r="C129" s="88" t="str">
        <f>IFERROR(LOOKUP(2,1/(('Match Log'!$D$4:$D$1510=C$105)*('Match Log'!$C$4:$C$1510=$A129)),'Match Log'!$AB$4:$AB$1510),"")</f>
        <v/>
      </c>
      <c r="D129" s="88" t="str">
        <f>IFERROR(LOOKUP(2,1/(('Match Log'!$D$4:$D$1510=D$105)*('Match Log'!$C$4:$C$1510=$A129)),'Match Log'!$AB$4:$AB$1510),"")</f>
        <v/>
      </c>
      <c r="E129" s="88" t="str">
        <f>IFERROR(LOOKUP(2,1/(('Match Log'!$D$4:$D$1510=E$105)*('Match Log'!$C$4:$C$1510=$A129)),'Match Log'!$AB$4:$AB$1510),"")</f>
        <v/>
      </c>
      <c r="F129" s="88">
        <f>IFERROR(LOOKUP(2,1/(('Match Log'!$D$4:$D$1510=F$105)*('Match Log'!$C$4:$C$1510=$A129)),'Match Log'!$AB$4:$AB$1510),"")</f>
        <v>1014.6658413353916</v>
      </c>
      <c r="G129" s="88" t="str">
        <f>IFERROR(LOOKUP(2,1/(('Match Log'!$D$4:$D$1510=G$105)*('Match Log'!$C$4:$C$1510=$A129)),'Match Log'!$AB$4:$AB$1510),"")</f>
        <v/>
      </c>
      <c r="H129" s="88" t="str">
        <f>IFERROR(LOOKUP(2,1/(('Match Log'!$D$4:$D$1510=H$105)*('Match Log'!$C$4:$C$1510=$A129)),'Match Log'!$AB$4:$AB$1510),"")</f>
        <v/>
      </c>
      <c r="I129" s="88">
        <f>IFERROR(LOOKUP(2,1/(('Match Log'!$D$4:$D$1510=I$105)*('Match Log'!$C$4:$C$1510=$A129)),'Match Log'!$AB$4:$AB$1510),"")</f>
        <v>985.33415866460837</v>
      </c>
      <c r="J129" s="88" t="str">
        <f>IFERROR(LOOKUP(2,1/(('Match Log'!$D$4:$D$1510=J$105)*('Match Log'!$C$4:$C$1510=$A129)),'Match Log'!$AB$4:$AB$1510),"")</f>
        <v/>
      </c>
      <c r="K129" s="88" t="str">
        <f>IFERROR(LOOKUP(2,1/(('Match Log'!$D$4:$D$1510=K$105)*('Match Log'!$C$4:$C$1510=$A129)),'Match Log'!$AB$4:$AB$1510),"")</f>
        <v/>
      </c>
      <c r="L129" s="88" t="str">
        <f>IFERROR(LOOKUP(2,1/(('Match Log'!$D$4:$D$1510=L$105)*('Match Log'!$C$4:$C$1510=$A129)),'Match Log'!$AB$4:$AB$1510),"")</f>
        <v/>
      </c>
      <c r="M129" s="88" t="str">
        <f>IFERROR(LOOKUP(2,1/(('Match Log'!$D$4:$D$1510=M$105)*('Match Log'!$C$4:$C$1510=$A129)),'Match Log'!$AB$4:$AB$1510),"")</f>
        <v/>
      </c>
      <c r="N129" s="88" t="str">
        <f>IFERROR(LOOKUP(2,1/(('Match Log'!$D$4:$D$1510=N$105)*('Match Log'!$C$4:$C$1510=$A129)),'Match Log'!$AB$4:$AB$1510),"")</f>
        <v/>
      </c>
      <c r="O129" s="88" t="str">
        <f>IFERROR(LOOKUP(2,1/(('Match Log'!$D$4:$D$1510=O$105)*('Match Log'!$C$4:$C$1510=$A129)),'Match Log'!$AB$4:$AB$1510),"")</f>
        <v/>
      </c>
      <c r="P129" s="85" t="str">
        <f t="shared" si="28"/>
        <v>Josh</v>
      </c>
    </row>
    <row r="130" spans="1:16" x14ac:dyDescent="0.2">
      <c r="A130" s="82" t="s">
        <v>55</v>
      </c>
      <c r="B130" s="88" t="str">
        <f>IFERROR(LOOKUP(2,1/(('Match Log'!$D$4:$D$1510=B$105)*('Match Log'!$C$4:$C$1510=$A130)),'Match Log'!$AB$4:$AB$1510),"")</f>
        <v/>
      </c>
      <c r="C130" s="88" t="str">
        <f>IFERROR(LOOKUP(2,1/(('Match Log'!$D$4:$D$1510=C$105)*('Match Log'!$C$4:$C$1510=$A130)),'Match Log'!$AB$4:$AB$1510),"")</f>
        <v/>
      </c>
      <c r="D130" s="88" t="str">
        <f>IFERROR(LOOKUP(2,1/(('Match Log'!$D$4:$D$1510=D$105)*('Match Log'!$C$4:$C$1510=$A130)),'Match Log'!$AB$4:$AB$1510),"")</f>
        <v/>
      </c>
      <c r="E130" s="88" t="str">
        <f>IFERROR(LOOKUP(2,1/(('Match Log'!$D$4:$D$1510=E$105)*('Match Log'!$C$4:$C$1510=$A130)),'Match Log'!$AB$4:$AB$1510),"")</f>
        <v/>
      </c>
      <c r="F130" s="88">
        <f>IFERROR(LOOKUP(2,1/(('Match Log'!$D$4:$D$1510=F$105)*('Match Log'!$C$4:$C$1510=$A130)),'Match Log'!$AB$4:$AB$1510),"")</f>
        <v>992.0537507689487</v>
      </c>
      <c r="G130" s="88">
        <f>IFERROR(LOOKUP(2,1/(('Match Log'!$D$4:$D$1510=G$105)*('Match Log'!$C$4:$C$1510=$A130)),'Match Log'!$AB$4:$AB$1510),"")</f>
        <v>984.32977611615649</v>
      </c>
      <c r="H130" s="88" t="str">
        <f>IFERROR(LOOKUP(2,1/(('Match Log'!$D$4:$D$1510=H$105)*('Match Log'!$C$4:$C$1510=$A130)),'Match Log'!$AB$4:$AB$1510),"")</f>
        <v/>
      </c>
      <c r="I130" s="88">
        <f>IFERROR(LOOKUP(2,1/(('Match Log'!$D$4:$D$1510=I$105)*('Match Log'!$C$4:$C$1510=$A130)),'Match Log'!$AB$4:$AB$1510),"")</f>
        <v>1031.6164731148949</v>
      </c>
      <c r="J130" s="88">
        <f>IFERROR(LOOKUP(2,1/(('Match Log'!$D$4:$D$1510=J$105)*('Match Log'!$C$4:$C$1510=$A130)),'Match Log'!$AB$4:$AB$1510),"")</f>
        <v>992</v>
      </c>
      <c r="K130" s="88" t="str">
        <f>IFERROR(LOOKUP(2,1/(('Match Log'!$D$4:$D$1510=K$105)*('Match Log'!$C$4:$C$1510=$A130)),'Match Log'!$AB$4:$AB$1510),"")</f>
        <v/>
      </c>
      <c r="L130" s="88" t="str">
        <f>IFERROR(LOOKUP(2,1/(('Match Log'!$D$4:$D$1510=L$105)*('Match Log'!$C$4:$C$1510=$A130)),'Match Log'!$AB$4:$AB$1510),"")</f>
        <v/>
      </c>
      <c r="M130" s="88" t="str">
        <f>IFERROR(LOOKUP(2,1/(('Match Log'!$D$4:$D$1510=M$105)*('Match Log'!$C$4:$C$1510=$A130)),'Match Log'!$AB$4:$AB$1510),"")</f>
        <v/>
      </c>
      <c r="N130" s="88" t="str">
        <f>IFERROR(LOOKUP(2,1/(('Match Log'!$D$4:$D$1510=N$105)*('Match Log'!$C$4:$C$1510=$A130)),'Match Log'!$AB$4:$AB$1510),"")</f>
        <v/>
      </c>
      <c r="O130" s="88" t="str">
        <f>IFERROR(LOOKUP(2,1/(('Match Log'!$D$4:$D$1510=O$105)*('Match Log'!$C$4:$C$1510=$A130)),'Match Log'!$AB$4:$AB$1510),"")</f>
        <v/>
      </c>
      <c r="P130" s="85" t="str">
        <f t="shared" si="28"/>
        <v>Daniel (Ferret)</v>
      </c>
    </row>
  </sheetData>
  <autoFilter ref="A77:G93" xr:uid="{00000000-0009-0000-0000-000006000000}">
    <sortState xmlns:xlrd2="http://schemas.microsoft.com/office/spreadsheetml/2017/richdata2" ref="A78:G93">
      <sortCondition descending="1" ref="A78:A93"/>
    </sortState>
  </autoFilter>
  <mergeCells count="7">
    <mergeCell ref="A6:Q6"/>
    <mergeCell ref="C4:G4"/>
    <mergeCell ref="A60:Q60"/>
    <mergeCell ref="A104:Q104"/>
    <mergeCell ref="A2:Q2"/>
    <mergeCell ref="A87:Q87"/>
    <mergeCell ref="A33:Q33"/>
  </mergeCells>
  <conditionalFormatting sqref="B60:O80">
    <cfRule type="colorScale" priority="8">
      <colorScale>
        <cfvo type="num" val="0"/>
        <cfvo type="num" val="0.5"/>
        <cfvo type="num" val="1"/>
        <color rgb="FFF8696B"/>
        <color rgb="FFFFEB84"/>
        <color rgb="FF63BE7B"/>
      </colorScale>
    </cfRule>
  </conditionalFormatting>
  <conditionalFormatting sqref="B62:O79">
    <cfRule type="colorScale" priority="4">
      <colorScale>
        <cfvo type="num" val="0"/>
        <cfvo type="num" val="0.5"/>
        <cfvo type="num" val="1"/>
        <color rgb="FFF2A29B"/>
        <color rgb="FFFCE7A1"/>
        <color rgb="FF8FCFA3"/>
      </colorScale>
    </cfRule>
  </conditionalFormatting>
  <conditionalFormatting sqref="B80:O83 B86:O86">
    <cfRule type="colorScale" priority="7">
      <colorScale>
        <cfvo type="num" val="0"/>
        <cfvo type="num" val="0.5"/>
        <cfvo type="num" val="1"/>
        <color rgb="FFF2A29B"/>
        <color rgb="FFFCE7A1"/>
        <color rgb="FF8FCFA3"/>
      </colorScale>
    </cfRule>
  </conditionalFormatting>
  <conditionalFormatting sqref="B84:O84">
    <cfRule type="colorScale" priority="9">
      <colorScale>
        <cfvo type="num" val="0"/>
        <cfvo type="num" val="0.5"/>
        <cfvo type="num" val="1"/>
        <color rgb="FFF2A29B"/>
        <color rgb="FFFCE7A1"/>
        <color rgb="FF8FCFA3"/>
      </colorScale>
    </cfRule>
  </conditionalFormatting>
  <conditionalFormatting sqref="B85:O85">
    <cfRule type="colorScale" priority="1">
      <colorScale>
        <cfvo type="num" val="0"/>
        <cfvo type="num" val="0.5"/>
        <cfvo type="num" val="1"/>
        <color rgb="FFF2A29B"/>
        <color rgb="FFFCE7A1"/>
        <color rgb="FF8FCFA3"/>
      </colorScale>
    </cfRule>
  </conditionalFormatting>
  <conditionalFormatting sqref="B106:O123">
    <cfRule type="colorScale" priority="5">
      <colorScale>
        <cfvo type="num" val="880"/>
        <cfvo type="num" val="1000"/>
        <cfvo type="num" val="1140"/>
        <color rgb="FFF2A29B"/>
        <color rgb="FFFCF3DD"/>
        <color rgb="FF8FCFA3"/>
      </colorScale>
    </cfRule>
  </conditionalFormatting>
  <conditionalFormatting sqref="B124:O127 B130:O130">
    <cfRule type="colorScale" priority="6">
      <colorScale>
        <cfvo type="num" val="880"/>
        <cfvo type="num" val="1000"/>
        <cfvo type="num" val="1140"/>
        <color rgb="FFF2A29B"/>
        <color rgb="FFFCF3DD"/>
        <color rgb="FF8FCFA3"/>
      </colorScale>
    </cfRule>
  </conditionalFormatting>
  <conditionalFormatting sqref="B128:O128">
    <cfRule type="colorScale" priority="10">
      <colorScale>
        <cfvo type="num" val="880"/>
        <cfvo type="num" val="1000"/>
        <cfvo type="num" val="1140"/>
        <color rgb="FFF2A29B"/>
        <color rgb="FFFCF3DD"/>
        <color rgb="FF8FCFA3"/>
      </colorScale>
    </cfRule>
  </conditionalFormatting>
  <conditionalFormatting sqref="B129:O129">
    <cfRule type="colorScale" priority="2">
      <colorScale>
        <cfvo type="num" val="880"/>
        <cfvo type="num" val="1000"/>
        <cfvo type="num" val="1140"/>
        <color rgb="FFF2A29B"/>
        <color rgb="FFFCF3DD"/>
        <color rgb="FF8FCFA3"/>
      </colorScale>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3"/>
  <sheetViews>
    <sheetView zoomScale="150" zoomScaleNormal="150" workbookViewId="0">
      <selection activeCell="K22" sqref="K22"/>
    </sheetView>
  </sheetViews>
  <sheetFormatPr baseColWidth="10" defaultColWidth="8.6640625" defaultRowHeight="15" x14ac:dyDescent="0.2"/>
  <cols>
    <col min="1" max="1" width="25.33203125" customWidth="1"/>
    <col min="2" max="2" width="12.5" customWidth="1"/>
    <col min="3" max="3" width="21.83203125" customWidth="1"/>
    <col min="4" max="4" width="9.5" customWidth="1"/>
    <col min="5" max="5" width="8.83203125" customWidth="1"/>
    <col min="6" max="6" width="15.5" customWidth="1"/>
    <col min="8" max="8" width="13" hidden="1" customWidth="1"/>
  </cols>
  <sheetData>
    <row r="1" spans="1:6" ht="21" customHeight="1" x14ac:dyDescent="0.25">
      <c r="A1" s="59" t="s">
        <v>307</v>
      </c>
    </row>
    <row r="2" spans="1:6" ht="30" customHeight="1" x14ac:dyDescent="0.2">
      <c r="A2" s="165" t="s">
        <v>308</v>
      </c>
      <c r="B2" s="146"/>
      <c r="C2" s="146"/>
      <c r="D2" s="146"/>
      <c r="E2" s="146"/>
      <c r="F2" s="146"/>
    </row>
    <row r="3" spans="1:6" ht="4.5" customHeight="1" x14ac:dyDescent="0.2"/>
    <row r="4" spans="1:6" ht="15" customHeight="1" x14ac:dyDescent="0.2">
      <c r="A4" s="11" t="s">
        <v>309</v>
      </c>
    </row>
    <row r="5" spans="1:6" ht="15" customHeight="1" x14ac:dyDescent="0.2">
      <c r="A5" s="34" t="s">
        <v>310</v>
      </c>
      <c r="B5" s="34" t="s">
        <v>311</v>
      </c>
      <c r="C5" s="34" t="s">
        <v>312</v>
      </c>
      <c r="D5" s="34" t="s">
        <v>235</v>
      </c>
      <c r="E5" s="34" t="s">
        <v>313</v>
      </c>
      <c r="F5" s="34" t="s">
        <v>314</v>
      </c>
    </row>
    <row r="6" spans="1:6" ht="15" customHeight="1" x14ac:dyDescent="0.2">
      <c r="A6" s="90">
        <v>1</v>
      </c>
      <c r="B6" s="91" t="str">
        <f>IFERROR(INDEX(Calcs!$D$25:$D$724,MATCH(LARGE(Calcs!$I$25:$I$724,1),Calcs!$I$25:$I$724,0)),"")</f>
        <v>Shawn</v>
      </c>
      <c r="C6" s="91" t="str">
        <f>IFERROR(INDEX(Calcs!$H$25:$H$724,MATCH(LARGE(Calcs!$I$25:$I$724,1),Calcs!$I$25:$I$724,0)),"")</f>
        <v>Oscar</v>
      </c>
      <c r="D6" s="91" t="str">
        <f>IFERROR(INDEX(Calcs!$C$25:$C$724,MATCH(LARGE(Calcs!$I$25:$I$724,1),Calcs!$I$25:$I$724,0)),"")</f>
        <v>Mario Kart</v>
      </c>
      <c r="E6" s="91" t="str">
        <f>IFERROR(TEXT(INDEX(Calcs!$F$25:$F$724,MATCH(LARGE(Calcs!$I$25:$I$724,1),Calcs!$I$25:$I$724,0)),"0%"),"")</f>
        <v>8%</v>
      </c>
      <c r="F6" s="91" t="str">
        <f>IFERROR(TEXT(INDEX(Calcs!$B$25:$B$724,MATCH(LARGE(Calcs!$I$25:$I$724,1),Calcs!$I$25:$I$724,0)),"d mmm"),"")</f>
        <v>8 Oct</v>
      </c>
    </row>
    <row r="7" spans="1:6" ht="15" customHeight="1" x14ac:dyDescent="0.2">
      <c r="A7" s="67">
        <v>2</v>
      </c>
      <c r="B7" s="40" t="str">
        <f>IFERROR(INDEX(Calcs!$D$25:$D$724,MATCH(LARGE(Calcs!$I$25:$I$724,2),Calcs!$I$25:$I$724,0)),"")</f>
        <v>Aaron</v>
      </c>
      <c r="C7" s="40" t="str">
        <f>IFERROR(INDEX(Calcs!$H$25:$H$724,MATCH(LARGE(Calcs!$I$25:$I$724,2),Calcs!$I$25:$I$724,0)),"")</f>
        <v>Shawn</v>
      </c>
      <c r="D7" s="40" t="str">
        <f>IFERROR(INDEX(Calcs!$C$25:$C$724,MATCH(LARGE(Calcs!$I$25:$I$724,2),Calcs!$I$25:$I$724,0)),"")</f>
        <v>Mario Golf</v>
      </c>
      <c r="E7" s="40" t="str">
        <f>IFERROR(TEXT(INDEX(Calcs!$F$25:$F$724,MATCH(LARGE(Calcs!$I$25:$I$724,2),Calcs!$I$25:$I$724,0)),"0%"),"")</f>
        <v>17%</v>
      </c>
      <c r="F7" s="40" t="str">
        <f>IFERROR(TEXT(INDEX(Calcs!$B$25:$B$724,MATCH(LARGE(Calcs!$I$25:$I$724,2),Calcs!$I$25:$I$724,0)),"d mmm"),"")</f>
        <v>10 Jul</v>
      </c>
    </row>
    <row r="8" spans="1:6" ht="15" customHeight="1" x14ac:dyDescent="0.2">
      <c r="A8" s="63">
        <v>3</v>
      </c>
      <c r="B8" s="37" t="str">
        <f>IFERROR(INDEX(Calcs!$D$25:$D$724,MATCH(LARGE(Calcs!$I$25:$I$724,3),Calcs!$I$25:$I$724,0)),"")</f>
        <v>Daniel (Ferret)</v>
      </c>
      <c r="C8" s="37" t="str">
        <f>IFERROR(INDEX(Calcs!$H$25:$H$724,MATCH(LARGE(Calcs!$I$25:$I$724,3),Calcs!$I$25:$I$724,0)),"")</f>
        <v>Shawn</v>
      </c>
      <c r="D8" s="37" t="str">
        <f>IFERROR(INDEX(Calcs!$C$25:$C$724,MATCH(LARGE(Calcs!$I$25:$I$724,3),Calcs!$I$25:$I$724,0)),"")</f>
        <v>FIFA</v>
      </c>
      <c r="E8" s="37" t="str">
        <f>IFERROR(TEXT(INDEX(Calcs!$F$25:$F$724,MATCH(LARGE(Calcs!$I$25:$I$724,3),Calcs!$I$25:$I$724,0)),"0%"),"")</f>
        <v>20%</v>
      </c>
      <c r="F8" s="37" t="str">
        <f>IFERROR(TEXT(INDEX(Calcs!$B$25:$B$724,MATCH(LARGE(Calcs!$I$25:$I$724,3),Calcs!$I$25:$I$724,0)),"d mmm"),"")</f>
        <v>30 May</v>
      </c>
    </row>
    <row r="9" spans="1:6" ht="15" customHeight="1" x14ac:dyDescent="0.2">
      <c r="A9" s="67">
        <v>4</v>
      </c>
      <c r="B9" s="40" t="str">
        <f>IFERROR(INDEX(Calcs!$D$25:$D$724,MATCH(LARGE(Calcs!$I$25:$I$724,4),Calcs!$I$25:$I$724,0)),"")</f>
        <v>Shawn</v>
      </c>
      <c r="C9" s="40" t="str">
        <f>IFERROR(INDEX(Calcs!$H$25:$H$724,MATCH(LARGE(Calcs!$I$25:$I$724,4),Calcs!$I$25:$I$724,0)),"")</f>
        <v>Daniel (Ferret)</v>
      </c>
      <c r="D9" s="40" t="str">
        <f>IFERROR(INDEX(Calcs!$C$25:$C$724,MATCH(LARGE(Calcs!$I$25:$I$724,4),Calcs!$I$25:$I$724,0)),"")</f>
        <v>Mario Party</v>
      </c>
      <c r="E9" s="40" t="str">
        <f>IFERROR(TEXT(INDEX(Calcs!$F$25:$F$724,MATCH(LARGE(Calcs!$I$25:$I$724,4),Calcs!$I$25:$I$724,0)),"0%"),"")</f>
        <v>23%</v>
      </c>
      <c r="F9" s="40" t="str">
        <f>IFERROR(TEXT(INDEX(Calcs!$B$25:$B$724,MATCH(LARGE(Calcs!$I$25:$I$724,4),Calcs!$I$25:$I$724,0)),"d mmm"),"")</f>
        <v>5 Jul</v>
      </c>
    </row>
    <row r="10" spans="1:6" ht="15" customHeight="1" x14ac:dyDescent="0.2">
      <c r="A10" s="63">
        <v>5</v>
      </c>
      <c r="B10" s="37" t="str">
        <f>IFERROR(INDEX(Calcs!$D$25:$D$724,MATCH(LARGE(Calcs!$I$25:$I$724,5),Calcs!$I$25:$I$724,0)),"")</f>
        <v>Dean B</v>
      </c>
      <c r="C10" s="37" t="str">
        <f>IFERROR(INDEX(Calcs!$H$25:$H$724,MATCH(LARGE(Calcs!$I$25:$I$724,5),Calcs!$I$25:$I$724,0)),"")</f>
        <v>David</v>
      </c>
      <c r="D10" s="37" t="str">
        <f>IFERROR(INDEX(Calcs!$C$25:$C$724,MATCH(LARGE(Calcs!$I$25:$I$724,5),Calcs!$I$25:$I$724,0)),"")</f>
        <v>Darts</v>
      </c>
      <c r="E10" s="37" t="str">
        <f>IFERROR(TEXT(INDEX(Calcs!$F$25:$F$724,MATCH(LARGE(Calcs!$I$25:$I$724,5),Calcs!$I$25:$I$724,0)),"0%"),"")</f>
        <v>23%</v>
      </c>
      <c r="F10" s="37" t="str">
        <f>IFERROR(TEXT(INDEX(Calcs!$B$25:$B$724,MATCH(LARGE(Calcs!$I$25:$I$724,5),Calcs!$I$25:$I$724,0)),"d mmm"),"")</f>
        <v>21 Aug</v>
      </c>
    </row>
    <row r="11" spans="1:6" ht="15" customHeight="1" x14ac:dyDescent="0.2">
      <c r="A11" s="67">
        <v>6</v>
      </c>
      <c r="B11" s="40" t="str">
        <f>IFERROR(INDEX(Calcs!$D$25:$D$724,MATCH(LARGE(Calcs!$I$25:$I$724,6),Calcs!$I$25:$I$724,0)),"")</f>
        <v>Simon</v>
      </c>
      <c r="C11" s="40" t="str">
        <f>IFERROR(INDEX(Calcs!$H$25:$H$724,MATCH(LARGE(Calcs!$I$25:$I$724,6),Calcs!$I$25:$I$724,0)),"")</f>
        <v>Oscar</v>
      </c>
      <c r="D11" s="40" t="str">
        <f>IFERROR(INDEX(Calcs!$C$25:$C$724,MATCH(LARGE(Calcs!$I$25:$I$724,6),Calcs!$I$25:$I$724,0)),"")</f>
        <v>Table Tennis</v>
      </c>
      <c r="E11" s="40" t="str">
        <f>IFERROR(TEXT(INDEX(Calcs!$F$25:$F$724,MATCH(LARGE(Calcs!$I$25:$I$724,6),Calcs!$I$25:$I$724,0)),"0%"),"")</f>
        <v>23%</v>
      </c>
      <c r="F11" s="40" t="str">
        <f>IFERROR(TEXT(INDEX(Calcs!$B$25:$B$724,MATCH(LARGE(Calcs!$I$25:$I$724,6),Calcs!$I$25:$I$724,0)),"d mmm"),"")</f>
        <v>23 Aug</v>
      </c>
    </row>
    <row r="12" spans="1:6" ht="15" customHeight="1" x14ac:dyDescent="0.2">
      <c r="A12" s="63">
        <v>7</v>
      </c>
      <c r="B12" s="37" t="str">
        <f>IFERROR(INDEX(Calcs!$D$25:$D$724,MATCH(LARGE(Calcs!$I$25:$I$724,7),Calcs!$I$25:$I$724,0)),"")</f>
        <v>Aaron</v>
      </c>
      <c r="C12" s="37" t="str">
        <f>IFERROR(INDEX(Calcs!$H$25:$H$724,MATCH(LARGE(Calcs!$I$25:$I$724,7),Calcs!$I$25:$I$724,0)),"")</f>
        <v>Shawn</v>
      </c>
      <c r="D12" s="37" t="str">
        <f>IFERROR(INDEX(Calcs!$C$25:$C$724,MATCH(LARGE(Calcs!$I$25:$I$724,7),Calcs!$I$25:$I$724,0)),"")</f>
        <v>Table Tennis</v>
      </c>
      <c r="E12" s="37" t="str">
        <f>IFERROR(TEXT(INDEX(Calcs!$F$25:$F$724,MATCH(LARGE(Calcs!$I$25:$I$724,7),Calcs!$I$25:$I$724,0)),"0%"),"")</f>
        <v>24%</v>
      </c>
      <c r="F12" s="37" t="str">
        <f>IFERROR(TEXT(INDEX(Calcs!$B$25:$B$724,MATCH(LARGE(Calcs!$I$25:$I$724,7),Calcs!$I$25:$I$724,0)),"d mmm"),"")</f>
        <v>21 Aug</v>
      </c>
    </row>
    <row r="13" spans="1:6" ht="15" customHeight="1" x14ac:dyDescent="0.2">
      <c r="A13" s="67">
        <v>8</v>
      </c>
      <c r="B13" s="40" t="str">
        <f>IFERROR(INDEX(Calcs!$D$25:$D$724,MATCH(LARGE(Calcs!$I$25:$I$724,8),Calcs!$I$25:$I$724,0)),"")</f>
        <v>Oscar</v>
      </c>
      <c r="C13" s="40" t="str">
        <f>IFERROR(INDEX(Calcs!$H$25:$H$724,MATCH(LARGE(Calcs!$I$25:$I$724,8),Calcs!$I$25:$I$724,0)),"")</f>
        <v>Daniel (Ferret)</v>
      </c>
      <c r="D13" s="40" t="str">
        <f>IFERROR(INDEX(Calcs!$C$25:$C$724,MATCH(LARGE(Calcs!$I$25:$I$724,8),Calcs!$I$25:$I$724,0)),"")</f>
        <v>Mario Kart</v>
      </c>
      <c r="E13" s="40" t="str">
        <f>IFERROR(TEXT(INDEX(Calcs!$F$25:$F$724,MATCH(LARGE(Calcs!$I$25:$I$724,8),Calcs!$I$25:$I$724,0)),"0%"),"")</f>
        <v>25%</v>
      </c>
      <c r="F13" s="40" t="str">
        <f>IFERROR(TEXT(INDEX(Calcs!$B$25:$B$724,MATCH(LARGE(Calcs!$I$25:$I$724,8),Calcs!$I$25:$I$724,0)),"d mmm"),"")</f>
        <v>3 Jun</v>
      </c>
    </row>
    <row r="15" spans="1:6" ht="15" customHeight="1" x14ac:dyDescent="0.2">
      <c r="A15" s="11" t="s">
        <v>315</v>
      </c>
    </row>
    <row r="16" spans="1:6" ht="15" customHeight="1" x14ac:dyDescent="0.2">
      <c r="A16" s="34" t="s">
        <v>316</v>
      </c>
      <c r="B16" s="34" t="s">
        <v>317</v>
      </c>
      <c r="C16" s="34" t="s">
        <v>318</v>
      </c>
      <c r="D16" s="34" t="s">
        <v>235</v>
      </c>
      <c r="E16" s="34" t="s">
        <v>319</v>
      </c>
      <c r="F16" s="34" t="s">
        <v>320</v>
      </c>
    </row>
    <row r="17" spans="1:8" ht="15" customHeight="1" x14ac:dyDescent="0.2">
      <c r="A17" s="92" t="s">
        <v>321</v>
      </c>
      <c r="B17" s="37" t="str">
        <f>TEXT(MAX('Match Log'!$N$4:$N$1510),"0")</f>
        <v>1337</v>
      </c>
      <c r="C17" s="37" t="str">
        <f>INDEX('Match Log'!$D$4:$D$1510,$H17)</f>
        <v>Shawn</v>
      </c>
      <c r="D17" s="37" t="str">
        <f>INDEX('Match Log'!$C$4:$C$1510,$H17)</f>
        <v>Table Tennis</v>
      </c>
      <c r="E17" s="37" t="str">
        <f>TEXT(INDEX('Match Log'!$B$4:$B$1510,$H17),"d mmm yyyy")</f>
        <v>22 Aug 2026</v>
      </c>
      <c r="F17" s="37" t="str">
        <f>IFERROR(IF(INDEX('Match Log'!$F$4:$F$1510,$H17)=2,"vs "&amp;LOOKUP(2,1/(('Match Log'!$A$4:$A$1510=INDEX('Match Log'!$A$4:$A$1510,$H17))*('Match Log'!$D$4:$D$1510&lt;&gt;$C17)),'Match Log'!$D$4:$D$1510),INDEX('Match Log'!$F$4:$F$1510,$H17)&amp;"-player game"),"")</f>
        <v>vs Aaron</v>
      </c>
      <c r="H17">
        <f>MATCH(MAX('Match Log'!$N$4:$N$1510),'Match Log'!$N$4:$N$1510,0)</f>
        <v>585</v>
      </c>
    </row>
    <row r="18" spans="1:8" ht="15" customHeight="1" x14ac:dyDescent="0.2">
      <c r="A18" s="93" t="s">
        <v>322</v>
      </c>
      <c r="B18" s="40" t="str">
        <f>TEXT(MAX('Match Log'!$M$4:$M$1510),"+0")</f>
        <v>+36</v>
      </c>
      <c r="C18" s="40" t="str">
        <f>INDEX('Match Log'!$D$4:$D$1510,$H18)</f>
        <v>Aaron</v>
      </c>
      <c r="D18" s="40" t="str">
        <f>INDEX('Match Log'!$C$4:$C$1510,$H18)</f>
        <v>Darts</v>
      </c>
      <c r="E18" s="40" t="str">
        <f>TEXT(INDEX('Match Log'!$B$4:$B$1510,$H18),"d mmm yyyy")</f>
        <v>21 Aug 2026</v>
      </c>
      <c r="F18" s="40" t="str">
        <f>IFERROR(IF(INDEX('Match Log'!$F$4:$F$1510,$H18)=2,"beat "&amp;LOOKUP(2,1/(('Match Log'!$A$4:$A$1510=INDEX('Match Log'!$A$4:$A$1510,$H18))*('Match Log'!$D$4:$D$1510&lt;&gt;$C18)),'Match Log'!$D$4:$D$1510),"won "&amp;INDEX('Match Log'!$F$4:$F$1510,$H18)&amp;"-player game"),"")</f>
        <v>won 5-player game</v>
      </c>
      <c r="H18">
        <f>MATCH(MAX('Match Log'!$M$4:$M$1510),'Match Log'!$M$4:$M$1510,0)</f>
        <v>524</v>
      </c>
    </row>
    <row r="19" spans="1:8" ht="15" customHeight="1" x14ac:dyDescent="0.2">
      <c r="A19" s="92" t="s">
        <v>323</v>
      </c>
      <c r="B19" s="37" t="str">
        <f>TEXT(MIN('Match Log'!$M$4:$M$1510),"0")</f>
        <v>-32</v>
      </c>
      <c r="C19" s="37" t="str">
        <f>INDEX('Match Log'!$D$4:$D$1510,$H19)</f>
        <v>Shawn</v>
      </c>
      <c r="D19" s="37" t="str">
        <f>INDEX('Match Log'!$C$4:$C$1510,$H19)</f>
        <v>Table Tennis</v>
      </c>
      <c r="E19" s="37" t="str">
        <f>TEXT(INDEX('Match Log'!$B$4:$B$1510,$H19),"d mmm yyyy")</f>
        <v>21 Aug 2026</v>
      </c>
      <c r="F19" s="37" t="str">
        <f>IFERROR("lost to "&amp;INDEX('Match Log'!$G$4:$G$1510,$H19),"")</f>
        <v>lost to Aaron</v>
      </c>
      <c r="H19">
        <f>MATCH(MIN('Match Log'!$M$4:$M$1510),'Match Log'!$M$4:$M$1510,0)</f>
        <v>514</v>
      </c>
    </row>
    <row r="20" spans="1:8" ht="15" customHeight="1" x14ac:dyDescent="0.2">
      <c r="A20" s="93" t="s">
        <v>324</v>
      </c>
      <c r="B20" s="40" t="str">
        <f>$E$6</f>
        <v>8%</v>
      </c>
      <c r="C20" s="40" t="str">
        <f>$B$6</f>
        <v>Shawn</v>
      </c>
      <c r="D20" s="40" t="str">
        <f>$D$6</f>
        <v>Mario Kart</v>
      </c>
      <c r="E20" s="40" t="str">
        <f>$F$6</f>
        <v>8 Oct</v>
      </c>
      <c r="F20" s="40" t="str">
        <f>"beat "&amp;$C$6</f>
        <v>beat Oscar</v>
      </c>
    </row>
    <row r="21" spans="1:8" ht="15" customHeight="1" x14ac:dyDescent="0.2">
      <c r="A21" s="92" t="s">
        <v>325</v>
      </c>
      <c r="B21" s="37" t="str">
        <f ca="1">TEXT(MAX(Dashboard!$D$5:$D$18),"0")</f>
        <v>171</v>
      </c>
      <c r="C21" s="37" t="str">
        <f ca="1">INDEX(Dashboard!$B$5:$B$18,MATCH(MAX(Dashboard!$D$5:$D$18),Dashboard!$D$5:$D$18,0))</f>
        <v>Shawn</v>
      </c>
      <c r="D21" s="37" t="s">
        <v>326</v>
      </c>
      <c r="E21" s="37" t="s">
        <v>326</v>
      </c>
      <c r="F21" s="37" t="str">
        <f ca="1">"across "&amp;INDEX(Dashboard!$K$5:$K$18,MATCH($C21,Dashboard!$B$5:$B$18,0))&amp;" sports"</f>
        <v>across 19 sports</v>
      </c>
    </row>
    <row r="22" spans="1:8" ht="15" customHeight="1" x14ac:dyDescent="0.2">
      <c r="A22" s="93" t="s">
        <v>327</v>
      </c>
      <c r="B22" s="40" t="str">
        <f ca="1">TEXT(MAX(Dashboard!$K$5:$K$18),"0")</f>
        <v>20</v>
      </c>
      <c r="C22" s="40" t="str">
        <f ca="1">INDEX(Dashboard!$B$5:$B$18,MATCH(MAX(Dashboard!$K$5:$K$18),Dashboard!$K$5:$K$18,0))</f>
        <v>Daniel (Ferret)</v>
      </c>
      <c r="D22" s="40" t="s">
        <v>326</v>
      </c>
      <c r="E22" s="40" t="s">
        <v>326</v>
      </c>
      <c r="F22" s="40" t="str">
        <f>"of "&amp;COUNTA(Lists!$C$2:$C$26)&amp;" sports available"</f>
        <v>of 25 sports available</v>
      </c>
    </row>
    <row r="23" spans="1:8" ht="15" customHeight="1" x14ac:dyDescent="0.2">
      <c r="A23" s="92" t="s">
        <v>328</v>
      </c>
      <c r="B23" s="37" t="str">
        <f>TEXT(MAX('Sport Records'!$P$8:$P$32),"0")&amp;" games"</f>
        <v>57 games</v>
      </c>
      <c r="C23" s="37" t="str">
        <f>INDEX('Sport Records'!$A$8:$A$32,MATCH(MAX('Sport Records'!$P$8:$P$32),'Sport Records'!$P$8:$P$32,0))</f>
        <v>Mario Golf</v>
      </c>
      <c r="D23" s="37" t="s">
        <v>326</v>
      </c>
      <c r="E23" s="37" t="s">
        <v>326</v>
      </c>
      <c r="F23" s="37" t="s">
        <v>329</v>
      </c>
    </row>
    <row r="24" spans="1:8" ht="15" customHeight="1" x14ac:dyDescent="0.2">
      <c r="A24" s="93" t="s">
        <v>330</v>
      </c>
      <c r="B24" s="40" t="str">
        <f>MAX(Calcs!$O$7:$O$20)&amp;" wins"</f>
        <v>6 wins</v>
      </c>
      <c r="C24" s="40" t="str">
        <f>INDEX(Calcs!$A$7:$A$20,MATCH(MAX(Calcs!$O$7:$O$20),Calcs!$O$7:$O$20,0))</f>
        <v>Josh</v>
      </c>
      <c r="D24" s="40" t="s">
        <v>326</v>
      </c>
      <c r="E24" s="40" t="s">
        <v>326</v>
      </c>
      <c r="F24" s="40" t="s">
        <v>331</v>
      </c>
    </row>
    <row r="25" spans="1:8" ht="15" customHeight="1" x14ac:dyDescent="0.2">
      <c r="A25" s="11"/>
    </row>
    <row r="26" spans="1:8" ht="15" customHeight="1" x14ac:dyDescent="0.2">
      <c r="A26" s="94" t="s">
        <v>332</v>
      </c>
      <c r="B26" s="34"/>
      <c r="C26" s="34"/>
    </row>
    <row r="27" spans="1:8" ht="15" customHeight="1" x14ac:dyDescent="0.2">
      <c r="A27" s="34" t="s">
        <v>333</v>
      </c>
      <c r="B27" s="34" t="s">
        <v>318</v>
      </c>
      <c r="C27" s="34" t="s">
        <v>334</v>
      </c>
    </row>
    <row r="28" spans="1:8" ht="15" customHeight="1" x14ac:dyDescent="0.2">
      <c r="A28" s="95" t="s">
        <v>335</v>
      </c>
      <c r="B28" s="38" t="str">
        <f ca="1">Leaders!$A$5</f>
        <v>Josh</v>
      </c>
      <c r="C28" s="40" t="s">
        <v>463</v>
      </c>
    </row>
    <row r="29" spans="1:8" ht="15" customHeight="1" x14ac:dyDescent="0.2">
      <c r="A29" s="95" t="s">
        <v>336</v>
      </c>
      <c r="B29" s="38" t="str">
        <f>INDEX(Calcs!$A$7:$A$20,MATCH(MAX(Calcs!$M$7:$M$20),Calcs!$M$7:$M$20,0))</f>
        <v>Daniel (Ferret)</v>
      </c>
      <c r="C29" s="40" t="s">
        <v>337</v>
      </c>
    </row>
    <row r="30" spans="1:8" ht="15" customHeight="1" x14ac:dyDescent="0.2">
      <c r="A30" s="95" t="s">
        <v>338</v>
      </c>
      <c r="B30" s="38" t="str">
        <f ca="1">INDEX(Dashboard!$B$5:$B$18,MATCH(MAX(Dashboard!$D$5:$D$18),Dashboard!$D$5:$D$18,0))</f>
        <v>Shawn</v>
      </c>
      <c r="C30" s="40" t="s">
        <v>339</v>
      </c>
    </row>
    <row r="31" spans="1:8" ht="15" customHeight="1" x14ac:dyDescent="0.2">
      <c r="A31" s="95" t="s">
        <v>340</v>
      </c>
      <c r="B31" s="38" t="str">
        <f ca="1">INDEX(Dashboard!$B$5:$B$18,MATCH(MAX(Dashboard!$K$5:$K$18),Dashboard!$K$5:$K$18,0))</f>
        <v>Daniel (Ferret)</v>
      </c>
      <c r="C31" s="40" t="s">
        <v>341</v>
      </c>
    </row>
    <row r="32" spans="1:8" ht="15" customHeight="1" x14ac:dyDescent="0.2">
      <c r="A32" s="95" t="s">
        <v>342</v>
      </c>
      <c r="B32" s="38" t="str">
        <f>INDEX(Calcs!$A$7:$A$20,MATCH(MAX(Calcs!$N$7:$N$20),Calcs!$N$7:$N$20,0))</f>
        <v>Josh</v>
      </c>
      <c r="C32" s="40" t="s">
        <v>343</v>
      </c>
    </row>
    <row r="33" spans="1:3" ht="15" customHeight="1" x14ac:dyDescent="0.2">
      <c r="A33" s="95" t="s">
        <v>344</v>
      </c>
      <c r="B33" s="38" t="str">
        <f ca="1">INDEX(Dashboard!$B$5:$B$18,MATCH(MIN(Dashboard!$C$5:$C$18),Dashboard!$C$5:$C$18,0))</f>
        <v>Cody</v>
      </c>
      <c r="C33" s="40" t="s">
        <v>345</v>
      </c>
    </row>
  </sheetData>
  <mergeCells count="1">
    <mergeCell ref="A2:F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83"/>
  <sheetViews>
    <sheetView topLeftCell="A54" zoomScale="140" zoomScaleNormal="140" workbookViewId="0">
      <selection activeCell="D21" sqref="D21"/>
    </sheetView>
  </sheetViews>
  <sheetFormatPr baseColWidth="10" defaultColWidth="8.6640625" defaultRowHeight="15" x14ac:dyDescent="0.2"/>
  <cols>
    <col min="1" max="1" width="24" customWidth="1"/>
    <col min="2" max="23" width="10.83203125" customWidth="1"/>
  </cols>
  <sheetData>
    <row r="1" spans="1:6" ht="21" customHeight="1" x14ac:dyDescent="0.25">
      <c r="A1" s="59" t="s">
        <v>0</v>
      </c>
    </row>
    <row r="2" spans="1:6" ht="15" customHeight="1" x14ac:dyDescent="0.2">
      <c r="A2" s="33" t="s">
        <v>1</v>
      </c>
    </row>
    <row r="3" spans="1:6" x14ac:dyDescent="0.2">
      <c r="A3" s="27"/>
      <c r="B3" s="27"/>
      <c r="C3" s="27"/>
      <c r="D3" s="27"/>
      <c r="E3" s="27"/>
      <c r="F3" s="27"/>
    </row>
    <row r="4" spans="1:6" ht="15" customHeight="1" x14ac:dyDescent="0.2">
      <c r="A4" s="11" t="s">
        <v>2</v>
      </c>
      <c r="B4" s="27"/>
      <c r="C4" s="27"/>
      <c r="D4" s="27"/>
      <c r="E4" s="27"/>
      <c r="F4" s="27"/>
    </row>
    <row r="5" spans="1:6" ht="15" customHeight="1" x14ac:dyDescent="0.2">
      <c r="A5" s="96" t="str">
        <f ca="1">"👑  "&amp;Dashboard!$B$5&amp;" leads the title race, "&amp;ROUND(Dashboard!$C$5-Dashboard!$C$6,0)&amp;" points clear of "&amp;Dashboard!$B$6&amp;"."</f>
        <v>👑  Josh leads the title race, 46 points clear of Shawn.</v>
      </c>
      <c r="B5" s="97"/>
      <c r="C5" s="97"/>
      <c r="D5" s="97"/>
      <c r="E5" s="97"/>
      <c r="F5" s="97"/>
    </row>
    <row r="6" spans="1:6" ht="15" customHeight="1" x14ac:dyDescent="0.2">
      <c r="A6" s="98" t="str">
        <f>IF(MAX(Calcs!$O$7:$O$20)&gt;=2,"🔥  "&amp;INDEX(Calcs!$A$7:$A$20,MATCH(MAX(Calcs!$O$7:$O$20),Calcs!$O$7:$O$20,0))&amp;" is on a heater — "&amp;MAX(Calcs!$O$7:$O$20)&amp;" wins in a row!","🔥  Wide open up top — nobody on a win streak right now.")</f>
        <v>🔥  Josh is on a heater — 6 wins in a row!</v>
      </c>
      <c r="B6" s="99"/>
      <c r="C6" s="99"/>
      <c r="D6" s="100"/>
      <c r="E6" s="101"/>
      <c r="F6" s="99"/>
    </row>
    <row r="7" spans="1:6" ht="15" customHeight="1" x14ac:dyDescent="0.2">
      <c r="A7" s="96" t="str">
        <f>IF(MAX(Calcs!$V$7:$V$20)&gt;=2,"🥶  "&amp;INDEX(Calcs!$A$7:$A$20,MATCH(MAX(Calcs!$V$7:$V$20),Calcs!$V$7:$V$20,0))&amp;" can't take a trick — "&amp;MAX(Calcs!$V$7:$V$20)&amp;" losses on the spin, well overdue a win.","😅  Good news: nobody's on a losing skid.")</f>
        <v>🥶  Dylan A can't take a trick — 8 losses on the spin, well overdue a win.</v>
      </c>
      <c r="B7" s="97"/>
      <c r="C7" s="97"/>
      <c r="D7" s="102"/>
      <c r="E7" s="103"/>
      <c r="F7" s="97"/>
    </row>
    <row r="8" spans="1:6" ht="15" customHeight="1" x14ac:dyDescent="0.2">
      <c r="A8" s="98" t="str">
        <f ca="1">IF(MAX(Calcs!$L$7:$L$20)&gt;0,"📈  "&amp;INDEX(Calcs!$A$7:$A$20,MATCH(MAX(Calcs!$L$7:$L$20),Calcs!$L$7:$L$20,0))&amp;" is surging — up "&amp;MAX(Calcs!$L$7:$L$20)&amp;" place(s) since last week.","📊  Standings holding steady — no big movers this week.")</f>
        <v>📈  Aaron is surging — up 2 place(s) since last week.</v>
      </c>
      <c r="B8" s="99"/>
      <c r="C8" s="99"/>
      <c r="D8" s="100"/>
      <c r="E8" s="101"/>
      <c r="F8" s="99"/>
    </row>
    <row r="9" spans="1:6" ht="15" customHeight="1" x14ac:dyDescent="0.2">
      <c r="A9" s="96" t="str">
        <f>IF(MAX(Calcs!$M$7:$M$20)&gt;0,"🗡️  "&amp;INDEX(Calcs!$A$7:$A$20,MATCH(MAX(Calcs!$M$7:$M$20),Calcs!$M$7:$M$20,0))&amp;" is the giant-killer — "&amp;MAX(Calcs!$M$7:$M$20)&amp;" win(s) against the odds.","🎯  Favourites holding firm — no major upsets lately.")</f>
        <v>🗡️  Daniel (Ferret) is the giant-killer — 10 win(s) against the odds.</v>
      </c>
      <c r="B9" s="97"/>
      <c r="C9" s="97"/>
      <c r="D9" s="102"/>
      <c r="E9" s="103"/>
      <c r="F9" s="97"/>
    </row>
    <row r="10" spans="1:6" ht="15" customHeight="1" x14ac:dyDescent="0.2">
      <c r="A10" s="98" t="str">
        <f ca="1">"🐎  "&amp;INDEX(Dashboard!$B$5:$B$18,MATCH(MAX(Dashboard!$D$5:$D$18),Dashboard!$D$5:$D$18,0))&amp;" never misses a session — "&amp;MAX(Dashboard!$D$5:$D$18)&amp;" games, more than anyone."</f>
        <v>🐎  Shawn never misses a session — 171 games, more than anyone.</v>
      </c>
      <c r="B10" s="99"/>
      <c r="C10" s="99"/>
      <c r="D10" s="100"/>
      <c r="E10" s="101"/>
      <c r="F10" s="99"/>
    </row>
    <row r="11" spans="1:6" ht="15" customHeight="1" x14ac:dyDescent="0.2">
      <c r="A11" s="96" t="str">
        <f>"🎯  "&amp;INDEX('Sport Records'!$Q$8:$Q$32,MATCH(MAX('Sport Records'!$P$8:$P$32),'Sport Records'!$P$8:$P$32,0))&amp;" rules "&amp;INDEX('Sport Records'!$A$8:$A$32,MATCH(MAX('Sport Records'!$P$8:$P$32),'Sport Records'!$P$8:$P$32,0))&amp;" — the family's most-played game with "&amp;MAX('Sport Records'!$P$8:$P$32)&amp;" contests."</f>
        <v>🎯  Daniel (Ferret) rules Mario Golf — the family's most-played game with 57 contests.</v>
      </c>
      <c r="B11" s="97"/>
      <c r="C11" s="97"/>
      <c r="D11" s="102"/>
      <c r="E11" s="103"/>
      <c r="F11" s="97"/>
    </row>
    <row r="12" spans="1:6" ht="15" customHeight="1" x14ac:dyDescent="0.2">
      <c r="A12" s="98" t="str">
        <f>"🎲  "&amp;MAX('Match Log'!$A$4:$A$1510)&amp;" games played across "&amp;COUNTIF('Sport Records'!$P$8:$P$32,"&gt;0")&amp;" different sports — and counting."</f>
        <v>🎲  327 games played across 21 different sports — and counting.</v>
      </c>
      <c r="B12" s="99"/>
      <c r="C12" s="99"/>
      <c r="D12" s="100"/>
      <c r="E12" s="101"/>
      <c r="F12" s="99"/>
    </row>
    <row r="13" spans="1:6" ht="15" customHeight="1" x14ac:dyDescent="0.2">
      <c r="A13" s="27"/>
      <c r="B13" s="27"/>
      <c r="C13" s="27"/>
      <c r="D13" s="104"/>
      <c r="E13" s="105"/>
      <c r="F13" s="27"/>
    </row>
    <row r="14" spans="1:6" ht="15" customHeight="1" x14ac:dyDescent="0.2">
      <c r="A14" s="27"/>
      <c r="B14" s="27"/>
      <c r="C14" s="27"/>
      <c r="D14" s="104"/>
      <c r="E14" s="105"/>
      <c r="F14" s="27"/>
    </row>
    <row r="15" spans="1:6" ht="15" customHeight="1" x14ac:dyDescent="0.2">
      <c r="A15" s="11" t="s">
        <v>3</v>
      </c>
      <c r="B15" s="27"/>
      <c r="C15" s="27"/>
      <c r="D15" s="104"/>
      <c r="E15" s="105"/>
      <c r="F15" s="27"/>
    </row>
    <row r="16" spans="1:6" ht="15" customHeight="1" x14ac:dyDescent="0.2">
      <c r="A16" s="34" t="s">
        <v>4</v>
      </c>
      <c r="B16" s="34" t="s">
        <v>5</v>
      </c>
      <c r="C16" s="34" t="s">
        <v>6</v>
      </c>
      <c r="D16" s="106" t="s">
        <v>7</v>
      </c>
      <c r="E16" s="105"/>
      <c r="F16" s="27"/>
    </row>
    <row r="17" spans="1:6" ht="15" customHeight="1" x14ac:dyDescent="0.2">
      <c r="A17" s="107">
        <v>1</v>
      </c>
      <c r="B17" s="108" t="str">
        <f ca="1">Dashboard!$B$5</f>
        <v>Josh</v>
      </c>
      <c r="C17" s="143">
        <f ca="1">ROUND(Dashboard!$C$5,0)</f>
        <v>1274</v>
      </c>
      <c r="D17" s="109" t="str">
        <f>"leader"</f>
        <v>leader</v>
      </c>
      <c r="E17" s="105"/>
      <c r="F17" s="27"/>
    </row>
    <row r="18" spans="1:6" ht="15" customHeight="1" x14ac:dyDescent="0.2">
      <c r="A18" s="110">
        <v>2</v>
      </c>
      <c r="B18" s="62" t="str">
        <f ca="1">Dashboard!$B$6</f>
        <v>Shawn</v>
      </c>
      <c r="C18" s="144">
        <f ca="1">ROUND(Dashboard!$C$6,0)</f>
        <v>1228</v>
      </c>
      <c r="D18" s="111" t="str">
        <f ca="1">ROUND(Dashboard!$C$5-Dashboard!$C$6,0)&amp;" behind"</f>
        <v>46 behind</v>
      </c>
      <c r="E18" s="105"/>
      <c r="F18" s="27"/>
    </row>
    <row r="19" spans="1:6" ht="15" customHeight="1" x14ac:dyDescent="0.2">
      <c r="A19" s="110">
        <v>3</v>
      </c>
      <c r="B19" s="62" t="str">
        <f ca="1">Dashboard!$B$7</f>
        <v>Aaron</v>
      </c>
      <c r="C19" s="144">
        <f ca="1">ROUND(Dashboard!$C$7,0)</f>
        <v>1223</v>
      </c>
      <c r="D19" s="111" t="str">
        <f ca="1">ROUND(Dashboard!$C$5-Dashboard!$C$7,0)&amp;" behind"</f>
        <v>50 behind</v>
      </c>
      <c r="E19" s="105"/>
      <c r="F19" s="27"/>
    </row>
    <row r="20" spans="1:6" x14ac:dyDescent="0.2">
      <c r="A20" s="27"/>
      <c r="B20" s="27"/>
      <c r="C20" s="27"/>
      <c r="D20" s="27"/>
      <c r="E20" s="27"/>
      <c r="F20" s="27"/>
    </row>
    <row r="21" spans="1:6" ht="15.75" customHeight="1" x14ac:dyDescent="0.2">
      <c r="A21" s="11" t="s">
        <v>8</v>
      </c>
      <c r="B21" s="27"/>
      <c r="C21" s="27"/>
      <c r="D21" s="60" t="s">
        <v>9</v>
      </c>
      <c r="E21" s="27"/>
      <c r="F21" s="27"/>
    </row>
    <row r="22" spans="1:6" x14ac:dyDescent="0.2">
      <c r="A22" s="34" t="s">
        <v>5</v>
      </c>
      <c r="B22" s="34" t="s">
        <v>10</v>
      </c>
      <c r="C22" s="34" t="s">
        <v>11</v>
      </c>
      <c r="D22" s="34" t="s">
        <v>12</v>
      </c>
      <c r="E22" s="34" t="s">
        <v>13</v>
      </c>
      <c r="F22" s="34" t="s">
        <v>14</v>
      </c>
    </row>
    <row r="23" spans="1:6" x14ac:dyDescent="0.2">
      <c r="A23" s="63" t="s">
        <v>15</v>
      </c>
      <c r="B23" s="37">
        <f>COUNTIFS('Match Log'!$D$4:$D$1510,$A23,'Match Log'!$C$4:$C$1510,$D$21)</f>
        <v>7</v>
      </c>
      <c r="C23" s="37">
        <f>COUNTIFS('Match Log'!$D$4:$D$1510,$A23,'Match Log'!$C$4:$C$1510,$D$21,'Match Log'!$E$4:$E$1510,"Win")</f>
        <v>3</v>
      </c>
      <c r="D23" s="64">
        <f t="shared" ref="D23:D36" si="0">IF($B23=0,"",$C23/$B23)</f>
        <v>0.42857142857142855</v>
      </c>
      <c r="E23" s="65">
        <f>IFERROR(IF($B23=0,"",INDEX('Sport Records'!$B$106:$O$130,MATCH($D$21,'Sport Records'!$A$106:$A$130,0),MATCH($A23,'Sport Records'!$B$105:$O$105,0))),"")</f>
        <v>972.31321829488218</v>
      </c>
      <c r="F23" s="37">
        <f t="shared" ref="F23:F36" si="1">IF($E23="","",RANK($E23,$E$23:$E$36))</f>
        <v>5</v>
      </c>
    </row>
    <row r="24" spans="1:6" x14ac:dyDescent="0.2">
      <c r="A24" s="67" t="s">
        <v>16</v>
      </c>
      <c r="B24" s="40">
        <f>COUNTIFS('Match Log'!$D$4:$D$1510,$A24,'Match Log'!$C$4:$C$1510,$D$21)</f>
        <v>0</v>
      </c>
      <c r="C24" s="40">
        <f>COUNTIFS('Match Log'!$D$4:$D$1510,$A24,'Match Log'!$C$4:$C$1510,$D$21,'Match Log'!$E$4:$E$1510,"Win")</f>
        <v>0</v>
      </c>
      <c r="D24" s="68" t="str">
        <f t="shared" si="0"/>
        <v/>
      </c>
      <c r="E24" s="69" t="str">
        <f>IFERROR(IF($B24=0,"",INDEX('Sport Records'!$B$106:$O$130,MATCH($D$21,'Sport Records'!$A$106:$A$130,0),MATCH($A24,'Sport Records'!$B$105:$O$105,0))),"")</f>
        <v/>
      </c>
      <c r="F24" s="40" t="str">
        <f t="shared" si="1"/>
        <v/>
      </c>
    </row>
    <row r="25" spans="1:6" x14ac:dyDescent="0.2">
      <c r="A25" s="63" t="s">
        <v>17</v>
      </c>
      <c r="B25" s="37">
        <f>COUNTIFS('Match Log'!$D$4:$D$1510,$A25,'Match Log'!$C$4:$C$1510,$D$21)</f>
        <v>0</v>
      </c>
      <c r="C25" s="37">
        <f>COUNTIFS('Match Log'!$D$4:$D$1510,$A25,'Match Log'!$C$4:$C$1510,$D$21,'Match Log'!$E$4:$E$1510,"Win")</f>
        <v>0</v>
      </c>
      <c r="D25" s="64" t="str">
        <f t="shared" si="0"/>
        <v/>
      </c>
      <c r="E25" s="65" t="str">
        <f>IFERROR(IF($B25=0,"",INDEX('Sport Records'!$B$106:$O$130,MATCH($D$21,'Sport Records'!$A$106:$A$130,0),MATCH($A25,'Sport Records'!$B$105:$O$105,0))),"")</f>
        <v/>
      </c>
      <c r="F25" s="37" t="str">
        <f t="shared" si="1"/>
        <v/>
      </c>
    </row>
    <row r="26" spans="1:6" x14ac:dyDescent="0.2">
      <c r="A26" s="67" t="s">
        <v>18</v>
      </c>
      <c r="B26" s="40">
        <f>COUNTIFS('Match Log'!$D$4:$D$1510,$A26,'Match Log'!$C$4:$C$1510,$D$21)</f>
        <v>0</v>
      </c>
      <c r="C26" s="40">
        <f>COUNTIFS('Match Log'!$D$4:$D$1510,$A26,'Match Log'!$C$4:$C$1510,$D$21,'Match Log'!$E$4:$E$1510,"Win")</f>
        <v>0</v>
      </c>
      <c r="D26" s="68" t="str">
        <f t="shared" si="0"/>
        <v/>
      </c>
      <c r="E26" s="69" t="str">
        <f>IFERROR(IF($B26=0,"",INDEX('Sport Records'!$B$106:$O$130,MATCH($D$21,'Sport Records'!$A$106:$A$130,0),MATCH($A26,'Sport Records'!$B$105:$O$105,0))),"")</f>
        <v/>
      </c>
      <c r="F26" s="40" t="str">
        <f t="shared" si="1"/>
        <v/>
      </c>
    </row>
    <row r="27" spans="1:6" x14ac:dyDescent="0.2">
      <c r="A27" s="63" t="s">
        <v>19</v>
      </c>
      <c r="B27" s="37">
        <f>COUNTIFS('Match Log'!$D$4:$D$1510,$A27,'Match Log'!$C$4:$C$1510,$D$21)</f>
        <v>1</v>
      </c>
      <c r="C27" s="37">
        <f>COUNTIFS('Match Log'!$D$4:$D$1510,$A27,'Match Log'!$C$4:$C$1510,$D$21,'Match Log'!$E$4:$E$1510,"Win")</f>
        <v>0</v>
      </c>
      <c r="D27" s="64">
        <f t="shared" si="0"/>
        <v>0</v>
      </c>
      <c r="E27" s="65">
        <f>IFERROR(IF($B27=0,"",INDEX('Sport Records'!$B$106:$O$130,MATCH($D$21,'Sport Records'!$A$106:$A$130,0),MATCH($A27,'Sport Records'!$B$105:$O$105,0))),"")</f>
        <v>985.41909823644232</v>
      </c>
      <c r="F27" s="37">
        <f t="shared" si="1"/>
        <v>4</v>
      </c>
    </row>
    <row r="28" spans="1:6" x14ac:dyDescent="0.2">
      <c r="A28" s="67" t="s">
        <v>20</v>
      </c>
      <c r="B28" s="40">
        <f>COUNTIFS('Match Log'!$D$4:$D$1510,$A28,'Match Log'!$C$4:$C$1510,$D$21)</f>
        <v>13</v>
      </c>
      <c r="C28" s="40">
        <f>COUNTIFS('Match Log'!$D$4:$D$1510,$A28,'Match Log'!$C$4:$C$1510,$D$21,'Match Log'!$E$4:$E$1510,"Win")</f>
        <v>5</v>
      </c>
      <c r="D28" s="68">
        <f t="shared" si="0"/>
        <v>0.38461538461538464</v>
      </c>
      <c r="E28" s="69">
        <f>IFERROR(IF($B28=0,"",INDEX('Sport Records'!$B$106:$O$130,MATCH($D$21,'Sport Records'!$A$106:$A$130,0),MATCH($A28,'Sport Records'!$B$105:$O$105,0))),"")</f>
        <v>991.08057844368182</v>
      </c>
      <c r="F28" s="40">
        <f t="shared" si="1"/>
        <v>3</v>
      </c>
    </row>
    <row r="29" spans="1:6" x14ac:dyDescent="0.2">
      <c r="A29" s="63" t="s">
        <v>21</v>
      </c>
      <c r="B29" s="37">
        <f>COUNTIFS('Match Log'!$D$4:$D$1510,$A29,'Match Log'!$C$4:$C$1510,$D$21)</f>
        <v>0</v>
      </c>
      <c r="C29" s="37">
        <f>COUNTIFS('Match Log'!$D$4:$D$1510,$A29,'Match Log'!$C$4:$C$1510,$D$21,'Match Log'!$E$4:$E$1510,"Win")</f>
        <v>0</v>
      </c>
      <c r="D29" s="64" t="str">
        <f t="shared" si="0"/>
        <v/>
      </c>
      <c r="E29" s="65" t="str">
        <f>IFERROR(IF($B29=0,"",INDEX('Sport Records'!$B$106:$O$130,MATCH($D$21,'Sport Records'!$A$106:$A$130,0),MATCH($A29,'Sport Records'!$B$105:$O$105,0))),"")</f>
        <v/>
      </c>
      <c r="F29" s="37" t="str">
        <f t="shared" si="1"/>
        <v/>
      </c>
    </row>
    <row r="30" spans="1:6" x14ac:dyDescent="0.2">
      <c r="A30" s="67" t="s">
        <v>22</v>
      </c>
      <c r="B30" s="40">
        <f>COUNTIFS('Match Log'!$D$4:$D$1510,$A30,'Match Log'!$C$4:$C$1510,$D$21)</f>
        <v>6</v>
      </c>
      <c r="C30" s="40">
        <f>COUNTIFS('Match Log'!$D$4:$D$1510,$A30,'Match Log'!$C$4:$C$1510,$D$21,'Match Log'!$E$4:$E$1510,"Win")</f>
        <v>5</v>
      </c>
      <c r="D30" s="68">
        <f t="shared" si="0"/>
        <v>0.83333333333333337</v>
      </c>
      <c r="E30" s="69">
        <f>IFERROR(IF($B30=0,"",INDEX('Sport Records'!$B$106:$O$130,MATCH($D$21,'Sport Records'!$A$106:$A$130,0),MATCH($A30,'Sport Records'!$B$105:$O$105,0))),"")</f>
        <v>1050.6407052513002</v>
      </c>
      <c r="F30" s="40">
        <f t="shared" si="1"/>
        <v>1</v>
      </c>
    </row>
    <row r="31" spans="1:6" x14ac:dyDescent="0.2">
      <c r="A31" s="63" t="s">
        <v>23</v>
      </c>
      <c r="B31" s="37">
        <f>COUNTIFS('Match Log'!$D$4:$D$1510,$A31,'Match Log'!$C$4:$C$1510,$D$21)</f>
        <v>0</v>
      </c>
      <c r="C31" s="37">
        <f>COUNTIFS('Match Log'!$D$4:$D$1510,$A31,'Match Log'!$C$4:$C$1510,$D$21,'Match Log'!$E$4:$E$1510,"Win")</f>
        <v>0</v>
      </c>
      <c r="D31" s="64" t="str">
        <f t="shared" si="0"/>
        <v/>
      </c>
      <c r="E31" s="65" t="str">
        <f>IFERROR(IF($B31=0,"",INDEX('Sport Records'!$B$106:$O$130,MATCH($D$21,'Sport Records'!$A$106:$A$130,0),MATCH($A31,'Sport Records'!$B$105:$O$105,0))),"")</f>
        <v/>
      </c>
      <c r="F31" s="37" t="str">
        <f t="shared" si="1"/>
        <v/>
      </c>
    </row>
    <row r="32" spans="1:6" x14ac:dyDescent="0.2">
      <c r="A32" s="67" t="s">
        <v>24</v>
      </c>
      <c r="B32" s="40">
        <f>COUNTIFS('Match Log'!$D$4:$D$1510,$A32,'Match Log'!$C$4:$C$1510,$D$21)</f>
        <v>0</v>
      </c>
      <c r="C32" s="40">
        <f>COUNTIFS('Match Log'!$D$4:$D$1510,$A32,'Match Log'!$C$4:$C$1510,$D$21,'Match Log'!$E$4:$E$1510,"Win")</f>
        <v>0</v>
      </c>
      <c r="D32" s="68" t="str">
        <f t="shared" si="0"/>
        <v/>
      </c>
      <c r="E32" s="69" t="str">
        <f>IFERROR(IF($B32=0,"",INDEX('Sport Records'!$B$106:$O$130,MATCH($D$21,'Sport Records'!$A$106:$A$130,0),MATCH($A32,'Sport Records'!$B$105:$O$105,0))),"")</f>
        <v/>
      </c>
      <c r="F32" s="40" t="str">
        <f t="shared" si="1"/>
        <v/>
      </c>
    </row>
    <row r="33" spans="1:21" x14ac:dyDescent="0.2">
      <c r="A33" s="63" t="s">
        <v>25</v>
      </c>
      <c r="B33" s="37">
        <f>COUNTIFS('Match Log'!$D$4:$D$1510,$A33,'Match Log'!$C$4:$C$1510,$D$21)</f>
        <v>3</v>
      </c>
      <c r="C33" s="37">
        <f>COUNTIFS('Match Log'!$D$4:$D$1510,$A33,'Match Log'!$C$4:$C$1510,$D$21,'Match Log'!$E$4:$E$1510,"Win")</f>
        <v>1</v>
      </c>
      <c r="D33" s="64">
        <f t="shared" si="0"/>
        <v>0.33333333333333331</v>
      </c>
      <c r="E33" s="65">
        <f>IFERROR(IF($B33=0,"",INDEX('Sport Records'!$B$106:$O$130,MATCH($D$21,'Sport Records'!$A$106:$A$130,0),MATCH($A33,'Sport Records'!$B$105:$O$105,0))),"")</f>
        <v>1000.5463997736937</v>
      </c>
      <c r="F33" s="37">
        <f t="shared" si="1"/>
        <v>2</v>
      </c>
    </row>
    <row r="34" spans="1:21" x14ac:dyDescent="0.2">
      <c r="A34" s="67" t="s">
        <v>26</v>
      </c>
      <c r="B34" s="40">
        <f>COUNTIFS('Match Log'!$D$4:$D$1510,$A34,'Match Log'!$C$4:$C$1510,$D$21)</f>
        <v>0</v>
      </c>
      <c r="C34" s="40">
        <f>COUNTIFS('Match Log'!$D$4:$D$1510,$A34,'Match Log'!$C$4:$C$1510,$D$21,'Match Log'!$E$4:$E$1510,"Win")</f>
        <v>0</v>
      </c>
      <c r="D34" s="68" t="str">
        <f t="shared" si="0"/>
        <v/>
      </c>
      <c r="E34" s="69" t="str">
        <f>IFERROR(IF($B34=0,"",INDEX('Sport Records'!$B$106:$O$130,MATCH($D$21,'Sport Records'!$A$106:$A$130,0),MATCH($A34,'Sport Records'!$B$105:$O$105,0))),"")</f>
        <v/>
      </c>
      <c r="F34" s="40" t="str">
        <f t="shared" si="1"/>
        <v/>
      </c>
    </row>
    <row r="35" spans="1:21" x14ac:dyDescent="0.2">
      <c r="A35" s="63" t="s">
        <v>27</v>
      </c>
      <c r="B35" s="37">
        <f>COUNTIFS('Match Log'!$D$4:$D$1510,$A35,'Match Log'!$C$4:$C$1510,$D$21)</f>
        <v>0</v>
      </c>
      <c r="C35" s="37">
        <f>COUNTIFS('Match Log'!$D$4:$D$1510,$A35,'Match Log'!$C$4:$C$1510,$D$21,'Match Log'!$E$4:$E$1510,"Win")</f>
        <v>0</v>
      </c>
      <c r="D35" s="64" t="str">
        <f t="shared" si="0"/>
        <v/>
      </c>
      <c r="E35" s="65" t="str">
        <f>IFERROR(IF($B35=0,"",INDEX('Sport Records'!$B$106:$O$130,MATCH($D$21,'Sport Records'!$A$106:$A$130,0),MATCH($A35,'Sport Records'!$B$105:$O$105,0))),"")</f>
        <v/>
      </c>
      <c r="F35" s="37" t="str">
        <f t="shared" si="1"/>
        <v/>
      </c>
    </row>
    <row r="36" spans="1:21" x14ac:dyDescent="0.2">
      <c r="A36" s="67" t="s">
        <v>28</v>
      </c>
      <c r="B36" s="40">
        <f>COUNTIFS('Match Log'!$D$4:$D$1510,$A36,'Match Log'!$C$4:$C$1510,$D$21)</f>
        <v>0</v>
      </c>
      <c r="C36" s="40">
        <f>COUNTIFS('Match Log'!$D$4:$D$1510,$A36,'Match Log'!$C$4:$C$1510,$D$21,'Match Log'!$E$4:$E$1510,"Win")</f>
        <v>0</v>
      </c>
      <c r="D36" s="68" t="str">
        <f t="shared" si="0"/>
        <v/>
      </c>
      <c r="E36" s="69" t="str">
        <f>IFERROR(IF($B36=0,"",INDEX('Sport Records'!$B$106:$O$130,MATCH($D$21,'Sport Records'!$A$106:$A$130,0),MATCH($A36,'Sport Records'!$B$105:$O$105,0))),"")</f>
        <v/>
      </c>
      <c r="F36" s="40" t="str">
        <f t="shared" si="1"/>
        <v/>
      </c>
    </row>
    <row r="37" spans="1:21" x14ac:dyDescent="0.2">
      <c r="A37" s="27"/>
      <c r="B37" s="27"/>
      <c r="C37" s="27"/>
      <c r="D37" s="27"/>
      <c r="E37" s="27"/>
      <c r="F37" s="27"/>
    </row>
    <row r="38" spans="1:21" ht="15.75" customHeight="1" x14ac:dyDescent="0.2">
      <c r="A38" s="11" t="s">
        <v>29</v>
      </c>
      <c r="B38" s="27"/>
      <c r="C38" s="27"/>
      <c r="D38" s="27"/>
      <c r="E38" s="27"/>
      <c r="F38" s="27"/>
    </row>
    <row r="39" spans="1:21" x14ac:dyDescent="0.2">
      <c r="A39" s="112" t="s">
        <v>30</v>
      </c>
      <c r="B39" s="27"/>
      <c r="C39" s="27"/>
      <c r="D39" s="27"/>
      <c r="E39" s="27"/>
      <c r="F39" s="27"/>
    </row>
    <row r="40" spans="1:21" x14ac:dyDescent="0.2">
      <c r="A40" s="92" t="s">
        <v>15</v>
      </c>
      <c r="B40" s="113" t="str">
        <f>IFERROR(IF(INDEX('Match Log'!$E$1:$E$1510,_xlfn.AGGREGATE(14,6,ROW('Match Log'!$A$4:$A$1510)/('Match Log'!$D$4:$D$1510=$A40),10))="Win","W","L"),"")</f>
        <v>L</v>
      </c>
      <c r="C40" s="113" t="str">
        <f>IFERROR(IF(INDEX('Match Log'!$E$1:$E$1510,_xlfn.AGGREGATE(14,6,ROW('Match Log'!$A$4:$A$1510)/('Match Log'!$D$4:$D$1510=$A40),9))="Win","W","L"),"")</f>
        <v>L</v>
      </c>
      <c r="D40" s="113" t="str">
        <f>IFERROR(IF(INDEX('Match Log'!$E$1:$E$1510,_xlfn.AGGREGATE(14,6,ROW('Match Log'!$A$4:$A$1510)/('Match Log'!$D$4:$D$1510=$A40),8))="Win","W","L"),"")</f>
        <v>L</v>
      </c>
      <c r="E40" s="113" t="str">
        <f>IFERROR(IF(INDEX('Match Log'!$E$1:$E$1510,_xlfn.AGGREGATE(14,6,ROW('Match Log'!$A$4:$A$1510)/('Match Log'!$D$4:$D$1510=$A40),7))="Win","W","L"),"")</f>
        <v>L</v>
      </c>
      <c r="F40" s="113" t="str">
        <f>IFERROR(IF(INDEX('Match Log'!$E$1:$E$1510,_xlfn.AGGREGATE(14,6,ROW('Match Log'!$A$4:$A$1510)/('Match Log'!$D$4:$D$1510=$A40),6))="Win","W","L"),"")</f>
        <v>L</v>
      </c>
      <c r="G40" s="113" t="str">
        <f>IFERROR(IF(INDEX('Match Log'!$E$1:$E$1510,_xlfn.AGGREGATE(14,6,ROW('Match Log'!$A$4:$A$1510)/('Match Log'!$D$4:$D$1510=$A40),5))="Win","W","L"),"")</f>
        <v>L</v>
      </c>
      <c r="H40" s="113" t="str">
        <f>IFERROR(IF(INDEX('Match Log'!$E$1:$E$1510,_xlfn.AGGREGATE(14,6,ROW('Match Log'!$A$4:$A$1510)/('Match Log'!$D$4:$D$1510=$A40),4))="Win","W","L"),"")</f>
        <v>L</v>
      </c>
      <c r="I40" s="113" t="str">
        <f>IFERROR(IF(INDEX('Match Log'!$E$1:$E$1510,_xlfn.AGGREGATE(14,6,ROW('Match Log'!$A$4:$A$1510)/('Match Log'!$D$4:$D$1510=$A40),3))="Win","W","L"),"")</f>
        <v>L</v>
      </c>
      <c r="J40" s="113" t="str">
        <f>IFERROR(IF(INDEX('Match Log'!$E$1:$E$1510,_xlfn.AGGREGATE(14,6,ROW('Match Log'!$A$4:$A$1510)/('Match Log'!$D$4:$D$1510=$A40),2))="Win","W","L"),"")</f>
        <v>W</v>
      </c>
      <c r="K40" s="113" t="str">
        <f>IFERROR(IF(INDEX('Match Log'!$E$1:$E$1510,_xlfn.AGGREGATE(14,6,ROW('Match Log'!$A$4:$A$1510)/('Match Log'!$D$4:$D$1510=$A40),1))="Win","W","L"),"")</f>
        <v>W</v>
      </c>
    </row>
    <row r="41" spans="1:21" x14ac:dyDescent="0.2">
      <c r="A41" s="92" t="s">
        <v>16</v>
      </c>
      <c r="B41" s="113" t="str">
        <f>IFERROR(IF(INDEX('Match Log'!$E$1:$E$1510,_xlfn.AGGREGATE(14,6,ROW('Match Log'!$A$4:$A$1510)/('Match Log'!$D$4:$D$1510=$A41),10))="Win","W","L"),"")</f>
        <v>L</v>
      </c>
      <c r="C41" s="113" t="str">
        <f>IFERROR(IF(INDEX('Match Log'!$E$1:$E$1510,_xlfn.AGGREGATE(14,6,ROW('Match Log'!$A$4:$A$1510)/('Match Log'!$D$4:$D$1510=$A41),9))="Win","W","L"),"")</f>
        <v>W</v>
      </c>
      <c r="D41" s="113" t="str">
        <f>IFERROR(IF(INDEX('Match Log'!$E$1:$E$1510,_xlfn.AGGREGATE(14,6,ROW('Match Log'!$A$4:$A$1510)/('Match Log'!$D$4:$D$1510=$A41),8))="Win","W","L"),"")</f>
        <v>W</v>
      </c>
      <c r="E41" s="113" t="str">
        <f>IFERROR(IF(INDEX('Match Log'!$E$1:$E$1510,_xlfn.AGGREGATE(14,6,ROW('Match Log'!$A$4:$A$1510)/('Match Log'!$D$4:$D$1510=$A41),7))="Win","W","L"),"")</f>
        <v>L</v>
      </c>
      <c r="F41" s="113" t="str">
        <f>IFERROR(IF(INDEX('Match Log'!$E$1:$E$1510,_xlfn.AGGREGATE(14,6,ROW('Match Log'!$A$4:$A$1510)/('Match Log'!$D$4:$D$1510=$A41),6))="Win","W","L"),"")</f>
        <v>W</v>
      </c>
      <c r="G41" s="113" t="str">
        <f>IFERROR(IF(INDEX('Match Log'!$E$1:$E$1510,_xlfn.AGGREGATE(14,6,ROW('Match Log'!$A$4:$A$1510)/('Match Log'!$D$4:$D$1510=$A41),5))="Win","W","L"),"")</f>
        <v>L</v>
      </c>
      <c r="H41" s="113" t="str">
        <f>IFERROR(IF(INDEX('Match Log'!$E$1:$E$1510,_xlfn.AGGREGATE(14,6,ROW('Match Log'!$A$4:$A$1510)/('Match Log'!$D$4:$D$1510=$A41),4))="Win","W","L"),"")</f>
        <v>W</v>
      </c>
      <c r="I41" s="113" t="str">
        <f>IFERROR(IF(INDEX('Match Log'!$E$1:$E$1510,_xlfn.AGGREGATE(14,6,ROW('Match Log'!$A$4:$A$1510)/('Match Log'!$D$4:$D$1510=$A41),3))="Win","W","L"),"")</f>
        <v>W</v>
      </c>
      <c r="J41" s="113" t="str">
        <f>IFERROR(IF(INDEX('Match Log'!$E$1:$E$1510,_xlfn.AGGREGATE(14,6,ROW('Match Log'!$A$4:$A$1510)/('Match Log'!$D$4:$D$1510=$A41),2))="Win","W","L"),"")</f>
        <v>L</v>
      </c>
      <c r="K41" s="113" t="str">
        <f>IFERROR(IF(INDEX('Match Log'!$E$1:$E$1510,_xlfn.AGGREGATE(14,6,ROW('Match Log'!$A$4:$A$1510)/('Match Log'!$D$4:$D$1510=$A41),1))="Win","W","L"),"")</f>
        <v>L</v>
      </c>
    </row>
    <row r="42" spans="1:21" x14ac:dyDescent="0.2">
      <c r="A42" s="92" t="s">
        <v>17</v>
      </c>
      <c r="B42" s="113" t="str">
        <f>IFERROR(IF(INDEX('Match Log'!$E$1:$E$1510,_xlfn.AGGREGATE(14,6,ROW('Match Log'!$A$4:$A$1510)/('Match Log'!$D$4:$D$1510=$A42),10))="Win","W","L"),"")</f>
        <v>L</v>
      </c>
      <c r="C42" s="113" t="str">
        <f>IFERROR(IF(INDEX('Match Log'!$E$1:$E$1510,_xlfn.AGGREGATE(14,6,ROW('Match Log'!$A$4:$A$1510)/('Match Log'!$D$4:$D$1510=$A42),9))="Win","W","L"),"")</f>
        <v>L</v>
      </c>
      <c r="D42" s="113" t="str">
        <f>IFERROR(IF(INDEX('Match Log'!$E$1:$E$1510,_xlfn.AGGREGATE(14,6,ROW('Match Log'!$A$4:$A$1510)/('Match Log'!$D$4:$D$1510=$A42),8))="Win","W","L"),"")</f>
        <v>L</v>
      </c>
      <c r="E42" s="113" t="str">
        <f>IFERROR(IF(INDEX('Match Log'!$E$1:$E$1510,_xlfn.AGGREGATE(14,6,ROW('Match Log'!$A$4:$A$1510)/('Match Log'!$D$4:$D$1510=$A42),7))="Win","W","L"),"")</f>
        <v>L</v>
      </c>
      <c r="F42" s="113" t="str">
        <f>IFERROR(IF(INDEX('Match Log'!$E$1:$E$1510,_xlfn.AGGREGATE(14,6,ROW('Match Log'!$A$4:$A$1510)/('Match Log'!$D$4:$D$1510=$A42),6))="Win","W","L"),"")</f>
        <v>W</v>
      </c>
      <c r="G42" s="113" t="str">
        <f>IFERROR(IF(INDEX('Match Log'!$E$1:$E$1510,_xlfn.AGGREGATE(14,6,ROW('Match Log'!$A$4:$A$1510)/('Match Log'!$D$4:$D$1510=$A42),5))="Win","W","L"),"")</f>
        <v>W</v>
      </c>
      <c r="H42" s="113" t="str">
        <f>IFERROR(IF(INDEX('Match Log'!$E$1:$E$1510,_xlfn.AGGREGATE(14,6,ROW('Match Log'!$A$4:$A$1510)/('Match Log'!$D$4:$D$1510=$A42),4))="Win","W","L"),"")</f>
        <v>L</v>
      </c>
      <c r="I42" s="113" t="str">
        <f>IFERROR(IF(INDEX('Match Log'!$E$1:$E$1510,_xlfn.AGGREGATE(14,6,ROW('Match Log'!$A$4:$A$1510)/('Match Log'!$D$4:$D$1510=$A42),3))="Win","W","L"),"")</f>
        <v>L</v>
      </c>
      <c r="J42" s="113" t="str">
        <f>IFERROR(IF(INDEX('Match Log'!$E$1:$E$1510,_xlfn.AGGREGATE(14,6,ROW('Match Log'!$A$4:$A$1510)/('Match Log'!$D$4:$D$1510=$A42),2))="Win","W","L"),"")</f>
        <v>L</v>
      </c>
      <c r="K42" s="113" t="str">
        <f>IFERROR(IF(INDEX('Match Log'!$E$1:$E$1510,_xlfn.AGGREGATE(14,6,ROW('Match Log'!$A$4:$A$1510)/('Match Log'!$D$4:$D$1510=$A42),1))="Win","W","L"),"")</f>
        <v>L</v>
      </c>
    </row>
    <row r="43" spans="1:21" x14ac:dyDescent="0.2">
      <c r="A43" s="92" t="s">
        <v>18</v>
      </c>
      <c r="B43" s="113" t="str">
        <f>IFERROR(IF(INDEX('Match Log'!$E$1:$E$1510,_xlfn.AGGREGATE(14,6,ROW('Match Log'!$A$4:$A$1510)/('Match Log'!$D$4:$D$1510=$A43),10))="Win","W","L"),"")</f>
        <v>W</v>
      </c>
      <c r="C43" s="113" t="str">
        <f>IFERROR(IF(INDEX('Match Log'!$E$1:$E$1510,_xlfn.AGGREGATE(14,6,ROW('Match Log'!$A$4:$A$1510)/('Match Log'!$D$4:$D$1510=$A43),9))="Win","W","L"),"")</f>
        <v>L</v>
      </c>
      <c r="D43" s="113" t="str">
        <f>IFERROR(IF(INDEX('Match Log'!$E$1:$E$1510,_xlfn.AGGREGATE(14,6,ROW('Match Log'!$A$4:$A$1510)/('Match Log'!$D$4:$D$1510=$A43),8))="Win","W","L"),"")</f>
        <v>L</v>
      </c>
      <c r="E43" s="113" t="str">
        <f>IFERROR(IF(INDEX('Match Log'!$E$1:$E$1510,_xlfn.AGGREGATE(14,6,ROW('Match Log'!$A$4:$A$1510)/('Match Log'!$D$4:$D$1510=$A43),7))="Win","W","L"),"")</f>
        <v>L</v>
      </c>
      <c r="F43" s="113" t="str">
        <f>IFERROR(IF(INDEX('Match Log'!$E$1:$E$1510,_xlfn.AGGREGATE(14,6,ROW('Match Log'!$A$4:$A$1510)/('Match Log'!$D$4:$D$1510=$A43),6))="Win","W","L"),"")</f>
        <v>W</v>
      </c>
      <c r="G43" s="113" t="str">
        <f>IFERROR(IF(INDEX('Match Log'!$E$1:$E$1510,_xlfn.AGGREGATE(14,6,ROW('Match Log'!$A$4:$A$1510)/('Match Log'!$D$4:$D$1510=$A43),5))="Win","W","L"),"")</f>
        <v>L</v>
      </c>
      <c r="H43" s="113" t="str">
        <f>IFERROR(IF(INDEX('Match Log'!$E$1:$E$1510,_xlfn.AGGREGATE(14,6,ROW('Match Log'!$A$4:$A$1510)/('Match Log'!$D$4:$D$1510=$A43),4))="Win","W","L"),"")</f>
        <v>L</v>
      </c>
      <c r="I43" s="113" t="str">
        <f>IFERROR(IF(INDEX('Match Log'!$E$1:$E$1510,_xlfn.AGGREGATE(14,6,ROW('Match Log'!$A$4:$A$1510)/('Match Log'!$D$4:$D$1510=$A43),3))="Win","W","L"),"")</f>
        <v>L</v>
      </c>
      <c r="J43" s="113" t="str">
        <f>IFERROR(IF(INDEX('Match Log'!$E$1:$E$1510,_xlfn.AGGREGATE(14,6,ROW('Match Log'!$A$4:$A$1510)/('Match Log'!$D$4:$D$1510=$A43),2))="Win","W","L"),"")</f>
        <v>L</v>
      </c>
      <c r="K43" s="113" t="str">
        <f>IFERROR(IF(INDEX('Match Log'!$E$1:$E$1510,_xlfn.AGGREGATE(14,6,ROW('Match Log'!$A$4:$A$1510)/('Match Log'!$D$4:$D$1510=$A43),1))="Win","W","L"),"")</f>
        <v>L</v>
      </c>
    </row>
    <row r="44" spans="1:21" x14ac:dyDescent="0.2">
      <c r="A44" s="92" t="s">
        <v>19</v>
      </c>
      <c r="B44" s="113" t="str">
        <f>IFERROR(IF(INDEX('Match Log'!$E$1:$E$1510,_xlfn.AGGREGATE(14,6,ROW('Match Log'!$A$4:$A$1510)/('Match Log'!$D$4:$D$1510=$A44),10))="Win","W","L"),"")</f>
        <v>W</v>
      </c>
      <c r="C44" s="113" t="str">
        <f>IFERROR(IF(INDEX('Match Log'!$E$1:$E$1510,_xlfn.AGGREGATE(14,6,ROW('Match Log'!$A$4:$A$1510)/('Match Log'!$D$4:$D$1510=$A44),9))="Win","W","L"),"")</f>
        <v>L</v>
      </c>
      <c r="D44" s="113" t="str">
        <f>IFERROR(IF(INDEX('Match Log'!$E$1:$E$1510,_xlfn.AGGREGATE(14,6,ROW('Match Log'!$A$4:$A$1510)/('Match Log'!$D$4:$D$1510=$A44),8))="Win","W","L"),"")</f>
        <v>W</v>
      </c>
      <c r="E44" s="113" t="str">
        <f>IFERROR(IF(INDEX('Match Log'!$E$1:$E$1510,_xlfn.AGGREGATE(14,6,ROW('Match Log'!$A$4:$A$1510)/('Match Log'!$D$4:$D$1510=$A44),7))="Win","W","L"),"")</f>
        <v>L</v>
      </c>
      <c r="F44" s="113" t="str">
        <f>IFERROR(IF(INDEX('Match Log'!$E$1:$E$1510,_xlfn.AGGREGATE(14,6,ROW('Match Log'!$A$4:$A$1510)/('Match Log'!$D$4:$D$1510=$A44),6))="Win","W","L"),"")</f>
        <v>W</v>
      </c>
      <c r="G44" s="113" t="str">
        <f>IFERROR(IF(INDEX('Match Log'!$E$1:$E$1510,_xlfn.AGGREGATE(14,6,ROW('Match Log'!$A$4:$A$1510)/('Match Log'!$D$4:$D$1510=$A44),5))="Win","W","L"),"")</f>
        <v>W</v>
      </c>
      <c r="H44" s="113" t="str">
        <f>IFERROR(IF(INDEX('Match Log'!$E$1:$E$1510,_xlfn.AGGREGATE(14,6,ROW('Match Log'!$A$4:$A$1510)/('Match Log'!$D$4:$D$1510=$A44),4))="Win","W","L"),"")</f>
        <v>W</v>
      </c>
      <c r="I44" s="113" t="str">
        <f>IFERROR(IF(INDEX('Match Log'!$E$1:$E$1510,_xlfn.AGGREGATE(14,6,ROW('Match Log'!$A$4:$A$1510)/('Match Log'!$D$4:$D$1510=$A44),3))="Win","W","L"),"")</f>
        <v>W</v>
      </c>
      <c r="J44" s="113" t="str">
        <f>IFERROR(IF(INDEX('Match Log'!$E$1:$E$1510,_xlfn.AGGREGATE(14,6,ROW('Match Log'!$A$4:$A$1510)/('Match Log'!$D$4:$D$1510=$A44),2))="Win","W","L"),"")</f>
        <v>W</v>
      </c>
      <c r="K44" s="113" t="str">
        <f>IFERROR(IF(INDEX('Match Log'!$E$1:$E$1510,_xlfn.AGGREGATE(14,6,ROW('Match Log'!$A$4:$A$1510)/('Match Log'!$D$4:$D$1510=$A44),1))="Win","W","L"),"")</f>
        <v>W</v>
      </c>
    </row>
    <row r="45" spans="1:21" x14ac:dyDescent="0.2">
      <c r="A45" s="92" t="s">
        <v>20</v>
      </c>
      <c r="B45" s="113" t="str">
        <f>IFERROR(IF(INDEX('Match Log'!$E$1:$E$1510,_xlfn.AGGREGATE(14,6,ROW('Match Log'!$A$4:$A$1510)/('Match Log'!$D$4:$D$1510=$A45),10))="Win","W","L"),"")</f>
        <v>W</v>
      </c>
      <c r="C45" s="113" t="str">
        <f>IFERROR(IF(INDEX('Match Log'!$E$1:$E$1510,_xlfn.AGGREGATE(14,6,ROW('Match Log'!$A$4:$A$1510)/('Match Log'!$D$4:$D$1510=$A45),9))="Win","W","L"),"")</f>
        <v>L</v>
      </c>
      <c r="D45" s="113" t="str">
        <f>IFERROR(IF(INDEX('Match Log'!$E$1:$E$1510,_xlfn.AGGREGATE(14,6,ROW('Match Log'!$A$4:$A$1510)/('Match Log'!$D$4:$D$1510=$A45),8))="Win","W","L"),"")</f>
        <v>L</v>
      </c>
      <c r="E45" s="113" t="str">
        <f>IFERROR(IF(INDEX('Match Log'!$E$1:$E$1510,_xlfn.AGGREGATE(14,6,ROW('Match Log'!$A$4:$A$1510)/('Match Log'!$D$4:$D$1510=$A45),7))="Win","W","L"),"")</f>
        <v>L</v>
      </c>
      <c r="F45" s="113" t="str">
        <f>IFERROR(IF(INDEX('Match Log'!$E$1:$E$1510,_xlfn.AGGREGATE(14,6,ROW('Match Log'!$A$4:$A$1510)/('Match Log'!$D$4:$D$1510=$A45),6))="Win","W","L"),"")</f>
        <v>L</v>
      </c>
      <c r="G45" s="113" t="str">
        <f>IFERROR(IF(INDEX('Match Log'!$E$1:$E$1510,_xlfn.AGGREGATE(14,6,ROW('Match Log'!$A$4:$A$1510)/('Match Log'!$D$4:$D$1510=$A45),5))="Win","W","L"),"")</f>
        <v>W</v>
      </c>
      <c r="H45" s="113" t="str">
        <f>IFERROR(IF(INDEX('Match Log'!$E$1:$E$1510,_xlfn.AGGREGATE(14,6,ROW('Match Log'!$A$4:$A$1510)/('Match Log'!$D$4:$D$1510=$A45),4))="Win","W","L"),"")</f>
        <v>W</v>
      </c>
      <c r="I45" s="113" t="str">
        <f>IFERROR(IF(INDEX('Match Log'!$E$1:$E$1510,_xlfn.AGGREGATE(14,6,ROW('Match Log'!$A$4:$A$1510)/('Match Log'!$D$4:$D$1510=$A45),3))="Win","W","L"),"")</f>
        <v>L</v>
      </c>
      <c r="J45" s="113" t="str">
        <f>IFERROR(IF(INDEX('Match Log'!$E$1:$E$1510,_xlfn.AGGREGATE(14,6,ROW('Match Log'!$A$4:$A$1510)/('Match Log'!$D$4:$D$1510=$A45),2))="Win","W","L"),"")</f>
        <v>W</v>
      </c>
      <c r="K45" s="113" t="str">
        <f>IFERROR(IF(INDEX('Match Log'!$E$1:$E$1510,_xlfn.AGGREGATE(14,6,ROW('Match Log'!$A$4:$A$1510)/('Match Log'!$D$4:$D$1510=$A45),1))="Win","W","L"),"")</f>
        <v>L</v>
      </c>
    </row>
    <row r="46" spans="1:21" x14ac:dyDescent="0.2">
      <c r="A46" s="92" t="s">
        <v>21</v>
      </c>
      <c r="B46" s="113" t="str">
        <f>IFERROR(IF(INDEX('Match Log'!$E$1:$E$1510,_xlfn.AGGREGATE(14,6,ROW('Match Log'!$A$4:$A$1510)/('Match Log'!$D$4:$D$1510=$A46),10))="Win","W","L"),"")</f>
        <v>L</v>
      </c>
      <c r="C46" s="113" t="str">
        <f>IFERROR(IF(INDEX('Match Log'!$E$1:$E$1510,_xlfn.AGGREGATE(14,6,ROW('Match Log'!$A$4:$A$1510)/('Match Log'!$D$4:$D$1510=$A46),9))="Win","W","L"),"")</f>
        <v>W</v>
      </c>
      <c r="D46" s="113" t="str">
        <f>IFERROR(IF(INDEX('Match Log'!$E$1:$E$1510,_xlfn.AGGREGATE(14,6,ROW('Match Log'!$A$4:$A$1510)/('Match Log'!$D$4:$D$1510=$A46),8))="Win","W","L"),"")</f>
        <v>W</v>
      </c>
      <c r="E46" s="113" t="str">
        <f>IFERROR(IF(INDEX('Match Log'!$E$1:$E$1510,_xlfn.AGGREGATE(14,6,ROW('Match Log'!$A$4:$A$1510)/('Match Log'!$D$4:$D$1510=$A46),7))="Win","W","L"),"")</f>
        <v>W</v>
      </c>
      <c r="F46" s="113" t="str">
        <f>IFERROR(IF(INDEX('Match Log'!$E$1:$E$1510,_xlfn.AGGREGATE(14,6,ROW('Match Log'!$A$4:$A$1510)/('Match Log'!$D$4:$D$1510=$A46),6))="Win","W","L"),"")</f>
        <v>W</v>
      </c>
      <c r="G46" s="113" t="str">
        <f>IFERROR(IF(INDEX('Match Log'!$E$1:$E$1510,_xlfn.AGGREGATE(14,6,ROW('Match Log'!$A$4:$A$1510)/('Match Log'!$D$4:$D$1510=$A46),5))="Win","W","L"),"")</f>
        <v>W</v>
      </c>
      <c r="H46" s="113" t="str">
        <f>IFERROR(IF(INDEX('Match Log'!$E$1:$E$1510,_xlfn.AGGREGATE(14,6,ROW('Match Log'!$A$4:$A$1510)/('Match Log'!$D$4:$D$1510=$A46),4))="Win","W","L"),"")</f>
        <v>L</v>
      </c>
      <c r="I46" s="113" t="str">
        <f>IFERROR(IF(INDEX('Match Log'!$E$1:$E$1510,_xlfn.AGGREGATE(14,6,ROW('Match Log'!$A$4:$A$1510)/('Match Log'!$D$4:$D$1510=$A46),3))="Win","W","L"),"")</f>
        <v>W</v>
      </c>
      <c r="J46" s="113" t="str">
        <f>IFERROR(IF(INDEX('Match Log'!$E$1:$E$1510,_xlfn.AGGREGATE(14,6,ROW('Match Log'!$A$4:$A$1510)/('Match Log'!$D$4:$D$1510=$A46),2))="Win","W","L"),"")</f>
        <v>L</v>
      </c>
      <c r="K46" s="113" t="str">
        <f>IFERROR(IF(INDEX('Match Log'!$E$1:$E$1510,_xlfn.AGGREGATE(14,6,ROW('Match Log'!$A$4:$A$1510)/('Match Log'!$D$4:$D$1510=$A46),1))="Win","W","L"),"")</f>
        <v>W</v>
      </c>
      <c r="L46" s="27"/>
      <c r="M46" s="27"/>
      <c r="N46" s="27"/>
      <c r="O46" s="27"/>
      <c r="P46" s="27"/>
      <c r="Q46" s="27"/>
      <c r="R46" s="27"/>
      <c r="S46" s="27"/>
      <c r="T46" s="27"/>
      <c r="U46" s="27"/>
    </row>
    <row r="47" spans="1:21" x14ac:dyDescent="0.2">
      <c r="A47" s="92" t="s">
        <v>22</v>
      </c>
      <c r="B47" s="113" t="str">
        <f>IFERROR(IF(INDEX('Match Log'!$E$1:$E$1510,_xlfn.AGGREGATE(14,6,ROW('Match Log'!$A$4:$A$1510)/('Match Log'!$D$4:$D$1510=$A47),10))="Win","W","L"),"")</f>
        <v>W</v>
      </c>
      <c r="C47" s="113" t="str">
        <f>IFERROR(IF(INDEX('Match Log'!$E$1:$E$1510,_xlfn.AGGREGATE(14,6,ROW('Match Log'!$A$4:$A$1510)/('Match Log'!$D$4:$D$1510=$A47),9))="Win","W","L"),"")</f>
        <v>W</v>
      </c>
      <c r="D47" s="113" t="str">
        <f>IFERROR(IF(INDEX('Match Log'!$E$1:$E$1510,_xlfn.AGGREGATE(14,6,ROW('Match Log'!$A$4:$A$1510)/('Match Log'!$D$4:$D$1510=$A47),8))="Win","W","L"),"")</f>
        <v>W</v>
      </c>
      <c r="E47" s="113" t="str">
        <f>IFERROR(IF(INDEX('Match Log'!$E$1:$E$1510,_xlfn.AGGREGATE(14,6,ROW('Match Log'!$A$4:$A$1510)/('Match Log'!$D$4:$D$1510=$A47),7))="Win","W","L"),"")</f>
        <v>W</v>
      </c>
      <c r="F47" s="113" t="str">
        <f>IFERROR(IF(INDEX('Match Log'!$E$1:$E$1510,_xlfn.AGGREGATE(14,6,ROW('Match Log'!$A$4:$A$1510)/('Match Log'!$D$4:$D$1510=$A47),6))="Win","W","L"),"")</f>
        <v>W</v>
      </c>
      <c r="G47" s="113" t="str">
        <f>IFERROR(IF(INDEX('Match Log'!$E$1:$E$1510,_xlfn.AGGREGATE(14,6,ROW('Match Log'!$A$4:$A$1510)/('Match Log'!$D$4:$D$1510=$A47),5))="Win","W","L"),"")</f>
        <v>L</v>
      </c>
      <c r="H47" s="113" t="str">
        <f>IFERROR(IF(INDEX('Match Log'!$E$1:$E$1510,_xlfn.AGGREGATE(14,6,ROW('Match Log'!$A$4:$A$1510)/('Match Log'!$D$4:$D$1510=$A47),4))="Win","W","L"),"")</f>
        <v>L</v>
      </c>
      <c r="I47" s="113" t="str">
        <f>IFERROR(IF(INDEX('Match Log'!$E$1:$E$1510,_xlfn.AGGREGATE(14,6,ROW('Match Log'!$A$4:$A$1510)/('Match Log'!$D$4:$D$1510=$A47),3))="Win","W","L"),"")</f>
        <v>W</v>
      </c>
      <c r="J47" s="113" t="str">
        <f>IFERROR(IF(INDEX('Match Log'!$E$1:$E$1510,_xlfn.AGGREGATE(14,6,ROW('Match Log'!$A$4:$A$1510)/('Match Log'!$D$4:$D$1510=$A47),2))="Win","W","L"),"")</f>
        <v>L</v>
      </c>
      <c r="K47" s="113" t="str">
        <f>IFERROR(IF(INDEX('Match Log'!$E$1:$E$1510,_xlfn.AGGREGATE(14,6,ROW('Match Log'!$A$4:$A$1510)/('Match Log'!$D$4:$D$1510=$A47),1))="Win","W","L"),"")</f>
        <v>L</v>
      </c>
      <c r="L47" s="27"/>
      <c r="M47" s="27"/>
      <c r="N47" s="27"/>
      <c r="O47" s="27"/>
      <c r="P47" s="27"/>
      <c r="Q47" s="27"/>
      <c r="R47" s="27"/>
      <c r="S47" s="27"/>
      <c r="T47" s="27"/>
      <c r="U47" s="27"/>
    </row>
    <row r="48" spans="1:21" ht="15.75" customHeight="1" x14ac:dyDescent="0.2">
      <c r="A48" s="92" t="s">
        <v>23</v>
      </c>
      <c r="B48" s="113" t="str">
        <f>IFERROR(IF(INDEX('Match Log'!$E$1:$E$1510,_xlfn.AGGREGATE(14,6,ROW('Match Log'!$A$4:$A$1510)/('Match Log'!$D$4:$D$1510=$A48),10))="Win","W","L"),"")</f>
        <v>L</v>
      </c>
      <c r="C48" s="113" t="str">
        <f>IFERROR(IF(INDEX('Match Log'!$E$1:$E$1510,_xlfn.AGGREGATE(14,6,ROW('Match Log'!$A$4:$A$1510)/('Match Log'!$D$4:$D$1510=$A48),9))="Win","W","L"),"")</f>
        <v>L</v>
      </c>
      <c r="D48" s="113" t="str">
        <f>IFERROR(IF(INDEX('Match Log'!$E$1:$E$1510,_xlfn.AGGREGATE(14,6,ROW('Match Log'!$A$4:$A$1510)/('Match Log'!$D$4:$D$1510=$A48),8))="Win","W","L"),"")</f>
        <v>W</v>
      </c>
      <c r="E48" s="113" t="str">
        <f>IFERROR(IF(INDEX('Match Log'!$E$1:$E$1510,_xlfn.AGGREGATE(14,6,ROW('Match Log'!$A$4:$A$1510)/('Match Log'!$D$4:$D$1510=$A48),7))="Win","W","L"),"")</f>
        <v>L</v>
      </c>
      <c r="F48" s="113" t="str">
        <f>IFERROR(IF(INDEX('Match Log'!$E$1:$E$1510,_xlfn.AGGREGATE(14,6,ROW('Match Log'!$A$4:$A$1510)/('Match Log'!$D$4:$D$1510=$A48),6))="Win","W","L"),"")</f>
        <v>W</v>
      </c>
      <c r="G48" s="113" t="str">
        <f>IFERROR(IF(INDEX('Match Log'!$E$1:$E$1510,_xlfn.AGGREGATE(14,6,ROW('Match Log'!$A$4:$A$1510)/('Match Log'!$D$4:$D$1510=$A48),5))="Win","W","L"),"")</f>
        <v>W</v>
      </c>
      <c r="H48" s="113" t="str">
        <f>IFERROR(IF(INDEX('Match Log'!$E$1:$E$1510,_xlfn.AGGREGATE(14,6,ROW('Match Log'!$A$4:$A$1510)/('Match Log'!$D$4:$D$1510=$A48),4))="Win","W","L"),"")</f>
        <v>W</v>
      </c>
      <c r="I48" s="113" t="str">
        <f>IFERROR(IF(INDEX('Match Log'!$E$1:$E$1510,_xlfn.AGGREGATE(14,6,ROW('Match Log'!$A$4:$A$1510)/('Match Log'!$D$4:$D$1510=$A48),3))="Win","W","L"),"")</f>
        <v>L</v>
      </c>
      <c r="J48" s="113" t="str">
        <f>IFERROR(IF(INDEX('Match Log'!$E$1:$E$1510,_xlfn.AGGREGATE(14,6,ROW('Match Log'!$A$4:$A$1510)/('Match Log'!$D$4:$D$1510=$A48),2))="Win","W","L"),"")</f>
        <v>W</v>
      </c>
      <c r="K48" s="113" t="str">
        <f>IFERROR(IF(INDEX('Match Log'!$E$1:$E$1510,_xlfn.AGGREGATE(14,6,ROW('Match Log'!$A$4:$A$1510)/('Match Log'!$D$4:$D$1510=$A48),1))="Win","W","L"),"")</f>
        <v>L</v>
      </c>
      <c r="L48" s="27"/>
      <c r="M48" s="27"/>
      <c r="N48" s="27"/>
      <c r="O48" s="27"/>
      <c r="P48" s="27"/>
      <c r="Q48" s="27"/>
      <c r="R48" s="27"/>
      <c r="S48" s="27"/>
      <c r="T48" s="27"/>
      <c r="U48" s="27"/>
    </row>
    <row r="49" spans="1:26" x14ac:dyDescent="0.2">
      <c r="A49" s="92" t="s">
        <v>24</v>
      </c>
      <c r="B49" s="113" t="str">
        <f>IFERROR(IF(INDEX('Match Log'!$E$1:$E$1510,_xlfn.AGGREGATE(14,6,ROW('Match Log'!$A$4:$A$1510)/('Match Log'!$D$4:$D$1510=$A49),10))="Win","W","L"),"")</f>
        <v>L</v>
      </c>
      <c r="C49" s="113" t="str">
        <f>IFERROR(IF(INDEX('Match Log'!$E$1:$E$1510,_xlfn.AGGREGATE(14,6,ROW('Match Log'!$A$4:$A$1510)/('Match Log'!$D$4:$D$1510=$A49),9))="Win","W","L"),"")</f>
        <v>L</v>
      </c>
      <c r="D49" s="113" t="str">
        <f>IFERROR(IF(INDEX('Match Log'!$E$1:$E$1510,_xlfn.AGGREGATE(14,6,ROW('Match Log'!$A$4:$A$1510)/('Match Log'!$D$4:$D$1510=$A49),8))="Win","W","L"),"")</f>
        <v>W</v>
      </c>
      <c r="E49" s="113" t="str">
        <f>IFERROR(IF(INDEX('Match Log'!$E$1:$E$1510,_xlfn.AGGREGATE(14,6,ROW('Match Log'!$A$4:$A$1510)/('Match Log'!$D$4:$D$1510=$A49),7))="Win","W","L"),"")</f>
        <v>W</v>
      </c>
      <c r="F49" s="113" t="str">
        <f>IFERROR(IF(INDEX('Match Log'!$E$1:$E$1510,_xlfn.AGGREGATE(14,6,ROW('Match Log'!$A$4:$A$1510)/('Match Log'!$D$4:$D$1510=$A49),6))="Win","W","L"),"")</f>
        <v>L</v>
      </c>
      <c r="G49" s="113" t="str">
        <f>IFERROR(IF(INDEX('Match Log'!$E$1:$E$1510,_xlfn.AGGREGATE(14,6,ROW('Match Log'!$A$4:$A$1510)/('Match Log'!$D$4:$D$1510=$A49),5))="Win","W","L"),"")</f>
        <v>L</v>
      </c>
      <c r="H49" s="113" t="str">
        <f>IFERROR(IF(INDEX('Match Log'!$E$1:$E$1510,_xlfn.AGGREGATE(14,6,ROW('Match Log'!$A$4:$A$1510)/('Match Log'!$D$4:$D$1510=$A49),4))="Win","W","L"),"")</f>
        <v>L</v>
      </c>
      <c r="I49" s="113" t="str">
        <f>IFERROR(IF(INDEX('Match Log'!$E$1:$E$1510,_xlfn.AGGREGATE(14,6,ROW('Match Log'!$A$4:$A$1510)/('Match Log'!$D$4:$D$1510=$A49),3))="Win","W","L"),"")</f>
        <v>L</v>
      </c>
      <c r="J49" s="113" t="str">
        <f>IFERROR(IF(INDEX('Match Log'!$E$1:$E$1510,_xlfn.AGGREGATE(14,6,ROW('Match Log'!$A$4:$A$1510)/('Match Log'!$D$4:$D$1510=$A49),2))="Win","W","L"),"")</f>
        <v>L</v>
      </c>
      <c r="K49" s="113" t="str">
        <f>IFERROR(IF(INDEX('Match Log'!$E$1:$E$1510,_xlfn.AGGREGATE(14,6,ROW('Match Log'!$A$4:$A$1510)/('Match Log'!$D$4:$D$1510=$A49),1))="Win","W","L"),"")</f>
        <v>L</v>
      </c>
      <c r="L49" s="27"/>
      <c r="M49" s="27"/>
      <c r="N49" s="27"/>
      <c r="O49" s="27"/>
      <c r="P49" s="27"/>
      <c r="Q49" s="27"/>
      <c r="R49" s="27"/>
      <c r="S49" s="27"/>
      <c r="T49" s="27"/>
      <c r="U49" s="27"/>
    </row>
    <row r="50" spans="1:26" x14ac:dyDescent="0.2">
      <c r="A50" s="92" t="s">
        <v>25</v>
      </c>
      <c r="B50" s="113" t="str">
        <f>IFERROR(IF(INDEX('Match Log'!$E$1:$E$1510,_xlfn.AGGREGATE(14,6,ROW('Match Log'!$A$4:$A$1510)/('Match Log'!$D$4:$D$1510=$A50),10))="Win","W","L"),"")</f>
        <v>L</v>
      </c>
      <c r="C50" s="113" t="str">
        <f>IFERROR(IF(INDEX('Match Log'!$E$1:$E$1510,_xlfn.AGGREGATE(14,6,ROW('Match Log'!$A$4:$A$1510)/('Match Log'!$D$4:$D$1510=$A50),9))="Win","W","L"),"")</f>
        <v>L</v>
      </c>
      <c r="D50" s="113" t="str">
        <f>IFERROR(IF(INDEX('Match Log'!$E$1:$E$1510,_xlfn.AGGREGATE(14,6,ROW('Match Log'!$A$4:$A$1510)/('Match Log'!$D$4:$D$1510=$A50),8))="Win","W","L"),"")</f>
        <v>L</v>
      </c>
      <c r="E50" s="113" t="str">
        <f>IFERROR(IF(INDEX('Match Log'!$E$1:$E$1510,_xlfn.AGGREGATE(14,6,ROW('Match Log'!$A$4:$A$1510)/('Match Log'!$D$4:$D$1510=$A50),7))="Win","W","L"),"")</f>
        <v>W</v>
      </c>
      <c r="F50" s="113" t="str">
        <f>IFERROR(IF(INDEX('Match Log'!$E$1:$E$1510,_xlfn.AGGREGATE(14,6,ROW('Match Log'!$A$4:$A$1510)/('Match Log'!$D$4:$D$1510=$A50),6))="Win","W","L"),"")</f>
        <v>W</v>
      </c>
      <c r="G50" s="113" t="str">
        <f>IFERROR(IF(INDEX('Match Log'!$E$1:$E$1510,_xlfn.AGGREGATE(14,6,ROW('Match Log'!$A$4:$A$1510)/('Match Log'!$D$4:$D$1510=$A50),5))="Win","W","L"),"")</f>
        <v>L</v>
      </c>
      <c r="H50" s="113" t="str">
        <f>IFERROR(IF(INDEX('Match Log'!$E$1:$E$1510,_xlfn.AGGREGATE(14,6,ROW('Match Log'!$A$4:$A$1510)/('Match Log'!$D$4:$D$1510=$A50),4))="Win","W","L"),"")</f>
        <v>W</v>
      </c>
      <c r="I50" s="113" t="str">
        <f>IFERROR(IF(INDEX('Match Log'!$E$1:$E$1510,_xlfn.AGGREGATE(14,6,ROW('Match Log'!$A$4:$A$1510)/('Match Log'!$D$4:$D$1510=$A50),3))="Win","W","L"),"")</f>
        <v>L</v>
      </c>
      <c r="J50" s="113" t="str">
        <f>IFERROR(IF(INDEX('Match Log'!$E$1:$E$1510,_xlfn.AGGREGATE(14,6,ROW('Match Log'!$A$4:$A$1510)/('Match Log'!$D$4:$D$1510=$A50),2))="Win","W","L"),"")</f>
        <v>W</v>
      </c>
      <c r="K50" s="113" t="str">
        <f>IFERROR(IF(INDEX('Match Log'!$E$1:$E$1510,_xlfn.AGGREGATE(14,6,ROW('Match Log'!$A$4:$A$1510)/('Match Log'!$D$4:$D$1510=$A50),1))="Win","W","L"),"")</f>
        <v>L</v>
      </c>
      <c r="L50" s="27"/>
      <c r="M50" s="27"/>
      <c r="N50" s="27"/>
      <c r="O50" s="27"/>
      <c r="P50" s="27"/>
      <c r="Q50" s="27"/>
      <c r="R50" s="27"/>
      <c r="S50" s="27"/>
      <c r="T50" s="27"/>
      <c r="U50" s="27"/>
    </row>
    <row r="51" spans="1:26" x14ac:dyDescent="0.2">
      <c r="A51" s="92" t="s">
        <v>26</v>
      </c>
      <c r="B51" s="113" t="str">
        <f>IFERROR(IF(INDEX('Match Log'!$E$1:$E$1510,_xlfn.AGGREGATE(14,6,ROW('Match Log'!$A$4:$A$1510)/('Match Log'!$D$4:$D$1510=$A51),10))="Win","W","L"),"")</f>
        <v>L</v>
      </c>
      <c r="C51" s="113" t="str">
        <f>IFERROR(IF(INDEX('Match Log'!$E$1:$E$1510,_xlfn.AGGREGATE(14,6,ROW('Match Log'!$A$4:$A$1510)/('Match Log'!$D$4:$D$1510=$A51),9))="Win","W","L"),"")</f>
        <v>L</v>
      </c>
      <c r="D51" s="113" t="str">
        <f>IFERROR(IF(INDEX('Match Log'!$E$1:$E$1510,_xlfn.AGGREGATE(14,6,ROW('Match Log'!$A$4:$A$1510)/('Match Log'!$D$4:$D$1510=$A51),8))="Win","W","L"),"")</f>
        <v>W</v>
      </c>
      <c r="E51" s="113" t="str">
        <f>IFERROR(IF(INDEX('Match Log'!$E$1:$E$1510,_xlfn.AGGREGATE(14,6,ROW('Match Log'!$A$4:$A$1510)/('Match Log'!$D$4:$D$1510=$A51),7))="Win","W","L"),"")</f>
        <v>L</v>
      </c>
      <c r="F51" s="113" t="str">
        <f>IFERROR(IF(INDEX('Match Log'!$E$1:$E$1510,_xlfn.AGGREGATE(14,6,ROW('Match Log'!$A$4:$A$1510)/('Match Log'!$D$4:$D$1510=$A51),6))="Win","W","L"),"")</f>
        <v>W</v>
      </c>
      <c r="G51" s="113" t="str">
        <f>IFERROR(IF(INDEX('Match Log'!$E$1:$E$1510,_xlfn.AGGREGATE(14,6,ROW('Match Log'!$A$4:$A$1510)/('Match Log'!$D$4:$D$1510=$A51),5))="Win","W","L"),"")</f>
        <v>L</v>
      </c>
      <c r="H51" s="113" t="str">
        <f>IFERROR(IF(INDEX('Match Log'!$E$1:$E$1510,_xlfn.AGGREGATE(14,6,ROW('Match Log'!$A$4:$A$1510)/('Match Log'!$D$4:$D$1510=$A51),4))="Win","W","L"),"")</f>
        <v>W</v>
      </c>
      <c r="I51" s="113" t="str">
        <f>IFERROR(IF(INDEX('Match Log'!$E$1:$E$1510,_xlfn.AGGREGATE(14,6,ROW('Match Log'!$A$4:$A$1510)/('Match Log'!$D$4:$D$1510=$A51),3))="Win","W","L"),"")</f>
        <v>W</v>
      </c>
      <c r="J51" s="113" t="str">
        <f>IFERROR(IF(INDEX('Match Log'!$E$1:$E$1510,_xlfn.AGGREGATE(14,6,ROW('Match Log'!$A$4:$A$1510)/('Match Log'!$D$4:$D$1510=$A51),2))="Win","W","L"),"")</f>
        <v>L</v>
      </c>
      <c r="K51" s="113" t="str">
        <f>IFERROR(IF(INDEX('Match Log'!$E$1:$E$1510,_xlfn.AGGREGATE(14,6,ROW('Match Log'!$A$4:$A$1510)/('Match Log'!$D$4:$D$1510=$A51),1))="Win","W","L"),"")</f>
        <v>W</v>
      </c>
      <c r="L51" s="27"/>
      <c r="M51" s="27"/>
      <c r="N51" s="27"/>
      <c r="O51" s="27"/>
      <c r="P51" s="27"/>
      <c r="Q51" s="27"/>
      <c r="R51" s="27"/>
      <c r="S51" s="27"/>
      <c r="T51" s="27"/>
      <c r="U51" s="27"/>
    </row>
    <row r="52" spans="1:26" x14ac:dyDescent="0.2">
      <c r="A52" s="92" t="s">
        <v>27</v>
      </c>
      <c r="B52" s="113" t="str">
        <f>IFERROR(IF(INDEX('Match Log'!$E$1:$E$1510,_xlfn.AGGREGATE(14,6,ROW('Match Log'!$A$4:$A$1510)/('Match Log'!$D$4:$D$1510=$A52),10))="Win","W","L"),"")</f>
        <v>W</v>
      </c>
      <c r="C52" s="113" t="str">
        <f>IFERROR(IF(INDEX('Match Log'!$E$1:$E$1510,_xlfn.AGGREGATE(14,6,ROW('Match Log'!$A$4:$A$1510)/('Match Log'!$D$4:$D$1510=$A52),9))="Win","W","L"),"")</f>
        <v>W</v>
      </c>
      <c r="D52" s="113" t="str">
        <f>IFERROR(IF(INDEX('Match Log'!$E$1:$E$1510,_xlfn.AGGREGATE(14,6,ROW('Match Log'!$A$4:$A$1510)/('Match Log'!$D$4:$D$1510=$A52),8))="Win","W","L"),"")</f>
        <v>L</v>
      </c>
      <c r="E52" s="113" t="str">
        <f>IFERROR(IF(INDEX('Match Log'!$E$1:$E$1510,_xlfn.AGGREGATE(14,6,ROW('Match Log'!$A$4:$A$1510)/('Match Log'!$D$4:$D$1510=$A52),7))="Win","W","L"),"")</f>
        <v>L</v>
      </c>
      <c r="F52" s="113" t="str">
        <f>IFERROR(IF(INDEX('Match Log'!$E$1:$E$1510,_xlfn.AGGREGATE(14,6,ROW('Match Log'!$A$4:$A$1510)/('Match Log'!$D$4:$D$1510=$A52),6))="Win","W","L"),"")</f>
        <v>L</v>
      </c>
      <c r="G52" s="113" t="str">
        <f>IFERROR(IF(INDEX('Match Log'!$E$1:$E$1510,_xlfn.AGGREGATE(14,6,ROW('Match Log'!$A$4:$A$1510)/('Match Log'!$D$4:$D$1510=$A52),5))="Win","W","L"),"")</f>
        <v>L</v>
      </c>
      <c r="H52" s="113" t="str">
        <f>IFERROR(IF(INDEX('Match Log'!$E$1:$E$1510,_xlfn.AGGREGATE(14,6,ROW('Match Log'!$A$4:$A$1510)/('Match Log'!$D$4:$D$1510=$A52),4))="Win","W","L"),"")</f>
        <v>L</v>
      </c>
      <c r="I52" s="113" t="str">
        <f>IFERROR(IF(INDEX('Match Log'!$E$1:$E$1510,_xlfn.AGGREGATE(14,6,ROW('Match Log'!$A$4:$A$1510)/('Match Log'!$D$4:$D$1510=$A52),3))="Win","W","L"),"")</f>
        <v>L</v>
      </c>
      <c r="J52" s="113" t="str">
        <f>IFERROR(IF(INDEX('Match Log'!$E$1:$E$1510,_xlfn.AGGREGATE(14,6,ROW('Match Log'!$A$4:$A$1510)/('Match Log'!$D$4:$D$1510=$A52),2))="Win","W","L"),"")</f>
        <v>L</v>
      </c>
      <c r="K52" s="113" t="str">
        <f>IFERROR(IF(INDEX('Match Log'!$E$1:$E$1510,_xlfn.AGGREGATE(14,6,ROW('Match Log'!$A$4:$A$1510)/('Match Log'!$D$4:$D$1510=$A52),1))="Win","W","L"),"")</f>
        <v>L</v>
      </c>
      <c r="L52" s="27"/>
      <c r="M52" s="27"/>
      <c r="N52" s="27"/>
      <c r="O52" s="27"/>
      <c r="P52" s="27"/>
      <c r="Q52" s="27"/>
      <c r="R52" s="27"/>
      <c r="S52" s="27"/>
      <c r="T52" s="27"/>
      <c r="U52" s="27"/>
    </row>
    <row r="53" spans="1:26" x14ac:dyDescent="0.2">
      <c r="A53" s="92" t="s">
        <v>28</v>
      </c>
      <c r="B53" s="113" t="str">
        <f>IFERROR(IF(INDEX('Match Log'!$E$1:$E$1510,_xlfn.AGGREGATE(14,6,ROW('Match Log'!$A$4:$A$1510)/('Match Log'!$D$4:$D$1510=$A53),10))="Win","W","L"),"")</f>
        <v/>
      </c>
      <c r="C53" s="113" t="str">
        <f>IFERROR(IF(INDEX('Match Log'!$E$1:$E$1510,_xlfn.AGGREGATE(14,6,ROW('Match Log'!$A$4:$A$1510)/('Match Log'!$D$4:$D$1510=$A53),9))="Win","W","L"),"")</f>
        <v/>
      </c>
      <c r="D53" s="113" t="str">
        <f>IFERROR(IF(INDEX('Match Log'!$E$1:$E$1510,_xlfn.AGGREGATE(14,6,ROW('Match Log'!$A$4:$A$1510)/('Match Log'!$D$4:$D$1510=$A53),8))="Win","W","L"),"")</f>
        <v/>
      </c>
      <c r="E53" s="113" t="str">
        <f>IFERROR(IF(INDEX('Match Log'!$E$1:$E$1510,_xlfn.AGGREGATE(14,6,ROW('Match Log'!$A$4:$A$1510)/('Match Log'!$D$4:$D$1510=$A53),7))="Win","W","L"),"")</f>
        <v/>
      </c>
      <c r="F53" s="113" t="str">
        <f>IFERROR(IF(INDEX('Match Log'!$E$1:$E$1510,_xlfn.AGGREGATE(14,6,ROW('Match Log'!$A$4:$A$1510)/('Match Log'!$D$4:$D$1510=$A53),6))="Win","W","L"),"")</f>
        <v/>
      </c>
      <c r="G53" s="113" t="str">
        <f>IFERROR(IF(INDEX('Match Log'!$E$1:$E$1510,_xlfn.AGGREGATE(14,6,ROW('Match Log'!$A$4:$A$1510)/('Match Log'!$D$4:$D$1510=$A53),5))="Win","W","L"),"")</f>
        <v/>
      </c>
      <c r="H53" s="113" t="str">
        <f>IFERROR(IF(INDEX('Match Log'!$E$1:$E$1510,_xlfn.AGGREGATE(14,6,ROW('Match Log'!$A$4:$A$1510)/('Match Log'!$D$4:$D$1510=$A53),4))="Win","W","L"),"")</f>
        <v/>
      </c>
      <c r="I53" s="113" t="str">
        <f>IFERROR(IF(INDEX('Match Log'!$E$1:$E$1510,_xlfn.AGGREGATE(14,6,ROW('Match Log'!$A$4:$A$1510)/('Match Log'!$D$4:$D$1510=$A53),3))="Win","W","L"),"")</f>
        <v/>
      </c>
      <c r="J53" s="113" t="str">
        <f>IFERROR(IF(INDEX('Match Log'!$E$1:$E$1510,_xlfn.AGGREGATE(14,6,ROW('Match Log'!$A$4:$A$1510)/('Match Log'!$D$4:$D$1510=$A53),2))="Win","W","L"),"")</f>
        <v/>
      </c>
      <c r="K53" s="113" t="str">
        <f>IFERROR(IF(INDEX('Match Log'!$E$1:$E$1510,_xlfn.AGGREGATE(14,6,ROW('Match Log'!$A$4:$A$1510)/('Match Log'!$D$4:$D$1510=$A53),1))="Win","W","L"),"")</f>
        <v/>
      </c>
      <c r="L53" s="27"/>
      <c r="M53" s="27"/>
      <c r="N53" s="27"/>
      <c r="O53" s="27"/>
      <c r="P53" s="27"/>
      <c r="Q53" s="27"/>
      <c r="R53" s="27"/>
      <c r="S53" s="27"/>
      <c r="T53" s="27"/>
      <c r="U53" s="27"/>
    </row>
    <row r="54" spans="1:26" x14ac:dyDescent="0.2">
      <c r="A54" s="27"/>
      <c r="B54" s="27"/>
      <c r="C54" s="27"/>
      <c r="D54" s="27"/>
      <c r="E54" s="27"/>
      <c r="F54" s="27"/>
      <c r="G54" s="27"/>
      <c r="H54" s="27"/>
      <c r="I54" s="27"/>
      <c r="J54" s="27"/>
      <c r="K54" s="27"/>
      <c r="L54" s="27"/>
      <c r="M54" s="27"/>
      <c r="N54" s="27"/>
      <c r="O54" s="27"/>
      <c r="P54" s="27"/>
      <c r="Q54" s="27"/>
      <c r="R54" s="27"/>
      <c r="S54" s="27"/>
      <c r="T54" s="27"/>
      <c r="U54" s="27"/>
    </row>
    <row r="55" spans="1:26" ht="15.75" customHeight="1" x14ac:dyDescent="0.2">
      <c r="A55" s="11" t="s">
        <v>31</v>
      </c>
      <c r="B55" s="27"/>
      <c r="C55" s="27"/>
      <c r="D55" s="27"/>
      <c r="E55" s="27"/>
      <c r="F55" s="27"/>
      <c r="G55" s="27"/>
      <c r="H55" s="27"/>
      <c r="I55" s="27"/>
      <c r="J55" s="27"/>
      <c r="K55" s="27"/>
      <c r="L55" s="27"/>
      <c r="M55" s="27"/>
      <c r="N55" s="27"/>
      <c r="O55" s="27"/>
      <c r="P55" s="27"/>
      <c r="Q55" s="27"/>
      <c r="R55" s="27"/>
      <c r="S55" s="27"/>
      <c r="T55" s="27"/>
      <c r="U55" s="27"/>
    </row>
    <row r="56" spans="1:26" x14ac:dyDescent="0.2">
      <c r="A56" s="112" t="s">
        <v>32</v>
      </c>
      <c r="B56" s="27"/>
      <c r="C56" s="27"/>
      <c r="D56" s="27"/>
      <c r="E56" s="27"/>
      <c r="F56" s="27"/>
      <c r="G56" s="27"/>
      <c r="H56" s="27"/>
      <c r="I56" s="27"/>
      <c r="J56" s="27"/>
      <c r="K56" s="27"/>
      <c r="L56" s="27"/>
      <c r="M56" s="27"/>
      <c r="N56" s="27"/>
      <c r="O56" s="27"/>
      <c r="P56" s="27"/>
      <c r="Q56" s="27"/>
      <c r="R56" s="27"/>
      <c r="S56" s="27"/>
      <c r="T56" s="27"/>
      <c r="U56" s="27"/>
    </row>
    <row r="57" spans="1:26" ht="69" customHeight="1" x14ac:dyDescent="0.2">
      <c r="A57" s="114" t="s">
        <v>5</v>
      </c>
      <c r="B57" s="115" t="s">
        <v>33</v>
      </c>
      <c r="C57" s="115" t="s">
        <v>34</v>
      </c>
      <c r="D57" s="115" t="s">
        <v>35</v>
      </c>
      <c r="E57" s="115" t="s">
        <v>36</v>
      </c>
      <c r="F57" s="115" t="s">
        <v>37</v>
      </c>
      <c r="G57" s="115" t="s">
        <v>38</v>
      </c>
      <c r="H57" s="115" t="s">
        <v>39</v>
      </c>
      <c r="I57" s="115" t="s">
        <v>40</v>
      </c>
      <c r="J57" s="115" t="s">
        <v>41</v>
      </c>
      <c r="K57" s="115" t="s">
        <v>42</v>
      </c>
      <c r="L57" s="115" t="s">
        <v>43</v>
      </c>
      <c r="M57" s="115" t="s">
        <v>44</v>
      </c>
      <c r="N57" s="115" t="s">
        <v>9</v>
      </c>
      <c r="O57" s="115" t="s">
        <v>45</v>
      </c>
      <c r="P57" s="115" t="s">
        <v>46</v>
      </c>
      <c r="Q57" s="115" t="s">
        <v>47</v>
      </c>
      <c r="R57" s="115" t="s">
        <v>48</v>
      </c>
      <c r="S57" s="115" t="s">
        <v>49</v>
      </c>
      <c r="T57" s="115" t="s">
        <v>50</v>
      </c>
      <c r="U57" s="27" t="s">
        <v>51</v>
      </c>
      <c r="V57" s="27" t="s">
        <v>52</v>
      </c>
      <c r="W57" s="27" t="s">
        <v>53</v>
      </c>
      <c r="X57" s="27" t="s">
        <v>54</v>
      </c>
      <c r="Y57" s="27" t="s">
        <v>446</v>
      </c>
      <c r="Z57" s="27" t="s">
        <v>55</v>
      </c>
    </row>
    <row r="58" spans="1:26" x14ac:dyDescent="0.2">
      <c r="A58" s="92" t="s">
        <v>15</v>
      </c>
      <c r="B58" s="116" t="str">
        <f>IFERROR(INDEX('Sport Records'!$B$62:$O$86,MATCH($B$57,'Sport Records'!$A$62:$A$86,0),MATCH($A58,'Sport Records'!$B$61:$O$61,0)),"")</f>
        <v/>
      </c>
      <c r="C58" s="116">
        <f>IFERROR(INDEX('Sport Records'!$B$62:$O$86,MATCH($C$57,'Sport Records'!$A$62:$A$86,0),MATCH($A58,'Sport Records'!$B$61:$O$61,0)),"")</f>
        <v>0.55555555555555558</v>
      </c>
      <c r="D58" s="116">
        <f>IFERROR(INDEX('Sport Records'!$B$62:$O$86,MATCH($D$57,'Sport Records'!$A$62:$A$86,0),MATCH($A58,'Sport Records'!$B$61:$O$61,0)),"")</f>
        <v>0.7857142857142857</v>
      </c>
      <c r="E58" s="116">
        <f>IFERROR(INDEX('Sport Records'!$B$62:$O$86,MATCH($E$57,'Sport Records'!$A$62:$A$86,0),MATCH($A58,'Sport Records'!$B$61:$O$61,0)),"")</f>
        <v>0</v>
      </c>
      <c r="F58" s="116" t="str">
        <f>IFERROR(INDEX('Sport Records'!$B$62:$O$86,MATCH($F$57,'Sport Records'!$A$62:$A$86,0),MATCH($A58,'Sport Records'!$B$61:$O$61,0)),"")</f>
        <v/>
      </c>
      <c r="G58" s="116">
        <f>IFERROR(INDEX('Sport Records'!$B$62:$O$86,MATCH($G$57,'Sport Records'!$A$62:$A$86,0),MATCH($A58,'Sport Records'!$B$61:$O$61,0)),"")</f>
        <v>1</v>
      </c>
      <c r="H58" s="116" t="str">
        <f>IFERROR(INDEX('Sport Records'!$B$62:$O$86,MATCH($H$57,'Sport Records'!$A$62:$A$86,0),MATCH($A58,'Sport Records'!$B$61:$O$61,0)),"")</f>
        <v/>
      </c>
      <c r="I58" s="116" t="str">
        <f>IFERROR(INDEX('Sport Records'!$B$62:$O$86,MATCH($I$57,'Sport Records'!$A$62:$A$86,0),MATCH($A58,'Sport Records'!$B$61:$O$61,0)),"")</f>
        <v/>
      </c>
      <c r="J58" s="116">
        <f>IFERROR(INDEX('Sport Records'!$B$62:$O$86,MATCH($J$57,'Sport Records'!$A$62:$A$86,0),MATCH($A58,'Sport Records'!$B$61:$O$61,0)),"")</f>
        <v>0</v>
      </c>
      <c r="K58" s="116" t="str">
        <f>IFERROR(INDEX('Sport Records'!$B$62:$O$86,MATCH($K$57,'Sport Records'!$A$62:$A$86,0),MATCH($A58,'Sport Records'!$B$61:$O$61,0)),"")</f>
        <v/>
      </c>
      <c r="L58" s="116" t="str">
        <f>IFERROR(INDEX('Sport Records'!$B$62:$O$86,MATCH($L$57,'Sport Records'!$A$62:$A$86,0),MATCH($A58,'Sport Records'!$B$61:$O$61,0)),"")</f>
        <v/>
      </c>
      <c r="M58" s="116">
        <f>IFERROR(INDEX('Sport Records'!$B$62:$O$86,MATCH($M$57,'Sport Records'!$A$62:$A$86,0),MATCH($A58,'Sport Records'!$B$61:$O$61,0)),"")</f>
        <v>0.625</v>
      </c>
      <c r="N58" s="116">
        <f>IFERROR(INDEX('Sport Records'!$B$62:$O$86,MATCH($N$57,'Sport Records'!$A$62:$A$86,0),MATCH($A58,'Sport Records'!$B$61:$O$61,0)),"")</f>
        <v>0.42857142857142855</v>
      </c>
      <c r="O58" s="116">
        <f>IFERROR(INDEX('Sport Records'!$B$62:$O$86,MATCH($O$57,'Sport Records'!$A$62:$A$86,0),MATCH($A58,'Sport Records'!$B$61:$O$61,0)),"")</f>
        <v>1</v>
      </c>
      <c r="P58" s="116" t="str">
        <f>IFERROR(INDEX('Sport Records'!$B$62:$O$86,MATCH($P$57,'Sport Records'!$A$62:$A$86,0),MATCH($A58,'Sport Records'!$B$61:$O$61,0)),"")</f>
        <v/>
      </c>
      <c r="Q58" s="116">
        <f>IFERROR(INDEX('Sport Records'!$B$62:$O$86,MATCH($Q$57,'Sport Records'!$A$62:$A$86,0),MATCH($A58,'Sport Records'!$B$61:$O$61,0)),"")</f>
        <v>0.41666666666666669</v>
      </c>
      <c r="R58" s="116">
        <f>IFERROR(INDEX('Sport Records'!$B$62:$O$86,MATCH($R$57,'Sport Records'!$A$62:$A$86,0),MATCH($A58,'Sport Records'!$B$61:$O$61,0)),"")</f>
        <v>0</v>
      </c>
      <c r="S58" s="116">
        <f>IFERROR(INDEX('Sport Records'!$B$62:$O$86,MATCH($S$57,'Sport Records'!$A$62:$A$86,0),MATCH($A58,'Sport Records'!$B$61:$O$61,0)),"")</f>
        <v>0.2857142857142857</v>
      </c>
      <c r="T58" s="116">
        <f>IFERROR(INDEX('Sport Records'!$B$62:$O$86,MATCH($T$57,'Sport Records'!$A$62:$A$86,0),MATCH($A58,'Sport Records'!$B$61:$O$61,0)),"")</f>
        <v>0.1875</v>
      </c>
      <c r="U58" s="27">
        <f>IFERROR(INDEX('Sport Records'!$B$62:$O$86,MATCH($U$57,'Sport Records'!$A$62:$A$86,0),MATCH($A58,'Sport Records'!$B$61:$O$61,0)),"")</f>
        <v>0</v>
      </c>
      <c r="V58" s="27" t="str">
        <f>IFERROR(INDEX('Sport Records'!$B$62:$O$86,MATCH($V$57,'Sport Records'!$A$62:$A$86,0),MATCH($A58,'Sport Records'!$B$61:$O$61,0)),"")</f>
        <v/>
      </c>
      <c r="W58" s="27" t="str">
        <f>IFERROR(INDEX('Sport Records'!$B$62:$O$86,MATCH($W$57,'Sport Records'!$A$62:$A$86,0),MATCH($A58,'Sport Records'!$B$61:$O$61,0)),"")</f>
        <v/>
      </c>
      <c r="X58" s="27">
        <f>IFERROR(INDEX('Sport Records'!$B$62:$O$86,MATCH($X$57,'Sport Records'!$A$62:$A$86,0),MATCH($A58,'Sport Records'!$B$61:$O$61,0)),"")</f>
        <v>1</v>
      </c>
      <c r="Y58" s="27" t="str">
        <f>IFERROR(INDEX('Sport Records'!$B$62:$O$86,MATCH($Y$57,'Sport Records'!$A$62:$A$86,0),MATCH($A58,'Sport Records'!$B$61:$O$61,0)),"")</f>
        <v/>
      </c>
      <c r="Z58" s="27" t="str">
        <f>IFERROR(INDEX('Sport Records'!$B$62:$O$86,MATCH($Z$57,'Sport Records'!$A$62:$A$86,0),MATCH($A58,'Sport Records'!$B$61:$O$61,0)),"")</f>
        <v/>
      </c>
    </row>
    <row r="59" spans="1:26" x14ac:dyDescent="0.2">
      <c r="A59" s="92" t="s">
        <v>16</v>
      </c>
      <c r="B59" s="116" t="str">
        <f>IFERROR(INDEX('Sport Records'!$B$62:$O$86,MATCH($B$57,'Sport Records'!$A$62:$A$86,0),MATCH($A59,'Sport Records'!$B$61:$O$61,0)),"")</f>
        <v/>
      </c>
      <c r="C59" s="116" t="str">
        <f>IFERROR(INDEX('Sport Records'!$B$62:$O$86,MATCH($C$57,'Sport Records'!$A$62:$A$86,0),MATCH($A59,'Sport Records'!$B$61:$O$61,0)),"")</f>
        <v/>
      </c>
      <c r="D59" s="116" t="str">
        <f>IFERROR(INDEX('Sport Records'!$B$62:$O$86,MATCH($D$57,'Sport Records'!$A$62:$A$86,0),MATCH($A59,'Sport Records'!$B$61:$O$61,0)),"")</f>
        <v/>
      </c>
      <c r="E59" s="116" t="str">
        <f>IFERROR(INDEX('Sport Records'!$B$62:$O$86,MATCH($E$57,'Sport Records'!$A$62:$A$86,0),MATCH($A59,'Sport Records'!$B$61:$O$61,0)),"")</f>
        <v/>
      </c>
      <c r="F59" s="116">
        <f>IFERROR(INDEX('Sport Records'!$B$62:$O$86,MATCH($F$57,'Sport Records'!$A$62:$A$86,0),MATCH($A59,'Sport Records'!$B$61:$O$61,0)),"")</f>
        <v>0</v>
      </c>
      <c r="G59" s="116" t="str">
        <f>IFERROR(INDEX('Sport Records'!$B$62:$O$86,MATCH($G$57,'Sport Records'!$A$62:$A$86,0),MATCH($A59,'Sport Records'!$B$61:$O$61,0)),"")</f>
        <v/>
      </c>
      <c r="H59" s="116" t="str">
        <f>IFERROR(INDEX('Sport Records'!$B$62:$O$86,MATCH($H$57,'Sport Records'!$A$62:$A$86,0),MATCH($A59,'Sport Records'!$B$61:$O$61,0)),"")</f>
        <v/>
      </c>
      <c r="I59" s="116" t="str">
        <f>IFERROR(INDEX('Sport Records'!$B$62:$O$86,MATCH($I$57,'Sport Records'!$A$62:$A$86,0),MATCH($A59,'Sport Records'!$B$61:$O$61,0)),"")</f>
        <v/>
      </c>
      <c r="J59" s="116" t="str">
        <f>IFERROR(INDEX('Sport Records'!$B$62:$O$86,MATCH($J$57,'Sport Records'!$A$62:$A$86,0),MATCH($A59,'Sport Records'!$B$61:$O$61,0)),"")</f>
        <v/>
      </c>
      <c r="K59" s="116" t="str">
        <f>IFERROR(INDEX('Sport Records'!$B$62:$O$86,MATCH($K$57,'Sport Records'!$A$62:$A$86,0),MATCH($A59,'Sport Records'!$B$61:$O$61,0)),"")</f>
        <v/>
      </c>
      <c r="L59" s="116" t="str">
        <f>IFERROR(INDEX('Sport Records'!$B$62:$O$86,MATCH($L$57,'Sport Records'!$A$62:$A$86,0),MATCH($A59,'Sport Records'!$B$61:$O$61,0)),"")</f>
        <v/>
      </c>
      <c r="M59" s="116">
        <f>IFERROR(INDEX('Sport Records'!$B$62:$O$86,MATCH($M$57,'Sport Records'!$A$62:$A$86,0),MATCH($A59,'Sport Records'!$B$61:$O$61,0)),"")</f>
        <v>0</v>
      </c>
      <c r="N59" s="116" t="str">
        <f>IFERROR(INDEX('Sport Records'!$B$62:$O$86,MATCH($N$57,'Sport Records'!$A$62:$A$86,0),MATCH($A59,'Sport Records'!$B$61:$O$61,0)),"")</f>
        <v/>
      </c>
      <c r="O59" s="116" t="str">
        <f>IFERROR(INDEX('Sport Records'!$B$62:$O$86,MATCH($O$57,'Sport Records'!$A$62:$A$86,0),MATCH($A59,'Sport Records'!$B$61:$O$61,0)),"")</f>
        <v/>
      </c>
      <c r="P59" s="116" t="str">
        <f>IFERROR(INDEX('Sport Records'!$B$62:$O$86,MATCH($P$57,'Sport Records'!$A$62:$A$86,0),MATCH($A59,'Sport Records'!$B$61:$O$61,0)),"")</f>
        <v/>
      </c>
      <c r="Q59" s="116" t="str">
        <f>IFERROR(INDEX('Sport Records'!$B$62:$O$86,MATCH($Q$57,'Sport Records'!$A$62:$A$86,0),MATCH($A59,'Sport Records'!$B$61:$O$61,0)),"")</f>
        <v/>
      </c>
      <c r="R59" s="116" t="str">
        <f>IFERROR(INDEX('Sport Records'!$B$62:$O$86,MATCH($R$57,'Sport Records'!$A$62:$A$86,0),MATCH($A59,'Sport Records'!$B$61:$O$61,0)),"")</f>
        <v/>
      </c>
      <c r="S59" s="116">
        <f>IFERROR(INDEX('Sport Records'!$B$62:$O$86,MATCH($S$57,'Sport Records'!$A$62:$A$86,0),MATCH($A59,'Sport Records'!$B$61:$O$61,0)),"")</f>
        <v>0.625</v>
      </c>
      <c r="T59" s="116" t="str">
        <f>IFERROR(INDEX('Sport Records'!$B$62:$O$86,MATCH($T$57,'Sport Records'!$A$62:$A$86,0),MATCH($A59,'Sport Records'!$B$61:$O$61,0)),"")</f>
        <v/>
      </c>
      <c r="U59" s="27" t="str">
        <f>IFERROR(INDEX('Sport Records'!$B$62:$O$86,MATCH($U$57,'Sport Records'!$A$62:$A$86,0),MATCH($A59,'Sport Records'!$B$61:$O$61,0)),"")</f>
        <v/>
      </c>
      <c r="V59" s="27" t="str">
        <f>IFERROR(INDEX('Sport Records'!$B$62:$O$86,MATCH($V$57,'Sport Records'!$A$62:$A$86,0),MATCH($A59,'Sport Records'!$B$61:$O$61,0)),"")</f>
        <v/>
      </c>
      <c r="W59" s="27" t="str">
        <f>IFERROR(INDEX('Sport Records'!$B$62:$O$86,MATCH($W$57,'Sport Records'!$A$62:$A$86,0),MATCH($A59,'Sport Records'!$B$61:$O$61,0)),"")</f>
        <v/>
      </c>
      <c r="X59" s="27" t="str">
        <f>IFERROR(INDEX('Sport Records'!$B$62:$O$86,MATCH($X$57,'Sport Records'!$A$62:$A$86,0),MATCH($A59,'Sport Records'!$B$61:$O$61,0)),"")</f>
        <v/>
      </c>
      <c r="Y59" s="27" t="str">
        <f>IFERROR(INDEX('Sport Records'!$B$62:$O$86,MATCH($Y$57,'Sport Records'!$A$62:$A$86,0),MATCH($A59,'Sport Records'!$B$61:$O$61,0)),"")</f>
        <v/>
      </c>
      <c r="Z59" s="27" t="str">
        <f>IFERROR(INDEX('Sport Records'!$B$62:$O$86,MATCH($Z$57,'Sport Records'!$A$62:$A$86,0),MATCH($A59,'Sport Records'!$B$61:$O$61,0)),"")</f>
        <v/>
      </c>
    </row>
    <row r="60" spans="1:26" x14ac:dyDescent="0.2">
      <c r="A60" s="92" t="s">
        <v>17</v>
      </c>
      <c r="B60" s="116">
        <f>IFERROR(INDEX('Sport Records'!$B$62:$O$86,MATCH($B$57,'Sport Records'!$A$62:$A$86,0),MATCH($A60,'Sport Records'!$B$61:$O$61,0)),"")</f>
        <v>0.33333333333333331</v>
      </c>
      <c r="C60" s="116" t="str">
        <f>IFERROR(INDEX('Sport Records'!$B$62:$O$86,MATCH($C$57,'Sport Records'!$A$62:$A$86,0),MATCH($A60,'Sport Records'!$B$61:$O$61,0)),"")</f>
        <v/>
      </c>
      <c r="D60" s="116">
        <f>IFERROR(INDEX('Sport Records'!$B$62:$O$86,MATCH($D$57,'Sport Records'!$A$62:$A$86,0),MATCH($A60,'Sport Records'!$B$61:$O$61,0)),"")</f>
        <v>0</v>
      </c>
      <c r="E60" s="116">
        <f>IFERROR(INDEX('Sport Records'!$B$62:$O$86,MATCH($E$57,'Sport Records'!$A$62:$A$86,0),MATCH($A60,'Sport Records'!$B$61:$O$61,0)),"")</f>
        <v>0</v>
      </c>
      <c r="F60" s="116" t="str">
        <f>IFERROR(INDEX('Sport Records'!$B$62:$O$86,MATCH($F$57,'Sport Records'!$A$62:$A$86,0),MATCH($A60,'Sport Records'!$B$61:$O$61,0)),"")</f>
        <v/>
      </c>
      <c r="G60" s="116">
        <f>IFERROR(INDEX('Sport Records'!$B$62:$O$86,MATCH($G$57,'Sport Records'!$A$62:$A$86,0),MATCH($A60,'Sport Records'!$B$61:$O$61,0)),"")</f>
        <v>0</v>
      </c>
      <c r="H60" s="116" t="str">
        <f>IFERROR(INDEX('Sport Records'!$B$62:$O$86,MATCH($H$57,'Sport Records'!$A$62:$A$86,0),MATCH($A60,'Sport Records'!$B$61:$O$61,0)),"")</f>
        <v/>
      </c>
      <c r="I60" s="116" t="str">
        <f>IFERROR(INDEX('Sport Records'!$B$62:$O$86,MATCH($I$57,'Sport Records'!$A$62:$A$86,0),MATCH($A60,'Sport Records'!$B$61:$O$61,0)),"")</f>
        <v/>
      </c>
      <c r="J60" s="116" t="str">
        <f>IFERROR(INDEX('Sport Records'!$B$62:$O$86,MATCH($J$57,'Sport Records'!$A$62:$A$86,0),MATCH($A60,'Sport Records'!$B$61:$O$61,0)),"")</f>
        <v/>
      </c>
      <c r="K60" s="116" t="str">
        <f>IFERROR(INDEX('Sport Records'!$B$62:$O$86,MATCH($K$57,'Sport Records'!$A$62:$A$86,0),MATCH($A60,'Sport Records'!$B$61:$O$61,0)),"")</f>
        <v/>
      </c>
      <c r="L60" s="116" t="str">
        <f>IFERROR(INDEX('Sport Records'!$B$62:$O$86,MATCH($L$57,'Sport Records'!$A$62:$A$86,0),MATCH($A60,'Sport Records'!$B$61:$O$61,0)),"")</f>
        <v/>
      </c>
      <c r="M60" s="116" t="str">
        <f>IFERROR(INDEX('Sport Records'!$B$62:$O$86,MATCH($M$57,'Sport Records'!$A$62:$A$86,0),MATCH($A60,'Sport Records'!$B$61:$O$61,0)),"")</f>
        <v/>
      </c>
      <c r="N60" s="116" t="str">
        <f>IFERROR(INDEX('Sport Records'!$B$62:$O$86,MATCH($N$57,'Sport Records'!$A$62:$A$86,0),MATCH($A60,'Sport Records'!$B$61:$O$61,0)),"")</f>
        <v/>
      </c>
      <c r="O60" s="116">
        <f>IFERROR(INDEX('Sport Records'!$B$62:$O$86,MATCH($O$57,'Sport Records'!$A$62:$A$86,0),MATCH($A60,'Sport Records'!$B$61:$O$61,0)),"")</f>
        <v>1</v>
      </c>
      <c r="P60" s="116" t="str">
        <f>IFERROR(INDEX('Sport Records'!$B$62:$O$86,MATCH($P$57,'Sport Records'!$A$62:$A$86,0),MATCH($A60,'Sport Records'!$B$61:$O$61,0)),"")</f>
        <v/>
      </c>
      <c r="Q60" s="116">
        <f>IFERROR(INDEX('Sport Records'!$B$62:$O$86,MATCH($Q$57,'Sport Records'!$A$62:$A$86,0),MATCH($A60,'Sport Records'!$B$61:$O$61,0)),"")</f>
        <v>0</v>
      </c>
      <c r="R60" s="116">
        <f>IFERROR(INDEX('Sport Records'!$B$62:$O$86,MATCH($R$57,'Sport Records'!$A$62:$A$86,0),MATCH($A60,'Sport Records'!$B$61:$O$61,0)),"")</f>
        <v>0</v>
      </c>
      <c r="S60" s="116">
        <f>IFERROR(INDEX('Sport Records'!$B$62:$O$86,MATCH($S$57,'Sport Records'!$A$62:$A$86,0),MATCH($A60,'Sport Records'!$B$61:$O$61,0)),"")</f>
        <v>1</v>
      </c>
      <c r="T60" s="116">
        <f>IFERROR(INDEX('Sport Records'!$B$62:$O$86,MATCH($T$57,'Sport Records'!$A$62:$A$86,0),MATCH($A60,'Sport Records'!$B$61:$O$61,0)),"")</f>
        <v>0.4</v>
      </c>
      <c r="U60" s="27">
        <f>IFERROR(INDEX('Sport Records'!$B$62:$O$86,MATCH($U$57,'Sport Records'!$A$62:$A$86,0),MATCH($A60,'Sport Records'!$B$61:$O$61,0)),"")</f>
        <v>1</v>
      </c>
      <c r="V60" s="27" t="str">
        <f>IFERROR(INDEX('Sport Records'!$B$62:$O$86,MATCH($V$57,'Sport Records'!$A$62:$A$86,0),MATCH($A60,'Sport Records'!$B$61:$O$61,0)),"")</f>
        <v/>
      </c>
      <c r="W60" s="27" t="str">
        <f>IFERROR(INDEX('Sport Records'!$B$62:$O$86,MATCH($W$57,'Sport Records'!$A$62:$A$86,0),MATCH($A60,'Sport Records'!$B$61:$O$61,0)),"")</f>
        <v/>
      </c>
      <c r="X60" s="27" t="str">
        <f>IFERROR(INDEX('Sport Records'!$B$62:$O$86,MATCH($X$57,'Sport Records'!$A$62:$A$86,0),MATCH($A60,'Sport Records'!$B$61:$O$61,0)),"")</f>
        <v/>
      </c>
      <c r="Y60" s="27" t="str">
        <f>IFERROR(INDEX('Sport Records'!$B$62:$O$86,MATCH($Y$57,'Sport Records'!$A$62:$A$86,0),MATCH($A60,'Sport Records'!$B$61:$O$61,0)),"")</f>
        <v/>
      </c>
      <c r="Z60" s="27" t="str">
        <f>IFERROR(INDEX('Sport Records'!$B$62:$O$86,MATCH($Z$57,'Sport Records'!$A$62:$A$86,0),MATCH($A60,'Sport Records'!$B$61:$O$61,0)),"")</f>
        <v/>
      </c>
    </row>
    <row r="61" spans="1:26" x14ac:dyDescent="0.2">
      <c r="A61" s="92" t="s">
        <v>18</v>
      </c>
      <c r="B61" s="116" t="str">
        <f>IFERROR(INDEX('Sport Records'!$B$62:$O$86,MATCH($B$57,'Sport Records'!$A$62:$A$86,0),MATCH($A61,'Sport Records'!$B$61:$O$61,0)),"")</f>
        <v/>
      </c>
      <c r="C61" s="116">
        <f>IFERROR(INDEX('Sport Records'!$B$62:$O$86,MATCH($C$57,'Sport Records'!$A$62:$A$86,0),MATCH($A61,'Sport Records'!$B$61:$O$61,0)),"")</f>
        <v>0.33333333333333331</v>
      </c>
      <c r="D61" s="116" t="str">
        <f>IFERROR(INDEX('Sport Records'!$B$62:$O$86,MATCH($D$57,'Sport Records'!$A$62:$A$86,0),MATCH($A61,'Sport Records'!$B$61:$O$61,0)),"")</f>
        <v/>
      </c>
      <c r="E61" s="116" t="str">
        <f>IFERROR(INDEX('Sport Records'!$B$62:$O$86,MATCH($E$57,'Sport Records'!$A$62:$A$86,0),MATCH($A61,'Sport Records'!$B$61:$O$61,0)),"")</f>
        <v/>
      </c>
      <c r="F61" s="116">
        <f>IFERROR(INDEX('Sport Records'!$B$62:$O$86,MATCH($F$57,'Sport Records'!$A$62:$A$86,0),MATCH($A61,'Sport Records'!$B$61:$O$61,0)),"")</f>
        <v>0</v>
      </c>
      <c r="G61" s="116">
        <f>IFERROR(INDEX('Sport Records'!$B$62:$O$86,MATCH($G$57,'Sport Records'!$A$62:$A$86,0),MATCH($A61,'Sport Records'!$B$61:$O$61,0)),"")</f>
        <v>0</v>
      </c>
      <c r="H61" s="116" t="str">
        <f>IFERROR(INDEX('Sport Records'!$B$62:$O$86,MATCH($H$57,'Sport Records'!$A$62:$A$86,0),MATCH($A61,'Sport Records'!$B$61:$O$61,0)),"")</f>
        <v/>
      </c>
      <c r="I61" s="116" t="str">
        <f>IFERROR(INDEX('Sport Records'!$B$62:$O$86,MATCH($I$57,'Sport Records'!$A$62:$A$86,0),MATCH($A61,'Sport Records'!$B$61:$O$61,0)),"")</f>
        <v/>
      </c>
      <c r="J61" s="116">
        <f>IFERROR(INDEX('Sport Records'!$B$62:$O$86,MATCH($J$57,'Sport Records'!$A$62:$A$86,0),MATCH($A61,'Sport Records'!$B$61:$O$61,0)),"")</f>
        <v>0</v>
      </c>
      <c r="K61" s="116" t="str">
        <f>IFERROR(INDEX('Sport Records'!$B$62:$O$86,MATCH($K$57,'Sport Records'!$A$62:$A$86,0),MATCH($A61,'Sport Records'!$B$61:$O$61,0)),"")</f>
        <v/>
      </c>
      <c r="L61" s="116" t="str">
        <f>IFERROR(INDEX('Sport Records'!$B$62:$O$86,MATCH($L$57,'Sport Records'!$A$62:$A$86,0),MATCH($A61,'Sport Records'!$B$61:$O$61,0)),"")</f>
        <v/>
      </c>
      <c r="M61" s="116">
        <f>IFERROR(INDEX('Sport Records'!$B$62:$O$86,MATCH($M$57,'Sport Records'!$A$62:$A$86,0),MATCH($A61,'Sport Records'!$B$61:$O$61,0)),"")</f>
        <v>0.1111111111111111</v>
      </c>
      <c r="N61" s="116" t="str">
        <f>IFERROR(INDEX('Sport Records'!$B$62:$O$86,MATCH($N$57,'Sport Records'!$A$62:$A$86,0),MATCH($A61,'Sport Records'!$B$61:$O$61,0)),"")</f>
        <v/>
      </c>
      <c r="O61" s="116" t="str">
        <f>IFERROR(INDEX('Sport Records'!$B$62:$O$86,MATCH($O$57,'Sport Records'!$A$62:$A$86,0),MATCH($A61,'Sport Records'!$B$61:$O$61,0)),"")</f>
        <v/>
      </c>
      <c r="P61" s="116" t="str">
        <f>IFERROR(INDEX('Sport Records'!$B$62:$O$86,MATCH($P$57,'Sport Records'!$A$62:$A$86,0),MATCH($A61,'Sport Records'!$B$61:$O$61,0)),"")</f>
        <v/>
      </c>
      <c r="Q61" s="116" t="str">
        <f>IFERROR(INDEX('Sport Records'!$B$62:$O$86,MATCH($Q$57,'Sport Records'!$A$62:$A$86,0),MATCH($A61,'Sport Records'!$B$61:$O$61,0)),"")</f>
        <v/>
      </c>
      <c r="R61" s="116" t="str">
        <f>IFERROR(INDEX('Sport Records'!$B$62:$O$86,MATCH($R$57,'Sport Records'!$A$62:$A$86,0),MATCH($A61,'Sport Records'!$B$61:$O$61,0)),"")</f>
        <v/>
      </c>
      <c r="S61" s="116">
        <f>IFERROR(INDEX('Sport Records'!$B$62:$O$86,MATCH($S$57,'Sport Records'!$A$62:$A$86,0),MATCH($A61,'Sport Records'!$B$61:$O$61,0)),"")</f>
        <v>0.42857142857142855</v>
      </c>
      <c r="T61" s="116" t="str">
        <f>IFERROR(INDEX('Sport Records'!$B$62:$O$86,MATCH($T$57,'Sport Records'!$A$62:$A$86,0),MATCH($A61,'Sport Records'!$B$61:$O$61,0)),"")</f>
        <v/>
      </c>
      <c r="U61" s="27" t="str">
        <f>IFERROR(INDEX('Sport Records'!$B$62:$O$86,MATCH($U$57,'Sport Records'!$A$62:$A$86,0),MATCH($A61,'Sport Records'!$B$61:$O$61,0)),"")</f>
        <v/>
      </c>
      <c r="V61" s="27" t="str">
        <f>IFERROR(INDEX('Sport Records'!$B$62:$O$86,MATCH($V$57,'Sport Records'!$A$62:$A$86,0),MATCH($A61,'Sport Records'!$B$61:$O$61,0)),"")</f>
        <v/>
      </c>
      <c r="W61" s="27" t="str">
        <f>IFERROR(INDEX('Sport Records'!$B$62:$O$86,MATCH($W$57,'Sport Records'!$A$62:$A$86,0),MATCH($A61,'Sport Records'!$B$61:$O$61,0)),"")</f>
        <v/>
      </c>
      <c r="X61" s="27" t="str">
        <f>IFERROR(INDEX('Sport Records'!$B$62:$O$86,MATCH($X$57,'Sport Records'!$A$62:$A$86,0),MATCH($A61,'Sport Records'!$B$61:$O$61,0)),"")</f>
        <v/>
      </c>
      <c r="Y61" s="27" t="str">
        <f>IFERROR(INDEX('Sport Records'!$B$62:$O$86,MATCH($Y$57,'Sport Records'!$A$62:$A$86,0),MATCH($A61,'Sport Records'!$B$61:$O$61,0)),"")</f>
        <v/>
      </c>
      <c r="Z61" s="27" t="str">
        <f>IFERROR(INDEX('Sport Records'!$B$62:$O$86,MATCH($Z$57,'Sport Records'!$A$62:$A$86,0),MATCH($A61,'Sport Records'!$B$61:$O$61,0)),"")</f>
        <v/>
      </c>
    </row>
    <row r="62" spans="1:26" x14ac:dyDescent="0.2">
      <c r="A62" s="92" t="s">
        <v>19</v>
      </c>
      <c r="B62" s="116" t="str">
        <f>IFERROR(INDEX('Sport Records'!$B$62:$O$86,MATCH($B$57,'Sport Records'!$A$62:$A$86,0),MATCH($A62,'Sport Records'!$B$61:$O$61,0)),"")</f>
        <v/>
      </c>
      <c r="C62" s="116" t="str">
        <f>IFERROR(INDEX('Sport Records'!$B$62:$O$86,MATCH($C$57,'Sport Records'!$A$62:$A$86,0),MATCH($A62,'Sport Records'!$B$61:$O$61,0)),"")</f>
        <v/>
      </c>
      <c r="D62" s="116">
        <f>IFERROR(INDEX('Sport Records'!$B$62:$O$86,MATCH($D$57,'Sport Records'!$A$62:$A$86,0),MATCH($A62,'Sport Records'!$B$61:$O$61,0)),"")</f>
        <v>0</v>
      </c>
      <c r="E62" s="116" t="str">
        <f>IFERROR(INDEX('Sport Records'!$B$62:$O$86,MATCH($E$57,'Sport Records'!$A$62:$A$86,0),MATCH($A62,'Sport Records'!$B$61:$O$61,0)),"")</f>
        <v/>
      </c>
      <c r="F62" s="116">
        <f>IFERROR(INDEX('Sport Records'!$B$62:$O$86,MATCH($F$57,'Sport Records'!$A$62:$A$86,0),MATCH($A62,'Sport Records'!$B$61:$O$61,0)),"")</f>
        <v>0.6</v>
      </c>
      <c r="G62" s="116">
        <f>IFERROR(INDEX('Sport Records'!$B$62:$O$86,MATCH($G$57,'Sport Records'!$A$62:$A$86,0),MATCH($A62,'Sport Records'!$B$61:$O$61,0)),"")</f>
        <v>0</v>
      </c>
      <c r="H62" s="116" t="str">
        <f>IFERROR(INDEX('Sport Records'!$B$62:$O$86,MATCH($H$57,'Sport Records'!$A$62:$A$86,0),MATCH($A62,'Sport Records'!$B$61:$O$61,0)),"")</f>
        <v/>
      </c>
      <c r="I62" s="116" t="str">
        <f>IFERROR(INDEX('Sport Records'!$B$62:$O$86,MATCH($I$57,'Sport Records'!$A$62:$A$86,0),MATCH($A62,'Sport Records'!$B$61:$O$61,0)),"")</f>
        <v/>
      </c>
      <c r="J62" s="116">
        <f>IFERROR(INDEX('Sport Records'!$B$62:$O$86,MATCH($J$57,'Sport Records'!$A$62:$A$86,0),MATCH($A62,'Sport Records'!$B$61:$O$61,0)),"")</f>
        <v>1</v>
      </c>
      <c r="K62" s="116" t="str">
        <f>IFERROR(INDEX('Sport Records'!$B$62:$O$86,MATCH($K$57,'Sport Records'!$A$62:$A$86,0),MATCH($A62,'Sport Records'!$B$61:$O$61,0)),"")</f>
        <v/>
      </c>
      <c r="L62" s="116" t="str">
        <f>IFERROR(INDEX('Sport Records'!$B$62:$O$86,MATCH($L$57,'Sport Records'!$A$62:$A$86,0),MATCH($A62,'Sport Records'!$B$61:$O$61,0)),"")</f>
        <v/>
      </c>
      <c r="M62" s="116">
        <f>IFERROR(INDEX('Sport Records'!$B$62:$O$86,MATCH($M$57,'Sport Records'!$A$62:$A$86,0),MATCH($A62,'Sport Records'!$B$61:$O$61,0)),"")</f>
        <v>0.8666666666666667</v>
      </c>
      <c r="N62" s="116">
        <f>IFERROR(INDEX('Sport Records'!$B$62:$O$86,MATCH($N$57,'Sport Records'!$A$62:$A$86,0),MATCH($A62,'Sport Records'!$B$61:$O$61,0)),"")</f>
        <v>0</v>
      </c>
      <c r="O62" s="116">
        <f>IFERROR(INDEX('Sport Records'!$B$62:$O$86,MATCH($O$57,'Sport Records'!$A$62:$A$86,0),MATCH($A62,'Sport Records'!$B$61:$O$61,0)),"")</f>
        <v>0.8571428571428571</v>
      </c>
      <c r="P62" s="116" t="str">
        <f>IFERROR(INDEX('Sport Records'!$B$62:$O$86,MATCH($P$57,'Sport Records'!$A$62:$A$86,0),MATCH($A62,'Sport Records'!$B$61:$O$61,0)),"")</f>
        <v/>
      </c>
      <c r="Q62" s="116" t="str">
        <f>IFERROR(INDEX('Sport Records'!$B$62:$O$86,MATCH($Q$57,'Sport Records'!$A$62:$A$86,0),MATCH($A62,'Sport Records'!$B$61:$O$61,0)),"")</f>
        <v/>
      </c>
      <c r="R62" s="116">
        <f>IFERROR(INDEX('Sport Records'!$B$62:$O$86,MATCH($R$57,'Sport Records'!$A$62:$A$86,0),MATCH($A62,'Sport Records'!$B$61:$O$61,0)),"")</f>
        <v>1</v>
      </c>
      <c r="S62" s="116">
        <f>IFERROR(INDEX('Sport Records'!$B$62:$O$86,MATCH($S$57,'Sport Records'!$A$62:$A$86,0),MATCH($A62,'Sport Records'!$B$61:$O$61,0)),"")</f>
        <v>0.375</v>
      </c>
      <c r="T62" s="116">
        <f>IFERROR(INDEX('Sport Records'!$B$62:$O$86,MATCH($T$57,'Sport Records'!$A$62:$A$86,0),MATCH($A62,'Sport Records'!$B$61:$O$61,0)),"")</f>
        <v>0.5</v>
      </c>
      <c r="U62" s="27" t="str">
        <f>IFERROR(INDEX('Sport Records'!$B$62:$O$86,MATCH($U$57,'Sport Records'!$A$62:$A$86,0),MATCH($A62,'Sport Records'!$B$61:$O$61,0)),"")</f>
        <v/>
      </c>
      <c r="V62" s="104">
        <f>IFERROR(INDEX('Sport Records'!$B$62:$O$86,MATCH($V$57,'Sport Records'!$A$62:$A$86,0),MATCH($A62,'Sport Records'!$B$61:$O$61,0)),"")</f>
        <v>0.25</v>
      </c>
      <c r="W62" s="104">
        <f>IFERROR(INDEX('Sport Records'!$B$62:$O$86,MATCH($W$57,'Sport Records'!$A$62:$A$86,0),MATCH($A62,'Sport Records'!$B$61:$O$61,0)),"")</f>
        <v>0.5</v>
      </c>
      <c r="X62" s="104">
        <f>IFERROR(INDEX('Sport Records'!$B$62:$O$86,MATCH($X$57,'Sport Records'!$A$62:$A$86,0),MATCH($A62,'Sport Records'!$B$61:$O$61,0)),"")</f>
        <v>0.6</v>
      </c>
      <c r="Y62" s="27">
        <f>IFERROR(INDEX('Sport Records'!$B$62:$O$86,MATCH($Y$57,'Sport Records'!$A$62:$A$86,0),MATCH($A62,'Sport Records'!$B$61:$O$61,0)),"")</f>
        <v>0.66666666666666663</v>
      </c>
      <c r="Z62" s="104">
        <f>IFERROR(INDEX('Sport Records'!$B$62:$O$86,MATCH($Z$57,'Sport Records'!$A$62:$A$86,0),MATCH($A62,'Sport Records'!$B$61:$O$61,0)),"")</f>
        <v>0.4</v>
      </c>
    </row>
    <row r="63" spans="1:26" x14ac:dyDescent="0.2">
      <c r="A63" s="92" t="s">
        <v>20</v>
      </c>
      <c r="B63" s="116">
        <f>IFERROR(INDEX('Sport Records'!$B$62:$O$86,MATCH($B$57,'Sport Records'!$A$62:$A$86,0),MATCH($A63,'Sport Records'!$B$61:$O$61,0)),"")</f>
        <v>1</v>
      </c>
      <c r="C63" s="116">
        <f>IFERROR(INDEX('Sport Records'!$B$62:$O$86,MATCH($C$57,'Sport Records'!$A$62:$A$86,0),MATCH($A63,'Sport Records'!$B$61:$O$61,0)),"")</f>
        <v>0.27272727272727271</v>
      </c>
      <c r="D63" s="116">
        <f>IFERROR(INDEX('Sport Records'!$B$62:$O$86,MATCH($D$57,'Sport Records'!$A$62:$A$86,0),MATCH($A63,'Sport Records'!$B$61:$O$61,0)),"")</f>
        <v>0.43478260869565216</v>
      </c>
      <c r="E63" s="116">
        <f>IFERROR(INDEX('Sport Records'!$B$62:$O$86,MATCH($E$57,'Sport Records'!$A$62:$A$86,0),MATCH($A63,'Sport Records'!$B$61:$O$61,0)),"")</f>
        <v>1</v>
      </c>
      <c r="F63" s="116">
        <f>IFERROR(INDEX('Sport Records'!$B$62:$O$86,MATCH($F$57,'Sport Records'!$A$62:$A$86,0),MATCH($A63,'Sport Records'!$B$61:$O$61,0)),"")</f>
        <v>1</v>
      </c>
      <c r="G63" s="116">
        <f>IFERROR(INDEX('Sport Records'!$B$62:$O$86,MATCH($G$57,'Sport Records'!$A$62:$A$86,0),MATCH($A63,'Sport Records'!$B$61:$O$61,0)),"")</f>
        <v>0</v>
      </c>
      <c r="H63" s="116" t="str">
        <f>IFERROR(INDEX('Sport Records'!$B$62:$O$86,MATCH($H$57,'Sport Records'!$A$62:$A$86,0),MATCH($A63,'Sport Records'!$B$61:$O$61,0)),"")</f>
        <v/>
      </c>
      <c r="I63" s="116" t="str">
        <f>IFERROR(INDEX('Sport Records'!$B$62:$O$86,MATCH($I$57,'Sport Records'!$A$62:$A$86,0),MATCH($A63,'Sport Records'!$B$61:$O$61,0)),"")</f>
        <v/>
      </c>
      <c r="J63" s="116">
        <f>IFERROR(INDEX('Sport Records'!$B$62:$O$86,MATCH($J$57,'Sport Records'!$A$62:$A$86,0),MATCH($A63,'Sport Records'!$B$61:$O$61,0)),"")</f>
        <v>0.66666666666666663</v>
      </c>
      <c r="K63" s="116">
        <f>IFERROR(INDEX('Sport Records'!$B$62:$O$86,MATCH($K$57,'Sport Records'!$A$62:$A$86,0),MATCH($A63,'Sport Records'!$B$61:$O$61,0)),"")</f>
        <v>0.16666666666666666</v>
      </c>
      <c r="L63" s="116" t="str">
        <f>IFERROR(INDEX('Sport Records'!$B$62:$O$86,MATCH($L$57,'Sport Records'!$A$62:$A$86,0),MATCH($A63,'Sport Records'!$B$61:$O$61,0)),"")</f>
        <v/>
      </c>
      <c r="M63" s="116">
        <f>IFERROR(INDEX('Sport Records'!$B$62:$O$86,MATCH($M$57,'Sport Records'!$A$62:$A$86,0),MATCH($A63,'Sport Records'!$B$61:$O$61,0)),"")</f>
        <v>0.8666666666666667</v>
      </c>
      <c r="N63" s="116">
        <f>IFERROR(INDEX('Sport Records'!$B$62:$O$86,MATCH($N$57,'Sport Records'!$A$62:$A$86,0),MATCH($A63,'Sport Records'!$B$61:$O$61,0)),"")</f>
        <v>0.38461538461538464</v>
      </c>
      <c r="O63" s="116">
        <f>IFERROR(INDEX('Sport Records'!$B$62:$O$86,MATCH($O$57,'Sport Records'!$A$62:$A$86,0),MATCH($A63,'Sport Records'!$B$61:$O$61,0)),"")</f>
        <v>6.25E-2</v>
      </c>
      <c r="P63" s="116" t="str">
        <f>IFERROR(INDEX('Sport Records'!$B$62:$O$86,MATCH($P$57,'Sport Records'!$A$62:$A$86,0),MATCH($A63,'Sport Records'!$B$61:$O$61,0)),"")</f>
        <v/>
      </c>
      <c r="Q63" s="116" t="str">
        <f>IFERROR(INDEX('Sport Records'!$B$62:$O$86,MATCH($Q$57,'Sport Records'!$A$62:$A$86,0),MATCH($A63,'Sport Records'!$B$61:$O$61,0)),"")</f>
        <v/>
      </c>
      <c r="R63" s="116">
        <f>IFERROR(INDEX('Sport Records'!$B$62:$O$86,MATCH($R$57,'Sport Records'!$A$62:$A$86,0),MATCH($A63,'Sport Records'!$B$61:$O$61,0)),"")</f>
        <v>0</v>
      </c>
      <c r="S63" s="116">
        <f>IFERROR(INDEX('Sport Records'!$B$62:$O$86,MATCH($S$57,'Sport Records'!$A$62:$A$86,0),MATCH($A63,'Sport Records'!$B$61:$O$61,0)),"")</f>
        <v>0.44444444444444442</v>
      </c>
      <c r="T63" s="116">
        <f>IFERROR(INDEX('Sport Records'!$B$62:$O$86,MATCH($T$57,'Sport Records'!$A$62:$A$86,0),MATCH($A63,'Sport Records'!$B$61:$O$61,0)),"")</f>
        <v>0.47916666666666669</v>
      </c>
      <c r="U63" s="27">
        <f>IFERROR(INDEX('Sport Records'!$B$62:$O$86,MATCH($U$57,'Sport Records'!$A$62:$A$86,0),MATCH($A63,'Sport Records'!$B$61:$O$61,0)),"")</f>
        <v>0.7142857142857143</v>
      </c>
      <c r="V63" s="104">
        <f>IFERROR(INDEX('Sport Records'!$B$62:$O$86,MATCH($V$57,'Sport Records'!$A$62:$A$86,0),MATCH($A63,'Sport Records'!$B$61:$O$61,0)),"")</f>
        <v>0.5</v>
      </c>
      <c r="W63" s="104">
        <f>IFERROR(INDEX('Sport Records'!$B$62:$O$86,MATCH($W$57,'Sport Records'!$A$62:$A$86,0),MATCH($A63,'Sport Records'!$B$61:$O$61,0)),"")</f>
        <v>1</v>
      </c>
      <c r="X63" s="104">
        <f>IFERROR(INDEX('Sport Records'!$B$62:$O$86,MATCH($X$57,'Sport Records'!$A$62:$A$86,0),MATCH($A63,'Sport Records'!$B$61:$O$61,0)),"")</f>
        <v>0.33333333333333331</v>
      </c>
      <c r="Y63" s="27" t="str">
        <f>IFERROR(INDEX('Sport Records'!$B$62:$O$86,MATCH($Y$57,'Sport Records'!$A$62:$A$86,0),MATCH($A63,'Sport Records'!$B$61:$O$61,0)),"")</f>
        <v/>
      </c>
      <c r="Z63" s="104">
        <f>IFERROR(INDEX('Sport Records'!$B$62:$O$86,MATCH($Z$57,'Sport Records'!$A$62:$A$86,0),MATCH($A63,'Sport Records'!$B$61:$O$61,0)),"")</f>
        <v>0.33333333333333331</v>
      </c>
    </row>
    <row r="64" spans="1:26" x14ac:dyDescent="0.2">
      <c r="A64" s="92" t="s">
        <v>21</v>
      </c>
      <c r="B64" s="116">
        <f>IFERROR(INDEX('Sport Records'!$B$62:$O$86,MATCH($B$57,'Sport Records'!$A$62:$A$86,0),MATCH($A64,'Sport Records'!$B$61:$O$61,0)),"")</f>
        <v>0</v>
      </c>
      <c r="C64" s="116">
        <f>IFERROR(INDEX('Sport Records'!$B$62:$O$86,MATCH($C$57,'Sport Records'!$A$62:$A$86,0),MATCH($A64,'Sport Records'!$B$61:$O$61,0)),"")</f>
        <v>0.2857142857142857</v>
      </c>
      <c r="D64" s="116">
        <f>IFERROR(INDEX('Sport Records'!$B$62:$O$86,MATCH($D$57,'Sport Records'!$A$62:$A$86,0),MATCH($A64,'Sport Records'!$B$61:$O$61,0)),"")</f>
        <v>0</v>
      </c>
      <c r="E64" s="116" t="str">
        <f>IFERROR(INDEX('Sport Records'!$B$62:$O$86,MATCH($E$57,'Sport Records'!$A$62:$A$86,0),MATCH($A64,'Sport Records'!$B$61:$O$61,0)),"")</f>
        <v/>
      </c>
      <c r="F64" s="116">
        <f>IFERROR(INDEX('Sport Records'!$B$62:$O$86,MATCH($F$57,'Sport Records'!$A$62:$A$86,0),MATCH($A64,'Sport Records'!$B$61:$O$61,0)),"")</f>
        <v>1</v>
      </c>
      <c r="G64" s="116">
        <f>IFERROR(INDEX('Sport Records'!$B$62:$O$86,MATCH($G$57,'Sport Records'!$A$62:$A$86,0),MATCH($A64,'Sport Records'!$B$61:$O$61,0)),"")</f>
        <v>0</v>
      </c>
      <c r="H64" s="116" t="str">
        <f>IFERROR(INDEX('Sport Records'!$B$62:$O$86,MATCH($H$57,'Sport Records'!$A$62:$A$86,0),MATCH($A64,'Sport Records'!$B$61:$O$61,0)),"")</f>
        <v/>
      </c>
      <c r="I64" s="116" t="str">
        <f>IFERROR(INDEX('Sport Records'!$B$62:$O$86,MATCH($I$57,'Sport Records'!$A$62:$A$86,0),MATCH($A64,'Sport Records'!$B$61:$O$61,0)),"")</f>
        <v/>
      </c>
      <c r="J64" s="116" t="str">
        <f>IFERROR(INDEX('Sport Records'!$B$62:$O$86,MATCH($J$57,'Sport Records'!$A$62:$A$86,0),MATCH($A64,'Sport Records'!$B$61:$O$61,0)),"")</f>
        <v/>
      </c>
      <c r="K64" s="116">
        <f>IFERROR(INDEX('Sport Records'!$B$62:$O$86,MATCH($K$57,'Sport Records'!$A$62:$A$86,0),MATCH($A64,'Sport Records'!$B$61:$O$61,0)),"")</f>
        <v>0.83333333333333337</v>
      </c>
      <c r="L64" s="116" t="str">
        <f>IFERROR(INDEX('Sport Records'!$B$62:$O$86,MATCH($L$57,'Sport Records'!$A$62:$A$86,0),MATCH($A64,'Sport Records'!$B$61:$O$61,0)),"")</f>
        <v/>
      </c>
      <c r="M64" s="116">
        <f>IFERROR(INDEX('Sport Records'!$B$62:$O$86,MATCH($M$57,'Sport Records'!$A$62:$A$86,0),MATCH($A64,'Sport Records'!$B$61:$O$61,0)),"")</f>
        <v>0.5</v>
      </c>
      <c r="N64" s="116" t="str">
        <f>IFERROR(INDEX('Sport Records'!$B$62:$O$86,MATCH($N$57,'Sport Records'!$A$62:$A$86,0),MATCH($A64,'Sport Records'!$B$61:$O$61,0)),"")</f>
        <v/>
      </c>
      <c r="O64" s="116">
        <f>IFERROR(INDEX('Sport Records'!$B$62:$O$86,MATCH($O$57,'Sport Records'!$A$62:$A$86,0),MATCH($A64,'Sport Records'!$B$61:$O$61,0)),"")</f>
        <v>0</v>
      </c>
      <c r="P64" s="116" t="str">
        <f>IFERROR(INDEX('Sport Records'!$B$62:$O$86,MATCH($P$57,'Sport Records'!$A$62:$A$86,0),MATCH($A64,'Sport Records'!$B$61:$O$61,0)),"")</f>
        <v/>
      </c>
      <c r="Q64" s="116" t="str">
        <f>IFERROR(INDEX('Sport Records'!$B$62:$O$86,MATCH($Q$57,'Sport Records'!$A$62:$A$86,0),MATCH($A64,'Sport Records'!$B$61:$O$61,0)),"")</f>
        <v/>
      </c>
      <c r="R64" s="116">
        <f>IFERROR(INDEX('Sport Records'!$B$62:$O$86,MATCH($R$57,'Sport Records'!$A$62:$A$86,0),MATCH($A64,'Sport Records'!$B$61:$O$61,0)),"")</f>
        <v>0</v>
      </c>
      <c r="S64" s="116">
        <f>IFERROR(INDEX('Sport Records'!$B$62:$O$86,MATCH($S$57,'Sport Records'!$A$62:$A$86,0),MATCH($A64,'Sport Records'!$B$61:$O$61,0)),"")</f>
        <v>0.72727272727272729</v>
      </c>
      <c r="T64" s="116">
        <f>IFERROR(INDEX('Sport Records'!$B$62:$O$86,MATCH($T$57,'Sport Records'!$A$62:$A$86,0),MATCH($A64,'Sport Records'!$B$61:$O$61,0)),"")</f>
        <v>0</v>
      </c>
      <c r="U64" s="27" t="str">
        <f>IFERROR(INDEX('Sport Records'!$B$62:$O$86,MATCH($U$57,'Sport Records'!$A$62:$A$86,0),MATCH($A64,'Sport Records'!$B$61:$O$61,0)),"")</f>
        <v/>
      </c>
      <c r="V64" s="27" t="str">
        <f>IFERROR(INDEX('Sport Records'!$B$62:$O$86,MATCH($V$57,'Sport Records'!$A$62:$A$86,0),MATCH($A64,'Sport Records'!$B$61:$O$61,0)),"")</f>
        <v/>
      </c>
      <c r="W64" s="27" t="str">
        <f>IFERROR(INDEX('Sport Records'!$B$62:$O$86,MATCH($W$57,'Sport Records'!$A$62:$A$86,0),MATCH($A64,'Sport Records'!$B$61:$O$61,0)),"")</f>
        <v/>
      </c>
      <c r="X64" s="27">
        <f>IFERROR(INDEX('Sport Records'!$B$62:$O$86,MATCH($X$57,'Sport Records'!$A$62:$A$86,0),MATCH($A64,'Sport Records'!$B$61:$O$61,0)),"")</f>
        <v>0.5</v>
      </c>
      <c r="Y64" s="27" t="str">
        <f>IFERROR(INDEX('Sport Records'!$B$62:$O$86,MATCH($Y$57,'Sport Records'!$A$62:$A$86,0),MATCH($A64,'Sport Records'!$B$61:$O$61,0)),"")</f>
        <v/>
      </c>
      <c r="Z64" s="27" t="str">
        <f>IFERROR(INDEX('Sport Records'!$B$62:$O$86,MATCH($Z$57,'Sport Records'!$A$62:$A$86,0),MATCH($A64,'Sport Records'!$B$61:$O$61,0)),"")</f>
        <v/>
      </c>
    </row>
    <row r="65" spans="1:26" ht="15.75" customHeight="1" x14ac:dyDescent="0.2">
      <c r="A65" s="92" t="s">
        <v>22</v>
      </c>
      <c r="B65" s="116">
        <f>IFERROR(INDEX('Sport Records'!$B$62:$O$86,MATCH($B$57,'Sport Records'!$A$62:$A$86,0),MATCH($A65,'Sport Records'!$B$61:$O$61,0)),"")</f>
        <v>0</v>
      </c>
      <c r="C65" s="116">
        <f>IFERROR(INDEX('Sport Records'!$B$62:$O$86,MATCH($C$57,'Sport Records'!$A$62:$A$86,0),MATCH($A65,'Sport Records'!$B$61:$O$61,0)),"")</f>
        <v>0.3</v>
      </c>
      <c r="D65" s="116">
        <f>IFERROR(INDEX('Sport Records'!$B$62:$O$86,MATCH($D$57,'Sport Records'!$A$62:$A$86,0),MATCH($A65,'Sport Records'!$B$61:$O$61,0)),"")</f>
        <v>0.42857142857142855</v>
      </c>
      <c r="E65" s="116">
        <f>IFERROR(INDEX('Sport Records'!$B$62:$O$86,MATCH($E$57,'Sport Records'!$A$62:$A$86,0),MATCH($A65,'Sport Records'!$B$61:$O$61,0)),"")</f>
        <v>0</v>
      </c>
      <c r="F65" s="116">
        <f>IFERROR(INDEX('Sport Records'!$B$62:$O$86,MATCH($F$57,'Sport Records'!$A$62:$A$86,0),MATCH($A65,'Sport Records'!$B$61:$O$61,0)),"")</f>
        <v>0.41666666666666669</v>
      </c>
      <c r="G65" s="116">
        <f>IFERROR(INDEX('Sport Records'!$B$62:$O$86,MATCH($G$57,'Sport Records'!$A$62:$A$86,0),MATCH($A65,'Sport Records'!$B$61:$O$61,0)),"")</f>
        <v>0</v>
      </c>
      <c r="H65" s="116" t="str">
        <f>IFERROR(INDEX('Sport Records'!$B$62:$O$86,MATCH($H$57,'Sport Records'!$A$62:$A$86,0),MATCH($A65,'Sport Records'!$B$61:$O$61,0)),"")</f>
        <v/>
      </c>
      <c r="I65" s="116" t="str">
        <f>IFERROR(INDEX('Sport Records'!$B$62:$O$86,MATCH($I$57,'Sport Records'!$A$62:$A$86,0),MATCH($A65,'Sport Records'!$B$61:$O$61,0)),"")</f>
        <v/>
      </c>
      <c r="J65" s="116">
        <f>IFERROR(INDEX('Sport Records'!$B$62:$O$86,MATCH($J$57,'Sport Records'!$A$62:$A$86,0),MATCH($A65,'Sport Records'!$B$61:$O$61,0)),"")</f>
        <v>0</v>
      </c>
      <c r="K65" s="116" t="str">
        <f>IFERROR(INDEX('Sport Records'!$B$62:$O$86,MATCH($K$57,'Sport Records'!$A$62:$A$86,0),MATCH($A65,'Sport Records'!$B$61:$O$61,0)),"")</f>
        <v/>
      </c>
      <c r="L65" s="116" t="str">
        <f>IFERROR(INDEX('Sport Records'!$B$62:$O$86,MATCH($L$57,'Sport Records'!$A$62:$A$86,0),MATCH($A65,'Sport Records'!$B$61:$O$61,0)),"")</f>
        <v/>
      </c>
      <c r="M65" s="116">
        <f>IFERROR(INDEX('Sport Records'!$B$62:$O$86,MATCH($M$57,'Sport Records'!$A$62:$A$86,0),MATCH($A65,'Sport Records'!$B$61:$O$61,0)),"")</f>
        <v>0.1875</v>
      </c>
      <c r="N65" s="116">
        <f>IFERROR(INDEX('Sport Records'!$B$62:$O$86,MATCH($N$57,'Sport Records'!$A$62:$A$86,0),MATCH($A65,'Sport Records'!$B$61:$O$61,0)),"")</f>
        <v>0.83333333333333337</v>
      </c>
      <c r="O65" s="116">
        <f>IFERROR(INDEX('Sport Records'!$B$62:$O$86,MATCH($O$57,'Sport Records'!$A$62:$A$86,0),MATCH($A65,'Sport Records'!$B$61:$O$61,0)),"")</f>
        <v>0.42857142857142855</v>
      </c>
      <c r="P65" s="116" t="str">
        <f>IFERROR(INDEX('Sport Records'!$B$62:$O$86,MATCH($P$57,'Sport Records'!$A$62:$A$86,0),MATCH($A65,'Sport Records'!$B$61:$O$61,0)),"")</f>
        <v/>
      </c>
      <c r="Q65" s="116">
        <f>IFERROR(INDEX('Sport Records'!$B$62:$O$86,MATCH($Q$57,'Sport Records'!$A$62:$A$86,0),MATCH($A65,'Sport Records'!$B$61:$O$61,0)),"")</f>
        <v>0.66666666666666663</v>
      </c>
      <c r="R65" s="116">
        <f>IFERROR(INDEX('Sport Records'!$B$62:$O$86,MATCH($R$57,'Sport Records'!$A$62:$A$86,0),MATCH($A65,'Sport Records'!$B$61:$O$61,0)),"")</f>
        <v>0</v>
      </c>
      <c r="S65" s="116">
        <f>IFERROR(INDEX('Sport Records'!$B$62:$O$86,MATCH($S$57,'Sport Records'!$A$62:$A$86,0),MATCH($A65,'Sport Records'!$B$61:$O$61,0)),"")</f>
        <v>0.55555555555555558</v>
      </c>
      <c r="T65" s="116">
        <f>IFERROR(INDEX('Sport Records'!$B$62:$O$86,MATCH($T$57,'Sport Records'!$A$62:$A$86,0),MATCH($A65,'Sport Records'!$B$61:$O$61,0)),"")</f>
        <v>0.6097560975609756</v>
      </c>
      <c r="U65" s="27">
        <f>IFERROR(INDEX('Sport Records'!$B$62:$O$86,MATCH($U$57,'Sport Records'!$A$62:$A$86,0),MATCH($A65,'Sport Records'!$B$61:$O$61,0)),"")</f>
        <v>0</v>
      </c>
      <c r="V65" s="104">
        <f>IFERROR(INDEX('Sport Records'!$B$62:$O$86,MATCH($V$57,'Sport Records'!$A$62:$A$86,0),MATCH($A65,'Sport Records'!$B$61:$O$61,0)),"")</f>
        <v>0</v>
      </c>
      <c r="W65" s="104">
        <f>IFERROR(INDEX('Sport Records'!$B$62:$O$86,MATCH($W$57,'Sport Records'!$A$62:$A$86,0),MATCH($A65,'Sport Records'!$B$61:$O$61,0)),"")</f>
        <v>0</v>
      </c>
      <c r="X65" s="104">
        <f>IFERROR(INDEX('Sport Records'!$B$62:$O$86,MATCH($X$57,'Sport Records'!$A$62:$A$86,0),MATCH($A65,'Sport Records'!$B$61:$O$61,0)),"")</f>
        <v>0.33333333333333331</v>
      </c>
      <c r="Y65" s="27">
        <f>IFERROR(INDEX('Sport Records'!$B$62:$O$86,MATCH($Y$57,'Sport Records'!$A$62:$A$86,0),MATCH($A65,'Sport Records'!$B$61:$O$61,0)),"")</f>
        <v>0.33333333333333331</v>
      </c>
      <c r="Z65" s="104">
        <f>IFERROR(INDEX('Sport Records'!$B$62:$O$86,MATCH($Z$57,'Sport Records'!$A$62:$A$86,0),MATCH($A65,'Sport Records'!$B$61:$O$61,0)),"")</f>
        <v>1</v>
      </c>
    </row>
    <row r="66" spans="1:26" x14ac:dyDescent="0.2">
      <c r="A66" s="92" t="s">
        <v>23</v>
      </c>
      <c r="B66" s="116" t="str">
        <f>IFERROR(INDEX('Sport Records'!$B$62:$O$86,MATCH($B$57,'Sport Records'!$A$62:$A$86,0),MATCH($A66,'Sport Records'!$B$61:$O$61,0)),"")</f>
        <v/>
      </c>
      <c r="C66" s="116">
        <f>IFERROR(INDEX('Sport Records'!$B$62:$O$86,MATCH($C$57,'Sport Records'!$A$62:$A$86,0),MATCH($A66,'Sport Records'!$B$61:$O$61,0)),"")</f>
        <v>0.25</v>
      </c>
      <c r="D66" s="116" t="str">
        <f>IFERROR(INDEX('Sport Records'!$B$62:$O$86,MATCH($D$57,'Sport Records'!$A$62:$A$86,0),MATCH($A66,'Sport Records'!$B$61:$O$61,0)),"")</f>
        <v/>
      </c>
      <c r="E66" s="116" t="str">
        <f>IFERROR(INDEX('Sport Records'!$B$62:$O$86,MATCH($E$57,'Sport Records'!$A$62:$A$86,0),MATCH($A66,'Sport Records'!$B$61:$O$61,0)),"")</f>
        <v/>
      </c>
      <c r="F66" s="116">
        <f>IFERROR(INDEX('Sport Records'!$B$62:$O$86,MATCH($F$57,'Sport Records'!$A$62:$A$86,0),MATCH($A66,'Sport Records'!$B$61:$O$61,0)),"")</f>
        <v>0.5714285714285714</v>
      </c>
      <c r="G66" s="116" t="str">
        <f>IFERROR(INDEX('Sport Records'!$B$62:$O$86,MATCH($G$57,'Sport Records'!$A$62:$A$86,0),MATCH($A66,'Sport Records'!$B$61:$O$61,0)),"")</f>
        <v/>
      </c>
      <c r="H66" s="116" t="str">
        <f>IFERROR(INDEX('Sport Records'!$B$62:$O$86,MATCH($H$57,'Sport Records'!$A$62:$A$86,0),MATCH($A66,'Sport Records'!$B$61:$O$61,0)),"")</f>
        <v/>
      </c>
      <c r="I66" s="116" t="str">
        <f>IFERROR(INDEX('Sport Records'!$B$62:$O$86,MATCH($I$57,'Sport Records'!$A$62:$A$86,0),MATCH($A66,'Sport Records'!$B$61:$O$61,0)),"")</f>
        <v/>
      </c>
      <c r="J66" s="116" t="str">
        <f>IFERROR(INDEX('Sport Records'!$B$62:$O$86,MATCH($J$57,'Sport Records'!$A$62:$A$86,0),MATCH($A66,'Sport Records'!$B$61:$O$61,0)),"")</f>
        <v/>
      </c>
      <c r="K66" s="116" t="str">
        <f>IFERROR(INDEX('Sport Records'!$B$62:$O$86,MATCH($K$57,'Sport Records'!$A$62:$A$86,0),MATCH($A66,'Sport Records'!$B$61:$O$61,0)),"")</f>
        <v/>
      </c>
      <c r="L66" s="116" t="str">
        <f>IFERROR(INDEX('Sport Records'!$B$62:$O$86,MATCH($L$57,'Sport Records'!$A$62:$A$86,0),MATCH($A66,'Sport Records'!$B$61:$O$61,0)),"")</f>
        <v/>
      </c>
      <c r="M66" s="116">
        <f>IFERROR(INDEX('Sport Records'!$B$62:$O$86,MATCH($M$57,'Sport Records'!$A$62:$A$86,0),MATCH($A66,'Sport Records'!$B$61:$O$61,0)),"")</f>
        <v>0.7142857142857143</v>
      </c>
      <c r="N66" s="116" t="str">
        <f>IFERROR(INDEX('Sport Records'!$B$62:$O$86,MATCH($N$57,'Sport Records'!$A$62:$A$86,0),MATCH($A66,'Sport Records'!$B$61:$O$61,0)),"")</f>
        <v/>
      </c>
      <c r="O66" s="116" t="str">
        <f>IFERROR(INDEX('Sport Records'!$B$62:$O$86,MATCH($O$57,'Sport Records'!$A$62:$A$86,0),MATCH($A66,'Sport Records'!$B$61:$O$61,0)),"")</f>
        <v/>
      </c>
      <c r="P66" s="116" t="str">
        <f>IFERROR(INDEX('Sport Records'!$B$62:$O$86,MATCH($P$57,'Sport Records'!$A$62:$A$86,0),MATCH($A66,'Sport Records'!$B$61:$O$61,0)),"")</f>
        <v/>
      </c>
      <c r="Q66" s="116" t="str">
        <f>IFERROR(INDEX('Sport Records'!$B$62:$O$86,MATCH($Q$57,'Sport Records'!$A$62:$A$86,0),MATCH($A66,'Sport Records'!$B$61:$O$61,0)),"")</f>
        <v/>
      </c>
      <c r="R66" s="116" t="str">
        <f>IFERROR(INDEX('Sport Records'!$B$62:$O$86,MATCH($R$57,'Sport Records'!$A$62:$A$86,0),MATCH($A66,'Sport Records'!$B$61:$O$61,0)),"")</f>
        <v/>
      </c>
      <c r="S66" s="116">
        <f>IFERROR(INDEX('Sport Records'!$B$62:$O$86,MATCH($S$57,'Sport Records'!$A$62:$A$86,0),MATCH($A66,'Sport Records'!$B$61:$O$61,0)),"")</f>
        <v>0.7</v>
      </c>
      <c r="T66" s="116" t="str">
        <f>IFERROR(INDEX('Sport Records'!$B$62:$O$86,MATCH($T$57,'Sport Records'!$A$62:$A$86,0),MATCH($A66,'Sport Records'!$B$61:$O$61,0)),"")</f>
        <v/>
      </c>
      <c r="U66" s="27">
        <f>IFERROR(INDEX('Sport Records'!$B$62:$O$86,MATCH($U$57,'Sport Records'!$A$62:$A$86,0),MATCH($A66,'Sport Records'!$B$61:$O$61,0)),"")</f>
        <v>0</v>
      </c>
      <c r="V66" s="104">
        <f>IFERROR(INDEX('Sport Records'!$B$62:$O$86,MATCH($V$57,'Sport Records'!$A$62:$A$86,0),MATCH($A66,'Sport Records'!$B$61:$O$61,0)),"")</f>
        <v>1</v>
      </c>
      <c r="W66" s="27" t="str">
        <f>IFERROR(INDEX('Sport Records'!$B$62:$O$86,MATCH($W$57,'Sport Records'!$A$62:$A$86,0),MATCH($A66,'Sport Records'!$B$61:$O$61,0)),"")</f>
        <v/>
      </c>
      <c r="X66" s="104" t="str">
        <f>IFERROR(INDEX('Sport Records'!$B$62:$O$86,MATCH($X$57,'Sport Records'!$A$62:$A$86,0),MATCH($A66,'Sport Records'!$B$61:$O$61,0)),"")</f>
        <v/>
      </c>
      <c r="Y66" s="27" t="str">
        <f>IFERROR(INDEX('Sport Records'!$B$62:$O$86,MATCH($Y$57,'Sport Records'!$A$62:$A$86,0),MATCH($A66,'Sport Records'!$B$61:$O$61,0)),"")</f>
        <v/>
      </c>
      <c r="Z66" s="104">
        <f>IFERROR(INDEX('Sport Records'!$B$62:$O$86,MATCH($Z$57,'Sport Records'!$A$62:$A$86,0),MATCH($A66,'Sport Records'!$B$61:$O$61,0)),"")</f>
        <v>0</v>
      </c>
    </row>
    <row r="67" spans="1:26" x14ac:dyDescent="0.2">
      <c r="A67" s="92" t="s">
        <v>24</v>
      </c>
      <c r="B67" s="116" t="str">
        <f>IFERROR(INDEX('Sport Records'!$B$62:$O$86,MATCH($B$57,'Sport Records'!$A$62:$A$86,0),MATCH($A67,'Sport Records'!$B$61:$O$61,0)),"")</f>
        <v/>
      </c>
      <c r="C67" s="116" t="str">
        <f>IFERROR(INDEX('Sport Records'!$B$62:$O$86,MATCH($C$57,'Sport Records'!$A$62:$A$86,0),MATCH($A67,'Sport Records'!$B$61:$O$61,0)),"")</f>
        <v/>
      </c>
      <c r="D67" s="116" t="str">
        <f>IFERROR(INDEX('Sport Records'!$B$62:$O$86,MATCH($D$57,'Sport Records'!$A$62:$A$86,0),MATCH($A67,'Sport Records'!$B$61:$O$61,0)),"")</f>
        <v/>
      </c>
      <c r="E67" s="116" t="str">
        <f>IFERROR(INDEX('Sport Records'!$B$62:$O$86,MATCH($E$57,'Sport Records'!$A$62:$A$86,0),MATCH($A67,'Sport Records'!$B$61:$O$61,0)),"")</f>
        <v/>
      </c>
      <c r="F67" s="116">
        <f>IFERROR(INDEX('Sport Records'!$B$62:$O$86,MATCH($F$57,'Sport Records'!$A$62:$A$86,0),MATCH($A67,'Sport Records'!$B$61:$O$61,0)),"")</f>
        <v>0</v>
      </c>
      <c r="G67" s="116" t="str">
        <f>IFERROR(INDEX('Sport Records'!$B$62:$O$86,MATCH($G$57,'Sport Records'!$A$62:$A$86,0),MATCH($A67,'Sport Records'!$B$61:$O$61,0)),"")</f>
        <v/>
      </c>
      <c r="H67" s="116" t="str">
        <f>IFERROR(INDEX('Sport Records'!$B$62:$O$86,MATCH($H$57,'Sport Records'!$A$62:$A$86,0),MATCH($A67,'Sport Records'!$B$61:$O$61,0)),"")</f>
        <v/>
      </c>
      <c r="I67" s="116" t="str">
        <f>IFERROR(INDEX('Sport Records'!$B$62:$O$86,MATCH($I$57,'Sport Records'!$A$62:$A$86,0),MATCH($A67,'Sport Records'!$B$61:$O$61,0)),"")</f>
        <v/>
      </c>
      <c r="J67" s="116" t="str">
        <f>IFERROR(INDEX('Sport Records'!$B$62:$O$86,MATCH($J$57,'Sport Records'!$A$62:$A$86,0),MATCH($A67,'Sport Records'!$B$61:$O$61,0)),"")</f>
        <v/>
      </c>
      <c r="K67" s="116" t="str">
        <f>IFERROR(INDEX('Sport Records'!$B$62:$O$86,MATCH($K$57,'Sport Records'!$A$62:$A$86,0),MATCH($A67,'Sport Records'!$B$61:$O$61,0)),"")</f>
        <v/>
      </c>
      <c r="L67" s="116" t="str">
        <f>IFERROR(INDEX('Sport Records'!$B$62:$O$86,MATCH($L$57,'Sport Records'!$A$62:$A$86,0),MATCH($A67,'Sport Records'!$B$61:$O$61,0)),"")</f>
        <v/>
      </c>
      <c r="M67" s="116">
        <f>IFERROR(INDEX('Sport Records'!$B$62:$O$86,MATCH($M$57,'Sport Records'!$A$62:$A$86,0),MATCH($A67,'Sport Records'!$B$61:$O$61,0)),"")</f>
        <v>0</v>
      </c>
      <c r="N67" s="116" t="str">
        <f>IFERROR(INDEX('Sport Records'!$B$62:$O$86,MATCH($N$57,'Sport Records'!$A$62:$A$86,0),MATCH($A67,'Sport Records'!$B$61:$O$61,0)),"")</f>
        <v/>
      </c>
      <c r="O67" s="116" t="str">
        <f>IFERROR(INDEX('Sport Records'!$B$62:$O$86,MATCH($O$57,'Sport Records'!$A$62:$A$86,0),MATCH($A67,'Sport Records'!$B$61:$O$61,0)),"")</f>
        <v/>
      </c>
      <c r="P67" s="116" t="str">
        <f>IFERROR(INDEX('Sport Records'!$B$62:$O$86,MATCH($P$57,'Sport Records'!$A$62:$A$86,0),MATCH($A67,'Sport Records'!$B$61:$O$61,0)),"")</f>
        <v/>
      </c>
      <c r="Q67" s="116" t="str">
        <f>IFERROR(INDEX('Sport Records'!$B$62:$O$86,MATCH($Q$57,'Sport Records'!$A$62:$A$86,0),MATCH($A67,'Sport Records'!$B$61:$O$61,0)),"")</f>
        <v/>
      </c>
      <c r="R67" s="116" t="str">
        <f>IFERROR(INDEX('Sport Records'!$B$62:$O$86,MATCH($R$57,'Sport Records'!$A$62:$A$86,0),MATCH($A67,'Sport Records'!$B$61:$O$61,0)),"")</f>
        <v/>
      </c>
      <c r="S67" s="116">
        <f>IFERROR(INDEX('Sport Records'!$B$62:$O$86,MATCH($S$57,'Sport Records'!$A$62:$A$86,0),MATCH($A67,'Sport Records'!$B$61:$O$61,0)),"")</f>
        <v>0.2857142857142857</v>
      </c>
      <c r="T67" s="116" t="str">
        <f>IFERROR(INDEX('Sport Records'!$B$62:$O$86,MATCH($T$57,'Sport Records'!$A$62:$A$86,0),MATCH($A67,'Sport Records'!$B$61:$O$61,0)),"")</f>
        <v/>
      </c>
      <c r="U67" s="27" t="str">
        <f>IFERROR(INDEX('Sport Records'!$B$62:$O$86,MATCH($U$57,'Sport Records'!$A$62:$A$86,0),MATCH($A67,'Sport Records'!$B$61:$O$61,0)),"")</f>
        <v/>
      </c>
      <c r="V67" s="27" t="str">
        <f>IFERROR(INDEX('Sport Records'!$B$62:$O$86,MATCH($V$57,'Sport Records'!$A$62:$A$86,0),MATCH($A67,'Sport Records'!$B$61:$O$61,0)),"")</f>
        <v/>
      </c>
      <c r="W67" s="27" t="str">
        <f>IFERROR(INDEX('Sport Records'!$B$62:$O$86,MATCH($W$57,'Sport Records'!$A$62:$A$86,0),MATCH($A67,'Sport Records'!$B$61:$O$61,0)),"")</f>
        <v/>
      </c>
      <c r="X67" s="27" t="str">
        <f>IFERROR(INDEX('Sport Records'!$B$62:$O$86,MATCH($X$57,'Sport Records'!$A$62:$A$86,0),MATCH($A67,'Sport Records'!$B$61:$O$61,0)),"")</f>
        <v/>
      </c>
      <c r="Y67" s="27" t="str">
        <f>IFERROR(INDEX('Sport Records'!$B$62:$O$86,MATCH($Y$57,'Sport Records'!$A$62:$A$86,0),MATCH($A67,'Sport Records'!$B$61:$O$61,0)),"")</f>
        <v/>
      </c>
      <c r="Z67" s="27" t="str">
        <f>IFERROR(INDEX('Sport Records'!$B$62:$O$86,MATCH($Z$57,'Sport Records'!$A$62:$A$86,0),MATCH($A67,'Sport Records'!$B$61:$O$61,0)),"")</f>
        <v/>
      </c>
    </row>
    <row r="68" spans="1:26" x14ac:dyDescent="0.2">
      <c r="A68" s="92" t="s">
        <v>25</v>
      </c>
      <c r="B68" s="116" t="str">
        <f>IFERROR(INDEX('Sport Records'!$B$62:$O$86,MATCH($B$57,'Sport Records'!$A$62:$A$86,0),MATCH($A68,'Sport Records'!$B$61:$O$61,0)),"")</f>
        <v/>
      </c>
      <c r="C68" s="116">
        <f>IFERROR(INDEX('Sport Records'!$B$62:$O$86,MATCH($C$57,'Sport Records'!$A$62:$A$86,0),MATCH($A68,'Sport Records'!$B$61:$O$61,0)),"")</f>
        <v>0.42857142857142855</v>
      </c>
      <c r="D68" s="116">
        <f>IFERROR(INDEX('Sport Records'!$B$62:$O$86,MATCH($D$57,'Sport Records'!$A$62:$A$86,0),MATCH($A68,'Sport Records'!$B$61:$O$61,0)),"")</f>
        <v>0.5</v>
      </c>
      <c r="E68" s="116">
        <f>IFERROR(INDEX('Sport Records'!$B$62:$O$86,MATCH($E$57,'Sport Records'!$A$62:$A$86,0),MATCH($A68,'Sport Records'!$B$61:$O$61,0)),"")</f>
        <v>0</v>
      </c>
      <c r="F68" s="116">
        <f>IFERROR(INDEX('Sport Records'!$B$62:$O$86,MATCH($F$57,'Sport Records'!$A$62:$A$86,0),MATCH($A68,'Sport Records'!$B$61:$O$61,0)),"")</f>
        <v>0.5</v>
      </c>
      <c r="G68" s="116">
        <f>IFERROR(INDEX('Sport Records'!$B$62:$O$86,MATCH($G$57,'Sport Records'!$A$62:$A$86,0),MATCH($A68,'Sport Records'!$B$61:$O$61,0)),"")</f>
        <v>0</v>
      </c>
      <c r="H68" s="116" t="str">
        <f>IFERROR(INDEX('Sport Records'!$B$62:$O$86,MATCH($H$57,'Sport Records'!$A$62:$A$86,0),MATCH($A68,'Sport Records'!$B$61:$O$61,0)),"")</f>
        <v/>
      </c>
      <c r="I68" s="116" t="str">
        <f>IFERROR(INDEX('Sport Records'!$B$62:$O$86,MATCH($I$57,'Sport Records'!$A$62:$A$86,0),MATCH($A68,'Sport Records'!$B$61:$O$61,0)),"")</f>
        <v/>
      </c>
      <c r="J68" s="116">
        <f>IFERROR(INDEX('Sport Records'!$B$62:$O$86,MATCH($J$57,'Sport Records'!$A$62:$A$86,0),MATCH($A68,'Sport Records'!$B$61:$O$61,0)),"")</f>
        <v>0</v>
      </c>
      <c r="K68" s="116">
        <f>IFERROR(INDEX('Sport Records'!$B$62:$O$86,MATCH($K$57,'Sport Records'!$A$62:$A$86,0),MATCH($A68,'Sport Records'!$B$61:$O$61,0)),"")</f>
        <v>0</v>
      </c>
      <c r="L68" s="116" t="str">
        <f>IFERROR(INDEX('Sport Records'!$B$62:$O$86,MATCH($L$57,'Sport Records'!$A$62:$A$86,0),MATCH($A68,'Sport Records'!$B$61:$O$61,0)),"")</f>
        <v/>
      </c>
      <c r="M68" s="116">
        <f>IFERROR(INDEX('Sport Records'!$B$62:$O$86,MATCH($M$57,'Sport Records'!$A$62:$A$86,0),MATCH($A68,'Sport Records'!$B$61:$O$61,0)),"")</f>
        <v>0.33333333333333331</v>
      </c>
      <c r="N68" s="116">
        <f>IFERROR(INDEX('Sport Records'!$B$62:$O$86,MATCH($N$57,'Sport Records'!$A$62:$A$86,0),MATCH($A68,'Sport Records'!$B$61:$O$61,0)),"")</f>
        <v>0.33333333333333331</v>
      </c>
      <c r="O68" s="116">
        <f>IFERROR(INDEX('Sport Records'!$B$62:$O$86,MATCH($O$57,'Sport Records'!$A$62:$A$86,0),MATCH($A68,'Sport Records'!$B$61:$O$61,0)),"")</f>
        <v>0.69230769230769229</v>
      </c>
      <c r="P68" s="116" t="str">
        <f>IFERROR(INDEX('Sport Records'!$B$62:$O$86,MATCH($P$57,'Sport Records'!$A$62:$A$86,0),MATCH($A68,'Sport Records'!$B$61:$O$61,0)),"")</f>
        <v/>
      </c>
      <c r="Q68" s="116" t="str">
        <f>IFERROR(INDEX('Sport Records'!$B$62:$O$86,MATCH($Q$57,'Sport Records'!$A$62:$A$86,0),MATCH($A68,'Sport Records'!$B$61:$O$61,0)),"")</f>
        <v/>
      </c>
      <c r="R68" s="116" t="str">
        <f>IFERROR(INDEX('Sport Records'!$B$62:$O$86,MATCH($R$57,'Sport Records'!$A$62:$A$86,0),MATCH($A68,'Sport Records'!$B$61:$O$61,0)),"")</f>
        <v/>
      </c>
      <c r="S68" s="116">
        <f>IFERROR(INDEX('Sport Records'!$B$62:$O$86,MATCH($S$57,'Sport Records'!$A$62:$A$86,0),MATCH($A68,'Sport Records'!$B$61:$O$61,0)),"")</f>
        <v>0.41666666666666669</v>
      </c>
      <c r="T68" s="116">
        <f>IFERROR(INDEX('Sport Records'!$B$62:$O$86,MATCH($T$57,'Sport Records'!$A$62:$A$86,0),MATCH($A68,'Sport Records'!$B$61:$O$61,0)),"")</f>
        <v>0.18181818181818182</v>
      </c>
      <c r="U68" s="27">
        <f>IFERROR(INDEX('Sport Records'!$B$62:$O$86,MATCH($U$57,'Sport Records'!$A$62:$A$86,0),MATCH($A68,'Sport Records'!$B$61:$O$61,0)),"")</f>
        <v>0</v>
      </c>
      <c r="V68" s="27" t="str">
        <f>IFERROR(INDEX('Sport Records'!$B$62:$O$86,MATCH($V$57,'Sport Records'!$A$62:$A$86,0),MATCH($A68,'Sport Records'!$B$61:$O$61,0)),"")</f>
        <v/>
      </c>
      <c r="W68" s="27" t="str">
        <f>IFERROR(INDEX('Sport Records'!$B$62:$O$86,MATCH($W$57,'Sport Records'!$A$62:$A$86,0),MATCH($A68,'Sport Records'!$B$61:$O$61,0)),"")</f>
        <v/>
      </c>
      <c r="X68" s="27">
        <f>IFERROR(INDEX('Sport Records'!$B$62:$O$86,MATCH($X$57,'Sport Records'!$A$62:$A$86,0),MATCH($A68,'Sport Records'!$B$61:$O$61,0)),"")</f>
        <v>0</v>
      </c>
      <c r="Y68" s="27" t="str">
        <f>IFERROR(INDEX('Sport Records'!$B$62:$O$86,MATCH($Y$57,'Sport Records'!$A$62:$A$86,0),MATCH($A68,'Sport Records'!$B$61:$O$61,0)),"")</f>
        <v/>
      </c>
      <c r="Z68" s="27" t="str">
        <f>IFERROR(INDEX('Sport Records'!$B$62:$O$86,MATCH($Z$57,'Sport Records'!$A$62:$A$86,0),MATCH($A68,'Sport Records'!$B$61:$O$61,0)),"")</f>
        <v/>
      </c>
    </row>
    <row r="69" spans="1:26" x14ac:dyDescent="0.2">
      <c r="A69" s="92" t="s">
        <v>26</v>
      </c>
      <c r="B69" s="116" t="str">
        <f>IFERROR(INDEX('Sport Records'!$B$62:$O$86,MATCH($B$57,'Sport Records'!$A$62:$A$86,0),MATCH($A69,'Sport Records'!$B$61:$O$61,0)),"")</f>
        <v/>
      </c>
      <c r="C69" s="116">
        <f>IFERROR(INDEX('Sport Records'!$B$62:$O$86,MATCH($C$57,'Sport Records'!$A$62:$A$86,0),MATCH($A69,'Sport Records'!$B$61:$O$61,0)),"")</f>
        <v>0.33333333333333331</v>
      </c>
      <c r="D69" s="116" t="str">
        <f>IFERROR(INDEX('Sport Records'!$B$62:$O$86,MATCH($D$57,'Sport Records'!$A$62:$A$86,0),MATCH($A69,'Sport Records'!$B$61:$O$61,0)),"")</f>
        <v/>
      </c>
      <c r="E69" s="116" t="str">
        <f>IFERROR(INDEX('Sport Records'!$B$62:$O$86,MATCH($E$57,'Sport Records'!$A$62:$A$86,0),MATCH($A69,'Sport Records'!$B$61:$O$61,0)),"")</f>
        <v/>
      </c>
      <c r="F69" s="116">
        <f>IFERROR(INDEX('Sport Records'!$B$62:$O$86,MATCH($F$57,'Sport Records'!$A$62:$A$86,0),MATCH($A69,'Sport Records'!$B$61:$O$61,0)),"")</f>
        <v>0.5</v>
      </c>
      <c r="G69" s="116" t="str">
        <f>IFERROR(INDEX('Sport Records'!$B$62:$O$86,MATCH($G$57,'Sport Records'!$A$62:$A$86,0),MATCH($A69,'Sport Records'!$B$61:$O$61,0)),"")</f>
        <v/>
      </c>
      <c r="H69" s="116" t="str">
        <f>IFERROR(INDEX('Sport Records'!$B$62:$O$86,MATCH($H$57,'Sport Records'!$A$62:$A$86,0),MATCH($A69,'Sport Records'!$B$61:$O$61,0)),"")</f>
        <v/>
      </c>
      <c r="I69" s="116" t="str">
        <f>IFERROR(INDEX('Sport Records'!$B$62:$O$86,MATCH($I$57,'Sport Records'!$A$62:$A$86,0),MATCH($A69,'Sport Records'!$B$61:$O$61,0)),"")</f>
        <v/>
      </c>
      <c r="J69" s="116" t="str">
        <f>IFERROR(INDEX('Sport Records'!$B$62:$O$86,MATCH($J$57,'Sport Records'!$A$62:$A$86,0),MATCH($A69,'Sport Records'!$B$61:$O$61,0)),"")</f>
        <v/>
      </c>
      <c r="K69" s="116" t="str">
        <f>IFERROR(INDEX('Sport Records'!$B$62:$O$86,MATCH($K$57,'Sport Records'!$A$62:$A$86,0),MATCH($A69,'Sport Records'!$B$61:$O$61,0)),"")</f>
        <v/>
      </c>
      <c r="L69" s="116" t="str">
        <f>IFERROR(INDEX('Sport Records'!$B$62:$O$86,MATCH($L$57,'Sport Records'!$A$62:$A$86,0),MATCH($A69,'Sport Records'!$B$61:$O$61,0)),"")</f>
        <v/>
      </c>
      <c r="M69" s="116" t="str">
        <f>IFERROR(INDEX('Sport Records'!$B$62:$O$86,MATCH($M$57,'Sport Records'!$A$62:$A$86,0),MATCH($A69,'Sport Records'!$B$61:$O$61,0)),"")</f>
        <v/>
      </c>
      <c r="N69" s="116" t="str">
        <f>IFERROR(INDEX('Sport Records'!$B$62:$O$86,MATCH($N$57,'Sport Records'!$A$62:$A$86,0),MATCH($A69,'Sport Records'!$B$61:$O$61,0)),"")</f>
        <v/>
      </c>
      <c r="O69" s="116" t="str">
        <f>IFERROR(INDEX('Sport Records'!$B$62:$O$86,MATCH($O$57,'Sport Records'!$A$62:$A$86,0),MATCH($A69,'Sport Records'!$B$61:$O$61,0)),"")</f>
        <v/>
      </c>
      <c r="P69" s="116" t="str">
        <f>IFERROR(INDEX('Sport Records'!$B$62:$O$86,MATCH($P$57,'Sport Records'!$A$62:$A$86,0),MATCH($A69,'Sport Records'!$B$61:$O$61,0)),"")</f>
        <v/>
      </c>
      <c r="Q69" s="116" t="str">
        <f>IFERROR(INDEX('Sport Records'!$B$62:$O$86,MATCH($Q$57,'Sport Records'!$A$62:$A$86,0),MATCH($A69,'Sport Records'!$B$61:$O$61,0)),"")</f>
        <v/>
      </c>
      <c r="R69" s="116" t="str">
        <f>IFERROR(INDEX('Sport Records'!$B$62:$O$86,MATCH($R$57,'Sport Records'!$A$62:$A$86,0),MATCH($A69,'Sport Records'!$B$61:$O$61,0)),"")</f>
        <v/>
      </c>
      <c r="S69" s="116">
        <f>IFERROR(INDEX('Sport Records'!$B$62:$O$86,MATCH($S$57,'Sport Records'!$A$62:$A$86,0),MATCH($A69,'Sport Records'!$B$61:$O$61,0)),"")</f>
        <v>0.4</v>
      </c>
      <c r="T69" s="116" t="str">
        <f>IFERROR(INDEX('Sport Records'!$B$62:$O$86,MATCH($T$57,'Sport Records'!$A$62:$A$86,0),MATCH($A69,'Sport Records'!$B$61:$O$61,0)),"")</f>
        <v/>
      </c>
      <c r="U69" s="27" t="str">
        <f>IFERROR(INDEX('Sport Records'!$B$62:$O$86,MATCH($U$57,'Sport Records'!$A$62:$A$86,0),MATCH($A69,'Sport Records'!$B$61:$O$61,0)),"")</f>
        <v/>
      </c>
      <c r="V69" s="27" t="str">
        <f>IFERROR(INDEX('Sport Records'!$B$62:$O$86,MATCH($V$57,'Sport Records'!$A$62:$A$86,0),MATCH($A69,'Sport Records'!$B$61:$O$61,0)),"")</f>
        <v/>
      </c>
      <c r="W69" s="27" t="str">
        <f>IFERROR(INDEX('Sport Records'!$B$62:$O$86,MATCH($W$57,'Sport Records'!$A$62:$A$86,0),MATCH($A69,'Sport Records'!$B$61:$O$61,0)),"")</f>
        <v/>
      </c>
      <c r="X69" s="104">
        <f>IFERROR(INDEX('Sport Records'!$B$62:$O$86,MATCH($X$57,'Sport Records'!$A$62:$A$86,0),MATCH($A69,'Sport Records'!$B$61:$O$61,0)),"")</f>
        <v>0.66666666666666663</v>
      </c>
      <c r="Y69" s="27" t="str">
        <f>IFERROR(INDEX('Sport Records'!$B$62:$O$86,MATCH($Y$57,'Sport Records'!$A$62:$A$86,0),MATCH($A69,'Sport Records'!$B$61:$O$61,0)),"")</f>
        <v/>
      </c>
      <c r="Z69" s="27" t="str">
        <f>IFERROR(INDEX('Sport Records'!$B$62:$O$86,MATCH($Z$57,'Sport Records'!$A$62:$A$86,0),MATCH($A69,'Sport Records'!$B$61:$O$61,0)),"")</f>
        <v/>
      </c>
    </row>
    <row r="70" spans="1:26" x14ac:dyDescent="0.2">
      <c r="A70" s="92" t="s">
        <v>27</v>
      </c>
      <c r="B70" s="116" t="str">
        <f>IFERROR(INDEX('Sport Records'!$B$62:$O$86,MATCH($B$57,'Sport Records'!$A$62:$A$86,0),MATCH($A70,'Sport Records'!$B$61:$O$61,0)),"")</f>
        <v/>
      </c>
      <c r="C70" s="116">
        <f>IFERROR(INDEX('Sport Records'!$B$62:$O$86,MATCH($C$57,'Sport Records'!$A$62:$A$86,0),MATCH($A70,'Sport Records'!$B$61:$O$61,0)),"")</f>
        <v>0.25</v>
      </c>
      <c r="D70" s="116" t="str">
        <f>IFERROR(INDEX('Sport Records'!$B$62:$O$86,MATCH($D$57,'Sport Records'!$A$62:$A$86,0),MATCH($A70,'Sport Records'!$B$61:$O$61,0)),"")</f>
        <v/>
      </c>
      <c r="E70" s="116" t="str">
        <f>IFERROR(INDEX('Sport Records'!$B$62:$O$86,MATCH($E$57,'Sport Records'!$A$62:$A$86,0),MATCH($A70,'Sport Records'!$B$61:$O$61,0)),"")</f>
        <v/>
      </c>
      <c r="F70" s="116">
        <f>IFERROR(INDEX('Sport Records'!$B$62:$O$86,MATCH($F$57,'Sport Records'!$A$62:$A$86,0),MATCH($A70,'Sport Records'!$B$61:$O$61,0)),"")</f>
        <v>0.75</v>
      </c>
      <c r="G70" s="116" t="str">
        <f>IFERROR(INDEX('Sport Records'!$B$62:$O$86,MATCH($G$57,'Sport Records'!$A$62:$A$86,0),MATCH($A70,'Sport Records'!$B$61:$O$61,0)),"")</f>
        <v/>
      </c>
      <c r="H70" s="116" t="str">
        <f>IFERROR(INDEX('Sport Records'!$B$62:$O$86,MATCH($H$57,'Sport Records'!$A$62:$A$86,0),MATCH($A70,'Sport Records'!$B$61:$O$61,0)),"")</f>
        <v/>
      </c>
      <c r="I70" s="116" t="str">
        <f>IFERROR(INDEX('Sport Records'!$B$62:$O$86,MATCH($I$57,'Sport Records'!$A$62:$A$86,0),MATCH($A70,'Sport Records'!$B$61:$O$61,0)),"")</f>
        <v/>
      </c>
      <c r="J70" s="116" t="str">
        <f>IFERROR(INDEX('Sport Records'!$B$62:$O$86,MATCH($J$57,'Sport Records'!$A$62:$A$86,0),MATCH($A70,'Sport Records'!$B$61:$O$61,0)),"")</f>
        <v/>
      </c>
      <c r="K70" s="116" t="str">
        <f>IFERROR(INDEX('Sport Records'!$B$62:$O$86,MATCH($K$57,'Sport Records'!$A$62:$A$86,0),MATCH($A70,'Sport Records'!$B$61:$O$61,0)),"")</f>
        <v/>
      </c>
      <c r="L70" s="116" t="str">
        <f>IFERROR(INDEX('Sport Records'!$B$62:$O$86,MATCH($L$57,'Sport Records'!$A$62:$A$86,0),MATCH($A70,'Sport Records'!$B$61:$O$61,0)),"")</f>
        <v/>
      </c>
      <c r="M70" s="116" t="str">
        <f>IFERROR(INDEX('Sport Records'!$B$62:$O$86,MATCH($M$57,'Sport Records'!$A$62:$A$86,0),MATCH($A70,'Sport Records'!$B$61:$O$61,0)),"")</f>
        <v/>
      </c>
      <c r="N70" s="116" t="str">
        <f>IFERROR(INDEX('Sport Records'!$B$62:$O$86,MATCH($N$57,'Sport Records'!$A$62:$A$86,0),MATCH($A70,'Sport Records'!$B$61:$O$61,0)),"")</f>
        <v/>
      </c>
      <c r="O70" s="116" t="str">
        <f>IFERROR(INDEX('Sport Records'!$B$62:$O$86,MATCH($O$57,'Sport Records'!$A$62:$A$86,0),MATCH($A70,'Sport Records'!$B$61:$O$61,0)),"")</f>
        <v/>
      </c>
      <c r="P70" s="116" t="str">
        <f>IFERROR(INDEX('Sport Records'!$B$62:$O$86,MATCH($P$57,'Sport Records'!$A$62:$A$86,0),MATCH($A70,'Sport Records'!$B$61:$O$61,0)),"")</f>
        <v/>
      </c>
      <c r="Q70" s="116" t="str">
        <f>IFERROR(INDEX('Sport Records'!$B$62:$O$86,MATCH($Q$57,'Sport Records'!$A$62:$A$86,0),MATCH($A70,'Sport Records'!$B$61:$O$61,0)),"")</f>
        <v/>
      </c>
      <c r="R70" s="116" t="str">
        <f>IFERROR(INDEX('Sport Records'!$B$62:$O$86,MATCH($R$57,'Sport Records'!$A$62:$A$86,0),MATCH($A70,'Sport Records'!$B$61:$O$61,0)),"")</f>
        <v/>
      </c>
      <c r="S70" s="116">
        <f>IFERROR(INDEX('Sport Records'!$B$62:$O$86,MATCH($S$57,'Sport Records'!$A$62:$A$86,0),MATCH($A70,'Sport Records'!$B$61:$O$61,0)),"")</f>
        <v>0.5</v>
      </c>
      <c r="T70" s="116">
        <f>IFERROR(INDEX('Sport Records'!$B$62:$O$86,MATCH($T$57,'Sport Records'!$A$62:$A$86,0),MATCH($A70,'Sport Records'!$B$61:$O$61,0)),"")</f>
        <v>0</v>
      </c>
      <c r="U70" s="27" t="str">
        <f>IFERROR(INDEX('Sport Records'!$B$62:$O$86,MATCH($U$57,'Sport Records'!$A$62:$A$86,0),MATCH($A70,'Sport Records'!$B$61:$O$61,0)),"")</f>
        <v/>
      </c>
      <c r="V70" s="27" t="str">
        <f>IFERROR(INDEX('Sport Records'!$B$62:$O$86,MATCH($V$57,'Sport Records'!$A$62:$A$86,0),MATCH($A70,'Sport Records'!$B$61:$O$61,0)),"")</f>
        <v/>
      </c>
      <c r="W70" s="27" t="str">
        <f>IFERROR(INDEX('Sport Records'!$B$62:$O$86,MATCH($W$57,'Sport Records'!$A$62:$A$86,0),MATCH($A70,'Sport Records'!$B$61:$O$61,0)),"")</f>
        <v/>
      </c>
      <c r="X70" s="104">
        <f>IFERROR(INDEX('Sport Records'!$B$62:$O$86,MATCH($X$57,'Sport Records'!$A$62:$A$86,0),MATCH($A70,'Sport Records'!$B$61:$O$61,0)),"")</f>
        <v>0</v>
      </c>
      <c r="Y70" s="27" t="str">
        <f>IFERROR(INDEX('Sport Records'!$B$62:$O$86,MATCH($Y$57,'Sport Records'!$A$62:$A$86,0),MATCH($A70,'Sport Records'!$B$61:$O$61,0)),"")</f>
        <v/>
      </c>
      <c r="Z70" s="27" t="str">
        <f>IFERROR(INDEX('Sport Records'!$B$62:$O$86,MATCH($Z$57,'Sport Records'!$A$62:$A$86,0),MATCH($A70,'Sport Records'!$B$61:$O$61,0)),"")</f>
        <v/>
      </c>
    </row>
    <row r="71" spans="1:26" x14ac:dyDescent="0.2">
      <c r="A71" s="92" t="s">
        <v>28</v>
      </c>
      <c r="B71" s="116" t="str">
        <f>IFERROR(INDEX('Sport Records'!$B$62:$O$86,MATCH($B$57,'Sport Records'!$A$62:$A$86,0),MATCH($A71,'Sport Records'!$B$61:$O$61,0)),"")</f>
        <v/>
      </c>
      <c r="C71" s="116" t="str">
        <f>IFERROR(INDEX('Sport Records'!$B$62:$O$86,MATCH($C$57,'Sport Records'!$A$62:$A$86,0),MATCH($A71,'Sport Records'!$B$61:$O$61,0)),"")</f>
        <v/>
      </c>
      <c r="D71" s="116" t="str">
        <f>IFERROR(INDEX('Sport Records'!$B$62:$O$86,MATCH($D$57,'Sport Records'!$A$62:$A$86,0),MATCH($A71,'Sport Records'!$B$61:$O$61,0)),"")</f>
        <v/>
      </c>
      <c r="E71" s="116" t="str">
        <f>IFERROR(INDEX('Sport Records'!$B$62:$O$86,MATCH($E$57,'Sport Records'!$A$62:$A$86,0),MATCH($A71,'Sport Records'!$B$61:$O$61,0)),"")</f>
        <v/>
      </c>
      <c r="F71" s="116" t="str">
        <f>IFERROR(INDEX('Sport Records'!$B$62:$O$86,MATCH($F$57,'Sport Records'!$A$62:$A$86,0),MATCH($A71,'Sport Records'!$B$61:$O$61,0)),"")</f>
        <v/>
      </c>
      <c r="G71" s="116" t="str">
        <f>IFERROR(INDEX('Sport Records'!$B$62:$O$86,MATCH($G$57,'Sport Records'!$A$62:$A$86,0),MATCH($A71,'Sport Records'!$B$61:$O$61,0)),"")</f>
        <v/>
      </c>
      <c r="H71" s="116" t="str">
        <f>IFERROR(INDEX('Sport Records'!$B$62:$O$86,MATCH($H$57,'Sport Records'!$A$62:$A$86,0),MATCH($A71,'Sport Records'!$B$61:$O$61,0)),"")</f>
        <v/>
      </c>
      <c r="I71" s="116" t="str">
        <f>IFERROR(INDEX('Sport Records'!$B$62:$O$86,MATCH($I$57,'Sport Records'!$A$62:$A$86,0),MATCH($A71,'Sport Records'!$B$61:$O$61,0)),"")</f>
        <v/>
      </c>
      <c r="J71" s="116" t="str">
        <f>IFERROR(INDEX('Sport Records'!$B$62:$O$86,MATCH($J$57,'Sport Records'!$A$62:$A$86,0),MATCH($A71,'Sport Records'!$B$61:$O$61,0)),"")</f>
        <v/>
      </c>
      <c r="K71" s="116" t="str">
        <f>IFERROR(INDEX('Sport Records'!$B$62:$O$86,MATCH($K$57,'Sport Records'!$A$62:$A$86,0),MATCH($A71,'Sport Records'!$B$61:$O$61,0)),"")</f>
        <v/>
      </c>
      <c r="L71" s="116" t="str">
        <f>IFERROR(INDEX('Sport Records'!$B$62:$O$86,MATCH($L$57,'Sport Records'!$A$62:$A$86,0),MATCH($A71,'Sport Records'!$B$61:$O$61,0)),"")</f>
        <v/>
      </c>
      <c r="M71" s="116" t="str">
        <f>IFERROR(INDEX('Sport Records'!$B$62:$O$86,MATCH($M$57,'Sport Records'!$A$62:$A$86,0),MATCH($A71,'Sport Records'!$B$61:$O$61,0)),"")</f>
        <v/>
      </c>
      <c r="N71" s="116" t="str">
        <f>IFERROR(INDEX('Sport Records'!$B$62:$O$86,MATCH($N$57,'Sport Records'!$A$62:$A$86,0),MATCH($A71,'Sport Records'!$B$61:$O$61,0)),"")</f>
        <v/>
      </c>
      <c r="O71" s="116" t="str">
        <f>IFERROR(INDEX('Sport Records'!$B$62:$O$86,MATCH($O$57,'Sport Records'!$A$62:$A$86,0),MATCH($A71,'Sport Records'!$B$61:$O$61,0)),"")</f>
        <v/>
      </c>
      <c r="P71" s="116" t="str">
        <f>IFERROR(INDEX('Sport Records'!$B$62:$O$86,MATCH($P$57,'Sport Records'!$A$62:$A$86,0),MATCH($A71,'Sport Records'!$B$61:$O$61,0)),"")</f>
        <v/>
      </c>
      <c r="Q71" s="116" t="str">
        <f>IFERROR(INDEX('Sport Records'!$B$62:$O$86,MATCH($Q$57,'Sport Records'!$A$62:$A$86,0),MATCH($A71,'Sport Records'!$B$61:$O$61,0)),"")</f>
        <v/>
      </c>
      <c r="R71" s="116" t="str">
        <f>IFERROR(INDEX('Sport Records'!$B$62:$O$86,MATCH($R$57,'Sport Records'!$A$62:$A$86,0),MATCH($A71,'Sport Records'!$B$61:$O$61,0)),"")</f>
        <v/>
      </c>
      <c r="S71" s="116" t="str">
        <f>IFERROR(INDEX('Sport Records'!$B$62:$O$86,MATCH($S$57,'Sport Records'!$A$62:$A$86,0),MATCH($A71,'Sport Records'!$B$61:$O$61,0)),"")</f>
        <v/>
      </c>
      <c r="T71" s="116" t="str">
        <f>IFERROR(INDEX('Sport Records'!$B$62:$O$86,MATCH($T$57,'Sport Records'!$A$62:$A$86,0),MATCH($A71,'Sport Records'!$B$61:$O$61,0)),"")</f>
        <v/>
      </c>
      <c r="U71" s="27" t="str">
        <f>IFERROR(INDEX('Sport Records'!$B$62:$O$86,MATCH($U$57,'Sport Records'!$A$62:$A$86,0),MATCH($A71,'Sport Records'!$B$61:$O$61,0)),"")</f>
        <v/>
      </c>
      <c r="V71" s="27" t="str">
        <f>IFERROR(INDEX('Sport Records'!$B$62:$O$86,MATCH($V$57,'Sport Records'!$A$62:$A$86,0),MATCH($A71,'Sport Records'!$B$61:$O$61,0)),"")</f>
        <v/>
      </c>
      <c r="W71" s="27" t="str">
        <f>IFERROR(INDEX('Sport Records'!$B$62:$O$86,MATCH($W$57,'Sport Records'!$A$62:$A$86,0),MATCH($A71,'Sport Records'!$B$61:$O$61,0)),"")</f>
        <v/>
      </c>
      <c r="X71" s="27" t="str">
        <f>IFERROR(INDEX('Sport Records'!$B$62:$O$86,MATCH($X$57,'Sport Records'!$A$62:$A$86,0),MATCH($A71,'Sport Records'!$B$61:$O$61,0)),"")</f>
        <v/>
      </c>
      <c r="Y71" s="27" t="str">
        <f>IFERROR(INDEX('Sport Records'!$B$62:$O$86,MATCH($Y$57,'Sport Records'!$A$62:$A$86,0),MATCH($A71,'Sport Records'!$B$61:$O$61,0)),"")</f>
        <v/>
      </c>
      <c r="Z71" s="27" t="str">
        <f>IFERROR(INDEX('Sport Records'!$B$62:$O$86,MATCH($Z$57,'Sport Records'!$A$62:$A$86,0),MATCH($A71,'Sport Records'!$B$61:$O$61,0)),"")</f>
        <v/>
      </c>
    </row>
    <row r="72" spans="1:26" x14ac:dyDescent="0.2">
      <c r="A72" s="27"/>
      <c r="B72" s="104"/>
      <c r="C72" s="104"/>
      <c r="D72" s="104"/>
      <c r="E72" s="104"/>
      <c r="F72" s="104"/>
      <c r="G72" s="104"/>
      <c r="H72" s="104"/>
      <c r="I72" s="104"/>
      <c r="J72" s="104"/>
      <c r="K72" s="104"/>
      <c r="L72" s="104"/>
      <c r="M72" s="104"/>
      <c r="N72" s="104"/>
      <c r="O72" s="104"/>
      <c r="P72" s="104"/>
      <c r="Q72" s="104"/>
      <c r="R72" s="104"/>
      <c r="S72" s="104"/>
      <c r="T72" s="104"/>
      <c r="U72" s="27"/>
    </row>
    <row r="73" spans="1:26" x14ac:dyDescent="0.2">
      <c r="A73" s="27"/>
      <c r="B73" s="104"/>
      <c r="C73" s="104"/>
      <c r="D73" s="104"/>
      <c r="E73" s="104"/>
      <c r="F73" s="104"/>
      <c r="G73" s="104"/>
      <c r="H73" s="104"/>
      <c r="I73" s="104"/>
      <c r="J73" s="104"/>
      <c r="K73" s="104"/>
      <c r="L73" s="104"/>
      <c r="M73" s="104"/>
      <c r="N73" s="104"/>
      <c r="O73" s="104"/>
      <c r="P73" s="104"/>
      <c r="Q73" s="104"/>
      <c r="R73" s="104"/>
      <c r="S73" s="104"/>
      <c r="T73" s="104"/>
      <c r="U73" s="27"/>
    </row>
    <row r="74" spans="1:26" x14ac:dyDescent="0.2">
      <c r="A74" s="27"/>
      <c r="B74" s="104"/>
      <c r="C74" s="104"/>
      <c r="D74" s="104"/>
      <c r="E74" s="104"/>
      <c r="F74" s="104"/>
      <c r="G74" s="104"/>
      <c r="H74" s="104"/>
      <c r="I74" s="104"/>
      <c r="J74" s="104"/>
      <c r="K74" s="104"/>
      <c r="L74" s="104"/>
      <c r="M74" s="104"/>
      <c r="N74" s="104"/>
      <c r="O74" s="104"/>
      <c r="P74" s="104"/>
      <c r="Q74" s="104"/>
      <c r="R74" s="104"/>
      <c r="S74" s="104"/>
      <c r="T74" s="104"/>
      <c r="U74" s="27"/>
    </row>
    <row r="75" spans="1:26" x14ac:dyDescent="0.2">
      <c r="A75" s="27"/>
      <c r="B75" s="104"/>
      <c r="C75" s="104"/>
      <c r="D75" s="104"/>
      <c r="E75" s="104"/>
      <c r="F75" s="104"/>
      <c r="G75" s="104"/>
      <c r="H75" s="104"/>
      <c r="I75" s="104"/>
      <c r="J75" s="104"/>
      <c r="K75" s="104"/>
      <c r="L75" s="104"/>
      <c r="M75" s="104"/>
      <c r="N75" s="104"/>
      <c r="O75" s="104"/>
      <c r="P75" s="104"/>
      <c r="Q75" s="104"/>
      <c r="R75" s="104"/>
      <c r="S75" s="104"/>
      <c r="T75" s="104"/>
      <c r="U75" s="27"/>
    </row>
    <row r="76" spans="1:26" x14ac:dyDescent="0.2">
      <c r="A76" s="27"/>
      <c r="B76" s="104"/>
      <c r="C76" s="104"/>
      <c r="D76" s="104"/>
      <c r="E76" s="104"/>
      <c r="F76" s="104"/>
      <c r="G76" s="104"/>
      <c r="H76" s="104"/>
      <c r="I76" s="104"/>
      <c r="J76" s="104"/>
      <c r="K76" s="104"/>
      <c r="L76" s="104"/>
      <c r="M76" s="104"/>
      <c r="N76" s="104"/>
      <c r="O76" s="104"/>
      <c r="P76" s="104"/>
      <c r="Q76" s="104"/>
      <c r="R76" s="104"/>
      <c r="S76" s="104"/>
      <c r="T76" s="104"/>
      <c r="U76" s="27"/>
    </row>
    <row r="77" spans="1:26" x14ac:dyDescent="0.2">
      <c r="A77" s="27"/>
      <c r="B77" s="104"/>
      <c r="C77" s="104"/>
      <c r="D77" s="104"/>
      <c r="E77" s="104"/>
      <c r="F77" s="104"/>
      <c r="G77" s="104"/>
      <c r="H77" s="104"/>
      <c r="I77" s="104"/>
      <c r="J77" s="104"/>
      <c r="K77" s="104"/>
      <c r="L77" s="104"/>
      <c r="M77" s="104"/>
      <c r="N77" s="104"/>
      <c r="O77" s="104"/>
      <c r="P77" s="104"/>
      <c r="Q77" s="104"/>
      <c r="R77" s="104"/>
      <c r="S77" s="104"/>
      <c r="T77" s="104"/>
      <c r="U77" s="27"/>
    </row>
    <row r="78" spans="1:26" x14ac:dyDescent="0.2">
      <c r="A78" s="27"/>
      <c r="B78" s="104"/>
      <c r="C78" s="104"/>
      <c r="D78" s="104"/>
      <c r="E78" s="104"/>
      <c r="F78" s="104"/>
      <c r="G78" s="104"/>
      <c r="H78" s="104"/>
      <c r="I78" s="104"/>
      <c r="J78" s="104"/>
      <c r="K78" s="104"/>
      <c r="L78" s="104"/>
      <c r="M78" s="104"/>
      <c r="N78" s="104"/>
      <c r="O78" s="104"/>
      <c r="P78" s="104"/>
      <c r="Q78" s="104"/>
      <c r="R78" s="104"/>
      <c r="S78" s="104"/>
      <c r="T78" s="104"/>
      <c r="U78" s="27"/>
    </row>
    <row r="79" spans="1:26" x14ac:dyDescent="0.2">
      <c r="A79" s="27"/>
      <c r="B79" s="104"/>
      <c r="C79" s="104"/>
      <c r="D79" s="104"/>
      <c r="E79" s="104"/>
      <c r="F79" s="104"/>
      <c r="G79" s="104"/>
      <c r="H79" s="104"/>
      <c r="I79" s="104"/>
      <c r="J79" s="104"/>
      <c r="K79" s="104"/>
      <c r="L79" s="104"/>
      <c r="M79" s="104"/>
      <c r="N79" s="104"/>
      <c r="O79" s="104"/>
      <c r="P79" s="104"/>
      <c r="Q79" s="104"/>
      <c r="R79" s="104"/>
      <c r="S79" s="104"/>
      <c r="T79" s="104"/>
      <c r="U79" s="27"/>
    </row>
    <row r="80" spans="1:26" x14ac:dyDescent="0.2">
      <c r="A80" s="27"/>
      <c r="B80" s="104"/>
      <c r="C80" s="104"/>
      <c r="D80" s="104"/>
      <c r="E80" s="104"/>
      <c r="F80" s="104"/>
      <c r="G80" s="104"/>
      <c r="H80" s="104"/>
      <c r="I80" s="104"/>
      <c r="J80" s="104"/>
      <c r="K80" s="104"/>
      <c r="L80" s="104"/>
      <c r="M80" s="104"/>
      <c r="N80" s="104"/>
      <c r="O80" s="104"/>
      <c r="P80" s="104"/>
      <c r="Q80" s="104"/>
      <c r="R80" s="104"/>
      <c r="S80" s="104"/>
      <c r="T80" s="104"/>
      <c r="U80" s="27"/>
    </row>
    <row r="81" spans="1:21" x14ac:dyDescent="0.2">
      <c r="A81" s="27"/>
      <c r="B81" s="104"/>
      <c r="C81" s="104"/>
      <c r="D81" s="104"/>
      <c r="E81" s="104"/>
      <c r="F81" s="104"/>
      <c r="G81" s="104"/>
      <c r="H81" s="104"/>
      <c r="I81" s="104"/>
      <c r="J81" s="104"/>
      <c r="K81" s="104"/>
      <c r="L81" s="104"/>
      <c r="M81" s="104"/>
      <c r="N81" s="104"/>
      <c r="O81" s="104"/>
      <c r="P81" s="104"/>
      <c r="Q81" s="104"/>
      <c r="R81" s="104"/>
      <c r="S81" s="104"/>
      <c r="T81" s="104"/>
      <c r="U81" s="27"/>
    </row>
    <row r="82" spans="1:21" x14ac:dyDescent="0.2">
      <c r="A82" s="27"/>
      <c r="B82" s="27"/>
      <c r="C82" s="27"/>
      <c r="D82" s="27"/>
      <c r="E82" s="27"/>
      <c r="F82" s="27"/>
      <c r="G82" s="27"/>
      <c r="H82" s="27"/>
      <c r="I82" s="27"/>
      <c r="J82" s="27"/>
      <c r="K82" s="27"/>
      <c r="L82" s="27"/>
      <c r="M82" s="27"/>
      <c r="N82" s="27"/>
      <c r="O82" s="27"/>
      <c r="P82" s="27"/>
      <c r="Q82" s="27"/>
      <c r="R82" s="27"/>
      <c r="S82" s="27"/>
      <c r="T82" s="27"/>
      <c r="U82" s="27"/>
    </row>
    <row r="83" spans="1:21" x14ac:dyDescent="0.2">
      <c r="A83" s="27"/>
      <c r="B83" s="27"/>
      <c r="C83" s="27"/>
      <c r="D83" s="27"/>
      <c r="E83" s="27"/>
      <c r="F83" s="27"/>
      <c r="G83" s="27"/>
      <c r="H83" s="27"/>
      <c r="I83" s="27"/>
      <c r="J83" s="27"/>
      <c r="K83" s="27"/>
      <c r="L83" s="27"/>
      <c r="M83" s="27"/>
      <c r="N83" s="27"/>
      <c r="O83" s="27"/>
      <c r="P83" s="27"/>
      <c r="Q83" s="27"/>
      <c r="R83" s="27"/>
      <c r="S83" s="27"/>
      <c r="T83" s="27"/>
      <c r="U83" s="27"/>
    </row>
  </sheetData>
  <conditionalFormatting sqref="B40:K53">
    <cfRule type="cellIs" dxfId="7" priority="3" operator="equal">
      <formula>"W"</formula>
    </cfRule>
    <cfRule type="cellIs" dxfId="6" priority="4" operator="equal">
      <formula>"L"</formula>
    </cfRule>
  </conditionalFormatting>
  <conditionalFormatting sqref="B58:Z71">
    <cfRule type="colorScale" priority="5">
      <colorScale>
        <cfvo type="num" val="0"/>
        <cfvo type="num" val="0.5"/>
        <cfvo type="num" val="1"/>
        <color rgb="FFF8696B"/>
        <color rgb="FFFFEB84"/>
        <color rgb="FF63BE7B"/>
      </colorScale>
    </cfRule>
  </conditionalFormatting>
  <conditionalFormatting sqref="D23:D36">
    <cfRule type="colorScale" priority="2">
      <colorScale>
        <cfvo type="num" val="0"/>
        <cfvo type="percentile" val="50"/>
        <cfvo type="num" val="1"/>
        <color rgb="FFF8696B"/>
        <color rgb="FFFFEB84"/>
        <color rgb="FF63BE7B"/>
      </colorScale>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Lists!$C$2:$C$26</xm:f>
          </x14:formula1>
          <x14:formula2>
            <xm:f>0</xm:f>
          </x14:formula2>
          <xm:sqref>D21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1510"/>
  <sheetViews>
    <sheetView tabSelected="1" zoomScale="118" zoomScaleNormal="118" workbookViewId="0">
      <pane xSplit="5" ySplit="3" topLeftCell="F735" activePane="bottomRight" state="frozen"/>
      <selection pane="topRight" activeCell="F1" sqref="F1"/>
      <selection pane="bottomLeft" activeCell="A442" sqref="A442"/>
      <selection pane="bottomRight" activeCell="E759" sqref="E759"/>
    </sheetView>
  </sheetViews>
  <sheetFormatPr baseColWidth="10" defaultColWidth="8.6640625" defaultRowHeight="15" x14ac:dyDescent="0.2"/>
  <cols>
    <col min="1" max="1" width="12.1640625" customWidth="1"/>
    <col min="2" max="2" width="12.83203125" customWidth="1"/>
    <col min="3" max="3" width="19" customWidth="1"/>
    <col min="4" max="5" width="12.83203125" customWidth="1"/>
    <col min="6" max="6" width="14.83203125" customWidth="1"/>
    <col min="7" max="7" width="16" customWidth="1"/>
    <col min="8" max="8" width="12.83203125" customWidth="1"/>
    <col min="9" max="9" width="14.33203125" customWidth="1"/>
    <col min="10" max="12" width="9" customWidth="1"/>
    <col min="13" max="13" width="13" customWidth="1"/>
    <col min="14" max="14" width="12" customWidth="1"/>
    <col min="15" max="15" width="6.33203125" customWidth="1"/>
    <col min="16" max="19" width="13" hidden="1" customWidth="1"/>
    <col min="20" max="20" width="11.5" customWidth="1"/>
    <col min="21" max="21" width="17.1640625" customWidth="1"/>
    <col min="22" max="22" width="13.6640625" customWidth="1"/>
    <col min="23" max="27" width="13" hidden="1" customWidth="1"/>
    <col min="28" max="28" width="15.5" customWidth="1"/>
    <col min="29" max="29" width="13" hidden="1" customWidth="1"/>
    <col min="30" max="30" width="9" bestFit="1" customWidth="1"/>
  </cols>
  <sheetData>
    <row r="1" spans="1:32" ht="16.5" customHeight="1" x14ac:dyDescent="0.2">
      <c r="A1" s="145" t="s">
        <v>346</v>
      </c>
      <c r="B1" s="146"/>
      <c r="C1" s="146"/>
      <c r="D1" s="146"/>
      <c r="E1" s="146"/>
      <c r="F1" s="146"/>
      <c r="G1" s="146"/>
      <c r="H1" s="146"/>
      <c r="I1" s="146"/>
      <c r="J1" s="146"/>
      <c r="K1" s="146"/>
      <c r="L1" s="146"/>
      <c r="M1" s="146"/>
      <c r="N1" s="146"/>
      <c r="O1" s="146"/>
    </row>
    <row r="2" spans="1:32" ht="15" customHeight="1" x14ac:dyDescent="0.2">
      <c r="A2" s="147" t="s">
        <v>347</v>
      </c>
      <c r="B2" s="146"/>
      <c r="C2" s="146"/>
      <c r="D2" s="146"/>
      <c r="E2" s="146"/>
      <c r="F2" s="146"/>
      <c r="G2" s="146"/>
      <c r="H2" s="146"/>
      <c r="I2" s="146"/>
      <c r="J2" s="146"/>
      <c r="K2" s="146"/>
      <c r="L2" s="146"/>
      <c r="M2" s="146"/>
      <c r="N2" s="146"/>
      <c r="O2" s="146"/>
    </row>
    <row r="3" spans="1:32" ht="15" customHeight="1" x14ac:dyDescent="0.2">
      <c r="A3" s="51" t="s">
        <v>348</v>
      </c>
      <c r="B3" s="51" t="s">
        <v>319</v>
      </c>
      <c r="C3" s="51" t="s">
        <v>235</v>
      </c>
      <c r="D3" s="51" t="s">
        <v>5</v>
      </c>
      <c r="E3" s="51" t="s">
        <v>349</v>
      </c>
      <c r="F3" s="51" t="s">
        <v>350</v>
      </c>
      <c r="G3" s="51" t="s">
        <v>351</v>
      </c>
      <c r="H3" s="51" t="s">
        <v>352</v>
      </c>
      <c r="I3" s="51" t="s">
        <v>138</v>
      </c>
      <c r="J3" s="51" t="s">
        <v>140</v>
      </c>
      <c r="K3" s="51" t="s">
        <v>142</v>
      </c>
      <c r="L3" s="51" t="s">
        <v>144</v>
      </c>
      <c r="M3" s="51" t="s">
        <v>353</v>
      </c>
      <c r="N3" s="51" t="s">
        <v>354</v>
      </c>
      <c r="O3" s="51" t="s">
        <v>355</v>
      </c>
      <c r="P3" s="51" t="s">
        <v>356</v>
      </c>
      <c r="Q3" s="51" t="s">
        <v>357</v>
      </c>
      <c r="R3" s="51" t="s">
        <v>358</v>
      </c>
      <c r="S3" s="51" t="s">
        <v>359</v>
      </c>
      <c r="T3" s="51" t="s">
        <v>360</v>
      </c>
      <c r="U3" s="51" t="s">
        <v>361</v>
      </c>
      <c r="V3" s="51" t="s">
        <v>362</v>
      </c>
      <c r="W3" s="51" t="s">
        <v>363</v>
      </c>
      <c r="X3" s="51" t="s">
        <v>364</v>
      </c>
      <c r="Y3" s="51" t="s">
        <v>365</v>
      </c>
      <c r="Z3" s="51" t="s">
        <v>366</v>
      </c>
      <c r="AA3" s="51" t="s">
        <v>367</v>
      </c>
      <c r="AB3" s="51" t="s">
        <v>368</v>
      </c>
      <c r="AC3" t="s">
        <v>369</v>
      </c>
      <c r="AD3" s="141" t="s">
        <v>458</v>
      </c>
      <c r="AE3" t="s">
        <v>459</v>
      </c>
      <c r="AF3" t="s">
        <v>460</v>
      </c>
    </row>
    <row r="4" spans="1:32" ht="15" customHeight="1" x14ac:dyDescent="0.2">
      <c r="A4" s="117">
        <v>1</v>
      </c>
      <c r="B4" s="118">
        <v>46145</v>
      </c>
      <c r="C4" s="119" t="s">
        <v>41</v>
      </c>
      <c r="D4" s="119" t="s">
        <v>19</v>
      </c>
      <c r="E4" s="117" t="s">
        <v>370</v>
      </c>
      <c r="F4" s="120">
        <f t="shared" ref="F4:F67" si="0">IF($D4="",0,COUNTIF($A$4:$A$1510,$A4))</f>
        <v>3</v>
      </c>
      <c r="G4" s="121" t="str">
        <f t="shared" ref="G4:G67" si="1">IF($D4="","",IFERROR(LOOKUP(2,1/(($A$4:$A$1510=$A4)*($E$4:$E$1510="Win")),$D$4:$D$1510),"(no winner)"))</f>
        <v>Josh</v>
      </c>
      <c r="H4" s="122">
        <f>IF($D4="",0,IFERROR(LOOKUP(2,1/(($D$3:D3=$D4)*($A$3:A3&lt;$A4)),$N$3:N3),'Guide &amp; Settings'!$C$41))</f>
        <v>1000</v>
      </c>
      <c r="I4" s="123">
        <f t="shared" ref="I4:I67" si="2">IF($D4="",0,IF($S4=0,0,$R4/$S4))</f>
        <v>0.33333333333333331</v>
      </c>
      <c r="J4" s="124">
        <f>IF($D4="",0,IF($F4&lt;2,0,IF($E4="Win",('Guide &amp; Settings'!$C$42/(($F4-1)*COUNTIFS($A$4:$A$1510,$A4,$E$4:$E$1510,"Win")))*SUMIFS($X$4:$X$1510,$A$4:$A$1510,$A4,$E$4:$E$1510,"Loss"),-('Guide &amp; Settings'!$C$42/($F4-1))*$X4)))</f>
        <v>16</v>
      </c>
      <c r="K4" s="124">
        <f>IF($D4="",0,'Guide &amp; Settings'!$C$43*(IF($E4="Win",1,0)-$I4))</f>
        <v>8</v>
      </c>
      <c r="L4" s="125">
        <f>IF($D4="",0,'Guide &amp; Settings'!$C$44*IF($F4&gt;=3,$F4,0))</f>
        <v>3</v>
      </c>
      <c r="M4" s="124">
        <f t="shared" ref="M4:M67" si="3">IF($D4="",0,$J4+$K4+$L4)</f>
        <v>27</v>
      </c>
      <c r="N4" s="122">
        <f t="shared" ref="N4:N67" si="4">IF($D4="",0,$H4+$M4)</f>
        <v>1027</v>
      </c>
      <c r="O4" s="121" t="str">
        <f t="shared" ref="O4:O67" si="5">IF($D4="","",IF($AE4=0,"need a winner",IF($F4-$AE4=0,"need a loser",IF(MOD($AF4,2)=1,"duplicate player",IF(MOD(INT($AF4/2),2)=1,"mixed sports",IF($AF4&gt;=4,"mixed dates",IF($AE4&gt;1,IF($F4&gt;=4,"OK (team)","check winners"),"OK")))))))</f>
        <v>OK</v>
      </c>
      <c r="P4">
        <f t="shared" ref="P4:P67" si="6">IF($D4="",0,IFERROR(SUMIFS($H$4:$H$1510,$A$4:$A$1510,$A4,$E$4:$E$1510,"Win")/COUNTIFS($A$4:$A$1510,$A4,$E$4:$E$1510,"Win"),0))</f>
        <v>1000</v>
      </c>
      <c r="Q4">
        <f t="shared" ref="Q4:Q67" si="7">IF($D4="",0,1/(1+10^(($P4-$H4)/400)))</f>
        <v>0.5</v>
      </c>
      <c r="R4">
        <f t="shared" ref="R4:R67" si="8">IF($D4="",0,(COUNTIFS($D$4:$D$1510,$D4,$C$4:$C$1510,$C4,$E$4:$E$1510,"Win",$A$4:$A$1510,"&lt;"&amp;$A4)+1)/(COUNTIFS($D$4:$D$1510,$D4,$C$4:$C$1510,$C4,$A$4:$A$1510,"&lt;"&amp;$A4)+2))</f>
        <v>0.5</v>
      </c>
      <c r="S4">
        <f t="shared" ref="S4:S67" si="9">IF($D4="",0,SUMIFS($R$4:$R$1510,$A$4:$A$1510,$A4))</f>
        <v>1.5</v>
      </c>
      <c r="T4" s="89">
        <f t="shared" ref="T4:T67" si="10">IF($D4="",0,COUNTIFS($D$4:$D$1510,$D4,$C$4:$C$1510,$C4,$A$4:$A$1510,"&lt;"&amp;$A4))</f>
        <v>0</v>
      </c>
      <c r="U4" s="126">
        <f>IF($D4="",0,IFERROR(LOOKUP(2,1/(($D$3:D3=$D4)*($C$3:C3=$C4)*($A$3:A3&lt;$A4)),$AB$3:AB3),1000))</f>
        <v>1000</v>
      </c>
      <c r="V4" s="126">
        <f t="shared" ref="V4:V67" si="11">IF($D4="",0,$U4*($T4/($T4+5))+$H4*(1-$T4/($T4+5)))</f>
        <v>1000</v>
      </c>
      <c r="W4">
        <f t="shared" ref="W4:W67" si="12">IF($D4="",0,IFERROR(SUMIFS($V$4:$V$1510,$A$4:$A$1510,$A4,$E$4:$E$1510,"Win")/COUNTIFS($A$4:$A$1510,$A4,$E$4:$E$1510,"Win"),0))</f>
        <v>1000</v>
      </c>
      <c r="X4">
        <f t="shared" ref="X4:X67" si="13">IF($D4="",0,1/(1+10^(($W4-$V4)/400)))</f>
        <v>0.5</v>
      </c>
      <c r="Y4">
        <f t="shared" ref="Y4:Y67" si="14">IF($D4="",0,IFERROR(SUMIFS($U$4:$U$1510,$A$4:$A$1510,$A4,$E$4:$E$1510,"Win")/COUNTIFS($A$4:$A$1510,$A4,$E$4:$E$1510,"Win"),0))</f>
        <v>1000</v>
      </c>
      <c r="Z4">
        <f t="shared" ref="Z4:Z67" si="15">IF($D4="",0,1/(1+10^(($Y4-$U4)/400)))</f>
        <v>0.5</v>
      </c>
      <c r="AA4">
        <f>IF($D4="",0,IF($F4&lt;2,0,IF($E4="Win",('Guide &amp; Settings'!$C$42/(($F4-1)*COUNTIFS($A$4:$A$1510,$A4,$E$4:$E$1510,"Win")))*SUMIFS($Z$4:$Z$1510,$A$4:$A$1510,$A4,$E$4:$E$1510,"Loss"),-('Guide &amp; Settings'!$C$42/($F4-1))*$Z4)))</f>
        <v>16</v>
      </c>
      <c r="AB4" s="126">
        <f t="shared" ref="AB4:AB67" si="16">IF($D4="",0,$U4+$AA4)</f>
        <v>1016</v>
      </c>
      <c r="AC4" s="126">
        <f>IF($D4="","",IF($AD4=0,0,IF(COUNTIFS($D$4:$D4,$D4,$B$4:$B4,$B4)&gt;1,0,IF($B4&lt;'Guide &amp; Settings'!$C$50,0,IF(($B4-$AD4)/7-'Guide &amp; Settings'!$C$48&gt;=0,(INT(($B4-$AD4)/7-'Guide &amp; Settings'!$C$48)+1)*'Guide &amp; Settings'!$C$49,0)))))</f>
        <v>0</v>
      </c>
      <c r="AD4" s="142">
        <f t="shared" ref="AD4:AD67" si="17">IF($D4="",0,SUMPRODUCT(MAX(($D$4:$D$1510=$D4)*($B$4:$B$1510&lt;$B4)*$B$4:$B$1510)))</f>
        <v>0</v>
      </c>
      <c r="AE4">
        <f t="shared" ref="AE4:AE67" si="18">IF($D4="",0,COUNTIFS($A$4:$A$1510,$A4,$E$4:$E$1510,"Win"))</f>
        <v>1</v>
      </c>
      <c r="AF4">
        <f t="shared" ref="AF4:AF67" si="19">IF($D4="",0,(COUNTIFS($A$4:$A$1510,$A4,$D$4:$D$1510,$D4)&gt;1)*1+(COUNTIFS($A$4:$A$1510,$A4,$C$4:$C$1510,"&lt;&gt;"&amp;$C4)&gt;0)*2+(COUNTIFS($A$4:$A$1510,$A4,$B$4:$B$1510,"&lt;&gt;"&amp;$B4)&gt;0)*4)</f>
        <v>0</v>
      </c>
    </row>
    <row r="5" spans="1:32" ht="15" customHeight="1" x14ac:dyDescent="0.2">
      <c r="A5" s="117">
        <v>1</v>
      </c>
      <c r="B5" s="118">
        <v>46145</v>
      </c>
      <c r="C5" s="119" t="s">
        <v>41</v>
      </c>
      <c r="D5" s="119" t="s">
        <v>20</v>
      </c>
      <c r="E5" s="117" t="s">
        <v>371</v>
      </c>
      <c r="F5" s="120">
        <f t="shared" si="0"/>
        <v>3</v>
      </c>
      <c r="G5" s="121" t="str">
        <f t="shared" si="1"/>
        <v>Josh</v>
      </c>
      <c r="H5" s="122">
        <f>IF($D5="",0,IFERROR(LOOKUP(2,1/(($D$3:D4=$D5)*($A$3:A4&lt;$A5)),$N$3:N4),'Guide &amp; Settings'!$C$41))</f>
        <v>1000</v>
      </c>
      <c r="I5" s="123">
        <f t="shared" si="2"/>
        <v>0.33333333333333331</v>
      </c>
      <c r="J5" s="124">
        <f>IF($D5="",0,IF($F5&lt;2,0,IF($E5="Win",('Guide &amp; Settings'!$C$42/(($F5-1)*COUNTIFS($A$4:$A$1510,$A5,$E$4:$E$1510,"Win")))*SUMIFS($X$4:$X$1510,$A$4:$A$1510,$A5,$E$4:$E$1510,"Loss"),-('Guide &amp; Settings'!$C$42/($F5-1))*$X5)))</f>
        <v>-8</v>
      </c>
      <c r="K5" s="124">
        <f>IF($D5="",0,'Guide &amp; Settings'!$C$43*(IF($E5="Win",1,0)-$I5))</f>
        <v>-4</v>
      </c>
      <c r="L5" s="125">
        <f>IF($D5="",0,'Guide &amp; Settings'!$C$44*IF($F5&gt;=3,$F5,0))</f>
        <v>3</v>
      </c>
      <c r="M5" s="124">
        <f t="shared" si="3"/>
        <v>-9</v>
      </c>
      <c r="N5" s="122">
        <f t="shared" si="4"/>
        <v>991</v>
      </c>
      <c r="O5" s="121" t="str">
        <f t="shared" si="5"/>
        <v>OK</v>
      </c>
      <c r="P5">
        <f t="shared" si="6"/>
        <v>1000</v>
      </c>
      <c r="Q5">
        <f t="shared" si="7"/>
        <v>0.5</v>
      </c>
      <c r="R5">
        <f t="shared" si="8"/>
        <v>0.5</v>
      </c>
      <c r="S5">
        <f t="shared" si="9"/>
        <v>1.5</v>
      </c>
      <c r="T5" s="89">
        <f t="shared" si="10"/>
        <v>0</v>
      </c>
      <c r="U5" s="126">
        <f>IF($D5="",0,IFERROR(LOOKUP(2,1/(($D$3:D4=$D5)*($C$3:C4=$C5)*($A$3:A4&lt;$A5)),$AB$3:AB4),1000))</f>
        <v>1000</v>
      </c>
      <c r="V5" s="126">
        <f t="shared" si="11"/>
        <v>1000</v>
      </c>
      <c r="W5">
        <f t="shared" si="12"/>
        <v>1000</v>
      </c>
      <c r="X5">
        <f t="shared" si="13"/>
        <v>0.5</v>
      </c>
      <c r="Y5">
        <f t="shared" si="14"/>
        <v>1000</v>
      </c>
      <c r="Z5">
        <f t="shared" si="15"/>
        <v>0.5</v>
      </c>
      <c r="AA5">
        <f>IF($D5="",0,IF($F5&lt;2,0,IF($E5="Win",('Guide &amp; Settings'!$C$42/(($F5-1)*COUNTIFS($A$4:$A$1510,$A5,$E$4:$E$1510,"Win")))*SUMIFS($Z$4:$Z$1510,$A$4:$A$1510,$A5,$E$4:$E$1510,"Loss"),-('Guide &amp; Settings'!$C$42/($F5-1))*$Z5)))</f>
        <v>-8</v>
      </c>
      <c r="AB5" s="126">
        <f t="shared" si="16"/>
        <v>992</v>
      </c>
      <c r="AC5" s="126">
        <f>IF($D5="","",IF($AD5=0,0,IF(COUNTIFS($D$4:$D5,$D5,$B$4:$B5,$B5)&gt;1,0,IF($B5&lt;'Guide &amp; Settings'!$C$50,0,IF(($B5-$AD5)/7-'Guide &amp; Settings'!$C$48&gt;=0,(INT(($B5-$AD5)/7-'Guide &amp; Settings'!$C$48)+1)*'Guide &amp; Settings'!$C$49,0)))))</f>
        <v>0</v>
      </c>
      <c r="AD5" s="142">
        <f t="shared" si="17"/>
        <v>0</v>
      </c>
      <c r="AE5">
        <f t="shared" si="18"/>
        <v>1</v>
      </c>
      <c r="AF5">
        <f t="shared" si="19"/>
        <v>0</v>
      </c>
    </row>
    <row r="6" spans="1:32" ht="15" customHeight="1" x14ac:dyDescent="0.2">
      <c r="A6" s="117">
        <v>1</v>
      </c>
      <c r="B6" s="118">
        <v>46145</v>
      </c>
      <c r="C6" s="119" t="s">
        <v>41</v>
      </c>
      <c r="D6" s="119" t="s">
        <v>25</v>
      </c>
      <c r="E6" s="117" t="s">
        <v>371</v>
      </c>
      <c r="F6" s="120">
        <f t="shared" si="0"/>
        <v>3</v>
      </c>
      <c r="G6" s="121" t="str">
        <f t="shared" si="1"/>
        <v>Josh</v>
      </c>
      <c r="H6" s="122">
        <f>IF($D6="",0,IFERROR(LOOKUP(2,1/(($D$3:D5=$D6)*($A$3:A5&lt;$A6)),$N$3:N5),'Guide &amp; Settings'!$C$41))</f>
        <v>1000</v>
      </c>
      <c r="I6" s="123">
        <f t="shared" si="2"/>
        <v>0.33333333333333331</v>
      </c>
      <c r="J6" s="124">
        <f>IF($D6="",0,IF($F6&lt;2,0,IF($E6="Win",('Guide &amp; Settings'!$C$42/(($F6-1)*COUNTIFS($A$4:$A$1510,$A6,$E$4:$E$1510,"Win")))*SUMIFS($X$4:$X$1510,$A$4:$A$1510,$A6,$E$4:$E$1510,"Loss"),-('Guide &amp; Settings'!$C$42/($F6-1))*$X6)))</f>
        <v>-8</v>
      </c>
      <c r="K6" s="124">
        <f>IF($D6="",0,'Guide &amp; Settings'!$C$43*(IF($E6="Win",1,0)-$I6))</f>
        <v>-4</v>
      </c>
      <c r="L6" s="125">
        <f>IF($D6="",0,'Guide &amp; Settings'!$C$44*IF($F6&gt;=3,$F6,0))</f>
        <v>3</v>
      </c>
      <c r="M6" s="124">
        <f t="shared" si="3"/>
        <v>-9</v>
      </c>
      <c r="N6" s="122">
        <f t="shared" si="4"/>
        <v>991</v>
      </c>
      <c r="O6" s="121" t="str">
        <f t="shared" si="5"/>
        <v>OK</v>
      </c>
      <c r="P6">
        <f t="shared" si="6"/>
        <v>1000</v>
      </c>
      <c r="Q6">
        <f t="shared" si="7"/>
        <v>0.5</v>
      </c>
      <c r="R6">
        <f t="shared" si="8"/>
        <v>0.5</v>
      </c>
      <c r="S6">
        <f t="shared" si="9"/>
        <v>1.5</v>
      </c>
      <c r="T6" s="89">
        <f t="shared" si="10"/>
        <v>0</v>
      </c>
      <c r="U6" s="126">
        <f>IF($D6="",0,IFERROR(LOOKUP(2,1/(($D$3:D5=$D6)*($C$3:C5=$C6)*($A$3:A5&lt;$A6)),$AB$3:AB5),1000))</f>
        <v>1000</v>
      </c>
      <c r="V6" s="126">
        <f t="shared" si="11"/>
        <v>1000</v>
      </c>
      <c r="W6">
        <f t="shared" si="12"/>
        <v>1000</v>
      </c>
      <c r="X6">
        <f t="shared" si="13"/>
        <v>0.5</v>
      </c>
      <c r="Y6">
        <f t="shared" si="14"/>
        <v>1000</v>
      </c>
      <c r="Z6">
        <f t="shared" si="15"/>
        <v>0.5</v>
      </c>
      <c r="AA6">
        <f>IF($D6="",0,IF($F6&lt;2,0,IF($E6="Win",('Guide &amp; Settings'!$C$42/(($F6-1)*COUNTIFS($A$4:$A$1510,$A6,$E$4:$E$1510,"Win")))*SUMIFS($Z$4:$Z$1510,$A$4:$A$1510,$A6,$E$4:$E$1510,"Loss"),-('Guide &amp; Settings'!$C$42/($F6-1))*$Z6)))</f>
        <v>-8</v>
      </c>
      <c r="AB6" s="126">
        <f t="shared" si="16"/>
        <v>992</v>
      </c>
      <c r="AC6" s="126">
        <f>IF($D6="","",IF($AD6=0,0,IF(COUNTIFS($D$4:$D6,$D6,$B$4:$B6,$B6)&gt;1,0,IF($B6&lt;'Guide &amp; Settings'!$C$50,0,IF(($B6-$AD6)/7-'Guide &amp; Settings'!$C$48&gt;=0,(INT(($B6-$AD6)/7-'Guide &amp; Settings'!$C$48)+1)*'Guide &amp; Settings'!$C$49,0)))))</f>
        <v>0</v>
      </c>
      <c r="AD6" s="142">
        <f t="shared" si="17"/>
        <v>0</v>
      </c>
      <c r="AE6">
        <f t="shared" si="18"/>
        <v>1</v>
      </c>
      <c r="AF6">
        <f t="shared" si="19"/>
        <v>0</v>
      </c>
    </row>
    <row r="7" spans="1:32" ht="15" customHeight="1" x14ac:dyDescent="0.2">
      <c r="A7" s="117">
        <v>2</v>
      </c>
      <c r="B7" s="118">
        <v>46175</v>
      </c>
      <c r="C7" s="119" t="s">
        <v>38</v>
      </c>
      <c r="D7" s="119" t="s">
        <v>15</v>
      </c>
      <c r="E7" s="117" t="s">
        <v>370</v>
      </c>
      <c r="F7" s="120">
        <f t="shared" si="0"/>
        <v>8</v>
      </c>
      <c r="G7" s="121" t="str">
        <f t="shared" si="1"/>
        <v>Aaron</v>
      </c>
      <c r="H7" s="122">
        <f>IF($D7="",0,IFERROR(LOOKUP(2,1/(($D$3:D6=$D7)*($A$3:A6&lt;$A7)),$N$3:N6),'Guide &amp; Settings'!$C$41))</f>
        <v>1000</v>
      </c>
      <c r="I7" s="123">
        <f t="shared" si="2"/>
        <v>0.125</v>
      </c>
      <c r="J7" s="124">
        <f>IF($D7="",0,IF($F7&lt;2,0,IF($E7="Win",('Guide &amp; Settings'!$C$42/(($F7-1)*COUNTIFS($A$4:$A$1510,$A7,$E$4:$E$1510,"Win")))*SUMIFS($X$4:$X$1510,$A$4:$A$1510,$A7,$E$4:$E$1510,"Loss"),-('Guide &amp; Settings'!$C$42/($F7-1))*$X7)))</f>
        <v>16.058879096098028</v>
      </c>
      <c r="K7" s="124">
        <f>IF($D7="",0,'Guide &amp; Settings'!$C$43*(IF($E7="Win",1,0)-$I7))</f>
        <v>10.5</v>
      </c>
      <c r="L7" s="125">
        <f>IF($D7="",0,'Guide &amp; Settings'!$C$44*IF($F7&gt;=3,$F7,0))</f>
        <v>8</v>
      </c>
      <c r="M7" s="124">
        <f t="shared" si="3"/>
        <v>34.558879096098025</v>
      </c>
      <c r="N7" s="122">
        <f t="shared" si="4"/>
        <v>1034.5588790960981</v>
      </c>
      <c r="O7" s="121" t="str">
        <f t="shared" si="5"/>
        <v>OK</v>
      </c>
      <c r="P7">
        <f t="shared" si="6"/>
        <v>1000</v>
      </c>
      <c r="Q7">
        <f t="shared" si="7"/>
        <v>0.5</v>
      </c>
      <c r="R7">
        <f t="shared" si="8"/>
        <v>0.5</v>
      </c>
      <c r="S7">
        <f t="shared" si="9"/>
        <v>4</v>
      </c>
      <c r="T7" s="89">
        <f t="shared" si="10"/>
        <v>0</v>
      </c>
      <c r="U7" s="126">
        <f>IF($D7="",0,IFERROR(LOOKUP(2,1/(($D$3:D6=$D7)*($C$3:C6=$C7)*($A$3:A6&lt;$A7)),$AB$3:AB6),1000))</f>
        <v>1000</v>
      </c>
      <c r="V7" s="126">
        <f t="shared" si="11"/>
        <v>1000</v>
      </c>
      <c r="W7">
        <f t="shared" si="12"/>
        <v>1000</v>
      </c>
      <c r="X7">
        <f t="shared" si="13"/>
        <v>0.5</v>
      </c>
      <c r="Y7">
        <f t="shared" si="14"/>
        <v>1000</v>
      </c>
      <c r="Z7">
        <f t="shared" si="15"/>
        <v>0.5</v>
      </c>
      <c r="AA7">
        <f>IF($D7="",0,IF($F7&lt;2,0,IF($E7="Win",('Guide &amp; Settings'!$C$42/(($F7-1)*COUNTIFS($A$4:$A$1510,$A7,$E$4:$E$1510,"Win")))*SUMIFS($Z$4:$Z$1510,$A$4:$A$1510,$A7,$E$4:$E$1510,"Loss"),-('Guide &amp; Settings'!$C$42/($F7-1))*$Z7)))</f>
        <v>16</v>
      </c>
      <c r="AB7" s="126">
        <f t="shared" si="16"/>
        <v>1016</v>
      </c>
      <c r="AC7" s="126">
        <f>IF($D7="","",IF($AD7=0,0,IF(COUNTIFS($D$4:$D7,$D7,$B$4:$B7,$B7)&gt;1,0,IF($B7&lt;'Guide &amp; Settings'!$C$50,0,IF(($B7-$AD7)/7-'Guide &amp; Settings'!$C$48&gt;=0,(INT(($B7-$AD7)/7-'Guide &amp; Settings'!$C$48)+1)*'Guide &amp; Settings'!$C$49,0)))))</f>
        <v>0</v>
      </c>
      <c r="AD7" s="142">
        <f t="shared" si="17"/>
        <v>0</v>
      </c>
      <c r="AE7">
        <f t="shared" si="18"/>
        <v>1</v>
      </c>
      <c r="AF7">
        <f t="shared" si="19"/>
        <v>0</v>
      </c>
    </row>
    <row r="8" spans="1:32" ht="15" customHeight="1" x14ac:dyDescent="0.2">
      <c r="A8" s="117">
        <v>2</v>
      </c>
      <c r="B8" s="118">
        <v>46175</v>
      </c>
      <c r="C8" s="119" t="s">
        <v>38</v>
      </c>
      <c r="D8" s="119" t="s">
        <v>20</v>
      </c>
      <c r="E8" s="117" t="s">
        <v>371</v>
      </c>
      <c r="F8" s="120">
        <f t="shared" si="0"/>
        <v>8</v>
      </c>
      <c r="G8" s="121" t="str">
        <f t="shared" si="1"/>
        <v>Aaron</v>
      </c>
      <c r="H8" s="122">
        <f>IF($D8="",0,IFERROR(LOOKUP(2,1/(($D$3:D7=$D8)*($A$3:A7&lt;$A8)),$N$3:N7),'Guide &amp; Settings'!$C$41))</f>
        <v>991</v>
      </c>
      <c r="I8" s="123">
        <f t="shared" si="2"/>
        <v>0.125</v>
      </c>
      <c r="J8" s="124">
        <f>IF($D8="",0,IF($F8&lt;2,0,IF($E8="Win",('Guide &amp; Settings'!$C$42/(($F8-1)*COUNTIFS($A$4:$A$1510,$A8,$E$4:$E$1510,"Win")))*SUMIFS($X$4:$X$1510,$A$4:$A$1510,$A8,$E$4:$E$1510,"Loss"),-('Guide &amp; Settings'!$C$42/($F8-1))*$X8)))</f>
        <v>-2.2265181947754797</v>
      </c>
      <c r="K8" s="124">
        <f>IF($D8="",0,'Guide &amp; Settings'!$C$43*(IF($E8="Win",1,0)-$I8))</f>
        <v>-1.5</v>
      </c>
      <c r="L8" s="125">
        <f>IF($D8="",0,'Guide &amp; Settings'!$C$44*IF($F8&gt;=3,$F8,0))</f>
        <v>8</v>
      </c>
      <c r="M8" s="124">
        <f t="shared" si="3"/>
        <v>4.2734818052245203</v>
      </c>
      <c r="N8" s="122">
        <f t="shared" si="4"/>
        <v>995.27348180522449</v>
      </c>
      <c r="O8" s="121" t="str">
        <f t="shared" si="5"/>
        <v>OK</v>
      </c>
      <c r="P8">
        <f t="shared" si="6"/>
        <v>1000</v>
      </c>
      <c r="Q8">
        <f t="shared" si="7"/>
        <v>0.48705085510713625</v>
      </c>
      <c r="R8">
        <f t="shared" si="8"/>
        <v>0.5</v>
      </c>
      <c r="S8">
        <f t="shared" si="9"/>
        <v>4</v>
      </c>
      <c r="T8" s="89">
        <f t="shared" si="10"/>
        <v>0</v>
      </c>
      <c r="U8" s="126">
        <f>IF($D8="",0,IFERROR(LOOKUP(2,1/(($D$3:D7=$D8)*($C$3:C7=$C8)*($A$3:A7&lt;$A8)),$AB$3:AB7),1000))</f>
        <v>1000</v>
      </c>
      <c r="V8" s="126">
        <f t="shared" si="11"/>
        <v>991</v>
      </c>
      <c r="W8">
        <f t="shared" si="12"/>
        <v>1000</v>
      </c>
      <c r="X8">
        <f t="shared" si="13"/>
        <v>0.48705085510713625</v>
      </c>
      <c r="Y8">
        <f t="shared" si="14"/>
        <v>1000</v>
      </c>
      <c r="Z8">
        <f t="shared" si="15"/>
        <v>0.5</v>
      </c>
      <c r="AA8">
        <f>IF($D8="",0,IF($F8&lt;2,0,IF($E8="Win",('Guide &amp; Settings'!$C$42/(($F8-1)*COUNTIFS($A$4:$A$1510,$A8,$E$4:$E$1510,"Win")))*SUMIFS($Z$4:$Z$1510,$A$4:$A$1510,$A8,$E$4:$E$1510,"Loss"),-('Guide &amp; Settings'!$C$42/($F8-1))*$Z8)))</f>
        <v>-2.2857142857142856</v>
      </c>
      <c r="AB8" s="126">
        <f t="shared" si="16"/>
        <v>997.71428571428567</v>
      </c>
      <c r="AC8" s="126">
        <f>IF($D8="","",IF($AD8=0,0,IF(COUNTIFS($D$4:$D8,$D8,$B$4:$B8,$B8)&gt;1,0,IF($B8&lt;'Guide &amp; Settings'!$C$50,0,IF(($B8-$AD8)/7-'Guide &amp; Settings'!$C$48&gt;=0,(INT(($B8-$AD8)/7-'Guide &amp; Settings'!$C$48)+1)*'Guide &amp; Settings'!$C$49,0)))))</f>
        <v>0</v>
      </c>
      <c r="AD8" s="142">
        <f t="shared" si="17"/>
        <v>46173</v>
      </c>
      <c r="AE8">
        <f t="shared" si="18"/>
        <v>1</v>
      </c>
      <c r="AF8">
        <f t="shared" si="19"/>
        <v>0</v>
      </c>
    </row>
    <row r="9" spans="1:32" ht="15" customHeight="1" x14ac:dyDescent="0.2">
      <c r="A9" s="117">
        <v>2</v>
      </c>
      <c r="B9" s="118">
        <v>46175</v>
      </c>
      <c r="C9" s="119" t="s">
        <v>38</v>
      </c>
      <c r="D9" s="119" t="s">
        <v>22</v>
      </c>
      <c r="E9" s="117" t="s">
        <v>371</v>
      </c>
      <c r="F9" s="120">
        <f t="shared" si="0"/>
        <v>8</v>
      </c>
      <c r="G9" s="121" t="str">
        <f t="shared" si="1"/>
        <v>Aaron</v>
      </c>
      <c r="H9" s="122">
        <f>IF($D9="",0,IFERROR(LOOKUP(2,1/(($D$3:D8=$D9)*($A$3:A8&lt;$A9)),$N$3:N8),'Guide &amp; Settings'!$C$41))</f>
        <v>1000</v>
      </c>
      <c r="I9" s="123">
        <f t="shared" si="2"/>
        <v>0.125</v>
      </c>
      <c r="J9" s="124">
        <f>IF($D9="",0,IF($F9&lt;2,0,IF($E9="Win",('Guide &amp; Settings'!$C$42/(($F9-1)*COUNTIFS($A$4:$A$1510,$A9,$E$4:$E$1510,"Win")))*SUMIFS($X$4:$X$1510,$A$4:$A$1510,$A9,$E$4:$E$1510,"Loss"),-('Guide &amp; Settings'!$C$42/($F9-1))*$X9)))</f>
        <v>-2.2857142857142856</v>
      </c>
      <c r="K9" s="124">
        <f>IF($D9="",0,'Guide &amp; Settings'!$C$43*(IF($E9="Win",1,0)-$I9))</f>
        <v>-1.5</v>
      </c>
      <c r="L9" s="125">
        <f>IF($D9="",0,'Guide &amp; Settings'!$C$44*IF($F9&gt;=3,$F9,0))</f>
        <v>8</v>
      </c>
      <c r="M9" s="124">
        <f t="shared" si="3"/>
        <v>4.2142857142857144</v>
      </c>
      <c r="N9" s="122">
        <f t="shared" si="4"/>
        <v>1004.2142857142857</v>
      </c>
      <c r="O9" s="121" t="str">
        <f t="shared" si="5"/>
        <v>OK</v>
      </c>
      <c r="P9">
        <f t="shared" si="6"/>
        <v>1000</v>
      </c>
      <c r="Q9">
        <f t="shared" si="7"/>
        <v>0.5</v>
      </c>
      <c r="R9">
        <f t="shared" si="8"/>
        <v>0.5</v>
      </c>
      <c r="S9">
        <f t="shared" si="9"/>
        <v>4</v>
      </c>
      <c r="T9" s="89">
        <f t="shared" si="10"/>
        <v>0</v>
      </c>
      <c r="U9" s="126">
        <f>IF($D9="",0,IFERROR(LOOKUP(2,1/(($D$3:D8=$D9)*($C$3:C8=$C9)*($A$3:A8&lt;$A9)),$AB$3:AB8),1000))</f>
        <v>1000</v>
      </c>
      <c r="V9" s="126">
        <f t="shared" si="11"/>
        <v>1000</v>
      </c>
      <c r="W9">
        <f t="shared" si="12"/>
        <v>1000</v>
      </c>
      <c r="X9">
        <f t="shared" si="13"/>
        <v>0.5</v>
      </c>
      <c r="Y9">
        <f t="shared" si="14"/>
        <v>1000</v>
      </c>
      <c r="Z9">
        <f t="shared" si="15"/>
        <v>0.5</v>
      </c>
      <c r="AA9">
        <f>IF($D9="",0,IF($F9&lt;2,0,IF($E9="Win",('Guide &amp; Settings'!$C$42/(($F9-1)*COUNTIFS($A$4:$A$1510,$A9,$E$4:$E$1510,"Win")))*SUMIFS($Z$4:$Z$1510,$A$4:$A$1510,$A9,$E$4:$E$1510,"Loss"),-('Guide &amp; Settings'!$C$42/($F9-1))*$Z9)))</f>
        <v>-2.2857142857142856</v>
      </c>
      <c r="AB9" s="126">
        <f t="shared" si="16"/>
        <v>997.71428571428567</v>
      </c>
      <c r="AC9" s="126">
        <f>IF($D9="","",IF($AD9=0,0,IF(COUNTIFS($D$4:$D9,$D9,$B$4:$B9,$B9)&gt;1,0,IF($B9&lt;'Guide &amp; Settings'!$C$50,0,IF(($B9-$AD9)/7-'Guide &amp; Settings'!$C$48&gt;=0,(INT(($B9-$AD9)/7-'Guide &amp; Settings'!$C$48)+1)*'Guide &amp; Settings'!$C$49,0)))))</f>
        <v>0</v>
      </c>
      <c r="AD9" s="142">
        <f t="shared" si="17"/>
        <v>46173</v>
      </c>
      <c r="AE9">
        <f t="shared" si="18"/>
        <v>1</v>
      </c>
      <c r="AF9">
        <f t="shared" si="19"/>
        <v>0</v>
      </c>
    </row>
    <row r="10" spans="1:32" ht="15" customHeight="1" x14ac:dyDescent="0.2">
      <c r="A10" s="117">
        <v>2</v>
      </c>
      <c r="B10" s="118">
        <v>46175</v>
      </c>
      <c r="C10" s="119" t="s">
        <v>38</v>
      </c>
      <c r="D10" s="119" t="s">
        <v>19</v>
      </c>
      <c r="E10" s="117" t="s">
        <v>371</v>
      </c>
      <c r="F10" s="120">
        <f t="shared" si="0"/>
        <v>8</v>
      </c>
      <c r="G10" s="121" t="str">
        <f t="shared" si="1"/>
        <v>Aaron</v>
      </c>
      <c r="H10" s="122">
        <f>IF($D10="",0,IFERROR(LOOKUP(2,1/(($D$3:D9=$D10)*($A$3:A9&lt;$A10)),$N$3:N9),'Guide &amp; Settings'!$C$41))</f>
        <v>1027</v>
      </c>
      <c r="I10" s="123">
        <f t="shared" si="2"/>
        <v>0.125</v>
      </c>
      <c r="J10" s="124">
        <f>IF($D10="",0,IF($F10&lt;2,0,IF($E10="Win",('Guide &amp; Settings'!$C$42/(($F10-1)*COUNTIFS($A$4:$A$1510,$A10,$E$4:$E$1510,"Win")))*SUMIFS($X$4:$X$1510,$A$4:$A$1510,$A10,$E$4:$E$1510,"Loss"),-('Guide &amp; Settings'!$C$42/($F10-1))*$X10)))</f>
        <v>-2.4629855636899269</v>
      </c>
      <c r="K10" s="124">
        <f>IF($D10="",0,'Guide &amp; Settings'!$C$43*(IF($E10="Win",1,0)-$I10))</f>
        <v>-1.5</v>
      </c>
      <c r="L10" s="125">
        <f>IF($D10="",0,'Guide &amp; Settings'!$C$44*IF($F10&gt;=3,$F10,0))</f>
        <v>8</v>
      </c>
      <c r="M10" s="124">
        <f t="shared" si="3"/>
        <v>4.0370144363100735</v>
      </c>
      <c r="N10" s="122">
        <f t="shared" si="4"/>
        <v>1031.0370144363101</v>
      </c>
      <c r="O10" s="121" t="str">
        <f t="shared" si="5"/>
        <v>OK</v>
      </c>
      <c r="P10">
        <f t="shared" si="6"/>
        <v>1000</v>
      </c>
      <c r="Q10">
        <f t="shared" si="7"/>
        <v>0.53877809205717153</v>
      </c>
      <c r="R10">
        <f t="shared" si="8"/>
        <v>0.5</v>
      </c>
      <c r="S10">
        <f t="shared" si="9"/>
        <v>4</v>
      </c>
      <c r="T10" s="89">
        <f t="shared" si="10"/>
        <v>0</v>
      </c>
      <c r="U10" s="126">
        <f>IF($D10="",0,IFERROR(LOOKUP(2,1/(($D$3:D9=$D10)*($C$3:C9=$C10)*($A$3:A9&lt;$A10)),$AB$3:AB9),1000))</f>
        <v>1000</v>
      </c>
      <c r="V10" s="126">
        <f t="shared" si="11"/>
        <v>1027</v>
      </c>
      <c r="W10">
        <f t="shared" si="12"/>
        <v>1000</v>
      </c>
      <c r="X10">
        <f t="shared" si="13"/>
        <v>0.53877809205717153</v>
      </c>
      <c r="Y10">
        <f t="shared" si="14"/>
        <v>1000</v>
      </c>
      <c r="Z10">
        <f t="shared" si="15"/>
        <v>0.5</v>
      </c>
      <c r="AA10">
        <f>IF($D10="",0,IF($F10&lt;2,0,IF($E10="Win",('Guide &amp; Settings'!$C$42/(($F10-1)*COUNTIFS($A$4:$A$1510,$A10,$E$4:$E$1510,"Win")))*SUMIFS($Z$4:$Z$1510,$A$4:$A$1510,$A10,$E$4:$E$1510,"Loss"),-('Guide &amp; Settings'!$C$42/($F10-1))*$Z10)))</f>
        <v>-2.2857142857142856</v>
      </c>
      <c r="AB10" s="126">
        <f t="shared" si="16"/>
        <v>997.71428571428567</v>
      </c>
      <c r="AC10" s="126">
        <f>IF($D10="","",IF($AD10=0,0,IF(COUNTIFS($D$4:$D10,$D10,$B$4:$B10,$B10)&gt;1,0,IF($B10&lt;'Guide &amp; Settings'!$C$50,0,IF(($B10-$AD10)/7-'Guide &amp; Settings'!$C$48&gt;=0,(INT(($B10-$AD10)/7-'Guide &amp; Settings'!$C$48)+1)*'Guide &amp; Settings'!$C$49,0)))))</f>
        <v>0</v>
      </c>
      <c r="AD10" s="142">
        <f t="shared" si="17"/>
        <v>46172</v>
      </c>
      <c r="AE10">
        <f t="shared" si="18"/>
        <v>1</v>
      </c>
      <c r="AF10">
        <f t="shared" si="19"/>
        <v>0</v>
      </c>
    </row>
    <row r="11" spans="1:32" ht="15" customHeight="1" x14ac:dyDescent="0.2">
      <c r="A11" s="117">
        <v>2</v>
      </c>
      <c r="B11" s="118">
        <v>46175</v>
      </c>
      <c r="C11" s="119" t="s">
        <v>38</v>
      </c>
      <c r="D11" s="119" t="s">
        <v>21</v>
      </c>
      <c r="E11" s="117" t="s">
        <v>371</v>
      </c>
      <c r="F11" s="120">
        <f t="shared" si="0"/>
        <v>8</v>
      </c>
      <c r="G11" s="121" t="str">
        <f t="shared" si="1"/>
        <v>Aaron</v>
      </c>
      <c r="H11" s="122">
        <f>IF($D11="",0,IFERROR(LOOKUP(2,1/(($D$3:D10=$D11)*($A$3:A10&lt;$A11)),$N$3:N10),'Guide &amp; Settings'!$C$41))</f>
        <v>1000</v>
      </c>
      <c r="I11" s="123">
        <f t="shared" si="2"/>
        <v>0.125</v>
      </c>
      <c r="J11" s="124">
        <f>IF($D11="",0,IF($F11&lt;2,0,IF($E11="Win",('Guide &amp; Settings'!$C$42/(($F11-1)*COUNTIFS($A$4:$A$1510,$A11,$E$4:$E$1510,"Win")))*SUMIFS($X$4:$X$1510,$A$4:$A$1510,$A11,$E$4:$E$1510,"Loss"),-('Guide &amp; Settings'!$C$42/($F11-1))*$X11)))</f>
        <v>-2.2857142857142856</v>
      </c>
      <c r="K11" s="124">
        <f>IF($D11="",0,'Guide &amp; Settings'!$C$43*(IF($E11="Win",1,0)-$I11))</f>
        <v>-1.5</v>
      </c>
      <c r="L11" s="125">
        <f>IF($D11="",0,'Guide &amp; Settings'!$C$44*IF($F11&gt;=3,$F11,0))</f>
        <v>8</v>
      </c>
      <c r="M11" s="124">
        <f t="shared" si="3"/>
        <v>4.2142857142857144</v>
      </c>
      <c r="N11" s="122">
        <f t="shared" si="4"/>
        <v>1004.2142857142857</v>
      </c>
      <c r="O11" s="121" t="str">
        <f t="shared" si="5"/>
        <v>OK</v>
      </c>
      <c r="P11">
        <f t="shared" si="6"/>
        <v>1000</v>
      </c>
      <c r="Q11">
        <f t="shared" si="7"/>
        <v>0.5</v>
      </c>
      <c r="R11">
        <f t="shared" si="8"/>
        <v>0.5</v>
      </c>
      <c r="S11">
        <f t="shared" si="9"/>
        <v>4</v>
      </c>
      <c r="T11" s="89">
        <f t="shared" si="10"/>
        <v>0</v>
      </c>
      <c r="U11" s="126">
        <f>IF($D11="",0,IFERROR(LOOKUP(2,1/(($D$3:D10=$D11)*($C$3:C10=$C11)*($A$3:A10&lt;$A11)),$AB$3:AB10),1000))</f>
        <v>1000</v>
      </c>
      <c r="V11" s="126">
        <f t="shared" si="11"/>
        <v>1000</v>
      </c>
      <c r="W11">
        <f t="shared" si="12"/>
        <v>1000</v>
      </c>
      <c r="X11">
        <f t="shared" si="13"/>
        <v>0.5</v>
      </c>
      <c r="Y11">
        <f t="shared" si="14"/>
        <v>1000</v>
      </c>
      <c r="Z11">
        <f t="shared" si="15"/>
        <v>0.5</v>
      </c>
      <c r="AA11">
        <f>IF($D11="",0,IF($F11&lt;2,0,IF($E11="Win",('Guide &amp; Settings'!$C$42/(($F11-1)*COUNTIFS($A$4:$A$1510,$A11,$E$4:$E$1510,"Win")))*SUMIFS($Z$4:$Z$1510,$A$4:$A$1510,$A11,$E$4:$E$1510,"Loss"),-('Guide &amp; Settings'!$C$42/($F11-1))*$Z11)))</f>
        <v>-2.2857142857142856</v>
      </c>
      <c r="AB11" s="126">
        <f t="shared" si="16"/>
        <v>997.71428571428567</v>
      </c>
      <c r="AC11" s="126">
        <f>IF($D11="","",IF($AD11=0,0,IF(COUNTIFS($D$4:$D11,$D11,$B$4:$B11,$B11)&gt;1,0,IF($B11&lt;'Guide &amp; Settings'!$C$50,0,IF(($B11-$AD11)/7-'Guide &amp; Settings'!$C$48&gt;=0,(INT(($B11-$AD11)/7-'Guide &amp; Settings'!$C$48)+1)*'Guide &amp; Settings'!$C$49,0)))))</f>
        <v>0</v>
      </c>
      <c r="AD11" s="142">
        <f t="shared" si="17"/>
        <v>0</v>
      </c>
      <c r="AE11">
        <f t="shared" si="18"/>
        <v>1</v>
      </c>
      <c r="AF11">
        <f t="shared" si="19"/>
        <v>0</v>
      </c>
    </row>
    <row r="12" spans="1:32" ht="15" customHeight="1" x14ac:dyDescent="0.2">
      <c r="A12" s="117">
        <v>2</v>
      </c>
      <c r="B12" s="118">
        <v>46175</v>
      </c>
      <c r="C12" s="119" t="s">
        <v>38</v>
      </c>
      <c r="D12" s="119" t="s">
        <v>18</v>
      </c>
      <c r="E12" s="117" t="s">
        <v>371</v>
      </c>
      <c r="F12" s="120">
        <f t="shared" si="0"/>
        <v>8</v>
      </c>
      <c r="G12" s="121" t="str">
        <f t="shared" si="1"/>
        <v>Aaron</v>
      </c>
      <c r="H12" s="122">
        <f>IF($D12="",0,IFERROR(LOOKUP(2,1/(($D$3:D11=$D12)*($A$3:A11&lt;$A12)),$N$3:N11),'Guide &amp; Settings'!$C$41))</f>
        <v>1000</v>
      </c>
      <c r="I12" s="123">
        <f t="shared" si="2"/>
        <v>0.125</v>
      </c>
      <c r="J12" s="124">
        <f>IF($D12="",0,IF($F12&lt;2,0,IF($E12="Win",('Guide &amp; Settings'!$C$42/(($F12-1)*COUNTIFS($A$4:$A$1510,$A12,$E$4:$E$1510,"Win")))*SUMIFS($X$4:$X$1510,$A$4:$A$1510,$A12,$E$4:$E$1510,"Loss"),-('Guide &amp; Settings'!$C$42/($F12-1))*$X12)))</f>
        <v>-2.2857142857142856</v>
      </c>
      <c r="K12" s="124">
        <f>IF($D12="",0,'Guide &amp; Settings'!$C$43*(IF($E12="Win",1,0)-$I12))</f>
        <v>-1.5</v>
      </c>
      <c r="L12" s="125">
        <f>IF($D12="",0,'Guide &amp; Settings'!$C$44*IF($F12&gt;=3,$F12,0))</f>
        <v>8</v>
      </c>
      <c r="M12" s="124">
        <f t="shared" si="3"/>
        <v>4.2142857142857144</v>
      </c>
      <c r="N12" s="122">
        <f t="shared" si="4"/>
        <v>1004.2142857142857</v>
      </c>
      <c r="O12" s="121" t="str">
        <f t="shared" si="5"/>
        <v>OK</v>
      </c>
      <c r="P12">
        <f t="shared" si="6"/>
        <v>1000</v>
      </c>
      <c r="Q12">
        <f t="shared" si="7"/>
        <v>0.5</v>
      </c>
      <c r="R12">
        <f t="shared" si="8"/>
        <v>0.5</v>
      </c>
      <c r="S12">
        <f t="shared" si="9"/>
        <v>4</v>
      </c>
      <c r="T12" s="89">
        <f t="shared" si="10"/>
        <v>0</v>
      </c>
      <c r="U12" s="126">
        <f>IF($D12="",0,IFERROR(LOOKUP(2,1/(($D$3:D11=$D12)*($C$3:C11=$C12)*($A$3:A11&lt;$A12)),$AB$3:AB11),1000))</f>
        <v>1000</v>
      </c>
      <c r="V12" s="126">
        <f t="shared" si="11"/>
        <v>1000</v>
      </c>
      <c r="W12">
        <f t="shared" si="12"/>
        <v>1000</v>
      </c>
      <c r="X12">
        <f t="shared" si="13"/>
        <v>0.5</v>
      </c>
      <c r="Y12">
        <f t="shared" si="14"/>
        <v>1000</v>
      </c>
      <c r="Z12">
        <f t="shared" si="15"/>
        <v>0.5</v>
      </c>
      <c r="AA12">
        <f>IF($D12="",0,IF($F12&lt;2,0,IF($E12="Win",('Guide &amp; Settings'!$C$42/(($F12-1)*COUNTIFS($A$4:$A$1510,$A12,$E$4:$E$1510,"Win")))*SUMIFS($Z$4:$Z$1510,$A$4:$A$1510,$A12,$E$4:$E$1510,"Loss"),-('Guide &amp; Settings'!$C$42/($F12-1))*$Z12)))</f>
        <v>-2.2857142857142856</v>
      </c>
      <c r="AB12" s="126">
        <f t="shared" si="16"/>
        <v>997.71428571428567</v>
      </c>
      <c r="AC12" s="126">
        <f>IF($D12="","",IF($AD12=0,0,IF(COUNTIFS($D$4:$D12,$D12,$B$4:$B12,$B12)&gt;1,0,IF($B12&lt;'Guide &amp; Settings'!$C$50,0,IF(($B12-$AD12)/7-'Guide &amp; Settings'!$C$48&gt;=0,(INT(($B12-$AD12)/7-'Guide &amp; Settings'!$C$48)+1)*'Guide &amp; Settings'!$C$49,0)))))</f>
        <v>0</v>
      </c>
      <c r="AD12" s="142">
        <f t="shared" si="17"/>
        <v>0</v>
      </c>
      <c r="AE12">
        <f t="shared" si="18"/>
        <v>1</v>
      </c>
      <c r="AF12">
        <f t="shared" si="19"/>
        <v>0</v>
      </c>
    </row>
    <row r="13" spans="1:32" ht="15" customHeight="1" x14ac:dyDescent="0.2">
      <c r="A13" s="117">
        <v>2</v>
      </c>
      <c r="B13" s="118">
        <v>46175</v>
      </c>
      <c r="C13" s="119" t="s">
        <v>38</v>
      </c>
      <c r="D13" s="119" t="s">
        <v>25</v>
      </c>
      <c r="E13" s="117" t="s">
        <v>371</v>
      </c>
      <c r="F13" s="120">
        <f t="shared" si="0"/>
        <v>8</v>
      </c>
      <c r="G13" s="121" t="str">
        <f t="shared" si="1"/>
        <v>Aaron</v>
      </c>
      <c r="H13" s="122">
        <f>IF($D13="",0,IFERROR(LOOKUP(2,1/(($D$3:D12=$D13)*($A$3:A12&lt;$A13)),$N$3:N12),'Guide &amp; Settings'!$C$41))</f>
        <v>991</v>
      </c>
      <c r="I13" s="123">
        <f t="shared" si="2"/>
        <v>0.125</v>
      </c>
      <c r="J13" s="124">
        <f>IF($D13="",0,IF($F13&lt;2,0,IF($E13="Win",('Guide &amp; Settings'!$C$42/(($F13-1)*COUNTIFS($A$4:$A$1510,$A13,$E$4:$E$1510,"Win")))*SUMIFS($X$4:$X$1510,$A$4:$A$1510,$A13,$E$4:$E$1510,"Loss"),-('Guide &amp; Settings'!$C$42/($F13-1))*$X13)))</f>
        <v>-2.2265181947754797</v>
      </c>
      <c r="K13" s="124">
        <f>IF($D13="",0,'Guide &amp; Settings'!$C$43*(IF($E13="Win",1,0)-$I13))</f>
        <v>-1.5</v>
      </c>
      <c r="L13" s="125">
        <f>IF($D13="",0,'Guide &amp; Settings'!$C$44*IF($F13&gt;=3,$F13,0))</f>
        <v>8</v>
      </c>
      <c r="M13" s="124">
        <f t="shared" si="3"/>
        <v>4.2734818052245203</v>
      </c>
      <c r="N13" s="122">
        <f t="shared" si="4"/>
        <v>995.27348180522449</v>
      </c>
      <c r="O13" s="121" t="str">
        <f t="shared" si="5"/>
        <v>OK</v>
      </c>
      <c r="P13">
        <f t="shared" si="6"/>
        <v>1000</v>
      </c>
      <c r="Q13">
        <f t="shared" si="7"/>
        <v>0.48705085510713625</v>
      </c>
      <c r="R13">
        <f t="shared" si="8"/>
        <v>0.5</v>
      </c>
      <c r="S13">
        <f t="shared" si="9"/>
        <v>4</v>
      </c>
      <c r="T13" s="89">
        <f t="shared" si="10"/>
        <v>0</v>
      </c>
      <c r="U13" s="126">
        <f>IF($D13="",0,IFERROR(LOOKUP(2,1/(($D$3:D12=$D13)*($C$3:C12=$C13)*($A$3:A12&lt;$A13)),$AB$3:AB12),1000))</f>
        <v>1000</v>
      </c>
      <c r="V13" s="126">
        <f t="shared" si="11"/>
        <v>991</v>
      </c>
      <c r="W13">
        <f t="shared" si="12"/>
        <v>1000</v>
      </c>
      <c r="X13">
        <f t="shared" si="13"/>
        <v>0.48705085510713625</v>
      </c>
      <c r="Y13">
        <f t="shared" si="14"/>
        <v>1000</v>
      </c>
      <c r="Z13">
        <f t="shared" si="15"/>
        <v>0.5</v>
      </c>
      <c r="AA13">
        <f>IF($D13="",0,IF($F13&lt;2,0,IF($E13="Win",('Guide &amp; Settings'!$C$42/(($F13-1)*COUNTIFS($A$4:$A$1510,$A13,$E$4:$E$1510,"Win")))*SUMIFS($Z$4:$Z$1510,$A$4:$A$1510,$A13,$E$4:$E$1510,"Loss"),-('Guide &amp; Settings'!$C$42/($F13-1))*$Z13)))</f>
        <v>-2.2857142857142856</v>
      </c>
      <c r="AB13" s="126">
        <f t="shared" si="16"/>
        <v>997.71428571428567</v>
      </c>
      <c r="AC13" s="126">
        <f>IF($D13="","",IF($AD13=0,0,IF(COUNTIFS($D$4:$D13,$D13,$B$4:$B13,$B13)&gt;1,0,IF($B13&lt;'Guide &amp; Settings'!$C$50,0,IF(($B13-$AD13)/7-'Guide &amp; Settings'!$C$48&gt;=0,(INT(($B13-$AD13)/7-'Guide &amp; Settings'!$C$48)+1)*'Guide &amp; Settings'!$C$49,0)))))</f>
        <v>0</v>
      </c>
      <c r="AD13" s="142">
        <f t="shared" si="17"/>
        <v>46145</v>
      </c>
      <c r="AE13">
        <f t="shared" si="18"/>
        <v>1</v>
      </c>
      <c r="AF13">
        <f t="shared" si="19"/>
        <v>0</v>
      </c>
    </row>
    <row r="14" spans="1:32" ht="15" customHeight="1" x14ac:dyDescent="0.2">
      <c r="A14" s="117">
        <v>2</v>
      </c>
      <c r="B14" s="118">
        <v>46175</v>
      </c>
      <c r="C14" s="119" t="s">
        <v>38</v>
      </c>
      <c r="D14" s="119" t="s">
        <v>17</v>
      </c>
      <c r="E14" s="117" t="s">
        <v>371</v>
      </c>
      <c r="F14" s="120">
        <f t="shared" si="0"/>
        <v>8</v>
      </c>
      <c r="G14" s="121" t="str">
        <f t="shared" si="1"/>
        <v>Aaron</v>
      </c>
      <c r="H14" s="122">
        <f>IF($D14="",0,IFERROR(LOOKUP(2,1/(($D$3:D13=$D14)*($A$3:A13&lt;$A14)),$N$3:N13),'Guide &amp; Settings'!$C$41))</f>
        <v>1000</v>
      </c>
      <c r="I14" s="123">
        <f t="shared" si="2"/>
        <v>0.125</v>
      </c>
      <c r="J14" s="124">
        <f>IF($D14="",0,IF($F14&lt;2,0,IF($E14="Win",('Guide &amp; Settings'!$C$42/(($F14-1)*COUNTIFS($A$4:$A$1510,$A14,$E$4:$E$1510,"Win")))*SUMIFS($X$4:$X$1510,$A$4:$A$1510,$A14,$E$4:$E$1510,"Loss"),-('Guide &amp; Settings'!$C$42/($F14-1))*$X14)))</f>
        <v>-2.2857142857142856</v>
      </c>
      <c r="K14" s="124">
        <f>IF($D14="",0,'Guide &amp; Settings'!$C$43*(IF($E14="Win",1,0)-$I14))</f>
        <v>-1.5</v>
      </c>
      <c r="L14" s="125">
        <f>IF($D14="",0,'Guide &amp; Settings'!$C$44*IF($F14&gt;=3,$F14,0))</f>
        <v>8</v>
      </c>
      <c r="M14" s="124">
        <f t="shared" si="3"/>
        <v>4.2142857142857144</v>
      </c>
      <c r="N14" s="122">
        <f t="shared" si="4"/>
        <v>1004.2142857142857</v>
      </c>
      <c r="O14" s="121" t="str">
        <f t="shared" si="5"/>
        <v>OK</v>
      </c>
      <c r="P14">
        <f t="shared" si="6"/>
        <v>1000</v>
      </c>
      <c r="Q14">
        <f t="shared" si="7"/>
        <v>0.5</v>
      </c>
      <c r="R14">
        <f t="shared" si="8"/>
        <v>0.5</v>
      </c>
      <c r="S14">
        <f t="shared" si="9"/>
        <v>4</v>
      </c>
      <c r="T14" s="89">
        <f t="shared" si="10"/>
        <v>0</v>
      </c>
      <c r="U14" s="126">
        <f>IF($D14="",0,IFERROR(LOOKUP(2,1/(($D$3:D13=$D14)*($C$3:C13=$C14)*($A$3:A13&lt;$A14)),$AB$3:AB13),1000))</f>
        <v>1000</v>
      </c>
      <c r="V14" s="126">
        <f t="shared" si="11"/>
        <v>1000</v>
      </c>
      <c r="W14">
        <f t="shared" si="12"/>
        <v>1000</v>
      </c>
      <c r="X14">
        <f t="shared" si="13"/>
        <v>0.5</v>
      </c>
      <c r="Y14">
        <f t="shared" si="14"/>
        <v>1000</v>
      </c>
      <c r="Z14">
        <f t="shared" si="15"/>
        <v>0.5</v>
      </c>
      <c r="AA14">
        <f>IF($D14="",0,IF($F14&lt;2,0,IF($E14="Win",('Guide &amp; Settings'!$C$42/(($F14-1)*COUNTIFS($A$4:$A$1510,$A14,$E$4:$E$1510,"Win")))*SUMIFS($Z$4:$Z$1510,$A$4:$A$1510,$A14,$E$4:$E$1510,"Loss"),-('Guide &amp; Settings'!$C$42/($F14-1))*$Z14)))</f>
        <v>-2.2857142857142856</v>
      </c>
      <c r="AB14" s="126">
        <f t="shared" si="16"/>
        <v>997.71428571428567</v>
      </c>
      <c r="AC14" s="126">
        <f>IF($D14="","",IF($AD14=0,0,IF(COUNTIFS($D$4:$D14,$D14,$B$4:$B14,$B14)&gt;1,0,IF($B14&lt;'Guide &amp; Settings'!$C$50,0,IF(($B14-$AD14)/7-'Guide &amp; Settings'!$C$48&gt;=0,(INT(($B14-$AD14)/7-'Guide &amp; Settings'!$C$48)+1)*'Guide &amp; Settings'!$C$49,0)))))</f>
        <v>0</v>
      </c>
      <c r="AD14" s="142">
        <f t="shared" si="17"/>
        <v>0</v>
      </c>
      <c r="AE14">
        <f t="shared" si="18"/>
        <v>1</v>
      </c>
      <c r="AF14">
        <f t="shared" si="19"/>
        <v>0</v>
      </c>
    </row>
    <row r="15" spans="1:32" ht="15" customHeight="1" x14ac:dyDescent="0.2">
      <c r="A15" s="117">
        <v>3</v>
      </c>
      <c r="B15" s="118">
        <v>46172</v>
      </c>
      <c r="C15" s="119" t="s">
        <v>35</v>
      </c>
      <c r="D15" s="119" t="s">
        <v>22</v>
      </c>
      <c r="E15" s="117" t="s">
        <v>371</v>
      </c>
      <c r="F15" s="120">
        <f t="shared" si="0"/>
        <v>2</v>
      </c>
      <c r="G15" s="121" t="str">
        <f t="shared" si="1"/>
        <v>Shawn</v>
      </c>
      <c r="H15" s="122">
        <f>IF($D15="",0,IFERROR(LOOKUP(2,1/(($D$3:D14=$D15)*($A$3:A14&lt;$A15)),$N$3:N14),'Guide &amp; Settings'!$C$41))</f>
        <v>1004.2142857142857</v>
      </c>
      <c r="I15" s="123">
        <f t="shared" si="2"/>
        <v>0.5</v>
      </c>
      <c r="J15" s="124">
        <f>IF($D15="",0,IF($F15&lt;2,0,IF($E15="Win",('Guide &amp; Settings'!$C$42/(($F15-1)*COUNTIFS($A$4:$A$1510,$A15,$E$4:$E$1510,"Win")))*SUMIFS($X$4:$X$1510,$A$4:$A$1510,$A15,$E$4:$E$1510,"Loss"),-('Guide &amp; Settings'!$C$42/($F15-1))*$X15)))</f>
        <v>-16.411648372286582</v>
      </c>
      <c r="K15" s="124">
        <f>IF($D15="",0,'Guide &amp; Settings'!$C$43*(IF($E15="Win",1,0)-$I15))</f>
        <v>-6</v>
      </c>
      <c r="L15" s="125">
        <f>IF($D15="",0,'Guide &amp; Settings'!$C$44*IF($F15&gt;=3,$F15,0))</f>
        <v>0</v>
      </c>
      <c r="M15" s="124">
        <f t="shared" si="3"/>
        <v>-22.411648372286582</v>
      </c>
      <c r="N15" s="122">
        <f t="shared" si="4"/>
        <v>981.80263734199912</v>
      </c>
      <c r="O15" s="121" t="str">
        <f t="shared" si="5"/>
        <v>OK</v>
      </c>
      <c r="P15">
        <f t="shared" si="6"/>
        <v>995.27348180522449</v>
      </c>
      <c r="Q15">
        <f t="shared" si="7"/>
        <v>0.51286401163395567</v>
      </c>
      <c r="R15">
        <f t="shared" si="8"/>
        <v>0.5</v>
      </c>
      <c r="S15">
        <f t="shared" si="9"/>
        <v>1</v>
      </c>
      <c r="T15" s="89">
        <f t="shared" si="10"/>
        <v>0</v>
      </c>
      <c r="U15" s="126">
        <f>IF($D15="",0,IFERROR(LOOKUP(2,1/(($D$3:D14=$D15)*($C$3:C14=$C15)*($A$3:A14&lt;$A15)),$AB$3:AB14),1000))</f>
        <v>1000</v>
      </c>
      <c r="V15" s="126">
        <f t="shared" si="11"/>
        <v>1004.2142857142857</v>
      </c>
      <c r="W15">
        <f t="shared" si="12"/>
        <v>995.27348180522449</v>
      </c>
      <c r="X15">
        <f t="shared" si="13"/>
        <v>0.51286401163395567</v>
      </c>
      <c r="Y15">
        <f t="shared" si="14"/>
        <v>1000</v>
      </c>
      <c r="Z15">
        <f t="shared" si="15"/>
        <v>0.5</v>
      </c>
      <c r="AA15">
        <f>IF($D15="",0,IF($F15&lt;2,0,IF($E15="Win",('Guide &amp; Settings'!$C$42/(($F15-1)*COUNTIFS($A$4:$A$1510,$A15,$E$4:$E$1510,"Win")))*SUMIFS($Z$4:$Z$1510,$A$4:$A$1510,$A15,$E$4:$E$1510,"Loss"),-('Guide &amp; Settings'!$C$42/($F15-1))*$Z15)))</f>
        <v>-16</v>
      </c>
      <c r="AB15" s="126">
        <f t="shared" si="16"/>
        <v>984</v>
      </c>
      <c r="AC15" s="126">
        <f>IF($D15="","",IF($AD15=0,0,IF(COUNTIFS($D$4:$D15,$D15,$B$4:$B15,$B15)&gt;1,0,IF($B15&lt;'Guide &amp; Settings'!$C$50,0,IF(($B15-$AD15)/7-'Guide &amp; Settings'!$C$48&gt;=0,(INT(($B15-$AD15)/7-'Guide &amp; Settings'!$C$48)+1)*'Guide &amp; Settings'!$C$49,0)))))</f>
        <v>0</v>
      </c>
      <c r="AD15" s="142">
        <f t="shared" si="17"/>
        <v>0</v>
      </c>
      <c r="AE15">
        <f t="shared" si="18"/>
        <v>1</v>
      </c>
      <c r="AF15">
        <f t="shared" si="19"/>
        <v>0</v>
      </c>
    </row>
    <row r="16" spans="1:32" ht="15" customHeight="1" x14ac:dyDescent="0.2">
      <c r="A16" s="117">
        <v>3</v>
      </c>
      <c r="B16" s="118">
        <v>46172</v>
      </c>
      <c r="C16" s="119" t="s">
        <v>35</v>
      </c>
      <c r="D16" s="119" t="s">
        <v>20</v>
      </c>
      <c r="E16" s="117" t="s">
        <v>370</v>
      </c>
      <c r="F16" s="120">
        <f t="shared" si="0"/>
        <v>2</v>
      </c>
      <c r="G16" s="121" t="str">
        <f t="shared" si="1"/>
        <v>Shawn</v>
      </c>
      <c r="H16" s="122">
        <f>IF($D16="",0,IFERROR(LOOKUP(2,1/(($D$3:D15=$D16)*($A$3:A15&lt;$A16)),$N$3:N15),'Guide &amp; Settings'!$C$41))</f>
        <v>995.27348180522449</v>
      </c>
      <c r="I16" s="123">
        <f t="shared" si="2"/>
        <v>0.5</v>
      </c>
      <c r="J16" s="124">
        <f>IF($D16="",0,IF($F16&lt;2,0,IF($E16="Win",('Guide &amp; Settings'!$C$42/(($F16-1)*COUNTIFS($A$4:$A$1510,$A16,$E$4:$E$1510,"Win")))*SUMIFS($X$4:$X$1510,$A$4:$A$1510,$A16,$E$4:$E$1510,"Loss"),-('Guide &amp; Settings'!$C$42/($F16-1))*$X16)))</f>
        <v>16.411648372286582</v>
      </c>
      <c r="K16" s="124">
        <f>IF($D16="",0,'Guide &amp; Settings'!$C$43*(IF($E16="Win",1,0)-$I16))</f>
        <v>6</v>
      </c>
      <c r="L16" s="125">
        <f>IF($D16="",0,'Guide &amp; Settings'!$C$44*IF($F16&gt;=3,$F16,0))</f>
        <v>0</v>
      </c>
      <c r="M16" s="124">
        <f t="shared" si="3"/>
        <v>22.411648372286582</v>
      </c>
      <c r="N16" s="122">
        <f t="shared" si="4"/>
        <v>1017.685130177511</v>
      </c>
      <c r="O16" s="121" t="str">
        <f t="shared" si="5"/>
        <v>OK</v>
      </c>
      <c r="P16">
        <f t="shared" si="6"/>
        <v>995.27348180522449</v>
      </c>
      <c r="Q16">
        <f t="shared" si="7"/>
        <v>0.5</v>
      </c>
      <c r="R16">
        <f t="shared" si="8"/>
        <v>0.5</v>
      </c>
      <c r="S16">
        <f t="shared" si="9"/>
        <v>1</v>
      </c>
      <c r="T16" s="89">
        <f t="shared" si="10"/>
        <v>0</v>
      </c>
      <c r="U16" s="126">
        <f>IF($D16="",0,IFERROR(LOOKUP(2,1/(($D$3:D15=$D16)*($C$3:C15=$C16)*($A$3:A15&lt;$A16)),$AB$3:AB15),1000))</f>
        <v>1000</v>
      </c>
      <c r="V16" s="126">
        <f t="shared" si="11"/>
        <v>995.27348180522449</v>
      </c>
      <c r="W16">
        <f t="shared" si="12"/>
        <v>995.27348180522449</v>
      </c>
      <c r="X16">
        <f t="shared" si="13"/>
        <v>0.5</v>
      </c>
      <c r="Y16">
        <f t="shared" si="14"/>
        <v>1000</v>
      </c>
      <c r="Z16">
        <f t="shared" si="15"/>
        <v>0.5</v>
      </c>
      <c r="AA16">
        <f>IF($D16="",0,IF($F16&lt;2,0,IF($E16="Win",('Guide &amp; Settings'!$C$42/(($F16-1)*COUNTIFS($A$4:$A$1510,$A16,$E$4:$E$1510,"Win")))*SUMIFS($Z$4:$Z$1510,$A$4:$A$1510,$A16,$E$4:$E$1510,"Loss"),-('Guide &amp; Settings'!$C$42/($F16-1))*$Z16)))</f>
        <v>16</v>
      </c>
      <c r="AB16" s="126">
        <f t="shared" si="16"/>
        <v>1016</v>
      </c>
      <c r="AC16" s="126">
        <f>IF($D16="","",IF($AD16=0,0,IF(COUNTIFS($D$4:$D16,$D16,$B$4:$B16,$B16)&gt;1,0,IF($B16&lt;'Guide &amp; Settings'!$C$50,0,IF(($B16-$AD16)/7-'Guide &amp; Settings'!$C$48&gt;=0,(INT(($B16-$AD16)/7-'Guide &amp; Settings'!$C$48)+1)*'Guide &amp; Settings'!$C$49,0)))))</f>
        <v>0</v>
      </c>
      <c r="AD16" s="142">
        <f t="shared" si="17"/>
        <v>46145</v>
      </c>
      <c r="AE16">
        <f t="shared" si="18"/>
        <v>1</v>
      </c>
      <c r="AF16">
        <f t="shared" si="19"/>
        <v>0</v>
      </c>
    </row>
    <row r="17" spans="1:32" ht="15" customHeight="1" x14ac:dyDescent="0.2">
      <c r="A17" s="117">
        <v>4</v>
      </c>
      <c r="B17" s="118">
        <v>46172</v>
      </c>
      <c r="C17" s="119" t="s">
        <v>35</v>
      </c>
      <c r="D17" s="119" t="s">
        <v>22</v>
      </c>
      <c r="E17" s="117" t="s">
        <v>371</v>
      </c>
      <c r="F17" s="120">
        <f t="shared" si="0"/>
        <v>2</v>
      </c>
      <c r="G17" s="121" t="str">
        <f t="shared" si="1"/>
        <v>Shawn</v>
      </c>
      <c r="H17" s="122">
        <f>IF($D17="",0,IFERROR(LOOKUP(2,1/(($D$3:D16=$D17)*($A$3:A16&lt;$A17)),$N$3:N16),'Guide &amp; Settings'!$C$41))</f>
        <v>981.80263734199912</v>
      </c>
      <c r="I17" s="123">
        <f t="shared" si="2"/>
        <v>0.33333333333333331</v>
      </c>
      <c r="J17" s="124">
        <f>IF($D17="",0,IF($F17&lt;2,0,IF($E17="Win",('Guide &amp; Settings'!$C$42/(($F17-1)*COUNTIFS($A$4:$A$1510,$A17,$E$4:$E$1510,"Win")))*SUMIFS($X$4:$X$1510,$A$4:$A$1510,$A17,$E$4:$E$1510,"Loss"),-('Guide &amp; Settings'!$C$42/($F17-1))*$X17)))</f>
        <v>-14.382889641165336</v>
      </c>
      <c r="K17" s="124">
        <f>IF($D17="",0,'Guide &amp; Settings'!$C$43*(IF($E17="Win",1,0)-$I17))</f>
        <v>-4</v>
      </c>
      <c r="L17" s="125">
        <f>IF($D17="",0,'Guide &amp; Settings'!$C$44*IF($F17&gt;=3,$F17,0))</f>
        <v>0</v>
      </c>
      <c r="M17" s="124">
        <f t="shared" si="3"/>
        <v>-18.382889641165335</v>
      </c>
      <c r="N17" s="122">
        <f t="shared" si="4"/>
        <v>963.4197477008338</v>
      </c>
      <c r="O17" s="121" t="str">
        <f t="shared" si="5"/>
        <v>OK</v>
      </c>
      <c r="P17">
        <f t="shared" si="6"/>
        <v>1017.685130177511</v>
      </c>
      <c r="Q17">
        <f t="shared" si="7"/>
        <v>0.44854376226039305</v>
      </c>
      <c r="R17">
        <f t="shared" si="8"/>
        <v>0.33333333333333331</v>
      </c>
      <c r="S17">
        <f t="shared" si="9"/>
        <v>1</v>
      </c>
      <c r="T17" s="89">
        <f t="shared" si="10"/>
        <v>1</v>
      </c>
      <c r="U17" s="126">
        <f>IF($D17="",0,IFERROR(LOOKUP(2,1/(($D$3:D16=$D17)*($C$3:C16=$C17)*($A$3:A16&lt;$A17)),$AB$3:AB16),1000))</f>
        <v>984</v>
      </c>
      <c r="V17" s="126">
        <f t="shared" si="11"/>
        <v>982.16886445166597</v>
      </c>
      <c r="W17">
        <f t="shared" si="12"/>
        <v>1017.4042751479258</v>
      </c>
      <c r="X17">
        <f t="shared" si="13"/>
        <v>0.44946530128641676</v>
      </c>
      <c r="Y17">
        <f t="shared" si="14"/>
        <v>1016</v>
      </c>
      <c r="Z17">
        <f t="shared" si="15"/>
        <v>0.45407807721951632</v>
      </c>
      <c r="AA17">
        <f>IF($D17="",0,IF($F17&lt;2,0,IF($E17="Win",('Guide &amp; Settings'!$C$42/(($F17-1)*COUNTIFS($A$4:$A$1510,$A17,$E$4:$E$1510,"Win")))*SUMIFS($Z$4:$Z$1510,$A$4:$A$1510,$A17,$E$4:$E$1510,"Loss"),-('Guide &amp; Settings'!$C$42/($F17-1))*$Z17)))</f>
        <v>-14.530498471024522</v>
      </c>
      <c r="AB17" s="126">
        <f t="shared" si="16"/>
        <v>969.46950152897546</v>
      </c>
      <c r="AC17" s="126">
        <f>IF($D17="","",IF($AD17=0,0,IF(COUNTIFS($D$4:$D17,$D17,$B$4:$B17,$B17)&gt;1,0,IF($B17&lt;'Guide &amp; Settings'!$C$50,0,IF(($B17-$AD17)/7-'Guide &amp; Settings'!$C$48&gt;=0,(INT(($B17-$AD17)/7-'Guide &amp; Settings'!$C$48)+1)*'Guide &amp; Settings'!$C$49,0)))))</f>
        <v>0</v>
      </c>
      <c r="AD17" s="142">
        <f t="shared" si="17"/>
        <v>0</v>
      </c>
      <c r="AE17">
        <f t="shared" si="18"/>
        <v>1</v>
      </c>
      <c r="AF17">
        <f t="shared" si="19"/>
        <v>0</v>
      </c>
    </row>
    <row r="18" spans="1:32" ht="15" customHeight="1" x14ac:dyDescent="0.2">
      <c r="A18" s="117">
        <v>4</v>
      </c>
      <c r="B18" s="118">
        <v>46172</v>
      </c>
      <c r="C18" s="119" t="s">
        <v>35</v>
      </c>
      <c r="D18" s="119" t="s">
        <v>20</v>
      </c>
      <c r="E18" s="117" t="s">
        <v>370</v>
      </c>
      <c r="F18" s="120">
        <f t="shared" si="0"/>
        <v>2</v>
      </c>
      <c r="G18" s="121" t="str">
        <f t="shared" si="1"/>
        <v>Shawn</v>
      </c>
      <c r="H18" s="122">
        <f>IF($D18="",0,IFERROR(LOOKUP(2,1/(($D$3:D17=$D18)*($A$3:A17&lt;$A18)),$N$3:N17),'Guide &amp; Settings'!$C$41))</f>
        <v>1017.685130177511</v>
      </c>
      <c r="I18" s="123">
        <f t="shared" si="2"/>
        <v>0.66666666666666663</v>
      </c>
      <c r="J18" s="124">
        <f>IF($D18="",0,IF($F18&lt;2,0,IF($E18="Win",('Guide &amp; Settings'!$C$42/(($F18-1)*COUNTIFS($A$4:$A$1510,$A18,$E$4:$E$1510,"Win")))*SUMIFS($X$4:$X$1510,$A$4:$A$1510,$A18,$E$4:$E$1510,"Loss"),-('Guide &amp; Settings'!$C$42/($F18-1))*$X18)))</f>
        <v>14.382889641165336</v>
      </c>
      <c r="K18" s="124">
        <f>IF($D18="",0,'Guide &amp; Settings'!$C$43*(IF($E18="Win",1,0)-$I18))</f>
        <v>4</v>
      </c>
      <c r="L18" s="125">
        <f>IF($D18="",0,'Guide &amp; Settings'!$C$44*IF($F18&gt;=3,$F18,0))</f>
        <v>0</v>
      </c>
      <c r="M18" s="124">
        <f t="shared" si="3"/>
        <v>18.382889641165335</v>
      </c>
      <c r="N18" s="122">
        <f t="shared" si="4"/>
        <v>1036.0680198186765</v>
      </c>
      <c r="O18" s="121" t="str">
        <f t="shared" si="5"/>
        <v>OK</v>
      </c>
      <c r="P18">
        <f t="shared" si="6"/>
        <v>1017.685130177511</v>
      </c>
      <c r="Q18">
        <f t="shared" si="7"/>
        <v>0.5</v>
      </c>
      <c r="R18">
        <f t="shared" si="8"/>
        <v>0.66666666666666663</v>
      </c>
      <c r="S18">
        <f t="shared" si="9"/>
        <v>1</v>
      </c>
      <c r="T18" s="89">
        <f t="shared" si="10"/>
        <v>1</v>
      </c>
      <c r="U18" s="126">
        <f>IF($D18="",0,IFERROR(LOOKUP(2,1/(($D$3:D17=$D18)*($C$3:C17=$C18)*($A$3:A17&lt;$A18)),$AB$3:AB17),1000))</f>
        <v>1016</v>
      </c>
      <c r="V18" s="126">
        <f t="shared" si="11"/>
        <v>1017.4042751479258</v>
      </c>
      <c r="W18">
        <f t="shared" si="12"/>
        <v>1017.4042751479258</v>
      </c>
      <c r="X18">
        <f t="shared" si="13"/>
        <v>0.5</v>
      </c>
      <c r="Y18">
        <f t="shared" si="14"/>
        <v>1016</v>
      </c>
      <c r="Z18">
        <f t="shared" si="15"/>
        <v>0.5</v>
      </c>
      <c r="AA18">
        <f>IF($D18="",0,IF($F18&lt;2,0,IF($E18="Win",('Guide &amp; Settings'!$C$42/(($F18-1)*COUNTIFS($A$4:$A$1510,$A18,$E$4:$E$1510,"Win")))*SUMIFS($Z$4:$Z$1510,$A$4:$A$1510,$A18,$E$4:$E$1510,"Loss"),-('Guide &amp; Settings'!$C$42/($F18-1))*$Z18)))</f>
        <v>14.530498471024522</v>
      </c>
      <c r="AB18" s="126">
        <f t="shared" si="16"/>
        <v>1030.5304984710244</v>
      </c>
      <c r="AC18" s="126">
        <f>IF($D18="","",IF($AD18=0,0,IF(COUNTIFS($D$4:$D18,$D18,$B$4:$B18,$B18)&gt;1,0,IF($B18&lt;'Guide &amp; Settings'!$C$50,0,IF(($B18-$AD18)/7-'Guide &amp; Settings'!$C$48&gt;=0,(INT(($B18-$AD18)/7-'Guide &amp; Settings'!$C$48)+1)*'Guide &amp; Settings'!$C$49,0)))))</f>
        <v>0</v>
      </c>
      <c r="AD18" s="142">
        <f t="shared" si="17"/>
        <v>46145</v>
      </c>
      <c r="AE18">
        <f t="shared" si="18"/>
        <v>1</v>
      </c>
      <c r="AF18">
        <f t="shared" si="19"/>
        <v>0</v>
      </c>
    </row>
    <row r="19" spans="1:32" ht="15" customHeight="1" x14ac:dyDescent="0.2">
      <c r="A19" s="117">
        <v>5</v>
      </c>
      <c r="B19" s="118">
        <v>46172</v>
      </c>
      <c r="C19" s="119" t="s">
        <v>35</v>
      </c>
      <c r="D19" s="119" t="s">
        <v>22</v>
      </c>
      <c r="E19" s="117" t="s">
        <v>371</v>
      </c>
      <c r="F19" s="120">
        <f t="shared" si="0"/>
        <v>2</v>
      </c>
      <c r="G19" s="121" t="str">
        <f t="shared" si="1"/>
        <v>Shawn</v>
      </c>
      <c r="H19" s="122">
        <f>IF($D19="",0,IFERROR(LOOKUP(2,1/(($D$3:D18=$D19)*($A$3:A18&lt;$A19)),$N$3:N18),'Guide &amp; Settings'!$C$41))</f>
        <v>963.4197477008338</v>
      </c>
      <c r="I19" s="123">
        <f t="shared" si="2"/>
        <v>0.25</v>
      </c>
      <c r="J19" s="124">
        <f>IF($D19="",0,IF($F19&lt;2,0,IF($E19="Win",('Guide &amp; Settings'!$C$42/(($F19-1)*COUNTIFS($A$4:$A$1510,$A19,$E$4:$E$1510,"Win")))*SUMIFS($X$4:$X$1510,$A$4:$A$1510,$A19,$E$4:$E$1510,"Loss"),-('Guide &amp; Settings'!$C$42/($F19-1))*$X19)))</f>
        <v>-12.84861173919432</v>
      </c>
      <c r="K19" s="124">
        <f>IF($D19="",0,'Guide &amp; Settings'!$C$43*(IF($E19="Win",1,0)-$I19))</f>
        <v>-3</v>
      </c>
      <c r="L19" s="125">
        <f>IF($D19="",0,'Guide &amp; Settings'!$C$44*IF($F19&gt;=3,$F19,0))</f>
        <v>0</v>
      </c>
      <c r="M19" s="124">
        <f t="shared" si="3"/>
        <v>-15.84861173919432</v>
      </c>
      <c r="N19" s="122">
        <f t="shared" si="4"/>
        <v>947.57113596163947</v>
      </c>
      <c r="O19" s="121" t="str">
        <f t="shared" si="5"/>
        <v>OK</v>
      </c>
      <c r="P19">
        <f t="shared" si="6"/>
        <v>1036.0680198186765</v>
      </c>
      <c r="Q19">
        <f t="shared" si="7"/>
        <v>0.39694825559403052</v>
      </c>
      <c r="R19">
        <f t="shared" si="8"/>
        <v>0.25</v>
      </c>
      <c r="S19">
        <f t="shared" si="9"/>
        <v>1</v>
      </c>
      <c r="T19" s="89">
        <f t="shared" si="10"/>
        <v>2</v>
      </c>
      <c r="U19" s="126">
        <f>IF($D19="",0,IFERROR(LOOKUP(2,1/(($D$3:D18=$D19)*($C$3:C18=$C19)*($A$3:A18&lt;$A19)),$AB$3:AB18),1000))</f>
        <v>969.46950152897546</v>
      </c>
      <c r="V19" s="126">
        <f t="shared" si="11"/>
        <v>965.14824879458865</v>
      </c>
      <c r="W19">
        <f t="shared" si="12"/>
        <v>1034.4858708622046</v>
      </c>
      <c r="X19">
        <f t="shared" si="13"/>
        <v>0.4015191168498225</v>
      </c>
      <c r="Y19">
        <f t="shared" si="14"/>
        <v>1030.5304984710244</v>
      </c>
      <c r="Z19">
        <f t="shared" si="15"/>
        <v>0.41301984883082593</v>
      </c>
      <c r="AA19">
        <f>IF($D19="",0,IF($F19&lt;2,0,IF($E19="Win",('Guide &amp; Settings'!$C$42/(($F19-1)*COUNTIFS($A$4:$A$1510,$A19,$E$4:$E$1510,"Win")))*SUMIFS($Z$4:$Z$1510,$A$4:$A$1510,$A19,$E$4:$E$1510,"Loss"),-('Guide &amp; Settings'!$C$42/($F19-1))*$Z19)))</f>
        <v>-13.21663516258643</v>
      </c>
      <c r="AB19" s="126">
        <f t="shared" si="16"/>
        <v>956.25286636638907</v>
      </c>
      <c r="AC19" s="126">
        <f>IF($D19="","",IF($AD19=0,0,IF(COUNTIFS($D$4:$D19,$D19,$B$4:$B19,$B19)&gt;1,0,IF($B19&lt;'Guide &amp; Settings'!$C$50,0,IF(($B19-$AD19)/7-'Guide &amp; Settings'!$C$48&gt;=0,(INT(($B19-$AD19)/7-'Guide &amp; Settings'!$C$48)+1)*'Guide &amp; Settings'!$C$49,0)))))</f>
        <v>0</v>
      </c>
      <c r="AD19" s="142">
        <f t="shared" si="17"/>
        <v>0</v>
      </c>
      <c r="AE19">
        <f t="shared" si="18"/>
        <v>1</v>
      </c>
      <c r="AF19">
        <f t="shared" si="19"/>
        <v>0</v>
      </c>
    </row>
    <row r="20" spans="1:32" ht="15" customHeight="1" x14ac:dyDescent="0.2">
      <c r="A20" s="117">
        <v>5</v>
      </c>
      <c r="B20" s="118">
        <v>46172</v>
      </c>
      <c r="C20" s="119" t="s">
        <v>35</v>
      </c>
      <c r="D20" s="119" t="s">
        <v>20</v>
      </c>
      <c r="E20" s="117" t="s">
        <v>370</v>
      </c>
      <c r="F20" s="120">
        <f t="shared" si="0"/>
        <v>2</v>
      </c>
      <c r="G20" s="121" t="str">
        <f t="shared" si="1"/>
        <v>Shawn</v>
      </c>
      <c r="H20" s="122">
        <f>IF($D20="",0,IFERROR(LOOKUP(2,1/(($D$3:D19=$D20)*($A$3:A19&lt;$A20)),$N$3:N19),'Guide &amp; Settings'!$C$41))</f>
        <v>1036.0680198186765</v>
      </c>
      <c r="I20" s="123">
        <f t="shared" si="2"/>
        <v>0.75</v>
      </c>
      <c r="J20" s="124">
        <f>IF($D20="",0,IF($F20&lt;2,0,IF($E20="Win",('Guide &amp; Settings'!$C$42/(($F20-1)*COUNTIFS($A$4:$A$1510,$A20,$E$4:$E$1510,"Win")))*SUMIFS($X$4:$X$1510,$A$4:$A$1510,$A20,$E$4:$E$1510,"Loss"),-('Guide &amp; Settings'!$C$42/($F20-1))*$X20)))</f>
        <v>12.84861173919432</v>
      </c>
      <c r="K20" s="124">
        <f>IF($D20="",0,'Guide &amp; Settings'!$C$43*(IF($E20="Win",1,0)-$I20))</f>
        <v>3</v>
      </c>
      <c r="L20" s="125">
        <f>IF($D20="",0,'Guide &amp; Settings'!$C$44*IF($F20&gt;=3,$F20,0))</f>
        <v>0</v>
      </c>
      <c r="M20" s="124">
        <f t="shared" si="3"/>
        <v>15.84861173919432</v>
      </c>
      <c r="N20" s="122">
        <f t="shared" si="4"/>
        <v>1051.9166315578707</v>
      </c>
      <c r="O20" s="121" t="str">
        <f t="shared" si="5"/>
        <v>OK</v>
      </c>
      <c r="P20">
        <f t="shared" si="6"/>
        <v>1036.0680198186765</v>
      </c>
      <c r="Q20">
        <f t="shared" si="7"/>
        <v>0.5</v>
      </c>
      <c r="R20">
        <f t="shared" si="8"/>
        <v>0.75</v>
      </c>
      <c r="S20">
        <f t="shared" si="9"/>
        <v>1</v>
      </c>
      <c r="T20" s="89">
        <f t="shared" si="10"/>
        <v>2</v>
      </c>
      <c r="U20" s="126">
        <f>IF($D20="",0,IFERROR(LOOKUP(2,1/(($D$3:D19=$D20)*($C$3:C19=$C20)*($A$3:A19&lt;$A20)),$AB$3:AB19),1000))</f>
        <v>1030.5304984710244</v>
      </c>
      <c r="V20" s="126">
        <f t="shared" si="11"/>
        <v>1034.4858708622046</v>
      </c>
      <c r="W20">
        <f t="shared" si="12"/>
        <v>1034.4858708622046</v>
      </c>
      <c r="X20">
        <f t="shared" si="13"/>
        <v>0.5</v>
      </c>
      <c r="Y20">
        <f t="shared" si="14"/>
        <v>1030.5304984710244</v>
      </c>
      <c r="Z20">
        <f t="shared" si="15"/>
        <v>0.5</v>
      </c>
      <c r="AA20">
        <f>IF($D20="",0,IF($F20&lt;2,0,IF($E20="Win",('Guide &amp; Settings'!$C$42/(($F20-1)*COUNTIFS($A$4:$A$1510,$A20,$E$4:$E$1510,"Win")))*SUMIFS($Z$4:$Z$1510,$A$4:$A$1510,$A20,$E$4:$E$1510,"Loss"),-('Guide &amp; Settings'!$C$42/($F20-1))*$Z20)))</f>
        <v>13.21663516258643</v>
      </c>
      <c r="AB20" s="126">
        <f t="shared" si="16"/>
        <v>1043.7471336336109</v>
      </c>
      <c r="AC20" s="126">
        <f>IF($D20="","",IF($AD20=0,0,IF(COUNTIFS($D$4:$D20,$D20,$B$4:$B20,$B20)&gt;1,0,IF($B20&lt;'Guide &amp; Settings'!$C$50,0,IF(($B20-$AD20)/7-'Guide &amp; Settings'!$C$48&gt;=0,(INT(($B20-$AD20)/7-'Guide &amp; Settings'!$C$48)+1)*'Guide &amp; Settings'!$C$49,0)))))</f>
        <v>0</v>
      </c>
      <c r="AD20" s="142">
        <f t="shared" si="17"/>
        <v>46145</v>
      </c>
      <c r="AE20">
        <f t="shared" si="18"/>
        <v>1</v>
      </c>
      <c r="AF20">
        <f t="shared" si="19"/>
        <v>0</v>
      </c>
    </row>
    <row r="21" spans="1:32" ht="15" customHeight="1" x14ac:dyDescent="0.2">
      <c r="A21" s="117">
        <v>6</v>
      </c>
      <c r="B21" s="118">
        <v>46172</v>
      </c>
      <c r="C21" s="119" t="s">
        <v>35</v>
      </c>
      <c r="D21" s="119" t="s">
        <v>22</v>
      </c>
      <c r="E21" s="117" t="s">
        <v>370</v>
      </c>
      <c r="F21" s="120">
        <f t="shared" si="0"/>
        <v>2</v>
      </c>
      <c r="G21" s="121" t="str">
        <f t="shared" si="1"/>
        <v>Daniel (Ferret)</v>
      </c>
      <c r="H21" s="122">
        <f>IF($D21="",0,IFERROR(LOOKUP(2,1/(($D$3:D20=$D21)*($A$3:A20&lt;$A21)),$N$3:N20),'Guide &amp; Settings'!$C$41))</f>
        <v>947.57113596163947</v>
      </c>
      <c r="I21" s="123">
        <f t="shared" si="2"/>
        <v>0.2</v>
      </c>
      <c r="J21" s="124">
        <f>IF($D21="",0,IF($F21&lt;2,0,IF($E21="Win",('Guide &amp; Settings'!$C$42/(($F21-1)*COUNTIFS($A$4:$A$1510,$A21,$E$4:$E$1510,"Win")))*SUMIFS($X$4:$X$1510,$A$4:$A$1510,$A21,$E$4:$E$1510,"Loss"),-('Guide &amp; Settings'!$C$42/($F21-1))*$X21)))</f>
        <v>20.3981870806236</v>
      </c>
      <c r="K21" s="124">
        <f>IF($D21="",0,'Guide &amp; Settings'!$C$43*(IF($E21="Win",1,0)-$I21))</f>
        <v>9.6000000000000014</v>
      </c>
      <c r="L21" s="125">
        <f>IF($D21="",0,'Guide &amp; Settings'!$C$44*IF($F21&gt;=3,$F21,0))</f>
        <v>0</v>
      </c>
      <c r="M21" s="124">
        <f t="shared" si="3"/>
        <v>29.998187080623602</v>
      </c>
      <c r="N21" s="122">
        <f t="shared" si="4"/>
        <v>977.56932304226302</v>
      </c>
      <c r="O21" s="121" t="str">
        <f t="shared" si="5"/>
        <v>OK</v>
      </c>
      <c r="P21">
        <f t="shared" si="6"/>
        <v>947.57113596163947</v>
      </c>
      <c r="Q21">
        <f t="shared" si="7"/>
        <v>0.5</v>
      </c>
      <c r="R21">
        <f t="shared" si="8"/>
        <v>0.2</v>
      </c>
      <c r="S21">
        <f t="shared" si="9"/>
        <v>1</v>
      </c>
      <c r="T21" s="89">
        <f t="shared" si="10"/>
        <v>3</v>
      </c>
      <c r="U21" s="126">
        <f>IF($D21="",0,IFERROR(LOOKUP(2,1/(($D$3:D20=$D21)*($C$3:C20=$C21)*($A$3:A20&lt;$A21)),$AB$3:AB20),1000))</f>
        <v>956.25286636638907</v>
      </c>
      <c r="V21" s="126">
        <f t="shared" si="11"/>
        <v>950.82678486342058</v>
      </c>
      <c r="W21">
        <f t="shared" si="12"/>
        <v>950.82678486342058</v>
      </c>
      <c r="X21">
        <f t="shared" si="13"/>
        <v>0.5</v>
      </c>
      <c r="Y21">
        <f t="shared" si="14"/>
        <v>956.25286636638907</v>
      </c>
      <c r="Z21">
        <f t="shared" si="15"/>
        <v>0.5</v>
      </c>
      <c r="AA21">
        <f>IF($D21="",0,IF($F21&lt;2,0,IF($E21="Win",('Guide &amp; Settings'!$C$42/(($F21-1)*COUNTIFS($A$4:$A$1510,$A21,$E$4:$E$1510,"Win")))*SUMIFS($Z$4:$Z$1510,$A$4:$A$1510,$A21,$E$4:$E$1510,"Loss"),-('Guide &amp; Settings'!$C$42/($F21-1))*$Z21)))</f>
        <v>19.94619100461318</v>
      </c>
      <c r="AB21" s="126">
        <f t="shared" si="16"/>
        <v>976.19905737100225</v>
      </c>
      <c r="AC21" s="126">
        <f>IF($D21="","",IF($AD21=0,0,IF(COUNTIFS($D$4:$D21,$D21,$B$4:$B21,$B21)&gt;1,0,IF($B21&lt;'Guide &amp; Settings'!$C$50,0,IF(($B21-$AD21)/7-'Guide &amp; Settings'!$C$48&gt;=0,(INT(($B21-$AD21)/7-'Guide &amp; Settings'!$C$48)+1)*'Guide &amp; Settings'!$C$49,0)))))</f>
        <v>0</v>
      </c>
      <c r="AD21" s="142">
        <f t="shared" si="17"/>
        <v>0</v>
      </c>
      <c r="AE21">
        <f t="shared" si="18"/>
        <v>1</v>
      </c>
      <c r="AF21">
        <f t="shared" si="19"/>
        <v>0</v>
      </c>
    </row>
    <row r="22" spans="1:32" ht="15" customHeight="1" x14ac:dyDescent="0.2">
      <c r="A22" s="117">
        <v>6</v>
      </c>
      <c r="B22" s="118">
        <v>46172</v>
      </c>
      <c r="C22" s="119" t="s">
        <v>35</v>
      </c>
      <c r="D22" s="119" t="s">
        <v>20</v>
      </c>
      <c r="E22" s="117" t="s">
        <v>371</v>
      </c>
      <c r="F22" s="120">
        <f t="shared" si="0"/>
        <v>2</v>
      </c>
      <c r="G22" s="121" t="str">
        <f t="shared" si="1"/>
        <v>Daniel (Ferret)</v>
      </c>
      <c r="H22" s="122">
        <f>IF($D22="",0,IFERROR(LOOKUP(2,1/(($D$3:D21=$D22)*($A$3:A21&lt;$A22)),$N$3:N21),'Guide &amp; Settings'!$C$41))</f>
        <v>1051.9166315578707</v>
      </c>
      <c r="I22" s="123">
        <f t="shared" si="2"/>
        <v>0.8</v>
      </c>
      <c r="J22" s="124">
        <f>IF($D22="",0,IF($F22&lt;2,0,IF($E22="Win",('Guide &amp; Settings'!$C$42/(($F22-1)*COUNTIFS($A$4:$A$1510,$A22,$E$4:$E$1510,"Win")))*SUMIFS($X$4:$X$1510,$A$4:$A$1510,$A22,$E$4:$E$1510,"Loss"),-('Guide &amp; Settings'!$C$42/($F22-1))*$X22)))</f>
        <v>-20.3981870806236</v>
      </c>
      <c r="K22" s="124">
        <f>IF($D22="",0,'Guide &amp; Settings'!$C$43*(IF($E22="Win",1,0)-$I22))</f>
        <v>-9.6000000000000014</v>
      </c>
      <c r="L22" s="125">
        <f>IF($D22="",0,'Guide &amp; Settings'!$C$44*IF($F22&gt;=3,$F22,0))</f>
        <v>0</v>
      </c>
      <c r="M22" s="124">
        <f t="shared" si="3"/>
        <v>-29.998187080623602</v>
      </c>
      <c r="N22" s="122">
        <f t="shared" si="4"/>
        <v>1021.9184444772471</v>
      </c>
      <c r="O22" s="121" t="str">
        <f t="shared" si="5"/>
        <v>OK</v>
      </c>
      <c r="P22">
        <f t="shared" si="6"/>
        <v>947.57113596163947</v>
      </c>
      <c r="Q22">
        <f t="shared" si="7"/>
        <v>0.64580750814083487</v>
      </c>
      <c r="R22">
        <f t="shared" si="8"/>
        <v>0.8</v>
      </c>
      <c r="S22">
        <f t="shared" si="9"/>
        <v>1</v>
      </c>
      <c r="T22" s="89">
        <f t="shared" si="10"/>
        <v>3</v>
      </c>
      <c r="U22" s="126">
        <f>IF($D22="",0,IFERROR(LOOKUP(2,1/(($D$3:D21=$D22)*($C$3:C21=$C22)*($A$3:A21&lt;$A22)),$AB$3:AB21),1000))</f>
        <v>1043.7471336336109</v>
      </c>
      <c r="V22" s="126">
        <f t="shared" si="11"/>
        <v>1048.8530698362733</v>
      </c>
      <c r="W22">
        <f t="shared" si="12"/>
        <v>950.82678486342058</v>
      </c>
      <c r="X22">
        <f t="shared" si="13"/>
        <v>0.63744334626948751</v>
      </c>
      <c r="Y22">
        <f t="shared" si="14"/>
        <v>956.25286636638907</v>
      </c>
      <c r="Z22">
        <f t="shared" si="15"/>
        <v>0.62331846889416187</v>
      </c>
      <c r="AA22">
        <f>IF($D22="",0,IF($F22&lt;2,0,IF($E22="Win",('Guide &amp; Settings'!$C$42/(($F22-1)*COUNTIFS($A$4:$A$1510,$A22,$E$4:$E$1510,"Win")))*SUMIFS($Z$4:$Z$1510,$A$4:$A$1510,$A22,$E$4:$E$1510,"Loss"),-('Guide &amp; Settings'!$C$42/($F22-1))*$Z22)))</f>
        <v>-19.94619100461318</v>
      </c>
      <c r="AB22" s="126">
        <f t="shared" si="16"/>
        <v>1023.8009426289977</v>
      </c>
      <c r="AC22" s="126">
        <f>IF($D22="","",IF($AD22=0,0,IF(COUNTIFS($D$4:$D22,$D22,$B$4:$B22,$B22)&gt;1,0,IF($B22&lt;'Guide &amp; Settings'!$C$50,0,IF(($B22-$AD22)/7-'Guide &amp; Settings'!$C$48&gt;=0,(INT(($B22-$AD22)/7-'Guide &amp; Settings'!$C$48)+1)*'Guide &amp; Settings'!$C$49,0)))))</f>
        <v>0</v>
      </c>
      <c r="AD22" s="142">
        <f t="shared" si="17"/>
        <v>46145</v>
      </c>
      <c r="AE22">
        <f t="shared" si="18"/>
        <v>1</v>
      </c>
      <c r="AF22">
        <f t="shared" si="19"/>
        <v>0</v>
      </c>
    </row>
    <row r="23" spans="1:32" ht="15" customHeight="1" x14ac:dyDescent="0.2">
      <c r="A23" s="117">
        <v>7</v>
      </c>
      <c r="B23" s="118">
        <v>46172</v>
      </c>
      <c r="C23" s="119" t="s">
        <v>44</v>
      </c>
      <c r="D23" s="119" t="s">
        <v>22</v>
      </c>
      <c r="E23" s="117" t="s">
        <v>371</v>
      </c>
      <c r="F23" s="120">
        <f t="shared" si="0"/>
        <v>2</v>
      </c>
      <c r="G23" s="121" t="str">
        <f t="shared" si="1"/>
        <v>Shawn</v>
      </c>
      <c r="H23" s="122">
        <f>IF($D23="",0,IFERROR(LOOKUP(2,1/(($D$3:D22=$D23)*($A$3:A22&lt;$A23)),$N$3:N22),'Guide &amp; Settings'!$C$41))</f>
        <v>977.56932304226302</v>
      </c>
      <c r="I23" s="123">
        <f t="shared" si="2"/>
        <v>0.5</v>
      </c>
      <c r="J23" s="124">
        <f>IF($D23="",0,IF($F23&lt;2,0,IF($E23="Win",('Guide &amp; Settings'!$C$42/(($F23-1)*COUNTIFS($A$4:$A$1510,$A23,$E$4:$E$1510,"Win")))*SUMIFS($X$4:$X$1510,$A$4:$A$1510,$A23,$E$4:$E$1510,"Loss"),-('Guide &amp; Settings'!$C$42/($F23-1))*$X23)))</f>
        <v>-13.968668197161014</v>
      </c>
      <c r="K23" s="124">
        <f>IF($D23="",0,'Guide &amp; Settings'!$C$43*(IF($E23="Win",1,0)-$I23))</f>
        <v>-6</v>
      </c>
      <c r="L23" s="125">
        <f>IF($D23="",0,'Guide &amp; Settings'!$C$44*IF($F23&gt;=3,$F23,0))</f>
        <v>0</v>
      </c>
      <c r="M23" s="124">
        <f t="shared" si="3"/>
        <v>-19.968668197161016</v>
      </c>
      <c r="N23" s="122">
        <f t="shared" si="4"/>
        <v>957.60065484510199</v>
      </c>
      <c r="O23" s="121" t="str">
        <f t="shared" si="5"/>
        <v>OK</v>
      </c>
      <c r="P23">
        <f t="shared" si="6"/>
        <v>1021.9184444772471</v>
      </c>
      <c r="Q23">
        <f t="shared" si="7"/>
        <v>0.43652088116128168</v>
      </c>
      <c r="R23">
        <f t="shared" si="8"/>
        <v>0.5</v>
      </c>
      <c r="S23">
        <f t="shared" si="9"/>
        <v>1</v>
      </c>
      <c r="T23" s="89">
        <f t="shared" si="10"/>
        <v>0</v>
      </c>
      <c r="U23" s="126">
        <f>IF($D23="",0,IFERROR(LOOKUP(2,1/(($D$3:D22=$D23)*($C$3:C22=$C23)*($A$3:A22&lt;$A23)),$AB$3:AB22),1000))</f>
        <v>1000</v>
      </c>
      <c r="V23" s="126">
        <f t="shared" si="11"/>
        <v>977.56932304226302</v>
      </c>
      <c r="W23">
        <f t="shared" si="12"/>
        <v>1021.9184444772471</v>
      </c>
      <c r="X23">
        <f t="shared" si="13"/>
        <v>0.43652088116128168</v>
      </c>
      <c r="Y23">
        <f t="shared" si="14"/>
        <v>1000</v>
      </c>
      <c r="Z23">
        <f t="shared" si="15"/>
        <v>0.5</v>
      </c>
      <c r="AA23">
        <f>IF($D23="",0,IF($F23&lt;2,0,IF($E23="Win",('Guide &amp; Settings'!$C$42/(($F23-1)*COUNTIFS($A$4:$A$1510,$A23,$E$4:$E$1510,"Win")))*SUMIFS($Z$4:$Z$1510,$A$4:$A$1510,$A23,$E$4:$E$1510,"Loss"),-('Guide &amp; Settings'!$C$42/($F23-1))*$Z23)))</f>
        <v>-16</v>
      </c>
      <c r="AB23" s="126">
        <f t="shared" si="16"/>
        <v>984</v>
      </c>
      <c r="AC23" s="126">
        <f>IF($D23="","",IF($AD23=0,0,IF(COUNTIFS($D$4:$D23,$D23,$B$4:$B23,$B23)&gt;1,0,IF($B23&lt;'Guide &amp; Settings'!$C$50,0,IF(($B23-$AD23)/7-'Guide &amp; Settings'!$C$48&gt;=0,(INT(($B23-$AD23)/7-'Guide &amp; Settings'!$C$48)+1)*'Guide &amp; Settings'!$C$49,0)))))</f>
        <v>0</v>
      </c>
      <c r="AD23" s="142">
        <f t="shared" si="17"/>
        <v>0</v>
      </c>
      <c r="AE23">
        <f t="shared" si="18"/>
        <v>1</v>
      </c>
      <c r="AF23">
        <f t="shared" si="19"/>
        <v>0</v>
      </c>
    </row>
    <row r="24" spans="1:32" ht="15" customHeight="1" x14ac:dyDescent="0.2">
      <c r="A24" s="117">
        <v>7</v>
      </c>
      <c r="B24" s="118">
        <v>46172</v>
      </c>
      <c r="C24" s="119" t="s">
        <v>44</v>
      </c>
      <c r="D24" s="119" t="s">
        <v>20</v>
      </c>
      <c r="E24" s="117" t="s">
        <v>370</v>
      </c>
      <c r="F24" s="120">
        <f t="shared" si="0"/>
        <v>2</v>
      </c>
      <c r="G24" s="121" t="str">
        <f t="shared" si="1"/>
        <v>Shawn</v>
      </c>
      <c r="H24" s="122">
        <f>IF($D24="",0,IFERROR(LOOKUP(2,1/(($D$3:D23=$D24)*($A$3:A23&lt;$A24)),$N$3:N23),'Guide &amp; Settings'!$C$41))</f>
        <v>1021.9184444772471</v>
      </c>
      <c r="I24" s="123">
        <f t="shared" si="2"/>
        <v>0.5</v>
      </c>
      <c r="J24" s="124">
        <f>IF($D24="",0,IF($F24&lt;2,0,IF($E24="Win",('Guide &amp; Settings'!$C$42/(($F24-1)*COUNTIFS($A$4:$A$1510,$A24,$E$4:$E$1510,"Win")))*SUMIFS($X$4:$X$1510,$A$4:$A$1510,$A24,$E$4:$E$1510,"Loss"),-('Guide &amp; Settings'!$C$42/($F24-1))*$X24)))</f>
        <v>13.968668197161014</v>
      </c>
      <c r="K24" s="124">
        <f>IF($D24="",0,'Guide &amp; Settings'!$C$43*(IF($E24="Win",1,0)-$I24))</f>
        <v>6</v>
      </c>
      <c r="L24" s="125">
        <f>IF($D24="",0,'Guide &amp; Settings'!$C$44*IF($F24&gt;=3,$F24,0))</f>
        <v>0</v>
      </c>
      <c r="M24" s="124">
        <f t="shared" si="3"/>
        <v>19.968668197161016</v>
      </c>
      <c r="N24" s="122">
        <f t="shared" si="4"/>
        <v>1041.8871126744082</v>
      </c>
      <c r="O24" s="121" t="str">
        <f t="shared" si="5"/>
        <v>OK</v>
      </c>
      <c r="P24">
        <f t="shared" si="6"/>
        <v>1021.9184444772471</v>
      </c>
      <c r="Q24">
        <f t="shared" si="7"/>
        <v>0.5</v>
      </c>
      <c r="R24">
        <f t="shared" si="8"/>
        <v>0.5</v>
      </c>
      <c r="S24">
        <f t="shared" si="9"/>
        <v>1</v>
      </c>
      <c r="T24" s="89">
        <f t="shared" si="10"/>
        <v>0</v>
      </c>
      <c r="U24" s="126">
        <f>IF($D24="",0,IFERROR(LOOKUP(2,1/(($D$3:D23=$D24)*($C$3:C23=$C24)*($A$3:A23&lt;$A24)),$AB$3:AB23),1000))</f>
        <v>1000</v>
      </c>
      <c r="V24" s="126">
        <f t="shared" si="11"/>
        <v>1021.9184444772471</v>
      </c>
      <c r="W24">
        <f t="shared" si="12"/>
        <v>1021.9184444772471</v>
      </c>
      <c r="X24">
        <f t="shared" si="13"/>
        <v>0.5</v>
      </c>
      <c r="Y24">
        <f t="shared" si="14"/>
        <v>1000</v>
      </c>
      <c r="Z24">
        <f t="shared" si="15"/>
        <v>0.5</v>
      </c>
      <c r="AA24">
        <f>IF($D24="",0,IF($F24&lt;2,0,IF($E24="Win",('Guide &amp; Settings'!$C$42/(($F24-1)*COUNTIFS($A$4:$A$1510,$A24,$E$4:$E$1510,"Win")))*SUMIFS($Z$4:$Z$1510,$A$4:$A$1510,$A24,$E$4:$E$1510,"Loss"),-('Guide &amp; Settings'!$C$42/($F24-1))*$Z24)))</f>
        <v>16</v>
      </c>
      <c r="AB24" s="126">
        <f t="shared" si="16"/>
        <v>1016</v>
      </c>
      <c r="AC24" s="126">
        <f>IF($D24="","",IF($AD24=0,0,IF(COUNTIFS($D$4:$D24,$D24,$B$4:$B24,$B24)&gt;1,0,IF($B24&lt;'Guide &amp; Settings'!$C$50,0,IF(($B24-$AD24)/7-'Guide &amp; Settings'!$C$48&gt;=0,(INT(($B24-$AD24)/7-'Guide &amp; Settings'!$C$48)+1)*'Guide &amp; Settings'!$C$49,0)))))</f>
        <v>0</v>
      </c>
      <c r="AD24" s="142">
        <f t="shared" si="17"/>
        <v>46145</v>
      </c>
      <c r="AE24">
        <f t="shared" si="18"/>
        <v>1</v>
      </c>
      <c r="AF24">
        <f t="shared" si="19"/>
        <v>0</v>
      </c>
    </row>
    <row r="25" spans="1:32" ht="15" customHeight="1" x14ac:dyDescent="0.2">
      <c r="A25" s="117">
        <v>8</v>
      </c>
      <c r="B25" s="118">
        <v>46172</v>
      </c>
      <c r="C25" s="119" t="s">
        <v>44</v>
      </c>
      <c r="D25" s="119" t="s">
        <v>22</v>
      </c>
      <c r="E25" s="117" t="s">
        <v>371</v>
      </c>
      <c r="F25" s="120">
        <f t="shared" si="0"/>
        <v>2</v>
      </c>
      <c r="G25" s="121" t="str">
        <f t="shared" si="1"/>
        <v>Shawn</v>
      </c>
      <c r="H25" s="122">
        <f>IF($D25="",0,IFERROR(LOOKUP(2,1/(($D$3:D24=$D25)*($A$3:A24&lt;$A25)),$N$3:N24),'Guide &amp; Settings'!$C$41))</f>
        <v>957.60065484510199</v>
      </c>
      <c r="I25" s="123">
        <f t="shared" si="2"/>
        <v>0.33333333333333331</v>
      </c>
      <c r="J25" s="124">
        <f>IF($D25="",0,IF($F25&lt;2,0,IF($E25="Win",('Guide &amp; Settings'!$C$42/(($F25-1)*COUNTIFS($A$4:$A$1510,$A25,$E$4:$E$1510,"Win")))*SUMIFS($X$4:$X$1510,$A$4:$A$1510,$A25,$E$4:$E$1510,"Loss"),-('Guide &amp; Settings'!$C$42/($F25-1))*$X25)))</f>
        <v>-12.573645103507065</v>
      </c>
      <c r="K25" s="124">
        <f>IF($D25="",0,'Guide &amp; Settings'!$C$43*(IF($E25="Win",1,0)-$I25))</f>
        <v>-4</v>
      </c>
      <c r="L25" s="125">
        <f>IF($D25="",0,'Guide &amp; Settings'!$C$44*IF($F25&gt;=3,$F25,0))</f>
        <v>0</v>
      </c>
      <c r="M25" s="124">
        <f t="shared" si="3"/>
        <v>-16.573645103507065</v>
      </c>
      <c r="N25" s="122">
        <f t="shared" si="4"/>
        <v>941.02700974159495</v>
      </c>
      <c r="O25" s="121" t="str">
        <f t="shared" si="5"/>
        <v>OK</v>
      </c>
      <c r="P25">
        <f t="shared" si="6"/>
        <v>1041.8871126744082</v>
      </c>
      <c r="Q25">
        <f t="shared" si="7"/>
        <v>0.38102689643750615</v>
      </c>
      <c r="R25">
        <f t="shared" si="8"/>
        <v>0.33333333333333331</v>
      </c>
      <c r="S25">
        <f t="shared" si="9"/>
        <v>1</v>
      </c>
      <c r="T25" s="89">
        <f t="shared" si="10"/>
        <v>1</v>
      </c>
      <c r="U25" s="126">
        <f>IF($D25="",0,IFERROR(LOOKUP(2,1/(($D$3:D24=$D25)*($C$3:C24=$C25)*($A$3:A24&lt;$A25)),$AB$3:AB24),1000))</f>
        <v>984</v>
      </c>
      <c r="V25" s="126">
        <f t="shared" si="11"/>
        <v>962.00054570425164</v>
      </c>
      <c r="W25">
        <f t="shared" si="12"/>
        <v>1037.5725938953401</v>
      </c>
      <c r="X25">
        <f t="shared" si="13"/>
        <v>0.39292640948459578</v>
      </c>
      <c r="Y25">
        <f t="shared" si="14"/>
        <v>1016</v>
      </c>
      <c r="Z25">
        <f t="shared" si="15"/>
        <v>0.45407807721951632</v>
      </c>
      <c r="AA25">
        <f>IF($D25="",0,IF($F25&lt;2,0,IF($E25="Win",('Guide &amp; Settings'!$C$42/(($F25-1)*COUNTIFS($A$4:$A$1510,$A25,$E$4:$E$1510,"Win")))*SUMIFS($Z$4:$Z$1510,$A$4:$A$1510,$A25,$E$4:$E$1510,"Loss"),-('Guide &amp; Settings'!$C$42/($F25-1))*$Z25)))</f>
        <v>-14.530498471024522</v>
      </c>
      <c r="AB25" s="126">
        <f t="shared" si="16"/>
        <v>969.46950152897546</v>
      </c>
      <c r="AC25" s="126">
        <f>IF($D25="","",IF($AD25=0,0,IF(COUNTIFS($D$4:$D25,$D25,$B$4:$B25,$B25)&gt;1,0,IF($B25&lt;'Guide &amp; Settings'!$C$50,0,IF(($B25-$AD25)/7-'Guide &amp; Settings'!$C$48&gt;=0,(INT(($B25-$AD25)/7-'Guide &amp; Settings'!$C$48)+1)*'Guide &amp; Settings'!$C$49,0)))))</f>
        <v>0</v>
      </c>
      <c r="AD25" s="142">
        <f t="shared" si="17"/>
        <v>0</v>
      </c>
      <c r="AE25">
        <f t="shared" si="18"/>
        <v>1</v>
      </c>
      <c r="AF25">
        <f t="shared" si="19"/>
        <v>0</v>
      </c>
    </row>
    <row r="26" spans="1:32" ht="15" customHeight="1" x14ac:dyDescent="0.2">
      <c r="A26" s="117">
        <v>8</v>
      </c>
      <c r="B26" s="118">
        <v>46172</v>
      </c>
      <c r="C26" s="119" t="s">
        <v>44</v>
      </c>
      <c r="D26" s="119" t="s">
        <v>20</v>
      </c>
      <c r="E26" s="117" t="s">
        <v>370</v>
      </c>
      <c r="F26" s="120">
        <f t="shared" si="0"/>
        <v>2</v>
      </c>
      <c r="G26" s="121" t="str">
        <f t="shared" si="1"/>
        <v>Shawn</v>
      </c>
      <c r="H26" s="122">
        <f>IF($D26="",0,IFERROR(LOOKUP(2,1/(($D$3:D25=$D26)*($A$3:A25&lt;$A26)),$N$3:N25),'Guide &amp; Settings'!$C$41))</f>
        <v>1041.8871126744082</v>
      </c>
      <c r="I26" s="123">
        <f t="shared" si="2"/>
        <v>0.66666666666666663</v>
      </c>
      <c r="J26" s="124">
        <f>IF($D26="",0,IF($F26&lt;2,0,IF($E26="Win",('Guide &amp; Settings'!$C$42/(($F26-1)*COUNTIFS($A$4:$A$1510,$A26,$E$4:$E$1510,"Win")))*SUMIFS($X$4:$X$1510,$A$4:$A$1510,$A26,$E$4:$E$1510,"Loss"),-('Guide &amp; Settings'!$C$42/($F26-1))*$X26)))</f>
        <v>12.573645103507065</v>
      </c>
      <c r="K26" s="124">
        <f>IF($D26="",0,'Guide &amp; Settings'!$C$43*(IF($E26="Win",1,0)-$I26))</f>
        <v>4</v>
      </c>
      <c r="L26" s="125">
        <f>IF($D26="",0,'Guide &amp; Settings'!$C$44*IF($F26&gt;=3,$F26,0))</f>
        <v>0</v>
      </c>
      <c r="M26" s="124">
        <f t="shared" si="3"/>
        <v>16.573645103507065</v>
      </c>
      <c r="N26" s="122">
        <f t="shared" si="4"/>
        <v>1058.4607577779152</v>
      </c>
      <c r="O26" s="121" t="str">
        <f t="shared" si="5"/>
        <v>OK</v>
      </c>
      <c r="P26">
        <f t="shared" si="6"/>
        <v>1041.8871126744082</v>
      </c>
      <c r="Q26">
        <f t="shared" si="7"/>
        <v>0.5</v>
      </c>
      <c r="R26">
        <f t="shared" si="8"/>
        <v>0.66666666666666663</v>
      </c>
      <c r="S26">
        <f t="shared" si="9"/>
        <v>1</v>
      </c>
      <c r="T26" s="89">
        <f t="shared" si="10"/>
        <v>1</v>
      </c>
      <c r="U26" s="126">
        <f>IF($D26="",0,IFERROR(LOOKUP(2,1/(($D$3:D25=$D26)*($C$3:C25=$C26)*($A$3:A25&lt;$A26)),$AB$3:AB25),1000))</f>
        <v>1016</v>
      </c>
      <c r="V26" s="126">
        <f t="shared" si="11"/>
        <v>1037.5725938953401</v>
      </c>
      <c r="W26">
        <f t="shared" si="12"/>
        <v>1037.5725938953401</v>
      </c>
      <c r="X26">
        <f t="shared" si="13"/>
        <v>0.5</v>
      </c>
      <c r="Y26">
        <f t="shared" si="14"/>
        <v>1016</v>
      </c>
      <c r="Z26">
        <f t="shared" si="15"/>
        <v>0.5</v>
      </c>
      <c r="AA26">
        <f>IF($D26="",0,IF($F26&lt;2,0,IF($E26="Win",('Guide &amp; Settings'!$C$42/(($F26-1)*COUNTIFS($A$4:$A$1510,$A26,$E$4:$E$1510,"Win")))*SUMIFS($Z$4:$Z$1510,$A$4:$A$1510,$A26,$E$4:$E$1510,"Loss"),-('Guide &amp; Settings'!$C$42/($F26-1))*$Z26)))</f>
        <v>14.530498471024522</v>
      </c>
      <c r="AB26" s="126">
        <f t="shared" si="16"/>
        <v>1030.5304984710244</v>
      </c>
      <c r="AC26" s="126">
        <f>IF($D26="","",IF($AD26=0,0,IF(COUNTIFS($D$4:$D26,$D26,$B$4:$B26,$B26)&gt;1,0,IF($B26&lt;'Guide &amp; Settings'!$C$50,0,IF(($B26-$AD26)/7-'Guide &amp; Settings'!$C$48&gt;=0,(INT(($B26-$AD26)/7-'Guide &amp; Settings'!$C$48)+1)*'Guide &amp; Settings'!$C$49,0)))))</f>
        <v>0</v>
      </c>
      <c r="AD26" s="142">
        <f t="shared" si="17"/>
        <v>46145</v>
      </c>
      <c r="AE26">
        <f t="shared" si="18"/>
        <v>1</v>
      </c>
      <c r="AF26">
        <f t="shared" si="19"/>
        <v>0</v>
      </c>
    </row>
    <row r="27" spans="1:32" ht="15" customHeight="1" x14ac:dyDescent="0.2">
      <c r="A27" s="117">
        <v>9</v>
      </c>
      <c r="B27" s="118">
        <v>46172</v>
      </c>
      <c r="C27" s="119" t="s">
        <v>44</v>
      </c>
      <c r="D27" s="119" t="s">
        <v>22</v>
      </c>
      <c r="E27" s="117" t="s">
        <v>371</v>
      </c>
      <c r="F27" s="120">
        <f t="shared" si="0"/>
        <v>2</v>
      </c>
      <c r="G27" s="121" t="str">
        <f t="shared" si="1"/>
        <v>Shawn</v>
      </c>
      <c r="H27" s="122">
        <f>IF($D27="",0,IFERROR(LOOKUP(2,1/(($D$3:D26=$D27)*($A$3:A26&lt;$A27)),$N$3:N26),'Guide &amp; Settings'!$C$41))</f>
        <v>941.02700974159495</v>
      </c>
      <c r="I27" s="123">
        <f t="shared" si="2"/>
        <v>0.25</v>
      </c>
      <c r="J27" s="124">
        <f>IF($D27="",0,IF($F27&lt;2,0,IF($E27="Win",('Guide &amp; Settings'!$C$42/(($F27-1)*COUNTIFS($A$4:$A$1510,$A27,$E$4:$E$1510,"Win")))*SUMIFS($X$4:$X$1510,$A$4:$A$1510,$A27,$E$4:$E$1510,"Loss"),-('Guide &amp; Settings'!$C$42/($F27-1))*$X27)))</f>
        <v>-11.46165489142933</v>
      </c>
      <c r="K27" s="124">
        <f>IF($D27="",0,'Guide &amp; Settings'!$C$43*(IF($E27="Win",1,0)-$I27))</f>
        <v>-3</v>
      </c>
      <c r="L27" s="125">
        <f>IF($D27="",0,'Guide &amp; Settings'!$C$44*IF($F27&gt;=3,$F27,0))</f>
        <v>0</v>
      </c>
      <c r="M27" s="124">
        <f t="shared" si="3"/>
        <v>-14.46165489142933</v>
      </c>
      <c r="N27" s="122">
        <f t="shared" si="4"/>
        <v>926.56535485016559</v>
      </c>
      <c r="O27" s="121" t="str">
        <f t="shared" si="5"/>
        <v>OK</v>
      </c>
      <c r="P27">
        <f t="shared" si="6"/>
        <v>1058.4607577779152</v>
      </c>
      <c r="Q27">
        <f t="shared" si="7"/>
        <v>0.33715397593244212</v>
      </c>
      <c r="R27">
        <f t="shared" si="8"/>
        <v>0.25</v>
      </c>
      <c r="S27">
        <f t="shared" si="9"/>
        <v>1</v>
      </c>
      <c r="T27" s="89">
        <f t="shared" si="10"/>
        <v>2</v>
      </c>
      <c r="U27" s="126">
        <f>IF($D27="",0,IFERROR(LOOKUP(2,1/(($D$3:D26=$D27)*($C$3:C26=$C27)*($A$3:A26&lt;$A27)),$AB$3:AB26),1000))</f>
        <v>969.46950152897546</v>
      </c>
      <c r="V27" s="126">
        <f t="shared" si="11"/>
        <v>949.15343596656089</v>
      </c>
      <c r="W27">
        <f t="shared" si="12"/>
        <v>1050.4806836902321</v>
      </c>
      <c r="X27">
        <f t="shared" si="13"/>
        <v>0.35817671535716655</v>
      </c>
      <c r="Y27">
        <f t="shared" si="14"/>
        <v>1030.5304984710244</v>
      </c>
      <c r="Z27">
        <f t="shared" si="15"/>
        <v>0.41301984883082593</v>
      </c>
      <c r="AA27">
        <f>IF($D27="",0,IF($F27&lt;2,0,IF($E27="Win",('Guide &amp; Settings'!$C$42/(($F27-1)*COUNTIFS($A$4:$A$1510,$A27,$E$4:$E$1510,"Win")))*SUMIFS($Z$4:$Z$1510,$A$4:$A$1510,$A27,$E$4:$E$1510,"Loss"),-('Guide &amp; Settings'!$C$42/($F27-1))*$Z27)))</f>
        <v>-13.21663516258643</v>
      </c>
      <c r="AB27" s="126">
        <f t="shared" si="16"/>
        <v>956.25286636638907</v>
      </c>
      <c r="AC27" s="126">
        <f>IF($D27="","",IF($AD27=0,0,IF(COUNTIFS($D$4:$D27,$D27,$B$4:$B27,$B27)&gt;1,0,IF($B27&lt;'Guide &amp; Settings'!$C$50,0,IF(($B27-$AD27)/7-'Guide &amp; Settings'!$C$48&gt;=0,(INT(($B27-$AD27)/7-'Guide &amp; Settings'!$C$48)+1)*'Guide &amp; Settings'!$C$49,0)))))</f>
        <v>0</v>
      </c>
      <c r="AD27" s="142">
        <f t="shared" si="17"/>
        <v>0</v>
      </c>
      <c r="AE27">
        <f t="shared" si="18"/>
        <v>1</v>
      </c>
      <c r="AF27">
        <f t="shared" si="19"/>
        <v>0</v>
      </c>
    </row>
    <row r="28" spans="1:32" ht="15" customHeight="1" x14ac:dyDescent="0.2">
      <c r="A28" s="117">
        <v>9</v>
      </c>
      <c r="B28" s="118">
        <v>46172</v>
      </c>
      <c r="C28" s="119" t="s">
        <v>44</v>
      </c>
      <c r="D28" s="119" t="s">
        <v>20</v>
      </c>
      <c r="E28" s="117" t="s">
        <v>370</v>
      </c>
      <c r="F28" s="120">
        <f t="shared" si="0"/>
        <v>2</v>
      </c>
      <c r="G28" s="121" t="str">
        <f t="shared" si="1"/>
        <v>Shawn</v>
      </c>
      <c r="H28" s="122">
        <f>IF($D28="",0,IFERROR(LOOKUP(2,1/(($D$3:D27=$D28)*($A$3:A27&lt;$A28)),$N$3:N27),'Guide &amp; Settings'!$C$41))</f>
        <v>1058.4607577779152</v>
      </c>
      <c r="I28" s="123">
        <f t="shared" si="2"/>
        <v>0.75</v>
      </c>
      <c r="J28" s="124">
        <f>IF($D28="",0,IF($F28&lt;2,0,IF($E28="Win",('Guide &amp; Settings'!$C$42/(($F28-1)*COUNTIFS($A$4:$A$1510,$A28,$E$4:$E$1510,"Win")))*SUMIFS($X$4:$X$1510,$A$4:$A$1510,$A28,$E$4:$E$1510,"Loss"),-('Guide &amp; Settings'!$C$42/($F28-1))*$X28)))</f>
        <v>11.46165489142933</v>
      </c>
      <c r="K28" s="124">
        <f>IF($D28="",0,'Guide &amp; Settings'!$C$43*(IF($E28="Win",1,0)-$I28))</f>
        <v>3</v>
      </c>
      <c r="L28" s="125">
        <f>IF($D28="",0,'Guide &amp; Settings'!$C$44*IF($F28&gt;=3,$F28,0))</f>
        <v>0</v>
      </c>
      <c r="M28" s="124">
        <f t="shared" si="3"/>
        <v>14.46165489142933</v>
      </c>
      <c r="N28" s="122">
        <f t="shared" si="4"/>
        <v>1072.9224126693446</v>
      </c>
      <c r="O28" s="121" t="str">
        <f t="shared" si="5"/>
        <v>OK</v>
      </c>
      <c r="P28">
        <f t="shared" si="6"/>
        <v>1058.4607577779152</v>
      </c>
      <c r="Q28">
        <f t="shared" si="7"/>
        <v>0.5</v>
      </c>
      <c r="R28">
        <f t="shared" si="8"/>
        <v>0.75</v>
      </c>
      <c r="S28">
        <f t="shared" si="9"/>
        <v>1</v>
      </c>
      <c r="T28" s="89">
        <f t="shared" si="10"/>
        <v>2</v>
      </c>
      <c r="U28" s="126">
        <f>IF($D28="",0,IFERROR(LOOKUP(2,1/(($D$3:D27=$D28)*($C$3:C27=$C28)*($A$3:A27&lt;$A28)),$AB$3:AB27),1000))</f>
        <v>1030.5304984710244</v>
      </c>
      <c r="V28" s="126">
        <f t="shared" si="11"/>
        <v>1050.4806836902321</v>
      </c>
      <c r="W28">
        <f t="shared" si="12"/>
        <v>1050.4806836902321</v>
      </c>
      <c r="X28">
        <f t="shared" si="13"/>
        <v>0.5</v>
      </c>
      <c r="Y28">
        <f t="shared" si="14"/>
        <v>1030.5304984710244</v>
      </c>
      <c r="Z28">
        <f t="shared" si="15"/>
        <v>0.5</v>
      </c>
      <c r="AA28">
        <f>IF($D28="",0,IF($F28&lt;2,0,IF($E28="Win",('Guide &amp; Settings'!$C$42/(($F28-1)*COUNTIFS($A$4:$A$1510,$A28,$E$4:$E$1510,"Win")))*SUMIFS($Z$4:$Z$1510,$A$4:$A$1510,$A28,$E$4:$E$1510,"Loss"),-('Guide &amp; Settings'!$C$42/($F28-1))*$Z28)))</f>
        <v>13.21663516258643</v>
      </c>
      <c r="AB28" s="126">
        <f t="shared" si="16"/>
        <v>1043.7471336336109</v>
      </c>
      <c r="AC28" s="126">
        <f>IF($D28="","",IF($AD28=0,0,IF(COUNTIFS($D$4:$D28,$D28,$B$4:$B28,$B28)&gt;1,0,IF($B28&lt;'Guide &amp; Settings'!$C$50,0,IF(($B28-$AD28)/7-'Guide &amp; Settings'!$C$48&gt;=0,(INT(($B28-$AD28)/7-'Guide &amp; Settings'!$C$48)+1)*'Guide &amp; Settings'!$C$49,0)))))</f>
        <v>0</v>
      </c>
      <c r="AD28" s="142">
        <f t="shared" si="17"/>
        <v>46145</v>
      </c>
      <c r="AE28">
        <f t="shared" si="18"/>
        <v>1</v>
      </c>
      <c r="AF28">
        <f t="shared" si="19"/>
        <v>0</v>
      </c>
    </row>
    <row r="29" spans="1:32" ht="15" customHeight="1" x14ac:dyDescent="0.2">
      <c r="A29" s="117">
        <v>10</v>
      </c>
      <c r="B29" s="118">
        <v>46172</v>
      </c>
      <c r="C29" s="119" t="s">
        <v>44</v>
      </c>
      <c r="D29" s="119" t="s">
        <v>19</v>
      </c>
      <c r="E29" s="117" t="s">
        <v>370</v>
      </c>
      <c r="F29" s="120">
        <f t="shared" si="0"/>
        <v>2</v>
      </c>
      <c r="G29" s="121" t="str">
        <f t="shared" si="1"/>
        <v>Josh</v>
      </c>
      <c r="H29" s="122">
        <f>IF($D29="",0,IFERROR(LOOKUP(2,1/(($D$3:D28=$D29)*($A$3:A28&lt;$A29)),$N$3:N28),'Guide &amp; Settings'!$C$41))</f>
        <v>1031.0370144363101</v>
      </c>
      <c r="I29" s="123">
        <f t="shared" si="2"/>
        <v>0.5</v>
      </c>
      <c r="J29" s="124">
        <f>IF($D29="",0,IF($F29&lt;2,0,IF($E29="Win",('Guide &amp; Settings'!$C$42/(($F29-1)*COUNTIFS($A$4:$A$1510,$A29,$E$4:$E$1510,"Win")))*SUMIFS($X$4:$X$1510,$A$4:$A$1510,$A29,$E$4:$E$1510,"Loss"),-('Guide &amp; Settings'!$C$42/($F29-1))*$X29)))</f>
        <v>14.574482598264527</v>
      </c>
      <c r="K29" s="124">
        <f>IF($D29="",0,'Guide &amp; Settings'!$C$43*(IF($E29="Win",1,0)-$I29))</f>
        <v>6</v>
      </c>
      <c r="L29" s="125">
        <f>IF($D29="",0,'Guide &amp; Settings'!$C$44*IF($F29&gt;=3,$F29,0))</f>
        <v>0</v>
      </c>
      <c r="M29" s="124">
        <f t="shared" si="3"/>
        <v>20.574482598264527</v>
      </c>
      <c r="N29" s="122">
        <f t="shared" si="4"/>
        <v>1051.6114970345745</v>
      </c>
      <c r="O29" s="121" t="str">
        <f t="shared" si="5"/>
        <v>OK</v>
      </c>
      <c r="P29">
        <f t="shared" si="6"/>
        <v>1031.0370144363101</v>
      </c>
      <c r="Q29">
        <f t="shared" si="7"/>
        <v>0.5</v>
      </c>
      <c r="R29">
        <f t="shared" si="8"/>
        <v>0.5</v>
      </c>
      <c r="S29">
        <f t="shared" si="9"/>
        <v>1</v>
      </c>
      <c r="T29" s="89">
        <f t="shared" si="10"/>
        <v>0</v>
      </c>
      <c r="U29" s="126">
        <f>IF($D29="",0,IFERROR(LOOKUP(2,1/(($D$3:D28=$D29)*($C$3:C28=$C29)*($A$3:A28&lt;$A29)),$AB$3:AB28),1000))</f>
        <v>1000</v>
      </c>
      <c r="V29" s="126">
        <f t="shared" si="11"/>
        <v>1031.0370144363101</v>
      </c>
      <c r="W29">
        <f t="shared" si="12"/>
        <v>1031.0370144363101</v>
      </c>
      <c r="X29">
        <f t="shared" si="13"/>
        <v>0.5</v>
      </c>
      <c r="Y29">
        <f t="shared" si="14"/>
        <v>1000</v>
      </c>
      <c r="Z29">
        <f t="shared" si="15"/>
        <v>0.5</v>
      </c>
      <c r="AA29">
        <f>IF($D29="",0,IF($F29&lt;2,0,IF($E29="Win",('Guide &amp; Settings'!$C$42/(($F29-1)*COUNTIFS($A$4:$A$1510,$A29,$E$4:$E$1510,"Win")))*SUMIFS($Z$4:$Z$1510,$A$4:$A$1510,$A29,$E$4:$E$1510,"Loss"),-('Guide &amp; Settings'!$C$42/($F29-1))*$Z29)))</f>
        <v>16</v>
      </c>
      <c r="AB29" s="126">
        <f t="shared" si="16"/>
        <v>1016</v>
      </c>
      <c r="AC29" s="126">
        <f>IF($D29="","",IF($AD29=0,0,IF(COUNTIFS($D$4:$D29,$D29,$B$4:$B29,$B29)&gt;1,0,IF($B29&lt;'Guide &amp; Settings'!$C$50,0,IF(($B29-$AD29)/7-'Guide &amp; Settings'!$C$48&gt;=0,(INT(($B29-$AD29)/7-'Guide &amp; Settings'!$C$48)+1)*'Guide &amp; Settings'!$C$49,0)))))</f>
        <v>0</v>
      </c>
      <c r="AD29" s="142">
        <f t="shared" si="17"/>
        <v>46145</v>
      </c>
      <c r="AE29">
        <f t="shared" si="18"/>
        <v>1</v>
      </c>
      <c r="AF29">
        <f t="shared" si="19"/>
        <v>0</v>
      </c>
    </row>
    <row r="30" spans="1:32" ht="15" customHeight="1" x14ac:dyDescent="0.2">
      <c r="A30" s="117">
        <v>10</v>
      </c>
      <c r="B30" s="118">
        <v>46172</v>
      </c>
      <c r="C30" s="119" t="s">
        <v>44</v>
      </c>
      <c r="D30" s="119" t="s">
        <v>24</v>
      </c>
      <c r="E30" s="117" t="s">
        <v>371</v>
      </c>
      <c r="F30" s="120">
        <f t="shared" si="0"/>
        <v>2</v>
      </c>
      <c r="G30" s="121" t="str">
        <f t="shared" si="1"/>
        <v>Josh</v>
      </c>
      <c r="H30" s="122">
        <f>IF($D30="",0,IFERROR(LOOKUP(2,1/(($D$3:D29=$D30)*($A$3:A29&lt;$A30)),$N$3:N29),'Guide &amp; Settings'!$C$41))</f>
        <v>1000</v>
      </c>
      <c r="I30" s="123">
        <f t="shared" si="2"/>
        <v>0.5</v>
      </c>
      <c r="J30" s="124">
        <f>IF($D30="",0,IF($F30&lt;2,0,IF($E30="Win",('Guide &amp; Settings'!$C$42/(($F30-1)*COUNTIFS($A$4:$A$1510,$A30,$E$4:$E$1510,"Win")))*SUMIFS($X$4:$X$1510,$A$4:$A$1510,$A30,$E$4:$E$1510,"Loss"),-('Guide &amp; Settings'!$C$42/($F30-1))*$X30)))</f>
        <v>-14.574482598264527</v>
      </c>
      <c r="K30" s="124">
        <f>IF($D30="",0,'Guide &amp; Settings'!$C$43*(IF($E30="Win",1,0)-$I30))</f>
        <v>-6</v>
      </c>
      <c r="L30" s="125">
        <f>IF($D30="",0,'Guide &amp; Settings'!$C$44*IF($F30&gt;=3,$F30,0))</f>
        <v>0</v>
      </c>
      <c r="M30" s="124">
        <f t="shared" si="3"/>
        <v>-20.574482598264527</v>
      </c>
      <c r="N30" s="122">
        <f t="shared" si="4"/>
        <v>979.42551740173542</v>
      </c>
      <c r="O30" s="121" t="str">
        <f t="shared" si="5"/>
        <v>OK</v>
      </c>
      <c r="P30">
        <f t="shared" si="6"/>
        <v>1031.0370144363101</v>
      </c>
      <c r="Q30">
        <f t="shared" si="7"/>
        <v>0.45545258119576648</v>
      </c>
      <c r="R30">
        <f t="shared" si="8"/>
        <v>0.5</v>
      </c>
      <c r="S30">
        <f t="shared" si="9"/>
        <v>1</v>
      </c>
      <c r="T30" s="89">
        <f t="shared" si="10"/>
        <v>0</v>
      </c>
      <c r="U30" s="126">
        <f>IF($D30="",0,IFERROR(LOOKUP(2,1/(($D$3:D29=$D30)*($C$3:C29=$C30)*($A$3:A29&lt;$A30)),$AB$3:AB29),1000))</f>
        <v>1000</v>
      </c>
      <c r="V30" s="126">
        <f t="shared" si="11"/>
        <v>1000</v>
      </c>
      <c r="W30">
        <f t="shared" si="12"/>
        <v>1031.0370144363101</v>
      </c>
      <c r="X30">
        <f t="shared" si="13"/>
        <v>0.45545258119576648</v>
      </c>
      <c r="Y30">
        <f t="shared" si="14"/>
        <v>1000</v>
      </c>
      <c r="Z30">
        <f t="shared" si="15"/>
        <v>0.5</v>
      </c>
      <c r="AA30">
        <f>IF($D30="",0,IF($F30&lt;2,0,IF($E30="Win",('Guide &amp; Settings'!$C$42/(($F30-1)*COUNTIFS($A$4:$A$1510,$A30,$E$4:$E$1510,"Win")))*SUMIFS($Z$4:$Z$1510,$A$4:$A$1510,$A30,$E$4:$E$1510,"Loss"),-('Guide &amp; Settings'!$C$42/($F30-1))*$Z30)))</f>
        <v>-16</v>
      </c>
      <c r="AB30" s="126">
        <f t="shared" si="16"/>
        <v>984</v>
      </c>
      <c r="AC30" s="126">
        <f>IF($D30="","",IF($AD30=0,0,IF(COUNTIFS($D$4:$D30,$D30,$B$4:$B30,$B30)&gt;1,0,IF($B30&lt;'Guide &amp; Settings'!$C$50,0,IF(($B30-$AD30)/7-'Guide &amp; Settings'!$C$48&gt;=0,(INT(($B30-$AD30)/7-'Guide &amp; Settings'!$C$48)+1)*'Guide &amp; Settings'!$C$49,0)))))</f>
        <v>0</v>
      </c>
      <c r="AD30" s="142">
        <f t="shared" si="17"/>
        <v>0</v>
      </c>
      <c r="AE30">
        <f t="shared" si="18"/>
        <v>1</v>
      </c>
      <c r="AF30">
        <f t="shared" si="19"/>
        <v>0</v>
      </c>
    </row>
    <row r="31" spans="1:32" ht="15" customHeight="1" x14ac:dyDescent="0.2">
      <c r="A31" s="117">
        <v>11</v>
      </c>
      <c r="B31" s="118">
        <v>46172</v>
      </c>
      <c r="C31" s="119" t="s">
        <v>44</v>
      </c>
      <c r="D31" s="119" t="s">
        <v>19</v>
      </c>
      <c r="E31" s="117" t="s">
        <v>370</v>
      </c>
      <c r="F31" s="120">
        <f t="shared" si="0"/>
        <v>2</v>
      </c>
      <c r="G31" s="121" t="str">
        <f t="shared" si="1"/>
        <v>Josh</v>
      </c>
      <c r="H31" s="122">
        <f>IF($D31="",0,IFERROR(LOOKUP(2,1/(($D$3:D30=$D31)*($A$3:A30&lt;$A31)),$N$3:N30),'Guide &amp; Settings'!$C$41))</f>
        <v>1051.6114970345745</v>
      </c>
      <c r="I31" s="123">
        <f t="shared" si="2"/>
        <v>0.66666666666666663</v>
      </c>
      <c r="J31" s="124">
        <f>IF($D31="",0,IF($F31&lt;2,0,IF($E31="Win",('Guide &amp; Settings'!$C$42/(($F31-1)*COUNTIFS($A$4:$A$1510,$A31,$E$4:$E$1510,"Win")))*SUMIFS($X$4:$X$1510,$A$4:$A$1510,$A31,$E$4:$E$1510,"Loss"),-('Guide &amp; Settings'!$C$42/($F31-1))*$X31)))</f>
        <v>13.019367562889231</v>
      </c>
      <c r="K31" s="124">
        <f>IF($D31="",0,'Guide &amp; Settings'!$C$43*(IF($E31="Win",1,0)-$I31))</f>
        <v>4</v>
      </c>
      <c r="L31" s="125">
        <f>IF($D31="",0,'Guide &amp; Settings'!$C$44*IF($F31&gt;=3,$F31,0))</f>
        <v>0</v>
      </c>
      <c r="M31" s="124">
        <f t="shared" si="3"/>
        <v>17.019367562889229</v>
      </c>
      <c r="N31" s="122">
        <f t="shared" si="4"/>
        <v>1068.6308645974639</v>
      </c>
      <c r="O31" s="121" t="str">
        <f t="shared" si="5"/>
        <v>OK</v>
      </c>
      <c r="P31">
        <f t="shared" si="6"/>
        <v>1051.6114970345745</v>
      </c>
      <c r="Q31">
        <f t="shared" si="7"/>
        <v>0.5</v>
      </c>
      <c r="R31">
        <f t="shared" si="8"/>
        <v>0.66666666666666663</v>
      </c>
      <c r="S31">
        <f t="shared" si="9"/>
        <v>1</v>
      </c>
      <c r="T31" s="89">
        <f t="shared" si="10"/>
        <v>1</v>
      </c>
      <c r="U31" s="126">
        <f>IF($D31="",0,IFERROR(LOOKUP(2,1/(($D$3:D30=$D31)*($C$3:C30=$C31)*($A$3:A30&lt;$A31)),$AB$3:AB30),1000))</f>
        <v>1016</v>
      </c>
      <c r="V31" s="126">
        <f t="shared" si="11"/>
        <v>1045.6762475288122</v>
      </c>
      <c r="W31">
        <f t="shared" si="12"/>
        <v>1045.6762475288122</v>
      </c>
      <c r="X31">
        <f t="shared" si="13"/>
        <v>0.5</v>
      </c>
      <c r="Y31">
        <f t="shared" si="14"/>
        <v>1016</v>
      </c>
      <c r="Z31">
        <f t="shared" si="15"/>
        <v>0.5</v>
      </c>
      <c r="AA31">
        <f>IF($D31="",0,IF($F31&lt;2,0,IF($E31="Win",('Guide &amp; Settings'!$C$42/(($F31-1)*COUNTIFS($A$4:$A$1510,$A31,$E$4:$E$1510,"Win")))*SUMIFS($Z$4:$Z$1510,$A$4:$A$1510,$A31,$E$4:$E$1510,"Loss"),-('Guide &amp; Settings'!$C$42/($F31-1))*$Z31)))</f>
        <v>14.530498471024522</v>
      </c>
      <c r="AB31" s="126">
        <f t="shared" si="16"/>
        <v>1030.5304984710244</v>
      </c>
      <c r="AC31" s="126">
        <f>IF($D31="","",IF($AD31=0,0,IF(COUNTIFS($D$4:$D31,$D31,$B$4:$B31,$B31)&gt;1,0,IF($B31&lt;'Guide &amp; Settings'!$C$50,0,IF(($B31-$AD31)/7-'Guide &amp; Settings'!$C$48&gt;=0,(INT(($B31-$AD31)/7-'Guide &amp; Settings'!$C$48)+1)*'Guide &amp; Settings'!$C$49,0)))))</f>
        <v>0</v>
      </c>
      <c r="AD31" s="142">
        <f t="shared" si="17"/>
        <v>46145</v>
      </c>
      <c r="AE31">
        <f t="shared" si="18"/>
        <v>1</v>
      </c>
      <c r="AF31">
        <f t="shared" si="19"/>
        <v>0</v>
      </c>
    </row>
    <row r="32" spans="1:32" ht="15" customHeight="1" x14ac:dyDescent="0.2">
      <c r="A32" s="117">
        <v>11</v>
      </c>
      <c r="B32" s="118">
        <v>46172</v>
      </c>
      <c r="C32" s="119" t="s">
        <v>44</v>
      </c>
      <c r="D32" s="119" t="s">
        <v>24</v>
      </c>
      <c r="E32" s="117" t="s">
        <v>371</v>
      </c>
      <c r="F32" s="120">
        <f t="shared" si="0"/>
        <v>2</v>
      </c>
      <c r="G32" s="121" t="str">
        <f t="shared" si="1"/>
        <v>Josh</v>
      </c>
      <c r="H32" s="122">
        <f>IF($D32="",0,IFERROR(LOOKUP(2,1/(($D$3:D31=$D32)*($A$3:A31&lt;$A32)),$N$3:N31),'Guide &amp; Settings'!$C$41))</f>
        <v>979.42551740173542</v>
      </c>
      <c r="I32" s="123">
        <f t="shared" si="2"/>
        <v>0.33333333333333331</v>
      </c>
      <c r="J32" s="124">
        <f>IF($D32="",0,IF($F32&lt;2,0,IF($E32="Win",('Guide &amp; Settings'!$C$42/(($F32-1)*COUNTIFS($A$4:$A$1510,$A32,$E$4:$E$1510,"Win")))*SUMIFS($X$4:$X$1510,$A$4:$A$1510,$A32,$E$4:$E$1510,"Loss"),-('Guide &amp; Settings'!$C$42/($F32-1))*$X32)))</f>
        <v>-13.019367562889231</v>
      </c>
      <c r="K32" s="124">
        <f>IF($D32="",0,'Guide &amp; Settings'!$C$43*(IF($E32="Win",1,0)-$I32))</f>
        <v>-4</v>
      </c>
      <c r="L32" s="125">
        <f>IF($D32="",0,'Guide &amp; Settings'!$C$44*IF($F32&gt;=3,$F32,0))</f>
        <v>0</v>
      </c>
      <c r="M32" s="124">
        <f t="shared" si="3"/>
        <v>-17.019367562889229</v>
      </c>
      <c r="N32" s="122">
        <f t="shared" si="4"/>
        <v>962.4061498388462</v>
      </c>
      <c r="O32" s="121" t="str">
        <f t="shared" si="5"/>
        <v>OK</v>
      </c>
      <c r="P32">
        <f t="shared" si="6"/>
        <v>1051.6114970345745</v>
      </c>
      <c r="Q32">
        <f t="shared" si="7"/>
        <v>0.39758546160927005</v>
      </c>
      <c r="R32">
        <f t="shared" si="8"/>
        <v>0.33333333333333331</v>
      </c>
      <c r="S32">
        <f t="shared" si="9"/>
        <v>1</v>
      </c>
      <c r="T32" s="89">
        <f t="shared" si="10"/>
        <v>1</v>
      </c>
      <c r="U32" s="126">
        <f>IF($D32="",0,IFERROR(LOOKUP(2,1/(($D$3:D31=$D32)*($C$3:C31=$C32)*($A$3:A31&lt;$A32)),$AB$3:AB31),1000))</f>
        <v>984</v>
      </c>
      <c r="V32" s="126">
        <f t="shared" si="11"/>
        <v>980.18793116811287</v>
      </c>
      <c r="W32">
        <f t="shared" si="12"/>
        <v>1045.6762475288122</v>
      </c>
      <c r="X32">
        <f t="shared" si="13"/>
        <v>0.40685523634028847</v>
      </c>
      <c r="Y32">
        <f t="shared" si="14"/>
        <v>1016</v>
      </c>
      <c r="Z32">
        <f t="shared" si="15"/>
        <v>0.45407807721951632</v>
      </c>
      <c r="AA32">
        <f>IF($D32="",0,IF($F32&lt;2,0,IF($E32="Win",('Guide &amp; Settings'!$C$42/(($F32-1)*COUNTIFS($A$4:$A$1510,$A32,$E$4:$E$1510,"Win")))*SUMIFS($Z$4:$Z$1510,$A$4:$A$1510,$A32,$E$4:$E$1510,"Loss"),-('Guide &amp; Settings'!$C$42/($F32-1))*$Z32)))</f>
        <v>-14.530498471024522</v>
      </c>
      <c r="AB32" s="126">
        <f t="shared" si="16"/>
        <v>969.46950152897546</v>
      </c>
      <c r="AC32" s="126">
        <f>IF($D32="","",IF($AD32=0,0,IF(COUNTIFS($D$4:$D32,$D32,$B$4:$B32,$B32)&gt;1,0,IF($B32&lt;'Guide &amp; Settings'!$C$50,0,IF(($B32-$AD32)/7-'Guide &amp; Settings'!$C$48&gt;=0,(INT(($B32-$AD32)/7-'Guide &amp; Settings'!$C$48)+1)*'Guide &amp; Settings'!$C$49,0)))))</f>
        <v>0</v>
      </c>
      <c r="AD32" s="142">
        <f t="shared" si="17"/>
        <v>0</v>
      </c>
      <c r="AE32">
        <f t="shared" si="18"/>
        <v>1</v>
      </c>
      <c r="AF32">
        <f t="shared" si="19"/>
        <v>0</v>
      </c>
    </row>
    <row r="33" spans="1:32" ht="15" customHeight="1" x14ac:dyDescent="0.2">
      <c r="A33" s="117">
        <v>12</v>
      </c>
      <c r="B33" s="118">
        <v>46172</v>
      </c>
      <c r="C33" s="119" t="s">
        <v>44</v>
      </c>
      <c r="D33" s="119" t="s">
        <v>19</v>
      </c>
      <c r="E33" s="117" t="s">
        <v>370</v>
      </c>
      <c r="F33" s="120">
        <f t="shared" si="0"/>
        <v>2</v>
      </c>
      <c r="G33" s="121" t="str">
        <f t="shared" si="1"/>
        <v>Josh</v>
      </c>
      <c r="H33" s="122">
        <f>IF($D33="",0,IFERROR(LOOKUP(2,1/(($D$3:D32=$D33)*($A$3:A32&lt;$A33)),$N$3:N32),'Guide &amp; Settings'!$C$41))</f>
        <v>1068.6308645974639</v>
      </c>
      <c r="I33" s="123">
        <f t="shared" si="2"/>
        <v>0.75</v>
      </c>
      <c r="J33" s="124">
        <f>IF($D33="",0,IF($F33&lt;2,0,IF($E33="Win",('Guide &amp; Settings'!$C$42/(($F33-1)*COUNTIFS($A$4:$A$1510,$A33,$E$4:$E$1510,"Win")))*SUMIFS($X$4:$X$1510,$A$4:$A$1510,$A33,$E$4:$E$1510,"Loss"),-('Guide &amp; Settings'!$C$42/($F33-1))*$X33)))</f>
        <v>11.80287083496065</v>
      </c>
      <c r="K33" s="124">
        <f>IF($D33="",0,'Guide &amp; Settings'!$C$43*(IF($E33="Win",1,0)-$I33))</f>
        <v>3</v>
      </c>
      <c r="L33" s="125">
        <f>IF($D33="",0,'Guide &amp; Settings'!$C$44*IF($F33&gt;=3,$F33,0))</f>
        <v>0</v>
      </c>
      <c r="M33" s="124">
        <f t="shared" si="3"/>
        <v>14.80287083496065</v>
      </c>
      <c r="N33" s="122">
        <f t="shared" si="4"/>
        <v>1083.4337354324246</v>
      </c>
      <c r="O33" s="121" t="str">
        <f t="shared" si="5"/>
        <v>OK</v>
      </c>
      <c r="P33">
        <f t="shared" si="6"/>
        <v>1068.6308645974639</v>
      </c>
      <c r="Q33">
        <f t="shared" si="7"/>
        <v>0.5</v>
      </c>
      <c r="R33">
        <f t="shared" si="8"/>
        <v>0.75</v>
      </c>
      <c r="S33">
        <f t="shared" si="9"/>
        <v>1</v>
      </c>
      <c r="T33" s="89">
        <f t="shared" si="10"/>
        <v>2</v>
      </c>
      <c r="U33" s="126">
        <f>IF($D33="",0,IFERROR(LOOKUP(2,1/(($D$3:D32=$D33)*($C$3:C32=$C33)*($A$3:A32&lt;$A33)),$AB$3:AB32),1000))</f>
        <v>1030.5304984710244</v>
      </c>
      <c r="V33" s="126">
        <f t="shared" si="11"/>
        <v>1057.7450457041955</v>
      </c>
      <c r="W33">
        <f t="shared" si="12"/>
        <v>1057.7450457041955</v>
      </c>
      <c r="X33">
        <f t="shared" si="13"/>
        <v>0.5</v>
      </c>
      <c r="Y33">
        <f t="shared" si="14"/>
        <v>1030.5304984710244</v>
      </c>
      <c r="Z33">
        <f t="shared" si="15"/>
        <v>0.5</v>
      </c>
      <c r="AA33">
        <f>IF($D33="",0,IF($F33&lt;2,0,IF($E33="Win",('Guide &amp; Settings'!$C$42/(($F33-1)*COUNTIFS($A$4:$A$1510,$A33,$E$4:$E$1510,"Win")))*SUMIFS($Z$4:$Z$1510,$A$4:$A$1510,$A33,$E$4:$E$1510,"Loss"),-('Guide &amp; Settings'!$C$42/($F33-1))*$Z33)))</f>
        <v>13.21663516258643</v>
      </c>
      <c r="AB33" s="126">
        <f t="shared" si="16"/>
        <v>1043.7471336336109</v>
      </c>
      <c r="AC33" s="126">
        <f>IF($D33="","",IF($AD33=0,0,IF(COUNTIFS($D$4:$D33,$D33,$B$4:$B33,$B33)&gt;1,0,IF($B33&lt;'Guide &amp; Settings'!$C$50,0,IF(($B33-$AD33)/7-'Guide &amp; Settings'!$C$48&gt;=0,(INT(($B33-$AD33)/7-'Guide &amp; Settings'!$C$48)+1)*'Guide &amp; Settings'!$C$49,0)))))</f>
        <v>0</v>
      </c>
      <c r="AD33" s="142">
        <f t="shared" si="17"/>
        <v>46145</v>
      </c>
      <c r="AE33">
        <f t="shared" si="18"/>
        <v>1</v>
      </c>
      <c r="AF33">
        <f t="shared" si="19"/>
        <v>0</v>
      </c>
    </row>
    <row r="34" spans="1:32" ht="15" customHeight="1" x14ac:dyDescent="0.2">
      <c r="A34" s="117">
        <v>12</v>
      </c>
      <c r="B34" s="118">
        <v>46172</v>
      </c>
      <c r="C34" s="119" t="s">
        <v>44</v>
      </c>
      <c r="D34" s="119" t="s">
        <v>24</v>
      </c>
      <c r="E34" s="117" t="s">
        <v>371</v>
      </c>
      <c r="F34" s="120">
        <f t="shared" si="0"/>
        <v>2</v>
      </c>
      <c r="G34" s="121" t="str">
        <f t="shared" si="1"/>
        <v>Josh</v>
      </c>
      <c r="H34" s="122">
        <f>IF($D34="",0,IFERROR(LOOKUP(2,1/(($D$3:D33=$D34)*($A$3:A33&lt;$A34)),$N$3:N33),'Guide &amp; Settings'!$C$41))</f>
        <v>962.4061498388462</v>
      </c>
      <c r="I34" s="123">
        <f t="shared" si="2"/>
        <v>0.25</v>
      </c>
      <c r="J34" s="124">
        <f>IF($D34="",0,IF($F34&lt;2,0,IF($E34="Win",('Guide &amp; Settings'!$C$42/(($F34-1)*COUNTIFS($A$4:$A$1510,$A34,$E$4:$E$1510,"Win")))*SUMIFS($X$4:$X$1510,$A$4:$A$1510,$A34,$E$4:$E$1510,"Loss"),-('Guide &amp; Settings'!$C$42/($F34-1))*$X34)))</f>
        <v>-11.80287083496065</v>
      </c>
      <c r="K34" s="124">
        <f>IF($D34="",0,'Guide &amp; Settings'!$C$43*(IF($E34="Win",1,0)-$I34))</f>
        <v>-3</v>
      </c>
      <c r="L34" s="125">
        <f>IF($D34="",0,'Guide &amp; Settings'!$C$44*IF($F34&gt;=3,$F34,0))</f>
        <v>0</v>
      </c>
      <c r="M34" s="124">
        <f t="shared" si="3"/>
        <v>-14.80287083496065</v>
      </c>
      <c r="N34" s="122">
        <f t="shared" si="4"/>
        <v>947.60327900388552</v>
      </c>
      <c r="O34" s="121" t="str">
        <f t="shared" si="5"/>
        <v>OK</v>
      </c>
      <c r="P34">
        <f t="shared" si="6"/>
        <v>1068.6308645974639</v>
      </c>
      <c r="Q34">
        <f t="shared" si="7"/>
        <v>0.35172198041034169</v>
      </c>
      <c r="R34">
        <f t="shared" si="8"/>
        <v>0.25</v>
      </c>
      <c r="S34">
        <f t="shared" si="9"/>
        <v>1</v>
      </c>
      <c r="T34" s="89">
        <f t="shared" si="10"/>
        <v>2</v>
      </c>
      <c r="U34" s="126">
        <f>IF($D34="",0,IFERROR(LOOKUP(2,1/(($D$3:D33=$D34)*($C$3:C33=$C34)*($A$3:A33&lt;$A34)),$AB$3:AB33),1000))</f>
        <v>969.46950152897546</v>
      </c>
      <c r="V34" s="126">
        <f t="shared" si="11"/>
        <v>964.42425032174037</v>
      </c>
      <c r="W34">
        <f t="shared" si="12"/>
        <v>1057.7450457041955</v>
      </c>
      <c r="X34">
        <f t="shared" si="13"/>
        <v>0.36883971359252032</v>
      </c>
      <c r="Y34">
        <f t="shared" si="14"/>
        <v>1030.5304984710244</v>
      </c>
      <c r="Z34">
        <f t="shared" si="15"/>
        <v>0.41301984883082593</v>
      </c>
      <c r="AA34">
        <f>IF($D34="",0,IF($F34&lt;2,0,IF($E34="Win",('Guide &amp; Settings'!$C$42/(($F34-1)*COUNTIFS($A$4:$A$1510,$A34,$E$4:$E$1510,"Win")))*SUMIFS($Z$4:$Z$1510,$A$4:$A$1510,$A34,$E$4:$E$1510,"Loss"),-('Guide &amp; Settings'!$C$42/($F34-1))*$Z34)))</f>
        <v>-13.21663516258643</v>
      </c>
      <c r="AB34" s="126">
        <f t="shared" si="16"/>
        <v>956.25286636638907</v>
      </c>
      <c r="AC34" s="126">
        <f>IF($D34="","",IF($AD34=0,0,IF(COUNTIFS($D$4:$D34,$D34,$B$4:$B34,$B34)&gt;1,0,IF($B34&lt;'Guide &amp; Settings'!$C$50,0,IF(($B34-$AD34)/7-'Guide &amp; Settings'!$C$48&gt;=0,(INT(($B34-$AD34)/7-'Guide &amp; Settings'!$C$48)+1)*'Guide &amp; Settings'!$C$49,0)))))</f>
        <v>0</v>
      </c>
      <c r="AD34" s="142">
        <f t="shared" si="17"/>
        <v>0</v>
      </c>
      <c r="AE34">
        <f t="shared" si="18"/>
        <v>1</v>
      </c>
      <c r="AF34">
        <f t="shared" si="19"/>
        <v>0</v>
      </c>
    </row>
    <row r="35" spans="1:32" ht="15" customHeight="1" x14ac:dyDescent="0.2">
      <c r="A35" s="117">
        <v>13</v>
      </c>
      <c r="B35" s="118">
        <v>46173</v>
      </c>
      <c r="C35" s="119" t="s">
        <v>35</v>
      </c>
      <c r="D35" s="119" t="s">
        <v>20</v>
      </c>
      <c r="E35" s="117" t="s">
        <v>370</v>
      </c>
      <c r="F35" s="120">
        <f t="shared" si="0"/>
        <v>2</v>
      </c>
      <c r="G35" s="121" t="str">
        <f t="shared" si="1"/>
        <v>Shawn</v>
      </c>
      <c r="H35" s="122">
        <f>IF($D35="",0,IFERROR(LOOKUP(2,1/(($D$3:D34=$D35)*($A$3:A34&lt;$A35)),$N$3:N34),'Guide &amp; Settings'!$C$41))</f>
        <v>1072.9224126693446</v>
      </c>
      <c r="I35" s="123">
        <f t="shared" si="2"/>
        <v>0.66666666666666663</v>
      </c>
      <c r="J35" s="124">
        <f>IF($D35="",0,IF($F35&lt;2,0,IF($E35="Win",('Guide &amp; Settings'!$C$42/(($F35-1)*COUNTIFS($A$4:$A$1510,$A35,$E$4:$E$1510,"Win")))*SUMIFS($X$4:$X$1510,$A$4:$A$1510,$A35,$E$4:$E$1510,"Loss"),-('Guide &amp; Settings'!$C$42/($F35-1))*$X35)))</f>
        <v>11.413483066220147</v>
      </c>
      <c r="K35" s="124">
        <f>IF($D35="",0,'Guide &amp; Settings'!$C$43*(IF($E35="Win",1,0)-$I35))</f>
        <v>4</v>
      </c>
      <c r="L35" s="125">
        <f>IF($D35="",0,'Guide &amp; Settings'!$C$44*IF($F35&gt;=3,$F35,0))</f>
        <v>0</v>
      </c>
      <c r="M35" s="124">
        <f t="shared" si="3"/>
        <v>15.413483066220147</v>
      </c>
      <c r="N35" s="122">
        <f t="shared" si="4"/>
        <v>1088.3358957355647</v>
      </c>
      <c r="O35" s="121" t="str">
        <f t="shared" si="5"/>
        <v>OK</v>
      </c>
      <c r="P35">
        <f t="shared" si="6"/>
        <v>1072.9224126693446</v>
      </c>
      <c r="Q35">
        <f t="shared" si="7"/>
        <v>0.5</v>
      </c>
      <c r="R35">
        <f t="shared" si="8"/>
        <v>0.66666666666666663</v>
      </c>
      <c r="S35">
        <f t="shared" si="9"/>
        <v>1</v>
      </c>
      <c r="T35" s="89">
        <f t="shared" si="10"/>
        <v>4</v>
      </c>
      <c r="U35" s="126">
        <f>IF($D35="",0,IFERROR(LOOKUP(2,1/(($D$3:D34=$D35)*($C$3:C34=$C35)*($A$3:A34&lt;$A35)),$AB$3:AB34),1000))</f>
        <v>1023.8009426289977</v>
      </c>
      <c r="V35" s="126">
        <f t="shared" si="11"/>
        <v>1051.0906482069681</v>
      </c>
      <c r="W35">
        <f t="shared" si="12"/>
        <v>1051.0906482069681</v>
      </c>
      <c r="X35">
        <f t="shared" si="13"/>
        <v>0.5</v>
      </c>
      <c r="Y35">
        <f t="shared" si="14"/>
        <v>1023.8009426289977</v>
      </c>
      <c r="Z35">
        <f t="shared" si="15"/>
        <v>0.5</v>
      </c>
      <c r="AA35">
        <f>IF($D35="",0,IF($F35&lt;2,0,IF($E35="Win",('Guide &amp; Settings'!$C$42/(($F35-1)*COUNTIFS($A$4:$A$1510,$A35,$E$4:$E$1510,"Win")))*SUMIFS($Z$4:$Z$1510,$A$4:$A$1510,$A35,$E$4:$E$1510,"Loss"),-('Guide &amp; Settings'!$C$42/($F35-1))*$Z35)))</f>
        <v>13.821466613131754</v>
      </c>
      <c r="AB35" s="126">
        <f t="shared" si="16"/>
        <v>1037.6224092421296</v>
      </c>
      <c r="AC35" s="126">
        <f>IF($D35="","",IF($AD35=0,0,IF(COUNTIFS($D$4:$D35,$D35,$B$4:$B35,$B35)&gt;1,0,IF($B35&lt;'Guide &amp; Settings'!$C$50,0,IF(($B35-$AD35)/7-'Guide &amp; Settings'!$C$48&gt;=0,(INT(($B35-$AD35)/7-'Guide &amp; Settings'!$C$48)+1)*'Guide &amp; Settings'!$C$49,0)))))</f>
        <v>0</v>
      </c>
      <c r="AD35" s="142">
        <f t="shared" si="17"/>
        <v>46172</v>
      </c>
      <c r="AE35">
        <f t="shared" si="18"/>
        <v>1</v>
      </c>
      <c r="AF35">
        <f t="shared" si="19"/>
        <v>0</v>
      </c>
    </row>
    <row r="36" spans="1:32" ht="15" customHeight="1" x14ac:dyDescent="0.2">
      <c r="A36" s="117">
        <v>13</v>
      </c>
      <c r="B36" s="118">
        <v>46173</v>
      </c>
      <c r="C36" s="119" t="s">
        <v>35</v>
      </c>
      <c r="D36" s="119" t="s">
        <v>22</v>
      </c>
      <c r="E36" s="117" t="s">
        <v>371</v>
      </c>
      <c r="F36" s="120">
        <f t="shared" si="0"/>
        <v>2</v>
      </c>
      <c r="G36" s="121" t="str">
        <f t="shared" si="1"/>
        <v>Shawn</v>
      </c>
      <c r="H36" s="122">
        <f>IF($D36="",0,IFERROR(LOOKUP(2,1/(($D$3:D35=$D36)*($A$3:A35&lt;$A36)),$N$3:N35),'Guide &amp; Settings'!$C$41))</f>
        <v>926.56535485016559</v>
      </c>
      <c r="I36" s="123">
        <f t="shared" si="2"/>
        <v>0.33333333333333331</v>
      </c>
      <c r="J36" s="124">
        <f>IF($D36="",0,IF($F36&lt;2,0,IF($E36="Win",('Guide &amp; Settings'!$C$42/(($F36-1)*COUNTIFS($A$4:$A$1510,$A36,$E$4:$E$1510,"Win")))*SUMIFS($X$4:$X$1510,$A$4:$A$1510,$A36,$E$4:$E$1510,"Loss"),-('Guide &amp; Settings'!$C$42/($F36-1))*$X36)))</f>
        <v>-11.413483066220147</v>
      </c>
      <c r="K36" s="124">
        <f>IF($D36="",0,'Guide &amp; Settings'!$C$43*(IF($E36="Win",1,0)-$I36))</f>
        <v>-4</v>
      </c>
      <c r="L36" s="125">
        <f>IF($D36="",0,'Guide &amp; Settings'!$C$44*IF($F36&gt;=3,$F36,0))</f>
        <v>0</v>
      </c>
      <c r="M36" s="124">
        <f t="shared" si="3"/>
        <v>-15.413483066220147</v>
      </c>
      <c r="N36" s="122">
        <f t="shared" si="4"/>
        <v>911.15187178394547</v>
      </c>
      <c r="O36" s="121" t="str">
        <f t="shared" si="5"/>
        <v>OK</v>
      </c>
      <c r="P36">
        <f t="shared" si="6"/>
        <v>1072.9224126693446</v>
      </c>
      <c r="Q36">
        <f t="shared" si="7"/>
        <v>0.30100873762974351</v>
      </c>
      <c r="R36">
        <f t="shared" si="8"/>
        <v>0.33333333333333331</v>
      </c>
      <c r="S36">
        <f t="shared" si="9"/>
        <v>1</v>
      </c>
      <c r="T36" s="89">
        <f t="shared" si="10"/>
        <v>4</v>
      </c>
      <c r="U36" s="126">
        <f>IF($D36="",0,IFERROR(LOOKUP(2,1/(($D$3:D35=$D36)*($C$3:C35=$C36)*($A$3:A35&lt;$A36)),$AB$3:AB35),1000))</f>
        <v>976.19905737100225</v>
      </c>
      <c r="V36" s="126">
        <f t="shared" si="11"/>
        <v>948.62477819275955</v>
      </c>
      <c r="W36">
        <f t="shared" si="12"/>
        <v>1051.0906482069681</v>
      </c>
      <c r="X36">
        <f t="shared" si="13"/>
        <v>0.35667134581937959</v>
      </c>
      <c r="Y36">
        <f t="shared" si="14"/>
        <v>1023.8009426289977</v>
      </c>
      <c r="Z36">
        <f t="shared" si="15"/>
        <v>0.43192083166036732</v>
      </c>
      <c r="AA36">
        <f>IF($D36="",0,IF($F36&lt;2,0,IF($E36="Win",('Guide &amp; Settings'!$C$42/(($F36-1)*COUNTIFS($A$4:$A$1510,$A36,$E$4:$E$1510,"Win")))*SUMIFS($Z$4:$Z$1510,$A$4:$A$1510,$A36,$E$4:$E$1510,"Loss"),-('Guide &amp; Settings'!$C$42/($F36-1))*$Z36)))</f>
        <v>-13.821466613131754</v>
      </c>
      <c r="AB36" s="126">
        <f t="shared" si="16"/>
        <v>962.37759075787051</v>
      </c>
      <c r="AC36" s="126">
        <f>IF($D36="","",IF($AD36=0,0,IF(COUNTIFS($D$4:$D36,$D36,$B$4:$B36,$B36)&gt;1,0,IF($B36&lt;'Guide &amp; Settings'!$C$50,0,IF(($B36-$AD36)/7-'Guide &amp; Settings'!$C$48&gt;=0,(INT(($B36-$AD36)/7-'Guide &amp; Settings'!$C$48)+1)*'Guide &amp; Settings'!$C$49,0)))))</f>
        <v>0</v>
      </c>
      <c r="AD36" s="142">
        <f t="shared" si="17"/>
        <v>46172</v>
      </c>
      <c r="AE36">
        <f t="shared" si="18"/>
        <v>1</v>
      </c>
      <c r="AF36">
        <f t="shared" si="19"/>
        <v>0</v>
      </c>
    </row>
    <row r="37" spans="1:32" ht="15" customHeight="1" x14ac:dyDescent="0.2">
      <c r="A37" s="117">
        <v>14</v>
      </c>
      <c r="B37" s="118">
        <v>46173</v>
      </c>
      <c r="C37" s="119" t="s">
        <v>35</v>
      </c>
      <c r="D37" s="119" t="s">
        <v>20</v>
      </c>
      <c r="E37" s="117" t="s">
        <v>371</v>
      </c>
      <c r="F37" s="120">
        <f t="shared" si="0"/>
        <v>2</v>
      </c>
      <c r="G37" s="121" t="str">
        <f t="shared" si="1"/>
        <v>Daniel (Ferret)</v>
      </c>
      <c r="H37" s="122">
        <f>IF($D37="",0,IFERROR(LOOKUP(2,1/(($D$3:D36=$D37)*($A$3:A36&lt;$A37)),$N$3:N36),'Guide &amp; Settings'!$C$41))</f>
        <v>1088.3358957355647</v>
      </c>
      <c r="I37" s="123">
        <f t="shared" si="2"/>
        <v>0.7142857142857143</v>
      </c>
      <c r="J37" s="124">
        <f>IF($D37="",0,IF($F37&lt;2,0,IF($E37="Win",('Guide &amp; Settings'!$C$42/(($F37-1)*COUNTIFS($A$4:$A$1510,$A37,$E$4:$E$1510,"Win")))*SUMIFS($X$4:$X$1510,$A$4:$A$1510,$A37,$E$4:$E$1510,"Loss"),-('Guide &amp; Settings'!$C$42/($F37-1))*$X37)))</f>
        <v>-21.569517849087507</v>
      </c>
      <c r="K37" s="124">
        <f>IF($D37="",0,'Guide &amp; Settings'!$C$43*(IF($E37="Win",1,0)-$I37))</f>
        <v>-8.5714285714285712</v>
      </c>
      <c r="L37" s="125">
        <f>IF($D37="",0,'Guide &amp; Settings'!$C$44*IF($F37&gt;=3,$F37,0))</f>
        <v>0</v>
      </c>
      <c r="M37" s="124">
        <f t="shared" si="3"/>
        <v>-30.14094642051608</v>
      </c>
      <c r="N37" s="122">
        <f t="shared" si="4"/>
        <v>1058.1949493150487</v>
      </c>
      <c r="O37" s="121" t="str">
        <f t="shared" si="5"/>
        <v>OK</v>
      </c>
      <c r="P37">
        <f t="shared" si="6"/>
        <v>911.15187178394547</v>
      </c>
      <c r="Q37">
        <f t="shared" si="7"/>
        <v>0.73496348926773425</v>
      </c>
      <c r="R37">
        <f t="shared" si="8"/>
        <v>0.7142857142857143</v>
      </c>
      <c r="S37">
        <f t="shared" si="9"/>
        <v>1</v>
      </c>
      <c r="T37" s="89">
        <f t="shared" si="10"/>
        <v>5</v>
      </c>
      <c r="U37" s="126">
        <f>IF($D37="",0,IFERROR(LOOKUP(2,1/(($D$3:D36=$D37)*($C$3:C36=$C37)*($A$3:A36&lt;$A37)),$AB$3:AB36),1000))</f>
        <v>1037.6224092421296</v>
      </c>
      <c r="V37" s="126">
        <f t="shared" si="11"/>
        <v>1062.9791524888471</v>
      </c>
      <c r="W37">
        <f t="shared" si="12"/>
        <v>936.76473127090799</v>
      </c>
      <c r="X37">
        <f t="shared" si="13"/>
        <v>0.6740474327839846</v>
      </c>
      <c r="Y37">
        <f t="shared" si="14"/>
        <v>962.37759075787051</v>
      </c>
      <c r="Z37">
        <f t="shared" si="15"/>
        <v>0.60662417459292806</v>
      </c>
      <c r="AA37">
        <f>IF($D37="",0,IF($F37&lt;2,0,IF($E37="Win",('Guide &amp; Settings'!$C$42/(($F37-1)*COUNTIFS($A$4:$A$1510,$A37,$E$4:$E$1510,"Win")))*SUMIFS($Z$4:$Z$1510,$A$4:$A$1510,$A37,$E$4:$E$1510,"Loss"),-('Guide &amp; Settings'!$C$42/($F37-1))*$Z37)))</f>
        <v>-19.411973586973698</v>
      </c>
      <c r="AB37" s="126">
        <f t="shared" si="16"/>
        <v>1018.2104356551559</v>
      </c>
      <c r="AC37" s="126">
        <f>IF($D37="","",IF($AD37=0,0,IF(COUNTIFS($D$4:$D37,$D37,$B$4:$B37,$B37)&gt;1,0,IF($B37&lt;'Guide &amp; Settings'!$C$50,0,IF(($B37-$AD37)/7-'Guide &amp; Settings'!$C$48&gt;=0,(INT(($B37-$AD37)/7-'Guide &amp; Settings'!$C$48)+1)*'Guide &amp; Settings'!$C$49,0)))))</f>
        <v>0</v>
      </c>
      <c r="AD37" s="142">
        <f t="shared" si="17"/>
        <v>46172</v>
      </c>
      <c r="AE37">
        <f t="shared" si="18"/>
        <v>1</v>
      </c>
      <c r="AF37">
        <f t="shared" si="19"/>
        <v>0</v>
      </c>
    </row>
    <row r="38" spans="1:32" ht="15" customHeight="1" x14ac:dyDescent="0.2">
      <c r="A38" s="117">
        <v>14</v>
      </c>
      <c r="B38" s="118">
        <v>46173</v>
      </c>
      <c r="C38" s="119" t="s">
        <v>35</v>
      </c>
      <c r="D38" s="119" t="s">
        <v>22</v>
      </c>
      <c r="E38" s="117" t="s">
        <v>370</v>
      </c>
      <c r="F38" s="120">
        <f t="shared" si="0"/>
        <v>2</v>
      </c>
      <c r="G38" s="121" t="str">
        <f t="shared" si="1"/>
        <v>Daniel (Ferret)</v>
      </c>
      <c r="H38" s="122">
        <f>IF($D38="",0,IFERROR(LOOKUP(2,1/(($D$3:D37=$D38)*($A$3:A37&lt;$A38)),$N$3:N37),'Guide &amp; Settings'!$C$41))</f>
        <v>911.15187178394547</v>
      </c>
      <c r="I38" s="123">
        <f t="shared" si="2"/>
        <v>0.2857142857142857</v>
      </c>
      <c r="J38" s="124">
        <f>IF($D38="",0,IF($F38&lt;2,0,IF($E38="Win",('Guide &amp; Settings'!$C$42/(($F38-1)*COUNTIFS($A$4:$A$1510,$A38,$E$4:$E$1510,"Win")))*SUMIFS($X$4:$X$1510,$A$4:$A$1510,$A38,$E$4:$E$1510,"Loss"),-('Guide &amp; Settings'!$C$42/($F38-1))*$X38)))</f>
        <v>21.569517849087507</v>
      </c>
      <c r="K38" s="124">
        <f>IF($D38="",0,'Guide &amp; Settings'!$C$43*(IF($E38="Win",1,0)-$I38))</f>
        <v>8.5714285714285712</v>
      </c>
      <c r="L38" s="125">
        <f>IF($D38="",0,'Guide &amp; Settings'!$C$44*IF($F38&gt;=3,$F38,0))</f>
        <v>0</v>
      </c>
      <c r="M38" s="124">
        <f t="shared" si="3"/>
        <v>30.14094642051608</v>
      </c>
      <c r="N38" s="122">
        <f t="shared" si="4"/>
        <v>941.29281820446158</v>
      </c>
      <c r="O38" s="121" t="str">
        <f t="shared" si="5"/>
        <v>OK</v>
      </c>
      <c r="P38">
        <f t="shared" si="6"/>
        <v>911.15187178394547</v>
      </c>
      <c r="Q38">
        <f t="shared" si="7"/>
        <v>0.5</v>
      </c>
      <c r="R38">
        <f t="shared" si="8"/>
        <v>0.2857142857142857</v>
      </c>
      <c r="S38">
        <f t="shared" si="9"/>
        <v>1</v>
      </c>
      <c r="T38" s="89">
        <f t="shared" si="10"/>
        <v>5</v>
      </c>
      <c r="U38" s="126">
        <f>IF($D38="",0,IFERROR(LOOKUP(2,1/(($D$3:D37=$D38)*($C$3:C37=$C38)*($A$3:A37&lt;$A38)),$AB$3:AB37),1000))</f>
        <v>962.37759075787051</v>
      </c>
      <c r="V38" s="126">
        <f t="shared" si="11"/>
        <v>936.76473127090799</v>
      </c>
      <c r="W38">
        <f t="shared" si="12"/>
        <v>936.76473127090799</v>
      </c>
      <c r="X38">
        <f t="shared" si="13"/>
        <v>0.5</v>
      </c>
      <c r="Y38">
        <f t="shared" si="14"/>
        <v>962.37759075787051</v>
      </c>
      <c r="Z38">
        <f t="shared" si="15"/>
        <v>0.5</v>
      </c>
      <c r="AA38">
        <f>IF($D38="",0,IF($F38&lt;2,0,IF($E38="Win",('Guide &amp; Settings'!$C$42/(($F38-1)*COUNTIFS($A$4:$A$1510,$A38,$E$4:$E$1510,"Win")))*SUMIFS($Z$4:$Z$1510,$A$4:$A$1510,$A38,$E$4:$E$1510,"Loss"),-('Guide &amp; Settings'!$C$42/($F38-1))*$Z38)))</f>
        <v>19.411973586973698</v>
      </c>
      <c r="AB38" s="126">
        <f t="shared" si="16"/>
        <v>981.78956434484417</v>
      </c>
      <c r="AC38" s="126">
        <f>IF($D38="","",IF($AD38=0,0,IF(COUNTIFS($D$4:$D38,$D38,$B$4:$B38,$B38)&gt;1,0,IF($B38&lt;'Guide &amp; Settings'!$C$50,0,IF(($B38-$AD38)/7-'Guide &amp; Settings'!$C$48&gt;=0,(INT(($B38-$AD38)/7-'Guide &amp; Settings'!$C$48)+1)*'Guide &amp; Settings'!$C$49,0)))))</f>
        <v>0</v>
      </c>
      <c r="AD38" s="142">
        <f t="shared" si="17"/>
        <v>46172</v>
      </c>
      <c r="AE38">
        <f t="shared" si="18"/>
        <v>1</v>
      </c>
      <c r="AF38">
        <f t="shared" si="19"/>
        <v>0</v>
      </c>
    </row>
    <row r="39" spans="1:32" ht="15" customHeight="1" x14ac:dyDescent="0.2">
      <c r="A39" s="117">
        <v>15</v>
      </c>
      <c r="B39" s="118">
        <v>46173</v>
      </c>
      <c r="C39" s="119" t="s">
        <v>35</v>
      </c>
      <c r="D39" s="119" t="s">
        <v>20</v>
      </c>
      <c r="E39" s="117" t="s">
        <v>371</v>
      </c>
      <c r="F39" s="120">
        <f t="shared" si="0"/>
        <v>2</v>
      </c>
      <c r="G39" s="121" t="str">
        <f t="shared" si="1"/>
        <v>Daniel (Ferret)</v>
      </c>
      <c r="H39" s="122">
        <f>IF($D39="",0,IFERROR(LOOKUP(2,1/(($D$3:D38=$D39)*($A$3:A38&lt;$A39)),$N$3:N38),'Guide &amp; Settings'!$C$41))</f>
        <v>1058.1949493150487</v>
      </c>
      <c r="I39" s="123">
        <f t="shared" si="2"/>
        <v>0.625</v>
      </c>
      <c r="J39" s="124">
        <f>IF($D39="",0,IF($F39&lt;2,0,IF($E39="Win",('Guide &amp; Settings'!$C$42/(($F39-1)*COUNTIFS($A$4:$A$1510,$A39,$E$4:$E$1510,"Win")))*SUMIFS($X$4:$X$1510,$A$4:$A$1510,$A39,$E$4:$E$1510,"Loss"),-('Guide &amp; Settings'!$C$42/($F39-1))*$X39)))</f>
        <v>-19.313305977555867</v>
      </c>
      <c r="K39" s="124">
        <f>IF($D39="",0,'Guide &amp; Settings'!$C$43*(IF($E39="Win",1,0)-$I39))</f>
        <v>-7.5</v>
      </c>
      <c r="L39" s="125">
        <f>IF($D39="",0,'Guide &amp; Settings'!$C$44*IF($F39&gt;=3,$F39,0))</f>
        <v>0</v>
      </c>
      <c r="M39" s="124">
        <f t="shared" si="3"/>
        <v>-26.813305977555867</v>
      </c>
      <c r="N39" s="122">
        <f t="shared" si="4"/>
        <v>1031.3816433374927</v>
      </c>
      <c r="O39" s="121" t="str">
        <f t="shared" si="5"/>
        <v>OK</v>
      </c>
      <c r="P39">
        <f t="shared" si="6"/>
        <v>941.29281820446158</v>
      </c>
      <c r="Q39">
        <f t="shared" si="7"/>
        <v>0.66216177914682628</v>
      </c>
      <c r="R39">
        <f t="shared" si="8"/>
        <v>0.625</v>
      </c>
      <c r="S39">
        <f t="shared" si="9"/>
        <v>1</v>
      </c>
      <c r="T39" s="89">
        <f t="shared" si="10"/>
        <v>6</v>
      </c>
      <c r="U39" s="126">
        <f>IF($D39="",0,IFERROR(LOOKUP(2,1/(($D$3:D38=$D39)*($C$3:C38=$C39)*($A$3:A38&lt;$A39)),$AB$3:AB38),1000))</f>
        <v>1018.2104356551559</v>
      </c>
      <c r="V39" s="126">
        <f t="shared" si="11"/>
        <v>1036.3852145914709</v>
      </c>
      <c r="W39">
        <f t="shared" si="12"/>
        <v>963.38195246285204</v>
      </c>
      <c r="X39">
        <f t="shared" si="13"/>
        <v>0.60354081179862085</v>
      </c>
      <c r="Y39">
        <f t="shared" si="14"/>
        <v>981.78956434484417</v>
      </c>
      <c r="Z39">
        <f t="shared" si="15"/>
        <v>0.55222269803260859</v>
      </c>
      <c r="AA39">
        <f>IF($D39="",0,IF($F39&lt;2,0,IF($E39="Win",('Guide &amp; Settings'!$C$42/(($F39-1)*COUNTIFS($A$4:$A$1510,$A39,$E$4:$E$1510,"Win")))*SUMIFS($Z$4:$Z$1510,$A$4:$A$1510,$A39,$E$4:$E$1510,"Loss"),-('Guide &amp; Settings'!$C$42/($F39-1))*$Z39)))</f>
        <v>-17.671126337043475</v>
      </c>
      <c r="AB39" s="126">
        <f t="shared" si="16"/>
        <v>1000.5393093181125</v>
      </c>
      <c r="AC39" s="126">
        <f>IF($D39="","",IF($AD39=0,0,IF(COUNTIFS($D$4:$D39,$D39,$B$4:$B39,$B39)&gt;1,0,IF($B39&lt;'Guide &amp; Settings'!$C$50,0,IF(($B39-$AD39)/7-'Guide &amp; Settings'!$C$48&gt;=0,(INT(($B39-$AD39)/7-'Guide &amp; Settings'!$C$48)+1)*'Guide &amp; Settings'!$C$49,0)))))</f>
        <v>0</v>
      </c>
      <c r="AD39" s="142">
        <f t="shared" si="17"/>
        <v>46172</v>
      </c>
      <c r="AE39">
        <f t="shared" si="18"/>
        <v>1</v>
      </c>
      <c r="AF39">
        <f t="shared" si="19"/>
        <v>0</v>
      </c>
    </row>
    <row r="40" spans="1:32" ht="15" customHeight="1" x14ac:dyDescent="0.2">
      <c r="A40" s="117">
        <v>15</v>
      </c>
      <c r="B40" s="118">
        <v>46173</v>
      </c>
      <c r="C40" s="119" t="s">
        <v>35</v>
      </c>
      <c r="D40" s="119" t="s">
        <v>22</v>
      </c>
      <c r="E40" s="117" t="s">
        <v>370</v>
      </c>
      <c r="F40" s="120">
        <f t="shared" si="0"/>
        <v>2</v>
      </c>
      <c r="G40" s="121" t="str">
        <f t="shared" si="1"/>
        <v>Daniel (Ferret)</v>
      </c>
      <c r="H40" s="122">
        <f>IF($D40="",0,IFERROR(LOOKUP(2,1/(($D$3:D39=$D40)*($A$3:A39&lt;$A40)),$N$3:N39),'Guide &amp; Settings'!$C$41))</f>
        <v>941.29281820446158</v>
      </c>
      <c r="I40" s="123">
        <f t="shared" si="2"/>
        <v>0.375</v>
      </c>
      <c r="J40" s="124">
        <f>IF($D40="",0,IF($F40&lt;2,0,IF($E40="Win",('Guide &amp; Settings'!$C$42/(($F40-1)*COUNTIFS($A$4:$A$1510,$A40,$E$4:$E$1510,"Win")))*SUMIFS($X$4:$X$1510,$A$4:$A$1510,$A40,$E$4:$E$1510,"Loss"),-('Guide &amp; Settings'!$C$42/($F40-1))*$X40)))</f>
        <v>19.313305977555867</v>
      </c>
      <c r="K40" s="124">
        <f>IF($D40="",0,'Guide &amp; Settings'!$C$43*(IF($E40="Win",1,0)-$I40))</f>
        <v>7.5</v>
      </c>
      <c r="L40" s="125">
        <f>IF($D40="",0,'Guide &amp; Settings'!$C$44*IF($F40&gt;=3,$F40,0))</f>
        <v>0</v>
      </c>
      <c r="M40" s="124">
        <f t="shared" si="3"/>
        <v>26.813305977555867</v>
      </c>
      <c r="N40" s="122">
        <f t="shared" si="4"/>
        <v>968.10612418201742</v>
      </c>
      <c r="O40" s="121" t="str">
        <f t="shared" si="5"/>
        <v>OK</v>
      </c>
      <c r="P40">
        <f t="shared" si="6"/>
        <v>941.29281820446158</v>
      </c>
      <c r="Q40">
        <f t="shared" si="7"/>
        <v>0.5</v>
      </c>
      <c r="R40">
        <f t="shared" si="8"/>
        <v>0.375</v>
      </c>
      <c r="S40">
        <f t="shared" si="9"/>
        <v>1</v>
      </c>
      <c r="T40" s="89">
        <f t="shared" si="10"/>
        <v>6</v>
      </c>
      <c r="U40" s="126">
        <f>IF($D40="",0,IFERROR(LOOKUP(2,1/(($D$3:D39=$D40)*($C$3:C39=$C40)*($A$3:A39&lt;$A40)),$AB$3:AB39),1000))</f>
        <v>981.78956434484417</v>
      </c>
      <c r="V40" s="126">
        <f t="shared" si="11"/>
        <v>963.38195246285204</v>
      </c>
      <c r="W40">
        <f t="shared" si="12"/>
        <v>963.38195246285204</v>
      </c>
      <c r="X40">
        <f t="shared" si="13"/>
        <v>0.5</v>
      </c>
      <c r="Y40">
        <f t="shared" si="14"/>
        <v>981.78956434484417</v>
      </c>
      <c r="Z40">
        <f t="shared" si="15"/>
        <v>0.5</v>
      </c>
      <c r="AA40">
        <f>IF($D40="",0,IF($F40&lt;2,0,IF($E40="Win",('Guide &amp; Settings'!$C$42/(($F40-1)*COUNTIFS($A$4:$A$1510,$A40,$E$4:$E$1510,"Win")))*SUMIFS($Z$4:$Z$1510,$A$4:$A$1510,$A40,$E$4:$E$1510,"Loss"),-('Guide &amp; Settings'!$C$42/($F40-1))*$Z40)))</f>
        <v>17.671126337043475</v>
      </c>
      <c r="AB40" s="126">
        <f t="shared" si="16"/>
        <v>999.46069068188763</v>
      </c>
      <c r="AC40" s="126">
        <f>IF($D40="","",IF($AD40=0,0,IF(COUNTIFS($D$4:$D40,$D40,$B$4:$B40,$B40)&gt;1,0,IF($B40&lt;'Guide &amp; Settings'!$C$50,0,IF(($B40-$AD40)/7-'Guide &amp; Settings'!$C$48&gt;=0,(INT(($B40-$AD40)/7-'Guide &amp; Settings'!$C$48)+1)*'Guide &amp; Settings'!$C$49,0)))))</f>
        <v>0</v>
      </c>
      <c r="AD40" s="142">
        <f t="shared" si="17"/>
        <v>46172</v>
      </c>
      <c r="AE40">
        <f t="shared" si="18"/>
        <v>1</v>
      </c>
      <c r="AF40">
        <f t="shared" si="19"/>
        <v>0</v>
      </c>
    </row>
    <row r="41" spans="1:32" ht="15" customHeight="1" x14ac:dyDescent="0.2">
      <c r="A41" s="117">
        <v>16</v>
      </c>
      <c r="B41" s="118">
        <v>46173</v>
      </c>
      <c r="C41" s="119" t="s">
        <v>35</v>
      </c>
      <c r="D41" s="119" t="s">
        <v>20</v>
      </c>
      <c r="E41" s="117" t="s">
        <v>371</v>
      </c>
      <c r="F41" s="120">
        <f t="shared" si="0"/>
        <v>2</v>
      </c>
      <c r="G41" s="121" t="str">
        <f t="shared" si="1"/>
        <v>Daniel (Ferret)</v>
      </c>
      <c r="H41" s="122">
        <f>IF($D41="",0,IFERROR(LOOKUP(2,1/(($D$3:D40=$D41)*($A$3:A40&lt;$A41)),$N$3:N40),'Guide &amp; Settings'!$C$41))</f>
        <v>1031.3816433374927</v>
      </c>
      <c r="I41" s="123">
        <f t="shared" si="2"/>
        <v>0.55555555555555558</v>
      </c>
      <c r="J41" s="124">
        <f>IF($D41="",0,IF($F41&lt;2,0,IF($E41="Win",('Guide &amp; Settings'!$C$42/(($F41-1)*COUNTIFS($A$4:$A$1510,$A41,$E$4:$E$1510,"Win")))*SUMIFS($X$4:$X$1510,$A$4:$A$1510,$A41,$E$4:$E$1510,"Loss"),-('Guide &amp; Settings'!$C$42/($F41-1))*$X41)))</f>
        <v>-17.240624015848731</v>
      </c>
      <c r="K41" s="124">
        <f>IF($D41="",0,'Guide &amp; Settings'!$C$43*(IF($E41="Win",1,0)-$I41))</f>
        <v>-6.666666666666667</v>
      </c>
      <c r="L41" s="125">
        <f>IF($D41="",0,'Guide &amp; Settings'!$C$44*IF($F41&gt;=3,$F41,0))</f>
        <v>0</v>
      </c>
      <c r="M41" s="124">
        <f t="shared" si="3"/>
        <v>-23.907290682515399</v>
      </c>
      <c r="N41" s="122">
        <f t="shared" si="4"/>
        <v>1007.4743526549773</v>
      </c>
      <c r="O41" s="121" t="str">
        <f t="shared" si="5"/>
        <v>OK</v>
      </c>
      <c r="P41">
        <f t="shared" si="6"/>
        <v>968.10612418201742</v>
      </c>
      <c r="Q41">
        <f t="shared" si="7"/>
        <v>0.59006719588888956</v>
      </c>
      <c r="R41">
        <f t="shared" si="8"/>
        <v>0.55555555555555558</v>
      </c>
      <c r="S41">
        <f t="shared" si="9"/>
        <v>1</v>
      </c>
      <c r="T41" s="89">
        <f t="shared" si="10"/>
        <v>7</v>
      </c>
      <c r="U41" s="126">
        <f>IF($D41="",0,IFERROR(LOOKUP(2,1/(($D$3:D40=$D41)*($C$3:C40=$C41)*($A$3:A40&lt;$A41)),$AB$3:AB40),1000))</f>
        <v>1000.5393093181125</v>
      </c>
      <c r="V41" s="126">
        <f t="shared" si="11"/>
        <v>1013.3902818261876</v>
      </c>
      <c r="W41">
        <f t="shared" si="12"/>
        <v>986.39628797360842</v>
      </c>
      <c r="X41">
        <f t="shared" si="13"/>
        <v>0.53876950049527284</v>
      </c>
      <c r="Y41">
        <f t="shared" si="14"/>
        <v>999.46069068188763</v>
      </c>
      <c r="Z41">
        <f t="shared" si="15"/>
        <v>0.5015522520086293</v>
      </c>
      <c r="AA41">
        <f>IF($D41="",0,IF($F41&lt;2,0,IF($E41="Win",('Guide &amp; Settings'!$C$42/(($F41-1)*COUNTIFS($A$4:$A$1510,$A41,$E$4:$E$1510,"Win")))*SUMIFS($Z$4:$Z$1510,$A$4:$A$1510,$A41,$E$4:$E$1510,"Loss"),-('Guide &amp; Settings'!$C$42/($F41-1))*$Z41)))</f>
        <v>-16.049672064276137</v>
      </c>
      <c r="AB41" s="126">
        <f t="shared" si="16"/>
        <v>984.48963725383635</v>
      </c>
      <c r="AC41" s="126">
        <f>IF($D41="","",IF($AD41=0,0,IF(COUNTIFS($D$4:$D41,$D41,$B$4:$B41,$B41)&gt;1,0,IF($B41&lt;'Guide &amp; Settings'!$C$50,0,IF(($B41-$AD41)/7-'Guide &amp; Settings'!$C$48&gt;=0,(INT(($B41-$AD41)/7-'Guide &amp; Settings'!$C$48)+1)*'Guide &amp; Settings'!$C$49,0)))))</f>
        <v>0</v>
      </c>
      <c r="AD41" s="142">
        <f t="shared" si="17"/>
        <v>46172</v>
      </c>
      <c r="AE41">
        <f t="shared" si="18"/>
        <v>1</v>
      </c>
      <c r="AF41">
        <f t="shared" si="19"/>
        <v>0</v>
      </c>
    </row>
    <row r="42" spans="1:32" ht="15" customHeight="1" x14ac:dyDescent="0.2">
      <c r="A42" s="117">
        <v>16</v>
      </c>
      <c r="B42" s="118">
        <v>46173</v>
      </c>
      <c r="C42" s="119" t="s">
        <v>35</v>
      </c>
      <c r="D42" s="119" t="s">
        <v>22</v>
      </c>
      <c r="E42" s="117" t="s">
        <v>370</v>
      </c>
      <c r="F42" s="120">
        <f t="shared" si="0"/>
        <v>2</v>
      </c>
      <c r="G42" s="121" t="str">
        <f t="shared" si="1"/>
        <v>Daniel (Ferret)</v>
      </c>
      <c r="H42" s="122">
        <f>IF($D42="",0,IFERROR(LOOKUP(2,1/(($D$3:D41=$D42)*($A$3:A41&lt;$A42)),$N$3:N41),'Guide &amp; Settings'!$C$41))</f>
        <v>968.10612418201742</v>
      </c>
      <c r="I42" s="123">
        <f t="shared" si="2"/>
        <v>0.44444444444444442</v>
      </c>
      <c r="J42" s="124">
        <f>IF($D42="",0,IF($F42&lt;2,0,IF($E42="Win",('Guide &amp; Settings'!$C$42/(($F42-1)*COUNTIFS($A$4:$A$1510,$A42,$E$4:$E$1510,"Win")))*SUMIFS($X$4:$X$1510,$A$4:$A$1510,$A42,$E$4:$E$1510,"Loss"),-('Guide &amp; Settings'!$C$42/($F42-1))*$X42)))</f>
        <v>17.240624015848731</v>
      </c>
      <c r="K42" s="124">
        <f>IF($D42="",0,'Guide &amp; Settings'!$C$43*(IF($E42="Win",1,0)-$I42))</f>
        <v>6.666666666666667</v>
      </c>
      <c r="L42" s="125">
        <f>IF($D42="",0,'Guide &amp; Settings'!$C$44*IF($F42&gt;=3,$F42,0))</f>
        <v>0</v>
      </c>
      <c r="M42" s="124">
        <f t="shared" si="3"/>
        <v>23.907290682515399</v>
      </c>
      <c r="N42" s="122">
        <f t="shared" si="4"/>
        <v>992.01341486453282</v>
      </c>
      <c r="O42" s="121" t="str">
        <f t="shared" si="5"/>
        <v>OK</v>
      </c>
      <c r="P42">
        <f t="shared" si="6"/>
        <v>968.10612418201742</v>
      </c>
      <c r="Q42">
        <f t="shared" si="7"/>
        <v>0.5</v>
      </c>
      <c r="R42">
        <f t="shared" si="8"/>
        <v>0.44444444444444442</v>
      </c>
      <c r="S42">
        <f t="shared" si="9"/>
        <v>1</v>
      </c>
      <c r="T42" s="89">
        <f t="shared" si="10"/>
        <v>7</v>
      </c>
      <c r="U42" s="126">
        <f>IF($D42="",0,IFERROR(LOOKUP(2,1/(($D$3:D41=$D42)*($C$3:C41=$C42)*($A$3:A41&lt;$A42)),$AB$3:AB41),1000))</f>
        <v>999.46069068188763</v>
      </c>
      <c r="V42" s="126">
        <f t="shared" si="11"/>
        <v>986.39628797360842</v>
      </c>
      <c r="W42">
        <f t="shared" si="12"/>
        <v>986.39628797360842</v>
      </c>
      <c r="X42">
        <f t="shared" si="13"/>
        <v>0.5</v>
      </c>
      <c r="Y42">
        <f t="shared" si="14"/>
        <v>999.46069068188763</v>
      </c>
      <c r="Z42">
        <f t="shared" si="15"/>
        <v>0.5</v>
      </c>
      <c r="AA42">
        <f>IF($D42="",0,IF($F42&lt;2,0,IF($E42="Win",('Guide &amp; Settings'!$C$42/(($F42-1)*COUNTIFS($A$4:$A$1510,$A42,$E$4:$E$1510,"Win")))*SUMIFS($Z$4:$Z$1510,$A$4:$A$1510,$A42,$E$4:$E$1510,"Loss"),-('Guide &amp; Settings'!$C$42/($F42-1))*$Z42)))</f>
        <v>16.049672064276137</v>
      </c>
      <c r="AB42" s="126">
        <f t="shared" si="16"/>
        <v>1015.5103627461638</v>
      </c>
      <c r="AC42" s="126">
        <f>IF($D42="","",IF($AD42=0,0,IF(COUNTIFS($D$4:$D42,$D42,$B$4:$B42,$B42)&gt;1,0,IF($B42&lt;'Guide &amp; Settings'!$C$50,0,IF(($B42-$AD42)/7-'Guide &amp; Settings'!$C$48&gt;=0,(INT(($B42-$AD42)/7-'Guide &amp; Settings'!$C$48)+1)*'Guide &amp; Settings'!$C$49,0)))))</f>
        <v>0</v>
      </c>
      <c r="AD42" s="142">
        <f t="shared" si="17"/>
        <v>46172</v>
      </c>
      <c r="AE42">
        <f t="shared" si="18"/>
        <v>1</v>
      </c>
      <c r="AF42">
        <f t="shared" si="19"/>
        <v>0</v>
      </c>
    </row>
    <row r="43" spans="1:32" ht="15" customHeight="1" x14ac:dyDescent="0.2">
      <c r="A43" s="117">
        <v>17</v>
      </c>
      <c r="B43" s="118">
        <v>46175</v>
      </c>
      <c r="C43" s="119" t="s">
        <v>35</v>
      </c>
      <c r="D43" s="119" t="s">
        <v>15</v>
      </c>
      <c r="E43" s="117" t="s">
        <v>370</v>
      </c>
      <c r="F43" s="120">
        <f t="shared" si="0"/>
        <v>2</v>
      </c>
      <c r="G43" s="121" t="str">
        <f t="shared" si="1"/>
        <v>Aaron</v>
      </c>
      <c r="H43" s="122">
        <f>IF($D43="",0,IFERROR(LOOKUP(2,1/(($D$3:D42=$D43)*($A$3:A42&lt;$A43)),$N$3:N42),'Guide &amp; Settings'!$C$41))</f>
        <v>1034.5588790960981</v>
      </c>
      <c r="I43" s="123">
        <f t="shared" si="2"/>
        <v>0.5</v>
      </c>
      <c r="J43" s="124">
        <f>IF($D43="",0,IF($F43&lt;2,0,IF($E43="Win",('Guide &amp; Settings'!$C$42/(($F43-1)*COUNTIFS($A$4:$A$1510,$A43,$E$4:$E$1510,"Win")))*SUMIFS($X$4:$X$1510,$A$4:$A$1510,$A43,$E$4:$E$1510,"Loss"),-('Guide &amp; Settings'!$C$42/($F43-1))*$X43)))</f>
        <v>18.236040117989134</v>
      </c>
      <c r="K43" s="124">
        <f>IF($D43="",0,'Guide &amp; Settings'!$C$43*(IF($E43="Win",1,0)-$I43))</f>
        <v>6</v>
      </c>
      <c r="L43" s="125">
        <f>IF($D43="",0,'Guide &amp; Settings'!$C$44*IF($F43&gt;=3,$F43,0))</f>
        <v>0</v>
      </c>
      <c r="M43" s="124">
        <f t="shared" si="3"/>
        <v>24.236040117989134</v>
      </c>
      <c r="N43" s="122">
        <f t="shared" si="4"/>
        <v>1058.7949192140873</v>
      </c>
      <c r="O43" s="121" t="str">
        <f t="shared" si="5"/>
        <v>OK</v>
      </c>
      <c r="P43">
        <f t="shared" si="6"/>
        <v>1034.5588790960981</v>
      </c>
      <c r="Q43">
        <f t="shared" si="7"/>
        <v>0.5</v>
      </c>
      <c r="R43">
        <f t="shared" si="8"/>
        <v>0.5</v>
      </c>
      <c r="S43">
        <f t="shared" si="9"/>
        <v>1</v>
      </c>
      <c r="T43" s="89">
        <f t="shared" si="10"/>
        <v>0</v>
      </c>
      <c r="U43" s="126">
        <f>IF($D43="",0,IFERROR(LOOKUP(2,1/(($D$3:D42=$D43)*($C$3:C42=$C43)*($A$3:A42&lt;$A43)),$AB$3:AB42),1000))</f>
        <v>1000</v>
      </c>
      <c r="V43" s="126">
        <f t="shared" si="11"/>
        <v>1034.5588790960981</v>
      </c>
      <c r="W43">
        <f t="shared" si="12"/>
        <v>1034.5588790960981</v>
      </c>
      <c r="X43">
        <f t="shared" si="13"/>
        <v>0.5</v>
      </c>
      <c r="Y43">
        <f t="shared" si="14"/>
        <v>1000</v>
      </c>
      <c r="Z43">
        <f t="shared" si="15"/>
        <v>0.5</v>
      </c>
      <c r="AA43">
        <f>IF($D43="",0,IF($F43&lt;2,0,IF($E43="Win",('Guide &amp; Settings'!$C$42/(($F43-1)*COUNTIFS($A$4:$A$1510,$A43,$E$4:$E$1510,"Win")))*SUMIFS($Z$4:$Z$1510,$A$4:$A$1510,$A43,$E$4:$E$1510,"Loss"),-('Guide &amp; Settings'!$C$42/($F43-1))*$Z43)))</f>
        <v>16</v>
      </c>
      <c r="AB43" s="126">
        <f t="shared" si="16"/>
        <v>1016</v>
      </c>
      <c r="AC43" s="126">
        <f>IF($D43="","",IF($AD43=0,0,IF(COUNTIFS($D$4:$D43,$D43,$B$4:$B43,$B43)&gt;1,0,IF($B43&lt;'Guide &amp; Settings'!$C$50,0,IF(($B43-$AD43)/7-'Guide &amp; Settings'!$C$48&gt;=0,(INT(($B43-$AD43)/7-'Guide &amp; Settings'!$C$48)+1)*'Guide &amp; Settings'!$C$49,0)))))</f>
        <v>0</v>
      </c>
      <c r="AD43" s="142">
        <f t="shared" si="17"/>
        <v>0</v>
      </c>
      <c r="AE43">
        <f t="shared" si="18"/>
        <v>1</v>
      </c>
      <c r="AF43">
        <f t="shared" si="19"/>
        <v>0</v>
      </c>
    </row>
    <row r="44" spans="1:32" ht="15" customHeight="1" x14ac:dyDescent="0.2">
      <c r="A44" s="117">
        <v>17</v>
      </c>
      <c r="B44" s="118">
        <v>46175</v>
      </c>
      <c r="C44" s="119" t="s">
        <v>35</v>
      </c>
      <c r="D44" s="119" t="s">
        <v>19</v>
      </c>
      <c r="E44" s="117" t="s">
        <v>371</v>
      </c>
      <c r="F44" s="120">
        <f t="shared" si="0"/>
        <v>2</v>
      </c>
      <c r="G44" s="121" t="str">
        <f t="shared" si="1"/>
        <v>Aaron</v>
      </c>
      <c r="H44" s="122">
        <f>IF($D44="",0,IFERROR(LOOKUP(2,1/(($D$3:D43=$D44)*($A$3:A43&lt;$A44)),$N$3:N43),'Guide &amp; Settings'!$C$41))</f>
        <v>1083.4337354324246</v>
      </c>
      <c r="I44" s="123">
        <f t="shared" si="2"/>
        <v>0.5</v>
      </c>
      <c r="J44" s="124">
        <f>IF($D44="",0,IF($F44&lt;2,0,IF($E44="Win",('Guide &amp; Settings'!$C$42/(($F44-1)*COUNTIFS($A$4:$A$1510,$A44,$E$4:$E$1510,"Win")))*SUMIFS($X$4:$X$1510,$A$4:$A$1510,$A44,$E$4:$E$1510,"Loss"),-('Guide &amp; Settings'!$C$42/($F44-1))*$X44)))</f>
        <v>-18.236040117989134</v>
      </c>
      <c r="K44" s="124">
        <f>IF($D44="",0,'Guide &amp; Settings'!$C$43*(IF($E44="Win",1,0)-$I44))</f>
        <v>-6</v>
      </c>
      <c r="L44" s="125">
        <f>IF($D44="",0,'Guide &amp; Settings'!$C$44*IF($F44&gt;=3,$F44,0))</f>
        <v>0</v>
      </c>
      <c r="M44" s="124">
        <f t="shared" si="3"/>
        <v>-24.236040117989134</v>
      </c>
      <c r="N44" s="122">
        <f t="shared" si="4"/>
        <v>1059.1976953144354</v>
      </c>
      <c r="O44" s="121" t="str">
        <f t="shared" si="5"/>
        <v>OK</v>
      </c>
      <c r="P44">
        <f t="shared" si="6"/>
        <v>1034.5588790960981</v>
      </c>
      <c r="Q44">
        <f t="shared" si="7"/>
        <v>0.56987625368716044</v>
      </c>
      <c r="R44">
        <f t="shared" si="8"/>
        <v>0.5</v>
      </c>
      <c r="S44">
        <f t="shared" si="9"/>
        <v>1</v>
      </c>
      <c r="T44" s="89">
        <f t="shared" si="10"/>
        <v>0</v>
      </c>
      <c r="U44" s="126">
        <f>IF($D44="",0,IFERROR(LOOKUP(2,1/(($D$3:D43=$D44)*($C$3:C43=$C44)*($A$3:A43&lt;$A44)),$AB$3:AB43),1000))</f>
        <v>1000</v>
      </c>
      <c r="V44" s="126">
        <f t="shared" si="11"/>
        <v>1083.4337354324246</v>
      </c>
      <c r="W44">
        <f t="shared" si="12"/>
        <v>1034.5588790960981</v>
      </c>
      <c r="X44">
        <f t="shared" si="13"/>
        <v>0.56987625368716044</v>
      </c>
      <c r="Y44">
        <f t="shared" si="14"/>
        <v>1000</v>
      </c>
      <c r="Z44">
        <f t="shared" si="15"/>
        <v>0.5</v>
      </c>
      <c r="AA44">
        <f>IF($D44="",0,IF($F44&lt;2,0,IF($E44="Win",('Guide &amp; Settings'!$C$42/(($F44-1)*COUNTIFS($A$4:$A$1510,$A44,$E$4:$E$1510,"Win")))*SUMIFS($Z$4:$Z$1510,$A$4:$A$1510,$A44,$E$4:$E$1510,"Loss"),-('Guide &amp; Settings'!$C$42/($F44-1))*$Z44)))</f>
        <v>-16</v>
      </c>
      <c r="AB44" s="126">
        <f t="shared" si="16"/>
        <v>984</v>
      </c>
      <c r="AC44" s="126">
        <f>IF($D44="","",IF($AD44=0,0,IF(COUNTIFS($D$4:$D44,$D44,$B$4:$B44,$B44)&gt;1,0,IF($B44&lt;'Guide &amp; Settings'!$C$50,0,IF(($B44-$AD44)/7-'Guide &amp; Settings'!$C$48&gt;=0,(INT(($B44-$AD44)/7-'Guide &amp; Settings'!$C$48)+1)*'Guide &amp; Settings'!$C$49,0)))))</f>
        <v>0</v>
      </c>
      <c r="AD44" s="142">
        <f t="shared" si="17"/>
        <v>46172</v>
      </c>
      <c r="AE44">
        <f t="shared" si="18"/>
        <v>1</v>
      </c>
      <c r="AF44">
        <f t="shared" si="19"/>
        <v>0</v>
      </c>
    </row>
    <row r="45" spans="1:32" ht="15" customHeight="1" x14ac:dyDescent="0.2">
      <c r="A45" s="117">
        <v>18</v>
      </c>
      <c r="B45" s="118">
        <v>46175</v>
      </c>
      <c r="C45" s="119" t="s">
        <v>35</v>
      </c>
      <c r="D45" s="119" t="s">
        <v>15</v>
      </c>
      <c r="E45" s="117" t="s">
        <v>370</v>
      </c>
      <c r="F45" s="120">
        <f t="shared" si="0"/>
        <v>2</v>
      </c>
      <c r="G45" s="121" t="str">
        <f t="shared" si="1"/>
        <v>Aaron</v>
      </c>
      <c r="H45" s="122">
        <f>IF($D45="",0,IFERROR(LOOKUP(2,1/(($D$3:D44=$D45)*($A$3:A44&lt;$A45)),$N$3:N44),'Guide &amp; Settings'!$C$41))</f>
        <v>1058.7949192140873</v>
      </c>
      <c r="I45" s="123">
        <f t="shared" si="2"/>
        <v>0.57142857142857151</v>
      </c>
      <c r="J45" s="124">
        <f>IF($D45="",0,IF($F45&lt;2,0,IF($E45="Win",('Guide &amp; Settings'!$C$42/(($F45-1)*COUNTIFS($A$4:$A$1510,$A45,$E$4:$E$1510,"Win")))*SUMIFS($X$4:$X$1510,$A$4:$A$1510,$A45,$E$4:$E$1510,"Loss"),-('Guide &amp; Settings'!$C$42/($F45-1))*$X45)))</f>
        <v>13.828415686320184</v>
      </c>
      <c r="K45" s="124">
        <f>IF($D45="",0,'Guide &amp; Settings'!$C$43*(IF($E45="Win",1,0)-$I45))</f>
        <v>5.1428571428571423</v>
      </c>
      <c r="L45" s="125">
        <f>IF($D45="",0,'Guide &amp; Settings'!$C$44*IF($F45&gt;=3,$F45,0))</f>
        <v>0</v>
      </c>
      <c r="M45" s="124">
        <f t="shared" si="3"/>
        <v>18.971272829177327</v>
      </c>
      <c r="N45" s="122">
        <f t="shared" si="4"/>
        <v>1077.7661920432645</v>
      </c>
      <c r="O45" s="121" t="str">
        <f t="shared" si="5"/>
        <v>OK</v>
      </c>
      <c r="P45">
        <f t="shared" si="6"/>
        <v>1058.7949192140873</v>
      </c>
      <c r="Q45">
        <f t="shared" si="7"/>
        <v>0.5</v>
      </c>
      <c r="R45">
        <f t="shared" si="8"/>
        <v>0.66666666666666663</v>
      </c>
      <c r="S45">
        <f t="shared" si="9"/>
        <v>1.1666666666666665</v>
      </c>
      <c r="T45" s="89">
        <f t="shared" si="10"/>
        <v>1</v>
      </c>
      <c r="U45" s="126">
        <f>IF($D45="",0,IFERROR(LOOKUP(2,1/(($D$3:D44=$D45)*($C$3:C44=$C45)*($A$3:A44&lt;$A45)),$AB$3:AB44),1000))</f>
        <v>1016</v>
      </c>
      <c r="V45" s="126">
        <f t="shared" si="11"/>
        <v>1051.662432678406</v>
      </c>
      <c r="W45">
        <f t="shared" si="12"/>
        <v>1051.662432678406</v>
      </c>
      <c r="X45">
        <f t="shared" si="13"/>
        <v>0.5</v>
      </c>
      <c r="Y45">
        <f t="shared" si="14"/>
        <v>1016</v>
      </c>
      <c r="Z45">
        <f t="shared" si="15"/>
        <v>0.5</v>
      </c>
      <c r="AA45">
        <f>IF($D45="",0,IF($F45&lt;2,0,IF($E45="Win",('Guide &amp; Settings'!$C$42/(($F45-1)*COUNTIFS($A$4:$A$1510,$A45,$E$4:$E$1510,"Win")))*SUMIFS($Z$4:$Z$1510,$A$4:$A$1510,$A45,$E$4:$E$1510,"Loss"),-('Guide &amp; Settings'!$C$42/($F45-1))*$Z45)))</f>
        <v>15.263693206478006</v>
      </c>
      <c r="AB45" s="126">
        <f t="shared" si="16"/>
        <v>1031.2636932064779</v>
      </c>
      <c r="AC45" s="126">
        <f>IF($D45="","",IF($AD45=0,0,IF(COUNTIFS($D$4:$D45,$D45,$B$4:$B45,$B45)&gt;1,0,IF($B45&lt;'Guide &amp; Settings'!$C$50,0,IF(($B45-$AD45)/7-'Guide &amp; Settings'!$C$48&gt;=0,(INT(($B45-$AD45)/7-'Guide &amp; Settings'!$C$48)+1)*'Guide &amp; Settings'!$C$49,0)))))</f>
        <v>0</v>
      </c>
      <c r="AD45" s="142">
        <f t="shared" si="17"/>
        <v>0</v>
      </c>
      <c r="AE45">
        <f t="shared" si="18"/>
        <v>1</v>
      </c>
      <c r="AF45">
        <f t="shared" si="19"/>
        <v>0</v>
      </c>
    </row>
    <row r="46" spans="1:32" ht="15" customHeight="1" x14ac:dyDescent="0.2">
      <c r="A46" s="117">
        <v>18</v>
      </c>
      <c r="B46" s="118">
        <v>46175</v>
      </c>
      <c r="C46" s="119" t="s">
        <v>35</v>
      </c>
      <c r="D46" s="119" t="s">
        <v>17</v>
      </c>
      <c r="E46" s="117" t="s">
        <v>371</v>
      </c>
      <c r="F46" s="120">
        <f t="shared" si="0"/>
        <v>2</v>
      </c>
      <c r="G46" s="121" t="str">
        <f t="shared" si="1"/>
        <v>Aaron</v>
      </c>
      <c r="H46" s="122">
        <f>IF($D46="",0,IFERROR(LOOKUP(2,1/(($D$3:D45=$D46)*($A$3:A45&lt;$A46)),$N$3:N45),'Guide &amp; Settings'!$C$41))</f>
        <v>1004.2142857142857</v>
      </c>
      <c r="I46" s="123">
        <f t="shared" si="2"/>
        <v>0.4285714285714286</v>
      </c>
      <c r="J46" s="124">
        <f>IF($D46="",0,IF($F46&lt;2,0,IF($E46="Win",('Guide &amp; Settings'!$C$42/(($F46-1)*COUNTIFS($A$4:$A$1510,$A46,$E$4:$E$1510,"Win")))*SUMIFS($X$4:$X$1510,$A$4:$A$1510,$A46,$E$4:$E$1510,"Loss"),-('Guide &amp; Settings'!$C$42/($F46-1))*$X46)))</f>
        <v>-13.828415686320184</v>
      </c>
      <c r="K46" s="124">
        <f>IF($D46="",0,'Guide &amp; Settings'!$C$43*(IF($E46="Win",1,0)-$I46))</f>
        <v>-5.1428571428571432</v>
      </c>
      <c r="L46" s="125">
        <f>IF($D46="",0,'Guide &amp; Settings'!$C$44*IF($F46&gt;=3,$F46,0))</f>
        <v>0</v>
      </c>
      <c r="M46" s="124">
        <f t="shared" si="3"/>
        <v>-18.971272829177327</v>
      </c>
      <c r="N46" s="122">
        <f t="shared" si="4"/>
        <v>985.24301288510833</v>
      </c>
      <c r="O46" s="121" t="str">
        <f t="shared" si="5"/>
        <v>OK</v>
      </c>
      <c r="P46">
        <f t="shared" si="6"/>
        <v>1058.7949192140873</v>
      </c>
      <c r="Q46">
        <f t="shared" si="7"/>
        <v>0.4220920009860345</v>
      </c>
      <c r="R46">
        <f t="shared" si="8"/>
        <v>0.5</v>
      </c>
      <c r="S46">
        <f t="shared" si="9"/>
        <v>1.1666666666666665</v>
      </c>
      <c r="T46" s="89">
        <f t="shared" si="10"/>
        <v>0</v>
      </c>
      <c r="U46" s="126">
        <f>IF($D46="",0,IFERROR(LOOKUP(2,1/(($D$3:D45=$D46)*($C$3:C45=$C46)*($A$3:A45&lt;$A46)),$AB$3:AB45),1000))</f>
        <v>1000</v>
      </c>
      <c r="V46" s="126">
        <f t="shared" si="11"/>
        <v>1004.2142857142857</v>
      </c>
      <c r="W46">
        <f t="shared" si="12"/>
        <v>1051.662432678406</v>
      </c>
      <c r="X46">
        <f t="shared" si="13"/>
        <v>0.43213799019750576</v>
      </c>
      <c r="Y46">
        <f t="shared" si="14"/>
        <v>1016</v>
      </c>
      <c r="Z46">
        <f t="shared" si="15"/>
        <v>0.47699041270243769</v>
      </c>
      <c r="AA46">
        <f>IF($D46="",0,IF($F46&lt;2,0,IF($E46="Win",('Guide &amp; Settings'!$C$42/(($F46-1)*COUNTIFS($A$4:$A$1510,$A46,$E$4:$E$1510,"Win")))*SUMIFS($Z$4:$Z$1510,$A$4:$A$1510,$A46,$E$4:$E$1510,"Loss"),-('Guide &amp; Settings'!$C$42/($F46-1))*$Z46)))</f>
        <v>-15.263693206478006</v>
      </c>
      <c r="AB46" s="126">
        <f t="shared" si="16"/>
        <v>984.73630679352198</v>
      </c>
      <c r="AC46" s="126">
        <f>IF($D46="","",IF($AD46=0,0,IF(COUNTIFS($D$4:$D46,$D46,$B$4:$B46,$B46)&gt;1,0,IF($B46&lt;'Guide &amp; Settings'!$C$50,0,IF(($B46-$AD46)/7-'Guide &amp; Settings'!$C$48&gt;=0,(INT(($B46-$AD46)/7-'Guide &amp; Settings'!$C$48)+1)*'Guide &amp; Settings'!$C$49,0)))))</f>
        <v>0</v>
      </c>
      <c r="AD46" s="142">
        <f t="shared" si="17"/>
        <v>0</v>
      </c>
      <c r="AE46">
        <f t="shared" si="18"/>
        <v>1</v>
      </c>
      <c r="AF46">
        <f t="shared" si="19"/>
        <v>0</v>
      </c>
    </row>
    <row r="47" spans="1:32" ht="15" customHeight="1" x14ac:dyDescent="0.2">
      <c r="A47" s="117">
        <v>19</v>
      </c>
      <c r="B47" s="118">
        <v>46175</v>
      </c>
      <c r="C47" s="119" t="s">
        <v>35</v>
      </c>
      <c r="D47" s="119" t="s">
        <v>15</v>
      </c>
      <c r="E47" s="117" t="s">
        <v>370</v>
      </c>
      <c r="F47" s="120">
        <f t="shared" si="0"/>
        <v>2</v>
      </c>
      <c r="G47" s="121" t="str">
        <f t="shared" si="1"/>
        <v>Aaron</v>
      </c>
      <c r="H47" s="122">
        <f>IF($D47="",0,IFERROR(LOOKUP(2,1/(($D$3:D46=$D47)*($A$3:A46&lt;$A47)),$N$3:N46),'Guide &amp; Settings'!$C$41))</f>
        <v>1077.7661920432645</v>
      </c>
      <c r="I47" s="123">
        <f t="shared" si="2"/>
        <v>0.6</v>
      </c>
      <c r="J47" s="124">
        <f>IF($D47="",0,IF($F47&lt;2,0,IF($E47="Win",('Guide &amp; Settings'!$C$42/(($F47-1)*COUNTIFS($A$4:$A$1510,$A47,$E$4:$E$1510,"Win")))*SUMIFS($X$4:$X$1510,$A$4:$A$1510,$A47,$E$4:$E$1510,"Loss"),-('Guide &amp; Settings'!$C$42/($F47-1))*$X47)))</f>
        <v>13.353240082966661</v>
      </c>
      <c r="K47" s="124">
        <f>IF($D47="",0,'Guide &amp; Settings'!$C$43*(IF($E47="Win",1,0)-$I47))</f>
        <v>4.8000000000000007</v>
      </c>
      <c r="L47" s="125">
        <f>IF($D47="",0,'Guide &amp; Settings'!$C$44*IF($F47&gt;=3,$F47,0))</f>
        <v>0</v>
      </c>
      <c r="M47" s="124">
        <f t="shared" si="3"/>
        <v>18.153240082966661</v>
      </c>
      <c r="N47" s="122">
        <f t="shared" si="4"/>
        <v>1095.9194321262312</v>
      </c>
      <c r="O47" s="121" t="str">
        <f t="shared" si="5"/>
        <v>OK</v>
      </c>
      <c r="P47">
        <f t="shared" si="6"/>
        <v>1077.7661920432645</v>
      </c>
      <c r="Q47">
        <f t="shared" si="7"/>
        <v>0.5</v>
      </c>
      <c r="R47">
        <f t="shared" si="8"/>
        <v>0.75</v>
      </c>
      <c r="S47">
        <f t="shared" si="9"/>
        <v>1.25</v>
      </c>
      <c r="T47" s="89">
        <f t="shared" si="10"/>
        <v>2</v>
      </c>
      <c r="U47" s="126">
        <f>IF($D47="",0,IFERROR(LOOKUP(2,1/(($D$3:D46=$D47)*($C$3:C46=$C47)*($A$3:A46&lt;$A47)),$AB$3:AB46),1000))</f>
        <v>1031.2636932064779</v>
      </c>
      <c r="V47" s="126">
        <f t="shared" si="11"/>
        <v>1064.4797638041825</v>
      </c>
      <c r="W47">
        <f t="shared" si="12"/>
        <v>1064.4797638041825</v>
      </c>
      <c r="X47">
        <f t="shared" si="13"/>
        <v>0.5</v>
      </c>
      <c r="Y47">
        <f t="shared" si="14"/>
        <v>1031.2636932064779</v>
      </c>
      <c r="Z47">
        <f t="shared" si="15"/>
        <v>0.5</v>
      </c>
      <c r="AA47">
        <f>IF($D47="",0,IF($F47&lt;2,0,IF($E47="Win",('Guide &amp; Settings'!$C$42/(($F47-1)*COUNTIFS($A$4:$A$1510,$A47,$E$4:$E$1510,"Win")))*SUMIFS($Z$4:$Z$1510,$A$4:$A$1510,$A47,$E$4:$E$1510,"Loss"),-('Guide &amp; Settings'!$C$42/($F47-1))*$Z47)))</f>
        <v>15.275029070186529</v>
      </c>
      <c r="AB47" s="126">
        <f t="shared" si="16"/>
        <v>1046.5387222766644</v>
      </c>
      <c r="AC47" s="126">
        <f>IF($D47="","",IF($AD47=0,0,IF(COUNTIFS($D$4:$D47,$D47,$B$4:$B47,$B47)&gt;1,0,IF($B47&lt;'Guide &amp; Settings'!$C$50,0,IF(($B47-$AD47)/7-'Guide &amp; Settings'!$C$48&gt;=0,(INT(($B47-$AD47)/7-'Guide &amp; Settings'!$C$48)+1)*'Guide &amp; Settings'!$C$49,0)))))</f>
        <v>0</v>
      </c>
      <c r="AD47" s="142">
        <f t="shared" si="17"/>
        <v>0</v>
      </c>
      <c r="AE47">
        <f t="shared" si="18"/>
        <v>1</v>
      </c>
      <c r="AF47">
        <f t="shared" si="19"/>
        <v>0</v>
      </c>
    </row>
    <row r="48" spans="1:32" ht="15" customHeight="1" x14ac:dyDescent="0.2">
      <c r="A48" s="117">
        <v>19</v>
      </c>
      <c r="B48" s="118">
        <v>46175</v>
      </c>
      <c r="C48" s="119" t="s">
        <v>35</v>
      </c>
      <c r="D48" s="119" t="s">
        <v>22</v>
      </c>
      <c r="E48" s="117" t="s">
        <v>371</v>
      </c>
      <c r="F48" s="120">
        <f t="shared" si="0"/>
        <v>2</v>
      </c>
      <c r="G48" s="121" t="str">
        <f t="shared" si="1"/>
        <v>Aaron</v>
      </c>
      <c r="H48" s="122">
        <f>IF($D48="",0,IFERROR(LOOKUP(2,1/(($D$3:D47=$D48)*($A$3:A47&lt;$A48)),$N$3:N47),'Guide &amp; Settings'!$C$41))</f>
        <v>992.01341486453282</v>
      </c>
      <c r="I48" s="123">
        <f t="shared" si="2"/>
        <v>0.4</v>
      </c>
      <c r="J48" s="124">
        <f>IF($D48="",0,IF($F48&lt;2,0,IF($E48="Win",('Guide &amp; Settings'!$C$42/(($F48-1)*COUNTIFS($A$4:$A$1510,$A48,$E$4:$E$1510,"Win")))*SUMIFS($X$4:$X$1510,$A$4:$A$1510,$A48,$E$4:$E$1510,"Loss"),-('Guide &amp; Settings'!$C$42/($F48-1))*$X48)))</f>
        <v>-13.353240082966661</v>
      </c>
      <c r="K48" s="124">
        <f>IF($D48="",0,'Guide &amp; Settings'!$C$43*(IF($E48="Win",1,0)-$I48))</f>
        <v>-4.8000000000000007</v>
      </c>
      <c r="L48" s="125">
        <f>IF($D48="",0,'Guide &amp; Settings'!$C$44*IF($F48&gt;=3,$F48,0))</f>
        <v>0</v>
      </c>
      <c r="M48" s="124">
        <f t="shared" si="3"/>
        <v>-18.153240082966661</v>
      </c>
      <c r="N48" s="122">
        <f t="shared" si="4"/>
        <v>973.86017478156612</v>
      </c>
      <c r="O48" s="121" t="str">
        <f t="shared" si="5"/>
        <v>OK</v>
      </c>
      <c r="P48">
        <f t="shared" si="6"/>
        <v>1077.7661920432645</v>
      </c>
      <c r="Q48">
        <f t="shared" si="7"/>
        <v>0.37903817852437516</v>
      </c>
      <c r="R48">
        <f t="shared" si="8"/>
        <v>0.5</v>
      </c>
      <c r="S48">
        <f t="shared" si="9"/>
        <v>1.25</v>
      </c>
      <c r="T48" s="89">
        <f t="shared" si="10"/>
        <v>8</v>
      </c>
      <c r="U48" s="126">
        <f>IF($D48="",0,IFERROR(LOOKUP(2,1/(($D$3:D47=$D48)*($C$3:C47=$C48)*($A$3:A47&lt;$A48)),$AB$3:AB47),1000))</f>
        <v>1015.5103627461638</v>
      </c>
      <c r="V48" s="126">
        <f t="shared" si="11"/>
        <v>1006.4730750993826</v>
      </c>
      <c r="W48">
        <f t="shared" si="12"/>
        <v>1064.4797638041825</v>
      </c>
      <c r="X48">
        <f t="shared" si="13"/>
        <v>0.41728875259270815</v>
      </c>
      <c r="Y48">
        <f t="shared" si="14"/>
        <v>1031.2636932064779</v>
      </c>
      <c r="Z48">
        <f t="shared" si="15"/>
        <v>0.47734465844332902</v>
      </c>
      <c r="AA48">
        <f>IF($D48="",0,IF($F48&lt;2,0,IF($E48="Win",('Guide &amp; Settings'!$C$42/(($F48-1)*COUNTIFS($A$4:$A$1510,$A48,$E$4:$E$1510,"Win")))*SUMIFS($Z$4:$Z$1510,$A$4:$A$1510,$A48,$E$4:$E$1510,"Loss"),-('Guide &amp; Settings'!$C$42/($F48-1))*$Z48)))</f>
        <v>-15.275029070186529</v>
      </c>
      <c r="AB48" s="126">
        <f t="shared" si="16"/>
        <v>1000.2353336759772</v>
      </c>
      <c r="AC48" s="126">
        <f>IF($D48="","",IF($AD48=0,0,IF(COUNTIFS($D$4:$D48,$D48,$B$4:$B48,$B48)&gt;1,0,IF($B48&lt;'Guide &amp; Settings'!$C$50,0,IF(($B48-$AD48)/7-'Guide &amp; Settings'!$C$48&gt;=0,(INT(($B48-$AD48)/7-'Guide &amp; Settings'!$C$48)+1)*'Guide &amp; Settings'!$C$49,0)))))</f>
        <v>0</v>
      </c>
      <c r="AD48" s="142">
        <f t="shared" si="17"/>
        <v>46173</v>
      </c>
      <c r="AE48">
        <f t="shared" si="18"/>
        <v>1</v>
      </c>
      <c r="AF48">
        <f t="shared" si="19"/>
        <v>0</v>
      </c>
    </row>
    <row r="49" spans="1:32" ht="15" customHeight="1" x14ac:dyDescent="0.2">
      <c r="A49" s="117">
        <v>20</v>
      </c>
      <c r="B49" s="118">
        <v>46175</v>
      </c>
      <c r="C49" s="119" t="s">
        <v>50</v>
      </c>
      <c r="D49" s="119" t="s">
        <v>17</v>
      </c>
      <c r="E49" s="117" t="s">
        <v>370</v>
      </c>
      <c r="F49" s="120">
        <f t="shared" si="0"/>
        <v>2</v>
      </c>
      <c r="G49" s="121" t="str">
        <f t="shared" si="1"/>
        <v>Chase</v>
      </c>
      <c r="H49" s="122">
        <f>IF($D49="",0,IFERROR(LOOKUP(2,1/(($D$3:D48=$D49)*($A$3:A48&lt;$A49)),$N$3:N48),'Guide &amp; Settings'!$C$41))</f>
        <v>985.24301288510833</v>
      </c>
      <c r="I49" s="123">
        <f t="shared" si="2"/>
        <v>0.5</v>
      </c>
      <c r="J49" s="124">
        <f>IF($D49="",0,IF($F49&lt;2,0,IF($E49="Win",('Guide &amp; Settings'!$C$42/(($F49-1)*COUNTIFS($A$4:$A$1510,$A49,$E$4:$E$1510,"Win")))*SUMIFS($X$4:$X$1510,$A$4:$A$1510,$A49,$E$4:$E$1510,"Loss"),-('Guide &amp; Settings'!$C$42/($F49-1))*$X49)))</f>
        <v>15.475988407353857</v>
      </c>
      <c r="K49" s="124">
        <f>IF($D49="",0,'Guide &amp; Settings'!$C$43*(IF($E49="Win",1,0)-$I49))</f>
        <v>6</v>
      </c>
      <c r="L49" s="125">
        <f>IF($D49="",0,'Guide &amp; Settings'!$C$44*IF($F49&gt;=3,$F49,0))</f>
        <v>0</v>
      </c>
      <c r="M49" s="124">
        <f t="shared" si="3"/>
        <v>21.475988407353857</v>
      </c>
      <c r="N49" s="122">
        <f t="shared" si="4"/>
        <v>1006.7190012924622</v>
      </c>
      <c r="O49" s="121" t="str">
        <f t="shared" si="5"/>
        <v>OK</v>
      </c>
      <c r="P49">
        <f t="shared" si="6"/>
        <v>985.24301288510833</v>
      </c>
      <c r="Q49">
        <f t="shared" si="7"/>
        <v>0.5</v>
      </c>
      <c r="R49">
        <f t="shared" si="8"/>
        <v>0.5</v>
      </c>
      <c r="S49">
        <f t="shared" si="9"/>
        <v>1</v>
      </c>
      <c r="T49" s="89">
        <f t="shared" si="10"/>
        <v>0</v>
      </c>
      <c r="U49" s="126">
        <f>IF($D49="",0,IFERROR(LOOKUP(2,1/(($D$3:D48=$D49)*($C$3:C48=$C49)*($A$3:A48&lt;$A49)),$AB$3:AB48),1000))</f>
        <v>1000</v>
      </c>
      <c r="V49" s="126">
        <f t="shared" si="11"/>
        <v>985.24301288510833</v>
      </c>
      <c r="W49">
        <f t="shared" si="12"/>
        <v>985.24301288510833</v>
      </c>
      <c r="X49">
        <f t="shared" si="13"/>
        <v>0.5</v>
      </c>
      <c r="Y49">
        <f t="shared" si="14"/>
        <v>1000</v>
      </c>
      <c r="Z49">
        <f t="shared" si="15"/>
        <v>0.5</v>
      </c>
      <c r="AA49">
        <f>IF($D49="",0,IF($F49&lt;2,0,IF($E49="Win",('Guide &amp; Settings'!$C$42/(($F49-1)*COUNTIFS($A$4:$A$1510,$A49,$E$4:$E$1510,"Win")))*SUMIFS($Z$4:$Z$1510,$A$4:$A$1510,$A49,$E$4:$E$1510,"Loss"),-('Guide &amp; Settings'!$C$42/($F49-1))*$Z49)))</f>
        <v>16</v>
      </c>
      <c r="AB49" s="126">
        <f t="shared" si="16"/>
        <v>1016</v>
      </c>
      <c r="AC49" s="126">
        <f>IF($D49="","",IF($AD49=0,0,IF(COUNTIFS($D$4:$D49,$D49,$B$4:$B49,$B49)&gt;1,0,IF($B49&lt;'Guide &amp; Settings'!$C$50,0,IF(($B49-$AD49)/7-'Guide &amp; Settings'!$C$48&gt;=0,(INT(($B49-$AD49)/7-'Guide &amp; Settings'!$C$48)+1)*'Guide &amp; Settings'!$C$49,0)))))</f>
        <v>0</v>
      </c>
      <c r="AD49" s="142">
        <f t="shared" si="17"/>
        <v>0</v>
      </c>
      <c r="AE49">
        <f t="shared" si="18"/>
        <v>1</v>
      </c>
      <c r="AF49">
        <f t="shared" si="19"/>
        <v>0</v>
      </c>
    </row>
    <row r="50" spans="1:32" ht="15" customHeight="1" x14ac:dyDescent="0.2">
      <c r="A50" s="117">
        <v>20</v>
      </c>
      <c r="B50" s="118">
        <v>46175</v>
      </c>
      <c r="C50" s="119" t="s">
        <v>50</v>
      </c>
      <c r="D50" s="119" t="s">
        <v>22</v>
      </c>
      <c r="E50" s="117" t="s">
        <v>371</v>
      </c>
      <c r="F50" s="120">
        <f t="shared" si="0"/>
        <v>2</v>
      </c>
      <c r="G50" s="121" t="str">
        <f t="shared" si="1"/>
        <v>Chase</v>
      </c>
      <c r="H50" s="122">
        <f>IF($D50="",0,IFERROR(LOOKUP(2,1/(($D$3:D49=$D50)*($A$3:A49&lt;$A50)),$N$3:N49),'Guide &amp; Settings'!$C$41))</f>
        <v>973.86017478156612</v>
      </c>
      <c r="I50" s="123">
        <f t="shared" si="2"/>
        <v>0.5</v>
      </c>
      <c r="J50" s="124">
        <f>IF($D50="",0,IF($F50&lt;2,0,IF($E50="Win",('Guide &amp; Settings'!$C$42/(($F50-1)*COUNTIFS($A$4:$A$1510,$A50,$E$4:$E$1510,"Win")))*SUMIFS($X$4:$X$1510,$A$4:$A$1510,$A50,$E$4:$E$1510,"Loss"),-('Guide &amp; Settings'!$C$42/($F50-1))*$X50)))</f>
        <v>-15.475988407353857</v>
      </c>
      <c r="K50" s="124">
        <f>IF($D50="",0,'Guide &amp; Settings'!$C$43*(IF($E50="Win",1,0)-$I50))</f>
        <v>-6</v>
      </c>
      <c r="L50" s="125">
        <f>IF($D50="",0,'Guide &amp; Settings'!$C$44*IF($F50&gt;=3,$F50,0))</f>
        <v>0</v>
      </c>
      <c r="M50" s="124">
        <f t="shared" si="3"/>
        <v>-21.475988407353857</v>
      </c>
      <c r="N50" s="122">
        <f t="shared" si="4"/>
        <v>952.38418637421228</v>
      </c>
      <c r="O50" s="121" t="str">
        <f t="shared" si="5"/>
        <v>OK</v>
      </c>
      <c r="P50">
        <f t="shared" si="6"/>
        <v>985.24301288510833</v>
      </c>
      <c r="Q50">
        <f t="shared" si="7"/>
        <v>0.48362463772980802</v>
      </c>
      <c r="R50">
        <f t="shared" si="8"/>
        <v>0.5</v>
      </c>
      <c r="S50">
        <f t="shared" si="9"/>
        <v>1</v>
      </c>
      <c r="T50" s="89">
        <f t="shared" si="10"/>
        <v>0</v>
      </c>
      <c r="U50" s="126">
        <f>IF($D50="",0,IFERROR(LOOKUP(2,1/(($D$3:D49=$D50)*($C$3:C49=$C50)*($A$3:A49&lt;$A50)),$AB$3:AB49),1000))</f>
        <v>1000</v>
      </c>
      <c r="V50" s="126">
        <f t="shared" si="11"/>
        <v>973.86017478156612</v>
      </c>
      <c r="W50">
        <f t="shared" si="12"/>
        <v>985.24301288510833</v>
      </c>
      <c r="X50">
        <f t="shared" si="13"/>
        <v>0.48362463772980802</v>
      </c>
      <c r="Y50">
        <f t="shared" si="14"/>
        <v>1000</v>
      </c>
      <c r="Z50">
        <f t="shared" si="15"/>
        <v>0.5</v>
      </c>
      <c r="AA50">
        <f>IF($D50="",0,IF($F50&lt;2,0,IF($E50="Win",('Guide &amp; Settings'!$C$42/(($F50-1)*COUNTIFS($A$4:$A$1510,$A50,$E$4:$E$1510,"Win")))*SUMIFS($Z$4:$Z$1510,$A$4:$A$1510,$A50,$E$4:$E$1510,"Loss"),-('Guide &amp; Settings'!$C$42/($F50-1))*$Z50)))</f>
        <v>-16</v>
      </c>
      <c r="AB50" s="126">
        <f t="shared" si="16"/>
        <v>984</v>
      </c>
      <c r="AC50" s="126">
        <f>IF($D50="","",IF($AD50=0,0,IF(COUNTIFS($D$4:$D50,$D50,$B$4:$B50,$B50)&gt;1,0,IF($B50&lt;'Guide &amp; Settings'!$C$50,0,IF(($B50-$AD50)/7-'Guide &amp; Settings'!$C$48&gt;=0,(INT(($B50-$AD50)/7-'Guide &amp; Settings'!$C$48)+1)*'Guide &amp; Settings'!$C$49,0)))))</f>
        <v>0</v>
      </c>
      <c r="AD50" s="142">
        <f t="shared" si="17"/>
        <v>46173</v>
      </c>
      <c r="AE50">
        <f t="shared" si="18"/>
        <v>1</v>
      </c>
      <c r="AF50">
        <f t="shared" si="19"/>
        <v>0</v>
      </c>
    </row>
    <row r="51" spans="1:32" ht="15" customHeight="1" x14ac:dyDescent="0.2">
      <c r="A51" s="117">
        <v>21</v>
      </c>
      <c r="B51" s="118">
        <v>46175</v>
      </c>
      <c r="C51" s="119" t="s">
        <v>50</v>
      </c>
      <c r="D51" s="119" t="s">
        <v>17</v>
      </c>
      <c r="E51" s="117" t="s">
        <v>370</v>
      </c>
      <c r="F51" s="120">
        <f t="shared" si="0"/>
        <v>2</v>
      </c>
      <c r="G51" s="121" t="str">
        <f t="shared" si="1"/>
        <v>Chase</v>
      </c>
      <c r="H51" s="122">
        <f>IF($D51="",0,IFERROR(LOOKUP(2,1/(($D$3:D50=$D51)*($A$3:A50&lt;$A51)),$N$3:N50),'Guide &amp; Settings'!$C$41))</f>
        <v>1006.7190012924622</v>
      </c>
      <c r="I51" s="123">
        <f t="shared" si="2"/>
        <v>0.66666666666666663</v>
      </c>
      <c r="J51" s="124">
        <f>IF($D51="",0,IF($F51&lt;2,0,IF($E51="Win",('Guide &amp; Settings'!$C$42/(($F51-1)*COUNTIFS($A$4:$A$1510,$A51,$E$4:$E$1510,"Win")))*SUMIFS($X$4:$X$1510,$A$4:$A$1510,$A51,$E$4:$E$1510,"Loss"),-('Guide &amp; Settings'!$C$42/($F51-1))*$X51)))</f>
        <v>13.685563721741987</v>
      </c>
      <c r="K51" s="124">
        <f>IF($D51="",0,'Guide &amp; Settings'!$C$43*(IF($E51="Win",1,0)-$I51))</f>
        <v>4</v>
      </c>
      <c r="L51" s="125">
        <f>IF($D51="",0,'Guide &amp; Settings'!$C$44*IF($F51&gt;=3,$F51,0))</f>
        <v>0</v>
      </c>
      <c r="M51" s="124">
        <f t="shared" si="3"/>
        <v>17.685563721741985</v>
      </c>
      <c r="N51" s="122">
        <f t="shared" si="4"/>
        <v>1024.4045650142041</v>
      </c>
      <c r="O51" s="121" t="str">
        <f t="shared" si="5"/>
        <v>OK</v>
      </c>
      <c r="P51">
        <f t="shared" si="6"/>
        <v>1006.7190012924622</v>
      </c>
      <c r="Q51">
        <f t="shared" si="7"/>
        <v>0.5</v>
      </c>
      <c r="R51">
        <f t="shared" si="8"/>
        <v>0.66666666666666663</v>
      </c>
      <c r="S51">
        <f t="shared" si="9"/>
        <v>1</v>
      </c>
      <c r="T51" s="89">
        <f t="shared" si="10"/>
        <v>1</v>
      </c>
      <c r="U51" s="126">
        <f>IF($D51="",0,IFERROR(LOOKUP(2,1/(($D$3:D50=$D51)*($C$3:C50=$C51)*($A$3:A50&lt;$A51)),$AB$3:AB50),1000))</f>
        <v>1016</v>
      </c>
      <c r="V51" s="126">
        <f t="shared" si="11"/>
        <v>1008.2658344103852</v>
      </c>
      <c r="W51">
        <f t="shared" si="12"/>
        <v>1008.2658344103852</v>
      </c>
      <c r="X51">
        <f t="shared" si="13"/>
        <v>0.5</v>
      </c>
      <c r="Y51">
        <f t="shared" si="14"/>
        <v>1016</v>
      </c>
      <c r="Z51">
        <f t="shared" si="15"/>
        <v>0.5</v>
      </c>
      <c r="AA51">
        <f>IF($D51="",0,IF($F51&lt;2,0,IF($E51="Win",('Guide &amp; Settings'!$C$42/(($F51-1)*COUNTIFS($A$4:$A$1510,$A51,$E$4:$E$1510,"Win")))*SUMIFS($Z$4:$Z$1510,$A$4:$A$1510,$A51,$E$4:$E$1510,"Loss"),-('Guide &amp; Settings'!$C$42/($F51-1))*$Z51)))</f>
        <v>14.530498471024522</v>
      </c>
      <c r="AB51" s="126">
        <f t="shared" si="16"/>
        <v>1030.5304984710244</v>
      </c>
      <c r="AC51" s="126">
        <f>IF($D51="","",IF($AD51=0,0,IF(COUNTIFS($D$4:$D51,$D51,$B$4:$B51,$B51)&gt;1,0,IF($B51&lt;'Guide &amp; Settings'!$C$50,0,IF(($B51-$AD51)/7-'Guide &amp; Settings'!$C$48&gt;=0,(INT(($B51-$AD51)/7-'Guide &amp; Settings'!$C$48)+1)*'Guide &amp; Settings'!$C$49,0)))))</f>
        <v>0</v>
      </c>
      <c r="AD51" s="142">
        <f t="shared" si="17"/>
        <v>0</v>
      </c>
      <c r="AE51">
        <f t="shared" si="18"/>
        <v>1</v>
      </c>
      <c r="AF51">
        <f t="shared" si="19"/>
        <v>0</v>
      </c>
    </row>
    <row r="52" spans="1:32" ht="15" customHeight="1" x14ac:dyDescent="0.2">
      <c r="A52" s="117">
        <v>21</v>
      </c>
      <c r="B52" s="118">
        <v>46175</v>
      </c>
      <c r="C52" s="119" t="s">
        <v>50</v>
      </c>
      <c r="D52" s="119" t="s">
        <v>22</v>
      </c>
      <c r="E52" s="117" t="s">
        <v>371</v>
      </c>
      <c r="F52" s="120">
        <f t="shared" si="0"/>
        <v>2</v>
      </c>
      <c r="G52" s="121" t="str">
        <f t="shared" si="1"/>
        <v>Chase</v>
      </c>
      <c r="H52" s="122">
        <f>IF($D52="",0,IFERROR(LOOKUP(2,1/(($D$3:D51=$D52)*($A$3:A51&lt;$A52)),$N$3:N51),'Guide &amp; Settings'!$C$41))</f>
        <v>952.38418637421228</v>
      </c>
      <c r="I52" s="123">
        <f t="shared" si="2"/>
        <v>0.33333333333333331</v>
      </c>
      <c r="J52" s="124">
        <f>IF($D52="",0,IF($F52&lt;2,0,IF($E52="Win",('Guide &amp; Settings'!$C$42/(($F52-1)*COUNTIFS($A$4:$A$1510,$A52,$E$4:$E$1510,"Win")))*SUMIFS($X$4:$X$1510,$A$4:$A$1510,$A52,$E$4:$E$1510,"Loss"),-('Guide &amp; Settings'!$C$42/($F52-1))*$X52)))</f>
        <v>-13.685563721741987</v>
      </c>
      <c r="K52" s="124">
        <f>IF($D52="",0,'Guide &amp; Settings'!$C$43*(IF($E52="Win",1,0)-$I52))</f>
        <v>-4</v>
      </c>
      <c r="L52" s="125">
        <f>IF($D52="",0,'Guide &amp; Settings'!$C$44*IF($F52&gt;=3,$F52,0))</f>
        <v>0</v>
      </c>
      <c r="M52" s="124">
        <f t="shared" si="3"/>
        <v>-17.685563721741985</v>
      </c>
      <c r="N52" s="122">
        <f t="shared" si="4"/>
        <v>934.69862265247025</v>
      </c>
      <c r="O52" s="121" t="str">
        <f t="shared" si="5"/>
        <v>OK</v>
      </c>
      <c r="P52">
        <f t="shared" si="6"/>
        <v>1006.7190012924622</v>
      </c>
      <c r="Q52">
        <f t="shared" si="7"/>
        <v>0.42243721152164532</v>
      </c>
      <c r="R52">
        <f t="shared" si="8"/>
        <v>0.33333333333333331</v>
      </c>
      <c r="S52">
        <f t="shared" si="9"/>
        <v>1</v>
      </c>
      <c r="T52" s="89">
        <f t="shared" si="10"/>
        <v>1</v>
      </c>
      <c r="U52" s="126">
        <f>IF($D52="",0,IFERROR(LOOKUP(2,1/(($D$3:D51=$D52)*($C$3:C51=$C52)*($A$3:A51&lt;$A52)),$AB$3:AB51),1000))</f>
        <v>984</v>
      </c>
      <c r="V52" s="126">
        <f t="shared" si="11"/>
        <v>957.65348864517694</v>
      </c>
      <c r="W52">
        <f t="shared" si="12"/>
        <v>1008.2658344103852</v>
      </c>
      <c r="X52">
        <f t="shared" si="13"/>
        <v>0.4276738663044371</v>
      </c>
      <c r="Y52">
        <f t="shared" si="14"/>
        <v>1016</v>
      </c>
      <c r="Z52">
        <f t="shared" si="15"/>
        <v>0.45407807721951632</v>
      </c>
      <c r="AA52">
        <f>IF($D52="",0,IF($F52&lt;2,0,IF($E52="Win",('Guide &amp; Settings'!$C$42/(($F52-1)*COUNTIFS($A$4:$A$1510,$A52,$E$4:$E$1510,"Win")))*SUMIFS($Z$4:$Z$1510,$A$4:$A$1510,$A52,$E$4:$E$1510,"Loss"),-('Guide &amp; Settings'!$C$42/($F52-1))*$Z52)))</f>
        <v>-14.530498471024522</v>
      </c>
      <c r="AB52" s="126">
        <f t="shared" si="16"/>
        <v>969.46950152897546</v>
      </c>
      <c r="AC52" s="126">
        <f>IF($D52="","",IF($AD52=0,0,IF(COUNTIFS($D$4:$D52,$D52,$B$4:$B52,$B52)&gt;1,0,IF($B52&lt;'Guide &amp; Settings'!$C$50,0,IF(($B52-$AD52)/7-'Guide &amp; Settings'!$C$48&gt;=0,(INT(($B52-$AD52)/7-'Guide &amp; Settings'!$C$48)+1)*'Guide &amp; Settings'!$C$49,0)))))</f>
        <v>0</v>
      </c>
      <c r="AD52" s="142">
        <f t="shared" si="17"/>
        <v>46173</v>
      </c>
      <c r="AE52">
        <f t="shared" si="18"/>
        <v>1</v>
      </c>
      <c r="AF52">
        <f t="shared" si="19"/>
        <v>0</v>
      </c>
    </row>
    <row r="53" spans="1:32" ht="15" customHeight="1" x14ac:dyDescent="0.2">
      <c r="A53" s="117">
        <v>22</v>
      </c>
      <c r="B53" s="118">
        <v>46175</v>
      </c>
      <c r="C53" s="119" t="s">
        <v>50</v>
      </c>
      <c r="D53" s="119" t="s">
        <v>17</v>
      </c>
      <c r="E53" s="117" t="s">
        <v>370</v>
      </c>
      <c r="F53" s="120">
        <f t="shared" si="0"/>
        <v>2</v>
      </c>
      <c r="G53" s="121" t="str">
        <f t="shared" si="1"/>
        <v>Chase</v>
      </c>
      <c r="H53" s="122">
        <f>IF($D53="",0,IFERROR(LOOKUP(2,1/(($D$3:D52=$D53)*($A$3:A52&lt;$A53)),$N$3:N52),'Guide &amp; Settings'!$C$41))</f>
        <v>1024.4045650142041</v>
      </c>
      <c r="I53" s="123">
        <f t="shared" si="2"/>
        <v>0.75</v>
      </c>
      <c r="J53" s="124">
        <f>IF($D53="",0,IF($F53&lt;2,0,IF($E53="Win",('Guide &amp; Settings'!$C$42/(($F53-1)*COUNTIFS($A$4:$A$1510,$A53,$E$4:$E$1510,"Win")))*SUMIFS($X$4:$X$1510,$A$4:$A$1510,$A53,$E$4:$E$1510,"Loss"),-('Guide &amp; Settings'!$C$42/($F53-1))*$X53)))</f>
        <v>12.313200261907909</v>
      </c>
      <c r="K53" s="124">
        <f>IF($D53="",0,'Guide &amp; Settings'!$C$43*(IF($E53="Win",1,0)-$I53))</f>
        <v>3</v>
      </c>
      <c r="L53" s="125">
        <f>IF($D53="",0,'Guide &amp; Settings'!$C$44*IF($F53&gt;=3,$F53,0))</f>
        <v>0</v>
      </c>
      <c r="M53" s="124">
        <f t="shared" si="3"/>
        <v>15.313200261907909</v>
      </c>
      <c r="N53" s="122">
        <f t="shared" si="4"/>
        <v>1039.717765276112</v>
      </c>
      <c r="O53" s="121" t="str">
        <f t="shared" si="5"/>
        <v>OK</v>
      </c>
      <c r="P53">
        <f t="shared" si="6"/>
        <v>1024.4045650142041</v>
      </c>
      <c r="Q53">
        <f t="shared" si="7"/>
        <v>0.5</v>
      </c>
      <c r="R53">
        <f t="shared" si="8"/>
        <v>0.75</v>
      </c>
      <c r="S53">
        <f t="shared" si="9"/>
        <v>1</v>
      </c>
      <c r="T53" s="89">
        <f t="shared" si="10"/>
        <v>2</v>
      </c>
      <c r="U53" s="126">
        <f>IF($D53="",0,IFERROR(LOOKUP(2,1/(($D$3:D52=$D53)*($C$3:C52=$C53)*($A$3:A52&lt;$A53)),$AB$3:AB52),1000))</f>
        <v>1030.5304984710244</v>
      </c>
      <c r="V53" s="126">
        <f t="shared" si="11"/>
        <v>1026.1548317161528</v>
      </c>
      <c r="W53">
        <f t="shared" si="12"/>
        <v>1026.1548317161528</v>
      </c>
      <c r="X53">
        <f t="shared" si="13"/>
        <v>0.5</v>
      </c>
      <c r="Y53">
        <f t="shared" si="14"/>
        <v>1030.5304984710244</v>
      </c>
      <c r="Z53">
        <f t="shared" si="15"/>
        <v>0.5</v>
      </c>
      <c r="AA53">
        <f>IF($D53="",0,IF($F53&lt;2,0,IF($E53="Win",('Guide &amp; Settings'!$C$42/(($F53-1)*COUNTIFS($A$4:$A$1510,$A53,$E$4:$E$1510,"Win")))*SUMIFS($Z$4:$Z$1510,$A$4:$A$1510,$A53,$E$4:$E$1510,"Loss"),-('Guide &amp; Settings'!$C$42/($F53-1))*$Z53)))</f>
        <v>13.21663516258643</v>
      </c>
      <c r="AB53" s="126">
        <f t="shared" si="16"/>
        <v>1043.7471336336109</v>
      </c>
      <c r="AC53" s="126">
        <f>IF($D53="","",IF($AD53=0,0,IF(COUNTIFS($D$4:$D53,$D53,$B$4:$B53,$B53)&gt;1,0,IF($B53&lt;'Guide &amp; Settings'!$C$50,0,IF(($B53-$AD53)/7-'Guide &amp; Settings'!$C$48&gt;=0,(INT(($B53-$AD53)/7-'Guide &amp; Settings'!$C$48)+1)*'Guide &amp; Settings'!$C$49,0)))))</f>
        <v>0</v>
      </c>
      <c r="AD53" s="142">
        <f t="shared" si="17"/>
        <v>0</v>
      </c>
      <c r="AE53">
        <f t="shared" si="18"/>
        <v>1</v>
      </c>
      <c r="AF53">
        <f t="shared" si="19"/>
        <v>0</v>
      </c>
    </row>
    <row r="54" spans="1:32" ht="15" customHeight="1" x14ac:dyDescent="0.2">
      <c r="A54" s="117">
        <v>22</v>
      </c>
      <c r="B54" s="118">
        <v>46175</v>
      </c>
      <c r="C54" s="119" t="s">
        <v>50</v>
      </c>
      <c r="D54" s="119" t="s">
        <v>22</v>
      </c>
      <c r="E54" s="117" t="s">
        <v>371</v>
      </c>
      <c r="F54" s="120">
        <f t="shared" si="0"/>
        <v>2</v>
      </c>
      <c r="G54" s="121" t="str">
        <f t="shared" si="1"/>
        <v>Chase</v>
      </c>
      <c r="H54" s="122">
        <f>IF($D54="",0,IFERROR(LOOKUP(2,1/(($D$3:D53=$D54)*($A$3:A53&lt;$A54)),$N$3:N53),'Guide &amp; Settings'!$C$41))</f>
        <v>934.69862265247025</v>
      </c>
      <c r="I54" s="123">
        <f t="shared" si="2"/>
        <v>0.25</v>
      </c>
      <c r="J54" s="124">
        <f>IF($D54="",0,IF($F54&lt;2,0,IF($E54="Win",('Guide &amp; Settings'!$C$42/(($F54-1)*COUNTIFS($A$4:$A$1510,$A54,$E$4:$E$1510,"Win")))*SUMIFS($X$4:$X$1510,$A$4:$A$1510,$A54,$E$4:$E$1510,"Loss"),-('Guide &amp; Settings'!$C$42/($F54-1))*$X54)))</f>
        <v>-12.313200261907909</v>
      </c>
      <c r="K54" s="124">
        <f>IF($D54="",0,'Guide &amp; Settings'!$C$43*(IF($E54="Win",1,0)-$I54))</f>
        <v>-3</v>
      </c>
      <c r="L54" s="125">
        <f>IF($D54="",0,'Guide &amp; Settings'!$C$44*IF($F54&gt;=3,$F54,0))</f>
        <v>0</v>
      </c>
      <c r="M54" s="124">
        <f t="shared" si="3"/>
        <v>-15.313200261907909</v>
      </c>
      <c r="N54" s="122">
        <f t="shared" si="4"/>
        <v>919.38542239056233</v>
      </c>
      <c r="O54" s="121" t="str">
        <f t="shared" si="5"/>
        <v>OK</v>
      </c>
      <c r="P54">
        <f t="shared" si="6"/>
        <v>1024.4045650142041</v>
      </c>
      <c r="Q54">
        <f t="shared" si="7"/>
        <v>0.37369701330313077</v>
      </c>
      <c r="R54">
        <f t="shared" si="8"/>
        <v>0.25</v>
      </c>
      <c r="S54">
        <f t="shared" si="9"/>
        <v>1</v>
      </c>
      <c r="T54" s="89">
        <f t="shared" si="10"/>
        <v>2</v>
      </c>
      <c r="U54" s="126">
        <f>IF($D54="",0,IFERROR(LOOKUP(2,1/(($D$3:D53=$D54)*($C$3:C53=$C54)*($A$3:A53&lt;$A54)),$AB$3:AB53),1000))</f>
        <v>969.46950152897546</v>
      </c>
      <c r="V54" s="126">
        <f t="shared" si="11"/>
        <v>944.63315947432898</v>
      </c>
      <c r="W54">
        <f t="shared" si="12"/>
        <v>1026.1548317161528</v>
      </c>
      <c r="X54">
        <f t="shared" si="13"/>
        <v>0.38478750818462215</v>
      </c>
      <c r="Y54">
        <f t="shared" si="14"/>
        <v>1030.5304984710244</v>
      </c>
      <c r="Z54">
        <f t="shared" si="15"/>
        <v>0.41301984883082593</v>
      </c>
      <c r="AA54">
        <f>IF($D54="",0,IF($F54&lt;2,0,IF($E54="Win",('Guide &amp; Settings'!$C$42/(($F54-1)*COUNTIFS($A$4:$A$1510,$A54,$E$4:$E$1510,"Win")))*SUMIFS($Z$4:$Z$1510,$A$4:$A$1510,$A54,$E$4:$E$1510,"Loss"),-('Guide &amp; Settings'!$C$42/($F54-1))*$Z54)))</f>
        <v>-13.21663516258643</v>
      </c>
      <c r="AB54" s="126">
        <f t="shared" si="16"/>
        <v>956.25286636638907</v>
      </c>
      <c r="AC54" s="126">
        <f>IF($D54="","",IF($AD54=0,0,IF(COUNTIFS($D$4:$D54,$D54,$B$4:$B54,$B54)&gt;1,0,IF($B54&lt;'Guide &amp; Settings'!$C$50,0,IF(($B54-$AD54)/7-'Guide &amp; Settings'!$C$48&gt;=0,(INT(($B54-$AD54)/7-'Guide &amp; Settings'!$C$48)+1)*'Guide &amp; Settings'!$C$49,0)))))</f>
        <v>0</v>
      </c>
      <c r="AD54" s="142">
        <f t="shared" si="17"/>
        <v>46173</v>
      </c>
      <c r="AE54">
        <f t="shared" si="18"/>
        <v>1</v>
      </c>
      <c r="AF54">
        <f t="shared" si="19"/>
        <v>0</v>
      </c>
    </row>
    <row r="55" spans="1:32" ht="15" customHeight="1" x14ac:dyDescent="0.2">
      <c r="A55" s="117">
        <v>23</v>
      </c>
      <c r="B55" s="118">
        <v>46175</v>
      </c>
      <c r="C55" s="119" t="s">
        <v>50</v>
      </c>
      <c r="D55" s="119" t="s">
        <v>17</v>
      </c>
      <c r="E55" s="117" t="s">
        <v>370</v>
      </c>
      <c r="F55" s="120">
        <f t="shared" si="0"/>
        <v>2</v>
      </c>
      <c r="G55" s="121" t="str">
        <f t="shared" si="1"/>
        <v>Chase</v>
      </c>
      <c r="H55" s="122">
        <f>IF($D55="",0,IFERROR(LOOKUP(2,1/(($D$3:D54=$D55)*($A$3:A54&lt;$A55)),$N$3:N54),'Guide &amp; Settings'!$C$41))</f>
        <v>1039.717765276112</v>
      </c>
      <c r="I55" s="123">
        <f t="shared" si="2"/>
        <v>0.8</v>
      </c>
      <c r="J55" s="124">
        <f>IF($D55="",0,IF($F55&lt;2,0,IF($E55="Win",('Guide &amp; Settings'!$C$42/(($F55-1)*COUNTIFS($A$4:$A$1510,$A55,$E$4:$E$1510,"Win")))*SUMIFS($X$4:$X$1510,$A$4:$A$1510,$A55,$E$4:$E$1510,"Loss"),-('Guide &amp; Settings'!$C$42/($F55-1))*$X55)))</f>
        <v>11.17989549168626</v>
      </c>
      <c r="K55" s="124">
        <f>IF($D55="",0,'Guide &amp; Settings'!$C$43*(IF($E55="Win",1,0)-$I55))</f>
        <v>2.3999999999999995</v>
      </c>
      <c r="L55" s="125">
        <f>IF($D55="",0,'Guide &amp; Settings'!$C$44*IF($F55&gt;=3,$F55,0))</f>
        <v>0</v>
      </c>
      <c r="M55" s="124">
        <f t="shared" si="3"/>
        <v>13.579895491686258</v>
      </c>
      <c r="N55" s="122">
        <f t="shared" si="4"/>
        <v>1053.2976607677983</v>
      </c>
      <c r="O55" s="121" t="str">
        <f t="shared" si="5"/>
        <v>OK</v>
      </c>
      <c r="P55">
        <f t="shared" si="6"/>
        <v>1039.717765276112</v>
      </c>
      <c r="Q55">
        <f t="shared" si="7"/>
        <v>0.5</v>
      </c>
      <c r="R55">
        <f t="shared" si="8"/>
        <v>0.8</v>
      </c>
      <c r="S55">
        <f t="shared" si="9"/>
        <v>1</v>
      </c>
      <c r="T55" s="89">
        <f t="shared" si="10"/>
        <v>3</v>
      </c>
      <c r="U55" s="126">
        <f>IF($D55="",0,IFERROR(LOOKUP(2,1/(($D$3:D54=$D55)*($C$3:C54=$C55)*($A$3:A54&lt;$A55)),$AB$3:AB54),1000))</f>
        <v>1043.7471336336109</v>
      </c>
      <c r="V55" s="126">
        <f t="shared" si="11"/>
        <v>1041.2287784101741</v>
      </c>
      <c r="W55">
        <f t="shared" si="12"/>
        <v>1041.2287784101741</v>
      </c>
      <c r="X55">
        <f t="shared" si="13"/>
        <v>0.5</v>
      </c>
      <c r="Y55">
        <f t="shared" si="14"/>
        <v>1043.7471336336109</v>
      </c>
      <c r="Z55">
        <f t="shared" si="15"/>
        <v>0.5</v>
      </c>
      <c r="AA55">
        <f>IF($D55="",0,IF($F55&lt;2,0,IF($E55="Win",('Guide &amp; Settings'!$C$42/(($F55-1)*COUNTIFS($A$4:$A$1510,$A55,$E$4:$E$1510,"Win")))*SUMIFS($Z$4:$Z$1510,$A$4:$A$1510,$A55,$E$4:$E$1510,"Loss"),-('Guide &amp; Settings'!$C$42/($F55-1))*$Z55)))</f>
        <v>12.05380899538682</v>
      </c>
      <c r="AB55" s="126">
        <f t="shared" si="16"/>
        <v>1055.8009426289977</v>
      </c>
      <c r="AC55" s="126">
        <f>IF($D55="","",IF($AD55=0,0,IF(COUNTIFS($D$4:$D55,$D55,$B$4:$B55,$B55)&gt;1,0,IF($B55&lt;'Guide &amp; Settings'!$C$50,0,IF(($B55-$AD55)/7-'Guide &amp; Settings'!$C$48&gt;=0,(INT(($B55-$AD55)/7-'Guide &amp; Settings'!$C$48)+1)*'Guide &amp; Settings'!$C$49,0)))))</f>
        <v>0</v>
      </c>
      <c r="AD55" s="142">
        <f t="shared" si="17"/>
        <v>0</v>
      </c>
      <c r="AE55">
        <f t="shared" si="18"/>
        <v>1</v>
      </c>
      <c r="AF55">
        <f t="shared" si="19"/>
        <v>0</v>
      </c>
    </row>
    <row r="56" spans="1:32" ht="15" customHeight="1" x14ac:dyDescent="0.2">
      <c r="A56" s="117">
        <v>23</v>
      </c>
      <c r="B56" s="118">
        <v>46175</v>
      </c>
      <c r="C56" s="119" t="s">
        <v>50</v>
      </c>
      <c r="D56" s="119" t="s">
        <v>22</v>
      </c>
      <c r="E56" s="117" t="s">
        <v>371</v>
      </c>
      <c r="F56" s="120">
        <f t="shared" si="0"/>
        <v>2</v>
      </c>
      <c r="G56" s="121" t="str">
        <f t="shared" si="1"/>
        <v>Chase</v>
      </c>
      <c r="H56" s="122">
        <f>IF($D56="",0,IFERROR(LOOKUP(2,1/(($D$3:D55=$D56)*($A$3:A55&lt;$A56)),$N$3:N55),'Guide &amp; Settings'!$C$41))</f>
        <v>919.38542239056233</v>
      </c>
      <c r="I56" s="123">
        <f t="shared" si="2"/>
        <v>0.2</v>
      </c>
      <c r="J56" s="124">
        <f>IF($D56="",0,IF($F56&lt;2,0,IF($E56="Win",('Guide &amp; Settings'!$C$42/(($F56-1)*COUNTIFS($A$4:$A$1510,$A56,$E$4:$E$1510,"Win")))*SUMIFS($X$4:$X$1510,$A$4:$A$1510,$A56,$E$4:$E$1510,"Loss"),-('Guide &amp; Settings'!$C$42/($F56-1))*$X56)))</f>
        <v>-11.17989549168626</v>
      </c>
      <c r="K56" s="124">
        <f>IF($D56="",0,'Guide &amp; Settings'!$C$43*(IF($E56="Win",1,0)-$I56))</f>
        <v>-2.4000000000000004</v>
      </c>
      <c r="L56" s="125">
        <f>IF($D56="",0,'Guide &amp; Settings'!$C$44*IF($F56&gt;=3,$F56,0))</f>
        <v>0</v>
      </c>
      <c r="M56" s="124">
        <f t="shared" si="3"/>
        <v>-13.57989549168626</v>
      </c>
      <c r="N56" s="122">
        <f t="shared" si="4"/>
        <v>905.80552689887611</v>
      </c>
      <c r="O56" s="121" t="str">
        <f t="shared" si="5"/>
        <v>OK</v>
      </c>
      <c r="P56">
        <f t="shared" si="6"/>
        <v>1039.717765276112</v>
      </c>
      <c r="Q56">
        <f t="shared" si="7"/>
        <v>0.33343523739187136</v>
      </c>
      <c r="R56">
        <f t="shared" si="8"/>
        <v>0.2</v>
      </c>
      <c r="S56">
        <f t="shared" si="9"/>
        <v>1</v>
      </c>
      <c r="T56" s="89">
        <f t="shared" si="10"/>
        <v>3</v>
      </c>
      <c r="U56" s="126">
        <f>IF($D56="",0,IFERROR(LOOKUP(2,1/(($D$3:D55=$D56)*($C$3:C55=$C56)*($A$3:A55&lt;$A56)),$AB$3:AB55),1000))</f>
        <v>956.25286636638907</v>
      </c>
      <c r="V56" s="126">
        <f t="shared" si="11"/>
        <v>933.21071388149733</v>
      </c>
      <c r="W56">
        <f t="shared" si="12"/>
        <v>1041.2287784101741</v>
      </c>
      <c r="X56">
        <f t="shared" si="13"/>
        <v>0.34937173411519562</v>
      </c>
      <c r="Y56">
        <f t="shared" si="14"/>
        <v>1043.7471336336109</v>
      </c>
      <c r="Z56">
        <f t="shared" si="15"/>
        <v>0.37668153110583813</v>
      </c>
      <c r="AA56">
        <f>IF($D56="",0,IF($F56&lt;2,0,IF($E56="Win",('Guide &amp; Settings'!$C$42/(($F56-1)*COUNTIFS($A$4:$A$1510,$A56,$E$4:$E$1510,"Win")))*SUMIFS($Z$4:$Z$1510,$A$4:$A$1510,$A56,$E$4:$E$1510,"Loss"),-('Guide &amp; Settings'!$C$42/($F56-1))*$Z56)))</f>
        <v>-12.05380899538682</v>
      </c>
      <c r="AB56" s="126">
        <f t="shared" si="16"/>
        <v>944.19905737100225</v>
      </c>
      <c r="AC56" s="126">
        <f>IF($D56="","",IF($AD56=0,0,IF(COUNTIFS($D$4:$D56,$D56,$B$4:$B56,$B56)&gt;1,0,IF($B56&lt;'Guide &amp; Settings'!$C$50,0,IF(($B56-$AD56)/7-'Guide &amp; Settings'!$C$48&gt;=0,(INT(($B56-$AD56)/7-'Guide &amp; Settings'!$C$48)+1)*'Guide &amp; Settings'!$C$49,0)))))</f>
        <v>0</v>
      </c>
      <c r="AD56" s="142">
        <f t="shared" si="17"/>
        <v>46173</v>
      </c>
      <c r="AE56">
        <f t="shared" si="18"/>
        <v>1</v>
      </c>
      <c r="AF56">
        <f t="shared" si="19"/>
        <v>0</v>
      </c>
    </row>
    <row r="57" spans="1:32" ht="15" customHeight="1" x14ac:dyDescent="0.2">
      <c r="A57" s="117">
        <v>24</v>
      </c>
      <c r="B57" s="118">
        <v>46175</v>
      </c>
      <c r="C57" s="119" t="s">
        <v>44</v>
      </c>
      <c r="D57" s="119" t="s">
        <v>19</v>
      </c>
      <c r="E57" s="117" t="s">
        <v>370</v>
      </c>
      <c r="F57" s="120">
        <f t="shared" si="0"/>
        <v>2</v>
      </c>
      <c r="G57" s="121" t="str">
        <f t="shared" si="1"/>
        <v>Josh</v>
      </c>
      <c r="H57" s="122">
        <f>IF($D57="",0,IFERROR(LOOKUP(2,1/(($D$3:D56=$D57)*($A$3:A56&lt;$A57)),$N$3:N56),'Guide &amp; Settings'!$C$41))</f>
        <v>1059.1976953144354</v>
      </c>
      <c r="I57" s="123">
        <f t="shared" si="2"/>
        <v>0.8</v>
      </c>
      <c r="J57" s="124">
        <f>IF($D57="",0,IF($F57&lt;2,0,IF($E57="Win",('Guide &amp; Settings'!$C$42/(($F57-1)*COUNTIFS($A$4:$A$1510,$A57,$E$4:$E$1510,"Win")))*SUMIFS($X$4:$X$1510,$A$4:$A$1510,$A57,$E$4:$E$1510,"Loss"),-('Guide &amp; Settings'!$C$42/($F57-1))*$X57)))</f>
        <v>10.330925408275791</v>
      </c>
      <c r="K57" s="124">
        <f>IF($D57="",0,'Guide &amp; Settings'!$C$43*(IF($E57="Win",1,0)-$I57))</f>
        <v>2.3999999999999995</v>
      </c>
      <c r="L57" s="125">
        <f>IF($D57="",0,'Guide &amp; Settings'!$C$44*IF($F57&gt;=3,$F57,0))</f>
        <v>0</v>
      </c>
      <c r="M57" s="124">
        <f t="shared" si="3"/>
        <v>12.730925408275791</v>
      </c>
      <c r="N57" s="122">
        <f t="shared" si="4"/>
        <v>1071.9286207227112</v>
      </c>
      <c r="O57" s="121" t="str">
        <f t="shared" si="5"/>
        <v>OK</v>
      </c>
      <c r="P57">
        <f t="shared" si="6"/>
        <v>1059.1976953144354</v>
      </c>
      <c r="Q57">
        <f t="shared" si="7"/>
        <v>0.5</v>
      </c>
      <c r="R57">
        <f t="shared" si="8"/>
        <v>0.8</v>
      </c>
      <c r="S57">
        <f t="shared" si="9"/>
        <v>1</v>
      </c>
      <c r="T57" s="89">
        <f t="shared" si="10"/>
        <v>3</v>
      </c>
      <c r="U57" s="126">
        <f>IF($D57="",0,IFERROR(LOOKUP(2,1/(($D$3:D56=$D57)*($C$3:C56=$C57)*($A$3:A56&lt;$A57)),$AB$3:AB56),1000))</f>
        <v>1043.7471336336109</v>
      </c>
      <c r="V57" s="126">
        <f t="shared" si="11"/>
        <v>1053.403734684126</v>
      </c>
      <c r="W57">
        <f t="shared" si="12"/>
        <v>1053.403734684126</v>
      </c>
      <c r="X57">
        <f t="shared" si="13"/>
        <v>0.5</v>
      </c>
      <c r="Y57">
        <f t="shared" si="14"/>
        <v>1043.7471336336109</v>
      </c>
      <c r="Z57">
        <f t="shared" si="15"/>
        <v>0.5</v>
      </c>
      <c r="AA57">
        <f>IF($D57="",0,IF($F57&lt;2,0,IF($E57="Win",('Guide &amp; Settings'!$C$42/(($F57-1)*COUNTIFS($A$4:$A$1510,$A57,$E$4:$E$1510,"Win")))*SUMIFS($Z$4:$Z$1510,$A$4:$A$1510,$A57,$E$4:$E$1510,"Loss"),-('Guide &amp; Settings'!$C$42/($F57-1))*$Z57)))</f>
        <v>12.05380899538682</v>
      </c>
      <c r="AB57" s="126">
        <f t="shared" si="16"/>
        <v>1055.8009426289977</v>
      </c>
      <c r="AC57" s="126">
        <f>IF($D57="","",IF($AD57=0,0,IF(COUNTIFS($D$4:$D57,$D57,$B$4:$B57,$B57)&gt;1,0,IF($B57&lt;'Guide &amp; Settings'!$C$50,0,IF(($B57-$AD57)/7-'Guide &amp; Settings'!$C$48&gt;=0,(INT(($B57-$AD57)/7-'Guide &amp; Settings'!$C$48)+1)*'Guide &amp; Settings'!$C$49,0)))))</f>
        <v>0</v>
      </c>
      <c r="AD57" s="142">
        <f t="shared" si="17"/>
        <v>46172</v>
      </c>
      <c r="AE57">
        <f t="shared" si="18"/>
        <v>1</v>
      </c>
      <c r="AF57">
        <f t="shared" si="19"/>
        <v>0</v>
      </c>
    </row>
    <row r="58" spans="1:32" ht="15" customHeight="1" x14ac:dyDescent="0.2">
      <c r="A58" s="117">
        <v>24</v>
      </c>
      <c r="B58" s="118">
        <v>46175</v>
      </c>
      <c r="C58" s="119" t="s">
        <v>44</v>
      </c>
      <c r="D58" s="119" t="s">
        <v>22</v>
      </c>
      <c r="E58" s="117" t="s">
        <v>371</v>
      </c>
      <c r="F58" s="120">
        <f t="shared" si="0"/>
        <v>2</v>
      </c>
      <c r="G58" s="121" t="str">
        <f t="shared" si="1"/>
        <v>Josh</v>
      </c>
      <c r="H58" s="122">
        <f>IF($D58="",0,IFERROR(LOOKUP(2,1/(($D$3:D57=$D58)*($A$3:A57&lt;$A58)),$N$3:N57),'Guide &amp; Settings'!$C$41))</f>
        <v>905.80552689887611</v>
      </c>
      <c r="I58" s="123">
        <f t="shared" si="2"/>
        <v>0.2</v>
      </c>
      <c r="J58" s="124">
        <f>IF($D58="",0,IF($F58&lt;2,0,IF($E58="Win",('Guide &amp; Settings'!$C$42/(($F58-1)*COUNTIFS($A$4:$A$1510,$A58,$E$4:$E$1510,"Win")))*SUMIFS($X$4:$X$1510,$A$4:$A$1510,$A58,$E$4:$E$1510,"Loss"),-('Guide &amp; Settings'!$C$42/($F58-1))*$X58)))</f>
        <v>-10.330925408275791</v>
      </c>
      <c r="K58" s="124">
        <f>IF($D58="",0,'Guide &amp; Settings'!$C$43*(IF($E58="Win",1,0)-$I58))</f>
        <v>-2.4000000000000004</v>
      </c>
      <c r="L58" s="125">
        <f>IF($D58="",0,'Guide &amp; Settings'!$C$44*IF($F58&gt;=3,$F58,0))</f>
        <v>0</v>
      </c>
      <c r="M58" s="124">
        <f t="shared" si="3"/>
        <v>-12.730925408275791</v>
      </c>
      <c r="N58" s="122">
        <f t="shared" si="4"/>
        <v>893.07460149060034</v>
      </c>
      <c r="O58" s="121" t="str">
        <f t="shared" si="5"/>
        <v>OK</v>
      </c>
      <c r="P58">
        <f t="shared" si="6"/>
        <v>1059.1976953144354</v>
      </c>
      <c r="Q58">
        <f t="shared" si="7"/>
        <v>0.2925572567389505</v>
      </c>
      <c r="R58">
        <f t="shared" si="8"/>
        <v>0.2</v>
      </c>
      <c r="S58">
        <f t="shared" si="9"/>
        <v>1</v>
      </c>
      <c r="T58" s="89">
        <f t="shared" si="10"/>
        <v>3</v>
      </c>
      <c r="U58" s="126">
        <f>IF($D58="",0,IFERROR(LOOKUP(2,1/(($D$3:D57=$D58)*($C$3:C57=$C58)*($A$3:A57&lt;$A58)),$AB$3:AB57),1000))</f>
        <v>956.25286636638907</v>
      </c>
      <c r="V58" s="126">
        <f t="shared" si="11"/>
        <v>924.72327919919348</v>
      </c>
      <c r="W58">
        <f t="shared" si="12"/>
        <v>1053.403734684126</v>
      </c>
      <c r="X58">
        <f t="shared" si="13"/>
        <v>0.32284141900861846</v>
      </c>
      <c r="Y58">
        <f t="shared" si="14"/>
        <v>1043.7471336336109</v>
      </c>
      <c r="Z58">
        <f t="shared" si="15"/>
        <v>0.37668153110583813</v>
      </c>
      <c r="AA58">
        <f>IF($D58="",0,IF($F58&lt;2,0,IF($E58="Win",('Guide &amp; Settings'!$C$42/(($F58-1)*COUNTIFS($A$4:$A$1510,$A58,$E$4:$E$1510,"Win")))*SUMIFS($Z$4:$Z$1510,$A$4:$A$1510,$A58,$E$4:$E$1510,"Loss"),-('Guide &amp; Settings'!$C$42/($F58-1))*$Z58)))</f>
        <v>-12.05380899538682</v>
      </c>
      <c r="AB58" s="126">
        <f t="shared" si="16"/>
        <v>944.19905737100225</v>
      </c>
      <c r="AC58" s="126">
        <f>IF($D58="","",IF($AD58=0,0,IF(COUNTIFS($D$4:$D58,$D58,$B$4:$B58,$B58)&gt;1,0,IF($B58&lt;'Guide &amp; Settings'!$C$50,0,IF(($B58-$AD58)/7-'Guide &amp; Settings'!$C$48&gt;=0,(INT(($B58-$AD58)/7-'Guide &amp; Settings'!$C$48)+1)*'Guide &amp; Settings'!$C$49,0)))))</f>
        <v>0</v>
      </c>
      <c r="AD58" s="142">
        <f t="shared" si="17"/>
        <v>46173</v>
      </c>
      <c r="AE58">
        <f t="shared" si="18"/>
        <v>1</v>
      </c>
      <c r="AF58">
        <f t="shared" si="19"/>
        <v>0</v>
      </c>
    </row>
    <row r="59" spans="1:32" ht="15" customHeight="1" x14ac:dyDescent="0.2">
      <c r="A59" s="117">
        <v>25</v>
      </c>
      <c r="B59" s="118">
        <v>46175</v>
      </c>
      <c r="C59" s="119" t="s">
        <v>44</v>
      </c>
      <c r="D59" s="119" t="s">
        <v>19</v>
      </c>
      <c r="E59" s="117" t="s">
        <v>370</v>
      </c>
      <c r="F59" s="120">
        <f t="shared" si="0"/>
        <v>2</v>
      </c>
      <c r="G59" s="121" t="str">
        <f t="shared" si="1"/>
        <v>Josh</v>
      </c>
      <c r="H59" s="122">
        <f>IF($D59="",0,IFERROR(LOOKUP(2,1/(($D$3:D58=$D59)*($A$3:A58&lt;$A59)),$N$3:N58),'Guide &amp; Settings'!$C$41))</f>
        <v>1071.9286207227112</v>
      </c>
      <c r="I59" s="123">
        <f t="shared" si="2"/>
        <v>0.625</v>
      </c>
      <c r="J59" s="124">
        <f>IF($D59="",0,IF($F59&lt;2,0,IF($E59="Win",('Guide &amp; Settings'!$C$42/(($F59-1)*COUNTIFS($A$4:$A$1510,$A59,$E$4:$E$1510,"Win")))*SUMIFS($X$4:$X$1510,$A$4:$A$1510,$A59,$E$4:$E$1510,"Loss"),-('Guide &amp; Settings'!$C$42/($F59-1))*$X59)))</f>
        <v>13.239618489593605</v>
      </c>
      <c r="K59" s="124">
        <f>IF($D59="",0,'Guide &amp; Settings'!$C$43*(IF($E59="Win",1,0)-$I59))</f>
        <v>4.5</v>
      </c>
      <c r="L59" s="125">
        <f>IF($D59="",0,'Guide &amp; Settings'!$C$44*IF($F59&gt;=3,$F59,0))</f>
        <v>0</v>
      </c>
      <c r="M59" s="124">
        <f t="shared" si="3"/>
        <v>17.739618489593603</v>
      </c>
      <c r="N59" s="122">
        <f t="shared" si="4"/>
        <v>1089.6682392123048</v>
      </c>
      <c r="O59" s="121" t="str">
        <f t="shared" si="5"/>
        <v>OK</v>
      </c>
      <c r="P59">
        <f t="shared" si="6"/>
        <v>1071.9286207227112</v>
      </c>
      <c r="Q59">
        <f t="shared" si="7"/>
        <v>0.5</v>
      </c>
      <c r="R59">
        <f t="shared" si="8"/>
        <v>0.83333333333333337</v>
      </c>
      <c r="S59">
        <f t="shared" si="9"/>
        <v>1.3333333333333335</v>
      </c>
      <c r="T59" s="89">
        <f t="shared" si="10"/>
        <v>4</v>
      </c>
      <c r="U59" s="126">
        <f>IF($D59="",0,IFERROR(LOOKUP(2,1/(($D$3:D58=$D59)*($C$3:C58=$C59)*($A$3:A58&lt;$A59)),$AB$3:AB58),1000))</f>
        <v>1055.8009426289977</v>
      </c>
      <c r="V59" s="126">
        <f t="shared" si="11"/>
        <v>1064.7607637921719</v>
      </c>
      <c r="W59">
        <f t="shared" si="12"/>
        <v>1064.7607637921719</v>
      </c>
      <c r="X59">
        <f t="shared" si="13"/>
        <v>0.5</v>
      </c>
      <c r="Y59">
        <f t="shared" si="14"/>
        <v>1055.8009426289977</v>
      </c>
      <c r="Z59">
        <f t="shared" si="15"/>
        <v>0.5</v>
      </c>
      <c r="AA59">
        <f>IF($D59="",0,IF($F59&lt;2,0,IF($E59="Win",('Guide &amp; Settings'!$C$42/(($F59-1)*COUNTIFS($A$4:$A$1510,$A59,$E$4:$E$1510,"Win")))*SUMIFS($Z$4:$Z$1510,$A$4:$A$1510,$A59,$E$4:$E$1510,"Loss"),-('Guide &amp; Settings'!$C$42/($F59-1))*$Z59)))</f>
        <v>13.452141330484256</v>
      </c>
      <c r="AB59" s="126">
        <f t="shared" si="16"/>
        <v>1069.253083959482</v>
      </c>
      <c r="AC59" s="126">
        <f>IF($D59="","",IF($AD59=0,0,IF(COUNTIFS($D$4:$D59,$D59,$B$4:$B59,$B59)&gt;1,0,IF($B59&lt;'Guide &amp; Settings'!$C$50,0,IF(($B59-$AD59)/7-'Guide &amp; Settings'!$C$48&gt;=0,(INT(($B59-$AD59)/7-'Guide &amp; Settings'!$C$48)+1)*'Guide &amp; Settings'!$C$49,0)))))</f>
        <v>0</v>
      </c>
      <c r="AD59" s="142">
        <f t="shared" si="17"/>
        <v>46172</v>
      </c>
      <c r="AE59">
        <f t="shared" si="18"/>
        <v>1</v>
      </c>
      <c r="AF59">
        <f t="shared" si="19"/>
        <v>0</v>
      </c>
    </row>
    <row r="60" spans="1:32" ht="15" customHeight="1" x14ac:dyDescent="0.2">
      <c r="A60" s="117">
        <v>25</v>
      </c>
      <c r="B60" s="118">
        <v>46175</v>
      </c>
      <c r="C60" s="119" t="s">
        <v>44</v>
      </c>
      <c r="D60" s="119" t="s">
        <v>18</v>
      </c>
      <c r="E60" s="117" t="s">
        <v>371</v>
      </c>
      <c r="F60" s="120">
        <f t="shared" si="0"/>
        <v>2</v>
      </c>
      <c r="G60" s="121" t="str">
        <f t="shared" si="1"/>
        <v>Josh</v>
      </c>
      <c r="H60" s="122">
        <f>IF($D60="",0,IFERROR(LOOKUP(2,1/(($D$3:D59=$D60)*($A$3:A59&lt;$A60)),$N$3:N59),'Guide &amp; Settings'!$C$41))</f>
        <v>1004.2142857142857</v>
      </c>
      <c r="I60" s="123">
        <f t="shared" si="2"/>
        <v>0.37499999999999994</v>
      </c>
      <c r="J60" s="124">
        <f>IF($D60="",0,IF($F60&lt;2,0,IF($E60="Win",('Guide &amp; Settings'!$C$42/(($F60-1)*COUNTIFS($A$4:$A$1510,$A60,$E$4:$E$1510,"Win")))*SUMIFS($X$4:$X$1510,$A$4:$A$1510,$A60,$E$4:$E$1510,"Loss"),-('Guide &amp; Settings'!$C$42/($F60-1))*$X60)))</f>
        <v>-13.239618489593605</v>
      </c>
      <c r="K60" s="124">
        <f>IF($D60="",0,'Guide &amp; Settings'!$C$43*(IF($E60="Win",1,0)-$I60))</f>
        <v>-4.4999999999999991</v>
      </c>
      <c r="L60" s="125">
        <f>IF($D60="",0,'Guide &amp; Settings'!$C$44*IF($F60&gt;=3,$F60,0))</f>
        <v>0</v>
      </c>
      <c r="M60" s="124">
        <f t="shared" si="3"/>
        <v>-17.739618489593603</v>
      </c>
      <c r="N60" s="122">
        <f t="shared" si="4"/>
        <v>986.4746672246921</v>
      </c>
      <c r="O60" s="121" t="str">
        <f t="shared" si="5"/>
        <v>OK</v>
      </c>
      <c r="P60">
        <f t="shared" si="6"/>
        <v>1071.9286207227112</v>
      </c>
      <c r="Q60">
        <f t="shared" si="7"/>
        <v>0.40376664019629765</v>
      </c>
      <c r="R60">
        <f t="shared" si="8"/>
        <v>0.5</v>
      </c>
      <c r="S60">
        <f t="shared" si="9"/>
        <v>1.3333333333333335</v>
      </c>
      <c r="T60" s="89">
        <f t="shared" si="10"/>
        <v>0</v>
      </c>
      <c r="U60" s="126">
        <f>IF($D60="",0,IFERROR(LOOKUP(2,1/(($D$3:D59=$D60)*($C$3:C59=$C60)*($A$3:A59&lt;$A60)),$AB$3:AB59),1000))</f>
        <v>1000</v>
      </c>
      <c r="V60" s="126">
        <f t="shared" si="11"/>
        <v>1004.2142857142857</v>
      </c>
      <c r="W60">
        <f t="shared" si="12"/>
        <v>1064.7607637921719</v>
      </c>
      <c r="X60">
        <f t="shared" si="13"/>
        <v>0.41373807779980015</v>
      </c>
      <c r="Y60">
        <f t="shared" si="14"/>
        <v>1055.8009426289977</v>
      </c>
      <c r="Z60">
        <f t="shared" si="15"/>
        <v>0.420379416577633</v>
      </c>
      <c r="AA60">
        <f>IF($D60="",0,IF($F60&lt;2,0,IF($E60="Win",('Guide &amp; Settings'!$C$42/(($F60-1)*COUNTIFS($A$4:$A$1510,$A60,$E$4:$E$1510,"Win")))*SUMIFS($Z$4:$Z$1510,$A$4:$A$1510,$A60,$E$4:$E$1510,"Loss"),-('Guide &amp; Settings'!$C$42/($F60-1))*$Z60)))</f>
        <v>-13.452141330484256</v>
      </c>
      <c r="AB60" s="126">
        <f t="shared" si="16"/>
        <v>986.54785866951579</v>
      </c>
      <c r="AC60" s="126">
        <f>IF($D60="","",IF($AD60=0,0,IF(COUNTIFS($D$4:$D60,$D60,$B$4:$B60,$B60)&gt;1,0,IF($B60&lt;'Guide &amp; Settings'!$C$50,0,IF(($B60-$AD60)/7-'Guide &amp; Settings'!$C$48&gt;=0,(INT(($B60-$AD60)/7-'Guide &amp; Settings'!$C$48)+1)*'Guide &amp; Settings'!$C$49,0)))))</f>
        <v>0</v>
      </c>
      <c r="AD60" s="142">
        <f t="shared" si="17"/>
        <v>0</v>
      </c>
      <c r="AE60">
        <f t="shared" si="18"/>
        <v>1</v>
      </c>
      <c r="AF60">
        <f t="shared" si="19"/>
        <v>0</v>
      </c>
    </row>
    <row r="61" spans="1:32" ht="15" customHeight="1" x14ac:dyDescent="0.2">
      <c r="A61" s="117">
        <v>26</v>
      </c>
      <c r="B61" s="118">
        <v>46175</v>
      </c>
      <c r="C61" s="119" t="s">
        <v>44</v>
      </c>
      <c r="D61" s="119" t="s">
        <v>18</v>
      </c>
      <c r="E61" s="117" t="s">
        <v>371</v>
      </c>
      <c r="F61" s="120">
        <f t="shared" si="0"/>
        <v>2</v>
      </c>
      <c r="G61" s="121" t="str">
        <f t="shared" si="1"/>
        <v>Daniel (Ferret)</v>
      </c>
      <c r="H61" s="122">
        <f>IF($D61="",0,IFERROR(LOOKUP(2,1/(($D$3:D60=$D61)*($A$3:A60&lt;$A61)),$N$3:N60),'Guide &amp; Settings'!$C$41))</f>
        <v>986.4746672246921</v>
      </c>
      <c r="I61" s="123">
        <f t="shared" si="2"/>
        <v>0.66666666666666663</v>
      </c>
      <c r="J61" s="124">
        <f>IF($D61="",0,IF($F61&lt;2,0,IF($E61="Win",('Guide &amp; Settings'!$C$42/(($F61-1)*COUNTIFS($A$4:$A$1510,$A61,$E$4:$E$1510,"Win")))*SUMIFS($X$4:$X$1510,$A$4:$A$1510,$A61,$E$4:$E$1510,"Loss"),-('Guide &amp; Settings'!$C$42/($F61-1))*$X61)))</f>
        <v>-19.211217893098144</v>
      </c>
      <c r="K61" s="124">
        <f>IF($D61="",0,'Guide &amp; Settings'!$C$43*(IF($E61="Win",1,0)-$I61))</f>
        <v>-8</v>
      </c>
      <c r="L61" s="125">
        <f>IF($D61="",0,'Guide &amp; Settings'!$C$44*IF($F61&gt;=3,$F61,0))</f>
        <v>0</v>
      </c>
      <c r="M61" s="124">
        <f t="shared" si="3"/>
        <v>-27.211217893098144</v>
      </c>
      <c r="N61" s="122">
        <f t="shared" si="4"/>
        <v>959.26344933159396</v>
      </c>
      <c r="O61" s="121" t="str">
        <f t="shared" si="5"/>
        <v>OK</v>
      </c>
      <c r="P61">
        <f t="shared" si="6"/>
        <v>893.07460149060034</v>
      </c>
      <c r="Q61">
        <f t="shared" si="7"/>
        <v>0.63126650922657901</v>
      </c>
      <c r="R61">
        <f t="shared" si="8"/>
        <v>0.33333333333333331</v>
      </c>
      <c r="S61">
        <f t="shared" si="9"/>
        <v>0.5</v>
      </c>
      <c r="T61" s="89">
        <f t="shared" si="10"/>
        <v>1</v>
      </c>
      <c r="U61" s="126">
        <f>IF($D61="",0,IFERROR(LOOKUP(2,1/(($D$3:D60=$D61)*($C$3:C60=$C61)*($A$3:A60&lt;$A61)),$AB$3:AB60),1000))</f>
        <v>986.54785866951579</v>
      </c>
      <c r="V61" s="126">
        <f t="shared" si="11"/>
        <v>986.4868657988294</v>
      </c>
      <c r="W61">
        <f t="shared" si="12"/>
        <v>915.79658188189001</v>
      </c>
      <c r="X61">
        <f t="shared" si="13"/>
        <v>0.60035055915931701</v>
      </c>
      <c r="Y61">
        <f t="shared" si="14"/>
        <v>944.19905737100225</v>
      </c>
      <c r="Z61">
        <f t="shared" si="15"/>
        <v>0.56064478622154601</v>
      </c>
      <c r="AA61">
        <f>IF($D61="",0,IF($F61&lt;2,0,IF($E61="Win",('Guide &amp; Settings'!$C$42/(($F61-1)*COUNTIFS($A$4:$A$1510,$A61,$E$4:$E$1510,"Win")))*SUMIFS($Z$4:$Z$1510,$A$4:$A$1510,$A61,$E$4:$E$1510,"Loss"),-('Guide &amp; Settings'!$C$42/($F61-1))*$Z61)))</f>
        <v>-17.940633159089472</v>
      </c>
      <c r="AB61" s="126">
        <f t="shared" si="16"/>
        <v>968.60722551042636</v>
      </c>
      <c r="AC61" s="126">
        <f>IF($D61="","",IF($AD61=0,0,IF(COUNTIFS($D$4:$D61,$D61,$B$4:$B61,$B61)&gt;1,0,IF($B61&lt;'Guide &amp; Settings'!$C$50,0,IF(($B61-$AD61)/7-'Guide &amp; Settings'!$C$48&gt;=0,(INT(($B61-$AD61)/7-'Guide &amp; Settings'!$C$48)+1)*'Guide &amp; Settings'!$C$49,0)))))</f>
        <v>0</v>
      </c>
      <c r="AD61" s="142">
        <f t="shared" si="17"/>
        <v>0</v>
      </c>
      <c r="AE61">
        <f t="shared" si="18"/>
        <v>1</v>
      </c>
      <c r="AF61">
        <f t="shared" si="19"/>
        <v>0</v>
      </c>
    </row>
    <row r="62" spans="1:32" ht="15" customHeight="1" x14ac:dyDescent="0.2">
      <c r="A62" s="117">
        <v>26</v>
      </c>
      <c r="B62" s="118">
        <v>46175</v>
      </c>
      <c r="C62" s="119" t="s">
        <v>44</v>
      </c>
      <c r="D62" s="119" t="s">
        <v>22</v>
      </c>
      <c r="E62" s="117" t="s">
        <v>370</v>
      </c>
      <c r="F62" s="120">
        <f t="shared" si="0"/>
        <v>2</v>
      </c>
      <c r="G62" s="121" t="str">
        <f t="shared" si="1"/>
        <v>Daniel (Ferret)</v>
      </c>
      <c r="H62" s="122">
        <f>IF($D62="",0,IFERROR(LOOKUP(2,1/(($D$3:D61=$D62)*($A$3:A61&lt;$A62)),$N$3:N61),'Guide &amp; Settings'!$C$41))</f>
        <v>893.07460149060034</v>
      </c>
      <c r="I62" s="123">
        <f t="shared" si="2"/>
        <v>0.33333333333333331</v>
      </c>
      <c r="J62" s="124">
        <f>IF($D62="",0,IF($F62&lt;2,0,IF($E62="Win",('Guide &amp; Settings'!$C$42/(($F62-1)*COUNTIFS($A$4:$A$1510,$A62,$E$4:$E$1510,"Win")))*SUMIFS($X$4:$X$1510,$A$4:$A$1510,$A62,$E$4:$E$1510,"Loss"),-('Guide &amp; Settings'!$C$42/($F62-1))*$X62)))</f>
        <v>19.211217893098144</v>
      </c>
      <c r="K62" s="124">
        <f>IF($D62="",0,'Guide &amp; Settings'!$C$43*(IF($E62="Win",1,0)-$I62))</f>
        <v>8</v>
      </c>
      <c r="L62" s="125">
        <f>IF($D62="",0,'Guide &amp; Settings'!$C$44*IF($F62&gt;=3,$F62,0))</f>
        <v>0</v>
      </c>
      <c r="M62" s="124">
        <f t="shared" si="3"/>
        <v>27.211217893098144</v>
      </c>
      <c r="N62" s="122">
        <f t="shared" si="4"/>
        <v>920.28581938369848</v>
      </c>
      <c r="O62" s="121" t="str">
        <f t="shared" si="5"/>
        <v>OK</v>
      </c>
      <c r="P62">
        <f t="shared" si="6"/>
        <v>893.07460149060034</v>
      </c>
      <c r="Q62">
        <f t="shared" si="7"/>
        <v>0.5</v>
      </c>
      <c r="R62">
        <f t="shared" si="8"/>
        <v>0.16666666666666666</v>
      </c>
      <c r="S62">
        <f t="shared" si="9"/>
        <v>0.5</v>
      </c>
      <c r="T62" s="89">
        <f t="shared" si="10"/>
        <v>4</v>
      </c>
      <c r="U62" s="126">
        <f>IF($D62="",0,IFERROR(LOOKUP(2,1/(($D$3:D61=$D62)*($C$3:C61=$C62)*($A$3:A61&lt;$A62)),$AB$3:AB61),1000))</f>
        <v>944.19905737100225</v>
      </c>
      <c r="V62" s="126">
        <f t="shared" si="11"/>
        <v>915.79658188189001</v>
      </c>
      <c r="W62">
        <f t="shared" si="12"/>
        <v>915.79658188189001</v>
      </c>
      <c r="X62">
        <f t="shared" si="13"/>
        <v>0.5</v>
      </c>
      <c r="Y62">
        <f t="shared" si="14"/>
        <v>944.19905737100225</v>
      </c>
      <c r="Z62">
        <f t="shared" si="15"/>
        <v>0.5</v>
      </c>
      <c r="AA62">
        <f>IF($D62="",0,IF($F62&lt;2,0,IF($E62="Win",('Guide &amp; Settings'!$C$42/(($F62-1)*COUNTIFS($A$4:$A$1510,$A62,$E$4:$E$1510,"Win")))*SUMIFS($Z$4:$Z$1510,$A$4:$A$1510,$A62,$E$4:$E$1510,"Loss"),-('Guide &amp; Settings'!$C$42/($F62-1))*$Z62)))</f>
        <v>17.940633159089472</v>
      </c>
      <c r="AB62" s="126">
        <f t="shared" si="16"/>
        <v>962.13969053009168</v>
      </c>
      <c r="AC62" s="126">
        <f>IF($D62="","",IF($AD62=0,0,IF(COUNTIFS($D$4:$D62,$D62,$B$4:$B62,$B62)&gt;1,0,IF($B62&lt;'Guide &amp; Settings'!$C$50,0,IF(($B62-$AD62)/7-'Guide &amp; Settings'!$C$48&gt;=0,(INT(($B62-$AD62)/7-'Guide &amp; Settings'!$C$48)+1)*'Guide &amp; Settings'!$C$49,0)))))</f>
        <v>0</v>
      </c>
      <c r="AD62" s="142">
        <f t="shared" si="17"/>
        <v>46173</v>
      </c>
      <c r="AE62">
        <f t="shared" si="18"/>
        <v>1</v>
      </c>
      <c r="AF62">
        <f t="shared" si="19"/>
        <v>0</v>
      </c>
    </row>
    <row r="63" spans="1:32" ht="15" customHeight="1" x14ac:dyDescent="0.2">
      <c r="A63" s="117">
        <v>27</v>
      </c>
      <c r="B63" s="118">
        <v>46175</v>
      </c>
      <c r="C63" s="119" t="s">
        <v>44</v>
      </c>
      <c r="D63" s="119" t="s">
        <v>19</v>
      </c>
      <c r="E63" s="117" t="s">
        <v>370</v>
      </c>
      <c r="F63" s="120">
        <f t="shared" si="0"/>
        <v>2</v>
      </c>
      <c r="G63" s="121" t="str">
        <f t="shared" si="1"/>
        <v>Josh</v>
      </c>
      <c r="H63" s="122">
        <f>IF($D63="",0,IFERROR(LOOKUP(2,1/(($D$3:D62=$D63)*($A$3:A62&lt;$A63)),$N$3:N62),'Guide &amp; Settings'!$C$41))</f>
        <v>1089.6682392123048</v>
      </c>
      <c r="I63" s="123">
        <f t="shared" si="2"/>
        <v>0.75</v>
      </c>
      <c r="J63" s="124">
        <f>IF($D63="",0,IF($F63&lt;2,0,IF($E63="Win",('Guide &amp; Settings'!$C$42/(($F63-1)*COUNTIFS($A$4:$A$1510,$A63,$E$4:$E$1510,"Win")))*SUMIFS($X$4:$X$1510,$A$4:$A$1510,$A63,$E$4:$E$1510,"Loss"),-('Guide &amp; Settings'!$C$42/($F63-1))*$X63)))</f>
        <v>9.9494592506017394</v>
      </c>
      <c r="K63" s="124">
        <f>IF($D63="",0,'Guide &amp; Settings'!$C$43*(IF($E63="Win",1,0)-$I63))</f>
        <v>3</v>
      </c>
      <c r="L63" s="125">
        <f>IF($D63="",0,'Guide &amp; Settings'!$C$44*IF($F63&gt;=3,$F63,0))</f>
        <v>0</v>
      </c>
      <c r="M63" s="124">
        <f t="shared" si="3"/>
        <v>12.949459250601739</v>
      </c>
      <c r="N63" s="122">
        <f t="shared" si="4"/>
        <v>1102.6176984629064</v>
      </c>
      <c r="O63" s="121" t="str">
        <f t="shared" si="5"/>
        <v>OK</v>
      </c>
      <c r="P63">
        <f t="shared" si="6"/>
        <v>1089.6682392123048</v>
      </c>
      <c r="Q63">
        <f t="shared" si="7"/>
        <v>0.5</v>
      </c>
      <c r="R63">
        <f t="shared" si="8"/>
        <v>0.8571428571428571</v>
      </c>
      <c r="S63">
        <f t="shared" si="9"/>
        <v>1.1428571428571428</v>
      </c>
      <c r="T63" s="89">
        <f t="shared" si="10"/>
        <v>5</v>
      </c>
      <c r="U63" s="126">
        <f>IF($D63="",0,IFERROR(LOOKUP(2,1/(($D$3:D62=$D63)*($C$3:C62=$C63)*($A$3:A62&lt;$A63)),$AB$3:AB62),1000))</f>
        <v>1069.253083959482</v>
      </c>
      <c r="V63" s="126">
        <f t="shared" si="11"/>
        <v>1079.4606615858934</v>
      </c>
      <c r="W63">
        <f t="shared" si="12"/>
        <v>1079.4606615858934</v>
      </c>
      <c r="X63">
        <f t="shared" si="13"/>
        <v>0.5</v>
      </c>
      <c r="Y63">
        <f t="shared" si="14"/>
        <v>1069.253083959482</v>
      </c>
      <c r="Z63">
        <f t="shared" si="15"/>
        <v>0.5</v>
      </c>
      <c r="AA63">
        <f>IF($D63="",0,IF($F63&lt;2,0,IF($E63="Win",('Guide &amp; Settings'!$C$42/(($F63-1)*COUNTIFS($A$4:$A$1510,$A63,$E$4:$E$1510,"Win")))*SUMIFS($Z$4:$Z$1510,$A$4:$A$1510,$A63,$E$4:$E$1510,"Loss"),-('Guide &amp; Settings'!$C$42/($F63-1))*$Z63)))</f>
        <v>11.217805764397081</v>
      </c>
      <c r="AB63" s="126">
        <f t="shared" si="16"/>
        <v>1080.4708897238791</v>
      </c>
      <c r="AC63" s="126">
        <f>IF($D63="","",IF($AD63=0,0,IF(COUNTIFS($D$4:$D63,$D63,$B$4:$B63,$B63)&gt;1,0,IF($B63&lt;'Guide &amp; Settings'!$C$50,0,IF(($B63-$AD63)/7-'Guide &amp; Settings'!$C$48&gt;=0,(INT(($B63-$AD63)/7-'Guide &amp; Settings'!$C$48)+1)*'Guide &amp; Settings'!$C$49,0)))))</f>
        <v>0</v>
      </c>
      <c r="AD63" s="142">
        <f t="shared" si="17"/>
        <v>46172</v>
      </c>
      <c r="AE63">
        <f t="shared" si="18"/>
        <v>1</v>
      </c>
      <c r="AF63">
        <f t="shared" si="19"/>
        <v>0</v>
      </c>
    </row>
    <row r="64" spans="1:32" ht="15" customHeight="1" x14ac:dyDescent="0.2">
      <c r="A64" s="117">
        <v>27</v>
      </c>
      <c r="B64" s="118">
        <v>46175</v>
      </c>
      <c r="C64" s="119" t="s">
        <v>44</v>
      </c>
      <c r="D64" s="119" t="s">
        <v>22</v>
      </c>
      <c r="E64" s="117" t="s">
        <v>371</v>
      </c>
      <c r="F64" s="120">
        <f t="shared" si="0"/>
        <v>2</v>
      </c>
      <c r="G64" s="121" t="str">
        <f t="shared" si="1"/>
        <v>Josh</v>
      </c>
      <c r="H64" s="122">
        <f>IF($D64="",0,IFERROR(LOOKUP(2,1/(($D$3:D63=$D64)*($A$3:A63&lt;$A64)),$N$3:N63),'Guide &amp; Settings'!$C$41))</f>
        <v>920.28581938369848</v>
      </c>
      <c r="I64" s="123">
        <f t="shared" si="2"/>
        <v>0.25</v>
      </c>
      <c r="J64" s="124">
        <f>IF($D64="",0,IF($F64&lt;2,0,IF($E64="Win",('Guide &amp; Settings'!$C$42/(($F64-1)*COUNTIFS($A$4:$A$1510,$A64,$E$4:$E$1510,"Win")))*SUMIFS($X$4:$X$1510,$A$4:$A$1510,$A64,$E$4:$E$1510,"Loss"),-('Guide &amp; Settings'!$C$42/($F64-1))*$X64)))</f>
        <v>-9.9494592506017394</v>
      </c>
      <c r="K64" s="124">
        <f>IF($D64="",0,'Guide &amp; Settings'!$C$43*(IF($E64="Win",1,0)-$I64))</f>
        <v>-3</v>
      </c>
      <c r="L64" s="125">
        <f>IF($D64="",0,'Guide &amp; Settings'!$C$44*IF($F64&gt;=3,$F64,0))</f>
        <v>0</v>
      </c>
      <c r="M64" s="124">
        <f t="shared" si="3"/>
        <v>-12.949459250601739</v>
      </c>
      <c r="N64" s="122">
        <f t="shared" si="4"/>
        <v>907.33636013309672</v>
      </c>
      <c r="O64" s="121" t="str">
        <f t="shared" si="5"/>
        <v>OK</v>
      </c>
      <c r="P64">
        <f t="shared" si="6"/>
        <v>1089.6682392123048</v>
      </c>
      <c r="Q64">
        <f t="shared" si="7"/>
        <v>0.27387635053413867</v>
      </c>
      <c r="R64">
        <f t="shared" si="8"/>
        <v>0.2857142857142857</v>
      </c>
      <c r="S64">
        <f t="shared" si="9"/>
        <v>1.1428571428571428</v>
      </c>
      <c r="T64" s="89">
        <f t="shared" si="10"/>
        <v>5</v>
      </c>
      <c r="U64" s="126">
        <f>IF($D64="",0,IFERROR(LOOKUP(2,1/(($D$3:D63=$D64)*($C$3:C63=$C64)*($A$3:A63&lt;$A64)),$AB$3:AB63),1000))</f>
        <v>962.13969053009168</v>
      </c>
      <c r="V64" s="126">
        <f t="shared" si="11"/>
        <v>941.21275495689508</v>
      </c>
      <c r="W64">
        <f t="shared" si="12"/>
        <v>1079.4606615858934</v>
      </c>
      <c r="X64">
        <f t="shared" si="13"/>
        <v>0.31092060158130436</v>
      </c>
      <c r="Y64">
        <f t="shared" si="14"/>
        <v>1069.253083959482</v>
      </c>
      <c r="Z64">
        <f t="shared" si="15"/>
        <v>0.35055643013740878</v>
      </c>
      <c r="AA64">
        <f>IF($D64="",0,IF($F64&lt;2,0,IF($E64="Win",('Guide &amp; Settings'!$C$42/(($F64-1)*COUNTIFS($A$4:$A$1510,$A64,$E$4:$E$1510,"Win")))*SUMIFS($Z$4:$Z$1510,$A$4:$A$1510,$A64,$E$4:$E$1510,"Loss"),-('Guide &amp; Settings'!$C$42/($F64-1))*$Z64)))</f>
        <v>-11.217805764397081</v>
      </c>
      <c r="AB64" s="126">
        <f t="shared" si="16"/>
        <v>950.92188476569459</v>
      </c>
      <c r="AC64" s="126">
        <f>IF($D64="","",IF($AD64=0,0,IF(COUNTIFS($D$4:$D64,$D64,$B$4:$B64,$B64)&gt;1,0,IF($B64&lt;'Guide &amp; Settings'!$C$50,0,IF(($B64-$AD64)/7-'Guide &amp; Settings'!$C$48&gt;=0,(INT(($B64-$AD64)/7-'Guide &amp; Settings'!$C$48)+1)*'Guide &amp; Settings'!$C$49,0)))))</f>
        <v>0</v>
      </c>
      <c r="AD64" s="142">
        <f t="shared" si="17"/>
        <v>46173</v>
      </c>
      <c r="AE64">
        <f t="shared" si="18"/>
        <v>1</v>
      </c>
      <c r="AF64">
        <f t="shared" si="19"/>
        <v>0</v>
      </c>
    </row>
    <row r="65" spans="1:32" ht="15" customHeight="1" x14ac:dyDescent="0.2">
      <c r="A65" s="117">
        <v>28</v>
      </c>
      <c r="B65" s="118">
        <v>46175</v>
      </c>
      <c r="C65" s="119" t="s">
        <v>44</v>
      </c>
      <c r="D65" s="119" t="s">
        <v>19</v>
      </c>
      <c r="E65" s="117" t="s">
        <v>370</v>
      </c>
      <c r="F65" s="120">
        <f t="shared" si="0"/>
        <v>2</v>
      </c>
      <c r="G65" s="121" t="str">
        <f t="shared" si="1"/>
        <v>Josh</v>
      </c>
      <c r="H65" s="122">
        <f>IF($D65="",0,IFERROR(LOOKUP(2,1/(($D$3:D64=$D65)*($A$3:A64&lt;$A65)),$N$3:N64),'Guide &amp; Settings'!$C$41))</f>
        <v>1102.6176984629064</v>
      </c>
      <c r="I65" s="123">
        <f t="shared" si="2"/>
        <v>0.77777777777777779</v>
      </c>
      <c r="J65" s="124">
        <f>IF($D65="",0,IF($F65&lt;2,0,IF($E65="Win",('Guide &amp; Settings'!$C$42/(($F65-1)*COUNTIFS($A$4:$A$1510,$A65,$E$4:$E$1510,"Win")))*SUMIFS($X$4:$X$1510,$A$4:$A$1510,$A65,$E$4:$E$1510,"Loss"),-('Guide &amp; Settings'!$C$42/($F65-1))*$X65)))</f>
        <v>10.333983540560869</v>
      </c>
      <c r="K65" s="124">
        <f>IF($D65="",0,'Guide &amp; Settings'!$C$43*(IF($E65="Win",1,0)-$I65))</f>
        <v>2.6666666666666665</v>
      </c>
      <c r="L65" s="125">
        <f>IF($D65="",0,'Guide &amp; Settings'!$C$44*IF($F65&gt;=3,$F65,0))</f>
        <v>0</v>
      </c>
      <c r="M65" s="124">
        <f t="shared" si="3"/>
        <v>13.000650207227535</v>
      </c>
      <c r="N65" s="122">
        <f t="shared" si="4"/>
        <v>1115.6183486701341</v>
      </c>
      <c r="O65" s="121" t="str">
        <f t="shared" si="5"/>
        <v>OK</v>
      </c>
      <c r="P65">
        <f t="shared" si="6"/>
        <v>1102.6176984629064</v>
      </c>
      <c r="Q65">
        <f t="shared" si="7"/>
        <v>0.5</v>
      </c>
      <c r="R65">
        <f t="shared" si="8"/>
        <v>0.875</v>
      </c>
      <c r="S65">
        <f t="shared" si="9"/>
        <v>1.125</v>
      </c>
      <c r="T65" s="89">
        <f t="shared" si="10"/>
        <v>6</v>
      </c>
      <c r="U65" s="126">
        <f>IF($D65="",0,IFERROR(LOOKUP(2,1/(($D$3:D64=$D65)*($C$3:C64=$C65)*($A$3:A64&lt;$A65)),$AB$3:AB64),1000))</f>
        <v>1080.4708897238791</v>
      </c>
      <c r="V65" s="126">
        <f t="shared" si="11"/>
        <v>1090.5376209688916</v>
      </c>
      <c r="W65">
        <f t="shared" si="12"/>
        <v>1090.5376209688916</v>
      </c>
      <c r="X65">
        <f t="shared" si="13"/>
        <v>0.5</v>
      </c>
      <c r="Y65">
        <f t="shared" si="14"/>
        <v>1080.4708897238791</v>
      </c>
      <c r="Z65">
        <f t="shared" si="15"/>
        <v>0.5</v>
      </c>
      <c r="AA65">
        <f>IF($D65="",0,IF($F65&lt;2,0,IF($E65="Win",('Guide &amp; Settings'!$C$42/(($F65-1)*COUNTIFS($A$4:$A$1510,$A65,$E$4:$E$1510,"Win")))*SUMIFS($Z$4:$Z$1510,$A$4:$A$1510,$A65,$E$4:$E$1510,"Loss"),-('Guide &amp; Settings'!$C$42/($F65-1))*$Z65)))</f>
        <v>11.019413230630493</v>
      </c>
      <c r="AB65" s="126">
        <f t="shared" si="16"/>
        <v>1091.4903029545096</v>
      </c>
      <c r="AC65" s="126">
        <f>IF($D65="","",IF($AD65=0,0,IF(COUNTIFS($D$4:$D65,$D65,$B$4:$B65,$B65)&gt;1,0,IF($B65&lt;'Guide &amp; Settings'!$C$50,0,IF(($B65-$AD65)/7-'Guide &amp; Settings'!$C$48&gt;=0,(INT(($B65-$AD65)/7-'Guide &amp; Settings'!$C$48)+1)*'Guide &amp; Settings'!$C$49,0)))))</f>
        <v>0</v>
      </c>
      <c r="AD65" s="142">
        <f t="shared" si="17"/>
        <v>46172</v>
      </c>
      <c r="AE65">
        <f t="shared" si="18"/>
        <v>1</v>
      </c>
      <c r="AF65">
        <f t="shared" si="19"/>
        <v>0</v>
      </c>
    </row>
    <row r="66" spans="1:32" ht="15" customHeight="1" x14ac:dyDescent="0.2">
      <c r="A66" s="117">
        <v>28</v>
      </c>
      <c r="B66" s="118">
        <v>46175</v>
      </c>
      <c r="C66" s="119" t="s">
        <v>44</v>
      </c>
      <c r="D66" s="119" t="s">
        <v>18</v>
      </c>
      <c r="E66" s="117" t="s">
        <v>371</v>
      </c>
      <c r="F66" s="120">
        <f t="shared" si="0"/>
        <v>2</v>
      </c>
      <c r="G66" s="121" t="str">
        <f t="shared" si="1"/>
        <v>Josh</v>
      </c>
      <c r="H66" s="122">
        <f>IF($D66="",0,IFERROR(LOOKUP(2,1/(($D$3:D65=$D66)*($A$3:A65&lt;$A66)),$N$3:N65),'Guide &amp; Settings'!$C$41))</f>
        <v>959.26344933159396</v>
      </c>
      <c r="I66" s="123">
        <f t="shared" si="2"/>
        <v>0.22222222222222221</v>
      </c>
      <c r="J66" s="124">
        <f>IF($D66="",0,IF($F66&lt;2,0,IF($E66="Win",('Guide &amp; Settings'!$C$42/(($F66-1)*COUNTIFS($A$4:$A$1510,$A66,$E$4:$E$1510,"Win")))*SUMIFS($X$4:$X$1510,$A$4:$A$1510,$A66,$E$4:$E$1510,"Loss"),-('Guide &amp; Settings'!$C$42/($F66-1))*$X66)))</f>
        <v>-10.333983540560869</v>
      </c>
      <c r="K66" s="124">
        <f>IF($D66="",0,'Guide &amp; Settings'!$C$43*(IF($E66="Win",1,0)-$I66))</f>
        <v>-2.6666666666666665</v>
      </c>
      <c r="L66" s="125">
        <f>IF($D66="",0,'Guide &amp; Settings'!$C$44*IF($F66&gt;=3,$F66,0))</f>
        <v>0</v>
      </c>
      <c r="M66" s="124">
        <f t="shared" si="3"/>
        <v>-13.000650207227535</v>
      </c>
      <c r="N66" s="122">
        <f t="shared" si="4"/>
        <v>946.26279912436644</v>
      </c>
      <c r="O66" s="121" t="str">
        <f t="shared" si="5"/>
        <v>OK</v>
      </c>
      <c r="P66">
        <f t="shared" si="6"/>
        <v>1102.6176984629064</v>
      </c>
      <c r="Q66">
        <f t="shared" si="7"/>
        <v>0.30465812333439751</v>
      </c>
      <c r="R66">
        <f t="shared" si="8"/>
        <v>0.25</v>
      </c>
      <c r="S66">
        <f t="shared" si="9"/>
        <v>1.125</v>
      </c>
      <c r="T66" s="89">
        <f t="shared" si="10"/>
        <v>2</v>
      </c>
      <c r="U66" s="126">
        <f>IF($D66="",0,IFERROR(LOOKUP(2,1/(($D$3:D65=$D66)*($C$3:C65=$C66)*($A$3:A65&lt;$A66)),$AB$3:AB65),1000))</f>
        <v>968.60722551042636</v>
      </c>
      <c r="V66" s="126">
        <f t="shared" si="11"/>
        <v>961.9330996684032</v>
      </c>
      <c r="W66">
        <f t="shared" si="12"/>
        <v>1090.5376209688916</v>
      </c>
      <c r="X66">
        <f t="shared" si="13"/>
        <v>0.32293698564252715</v>
      </c>
      <c r="Y66">
        <f t="shared" si="14"/>
        <v>1080.4708897238791</v>
      </c>
      <c r="Z66">
        <f t="shared" si="15"/>
        <v>0.34435666345720289</v>
      </c>
      <c r="AA66">
        <f>IF($D66="",0,IF($F66&lt;2,0,IF($E66="Win",('Guide &amp; Settings'!$C$42/(($F66-1)*COUNTIFS($A$4:$A$1510,$A66,$E$4:$E$1510,"Win")))*SUMIFS($Z$4:$Z$1510,$A$4:$A$1510,$A66,$E$4:$E$1510,"Loss"),-('Guide &amp; Settings'!$C$42/($F66-1))*$Z66)))</f>
        <v>-11.019413230630493</v>
      </c>
      <c r="AB66" s="126">
        <f t="shared" si="16"/>
        <v>957.58781227979591</v>
      </c>
      <c r="AC66" s="126">
        <f>IF($D66="","",IF($AD66=0,0,IF(COUNTIFS($D$4:$D66,$D66,$B$4:$B66,$B66)&gt;1,0,IF($B66&lt;'Guide &amp; Settings'!$C$50,0,IF(($B66-$AD66)/7-'Guide &amp; Settings'!$C$48&gt;=0,(INT(($B66-$AD66)/7-'Guide &amp; Settings'!$C$48)+1)*'Guide &amp; Settings'!$C$49,0)))))</f>
        <v>0</v>
      </c>
      <c r="AD66" s="142">
        <f t="shared" si="17"/>
        <v>0</v>
      </c>
      <c r="AE66">
        <f t="shared" si="18"/>
        <v>1</v>
      </c>
      <c r="AF66">
        <f t="shared" si="19"/>
        <v>0</v>
      </c>
    </row>
    <row r="67" spans="1:32" ht="15" customHeight="1" x14ac:dyDescent="0.2">
      <c r="A67" s="117">
        <v>29</v>
      </c>
      <c r="B67" s="118">
        <v>46175</v>
      </c>
      <c r="C67" s="119" t="s">
        <v>44</v>
      </c>
      <c r="D67" s="119" t="s">
        <v>15</v>
      </c>
      <c r="E67" s="117" t="s">
        <v>371</v>
      </c>
      <c r="F67" s="120">
        <f t="shared" si="0"/>
        <v>2</v>
      </c>
      <c r="G67" s="121" t="str">
        <f t="shared" si="1"/>
        <v>Oscar</v>
      </c>
      <c r="H67" s="122">
        <f>IF($D67="",0,IFERROR(LOOKUP(2,1/(($D$3:D66=$D67)*($A$3:A66&lt;$A67)),$N$3:N66),'Guide &amp; Settings'!$C$41))</f>
        <v>1095.9194321262312</v>
      </c>
      <c r="I67" s="123">
        <f t="shared" si="2"/>
        <v>0.5</v>
      </c>
      <c r="J67" s="124">
        <f>IF($D67="",0,IF($F67&lt;2,0,IF($E67="Win",('Guide &amp; Settings'!$C$42/(($F67-1)*COUNTIFS($A$4:$A$1510,$A67,$E$4:$E$1510,"Win")))*SUMIFS($X$4:$X$1510,$A$4:$A$1510,$A67,$E$4:$E$1510,"Loss"),-('Guide &amp; Settings'!$C$42/($F67-1))*$X67)))</f>
        <v>-20.509478464521781</v>
      </c>
      <c r="K67" s="124">
        <f>IF($D67="",0,'Guide &amp; Settings'!$C$43*(IF($E67="Win",1,0)-$I67))</f>
        <v>-6</v>
      </c>
      <c r="L67" s="125">
        <f>IF($D67="",0,'Guide &amp; Settings'!$C$44*IF($F67&gt;=3,$F67,0))</f>
        <v>0</v>
      </c>
      <c r="M67" s="124">
        <f t="shared" si="3"/>
        <v>-26.509478464521781</v>
      </c>
      <c r="N67" s="122">
        <f t="shared" si="4"/>
        <v>1069.4099536617093</v>
      </c>
      <c r="O67" s="121" t="str">
        <f t="shared" si="5"/>
        <v>OK</v>
      </c>
      <c r="P67">
        <f t="shared" si="6"/>
        <v>995.27348180522449</v>
      </c>
      <c r="Q67">
        <f t="shared" si="7"/>
        <v>0.64092120201630565</v>
      </c>
      <c r="R67">
        <f t="shared" si="8"/>
        <v>0.5</v>
      </c>
      <c r="S67">
        <f t="shared" si="9"/>
        <v>1</v>
      </c>
      <c r="T67" s="89">
        <f t="shared" si="10"/>
        <v>0</v>
      </c>
      <c r="U67" s="126">
        <f>IF($D67="",0,IFERROR(LOOKUP(2,1/(($D$3:D66=$D67)*($C$3:C66=$C67)*($A$3:A66&lt;$A67)),$AB$3:AB66),1000))</f>
        <v>1000</v>
      </c>
      <c r="V67" s="126">
        <f t="shared" si="11"/>
        <v>1095.9194321262312</v>
      </c>
      <c r="W67">
        <f t="shared" si="12"/>
        <v>995.27348180522449</v>
      </c>
      <c r="X67">
        <f t="shared" si="13"/>
        <v>0.64092120201630565</v>
      </c>
      <c r="Y67">
        <f t="shared" si="14"/>
        <v>1000</v>
      </c>
      <c r="Z67">
        <f t="shared" si="15"/>
        <v>0.5</v>
      </c>
      <c r="AA67">
        <f>IF($D67="",0,IF($F67&lt;2,0,IF($E67="Win",('Guide &amp; Settings'!$C$42/(($F67-1)*COUNTIFS($A$4:$A$1510,$A67,$E$4:$E$1510,"Win")))*SUMIFS($Z$4:$Z$1510,$A$4:$A$1510,$A67,$E$4:$E$1510,"Loss"),-('Guide &amp; Settings'!$C$42/($F67-1))*$Z67)))</f>
        <v>-16</v>
      </c>
      <c r="AB67" s="126">
        <f t="shared" si="16"/>
        <v>984</v>
      </c>
      <c r="AC67" s="126">
        <f>IF($D67="","",IF($AD67=0,0,IF(COUNTIFS($D$4:$D67,$D67,$B$4:$B67,$B67)&gt;1,0,IF($B67&lt;'Guide &amp; Settings'!$C$50,0,IF(($B67-$AD67)/7-'Guide &amp; Settings'!$C$48&gt;=0,(INT(($B67-$AD67)/7-'Guide &amp; Settings'!$C$48)+1)*'Guide &amp; Settings'!$C$49,0)))))</f>
        <v>0</v>
      </c>
      <c r="AD67" s="142">
        <f t="shared" si="17"/>
        <v>0</v>
      </c>
      <c r="AE67">
        <f t="shared" si="18"/>
        <v>1</v>
      </c>
      <c r="AF67">
        <f t="shared" si="19"/>
        <v>0</v>
      </c>
    </row>
    <row r="68" spans="1:32" ht="15" customHeight="1" x14ac:dyDescent="0.2">
      <c r="A68" s="117">
        <v>29</v>
      </c>
      <c r="B68" s="118">
        <v>46175</v>
      </c>
      <c r="C68" s="119" t="s">
        <v>44</v>
      </c>
      <c r="D68" s="119" t="s">
        <v>25</v>
      </c>
      <c r="E68" s="117" t="s">
        <v>370</v>
      </c>
      <c r="F68" s="120">
        <f t="shared" ref="F68:F131" si="20">IF($D68="",0,COUNTIF($A$4:$A$1510,$A68))</f>
        <v>2</v>
      </c>
      <c r="G68" s="121" t="str">
        <f t="shared" ref="G68:G131" si="21">IF($D68="","",IFERROR(LOOKUP(2,1/(($A$4:$A$1510=$A68)*($E$4:$E$1510="Win")),$D$4:$D$1510),"(no winner)"))</f>
        <v>Oscar</v>
      </c>
      <c r="H68" s="122">
        <f>IF($D68="",0,IFERROR(LOOKUP(2,1/(($D$3:D67=$D68)*($A$3:A67&lt;$A68)),$N$3:N67),'Guide &amp; Settings'!$C$41))</f>
        <v>995.27348180522449</v>
      </c>
      <c r="I68" s="123">
        <f t="shared" ref="I68:I131" si="22">IF($D68="",0,IF($S68=0,0,$R68/$S68))</f>
        <v>0.5</v>
      </c>
      <c r="J68" s="124">
        <f>IF($D68="",0,IF($F68&lt;2,0,IF($E68="Win",('Guide &amp; Settings'!$C$42/(($F68-1)*COUNTIFS($A$4:$A$1510,$A68,$E$4:$E$1510,"Win")))*SUMIFS($X$4:$X$1510,$A$4:$A$1510,$A68,$E$4:$E$1510,"Loss"),-('Guide &amp; Settings'!$C$42/($F68-1))*$X68)))</f>
        <v>20.509478464521781</v>
      </c>
      <c r="K68" s="124">
        <f>IF($D68="",0,'Guide &amp; Settings'!$C$43*(IF($E68="Win",1,0)-$I68))</f>
        <v>6</v>
      </c>
      <c r="L68" s="125">
        <f>IF($D68="",0,'Guide &amp; Settings'!$C$44*IF($F68&gt;=3,$F68,0))</f>
        <v>0</v>
      </c>
      <c r="M68" s="124">
        <f t="shared" ref="M68:M131" si="23">IF($D68="",0,$J68+$K68+$L68)</f>
        <v>26.509478464521781</v>
      </c>
      <c r="N68" s="122">
        <f t="shared" ref="N68:N131" si="24">IF($D68="",0,$H68+$M68)</f>
        <v>1021.7829602697462</v>
      </c>
      <c r="O68" s="121" t="str">
        <f t="shared" ref="O68:O131" si="25">IF($D68="","",IF($AE68=0,"need a winner",IF($F68-$AE68=0,"need a loser",IF(MOD($AF68,2)=1,"duplicate player",IF(MOD(INT($AF68/2),2)=1,"mixed sports",IF($AF68&gt;=4,"mixed dates",IF($AE68&gt;1,IF($F68&gt;=4,"OK (team)","check winners"),"OK")))))))</f>
        <v>OK</v>
      </c>
      <c r="P68">
        <f t="shared" ref="P68:P131" si="26">IF($D68="",0,IFERROR(SUMIFS($H$4:$H$1510,$A$4:$A$1510,$A68,$E$4:$E$1510,"Win")/COUNTIFS($A$4:$A$1510,$A68,$E$4:$E$1510,"Win"),0))</f>
        <v>995.27348180522449</v>
      </c>
      <c r="Q68">
        <f t="shared" ref="Q68:Q131" si="27">IF($D68="",0,1/(1+10^(($P68-$H68)/400)))</f>
        <v>0.5</v>
      </c>
      <c r="R68">
        <f t="shared" ref="R68:R131" si="28">IF($D68="",0,(COUNTIFS($D$4:$D$1510,$D68,$C$4:$C$1510,$C68,$E$4:$E$1510,"Win",$A$4:$A$1510,"&lt;"&amp;$A68)+1)/(COUNTIFS($D$4:$D$1510,$D68,$C$4:$C$1510,$C68,$A$4:$A$1510,"&lt;"&amp;$A68)+2))</f>
        <v>0.5</v>
      </c>
      <c r="S68">
        <f t="shared" ref="S68:S131" si="29">IF($D68="",0,SUMIFS($R$4:$R$1510,$A$4:$A$1510,$A68))</f>
        <v>1</v>
      </c>
      <c r="T68" s="89">
        <f t="shared" ref="T68:T131" si="30">IF($D68="",0,COUNTIFS($D$4:$D$1510,$D68,$C$4:$C$1510,$C68,$A$4:$A$1510,"&lt;"&amp;$A68))</f>
        <v>0</v>
      </c>
      <c r="U68" s="126">
        <f>IF($D68="",0,IFERROR(LOOKUP(2,1/(($D$3:D67=$D68)*($C$3:C67=$C68)*($A$3:A67&lt;$A68)),$AB$3:AB67),1000))</f>
        <v>1000</v>
      </c>
      <c r="V68" s="126">
        <f t="shared" ref="V68:V131" si="31">IF($D68="",0,$U68*($T68/($T68+5))+$H68*(1-$T68/($T68+5)))</f>
        <v>995.27348180522449</v>
      </c>
      <c r="W68">
        <f t="shared" ref="W68:W131" si="32">IF($D68="",0,IFERROR(SUMIFS($V$4:$V$1510,$A$4:$A$1510,$A68,$E$4:$E$1510,"Win")/COUNTIFS($A$4:$A$1510,$A68,$E$4:$E$1510,"Win"),0))</f>
        <v>995.27348180522449</v>
      </c>
      <c r="X68">
        <f t="shared" ref="X68:X131" si="33">IF($D68="",0,1/(1+10^(($W68-$V68)/400)))</f>
        <v>0.5</v>
      </c>
      <c r="Y68">
        <f t="shared" ref="Y68:Y131" si="34">IF($D68="",0,IFERROR(SUMIFS($U$4:$U$1510,$A$4:$A$1510,$A68,$E$4:$E$1510,"Win")/COUNTIFS($A$4:$A$1510,$A68,$E$4:$E$1510,"Win"),0))</f>
        <v>1000</v>
      </c>
      <c r="Z68">
        <f t="shared" ref="Z68:Z131" si="35">IF($D68="",0,1/(1+10^(($Y68-$U68)/400)))</f>
        <v>0.5</v>
      </c>
      <c r="AA68">
        <f>IF($D68="",0,IF($F68&lt;2,0,IF($E68="Win",('Guide &amp; Settings'!$C$42/(($F68-1)*COUNTIFS($A$4:$A$1510,$A68,$E$4:$E$1510,"Win")))*SUMIFS($Z$4:$Z$1510,$A$4:$A$1510,$A68,$E$4:$E$1510,"Loss"),-('Guide &amp; Settings'!$C$42/($F68-1))*$Z68)))</f>
        <v>16</v>
      </c>
      <c r="AB68" s="126">
        <f t="shared" ref="AB68:AB131" si="36">IF($D68="",0,$U68+$AA68)</f>
        <v>1016</v>
      </c>
      <c r="AC68" s="126">
        <f>IF($D68="","",IF($AD68=0,0,IF(COUNTIFS($D$4:$D68,$D68,$B$4:$B68,$B68)&gt;1,0,IF($B68&lt;'Guide &amp; Settings'!$C$50,0,IF(($B68-$AD68)/7-'Guide &amp; Settings'!$C$48&gt;=0,(INT(($B68-$AD68)/7-'Guide &amp; Settings'!$C$48)+1)*'Guide &amp; Settings'!$C$49,0)))))</f>
        <v>0</v>
      </c>
      <c r="AD68" s="142">
        <f t="shared" ref="AD68:AD131" si="37">IF($D68="",0,SUMPRODUCT(MAX(($D$4:$D$1510=$D68)*($B$4:$B$1510&lt;$B68)*$B$4:$B$1510)))</f>
        <v>46145</v>
      </c>
      <c r="AE68">
        <f t="shared" ref="AE68:AE131" si="38">IF($D68="",0,COUNTIFS($A$4:$A$1510,$A68,$E$4:$E$1510,"Win"))</f>
        <v>1</v>
      </c>
      <c r="AF68">
        <f t="shared" ref="AF68:AF131" si="39">IF($D68="",0,(COUNTIFS($A$4:$A$1510,$A68,$D$4:$D$1510,$D68)&gt;1)*1+(COUNTIFS($A$4:$A$1510,$A68,$C$4:$C$1510,"&lt;&gt;"&amp;$C68)&gt;0)*2+(COUNTIFS($A$4:$A$1510,$A68,$B$4:$B$1510,"&lt;&gt;"&amp;$B68)&gt;0)*4)</f>
        <v>0</v>
      </c>
    </row>
    <row r="69" spans="1:32" ht="15" customHeight="1" x14ac:dyDescent="0.2">
      <c r="A69" s="117">
        <v>30</v>
      </c>
      <c r="B69" s="118">
        <v>46175</v>
      </c>
      <c r="C69" s="119" t="s">
        <v>44</v>
      </c>
      <c r="D69" s="119" t="s">
        <v>15</v>
      </c>
      <c r="E69" s="117" t="s">
        <v>370</v>
      </c>
      <c r="F69" s="120">
        <f t="shared" si="20"/>
        <v>2</v>
      </c>
      <c r="G69" s="121" t="str">
        <f t="shared" si="21"/>
        <v>Aaron</v>
      </c>
      <c r="H69" s="122">
        <f>IF($D69="",0,IFERROR(LOOKUP(2,1/(($D$3:D68=$D69)*($A$3:A68&lt;$A69)),$N$3:N68),'Guide &amp; Settings'!$C$41))</f>
        <v>1069.4099536617093</v>
      </c>
      <c r="I69" s="123">
        <f t="shared" si="22"/>
        <v>0.625</v>
      </c>
      <c r="J69" s="124">
        <f>IF($D69="",0,IF($F69&lt;2,0,IF($E69="Win",('Guide &amp; Settings'!$C$42/(($F69-1)*COUNTIFS($A$4:$A$1510,$A69,$E$4:$E$1510,"Win")))*SUMIFS($X$4:$X$1510,$A$4:$A$1510,$A69,$E$4:$E$1510,"Loss"),-('Guide &amp; Settings'!$C$42/($F69-1))*$X69)))</f>
        <v>11.320688986263264</v>
      </c>
      <c r="K69" s="124">
        <f>IF($D69="",0,'Guide &amp; Settings'!$C$43*(IF($E69="Win",1,0)-$I69))</f>
        <v>4.5</v>
      </c>
      <c r="L69" s="125">
        <f>IF($D69="",0,'Guide &amp; Settings'!$C$44*IF($F69&gt;=3,$F69,0))</f>
        <v>0</v>
      </c>
      <c r="M69" s="124">
        <f t="shared" si="23"/>
        <v>15.820688986263264</v>
      </c>
      <c r="N69" s="122">
        <f t="shared" si="24"/>
        <v>1085.2306426479727</v>
      </c>
      <c r="O69" s="121" t="str">
        <f t="shared" si="25"/>
        <v>OK</v>
      </c>
      <c r="P69">
        <f t="shared" si="26"/>
        <v>1069.4099536617093</v>
      </c>
      <c r="Q69">
        <f t="shared" si="27"/>
        <v>0.5</v>
      </c>
      <c r="R69">
        <f t="shared" si="28"/>
        <v>0.33333333333333331</v>
      </c>
      <c r="S69">
        <f t="shared" si="29"/>
        <v>0.53333333333333333</v>
      </c>
      <c r="T69" s="89">
        <f t="shared" si="30"/>
        <v>1</v>
      </c>
      <c r="U69" s="126">
        <f>IF($D69="",0,IFERROR(LOOKUP(2,1/(($D$3:D68=$D69)*($C$3:C68=$C69)*($A$3:A68&lt;$A69)),$AB$3:AB68),1000))</f>
        <v>984</v>
      </c>
      <c r="V69" s="126">
        <f t="shared" si="31"/>
        <v>1055.1749613847578</v>
      </c>
      <c r="W69">
        <f t="shared" si="32"/>
        <v>1055.1749613847578</v>
      </c>
      <c r="X69">
        <f t="shared" si="33"/>
        <v>0.5</v>
      </c>
      <c r="Y69">
        <f t="shared" si="34"/>
        <v>984</v>
      </c>
      <c r="Z69">
        <f t="shared" si="35"/>
        <v>0.5</v>
      </c>
      <c r="AA69">
        <f>IF($D69="",0,IF($F69&lt;2,0,IF($E69="Win",('Guide &amp; Settings'!$C$42/(($F69-1)*COUNTIFS($A$4:$A$1510,$A69,$E$4:$E$1510,"Win")))*SUMIFS($Z$4:$Z$1510,$A$4:$A$1510,$A69,$E$4:$E$1510,"Loss"),-('Guide &amp; Settings'!$C$42/($F69-1))*$Z69)))</f>
        <v>14.786011491839799</v>
      </c>
      <c r="AB69" s="126">
        <f t="shared" si="36"/>
        <v>998.78601149183976</v>
      </c>
      <c r="AC69" s="126">
        <f>IF($D69="","",IF($AD69=0,0,IF(COUNTIFS($D$4:$D69,$D69,$B$4:$B69,$B69)&gt;1,0,IF($B69&lt;'Guide &amp; Settings'!$C$50,0,IF(($B69-$AD69)/7-'Guide &amp; Settings'!$C$48&gt;=0,(INT(($B69-$AD69)/7-'Guide &amp; Settings'!$C$48)+1)*'Guide &amp; Settings'!$C$49,0)))))</f>
        <v>0</v>
      </c>
      <c r="AD69" s="142">
        <f t="shared" si="37"/>
        <v>0</v>
      </c>
      <c r="AE69">
        <f t="shared" si="38"/>
        <v>1</v>
      </c>
      <c r="AF69">
        <f t="shared" si="39"/>
        <v>0</v>
      </c>
    </row>
    <row r="70" spans="1:32" ht="15" customHeight="1" x14ac:dyDescent="0.2">
      <c r="A70" s="117">
        <v>30</v>
      </c>
      <c r="B70" s="118">
        <v>46175</v>
      </c>
      <c r="C70" s="119" t="s">
        <v>44</v>
      </c>
      <c r="D70" s="119" t="s">
        <v>18</v>
      </c>
      <c r="E70" s="117" t="s">
        <v>371</v>
      </c>
      <c r="F70" s="120">
        <f t="shared" si="20"/>
        <v>2</v>
      </c>
      <c r="G70" s="121" t="str">
        <f t="shared" si="21"/>
        <v>Aaron</v>
      </c>
      <c r="H70" s="122">
        <f>IF($D70="",0,IFERROR(LOOKUP(2,1/(($D$3:D69=$D70)*($A$3:A69&lt;$A70)),$N$3:N69),'Guide &amp; Settings'!$C$41))</f>
        <v>946.26279912436644</v>
      </c>
      <c r="I70" s="123">
        <f t="shared" si="22"/>
        <v>0.375</v>
      </c>
      <c r="J70" s="124">
        <f>IF($D70="",0,IF($F70&lt;2,0,IF($E70="Win",('Guide &amp; Settings'!$C$42/(($F70-1)*COUNTIFS($A$4:$A$1510,$A70,$E$4:$E$1510,"Win")))*SUMIFS($X$4:$X$1510,$A$4:$A$1510,$A70,$E$4:$E$1510,"Loss"),-('Guide &amp; Settings'!$C$42/($F70-1))*$X70)))</f>
        <v>-11.320688986263264</v>
      </c>
      <c r="K70" s="124">
        <f>IF($D70="",0,'Guide &amp; Settings'!$C$43*(IF($E70="Win",1,0)-$I70))</f>
        <v>-4.5</v>
      </c>
      <c r="L70" s="125">
        <f>IF($D70="",0,'Guide &amp; Settings'!$C$44*IF($F70&gt;=3,$F70,0))</f>
        <v>0</v>
      </c>
      <c r="M70" s="124">
        <f t="shared" si="23"/>
        <v>-15.820688986263264</v>
      </c>
      <c r="N70" s="122">
        <f t="shared" si="24"/>
        <v>930.4421101381032</v>
      </c>
      <c r="O70" s="121" t="str">
        <f t="shared" si="25"/>
        <v>OK</v>
      </c>
      <c r="P70">
        <f t="shared" si="26"/>
        <v>1069.4099536617093</v>
      </c>
      <c r="Q70">
        <f t="shared" si="27"/>
        <v>0.32984371263485163</v>
      </c>
      <c r="R70">
        <f t="shared" si="28"/>
        <v>0.2</v>
      </c>
      <c r="S70">
        <f t="shared" si="29"/>
        <v>0.53333333333333333</v>
      </c>
      <c r="T70" s="89">
        <f t="shared" si="30"/>
        <v>3</v>
      </c>
      <c r="U70" s="126">
        <f>IF($D70="",0,IFERROR(LOOKUP(2,1/(($D$3:D69=$D70)*($C$3:C69=$C70)*($A$3:A69&lt;$A70)),$AB$3:AB69),1000))</f>
        <v>957.58781227979591</v>
      </c>
      <c r="V70" s="126">
        <f t="shared" si="31"/>
        <v>950.50967905765242</v>
      </c>
      <c r="W70">
        <f t="shared" si="32"/>
        <v>1055.1749613847578</v>
      </c>
      <c r="X70">
        <f t="shared" si="33"/>
        <v>0.35377153082072699</v>
      </c>
      <c r="Y70">
        <f t="shared" si="34"/>
        <v>984</v>
      </c>
      <c r="Z70">
        <f t="shared" si="35"/>
        <v>0.46206285911999373</v>
      </c>
      <c r="AA70">
        <f>IF($D70="",0,IF($F70&lt;2,0,IF($E70="Win",('Guide &amp; Settings'!$C$42/(($F70-1)*COUNTIFS($A$4:$A$1510,$A70,$E$4:$E$1510,"Win")))*SUMIFS($Z$4:$Z$1510,$A$4:$A$1510,$A70,$E$4:$E$1510,"Loss"),-('Guide &amp; Settings'!$C$42/($F70-1))*$Z70)))</f>
        <v>-14.786011491839799</v>
      </c>
      <c r="AB70" s="126">
        <f t="shared" si="36"/>
        <v>942.80180078795615</v>
      </c>
      <c r="AC70" s="126">
        <f>IF($D70="","",IF($AD70=0,0,IF(COUNTIFS($D$4:$D70,$D70,$B$4:$B70,$B70)&gt;1,0,IF($B70&lt;'Guide &amp; Settings'!$C$50,0,IF(($B70-$AD70)/7-'Guide &amp; Settings'!$C$48&gt;=0,(INT(($B70-$AD70)/7-'Guide &amp; Settings'!$C$48)+1)*'Guide &amp; Settings'!$C$49,0)))))</f>
        <v>0</v>
      </c>
      <c r="AD70" s="142">
        <f t="shared" si="37"/>
        <v>0</v>
      </c>
      <c r="AE70">
        <f t="shared" si="38"/>
        <v>1</v>
      </c>
      <c r="AF70">
        <f t="shared" si="39"/>
        <v>0</v>
      </c>
    </row>
    <row r="71" spans="1:32" ht="15" customHeight="1" x14ac:dyDescent="0.2">
      <c r="A71" s="117">
        <v>31</v>
      </c>
      <c r="B71" s="118">
        <v>46175</v>
      </c>
      <c r="C71" s="119" t="s">
        <v>47</v>
      </c>
      <c r="D71" s="119" t="s">
        <v>22</v>
      </c>
      <c r="E71" s="117" t="s">
        <v>370</v>
      </c>
      <c r="F71" s="120">
        <f t="shared" si="20"/>
        <v>2</v>
      </c>
      <c r="G71" s="121" t="str">
        <f t="shared" si="21"/>
        <v>Daniel (Ferret)</v>
      </c>
      <c r="H71" s="122">
        <f>IF($D71="",0,IFERROR(LOOKUP(2,1/(($D$3:D70=$D71)*($A$3:A70&lt;$A71)),$N$3:N70),'Guide &amp; Settings'!$C$41))</f>
        <v>907.33636013309672</v>
      </c>
      <c r="I71" s="123">
        <f t="shared" si="22"/>
        <v>0.5</v>
      </c>
      <c r="J71" s="124">
        <f>IF($D71="",0,IF($F71&lt;2,0,IF($E71="Win",('Guide &amp; Settings'!$C$42/(($F71-1)*COUNTIFS($A$4:$A$1510,$A71,$E$4:$E$1510,"Win")))*SUMIFS($X$4:$X$1510,$A$4:$A$1510,$A71,$E$4:$E$1510,"Loss"),-('Guide &amp; Settings'!$C$42/($F71-1))*$X71)))</f>
        <v>23.544292688906975</v>
      </c>
      <c r="K71" s="124">
        <f>IF($D71="",0,'Guide &amp; Settings'!$C$43*(IF($E71="Win",1,0)-$I71))</f>
        <v>6</v>
      </c>
      <c r="L71" s="125">
        <f>IF($D71="",0,'Guide &amp; Settings'!$C$44*IF($F71&gt;=3,$F71,0))</f>
        <v>0</v>
      </c>
      <c r="M71" s="124">
        <f t="shared" si="23"/>
        <v>29.544292688906975</v>
      </c>
      <c r="N71" s="122">
        <f t="shared" si="24"/>
        <v>936.88065282200364</v>
      </c>
      <c r="O71" s="121" t="str">
        <f t="shared" si="25"/>
        <v>OK</v>
      </c>
      <c r="P71">
        <f t="shared" si="26"/>
        <v>907.33636013309672</v>
      </c>
      <c r="Q71">
        <f t="shared" si="27"/>
        <v>0.5</v>
      </c>
      <c r="R71">
        <f t="shared" si="28"/>
        <v>0.5</v>
      </c>
      <c r="S71">
        <f t="shared" si="29"/>
        <v>1</v>
      </c>
      <c r="T71" s="89">
        <f t="shared" si="30"/>
        <v>0</v>
      </c>
      <c r="U71" s="126">
        <f>IF($D71="",0,IFERROR(LOOKUP(2,1/(($D$3:D70=$D71)*($C$3:C70=$C71)*($A$3:A70&lt;$A71)),$AB$3:AB70),1000))</f>
        <v>1000</v>
      </c>
      <c r="V71" s="126">
        <f t="shared" si="31"/>
        <v>907.33636013309672</v>
      </c>
      <c r="W71">
        <f t="shared" si="32"/>
        <v>907.33636013309672</v>
      </c>
      <c r="X71">
        <f t="shared" si="33"/>
        <v>0.5</v>
      </c>
      <c r="Y71">
        <f t="shared" si="34"/>
        <v>1000</v>
      </c>
      <c r="Z71">
        <f t="shared" si="35"/>
        <v>0.5</v>
      </c>
      <c r="AA71">
        <f>IF($D71="",0,IF($F71&lt;2,0,IF($E71="Win",('Guide &amp; Settings'!$C$42/(($F71-1)*COUNTIFS($A$4:$A$1510,$A71,$E$4:$E$1510,"Win")))*SUMIFS($Z$4:$Z$1510,$A$4:$A$1510,$A71,$E$4:$E$1510,"Loss"),-('Guide &amp; Settings'!$C$42/($F71-1))*$Z71)))</f>
        <v>16</v>
      </c>
      <c r="AB71" s="126">
        <f t="shared" si="36"/>
        <v>1016</v>
      </c>
      <c r="AC71" s="126">
        <f>IF($D71="","",IF($AD71=0,0,IF(COUNTIFS($D$4:$D71,$D71,$B$4:$B71,$B71)&gt;1,0,IF($B71&lt;'Guide &amp; Settings'!$C$50,0,IF(($B71-$AD71)/7-'Guide &amp; Settings'!$C$48&gt;=0,(INT(($B71-$AD71)/7-'Guide &amp; Settings'!$C$48)+1)*'Guide &amp; Settings'!$C$49,0)))))</f>
        <v>0</v>
      </c>
      <c r="AD71" s="142">
        <f t="shared" si="37"/>
        <v>46173</v>
      </c>
      <c r="AE71">
        <f t="shared" si="38"/>
        <v>1</v>
      </c>
      <c r="AF71">
        <f t="shared" si="39"/>
        <v>0</v>
      </c>
    </row>
    <row r="72" spans="1:32" ht="15" customHeight="1" x14ac:dyDescent="0.2">
      <c r="A72" s="117">
        <v>31</v>
      </c>
      <c r="B72" s="118">
        <v>46175</v>
      </c>
      <c r="C72" s="119" t="s">
        <v>47</v>
      </c>
      <c r="D72" s="119" t="s">
        <v>15</v>
      </c>
      <c r="E72" s="117" t="s">
        <v>371</v>
      </c>
      <c r="F72" s="120">
        <f t="shared" si="20"/>
        <v>2</v>
      </c>
      <c r="G72" s="121" t="str">
        <f t="shared" si="21"/>
        <v>Daniel (Ferret)</v>
      </c>
      <c r="H72" s="122">
        <f>IF($D72="",0,IFERROR(LOOKUP(2,1/(($D$3:D71=$D72)*($A$3:A71&lt;$A72)),$N$3:N71),'Guide &amp; Settings'!$C$41))</f>
        <v>1085.2306426479727</v>
      </c>
      <c r="I72" s="123">
        <f t="shared" si="22"/>
        <v>0.5</v>
      </c>
      <c r="J72" s="124">
        <f>IF($D72="",0,IF($F72&lt;2,0,IF($E72="Win",('Guide &amp; Settings'!$C$42/(($F72-1)*COUNTIFS($A$4:$A$1510,$A72,$E$4:$E$1510,"Win")))*SUMIFS($X$4:$X$1510,$A$4:$A$1510,$A72,$E$4:$E$1510,"Loss"),-('Guide &amp; Settings'!$C$42/($F72-1))*$X72)))</f>
        <v>-23.544292688906975</v>
      </c>
      <c r="K72" s="124">
        <f>IF($D72="",0,'Guide &amp; Settings'!$C$43*(IF($E72="Win",1,0)-$I72))</f>
        <v>-6</v>
      </c>
      <c r="L72" s="125">
        <f>IF($D72="",0,'Guide &amp; Settings'!$C$44*IF($F72&gt;=3,$F72,0))</f>
        <v>0</v>
      </c>
      <c r="M72" s="124">
        <f t="shared" si="23"/>
        <v>-29.544292688906975</v>
      </c>
      <c r="N72" s="122">
        <f t="shared" si="24"/>
        <v>1055.6863499590656</v>
      </c>
      <c r="O72" s="121" t="str">
        <f t="shared" si="25"/>
        <v>OK</v>
      </c>
      <c r="P72">
        <f t="shared" si="26"/>
        <v>907.33636013309672</v>
      </c>
      <c r="Q72">
        <f t="shared" si="27"/>
        <v>0.73575914652834296</v>
      </c>
      <c r="R72">
        <f t="shared" si="28"/>
        <v>0.5</v>
      </c>
      <c r="S72">
        <f t="shared" si="29"/>
        <v>1</v>
      </c>
      <c r="T72" s="89">
        <f t="shared" si="30"/>
        <v>0</v>
      </c>
      <c r="U72" s="126">
        <f>IF($D72="",0,IFERROR(LOOKUP(2,1/(($D$3:D71=$D72)*($C$3:C71=$C72)*($A$3:A71&lt;$A72)),$AB$3:AB71),1000))</f>
        <v>1000</v>
      </c>
      <c r="V72" s="126">
        <f t="shared" si="31"/>
        <v>1085.2306426479727</v>
      </c>
      <c r="W72">
        <f t="shared" si="32"/>
        <v>907.33636013309672</v>
      </c>
      <c r="X72">
        <f t="shared" si="33"/>
        <v>0.73575914652834296</v>
      </c>
      <c r="Y72">
        <f t="shared" si="34"/>
        <v>1000</v>
      </c>
      <c r="Z72">
        <f t="shared" si="35"/>
        <v>0.5</v>
      </c>
      <c r="AA72">
        <f>IF($D72="",0,IF($F72&lt;2,0,IF($E72="Win",('Guide &amp; Settings'!$C$42/(($F72-1)*COUNTIFS($A$4:$A$1510,$A72,$E$4:$E$1510,"Win")))*SUMIFS($Z$4:$Z$1510,$A$4:$A$1510,$A72,$E$4:$E$1510,"Loss"),-('Guide &amp; Settings'!$C$42/($F72-1))*$Z72)))</f>
        <v>-16</v>
      </c>
      <c r="AB72" s="126">
        <f t="shared" si="36"/>
        <v>984</v>
      </c>
      <c r="AC72" s="126">
        <f>IF($D72="","",IF($AD72=0,0,IF(COUNTIFS($D$4:$D72,$D72,$B$4:$B72,$B72)&gt;1,0,IF($B72&lt;'Guide &amp; Settings'!$C$50,0,IF(($B72-$AD72)/7-'Guide &amp; Settings'!$C$48&gt;=0,(INT(($B72-$AD72)/7-'Guide &amp; Settings'!$C$48)+1)*'Guide &amp; Settings'!$C$49,0)))))</f>
        <v>0</v>
      </c>
      <c r="AD72" s="142">
        <f t="shared" si="37"/>
        <v>0</v>
      </c>
      <c r="AE72">
        <f t="shared" si="38"/>
        <v>1</v>
      </c>
      <c r="AF72">
        <f t="shared" si="39"/>
        <v>0</v>
      </c>
    </row>
    <row r="73" spans="1:32" ht="15" customHeight="1" x14ac:dyDescent="0.2">
      <c r="A73" s="117">
        <v>32</v>
      </c>
      <c r="B73" s="118">
        <v>46175</v>
      </c>
      <c r="C73" s="119" t="s">
        <v>47</v>
      </c>
      <c r="D73" s="119" t="s">
        <v>22</v>
      </c>
      <c r="E73" s="117" t="s">
        <v>370</v>
      </c>
      <c r="F73" s="120">
        <f t="shared" si="20"/>
        <v>2</v>
      </c>
      <c r="G73" s="121" t="str">
        <f t="shared" si="21"/>
        <v>Daniel (Ferret)</v>
      </c>
      <c r="H73" s="122">
        <f>IF($D73="",0,IFERROR(LOOKUP(2,1/(($D$3:D72=$D73)*($A$3:A72&lt;$A73)),$N$3:N72),'Guide &amp; Settings'!$C$41))</f>
        <v>936.88065282200364</v>
      </c>
      <c r="I73" s="123">
        <f t="shared" si="22"/>
        <v>0.57142857142857151</v>
      </c>
      <c r="J73" s="124">
        <f>IF($D73="",0,IF($F73&lt;2,0,IF($E73="Win",('Guide &amp; Settings'!$C$42/(($F73-1)*COUNTIFS($A$4:$A$1510,$A73,$E$4:$E$1510,"Win")))*SUMIFS($X$4:$X$1510,$A$4:$A$1510,$A73,$E$4:$E$1510,"Loss"),-('Guide &amp; Settings'!$C$42/($F73-1))*$X73)))</f>
        <v>20.618813413278588</v>
      </c>
      <c r="K73" s="124">
        <f>IF($D73="",0,'Guide &amp; Settings'!$C$43*(IF($E73="Win",1,0)-$I73))</f>
        <v>5.1428571428571423</v>
      </c>
      <c r="L73" s="125">
        <f>IF($D73="",0,'Guide &amp; Settings'!$C$44*IF($F73&gt;=3,$F73,0))</f>
        <v>0</v>
      </c>
      <c r="M73" s="124">
        <f t="shared" si="23"/>
        <v>25.76167055613573</v>
      </c>
      <c r="N73" s="122">
        <f t="shared" si="24"/>
        <v>962.64232337813939</v>
      </c>
      <c r="O73" s="121" t="str">
        <f t="shared" si="25"/>
        <v>OK</v>
      </c>
      <c r="P73">
        <f t="shared" si="26"/>
        <v>936.88065282200364</v>
      </c>
      <c r="Q73">
        <f t="shared" si="27"/>
        <v>0.5</v>
      </c>
      <c r="R73">
        <f t="shared" si="28"/>
        <v>0.66666666666666663</v>
      </c>
      <c r="S73">
        <f t="shared" si="29"/>
        <v>1.1666666666666665</v>
      </c>
      <c r="T73" s="89">
        <f t="shared" si="30"/>
        <v>1</v>
      </c>
      <c r="U73" s="126">
        <f>IF($D73="",0,IFERROR(LOOKUP(2,1/(($D$3:D72=$D73)*($C$3:C72=$C73)*($A$3:A72&lt;$A73)),$AB$3:AB72),1000))</f>
        <v>1016</v>
      </c>
      <c r="V73" s="126">
        <f t="shared" si="31"/>
        <v>950.06721068500315</v>
      </c>
      <c r="W73">
        <f t="shared" si="32"/>
        <v>950.06721068500315</v>
      </c>
      <c r="X73">
        <f t="shared" si="33"/>
        <v>0.5</v>
      </c>
      <c r="Y73">
        <f t="shared" si="34"/>
        <v>1016</v>
      </c>
      <c r="Z73">
        <f t="shared" si="35"/>
        <v>0.5</v>
      </c>
      <c r="AA73">
        <f>IF($D73="",0,IF($F73&lt;2,0,IF($E73="Win",('Guide &amp; Settings'!$C$42/(($F73-1)*COUNTIFS($A$4:$A$1510,$A73,$E$4:$E$1510,"Win")))*SUMIFS($Z$4:$Z$1510,$A$4:$A$1510,$A73,$E$4:$E$1510,"Loss"),-('Guide &amp; Settings'!$C$42/($F73-1))*$Z73)))</f>
        <v>15.263693206478006</v>
      </c>
      <c r="AB73" s="126">
        <f t="shared" si="36"/>
        <v>1031.2636932064779</v>
      </c>
      <c r="AC73" s="126">
        <f>IF($D73="","",IF($AD73=0,0,IF(COUNTIFS($D$4:$D73,$D73,$B$4:$B73,$B73)&gt;1,0,IF($B73&lt;'Guide &amp; Settings'!$C$50,0,IF(($B73-$AD73)/7-'Guide &amp; Settings'!$C$48&gt;=0,(INT(($B73-$AD73)/7-'Guide &amp; Settings'!$C$48)+1)*'Guide &amp; Settings'!$C$49,0)))))</f>
        <v>0</v>
      </c>
      <c r="AD73" s="142">
        <f t="shared" si="37"/>
        <v>46173</v>
      </c>
      <c r="AE73">
        <f t="shared" si="38"/>
        <v>1</v>
      </c>
      <c r="AF73">
        <f t="shared" si="39"/>
        <v>0</v>
      </c>
    </row>
    <row r="74" spans="1:32" ht="15" customHeight="1" x14ac:dyDescent="0.2">
      <c r="A74" s="117">
        <v>32</v>
      </c>
      <c r="B74" s="118">
        <v>46175</v>
      </c>
      <c r="C74" s="119" t="s">
        <v>47</v>
      </c>
      <c r="D74" s="119" t="s">
        <v>17</v>
      </c>
      <c r="E74" s="117" t="s">
        <v>371</v>
      </c>
      <c r="F74" s="120">
        <f t="shared" si="20"/>
        <v>2</v>
      </c>
      <c r="G74" s="121" t="str">
        <f t="shared" si="21"/>
        <v>Daniel (Ferret)</v>
      </c>
      <c r="H74" s="122">
        <f>IF($D74="",0,IFERROR(LOOKUP(2,1/(($D$3:D73=$D74)*($A$3:A73&lt;$A74)),$N$3:N73),'Guide &amp; Settings'!$C$41))</f>
        <v>1053.2976607677983</v>
      </c>
      <c r="I74" s="123">
        <f t="shared" si="22"/>
        <v>0.4285714285714286</v>
      </c>
      <c r="J74" s="124">
        <f>IF($D74="",0,IF($F74&lt;2,0,IF($E74="Win",('Guide &amp; Settings'!$C$42/(($F74-1)*COUNTIFS($A$4:$A$1510,$A74,$E$4:$E$1510,"Win")))*SUMIFS($X$4:$X$1510,$A$4:$A$1510,$A74,$E$4:$E$1510,"Loss"),-('Guide &amp; Settings'!$C$42/($F74-1))*$X74)))</f>
        <v>-20.618813413278588</v>
      </c>
      <c r="K74" s="124">
        <f>IF($D74="",0,'Guide &amp; Settings'!$C$43*(IF($E74="Win",1,0)-$I74))</f>
        <v>-5.1428571428571432</v>
      </c>
      <c r="L74" s="125">
        <f>IF($D74="",0,'Guide &amp; Settings'!$C$44*IF($F74&gt;=3,$F74,0))</f>
        <v>0</v>
      </c>
      <c r="M74" s="124">
        <f t="shared" si="23"/>
        <v>-25.76167055613573</v>
      </c>
      <c r="N74" s="122">
        <f t="shared" si="24"/>
        <v>1027.5359902116627</v>
      </c>
      <c r="O74" s="121" t="str">
        <f t="shared" si="25"/>
        <v>OK</v>
      </c>
      <c r="P74">
        <f t="shared" si="26"/>
        <v>936.88065282200364</v>
      </c>
      <c r="Q74">
        <f t="shared" si="27"/>
        <v>0.66153678344038458</v>
      </c>
      <c r="R74">
        <f t="shared" si="28"/>
        <v>0.5</v>
      </c>
      <c r="S74">
        <f t="shared" si="29"/>
        <v>1.1666666666666665</v>
      </c>
      <c r="T74" s="89">
        <f t="shared" si="30"/>
        <v>0</v>
      </c>
      <c r="U74" s="126">
        <f>IF($D74="",0,IFERROR(LOOKUP(2,1/(($D$3:D73=$D74)*($C$3:C73=$C74)*($A$3:A73&lt;$A74)),$AB$3:AB73),1000))</f>
        <v>1000</v>
      </c>
      <c r="V74" s="126">
        <f t="shared" si="31"/>
        <v>1053.2976607677983</v>
      </c>
      <c r="W74">
        <f t="shared" si="32"/>
        <v>950.06721068500315</v>
      </c>
      <c r="X74">
        <f t="shared" si="33"/>
        <v>0.64433791916495586</v>
      </c>
      <c r="Y74">
        <f t="shared" si="34"/>
        <v>1016</v>
      </c>
      <c r="Z74">
        <f t="shared" si="35"/>
        <v>0.47699041270243769</v>
      </c>
      <c r="AA74">
        <f>IF($D74="",0,IF($F74&lt;2,0,IF($E74="Win",('Guide &amp; Settings'!$C$42/(($F74-1)*COUNTIFS($A$4:$A$1510,$A74,$E$4:$E$1510,"Win")))*SUMIFS($Z$4:$Z$1510,$A$4:$A$1510,$A74,$E$4:$E$1510,"Loss"),-('Guide &amp; Settings'!$C$42/($F74-1))*$Z74)))</f>
        <v>-15.263693206478006</v>
      </c>
      <c r="AB74" s="126">
        <f t="shared" si="36"/>
        <v>984.73630679352198</v>
      </c>
      <c r="AC74" s="126">
        <f>IF($D74="","",IF($AD74=0,0,IF(COUNTIFS($D$4:$D74,$D74,$B$4:$B74,$B74)&gt;1,0,IF($B74&lt;'Guide &amp; Settings'!$C$50,0,IF(($B74-$AD74)/7-'Guide &amp; Settings'!$C$48&gt;=0,(INT(($B74-$AD74)/7-'Guide &amp; Settings'!$C$48)+1)*'Guide &amp; Settings'!$C$49,0)))))</f>
        <v>0</v>
      </c>
      <c r="AD74" s="142">
        <f t="shared" si="37"/>
        <v>0</v>
      </c>
      <c r="AE74">
        <f t="shared" si="38"/>
        <v>1</v>
      </c>
      <c r="AF74">
        <f t="shared" si="39"/>
        <v>0</v>
      </c>
    </row>
    <row r="75" spans="1:32" ht="15" customHeight="1" x14ac:dyDescent="0.2">
      <c r="A75" s="117">
        <v>33</v>
      </c>
      <c r="B75" s="118">
        <v>46175</v>
      </c>
      <c r="C75" s="119" t="s">
        <v>47</v>
      </c>
      <c r="D75" s="119" t="s">
        <v>15</v>
      </c>
      <c r="E75" s="117" t="s">
        <v>370</v>
      </c>
      <c r="F75" s="120">
        <f t="shared" si="20"/>
        <v>2</v>
      </c>
      <c r="G75" s="121" t="str">
        <f t="shared" si="21"/>
        <v>Aaron</v>
      </c>
      <c r="H75" s="122">
        <f>IF($D75="",0,IFERROR(LOOKUP(2,1/(($D$3:D74=$D75)*($A$3:A74&lt;$A75)),$N$3:N74),'Guide &amp; Settings'!$C$41))</f>
        <v>1055.6863499590656</v>
      </c>
      <c r="I75" s="123">
        <f t="shared" si="22"/>
        <v>0.5</v>
      </c>
      <c r="J75" s="124">
        <f>IF($D75="",0,IF($F75&lt;2,0,IF($E75="Win",('Guide &amp; Settings'!$C$42/(($F75-1)*COUNTIFS($A$4:$A$1510,$A75,$E$4:$E$1510,"Win")))*SUMIFS($X$4:$X$1510,$A$4:$A$1510,$A75,$E$4:$E$1510,"Loss"),-('Guide &amp; Settings'!$C$42/($F75-1))*$X75)))</f>
        <v>14.926954507509599</v>
      </c>
      <c r="K75" s="124">
        <f>IF($D75="",0,'Guide &amp; Settings'!$C$43*(IF($E75="Win",1,0)-$I75))</f>
        <v>6</v>
      </c>
      <c r="L75" s="125">
        <f>IF($D75="",0,'Guide &amp; Settings'!$C$44*IF($F75&gt;=3,$F75,0))</f>
        <v>0</v>
      </c>
      <c r="M75" s="124">
        <f t="shared" si="23"/>
        <v>20.926954507509599</v>
      </c>
      <c r="N75" s="122">
        <f t="shared" si="24"/>
        <v>1076.6133044665753</v>
      </c>
      <c r="O75" s="121" t="str">
        <f t="shared" si="25"/>
        <v>OK</v>
      </c>
      <c r="P75">
        <f t="shared" si="26"/>
        <v>1055.6863499590656</v>
      </c>
      <c r="Q75">
        <f t="shared" si="27"/>
        <v>0.5</v>
      </c>
      <c r="R75">
        <f t="shared" si="28"/>
        <v>0.33333333333333331</v>
      </c>
      <c r="S75">
        <f t="shared" si="29"/>
        <v>0.66666666666666663</v>
      </c>
      <c r="T75" s="89">
        <f t="shared" si="30"/>
        <v>1</v>
      </c>
      <c r="U75" s="126">
        <f>IF($D75="",0,IFERROR(LOOKUP(2,1/(($D$3:D74=$D75)*($C$3:C74=$C75)*($A$3:A74&lt;$A75)),$AB$3:AB74),1000))</f>
        <v>984</v>
      </c>
      <c r="V75" s="126">
        <f t="shared" si="31"/>
        <v>1043.738624965888</v>
      </c>
      <c r="W75">
        <f t="shared" si="32"/>
        <v>1043.738624965888</v>
      </c>
      <c r="X75">
        <f t="shared" si="33"/>
        <v>0.5</v>
      </c>
      <c r="Y75">
        <f t="shared" si="34"/>
        <v>984</v>
      </c>
      <c r="Z75">
        <f t="shared" si="35"/>
        <v>0.5</v>
      </c>
      <c r="AA75">
        <f>IF($D75="",0,IF($F75&lt;2,0,IF($E75="Win",('Guide &amp; Settings'!$C$42/(($F75-1)*COUNTIFS($A$4:$A$1510,$A75,$E$4:$E$1510,"Win")))*SUMIFS($Z$4:$Z$1510,$A$4:$A$1510,$A75,$E$4:$E$1510,"Loss"),-('Guide &amp; Settings'!$C$42/($F75-1))*$Z75)))</f>
        <v>16.033908130169188</v>
      </c>
      <c r="AB75" s="126">
        <f t="shared" si="36"/>
        <v>1000.0339081301692</v>
      </c>
      <c r="AC75" s="126">
        <f>IF($D75="","",IF($AD75=0,0,IF(COUNTIFS($D$4:$D75,$D75,$B$4:$B75,$B75)&gt;1,0,IF($B75&lt;'Guide &amp; Settings'!$C$50,0,IF(($B75-$AD75)/7-'Guide &amp; Settings'!$C$48&gt;=0,(INT(($B75-$AD75)/7-'Guide &amp; Settings'!$C$48)+1)*'Guide &amp; Settings'!$C$49,0)))))</f>
        <v>0</v>
      </c>
      <c r="AD75" s="142">
        <f t="shared" si="37"/>
        <v>0</v>
      </c>
      <c r="AE75">
        <f t="shared" si="38"/>
        <v>1</v>
      </c>
      <c r="AF75">
        <f t="shared" si="39"/>
        <v>0</v>
      </c>
    </row>
    <row r="76" spans="1:32" ht="15" customHeight="1" x14ac:dyDescent="0.2">
      <c r="A76" s="117">
        <v>33</v>
      </c>
      <c r="B76" s="118">
        <v>46175</v>
      </c>
      <c r="C76" s="119" t="s">
        <v>47</v>
      </c>
      <c r="D76" s="119" t="s">
        <v>17</v>
      </c>
      <c r="E76" s="117" t="s">
        <v>371</v>
      </c>
      <c r="F76" s="120">
        <f t="shared" si="20"/>
        <v>2</v>
      </c>
      <c r="G76" s="121" t="str">
        <f t="shared" si="21"/>
        <v>Aaron</v>
      </c>
      <c r="H76" s="122">
        <f>IF($D76="",0,IFERROR(LOOKUP(2,1/(($D$3:D75=$D76)*($A$3:A75&lt;$A76)),$N$3:N75),'Guide &amp; Settings'!$C$41))</f>
        <v>1027.5359902116627</v>
      </c>
      <c r="I76" s="123">
        <f t="shared" si="22"/>
        <v>0.5</v>
      </c>
      <c r="J76" s="124">
        <f>IF($D76="",0,IF($F76&lt;2,0,IF($E76="Win",('Guide &amp; Settings'!$C$42/(($F76-1)*COUNTIFS($A$4:$A$1510,$A76,$E$4:$E$1510,"Win")))*SUMIFS($X$4:$X$1510,$A$4:$A$1510,$A76,$E$4:$E$1510,"Loss"),-('Guide &amp; Settings'!$C$42/($F76-1))*$X76)))</f>
        <v>-14.926954507509599</v>
      </c>
      <c r="K76" s="124">
        <f>IF($D76="",0,'Guide &amp; Settings'!$C$43*(IF($E76="Win",1,0)-$I76))</f>
        <v>-6</v>
      </c>
      <c r="L76" s="125">
        <f>IF($D76="",0,'Guide &amp; Settings'!$C$44*IF($F76&gt;=3,$F76,0))</f>
        <v>0</v>
      </c>
      <c r="M76" s="124">
        <f t="shared" si="23"/>
        <v>-20.926954507509599</v>
      </c>
      <c r="N76" s="122">
        <f t="shared" si="24"/>
        <v>1006.6090357041531</v>
      </c>
      <c r="O76" s="121" t="str">
        <f t="shared" si="25"/>
        <v>OK</v>
      </c>
      <c r="P76">
        <f t="shared" si="26"/>
        <v>1055.6863499590656</v>
      </c>
      <c r="Q76">
        <f t="shared" si="27"/>
        <v>0.45957679342109781</v>
      </c>
      <c r="R76">
        <f t="shared" si="28"/>
        <v>0.33333333333333331</v>
      </c>
      <c r="S76">
        <f t="shared" si="29"/>
        <v>0.66666666666666663</v>
      </c>
      <c r="T76" s="89">
        <f t="shared" si="30"/>
        <v>1</v>
      </c>
      <c r="U76" s="126">
        <f>IF($D76="",0,IFERROR(LOOKUP(2,1/(($D$3:D75=$D76)*($C$3:C75=$C76)*($A$3:A75&lt;$A76)),$AB$3:AB75),1000))</f>
        <v>984.73630679352198</v>
      </c>
      <c r="V76" s="126">
        <f t="shared" si="31"/>
        <v>1020.4027096419726</v>
      </c>
      <c r="W76">
        <f t="shared" si="32"/>
        <v>1043.738624965888</v>
      </c>
      <c r="X76">
        <f t="shared" si="33"/>
        <v>0.46646732835967497</v>
      </c>
      <c r="Y76">
        <f t="shared" si="34"/>
        <v>984</v>
      </c>
      <c r="Z76">
        <f t="shared" si="35"/>
        <v>0.50105962906778712</v>
      </c>
      <c r="AA76">
        <f>IF($D76="",0,IF($F76&lt;2,0,IF($E76="Win",('Guide &amp; Settings'!$C$42/(($F76-1)*COUNTIFS($A$4:$A$1510,$A76,$E$4:$E$1510,"Win")))*SUMIFS($Z$4:$Z$1510,$A$4:$A$1510,$A76,$E$4:$E$1510,"Loss"),-('Guide &amp; Settings'!$C$42/($F76-1))*$Z76)))</f>
        <v>-16.033908130169188</v>
      </c>
      <c r="AB76" s="126">
        <f t="shared" si="36"/>
        <v>968.70239866335282</v>
      </c>
      <c r="AC76" s="126">
        <f>IF($D76="","",IF($AD76=0,0,IF(COUNTIFS($D$4:$D76,$D76,$B$4:$B76,$B76)&gt;1,0,IF($B76&lt;'Guide &amp; Settings'!$C$50,0,IF(($B76-$AD76)/7-'Guide &amp; Settings'!$C$48&gt;=0,(INT(($B76-$AD76)/7-'Guide &amp; Settings'!$C$48)+1)*'Guide &amp; Settings'!$C$49,0)))))</f>
        <v>0</v>
      </c>
      <c r="AD76" s="142">
        <f t="shared" si="37"/>
        <v>0</v>
      </c>
      <c r="AE76">
        <f t="shared" si="38"/>
        <v>1</v>
      </c>
      <c r="AF76">
        <f t="shared" si="39"/>
        <v>0</v>
      </c>
    </row>
    <row r="77" spans="1:32" ht="15" customHeight="1" x14ac:dyDescent="0.2">
      <c r="A77" s="117">
        <v>34</v>
      </c>
      <c r="B77" s="118">
        <v>46175</v>
      </c>
      <c r="C77" s="119" t="s">
        <v>48</v>
      </c>
      <c r="D77" s="119" t="s">
        <v>19</v>
      </c>
      <c r="E77" s="117" t="s">
        <v>370</v>
      </c>
      <c r="F77" s="120">
        <f t="shared" si="20"/>
        <v>3</v>
      </c>
      <c r="G77" s="121" t="str">
        <f t="shared" si="21"/>
        <v>Josh</v>
      </c>
      <c r="H77" s="122">
        <f>IF($D77="",0,IFERROR(LOOKUP(2,1/(($D$3:D76=$D77)*($A$3:A76&lt;$A77)),$N$3:N76),'Guide &amp; Settings'!$C$41))</f>
        <v>1115.6183486701341</v>
      </c>
      <c r="I77" s="123">
        <f t="shared" si="22"/>
        <v>0.33333333333333331</v>
      </c>
      <c r="J77" s="124">
        <f>IF($D77="",0,IF($F77&lt;2,0,IF($E77="Win",('Guide &amp; Settings'!$C$42/(($F77-1)*COUNTIFS($A$4:$A$1510,$A77,$E$4:$E$1510,"Win")))*SUMIFS($X$4:$X$1510,$A$4:$A$1510,$A77,$E$4:$E$1510,"Loss"),-('Guide &amp; Settings'!$C$42/($F77-1))*$X77)))</f>
        <v>10.258065458937804</v>
      </c>
      <c r="K77" s="124">
        <f>IF($D77="",0,'Guide &amp; Settings'!$C$43*(IF($E77="Win",1,0)-$I77))</f>
        <v>8</v>
      </c>
      <c r="L77" s="125">
        <f>IF($D77="",0,'Guide &amp; Settings'!$C$44*IF($F77&gt;=3,$F77,0))</f>
        <v>3</v>
      </c>
      <c r="M77" s="124">
        <f t="shared" si="23"/>
        <v>21.258065458937804</v>
      </c>
      <c r="N77" s="122">
        <f t="shared" si="24"/>
        <v>1136.8764141290719</v>
      </c>
      <c r="O77" s="121" t="str">
        <f t="shared" si="25"/>
        <v>OK</v>
      </c>
      <c r="P77">
        <f t="shared" si="26"/>
        <v>1115.6183486701341</v>
      </c>
      <c r="Q77">
        <f t="shared" si="27"/>
        <v>0.5</v>
      </c>
      <c r="R77">
        <f t="shared" si="28"/>
        <v>0.5</v>
      </c>
      <c r="S77">
        <f t="shared" si="29"/>
        <v>1.5</v>
      </c>
      <c r="T77" s="89">
        <f t="shared" si="30"/>
        <v>0</v>
      </c>
      <c r="U77" s="126">
        <f>IF($D77="",0,IFERROR(LOOKUP(2,1/(($D$3:D76=$D77)*($C$3:C76=$C77)*($A$3:A76&lt;$A77)),$AB$3:AB76),1000))</f>
        <v>1000</v>
      </c>
      <c r="V77" s="126">
        <f t="shared" si="31"/>
        <v>1115.6183486701341</v>
      </c>
      <c r="W77">
        <f t="shared" si="32"/>
        <v>1115.6183486701341</v>
      </c>
      <c r="X77">
        <f t="shared" si="33"/>
        <v>0.5</v>
      </c>
      <c r="Y77">
        <f t="shared" si="34"/>
        <v>1000</v>
      </c>
      <c r="Z77">
        <f t="shared" si="35"/>
        <v>0.5</v>
      </c>
      <c r="AA77">
        <f>IF($D77="",0,IF($F77&lt;2,0,IF($E77="Win",('Guide &amp; Settings'!$C$42/(($F77-1)*COUNTIFS($A$4:$A$1510,$A77,$E$4:$E$1510,"Win")))*SUMIFS($Z$4:$Z$1510,$A$4:$A$1510,$A77,$E$4:$E$1510,"Loss"),-('Guide &amp; Settings'!$C$42/($F77-1))*$Z77)))</f>
        <v>16</v>
      </c>
      <c r="AB77" s="126">
        <f t="shared" si="36"/>
        <v>1016</v>
      </c>
      <c r="AC77" s="126">
        <f>IF($D77="","",IF($AD77=0,0,IF(COUNTIFS($D$4:$D77,$D77,$B$4:$B77,$B77)&gt;1,0,IF($B77&lt;'Guide &amp; Settings'!$C$50,0,IF(($B77-$AD77)/7-'Guide &amp; Settings'!$C$48&gt;=0,(INT(($B77-$AD77)/7-'Guide &amp; Settings'!$C$48)+1)*'Guide &amp; Settings'!$C$49,0)))))</f>
        <v>0</v>
      </c>
      <c r="AD77" s="142">
        <f t="shared" si="37"/>
        <v>46172</v>
      </c>
      <c r="AE77">
        <f t="shared" si="38"/>
        <v>1</v>
      </c>
      <c r="AF77">
        <f t="shared" si="39"/>
        <v>0</v>
      </c>
    </row>
    <row r="78" spans="1:32" ht="15" customHeight="1" x14ac:dyDescent="0.2">
      <c r="A78" s="117">
        <v>34</v>
      </c>
      <c r="B78" s="118">
        <v>46175</v>
      </c>
      <c r="C78" s="119" t="s">
        <v>48</v>
      </c>
      <c r="D78" s="119" t="s">
        <v>22</v>
      </c>
      <c r="E78" s="117" t="s">
        <v>371</v>
      </c>
      <c r="F78" s="120">
        <f t="shared" si="20"/>
        <v>3</v>
      </c>
      <c r="G78" s="121" t="str">
        <f t="shared" si="21"/>
        <v>Josh</v>
      </c>
      <c r="H78" s="122">
        <f>IF($D78="",0,IFERROR(LOOKUP(2,1/(($D$3:D77=$D78)*($A$3:A77&lt;$A78)),$N$3:N77),'Guide &amp; Settings'!$C$41))</f>
        <v>962.64232337813939</v>
      </c>
      <c r="I78" s="123">
        <f t="shared" si="22"/>
        <v>0.33333333333333331</v>
      </c>
      <c r="J78" s="124">
        <f>IF($D78="",0,IF($F78&lt;2,0,IF($E78="Win",('Guide &amp; Settings'!$C$42/(($F78-1)*COUNTIFS($A$4:$A$1510,$A78,$E$4:$E$1510,"Win")))*SUMIFS($X$4:$X$1510,$A$4:$A$1510,$A78,$E$4:$E$1510,"Loss"),-('Guide &amp; Settings'!$C$42/($F78-1))*$X78)))</f>
        <v>-4.6888527396517379</v>
      </c>
      <c r="K78" s="124">
        <f>IF($D78="",0,'Guide &amp; Settings'!$C$43*(IF($E78="Win",1,0)-$I78))</f>
        <v>-4</v>
      </c>
      <c r="L78" s="125">
        <f>IF($D78="",0,'Guide &amp; Settings'!$C$44*IF($F78&gt;=3,$F78,0))</f>
        <v>3</v>
      </c>
      <c r="M78" s="124">
        <f t="shared" si="23"/>
        <v>-5.6888527396517379</v>
      </c>
      <c r="N78" s="122">
        <f t="shared" si="24"/>
        <v>956.9534706384876</v>
      </c>
      <c r="O78" s="121" t="str">
        <f t="shared" si="25"/>
        <v>OK</v>
      </c>
      <c r="P78">
        <f t="shared" si="26"/>
        <v>1115.6183486701341</v>
      </c>
      <c r="Q78">
        <f t="shared" si="27"/>
        <v>0.29305329622823362</v>
      </c>
      <c r="R78">
        <f t="shared" si="28"/>
        <v>0.5</v>
      </c>
      <c r="S78">
        <f t="shared" si="29"/>
        <v>1.5</v>
      </c>
      <c r="T78" s="89">
        <f t="shared" si="30"/>
        <v>0</v>
      </c>
      <c r="U78" s="126">
        <f>IF($D78="",0,IFERROR(LOOKUP(2,1/(($D$3:D77=$D78)*($C$3:C77=$C78)*($A$3:A77&lt;$A78)),$AB$3:AB77),1000))</f>
        <v>1000</v>
      </c>
      <c r="V78" s="126">
        <f t="shared" si="31"/>
        <v>962.64232337813939</v>
      </c>
      <c r="W78">
        <f t="shared" si="32"/>
        <v>1115.6183486701341</v>
      </c>
      <c r="X78">
        <f t="shared" si="33"/>
        <v>0.29305329622823362</v>
      </c>
      <c r="Y78">
        <f t="shared" si="34"/>
        <v>1000</v>
      </c>
      <c r="Z78">
        <f t="shared" si="35"/>
        <v>0.5</v>
      </c>
      <c r="AA78">
        <f>IF($D78="",0,IF($F78&lt;2,0,IF($E78="Win",('Guide &amp; Settings'!$C$42/(($F78-1)*COUNTIFS($A$4:$A$1510,$A78,$E$4:$E$1510,"Win")))*SUMIFS($Z$4:$Z$1510,$A$4:$A$1510,$A78,$E$4:$E$1510,"Loss"),-('Guide &amp; Settings'!$C$42/($F78-1))*$Z78)))</f>
        <v>-8</v>
      </c>
      <c r="AB78" s="126">
        <f t="shared" si="36"/>
        <v>992</v>
      </c>
      <c r="AC78" s="126">
        <f>IF($D78="","",IF($AD78=0,0,IF(COUNTIFS($D$4:$D78,$D78,$B$4:$B78,$B78)&gt;1,0,IF($B78&lt;'Guide &amp; Settings'!$C$50,0,IF(($B78-$AD78)/7-'Guide &amp; Settings'!$C$48&gt;=0,(INT(($B78-$AD78)/7-'Guide &amp; Settings'!$C$48)+1)*'Guide &amp; Settings'!$C$49,0)))))</f>
        <v>0</v>
      </c>
      <c r="AD78" s="142">
        <f t="shared" si="37"/>
        <v>46173</v>
      </c>
      <c r="AE78">
        <f t="shared" si="38"/>
        <v>1</v>
      </c>
      <c r="AF78">
        <f t="shared" si="39"/>
        <v>0</v>
      </c>
    </row>
    <row r="79" spans="1:32" ht="15" customHeight="1" x14ac:dyDescent="0.2">
      <c r="A79" s="117">
        <v>34</v>
      </c>
      <c r="B79" s="118">
        <v>46175</v>
      </c>
      <c r="C79" s="119" t="s">
        <v>48</v>
      </c>
      <c r="D79" s="119" t="s">
        <v>17</v>
      </c>
      <c r="E79" s="117" t="s">
        <v>371</v>
      </c>
      <c r="F79" s="120">
        <f t="shared" si="20"/>
        <v>3</v>
      </c>
      <c r="G79" s="121" t="str">
        <f t="shared" si="21"/>
        <v>Josh</v>
      </c>
      <c r="H79" s="122">
        <f>IF($D79="",0,IFERROR(LOOKUP(2,1/(($D$3:D78=$D79)*($A$3:A78&lt;$A79)),$N$3:N78),'Guide &amp; Settings'!$C$41))</f>
        <v>1006.6090357041531</v>
      </c>
      <c r="I79" s="123">
        <f t="shared" si="22"/>
        <v>0.33333333333333331</v>
      </c>
      <c r="J79" s="124">
        <f>IF($D79="",0,IF($F79&lt;2,0,IF($E79="Win",('Guide &amp; Settings'!$C$42/(($F79-1)*COUNTIFS($A$4:$A$1510,$A79,$E$4:$E$1510,"Win")))*SUMIFS($X$4:$X$1510,$A$4:$A$1510,$A79,$E$4:$E$1510,"Loss"),-('Guide &amp; Settings'!$C$42/($F79-1))*$X79)))</f>
        <v>-5.5692127192860656</v>
      </c>
      <c r="K79" s="124">
        <f>IF($D79="",0,'Guide &amp; Settings'!$C$43*(IF($E79="Win",1,0)-$I79))</f>
        <v>-4</v>
      </c>
      <c r="L79" s="125">
        <f>IF($D79="",0,'Guide &amp; Settings'!$C$44*IF($F79&gt;=3,$F79,0))</f>
        <v>3</v>
      </c>
      <c r="M79" s="124">
        <f t="shared" si="23"/>
        <v>-6.5692127192860656</v>
      </c>
      <c r="N79" s="122">
        <f t="shared" si="24"/>
        <v>1000.0398229848671</v>
      </c>
      <c r="O79" s="121" t="str">
        <f t="shared" si="25"/>
        <v>OK</v>
      </c>
      <c r="P79">
        <f t="shared" si="26"/>
        <v>1115.6183486701341</v>
      </c>
      <c r="Q79">
        <f t="shared" si="27"/>
        <v>0.3480757949553791</v>
      </c>
      <c r="R79">
        <f t="shared" si="28"/>
        <v>0.5</v>
      </c>
      <c r="S79">
        <f t="shared" si="29"/>
        <v>1.5</v>
      </c>
      <c r="T79" s="89">
        <f t="shared" si="30"/>
        <v>0</v>
      </c>
      <c r="U79" s="126">
        <f>IF($D79="",0,IFERROR(LOOKUP(2,1/(($D$3:D78=$D79)*($C$3:C78=$C79)*($A$3:A78&lt;$A79)),$AB$3:AB78),1000))</f>
        <v>1000</v>
      </c>
      <c r="V79" s="126">
        <f t="shared" si="31"/>
        <v>1006.6090357041531</v>
      </c>
      <c r="W79">
        <f t="shared" si="32"/>
        <v>1115.6183486701341</v>
      </c>
      <c r="X79">
        <f t="shared" si="33"/>
        <v>0.3480757949553791</v>
      </c>
      <c r="Y79">
        <f t="shared" si="34"/>
        <v>1000</v>
      </c>
      <c r="Z79">
        <f t="shared" si="35"/>
        <v>0.5</v>
      </c>
      <c r="AA79">
        <f>IF($D79="",0,IF($F79&lt;2,0,IF($E79="Win",('Guide &amp; Settings'!$C$42/(($F79-1)*COUNTIFS($A$4:$A$1510,$A79,$E$4:$E$1510,"Win")))*SUMIFS($Z$4:$Z$1510,$A$4:$A$1510,$A79,$E$4:$E$1510,"Loss"),-('Guide &amp; Settings'!$C$42/($F79-1))*$Z79)))</f>
        <v>-8</v>
      </c>
      <c r="AB79" s="126">
        <f t="shared" si="36"/>
        <v>992</v>
      </c>
      <c r="AC79" s="126">
        <f>IF($D79="","",IF($AD79=0,0,IF(COUNTIFS($D$4:$D79,$D79,$B$4:$B79,$B79)&gt;1,0,IF($B79&lt;'Guide &amp; Settings'!$C$50,0,IF(($B79-$AD79)/7-'Guide &amp; Settings'!$C$48&gt;=0,(INT(($B79-$AD79)/7-'Guide &amp; Settings'!$C$48)+1)*'Guide &amp; Settings'!$C$49,0)))))</f>
        <v>0</v>
      </c>
      <c r="AD79" s="142">
        <f t="shared" si="37"/>
        <v>0</v>
      </c>
      <c r="AE79">
        <f t="shared" si="38"/>
        <v>1</v>
      </c>
      <c r="AF79">
        <f t="shared" si="39"/>
        <v>0</v>
      </c>
    </row>
    <row r="80" spans="1:32" ht="15" customHeight="1" x14ac:dyDescent="0.2">
      <c r="A80" s="117">
        <v>35</v>
      </c>
      <c r="B80" s="118">
        <v>46175</v>
      </c>
      <c r="C80" s="119" t="s">
        <v>44</v>
      </c>
      <c r="D80" s="119" t="s">
        <v>18</v>
      </c>
      <c r="E80" s="117" t="s">
        <v>370</v>
      </c>
      <c r="F80" s="120">
        <f t="shared" si="20"/>
        <v>2</v>
      </c>
      <c r="G80" s="121" t="str">
        <f t="shared" si="21"/>
        <v>David</v>
      </c>
      <c r="H80" s="122">
        <f>IF($D80="",0,IFERROR(LOOKUP(2,1/(($D$3:D79=$D80)*($A$3:A79&lt;$A80)),$N$3:N79),'Guide &amp; Settings'!$C$41))</f>
        <v>930.4421101381032</v>
      </c>
      <c r="I80" s="123">
        <f t="shared" si="22"/>
        <v>0.45454545454545447</v>
      </c>
      <c r="J80" s="124">
        <f>IF($D80="",0,IF($F80&lt;2,0,IF($E80="Win",('Guide &amp; Settings'!$C$42/(($F80-1)*COUNTIFS($A$4:$A$1510,$A80,$E$4:$E$1510,"Win")))*SUMIFS($X$4:$X$1510,$A$4:$A$1510,$A80,$E$4:$E$1510,"Loss"),-('Guide &amp; Settings'!$C$42/($F80-1))*$X80)))</f>
        <v>16.686281763366704</v>
      </c>
      <c r="K80" s="124">
        <f>IF($D80="",0,'Guide &amp; Settings'!$C$43*(IF($E80="Win",1,0)-$I80))</f>
        <v>6.5454545454545467</v>
      </c>
      <c r="L80" s="125">
        <f>IF($D80="",0,'Guide &amp; Settings'!$C$44*IF($F80&gt;=3,$F80,0))</f>
        <v>0</v>
      </c>
      <c r="M80" s="124">
        <f t="shared" si="23"/>
        <v>23.231736308821251</v>
      </c>
      <c r="N80" s="122">
        <f t="shared" si="24"/>
        <v>953.67384644692447</v>
      </c>
      <c r="O80" s="121" t="str">
        <f t="shared" si="25"/>
        <v>OK</v>
      </c>
      <c r="P80">
        <f t="shared" si="26"/>
        <v>930.4421101381032</v>
      </c>
      <c r="Q80">
        <f t="shared" si="27"/>
        <v>0.5</v>
      </c>
      <c r="R80">
        <f t="shared" si="28"/>
        <v>0.16666666666666666</v>
      </c>
      <c r="S80">
        <f t="shared" si="29"/>
        <v>0.3666666666666667</v>
      </c>
      <c r="T80" s="89">
        <f t="shared" si="30"/>
        <v>4</v>
      </c>
      <c r="U80" s="126">
        <f>IF($D80="",0,IFERROR(LOOKUP(2,1/(($D$3:D79=$D80)*($C$3:C79=$C80)*($A$3:A79&lt;$A80)),$AB$3:AB79),1000))</f>
        <v>942.80180078795615</v>
      </c>
      <c r="V80" s="126">
        <f t="shared" si="31"/>
        <v>935.9353059824823</v>
      </c>
      <c r="W80">
        <f t="shared" si="32"/>
        <v>935.9353059824823</v>
      </c>
      <c r="X80">
        <f t="shared" si="33"/>
        <v>0.5</v>
      </c>
      <c r="Y80">
        <f t="shared" si="34"/>
        <v>942.80180078795615</v>
      </c>
      <c r="Z80">
        <f t="shared" si="35"/>
        <v>0.5</v>
      </c>
      <c r="AA80">
        <f>IF($D80="",0,IF($F80&lt;2,0,IF($E80="Win",('Guide &amp; Settings'!$C$42/(($F80-1)*COUNTIFS($A$4:$A$1510,$A80,$E$4:$E$1510,"Win")))*SUMIFS($Z$4:$Z$1510,$A$4:$A$1510,$A80,$E$4:$E$1510,"Loss"),-('Guide &amp; Settings'!$C$42/($F80-1))*$Z80)))</f>
        <v>16.619135157668911</v>
      </c>
      <c r="AB80" s="126">
        <f t="shared" si="36"/>
        <v>959.42093594562505</v>
      </c>
      <c r="AC80" s="126">
        <f>IF($D80="","",IF($AD80=0,0,IF(COUNTIFS($D$4:$D80,$D80,$B$4:$B80,$B80)&gt;1,0,IF($B80&lt;'Guide &amp; Settings'!$C$50,0,IF(($B80-$AD80)/7-'Guide &amp; Settings'!$C$48&gt;=0,(INT(($B80-$AD80)/7-'Guide &amp; Settings'!$C$48)+1)*'Guide &amp; Settings'!$C$49,0)))))</f>
        <v>0</v>
      </c>
      <c r="AD80" s="142">
        <f t="shared" si="37"/>
        <v>0</v>
      </c>
      <c r="AE80">
        <f t="shared" si="38"/>
        <v>1</v>
      </c>
      <c r="AF80">
        <f t="shared" si="39"/>
        <v>0</v>
      </c>
    </row>
    <row r="81" spans="1:32" ht="15" customHeight="1" x14ac:dyDescent="0.2">
      <c r="A81" s="117">
        <v>35</v>
      </c>
      <c r="B81" s="118">
        <v>46175</v>
      </c>
      <c r="C81" s="119" t="s">
        <v>44</v>
      </c>
      <c r="D81" s="119" t="s">
        <v>24</v>
      </c>
      <c r="E81" s="117" t="s">
        <v>371</v>
      </c>
      <c r="F81" s="120">
        <f t="shared" si="20"/>
        <v>2</v>
      </c>
      <c r="G81" s="121" t="str">
        <f t="shared" si="21"/>
        <v>David</v>
      </c>
      <c r="H81" s="122">
        <f>IF($D81="",0,IFERROR(LOOKUP(2,1/(($D$3:D80=$D81)*($A$3:A80&lt;$A81)),$N$3:N80),'Guide &amp; Settings'!$C$41))</f>
        <v>947.60327900388552</v>
      </c>
      <c r="I81" s="123">
        <f t="shared" si="22"/>
        <v>0.54545454545454541</v>
      </c>
      <c r="J81" s="124">
        <f>IF($D81="",0,IF($F81&lt;2,0,IF($E81="Win",('Guide &amp; Settings'!$C$42/(($F81-1)*COUNTIFS($A$4:$A$1510,$A81,$E$4:$E$1510,"Win")))*SUMIFS($X$4:$X$1510,$A$4:$A$1510,$A81,$E$4:$E$1510,"Loss"),-('Guide &amp; Settings'!$C$42/($F81-1))*$X81)))</f>
        <v>-16.686281763366704</v>
      </c>
      <c r="K81" s="124">
        <f>IF($D81="",0,'Guide &amp; Settings'!$C$43*(IF($E81="Win",1,0)-$I81))</f>
        <v>-6.545454545454545</v>
      </c>
      <c r="L81" s="125">
        <f>IF($D81="",0,'Guide &amp; Settings'!$C$44*IF($F81&gt;=3,$F81,0))</f>
        <v>0</v>
      </c>
      <c r="M81" s="124">
        <f t="shared" si="23"/>
        <v>-23.231736308821247</v>
      </c>
      <c r="N81" s="122">
        <f t="shared" si="24"/>
        <v>924.37154269506425</v>
      </c>
      <c r="O81" s="121" t="str">
        <f t="shared" si="25"/>
        <v>OK</v>
      </c>
      <c r="P81">
        <f t="shared" si="26"/>
        <v>930.4421101381032</v>
      </c>
      <c r="Q81">
        <f t="shared" si="27"/>
        <v>0.52467684208593446</v>
      </c>
      <c r="R81">
        <f t="shared" si="28"/>
        <v>0.2</v>
      </c>
      <c r="S81">
        <f t="shared" si="29"/>
        <v>0.3666666666666667</v>
      </c>
      <c r="T81" s="89">
        <f t="shared" si="30"/>
        <v>3</v>
      </c>
      <c r="U81" s="126">
        <f>IF($D81="",0,IFERROR(LOOKUP(2,1/(($D$3:D80=$D81)*($C$3:C80=$C81)*($A$3:A80&lt;$A81)),$AB$3:AB80),1000))</f>
        <v>956.25286636638907</v>
      </c>
      <c r="V81" s="126">
        <f t="shared" si="31"/>
        <v>950.84687426482435</v>
      </c>
      <c r="W81">
        <f t="shared" si="32"/>
        <v>935.9353059824823</v>
      </c>
      <c r="X81">
        <f t="shared" si="33"/>
        <v>0.52144630510520951</v>
      </c>
      <c r="Y81">
        <f t="shared" si="34"/>
        <v>942.80180078795615</v>
      </c>
      <c r="Z81">
        <f t="shared" si="35"/>
        <v>0.51934797367715346</v>
      </c>
      <c r="AA81">
        <f>IF($D81="",0,IF($F81&lt;2,0,IF($E81="Win",('Guide &amp; Settings'!$C$42/(($F81-1)*COUNTIFS($A$4:$A$1510,$A81,$E$4:$E$1510,"Win")))*SUMIFS($Z$4:$Z$1510,$A$4:$A$1510,$A81,$E$4:$E$1510,"Loss"),-('Guide &amp; Settings'!$C$42/($F81-1))*$Z81)))</f>
        <v>-16.619135157668911</v>
      </c>
      <c r="AB81" s="126">
        <f t="shared" si="36"/>
        <v>939.63373120872018</v>
      </c>
      <c r="AC81" s="126">
        <f>IF($D81="","",IF($AD81=0,0,IF(COUNTIFS($D$4:$D81,$D81,$B$4:$B81,$B81)&gt;1,0,IF($B81&lt;'Guide &amp; Settings'!$C$50,0,IF(($B81-$AD81)/7-'Guide &amp; Settings'!$C$48&gt;=0,(INT(($B81-$AD81)/7-'Guide &amp; Settings'!$C$48)+1)*'Guide &amp; Settings'!$C$49,0)))))</f>
        <v>0</v>
      </c>
      <c r="AD81" s="142">
        <f t="shared" si="37"/>
        <v>46172</v>
      </c>
      <c r="AE81">
        <f t="shared" si="38"/>
        <v>1</v>
      </c>
      <c r="AF81">
        <f t="shared" si="39"/>
        <v>0</v>
      </c>
    </row>
    <row r="82" spans="1:32" ht="15" customHeight="1" x14ac:dyDescent="0.2">
      <c r="A82" s="117">
        <v>36</v>
      </c>
      <c r="B82" s="118">
        <v>46175</v>
      </c>
      <c r="C82" s="119" t="s">
        <v>44</v>
      </c>
      <c r="D82" s="119" t="s">
        <v>19</v>
      </c>
      <c r="E82" s="117" t="s">
        <v>370</v>
      </c>
      <c r="F82" s="120">
        <f t="shared" si="20"/>
        <v>2</v>
      </c>
      <c r="G82" s="121" t="str">
        <f t="shared" si="21"/>
        <v>Josh</v>
      </c>
      <c r="H82" s="122">
        <f>IF($D82="",0,IFERROR(LOOKUP(2,1/(($D$3:D81=$D82)*($A$3:A81&lt;$A82)),$N$3:N81),'Guide &amp; Settings'!$C$41))</f>
        <v>1136.8764141290719</v>
      </c>
      <c r="I82" s="123">
        <f t="shared" si="22"/>
        <v>0.7567567567567568</v>
      </c>
      <c r="J82" s="124">
        <f>IF($D82="",0,IF($F82&lt;2,0,IF($E82="Win",('Guide &amp; Settings'!$C$42/(($F82-1)*COUNTIFS($A$4:$A$1510,$A82,$E$4:$E$1510,"Win")))*SUMIFS($X$4:$X$1510,$A$4:$A$1510,$A82,$E$4:$E$1510,"Loss"),-('Guide &amp; Settings'!$C$42/($F82-1))*$X82)))</f>
        <v>9.3442426265421066</v>
      </c>
      <c r="K82" s="124">
        <f>IF($D82="",0,'Guide &amp; Settings'!$C$43*(IF($E82="Win",1,0)-$I82))</f>
        <v>2.9189189189189184</v>
      </c>
      <c r="L82" s="125">
        <f>IF($D82="",0,'Guide &amp; Settings'!$C$44*IF($F82&gt;=3,$F82,0))</f>
        <v>0</v>
      </c>
      <c r="M82" s="124">
        <f t="shared" si="23"/>
        <v>12.263161545461024</v>
      </c>
      <c r="N82" s="122">
        <f t="shared" si="24"/>
        <v>1149.139575674533</v>
      </c>
      <c r="O82" s="121" t="str">
        <f t="shared" si="25"/>
        <v>OK</v>
      </c>
      <c r="P82">
        <f t="shared" si="26"/>
        <v>1136.8764141290719</v>
      </c>
      <c r="Q82">
        <f t="shared" si="27"/>
        <v>0.5</v>
      </c>
      <c r="R82">
        <f t="shared" si="28"/>
        <v>0.88888888888888884</v>
      </c>
      <c r="S82">
        <f t="shared" si="29"/>
        <v>1.1746031746031744</v>
      </c>
      <c r="T82" s="89">
        <f t="shared" si="30"/>
        <v>7</v>
      </c>
      <c r="U82" s="126">
        <f>IF($D82="",0,IFERROR(LOOKUP(2,1/(($D$3:D81=$D82)*($C$3:C81=$C82)*($A$3:A81&lt;$A82)),$AB$3:AB81),1000))</f>
        <v>1091.4903029545096</v>
      </c>
      <c r="V82" s="126">
        <f t="shared" si="31"/>
        <v>1110.4011826105773</v>
      </c>
      <c r="W82">
        <f t="shared" si="32"/>
        <v>1110.4011826105773</v>
      </c>
      <c r="X82">
        <f t="shared" si="33"/>
        <v>0.5</v>
      </c>
      <c r="Y82">
        <f t="shared" si="34"/>
        <v>1091.4903029545096</v>
      </c>
      <c r="Z82">
        <f t="shared" si="35"/>
        <v>0.5</v>
      </c>
      <c r="AA82">
        <f>IF($D82="",0,IF($F82&lt;2,0,IF($E82="Win",('Guide &amp; Settings'!$C$42/(($F82-1)*COUNTIFS($A$4:$A$1510,$A82,$E$4:$E$1510,"Win")))*SUMIFS($Z$4:$Z$1510,$A$4:$A$1510,$A82,$E$4:$E$1510,"Loss"),-('Guide &amp; Settings'!$C$42/($F82-1))*$Z82)))</f>
        <v>10.194927112731179</v>
      </c>
      <c r="AB82" s="126">
        <f t="shared" si="36"/>
        <v>1101.6852300672408</v>
      </c>
      <c r="AC82" s="126">
        <f>IF($D82="","",IF($AD82=0,0,IF(COUNTIFS($D$4:$D82,$D82,$B$4:$B82,$B82)&gt;1,0,IF($B82&lt;'Guide &amp; Settings'!$C$50,0,IF(($B82-$AD82)/7-'Guide &amp; Settings'!$C$48&gt;=0,(INT(($B82-$AD82)/7-'Guide &amp; Settings'!$C$48)+1)*'Guide &amp; Settings'!$C$49,0)))))</f>
        <v>0</v>
      </c>
      <c r="AD82" s="142">
        <f t="shared" si="37"/>
        <v>46172</v>
      </c>
      <c r="AE82">
        <f t="shared" si="38"/>
        <v>1</v>
      </c>
      <c r="AF82">
        <f t="shared" si="39"/>
        <v>0</v>
      </c>
    </row>
    <row r="83" spans="1:32" ht="15" customHeight="1" x14ac:dyDescent="0.2">
      <c r="A83" s="117">
        <v>36</v>
      </c>
      <c r="B83" s="118">
        <v>46175</v>
      </c>
      <c r="C83" s="119" t="s">
        <v>44</v>
      </c>
      <c r="D83" s="119" t="s">
        <v>18</v>
      </c>
      <c r="E83" s="117" t="s">
        <v>371</v>
      </c>
      <c r="F83" s="120">
        <f t="shared" si="20"/>
        <v>2</v>
      </c>
      <c r="G83" s="121" t="str">
        <f t="shared" si="21"/>
        <v>Josh</v>
      </c>
      <c r="H83" s="122">
        <f>IF($D83="",0,IFERROR(LOOKUP(2,1/(($D$3:D82=$D83)*($A$3:A82&lt;$A83)),$N$3:N82),'Guide &amp; Settings'!$C$41))</f>
        <v>953.67384644692447</v>
      </c>
      <c r="I83" s="123">
        <f t="shared" si="22"/>
        <v>0.24324324324324326</v>
      </c>
      <c r="J83" s="124">
        <f>IF($D83="",0,IF($F83&lt;2,0,IF($E83="Win",('Guide &amp; Settings'!$C$42/(($F83-1)*COUNTIFS($A$4:$A$1510,$A83,$E$4:$E$1510,"Win")))*SUMIFS($X$4:$X$1510,$A$4:$A$1510,$A83,$E$4:$E$1510,"Loss"),-('Guide &amp; Settings'!$C$42/($F83-1))*$X83)))</f>
        <v>-9.3442426265421066</v>
      </c>
      <c r="K83" s="124">
        <f>IF($D83="",0,'Guide &amp; Settings'!$C$43*(IF($E83="Win",1,0)-$I83))</f>
        <v>-2.9189189189189193</v>
      </c>
      <c r="L83" s="125">
        <f>IF($D83="",0,'Guide &amp; Settings'!$C$44*IF($F83&gt;=3,$F83,0))</f>
        <v>0</v>
      </c>
      <c r="M83" s="124">
        <f t="shared" si="23"/>
        <v>-12.263161545461026</v>
      </c>
      <c r="N83" s="122">
        <f t="shared" si="24"/>
        <v>941.41068490146347</v>
      </c>
      <c r="O83" s="121" t="str">
        <f t="shared" si="25"/>
        <v>OK</v>
      </c>
      <c r="P83">
        <f t="shared" si="26"/>
        <v>1136.8764141290719</v>
      </c>
      <c r="Q83">
        <f t="shared" si="27"/>
        <v>0.25834299222892865</v>
      </c>
      <c r="R83">
        <f t="shared" si="28"/>
        <v>0.2857142857142857</v>
      </c>
      <c r="S83">
        <f t="shared" si="29"/>
        <v>1.1746031746031744</v>
      </c>
      <c r="T83" s="89">
        <f t="shared" si="30"/>
        <v>5</v>
      </c>
      <c r="U83" s="126">
        <f>IF($D83="",0,IFERROR(LOOKUP(2,1/(($D$3:D82=$D83)*($C$3:C82=$C83)*($A$3:A82&lt;$A83)),$AB$3:AB82),1000))</f>
        <v>959.42093594562505</v>
      </c>
      <c r="V83" s="126">
        <f t="shared" si="31"/>
        <v>956.5473911962747</v>
      </c>
      <c r="W83">
        <f t="shared" si="32"/>
        <v>1110.4011826105773</v>
      </c>
      <c r="X83">
        <f t="shared" si="33"/>
        <v>0.29200758207944083</v>
      </c>
      <c r="Y83">
        <f t="shared" si="34"/>
        <v>1091.4903029545096</v>
      </c>
      <c r="Z83">
        <f t="shared" si="35"/>
        <v>0.31859147227284934</v>
      </c>
      <c r="AA83">
        <f>IF($D83="",0,IF($F83&lt;2,0,IF($E83="Win",('Guide &amp; Settings'!$C$42/(($F83-1)*COUNTIFS($A$4:$A$1510,$A83,$E$4:$E$1510,"Win")))*SUMIFS($Z$4:$Z$1510,$A$4:$A$1510,$A83,$E$4:$E$1510,"Loss"),-('Guide &amp; Settings'!$C$42/($F83-1))*$Z83)))</f>
        <v>-10.194927112731179</v>
      </c>
      <c r="AB83" s="126">
        <f t="shared" si="36"/>
        <v>949.22600883289385</v>
      </c>
      <c r="AC83" s="126">
        <f>IF($D83="","",IF($AD83=0,0,IF(COUNTIFS($D$4:$D83,$D83,$B$4:$B83,$B83)&gt;1,0,IF($B83&lt;'Guide &amp; Settings'!$C$50,0,IF(($B83-$AD83)/7-'Guide &amp; Settings'!$C$48&gt;=0,(INT(($B83-$AD83)/7-'Guide &amp; Settings'!$C$48)+1)*'Guide &amp; Settings'!$C$49,0)))))</f>
        <v>0</v>
      </c>
      <c r="AD83" s="142">
        <f t="shared" si="37"/>
        <v>0</v>
      </c>
      <c r="AE83">
        <f t="shared" si="38"/>
        <v>1</v>
      </c>
      <c r="AF83">
        <f t="shared" si="39"/>
        <v>0</v>
      </c>
    </row>
    <row r="84" spans="1:32" ht="15" customHeight="1" x14ac:dyDescent="0.2">
      <c r="A84" s="117">
        <v>37</v>
      </c>
      <c r="B84" s="118">
        <v>46175</v>
      </c>
      <c r="C84" s="119" t="s">
        <v>44</v>
      </c>
      <c r="D84" s="119" t="s">
        <v>19</v>
      </c>
      <c r="E84" s="117" t="s">
        <v>370</v>
      </c>
      <c r="F84" s="120">
        <f t="shared" si="20"/>
        <v>2</v>
      </c>
      <c r="G84" s="121" t="str">
        <f t="shared" si="21"/>
        <v>Josh</v>
      </c>
      <c r="H84" s="122">
        <f>IF($D84="",0,IFERROR(LOOKUP(2,1/(($D$3:D83=$D84)*($A$3:A83&lt;$A84)),$N$3:N83),'Guide &amp; Settings'!$C$41))</f>
        <v>1149.139575674533</v>
      </c>
      <c r="I84" s="123">
        <f t="shared" si="22"/>
        <v>0.84375</v>
      </c>
      <c r="J84" s="124">
        <f>IF($D84="",0,IF($F84&lt;2,0,IF($E84="Win",('Guide &amp; Settings'!$C$42/(($F84-1)*COUNTIFS($A$4:$A$1510,$A84,$E$4:$E$1510,"Win")))*SUMIFS($X$4:$X$1510,$A$4:$A$1510,$A84,$E$4:$E$1510,"Loss"),-('Guide &amp; Settings'!$C$42/($F84-1))*$X84)))</f>
        <v>8.0715808027619893</v>
      </c>
      <c r="K84" s="124">
        <f>IF($D84="",0,'Guide &amp; Settings'!$C$43*(IF($E84="Win",1,0)-$I84))</f>
        <v>1.875</v>
      </c>
      <c r="L84" s="125">
        <f>IF($D84="",0,'Guide &amp; Settings'!$C$44*IF($F84&gt;=3,$F84,0))</f>
        <v>0</v>
      </c>
      <c r="M84" s="124">
        <f t="shared" si="23"/>
        <v>9.9465808027619893</v>
      </c>
      <c r="N84" s="122">
        <f t="shared" si="24"/>
        <v>1159.0861564772949</v>
      </c>
      <c r="O84" s="121" t="str">
        <f t="shared" si="25"/>
        <v>OK</v>
      </c>
      <c r="P84">
        <f t="shared" si="26"/>
        <v>1149.139575674533</v>
      </c>
      <c r="Q84">
        <f t="shared" si="27"/>
        <v>0.5</v>
      </c>
      <c r="R84">
        <f t="shared" si="28"/>
        <v>0.9</v>
      </c>
      <c r="S84">
        <f t="shared" si="29"/>
        <v>1.0666666666666667</v>
      </c>
      <c r="T84" s="89">
        <f t="shared" si="30"/>
        <v>8</v>
      </c>
      <c r="U84" s="126">
        <f>IF($D84="",0,IFERROR(LOOKUP(2,1/(($D$3:D83=$D84)*($C$3:C83=$C84)*($A$3:A83&lt;$A84)),$AB$3:AB83),1000))</f>
        <v>1101.6852300672408</v>
      </c>
      <c r="V84" s="126">
        <f t="shared" si="31"/>
        <v>1119.936901454661</v>
      </c>
      <c r="W84">
        <f t="shared" si="32"/>
        <v>1119.936901454661</v>
      </c>
      <c r="X84">
        <f t="shared" si="33"/>
        <v>0.5</v>
      </c>
      <c r="Y84">
        <f t="shared" si="34"/>
        <v>1101.6852300672408</v>
      </c>
      <c r="Z84">
        <f t="shared" si="35"/>
        <v>0.5</v>
      </c>
      <c r="AA84">
        <f>IF($D84="",0,IF($F84&lt;2,0,IF($E84="Win",('Guide &amp; Settings'!$C$42/(($F84-1)*COUNTIFS($A$4:$A$1510,$A84,$E$4:$E$1510,"Win")))*SUMIFS($Z$4:$Z$1510,$A$4:$A$1510,$A84,$E$4:$E$1510,"Loss"),-('Guide &amp; Settings'!$C$42/($F84-1))*$Z84)))</f>
        <v>9.0351425183095415</v>
      </c>
      <c r="AB84" s="126">
        <f t="shared" si="36"/>
        <v>1110.7203725855504</v>
      </c>
      <c r="AC84" s="126">
        <f>IF($D84="","",IF($AD84=0,0,IF(COUNTIFS($D$4:$D84,$D84,$B$4:$B84,$B84)&gt;1,0,IF($B84&lt;'Guide &amp; Settings'!$C$50,0,IF(($B84-$AD84)/7-'Guide &amp; Settings'!$C$48&gt;=0,(INT(($B84-$AD84)/7-'Guide &amp; Settings'!$C$48)+1)*'Guide &amp; Settings'!$C$49,0)))))</f>
        <v>0</v>
      </c>
      <c r="AD84" s="142">
        <f t="shared" si="37"/>
        <v>46172</v>
      </c>
      <c r="AE84">
        <f t="shared" si="38"/>
        <v>1</v>
      </c>
      <c r="AF84">
        <f t="shared" si="39"/>
        <v>0</v>
      </c>
    </row>
    <row r="85" spans="1:32" ht="15" customHeight="1" x14ac:dyDescent="0.2">
      <c r="A85" s="117">
        <v>37</v>
      </c>
      <c r="B85" s="118">
        <v>46175</v>
      </c>
      <c r="C85" s="119" t="s">
        <v>44</v>
      </c>
      <c r="D85" s="119" t="s">
        <v>24</v>
      </c>
      <c r="E85" s="117" t="s">
        <v>371</v>
      </c>
      <c r="F85" s="120">
        <f t="shared" si="20"/>
        <v>2</v>
      </c>
      <c r="G85" s="121" t="str">
        <f t="shared" si="21"/>
        <v>Josh</v>
      </c>
      <c r="H85" s="122">
        <f>IF($D85="",0,IFERROR(LOOKUP(2,1/(($D$3:D84=$D85)*($A$3:A84&lt;$A85)),$N$3:N84),'Guide &amp; Settings'!$C$41))</f>
        <v>924.37154269506425</v>
      </c>
      <c r="I85" s="123">
        <f t="shared" si="22"/>
        <v>0.15625</v>
      </c>
      <c r="J85" s="124">
        <f>IF($D85="",0,IF($F85&lt;2,0,IF($E85="Win",('Guide &amp; Settings'!$C$42/(($F85-1)*COUNTIFS($A$4:$A$1510,$A85,$E$4:$E$1510,"Win")))*SUMIFS($X$4:$X$1510,$A$4:$A$1510,$A85,$E$4:$E$1510,"Loss"),-('Guide &amp; Settings'!$C$42/($F85-1))*$X85)))</f>
        <v>-8.0715808027619893</v>
      </c>
      <c r="K85" s="124">
        <f>IF($D85="",0,'Guide &amp; Settings'!$C$43*(IF($E85="Win",1,0)-$I85))</f>
        <v>-1.875</v>
      </c>
      <c r="L85" s="125">
        <f>IF($D85="",0,'Guide &amp; Settings'!$C$44*IF($F85&gt;=3,$F85,0))</f>
        <v>0</v>
      </c>
      <c r="M85" s="124">
        <f t="shared" si="23"/>
        <v>-9.9465808027619893</v>
      </c>
      <c r="N85" s="122">
        <f t="shared" si="24"/>
        <v>914.42496189230224</v>
      </c>
      <c r="O85" s="121" t="str">
        <f t="shared" si="25"/>
        <v>OK</v>
      </c>
      <c r="P85">
        <f t="shared" si="26"/>
        <v>1149.139575674533</v>
      </c>
      <c r="Q85">
        <f t="shared" si="27"/>
        <v>0.21519869527877733</v>
      </c>
      <c r="R85">
        <f t="shared" si="28"/>
        <v>0.16666666666666666</v>
      </c>
      <c r="S85">
        <f t="shared" si="29"/>
        <v>1.0666666666666667</v>
      </c>
      <c r="T85" s="89">
        <f t="shared" si="30"/>
        <v>4</v>
      </c>
      <c r="U85" s="126">
        <f>IF($D85="",0,IFERROR(LOOKUP(2,1/(($D$3:D84=$D85)*($C$3:C84=$C85)*($A$3:A84&lt;$A85)),$AB$3:AB84),1000))</f>
        <v>939.63373120872018</v>
      </c>
      <c r="V85" s="126">
        <f t="shared" si="31"/>
        <v>931.15473759002236</v>
      </c>
      <c r="W85">
        <f t="shared" si="32"/>
        <v>1119.936901454661</v>
      </c>
      <c r="X85">
        <f t="shared" si="33"/>
        <v>0.25223690008631217</v>
      </c>
      <c r="Y85">
        <f t="shared" si="34"/>
        <v>1101.6852300672408</v>
      </c>
      <c r="Z85">
        <f t="shared" si="35"/>
        <v>0.28234820369717317</v>
      </c>
      <c r="AA85">
        <f>IF($D85="",0,IF($F85&lt;2,0,IF($E85="Win",('Guide &amp; Settings'!$C$42/(($F85-1)*COUNTIFS($A$4:$A$1510,$A85,$E$4:$E$1510,"Win")))*SUMIFS($Z$4:$Z$1510,$A$4:$A$1510,$A85,$E$4:$E$1510,"Loss"),-('Guide &amp; Settings'!$C$42/($F85-1))*$Z85)))</f>
        <v>-9.0351425183095415</v>
      </c>
      <c r="AB85" s="126">
        <f t="shared" si="36"/>
        <v>930.59858869041068</v>
      </c>
      <c r="AC85" s="126">
        <f>IF($D85="","",IF($AD85=0,0,IF(COUNTIFS($D$4:$D85,$D85,$B$4:$B85,$B85)&gt;1,0,IF($B85&lt;'Guide &amp; Settings'!$C$50,0,IF(($B85-$AD85)/7-'Guide &amp; Settings'!$C$48&gt;=0,(INT(($B85-$AD85)/7-'Guide &amp; Settings'!$C$48)+1)*'Guide &amp; Settings'!$C$49,0)))))</f>
        <v>0</v>
      </c>
      <c r="AD85" s="142">
        <f t="shared" si="37"/>
        <v>46172</v>
      </c>
      <c r="AE85">
        <f t="shared" si="38"/>
        <v>1</v>
      </c>
      <c r="AF85">
        <f t="shared" si="39"/>
        <v>0</v>
      </c>
    </row>
    <row r="86" spans="1:32" ht="15" customHeight="1" x14ac:dyDescent="0.2">
      <c r="A86" s="117">
        <v>38</v>
      </c>
      <c r="B86" s="118">
        <v>46176</v>
      </c>
      <c r="C86" s="119" t="s">
        <v>37</v>
      </c>
      <c r="D86" s="119" t="s">
        <v>23</v>
      </c>
      <c r="E86" s="117" t="s">
        <v>370</v>
      </c>
      <c r="F86" s="120">
        <f t="shared" si="20"/>
        <v>2</v>
      </c>
      <c r="G86" s="121" t="str">
        <f t="shared" si="21"/>
        <v>Dean B</v>
      </c>
      <c r="H86" s="122">
        <f>IF($D86="",0,IFERROR(LOOKUP(2,1/(($D$3:D85=$D86)*($A$3:A85&lt;$A86)),$N$3:N85),'Guide &amp; Settings'!$C$41))</f>
        <v>1000</v>
      </c>
      <c r="I86" s="123">
        <f t="shared" si="22"/>
        <v>0.5</v>
      </c>
      <c r="J86" s="124">
        <f>IF($D86="",0,IF($F86&lt;2,0,IF($E86="Win",('Guide &amp; Settings'!$C$42/(($F86-1)*COUNTIFS($A$4:$A$1510,$A86,$E$4:$E$1510,"Win")))*SUMIFS($X$4:$X$1510,$A$4:$A$1510,$A86,$E$4:$E$1510,"Loss"),-('Guide &amp; Settings'!$C$42/($F86-1))*$X86)))</f>
        <v>17.001830058442707</v>
      </c>
      <c r="K86" s="124">
        <f>IF($D86="",0,'Guide &amp; Settings'!$C$43*(IF($E86="Win",1,0)-$I86))</f>
        <v>6</v>
      </c>
      <c r="L86" s="125">
        <f>IF($D86="",0,'Guide &amp; Settings'!$C$44*IF($F86&gt;=3,$F86,0))</f>
        <v>0</v>
      </c>
      <c r="M86" s="124">
        <f t="shared" si="23"/>
        <v>23.001830058442707</v>
      </c>
      <c r="N86" s="122">
        <f t="shared" si="24"/>
        <v>1023.0018300584427</v>
      </c>
      <c r="O86" s="121" t="str">
        <f t="shared" si="25"/>
        <v>OK</v>
      </c>
      <c r="P86">
        <f t="shared" si="26"/>
        <v>1000</v>
      </c>
      <c r="Q86">
        <f t="shared" si="27"/>
        <v>0.5</v>
      </c>
      <c r="R86">
        <f t="shared" si="28"/>
        <v>0.5</v>
      </c>
      <c r="S86">
        <f t="shared" si="29"/>
        <v>1</v>
      </c>
      <c r="T86" s="89">
        <f t="shared" si="30"/>
        <v>0</v>
      </c>
      <c r="U86" s="126">
        <f>IF($D86="",0,IFERROR(LOOKUP(2,1/(($D$3:D85=$D86)*($C$3:C85=$C86)*($A$3:A85&lt;$A86)),$AB$3:AB85),1000))</f>
        <v>1000</v>
      </c>
      <c r="V86" s="126">
        <f t="shared" si="31"/>
        <v>1000</v>
      </c>
      <c r="W86">
        <f t="shared" si="32"/>
        <v>1000</v>
      </c>
      <c r="X86">
        <f t="shared" si="33"/>
        <v>0.5</v>
      </c>
      <c r="Y86">
        <f t="shared" si="34"/>
        <v>1000</v>
      </c>
      <c r="Z86">
        <f t="shared" si="35"/>
        <v>0.5</v>
      </c>
      <c r="AA86">
        <f>IF($D86="",0,IF($F86&lt;2,0,IF($E86="Win",('Guide &amp; Settings'!$C$42/(($F86-1)*COUNTIFS($A$4:$A$1510,$A86,$E$4:$E$1510,"Win")))*SUMIFS($Z$4:$Z$1510,$A$4:$A$1510,$A86,$E$4:$E$1510,"Loss"),-('Guide &amp; Settings'!$C$42/($F86-1))*$Z86)))</f>
        <v>16</v>
      </c>
      <c r="AB86" s="126">
        <f t="shared" si="36"/>
        <v>1016</v>
      </c>
      <c r="AC86" s="126">
        <f>IF($D86="","",IF($AD86=0,0,IF(COUNTIFS($D$4:$D86,$D86,$B$4:$B86,$B86)&gt;1,0,IF($B86&lt;'Guide &amp; Settings'!$C$50,0,IF(($B86-$AD86)/7-'Guide &amp; Settings'!$C$48&gt;=0,(INT(($B86-$AD86)/7-'Guide &amp; Settings'!$C$48)+1)*'Guide &amp; Settings'!$C$49,0)))))</f>
        <v>0</v>
      </c>
      <c r="AD86" s="142">
        <f t="shared" si="37"/>
        <v>0</v>
      </c>
      <c r="AE86">
        <f t="shared" si="38"/>
        <v>1</v>
      </c>
      <c r="AF86">
        <f t="shared" si="39"/>
        <v>0</v>
      </c>
    </row>
    <row r="87" spans="1:32" ht="15" customHeight="1" x14ac:dyDescent="0.2">
      <c r="A87" s="117">
        <v>38</v>
      </c>
      <c r="B87" s="118">
        <v>46176</v>
      </c>
      <c r="C87" s="119" t="s">
        <v>37</v>
      </c>
      <c r="D87" s="119" t="s">
        <v>25</v>
      </c>
      <c r="E87" s="117" t="s">
        <v>371</v>
      </c>
      <c r="F87" s="120">
        <f t="shared" si="20"/>
        <v>2</v>
      </c>
      <c r="G87" s="121" t="str">
        <f t="shared" si="21"/>
        <v>Dean B</v>
      </c>
      <c r="H87" s="122">
        <f>IF($D87="",0,IFERROR(LOOKUP(2,1/(($D$3:D86=$D87)*($A$3:A86&lt;$A87)),$N$3:N86),'Guide &amp; Settings'!$C$41))</f>
        <v>1021.7829602697462</v>
      </c>
      <c r="I87" s="123">
        <f t="shared" si="22"/>
        <v>0.5</v>
      </c>
      <c r="J87" s="124">
        <f>IF($D87="",0,IF($F87&lt;2,0,IF($E87="Win",('Guide &amp; Settings'!$C$42/(($F87-1)*COUNTIFS($A$4:$A$1510,$A87,$E$4:$E$1510,"Win")))*SUMIFS($X$4:$X$1510,$A$4:$A$1510,$A87,$E$4:$E$1510,"Loss"),-('Guide &amp; Settings'!$C$42/($F87-1))*$X87)))</f>
        <v>-17.001830058442707</v>
      </c>
      <c r="K87" s="124">
        <f>IF($D87="",0,'Guide &amp; Settings'!$C$43*(IF($E87="Win",1,0)-$I87))</f>
        <v>-6</v>
      </c>
      <c r="L87" s="125">
        <f>IF($D87="",0,'Guide &amp; Settings'!$C$44*IF($F87&gt;=3,$F87,0))</f>
        <v>0</v>
      </c>
      <c r="M87" s="124">
        <f t="shared" si="23"/>
        <v>-23.001830058442707</v>
      </c>
      <c r="N87" s="122">
        <f t="shared" si="24"/>
        <v>998.78113021130355</v>
      </c>
      <c r="O87" s="121" t="str">
        <f t="shared" si="25"/>
        <v>OK</v>
      </c>
      <c r="P87">
        <f t="shared" si="26"/>
        <v>1000</v>
      </c>
      <c r="Q87">
        <f t="shared" si="27"/>
        <v>0.53130718932633458</v>
      </c>
      <c r="R87">
        <f t="shared" si="28"/>
        <v>0.5</v>
      </c>
      <c r="S87">
        <f t="shared" si="29"/>
        <v>1</v>
      </c>
      <c r="T87" s="89">
        <f t="shared" si="30"/>
        <v>0</v>
      </c>
      <c r="U87" s="126">
        <f>IF($D87="",0,IFERROR(LOOKUP(2,1/(($D$3:D86=$D87)*($C$3:C86=$C87)*($A$3:A86&lt;$A87)),$AB$3:AB86),1000))</f>
        <v>1000</v>
      </c>
      <c r="V87" s="126">
        <f t="shared" si="31"/>
        <v>1021.7829602697462</v>
      </c>
      <c r="W87">
        <f t="shared" si="32"/>
        <v>1000</v>
      </c>
      <c r="X87">
        <f t="shared" si="33"/>
        <v>0.53130718932633458</v>
      </c>
      <c r="Y87">
        <f t="shared" si="34"/>
        <v>1000</v>
      </c>
      <c r="Z87">
        <f t="shared" si="35"/>
        <v>0.5</v>
      </c>
      <c r="AA87">
        <f>IF($D87="",0,IF($F87&lt;2,0,IF($E87="Win",('Guide &amp; Settings'!$C$42/(($F87-1)*COUNTIFS($A$4:$A$1510,$A87,$E$4:$E$1510,"Win")))*SUMIFS($Z$4:$Z$1510,$A$4:$A$1510,$A87,$E$4:$E$1510,"Loss"),-('Guide &amp; Settings'!$C$42/($F87-1))*$Z87)))</f>
        <v>-16</v>
      </c>
      <c r="AB87" s="126">
        <f t="shared" si="36"/>
        <v>984</v>
      </c>
      <c r="AC87" s="126">
        <f>IF($D87="","",IF($AD87=0,0,IF(COUNTIFS($D$4:$D87,$D87,$B$4:$B87,$B87)&gt;1,0,IF($B87&lt;'Guide &amp; Settings'!$C$50,0,IF(($B87-$AD87)/7-'Guide &amp; Settings'!$C$48&gt;=0,(INT(($B87-$AD87)/7-'Guide &amp; Settings'!$C$48)+1)*'Guide &amp; Settings'!$C$49,0)))))</f>
        <v>0</v>
      </c>
      <c r="AD87" s="142">
        <f t="shared" si="37"/>
        <v>46175</v>
      </c>
      <c r="AE87">
        <f t="shared" si="38"/>
        <v>1</v>
      </c>
      <c r="AF87">
        <f t="shared" si="39"/>
        <v>0</v>
      </c>
    </row>
    <row r="88" spans="1:32" ht="15" customHeight="1" x14ac:dyDescent="0.2">
      <c r="A88" s="117">
        <v>39</v>
      </c>
      <c r="B88" s="118">
        <v>46176</v>
      </c>
      <c r="C88" s="119" t="s">
        <v>37</v>
      </c>
      <c r="D88" s="119" t="s">
        <v>23</v>
      </c>
      <c r="E88" s="117" t="s">
        <v>370</v>
      </c>
      <c r="F88" s="120">
        <f t="shared" si="20"/>
        <v>2</v>
      </c>
      <c r="G88" s="121" t="str">
        <f t="shared" si="21"/>
        <v>Dean B</v>
      </c>
      <c r="H88" s="122">
        <f>IF($D88="",0,IFERROR(LOOKUP(2,1/(($D$3:D87=$D88)*($A$3:A87&lt;$A88)),$N$3:N87),'Guide &amp; Settings'!$C$41))</f>
        <v>1023.0018300584427</v>
      </c>
      <c r="I88" s="123">
        <f t="shared" si="22"/>
        <v>0.66666666666666663</v>
      </c>
      <c r="J88" s="124">
        <f>IF($D88="",0,IF($F88&lt;2,0,IF($E88="Win",('Guide &amp; Settings'!$C$42/(($F88-1)*COUNTIFS($A$4:$A$1510,$A88,$E$4:$E$1510,"Win")))*SUMIFS($X$4:$X$1510,$A$4:$A$1510,$A88,$E$4:$E$1510,"Loss"),-('Guide &amp; Settings'!$C$42/($F88-1))*$X88)))</f>
        <v>14.82699556030008</v>
      </c>
      <c r="K88" s="124">
        <f>IF($D88="",0,'Guide &amp; Settings'!$C$43*(IF($E88="Win",1,0)-$I88))</f>
        <v>4</v>
      </c>
      <c r="L88" s="125">
        <f>IF($D88="",0,'Guide &amp; Settings'!$C$44*IF($F88&gt;=3,$F88,0))</f>
        <v>0</v>
      </c>
      <c r="M88" s="124">
        <f t="shared" si="23"/>
        <v>18.82699556030008</v>
      </c>
      <c r="N88" s="122">
        <f t="shared" si="24"/>
        <v>1041.8288256187427</v>
      </c>
      <c r="O88" s="121" t="str">
        <f t="shared" si="25"/>
        <v>OK</v>
      </c>
      <c r="P88">
        <f t="shared" si="26"/>
        <v>1023.0018300584427</v>
      </c>
      <c r="Q88">
        <f t="shared" si="27"/>
        <v>0.5</v>
      </c>
      <c r="R88">
        <f t="shared" si="28"/>
        <v>0.66666666666666663</v>
      </c>
      <c r="S88">
        <f t="shared" si="29"/>
        <v>1</v>
      </c>
      <c r="T88" s="89">
        <f t="shared" si="30"/>
        <v>1</v>
      </c>
      <c r="U88" s="126">
        <f>IF($D88="",0,IFERROR(LOOKUP(2,1/(($D$3:D87=$D88)*($C$3:C87=$C88)*($A$3:A87&lt;$A88)),$AB$3:AB87),1000))</f>
        <v>1016</v>
      </c>
      <c r="V88" s="126">
        <f t="shared" si="31"/>
        <v>1021.8348583820357</v>
      </c>
      <c r="W88">
        <f t="shared" si="32"/>
        <v>1021.8348583820357</v>
      </c>
      <c r="X88">
        <f t="shared" si="33"/>
        <v>0.5</v>
      </c>
      <c r="Y88">
        <f t="shared" si="34"/>
        <v>1016</v>
      </c>
      <c r="Z88">
        <f t="shared" si="35"/>
        <v>0.5</v>
      </c>
      <c r="AA88">
        <f>IF($D88="",0,IF($F88&lt;2,0,IF($E88="Win",('Guide &amp; Settings'!$C$42/(($F88-1)*COUNTIFS($A$4:$A$1510,$A88,$E$4:$E$1510,"Win")))*SUMIFS($Z$4:$Z$1510,$A$4:$A$1510,$A88,$E$4:$E$1510,"Loss"),-('Guide &amp; Settings'!$C$42/($F88-1))*$Z88)))</f>
        <v>14.530498471024522</v>
      </c>
      <c r="AB88" s="126">
        <f t="shared" si="36"/>
        <v>1030.5304984710244</v>
      </c>
      <c r="AC88" s="126">
        <f>IF($D88="","",IF($AD88=0,0,IF(COUNTIFS($D$4:$D88,$D88,$B$4:$B88,$B88)&gt;1,0,IF($B88&lt;'Guide &amp; Settings'!$C$50,0,IF(($B88-$AD88)/7-'Guide &amp; Settings'!$C$48&gt;=0,(INT(($B88-$AD88)/7-'Guide &amp; Settings'!$C$48)+1)*'Guide &amp; Settings'!$C$49,0)))))</f>
        <v>0</v>
      </c>
      <c r="AD88" s="142">
        <f t="shared" si="37"/>
        <v>0</v>
      </c>
      <c r="AE88">
        <f t="shared" si="38"/>
        <v>1</v>
      </c>
      <c r="AF88">
        <f t="shared" si="39"/>
        <v>0</v>
      </c>
    </row>
    <row r="89" spans="1:32" ht="15" customHeight="1" x14ac:dyDescent="0.2">
      <c r="A89" s="117">
        <v>39</v>
      </c>
      <c r="B89" s="118">
        <v>46176</v>
      </c>
      <c r="C89" s="119" t="s">
        <v>37</v>
      </c>
      <c r="D89" s="119" t="s">
        <v>25</v>
      </c>
      <c r="E89" s="117" t="s">
        <v>371</v>
      </c>
      <c r="F89" s="120">
        <f t="shared" si="20"/>
        <v>2</v>
      </c>
      <c r="G89" s="121" t="str">
        <f t="shared" si="21"/>
        <v>Dean B</v>
      </c>
      <c r="H89" s="122">
        <f>IF($D89="",0,IFERROR(LOOKUP(2,1/(($D$3:D88=$D89)*($A$3:A88&lt;$A89)),$N$3:N88),'Guide &amp; Settings'!$C$41))</f>
        <v>998.78113021130355</v>
      </c>
      <c r="I89" s="123">
        <f t="shared" si="22"/>
        <v>0.33333333333333331</v>
      </c>
      <c r="J89" s="124">
        <f>IF($D89="",0,IF($F89&lt;2,0,IF($E89="Win",('Guide &amp; Settings'!$C$42/(($F89-1)*COUNTIFS($A$4:$A$1510,$A89,$E$4:$E$1510,"Win")))*SUMIFS($X$4:$X$1510,$A$4:$A$1510,$A89,$E$4:$E$1510,"Loss"),-('Guide &amp; Settings'!$C$42/($F89-1))*$X89)))</f>
        <v>-14.82699556030008</v>
      </c>
      <c r="K89" s="124">
        <f>IF($D89="",0,'Guide &amp; Settings'!$C$43*(IF($E89="Win",1,0)-$I89))</f>
        <v>-4</v>
      </c>
      <c r="L89" s="125">
        <f>IF($D89="",0,'Guide &amp; Settings'!$C$44*IF($F89&gt;=3,$F89,0))</f>
        <v>0</v>
      </c>
      <c r="M89" s="124">
        <f t="shared" si="23"/>
        <v>-18.82699556030008</v>
      </c>
      <c r="N89" s="122">
        <f t="shared" si="24"/>
        <v>979.95413465100341</v>
      </c>
      <c r="O89" s="121" t="str">
        <f t="shared" si="25"/>
        <v>OK</v>
      </c>
      <c r="P89">
        <f t="shared" si="26"/>
        <v>1023.0018300584427</v>
      </c>
      <c r="Q89">
        <f t="shared" si="27"/>
        <v>0.46519996729880964</v>
      </c>
      <c r="R89">
        <f t="shared" si="28"/>
        <v>0.33333333333333331</v>
      </c>
      <c r="S89">
        <f t="shared" si="29"/>
        <v>1</v>
      </c>
      <c r="T89" s="89">
        <f t="shared" si="30"/>
        <v>1</v>
      </c>
      <c r="U89" s="126">
        <f>IF($D89="",0,IFERROR(LOOKUP(2,1/(($D$3:D88=$D89)*($C$3:C88=$C89)*($A$3:A88&lt;$A89)),$AB$3:AB88),1000))</f>
        <v>984</v>
      </c>
      <c r="V89" s="126">
        <f t="shared" si="31"/>
        <v>996.31760850941964</v>
      </c>
      <c r="W89">
        <f t="shared" si="32"/>
        <v>1021.8348583820357</v>
      </c>
      <c r="X89">
        <f t="shared" si="33"/>
        <v>0.46334361125937751</v>
      </c>
      <c r="Y89">
        <f t="shared" si="34"/>
        <v>1016</v>
      </c>
      <c r="Z89">
        <f t="shared" si="35"/>
        <v>0.45407807721951632</v>
      </c>
      <c r="AA89">
        <f>IF($D89="",0,IF($F89&lt;2,0,IF($E89="Win",('Guide &amp; Settings'!$C$42/(($F89-1)*COUNTIFS($A$4:$A$1510,$A89,$E$4:$E$1510,"Win")))*SUMIFS($Z$4:$Z$1510,$A$4:$A$1510,$A89,$E$4:$E$1510,"Loss"),-('Guide &amp; Settings'!$C$42/($F89-1))*$Z89)))</f>
        <v>-14.530498471024522</v>
      </c>
      <c r="AB89" s="126">
        <f t="shared" si="36"/>
        <v>969.46950152897546</v>
      </c>
      <c r="AC89" s="126">
        <f>IF($D89="","",IF($AD89=0,0,IF(COUNTIFS($D$4:$D89,$D89,$B$4:$B89,$B89)&gt;1,0,IF($B89&lt;'Guide &amp; Settings'!$C$50,0,IF(($B89-$AD89)/7-'Guide &amp; Settings'!$C$48&gt;=0,(INT(($B89-$AD89)/7-'Guide &amp; Settings'!$C$48)+1)*'Guide &amp; Settings'!$C$49,0)))))</f>
        <v>0</v>
      </c>
      <c r="AD89" s="142">
        <f t="shared" si="37"/>
        <v>46175</v>
      </c>
      <c r="AE89">
        <f t="shared" si="38"/>
        <v>1</v>
      </c>
      <c r="AF89">
        <f t="shared" si="39"/>
        <v>0</v>
      </c>
    </row>
    <row r="90" spans="1:32" ht="15" customHeight="1" x14ac:dyDescent="0.2">
      <c r="A90" s="117">
        <v>40</v>
      </c>
      <c r="B90" s="118">
        <v>46176</v>
      </c>
      <c r="C90" s="119" t="s">
        <v>37</v>
      </c>
      <c r="D90" s="119" t="s">
        <v>22</v>
      </c>
      <c r="E90" s="117" t="s">
        <v>370</v>
      </c>
      <c r="F90" s="120">
        <f t="shared" si="20"/>
        <v>2</v>
      </c>
      <c r="G90" s="121" t="str">
        <f t="shared" si="21"/>
        <v>Daniel (Ferret)</v>
      </c>
      <c r="H90" s="122">
        <f>IF($D90="",0,IFERROR(LOOKUP(2,1/(($D$3:D89=$D90)*($A$3:A89&lt;$A90)),$N$3:N89),'Guide &amp; Settings'!$C$41))</f>
        <v>956.9534706384876</v>
      </c>
      <c r="I90" s="123">
        <f t="shared" si="22"/>
        <v>0.4</v>
      </c>
      <c r="J90" s="124">
        <f>IF($D90="",0,IF($F90&lt;2,0,IF($E90="Win",('Guide &amp; Settings'!$C$42/(($F90-1)*COUNTIFS($A$4:$A$1510,$A90,$E$4:$E$1510,"Win")))*SUMIFS($X$4:$X$1510,$A$4:$A$1510,$A90,$E$4:$E$1510,"Loss"),-('Guide &amp; Settings'!$C$42/($F90-1))*$X90)))</f>
        <v>19.692275797138912</v>
      </c>
      <c r="K90" s="124">
        <f>IF($D90="",0,'Guide &amp; Settings'!$C$43*(IF($E90="Win",1,0)-$I90))</f>
        <v>7.1999999999999993</v>
      </c>
      <c r="L90" s="125">
        <f>IF($D90="",0,'Guide &amp; Settings'!$C$44*IF($F90&gt;=3,$F90,0))</f>
        <v>0</v>
      </c>
      <c r="M90" s="124">
        <f t="shared" si="23"/>
        <v>26.892275797138911</v>
      </c>
      <c r="N90" s="122">
        <f t="shared" si="24"/>
        <v>983.84574643562655</v>
      </c>
      <c r="O90" s="121" t="str">
        <f t="shared" si="25"/>
        <v>OK</v>
      </c>
      <c r="P90">
        <f t="shared" si="26"/>
        <v>956.9534706384876</v>
      </c>
      <c r="Q90">
        <f t="shared" si="27"/>
        <v>0.5</v>
      </c>
      <c r="R90">
        <f t="shared" si="28"/>
        <v>0.5</v>
      </c>
      <c r="S90">
        <f t="shared" si="29"/>
        <v>1.25</v>
      </c>
      <c r="T90" s="89">
        <f t="shared" si="30"/>
        <v>0</v>
      </c>
      <c r="U90" s="126">
        <f>IF($D90="",0,IFERROR(LOOKUP(2,1/(($D$3:D89=$D90)*($C$3:C89=$C90)*($A$3:A89&lt;$A90)),$AB$3:AB89),1000))</f>
        <v>1000</v>
      </c>
      <c r="V90" s="126">
        <f t="shared" si="31"/>
        <v>956.9534706384876</v>
      </c>
      <c r="W90">
        <f t="shared" si="32"/>
        <v>956.9534706384876</v>
      </c>
      <c r="X90">
        <f t="shared" si="33"/>
        <v>0.5</v>
      </c>
      <c r="Y90">
        <f t="shared" si="34"/>
        <v>1000</v>
      </c>
      <c r="Z90">
        <f t="shared" si="35"/>
        <v>0.5</v>
      </c>
      <c r="AA90">
        <f>IF($D90="",0,IF($F90&lt;2,0,IF($E90="Win",('Guide &amp; Settings'!$C$42/(($F90-1)*COUNTIFS($A$4:$A$1510,$A90,$E$4:$E$1510,"Win")))*SUMIFS($Z$4:$Z$1510,$A$4:$A$1510,$A90,$E$4:$E$1510,"Loss"),-('Guide &amp; Settings'!$C$42/($F90-1))*$Z90)))</f>
        <v>17.402373648406023</v>
      </c>
      <c r="AB90" s="126">
        <f t="shared" si="36"/>
        <v>1017.4023736484061</v>
      </c>
      <c r="AC90" s="126">
        <f>IF($D90="","",IF($AD90=0,0,IF(COUNTIFS($D$4:$D90,$D90,$B$4:$B90,$B90)&gt;1,0,IF($B90&lt;'Guide &amp; Settings'!$C$50,0,IF(($B90-$AD90)/7-'Guide &amp; Settings'!$C$48&gt;=0,(INT(($B90-$AD90)/7-'Guide &amp; Settings'!$C$48)+1)*'Guide &amp; Settings'!$C$49,0)))))</f>
        <v>0</v>
      </c>
      <c r="AD90" s="142">
        <f t="shared" si="37"/>
        <v>46175</v>
      </c>
      <c r="AE90">
        <f t="shared" si="38"/>
        <v>1</v>
      </c>
      <c r="AF90">
        <f t="shared" si="39"/>
        <v>0</v>
      </c>
    </row>
    <row r="91" spans="1:32" ht="15" customHeight="1" x14ac:dyDescent="0.2">
      <c r="A91" s="117">
        <v>40</v>
      </c>
      <c r="B91" s="118">
        <v>46176</v>
      </c>
      <c r="C91" s="119" t="s">
        <v>37</v>
      </c>
      <c r="D91" s="119" t="s">
        <v>23</v>
      </c>
      <c r="E91" s="117" t="s">
        <v>371</v>
      </c>
      <c r="F91" s="120">
        <f t="shared" si="20"/>
        <v>2</v>
      </c>
      <c r="G91" s="121" t="str">
        <f t="shared" si="21"/>
        <v>Daniel (Ferret)</v>
      </c>
      <c r="H91" s="122">
        <f>IF($D91="",0,IFERROR(LOOKUP(2,1/(($D$3:D90=$D91)*($A$3:A90&lt;$A91)),$N$3:N90),'Guide &amp; Settings'!$C$41))</f>
        <v>1041.8288256187427</v>
      </c>
      <c r="I91" s="123">
        <f t="shared" si="22"/>
        <v>0.6</v>
      </c>
      <c r="J91" s="124">
        <f>IF($D91="",0,IF($F91&lt;2,0,IF($E91="Win",('Guide &amp; Settings'!$C$42/(($F91-1)*COUNTIFS($A$4:$A$1510,$A91,$E$4:$E$1510,"Win")))*SUMIFS($X$4:$X$1510,$A$4:$A$1510,$A91,$E$4:$E$1510,"Loss"),-('Guide &amp; Settings'!$C$42/($F91-1))*$X91)))</f>
        <v>-19.692275797138912</v>
      </c>
      <c r="K91" s="124">
        <f>IF($D91="",0,'Guide &amp; Settings'!$C$43*(IF($E91="Win",1,0)-$I91))</f>
        <v>-7.1999999999999993</v>
      </c>
      <c r="L91" s="125">
        <f>IF($D91="",0,'Guide &amp; Settings'!$C$44*IF($F91&gt;=3,$F91,0))</f>
        <v>0</v>
      </c>
      <c r="M91" s="124">
        <f t="shared" si="23"/>
        <v>-26.892275797138911</v>
      </c>
      <c r="N91" s="122">
        <f t="shared" si="24"/>
        <v>1014.9365498216038</v>
      </c>
      <c r="O91" s="121" t="str">
        <f t="shared" si="25"/>
        <v>OK</v>
      </c>
      <c r="P91">
        <f t="shared" si="26"/>
        <v>956.9534706384876</v>
      </c>
      <c r="Q91">
        <f t="shared" si="27"/>
        <v>0.61977228801065409</v>
      </c>
      <c r="R91">
        <f t="shared" si="28"/>
        <v>0.75</v>
      </c>
      <c r="S91">
        <f t="shared" si="29"/>
        <v>1.25</v>
      </c>
      <c r="T91" s="89">
        <f t="shared" si="30"/>
        <v>2</v>
      </c>
      <c r="U91" s="126">
        <f>IF($D91="",0,IFERROR(LOOKUP(2,1/(($D$3:D90=$D91)*($C$3:C90=$C91)*($A$3:A90&lt;$A91)),$AB$3:AB90),1000))</f>
        <v>1030.5304984710244</v>
      </c>
      <c r="V91" s="126">
        <f t="shared" si="31"/>
        <v>1038.600732147966</v>
      </c>
      <c r="W91">
        <f t="shared" si="32"/>
        <v>956.9534706384876</v>
      </c>
      <c r="X91">
        <f t="shared" si="33"/>
        <v>0.61538361866059099</v>
      </c>
      <c r="Y91">
        <f t="shared" si="34"/>
        <v>1000</v>
      </c>
      <c r="Z91">
        <f t="shared" si="35"/>
        <v>0.54382417651268822</v>
      </c>
      <c r="AA91">
        <f>IF($D91="",0,IF($F91&lt;2,0,IF($E91="Win",('Guide &amp; Settings'!$C$42/(($F91-1)*COUNTIFS($A$4:$A$1510,$A91,$E$4:$E$1510,"Win")))*SUMIFS($Z$4:$Z$1510,$A$4:$A$1510,$A91,$E$4:$E$1510,"Loss"),-('Guide &amp; Settings'!$C$42/($F91-1))*$Z91)))</f>
        <v>-17.402373648406023</v>
      </c>
      <c r="AB91" s="126">
        <f t="shared" si="36"/>
        <v>1013.1281248226184</v>
      </c>
      <c r="AC91" s="126">
        <f>IF($D91="","",IF($AD91=0,0,IF(COUNTIFS($D$4:$D91,$D91,$B$4:$B91,$B91)&gt;1,0,IF($B91&lt;'Guide &amp; Settings'!$C$50,0,IF(($B91-$AD91)/7-'Guide &amp; Settings'!$C$48&gt;=0,(INT(($B91-$AD91)/7-'Guide &amp; Settings'!$C$48)+1)*'Guide &amp; Settings'!$C$49,0)))))</f>
        <v>0</v>
      </c>
      <c r="AD91" s="142">
        <f t="shared" si="37"/>
        <v>0</v>
      </c>
      <c r="AE91">
        <f t="shared" si="38"/>
        <v>1</v>
      </c>
      <c r="AF91">
        <f t="shared" si="39"/>
        <v>0</v>
      </c>
    </row>
    <row r="92" spans="1:32" ht="15" customHeight="1" x14ac:dyDescent="0.2">
      <c r="A92" s="117">
        <v>41</v>
      </c>
      <c r="B92" s="118">
        <v>46176</v>
      </c>
      <c r="C92" s="119" t="s">
        <v>44</v>
      </c>
      <c r="D92" s="119" t="s">
        <v>22</v>
      </c>
      <c r="E92" s="117" t="s">
        <v>371</v>
      </c>
      <c r="F92" s="120">
        <f t="shared" si="20"/>
        <v>2</v>
      </c>
      <c r="G92" s="121" t="str">
        <f t="shared" si="21"/>
        <v>Josh</v>
      </c>
      <c r="H92" s="122">
        <f>IF($D92="",0,IFERROR(LOOKUP(2,1/(($D$3:D91=$D92)*($A$3:A91&lt;$A92)),$N$3:N91),'Guide &amp; Settings'!$C$41))</f>
        <v>983.84574643562655</v>
      </c>
      <c r="I92" s="123">
        <f t="shared" si="22"/>
        <v>0.2156862745098039</v>
      </c>
      <c r="J92" s="124">
        <f>IF($D92="",0,IF($F92&lt;2,0,IF($E92="Win",('Guide &amp; Settings'!$C$42/(($F92-1)*COUNTIFS($A$4:$A$1510,$A92,$E$4:$E$1510,"Win")))*SUMIFS($X$4:$X$1510,$A$4:$A$1510,$A92,$E$4:$E$1510,"Loss"),-('Guide &amp; Settings'!$C$42/($F92-1))*$X92)))</f>
        <v>-9.0330863464274316</v>
      </c>
      <c r="K92" s="124">
        <f>IF($D92="",0,'Guide &amp; Settings'!$C$43*(IF($E92="Win",1,0)-$I92))</f>
        <v>-2.5882352941176467</v>
      </c>
      <c r="L92" s="125">
        <f>IF($D92="",0,'Guide &amp; Settings'!$C$44*IF($F92&gt;=3,$F92,0))</f>
        <v>0</v>
      </c>
      <c r="M92" s="124">
        <f t="shared" si="23"/>
        <v>-11.621321640545078</v>
      </c>
      <c r="N92" s="122">
        <f t="shared" si="24"/>
        <v>972.22442479508152</v>
      </c>
      <c r="O92" s="121" t="str">
        <f t="shared" si="25"/>
        <v>OK</v>
      </c>
      <c r="P92">
        <f t="shared" si="26"/>
        <v>1159.0861564772949</v>
      </c>
      <c r="Q92">
        <f t="shared" si="27"/>
        <v>0.26722163340474847</v>
      </c>
      <c r="R92">
        <f t="shared" si="28"/>
        <v>0.25</v>
      </c>
      <c r="S92">
        <f t="shared" si="29"/>
        <v>1.1590909090909092</v>
      </c>
      <c r="T92" s="89">
        <f t="shared" si="30"/>
        <v>6</v>
      </c>
      <c r="U92" s="126">
        <f>IF($D92="",0,IFERROR(LOOKUP(2,1/(($D$3:D91=$D92)*($C$3:C91=$C92)*($A$3:A91&lt;$A92)),$AB$3:AB91),1000))</f>
        <v>950.92188476569459</v>
      </c>
      <c r="V92" s="126">
        <f t="shared" si="31"/>
        <v>965.8872764338455</v>
      </c>
      <c r="W92">
        <f t="shared" si="32"/>
        <v>1127.993866832602</v>
      </c>
      <c r="X92">
        <f t="shared" si="33"/>
        <v>0.28228394832585724</v>
      </c>
      <c r="Y92">
        <f t="shared" si="34"/>
        <v>1110.7203725855504</v>
      </c>
      <c r="Z92">
        <f t="shared" si="35"/>
        <v>0.28498356024449356</v>
      </c>
      <c r="AA92">
        <f>IF($D92="",0,IF($F92&lt;2,0,IF($E92="Win",('Guide &amp; Settings'!$C$42/(($F92-1)*COUNTIFS($A$4:$A$1510,$A92,$E$4:$E$1510,"Win")))*SUMIFS($Z$4:$Z$1510,$A$4:$A$1510,$A92,$E$4:$E$1510,"Loss"),-('Guide &amp; Settings'!$C$42/($F92-1))*$Z92)))</f>
        <v>-9.119473927823794</v>
      </c>
      <c r="AB92" s="126">
        <f t="shared" si="36"/>
        <v>941.80241083787075</v>
      </c>
      <c r="AC92" s="126">
        <f>IF($D92="","",IF($AD92=0,0,IF(COUNTIFS($D$4:$D92,$D92,$B$4:$B92,$B92)&gt;1,0,IF($B92&lt;'Guide &amp; Settings'!$C$50,0,IF(($B92-$AD92)/7-'Guide &amp; Settings'!$C$48&gt;=0,(INT(($B92-$AD92)/7-'Guide &amp; Settings'!$C$48)+1)*'Guide &amp; Settings'!$C$49,0)))))</f>
        <v>0</v>
      </c>
      <c r="AD92" s="142">
        <f t="shared" si="37"/>
        <v>46175</v>
      </c>
      <c r="AE92">
        <f t="shared" si="38"/>
        <v>1</v>
      </c>
      <c r="AF92">
        <f t="shared" si="39"/>
        <v>0</v>
      </c>
    </row>
    <row r="93" spans="1:32" ht="15" customHeight="1" x14ac:dyDescent="0.2">
      <c r="A93" s="117">
        <v>41</v>
      </c>
      <c r="B93" s="118">
        <v>46176</v>
      </c>
      <c r="C93" s="119" t="s">
        <v>44</v>
      </c>
      <c r="D93" s="119" t="s">
        <v>19</v>
      </c>
      <c r="E93" s="117" t="s">
        <v>370</v>
      </c>
      <c r="F93" s="120">
        <f t="shared" si="20"/>
        <v>2</v>
      </c>
      <c r="G93" s="121" t="str">
        <f t="shared" si="21"/>
        <v>Josh</v>
      </c>
      <c r="H93" s="122">
        <f>IF($D93="",0,IFERROR(LOOKUP(2,1/(($D$3:D92=$D93)*($A$3:A92&lt;$A93)),$N$3:N92),'Guide &amp; Settings'!$C$41))</f>
        <v>1159.0861564772949</v>
      </c>
      <c r="I93" s="123">
        <f t="shared" si="22"/>
        <v>0.78431372549019596</v>
      </c>
      <c r="J93" s="124">
        <f>IF($D93="",0,IF($F93&lt;2,0,IF($E93="Win",('Guide &amp; Settings'!$C$42/(($F93-1)*COUNTIFS($A$4:$A$1510,$A93,$E$4:$E$1510,"Win")))*SUMIFS($X$4:$X$1510,$A$4:$A$1510,$A93,$E$4:$E$1510,"Loss"),-('Guide &amp; Settings'!$C$42/($F93-1))*$X93)))</f>
        <v>9.0330863464274316</v>
      </c>
      <c r="K93" s="124">
        <f>IF($D93="",0,'Guide &amp; Settings'!$C$43*(IF($E93="Win",1,0)-$I93))</f>
        <v>2.5882352941176485</v>
      </c>
      <c r="L93" s="125">
        <f>IF($D93="",0,'Guide &amp; Settings'!$C$44*IF($F93&gt;=3,$F93,0))</f>
        <v>0</v>
      </c>
      <c r="M93" s="124">
        <f t="shared" si="23"/>
        <v>11.62132164054508</v>
      </c>
      <c r="N93" s="122">
        <f t="shared" si="24"/>
        <v>1170.7074781178401</v>
      </c>
      <c r="O93" s="121" t="str">
        <f t="shared" si="25"/>
        <v>OK</v>
      </c>
      <c r="P93">
        <f t="shared" si="26"/>
        <v>1159.0861564772949</v>
      </c>
      <c r="Q93">
        <f t="shared" si="27"/>
        <v>0.5</v>
      </c>
      <c r="R93">
        <f t="shared" si="28"/>
        <v>0.90909090909090906</v>
      </c>
      <c r="S93">
        <f t="shared" si="29"/>
        <v>1.1590909090909092</v>
      </c>
      <c r="T93" s="89">
        <f t="shared" si="30"/>
        <v>9</v>
      </c>
      <c r="U93" s="126">
        <f>IF($D93="",0,IFERROR(LOOKUP(2,1/(($D$3:D92=$D93)*($C$3:C92=$C93)*($A$3:A92&lt;$A93)),$AB$3:AB92),1000))</f>
        <v>1110.7203725855504</v>
      </c>
      <c r="V93" s="126">
        <f t="shared" si="31"/>
        <v>1127.993866832602</v>
      </c>
      <c r="W93">
        <f t="shared" si="32"/>
        <v>1127.993866832602</v>
      </c>
      <c r="X93">
        <f t="shared" si="33"/>
        <v>0.5</v>
      </c>
      <c r="Y93">
        <f t="shared" si="34"/>
        <v>1110.7203725855504</v>
      </c>
      <c r="Z93">
        <f t="shared" si="35"/>
        <v>0.5</v>
      </c>
      <c r="AA93">
        <f>IF($D93="",0,IF($F93&lt;2,0,IF($E93="Win",('Guide &amp; Settings'!$C$42/(($F93-1)*COUNTIFS($A$4:$A$1510,$A93,$E$4:$E$1510,"Win")))*SUMIFS($Z$4:$Z$1510,$A$4:$A$1510,$A93,$E$4:$E$1510,"Loss"),-('Guide &amp; Settings'!$C$42/($F93-1))*$Z93)))</f>
        <v>9.119473927823794</v>
      </c>
      <c r="AB93" s="126">
        <f t="shared" si="36"/>
        <v>1119.8398465133741</v>
      </c>
      <c r="AC93" s="126">
        <f>IF($D93="","",IF($AD93=0,0,IF(COUNTIFS($D$4:$D93,$D93,$B$4:$B93,$B93)&gt;1,0,IF($B93&lt;'Guide &amp; Settings'!$C$50,0,IF(($B93-$AD93)/7-'Guide &amp; Settings'!$C$48&gt;=0,(INT(($B93-$AD93)/7-'Guide &amp; Settings'!$C$48)+1)*'Guide &amp; Settings'!$C$49,0)))))</f>
        <v>0</v>
      </c>
      <c r="AD93" s="142">
        <f t="shared" si="37"/>
        <v>46175</v>
      </c>
      <c r="AE93">
        <f t="shared" si="38"/>
        <v>1</v>
      </c>
      <c r="AF93">
        <f t="shared" si="39"/>
        <v>0</v>
      </c>
    </row>
    <row r="94" spans="1:32" ht="15" customHeight="1" x14ac:dyDescent="0.2">
      <c r="A94" s="117">
        <v>42</v>
      </c>
      <c r="B94" s="118">
        <v>46176</v>
      </c>
      <c r="C94" s="119" t="s">
        <v>44</v>
      </c>
      <c r="D94" s="119" t="s">
        <v>19</v>
      </c>
      <c r="E94" s="117" t="s">
        <v>370</v>
      </c>
      <c r="F94" s="120">
        <f t="shared" si="20"/>
        <v>2</v>
      </c>
      <c r="G94" s="121" t="str">
        <f t="shared" si="21"/>
        <v>Josh</v>
      </c>
      <c r="H94" s="122">
        <f>IF($D94="",0,IFERROR(LOOKUP(2,1/(($D$3:D93=$D94)*($A$3:A93&lt;$A94)),$N$3:N93),'Guide &amp; Settings'!$C$41))</f>
        <v>1170.7074781178401</v>
      </c>
      <c r="I94" s="123">
        <f t="shared" si="22"/>
        <v>0.6470588235294118</v>
      </c>
      <c r="J94" s="124">
        <f>IF($D94="",0,IF($F94&lt;2,0,IF($E94="Win",('Guide &amp; Settings'!$C$42/(($F94-1)*COUNTIFS($A$4:$A$1510,$A94,$E$4:$E$1510,"Win")))*SUMIFS($X$4:$X$1510,$A$4:$A$1510,$A94,$E$4:$E$1510,"Loss"),-('Guide &amp; Settings'!$C$42/($F94-1))*$X94)))</f>
        <v>10.607509233470266</v>
      </c>
      <c r="K94" s="124">
        <f>IF($D94="",0,'Guide &amp; Settings'!$C$43*(IF($E94="Win",1,0)-$I94))</f>
        <v>4.235294117647058</v>
      </c>
      <c r="L94" s="125">
        <f>IF($D94="",0,'Guide &amp; Settings'!$C$44*IF($F94&gt;=3,$F94,0))</f>
        <v>0</v>
      </c>
      <c r="M94" s="124">
        <f t="shared" si="23"/>
        <v>14.842803351117324</v>
      </c>
      <c r="N94" s="122">
        <f t="shared" si="24"/>
        <v>1185.5502814689573</v>
      </c>
      <c r="O94" s="121" t="str">
        <f t="shared" si="25"/>
        <v>OK</v>
      </c>
      <c r="P94">
        <f t="shared" si="26"/>
        <v>1170.7074781178401</v>
      </c>
      <c r="Q94">
        <f t="shared" si="27"/>
        <v>0.5</v>
      </c>
      <c r="R94">
        <f t="shared" si="28"/>
        <v>0.91666666666666663</v>
      </c>
      <c r="S94">
        <f t="shared" si="29"/>
        <v>1.4166666666666665</v>
      </c>
      <c r="T94" s="89">
        <f t="shared" si="30"/>
        <v>10</v>
      </c>
      <c r="U94" s="126">
        <f>IF($D94="",0,IFERROR(LOOKUP(2,1/(($D$3:D93=$D94)*($C$3:C93=$C94)*($A$3:A93&lt;$A94)),$AB$3:AB93),1000))</f>
        <v>1119.8398465133741</v>
      </c>
      <c r="V94" s="126">
        <f t="shared" si="31"/>
        <v>1136.7957237148628</v>
      </c>
      <c r="W94">
        <f t="shared" si="32"/>
        <v>1136.7957237148628</v>
      </c>
      <c r="X94">
        <f t="shared" si="33"/>
        <v>0.5</v>
      </c>
      <c r="Y94">
        <f t="shared" si="34"/>
        <v>1119.8398465133741</v>
      </c>
      <c r="Z94">
        <f t="shared" si="35"/>
        <v>0.5</v>
      </c>
      <c r="AA94">
        <f>IF($D94="",0,IF($F94&lt;2,0,IF($E94="Win",('Guide &amp; Settings'!$C$42/(($F94-1)*COUNTIFS($A$4:$A$1510,$A94,$E$4:$E$1510,"Win")))*SUMIFS($Z$4:$Z$1510,$A$4:$A$1510,$A94,$E$4:$E$1510,"Loss"),-('Guide &amp; Settings'!$C$42/($F94-1))*$Z94)))</f>
        <v>10.690100452875011</v>
      </c>
      <c r="AB94" s="126">
        <f t="shared" si="36"/>
        <v>1130.5299469662491</v>
      </c>
      <c r="AC94" s="126">
        <f>IF($D94="","",IF($AD94=0,0,IF(COUNTIFS($D$4:$D94,$D94,$B$4:$B94,$B94)&gt;1,0,IF($B94&lt;'Guide &amp; Settings'!$C$50,0,IF(($B94-$AD94)/7-'Guide &amp; Settings'!$C$48&gt;=0,(INT(($B94-$AD94)/7-'Guide &amp; Settings'!$C$48)+1)*'Guide &amp; Settings'!$C$49,0)))))</f>
        <v>0</v>
      </c>
      <c r="AD94" s="142">
        <f t="shared" si="37"/>
        <v>46175</v>
      </c>
      <c r="AE94">
        <f t="shared" si="38"/>
        <v>1</v>
      </c>
      <c r="AF94">
        <f t="shared" si="39"/>
        <v>0</v>
      </c>
    </row>
    <row r="95" spans="1:32" ht="15" customHeight="1" x14ac:dyDescent="0.2">
      <c r="A95" s="117">
        <v>42</v>
      </c>
      <c r="B95" s="118">
        <v>46176</v>
      </c>
      <c r="C95" s="119" t="s">
        <v>44</v>
      </c>
      <c r="D95" s="119" t="s">
        <v>23</v>
      </c>
      <c r="E95" s="117" t="s">
        <v>371</v>
      </c>
      <c r="F95" s="120">
        <f t="shared" si="20"/>
        <v>2</v>
      </c>
      <c r="G95" s="121" t="str">
        <f t="shared" si="21"/>
        <v>Josh</v>
      </c>
      <c r="H95" s="122">
        <f>IF($D95="",0,IFERROR(LOOKUP(2,1/(($D$3:D94=$D95)*($A$3:A94&lt;$A95)),$N$3:N94),'Guide &amp; Settings'!$C$41))</f>
        <v>1014.9365498216038</v>
      </c>
      <c r="I95" s="123">
        <f t="shared" si="22"/>
        <v>0.35294117647058826</v>
      </c>
      <c r="J95" s="124">
        <f>IF($D95="",0,IF($F95&lt;2,0,IF($E95="Win",('Guide &amp; Settings'!$C$42/(($F95-1)*COUNTIFS($A$4:$A$1510,$A95,$E$4:$E$1510,"Win")))*SUMIFS($X$4:$X$1510,$A$4:$A$1510,$A95,$E$4:$E$1510,"Loss"),-('Guide &amp; Settings'!$C$42/($F95-1))*$X95)))</f>
        <v>-10.607509233470266</v>
      </c>
      <c r="K95" s="124">
        <f>IF($D95="",0,'Guide &amp; Settings'!$C$43*(IF($E95="Win",1,0)-$I95))</f>
        <v>-4.2352941176470589</v>
      </c>
      <c r="L95" s="125">
        <f>IF($D95="",0,'Guide &amp; Settings'!$C$44*IF($F95&gt;=3,$F95,0))</f>
        <v>0</v>
      </c>
      <c r="M95" s="124">
        <f t="shared" si="23"/>
        <v>-14.842803351117325</v>
      </c>
      <c r="N95" s="122">
        <f t="shared" si="24"/>
        <v>1000.0937464704864</v>
      </c>
      <c r="O95" s="121" t="str">
        <f t="shared" si="25"/>
        <v>OK</v>
      </c>
      <c r="P95">
        <f t="shared" si="26"/>
        <v>1170.7074781178401</v>
      </c>
      <c r="Q95">
        <f t="shared" si="27"/>
        <v>0.28973127198441301</v>
      </c>
      <c r="R95">
        <f t="shared" si="28"/>
        <v>0.5</v>
      </c>
      <c r="S95">
        <f t="shared" si="29"/>
        <v>1.4166666666666665</v>
      </c>
      <c r="T95" s="89">
        <f t="shared" si="30"/>
        <v>0</v>
      </c>
      <c r="U95" s="126">
        <f>IF($D95="",0,IFERROR(LOOKUP(2,1/(($D$3:D94=$D95)*($C$3:C94=$C95)*($A$3:A94&lt;$A95)),$AB$3:AB94),1000))</f>
        <v>1000</v>
      </c>
      <c r="V95" s="126">
        <f t="shared" si="31"/>
        <v>1014.9365498216038</v>
      </c>
      <c r="W95">
        <f t="shared" si="32"/>
        <v>1136.7957237148628</v>
      </c>
      <c r="X95">
        <f t="shared" si="33"/>
        <v>0.3314846635459458</v>
      </c>
      <c r="Y95">
        <f t="shared" si="34"/>
        <v>1119.8398465133741</v>
      </c>
      <c r="Z95">
        <f t="shared" si="35"/>
        <v>0.33406563915234411</v>
      </c>
      <c r="AA95">
        <f>IF($D95="",0,IF($F95&lt;2,0,IF($E95="Win",('Guide &amp; Settings'!$C$42/(($F95-1)*COUNTIFS($A$4:$A$1510,$A95,$E$4:$E$1510,"Win")))*SUMIFS($Z$4:$Z$1510,$A$4:$A$1510,$A95,$E$4:$E$1510,"Loss"),-('Guide &amp; Settings'!$C$42/($F95-1))*$Z95)))</f>
        <v>-10.690100452875011</v>
      </c>
      <c r="AB95" s="126">
        <f t="shared" si="36"/>
        <v>989.30989954712504</v>
      </c>
      <c r="AC95" s="126">
        <f>IF($D95="","",IF($AD95=0,0,IF(COUNTIFS($D$4:$D95,$D95,$B$4:$B95,$B95)&gt;1,0,IF($B95&lt;'Guide &amp; Settings'!$C$50,0,IF(($B95-$AD95)/7-'Guide &amp; Settings'!$C$48&gt;=0,(INT(($B95-$AD95)/7-'Guide &amp; Settings'!$C$48)+1)*'Guide &amp; Settings'!$C$49,0)))))</f>
        <v>0</v>
      </c>
      <c r="AD95" s="142">
        <f t="shared" si="37"/>
        <v>0</v>
      </c>
      <c r="AE95">
        <f t="shared" si="38"/>
        <v>1</v>
      </c>
      <c r="AF95">
        <f t="shared" si="39"/>
        <v>0</v>
      </c>
    </row>
    <row r="96" spans="1:32" ht="15" customHeight="1" x14ac:dyDescent="0.2">
      <c r="A96" s="117">
        <v>43</v>
      </c>
      <c r="B96" s="118">
        <v>46176</v>
      </c>
      <c r="C96" s="119" t="s">
        <v>44</v>
      </c>
      <c r="D96" s="119" t="s">
        <v>19</v>
      </c>
      <c r="E96" s="117" t="s">
        <v>371</v>
      </c>
      <c r="F96" s="120">
        <f t="shared" si="20"/>
        <v>2</v>
      </c>
      <c r="G96" s="121" t="str">
        <f t="shared" si="21"/>
        <v>Dean B</v>
      </c>
      <c r="H96" s="122">
        <f>IF($D96="",0,IFERROR(LOOKUP(2,1/(($D$3:D95=$D96)*($A$3:A95&lt;$A96)),$N$3:N95),'Guide &amp; Settings'!$C$41))</f>
        <v>1185.5502814689573</v>
      </c>
      <c r="I96" s="123">
        <f t="shared" si="22"/>
        <v>0.73469387755102045</v>
      </c>
      <c r="J96" s="124">
        <f>IF($D96="",0,IF($F96&lt;2,0,IF($E96="Win",('Guide &amp; Settings'!$C$42/(($F96-1)*COUNTIFS($A$4:$A$1510,$A96,$E$4:$E$1510,"Win")))*SUMIFS($X$4:$X$1510,$A$4:$A$1510,$A96,$E$4:$E$1510,"Loss"),-('Guide &amp; Settings'!$C$42/($F96-1))*$X96)))</f>
        <v>-22.486297831382991</v>
      </c>
      <c r="K96" s="124">
        <f>IF($D96="",0,'Guide &amp; Settings'!$C$43*(IF($E96="Win",1,0)-$I96))</f>
        <v>-8.8163265306122458</v>
      </c>
      <c r="L96" s="125">
        <f>IF($D96="",0,'Guide &amp; Settings'!$C$44*IF($F96&gt;=3,$F96,0))</f>
        <v>0</v>
      </c>
      <c r="M96" s="124">
        <f t="shared" si="23"/>
        <v>-31.302624361995235</v>
      </c>
      <c r="N96" s="122">
        <f t="shared" si="24"/>
        <v>1154.2476571069622</v>
      </c>
      <c r="O96" s="121" t="str">
        <f t="shared" si="25"/>
        <v>OK</v>
      </c>
      <c r="P96">
        <f t="shared" si="26"/>
        <v>1000.0937464704864</v>
      </c>
      <c r="Q96">
        <f t="shared" si="27"/>
        <v>0.74413521398147953</v>
      </c>
      <c r="R96">
        <f t="shared" si="28"/>
        <v>0.92307692307692313</v>
      </c>
      <c r="S96">
        <f t="shared" si="29"/>
        <v>1.2564102564102564</v>
      </c>
      <c r="T96" s="89">
        <f t="shared" si="30"/>
        <v>11</v>
      </c>
      <c r="U96" s="126">
        <f>IF($D96="",0,IFERROR(LOOKUP(2,1/(($D$3:D95=$D96)*($C$3:C95=$C96)*($A$3:A95&lt;$A96)),$AB$3:AB95),1000))</f>
        <v>1130.5299469662491</v>
      </c>
      <c r="V96" s="126">
        <f t="shared" si="31"/>
        <v>1147.7238014983454</v>
      </c>
      <c r="W96">
        <f t="shared" si="32"/>
        <v>998.29643864992624</v>
      </c>
      <c r="X96">
        <f t="shared" si="33"/>
        <v>0.70269680723071848</v>
      </c>
      <c r="Y96">
        <f t="shared" si="34"/>
        <v>989.30989954712504</v>
      </c>
      <c r="Z96">
        <f t="shared" si="35"/>
        <v>0.69273307938070139</v>
      </c>
      <c r="AA96">
        <f>IF($D96="",0,IF($F96&lt;2,0,IF($E96="Win",('Guide &amp; Settings'!$C$42/(($F96-1)*COUNTIFS($A$4:$A$1510,$A96,$E$4:$E$1510,"Win")))*SUMIFS($Z$4:$Z$1510,$A$4:$A$1510,$A96,$E$4:$E$1510,"Loss"),-('Guide &amp; Settings'!$C$42/($F96-1))*$Z96)))</f>
        <v>-22.167458540182444</v>
      </c>
      <c r="AB96" s="126">
        <f t="shared" si="36"/>
        <v>1108.3624884260666</v>
      </c>
      <c r="AC96" s="126">
        <f>IF($D96="","",IF($AD96=0,0,IF(COUNTIFS($D$4:$D96,$D96,$B$4:$B96,$B96)&gt;1,0,IF($B96&lt;'Guide &amp; Settings'!$C$50,0,IF(($B96-$AD96)/7-'Guide &amp; Settings'!$C$48&gt;=0,(INT(($B96-$AD96)/7-'Guide &amp; Settings'!$C$48)+1)*'Guide &amp; Settings'!$C$49,0)))))</f>
        <v>0</v>
      </c>
      <c r="AD96" s="142">
        <f t="shared" si="37"/>
        <v>46175</v>
      </c>
      <c r="AE96">
        <f t="shared" si="38"/>
        <v>1</v>
      </c>
      <c r="AF96">
        <f t="shared" si="39"/>
        <v>0</v>
      </c>
    </row>
    <row r="97" spans="1:32" ht="15" customHeight="1" x14ac:dyDescent="0.2">
      <c r="A97" s="117">
        <v>43</v>
      </c>
      <c r="B97" s="118">
        <v>46176</v>
      </c>
      <c r="C97" s="119" t="s">
        <v>44</v>
      </c>
      <c r="D97" s="119" t="s">
        <v>23</v>
      </c>
      <c r="E97" s="117" t="s">
        <v>370</v>
      </c>
      <c r="F97" s="120">
        <f t="shared" si="20"/>
        <v>2</v>
      </c>
      <c r="G97" s="121" t="str">
        <f t="shared" si="21"/>
        <v>Dean B</v>
      </c>
      <c r="H97" s="122">
        <f>IF($D97="",0,IFERROR(LOOKUP(2,1/(($D$3:D96=$D97)*($A$3:A96&lt;$A97)),$N$3:N96),'Guide &amp; Settings'!$C$41))</f>
        <v>1000.0937464704864</v>
      </c>
      <c r="I97" s="123">
        <f t="shared" si="22"/>
        <v>0.26530612244897961</v>
      </c>
      <c r="J97" s="124">
        <f>IF($D97="",0,IF($F97&lt;2,0,IF($E97="Win",('Guide &amp; Settings'!$C$42/(($F97-1)*COUNTIFS($A$4:$A$1510,$A97,$E$4:$E$1510,"Win")))*SUMIFS($X$4:$X$1510,$A$4:$A$1510,$A97,$E$4:$E$1510,"Loss"),-('Guide &amp; Settings'!$C$42/($F97-1))*$X97)))</f>
        <v>22.486297831382991</v>
      </c>
      <c r="K97" s="124">
        <f>IF($D97="",0,'Guide &amp; Settings'!$C$43*(IF($E97="Win",1,0)-$I97))</f>
        <v>8.816326530612244</v>
      </c>
      <c r="L97" s="125">
        <f>IF($D97="",0,'Guide &amp; Settings'!$C$44*IF($F97&gt;=3,$F97,0))</f>
        <v>0</v>
      </c>
      <c r="M97" s="124">
        <f t="shared" si="23"/>
        <v>31.302624361995235</v>
      </c>
      <c r="N97" s="122">
        <f t="shared" si="24"/>
        <v>1031.3963708324816</v>
      </c>
      <c r="O97" s="121" t="str">
        <f t="shared" si="25"/>
        <v>OK</v>
      </c>
      <c r="P97">
        <f t="shared" si="26"/>
        <v>1000.0937464704864</v>
      </c>
      <c r="Q97">
        <f t="shared" si="27"/>
        <v>0.5</v>
      </c>
      <c r="R97">
        <f t="shared" si="28"/>
        <v>0.33333333333333331</v>
      </c>
      <c r="S97">
        <f t="shared" si="29"/>
        <v>1.2564102564102564</v>
      </c>
      <c r="T97" s="89">
        <f t="shared" si="30"/>
        <v>1</v>
      </c>
      <c r="U97" s="126">
        <f>IF($D97="",0,IFERROR(LOOKUP(2,1/(($D$3:D96=$D97)*($C$3:C96=$C97)*($A$3:A96&lt;$A97)),$AB$3:AB96),1000))</f>
        <v>989.30989954712504</v>
      </c>
      <c r="V97" s="126">
        <f t="shared" si="31"/>
        <v>998.29643864992624</v>
      </c>
      <c r="W97">
        <f t="shared" si="32"/>
        <v>998.29643864992624</v>
      </c>
      <c r="X97">
        <f t="shared" si="33"/>
        <v>0.5</v>
      </c>
      <c r="Y97">
        <f t="shared" si="34"/>
        <v>989.30989954712504</v>
      </c>
      <c r="Z97">
        <f t="shared" si="35"/>
        <v>0.5</v>
      </c>
      <c r="AA97">
        <f>IF($D97="",0,IF($F97&lt;2,0,IF($E97="Win",('Guide &amp; Settings'!$C$42/(($F97-1)*COUNTIFS($A$4:$A$1510,$A97,$E$4:$E$1510,"Win")))*SUMIFS($Z$4:$Z$1510,$A$4:$A$1510,$A97,$E$4:$E$1510,"Loss"),-('Guide &amp; Settings'!$C$42/($F97-1))*$Z97)))</f>
        <v>22.167458540182444</v>
      </c>
      <c r="AB97" s="126">
        <f t="shared" si="36"/>
        <v>1011.4773580873075</v>
      </c>
      <c r="AC97" s="126">
        <f>IF($D97="","",IF($AD97=0,0,IF(COUNTIFS($D$4:$D97,$D97,$B$4:$B97,$B97)&gt;1,0,IF($B97&lt;'Guide &amp; Settings'!$C$50,0,IF(($B97-$AD97)/7-'Guide &amp; Settings'!$C$48&gt;=0,(INT(($B97-$AD97)/7-'Guide &amp; Settings'!$C$48)+1)*'Guide &amp; Settings'!$C$49,0)))))</f>
        <v>0</v>
      </c>
      <c r="AD97" s="142">
        <f t="shared" si="37"/>
        <v>0</v>
      </c>
      <c r="AE97">
        <f t="shared" si="38"/>
        <v>1</v>
      </c>
      <c r="AF97">
        <f t="shared" si="39"/>
        <v>0</v>
      </c>
    </row>
    <row r="98" spans="1:32" ht="15" customHeight="1" x14ac:dyDescent="0.2">
      <c r="A98" s="117">
        <v>44</v>
      </c>
      <c r="B98" s="118">
        <v>46176</v>
      </c>
      <c r="C98" s="119" t="s">
        <v>44</v>
      </c>
      <c r="D98" s="119" t="s">
        <v>19</v>
      </c>
      <c r="E98" s="117" t="s">
        <v>370</v>
      </c>
      <c r="F98" s="120">
        <f t="shared" si="20"/>
        <v>2</v>
      </c>
      <c r="G98" s="121" t="str">
        <f t="shared" si="21"/>
        <v>Josh</v>
      </c>
      <c r="H98" s="122">
        <f>IF($D98="",0,IFERROR(LOOKUP(2,1/(($D$3:D97=$D98)*($A$3:A97&lt;$A98)),$N$3:N97),'Guide &amp; Settings'!$C$41))</f>
        <v>1154.2476571069622</v>
      </c>
      <c r="I98" s="123">
        <f t="shared" si="22"/>
        <v>0.5625</v>
      </c>
      <c r="J98" s="124">
        <f>IF($D98="",0,IF($F98&lt;2,0,IF($E98="Win",('Guide &amp; Settings'!$C$42/(($F98-1)*COUNTIFS($A$4:$A$1510,$A98,$E$4:$E$1510,"Win")))*SUMIFS($X$4:$X$1510,$A$4:$A$1510,$A98,$E$4:$E$1510,"Loss"),-('Guide &amp; Settings'!$C$42/($F98-1))*$X98)))</f>
        <v>10.042502896120206</v>
      </c>
      <c r="K98" s="124">
        <f>IF($D98="",0,'Guide &amp; Settings'!$C$43*(IF($E98="Win",1,0)-$I98))</f>
        <v>5.25</v>
      </c>
      <c r="L98" s="125">
        <f>IF($D98="",0,'Guide &amp; Settings'!$C$44*IF($F98&gt;=3,$F98,0))</f>
        <v>0</v>
      </c>
      <c r="M98" s="124">
        <f t="shared" si="23"/>
        <v>15.292502896120206</v>
      </c>
      <c r="N98" s="122">
        <f t="shared" si="24"/>
        <v>1169.5401600030823</v>
      </c>
      <c r="O98" s="121" t="str">
        <f t="shared" si="25"/>
        <v>OK</v>
      </c>
      <c r="P98">
        <f t="shared" si="26"/>
        <v>1154.2476571069622</v>
      </c>
      <c r="Q98">
        <f t="shared" si="27"/>
        <v>0.5</v>
      </c>
      <c r="R98">
        <f t="shared" si="28"/>
        <v>0.8571428571428571</v>
      </c>
      <c r="S98">
        <f t="shared" si="29"/>
        <v>1.5238095238095237</v>
      </c>
      <c r="T98" s="89">
        <f t="shared" si="30"/>
        <v>12</v>
      </c>
      <c r="U98" s="126">
        <f>IF($D98="",0,IFERROR(LOOKUP(2,1/(($D$3:D97=$D98)*($C$3:C97=$C98)*($A$3:A97&lt;$A98)),$AB$3:AB97),1000))</f>
        <v>1108.3624884260666</v>
      </c>
      <c r="V98" s="126">
        <f t="shared" si="31"/>
        <v>1121.8581262733887</v>
      </c>
      <c r="W98">
        <f t="shared" si="32"/>
        <v>1121.8581262733887</v>
      </c>
      <c r="X98">
        <f t="shared" si="33"/>
        <v>0.5</v>
      </c>
      <c r="Y98">
        <f t="shared" si="34"/>
        <v>1108.3624884260666</v>
      </c>
      <c r="Z98">
        <f t="shared" si="35"/>
        <v>0.5</v>
      </c>
      <c r="AA98">
        <f>IF($D98="",0,IF($F98&lt;2,0,IF($E98="Win",('Guide &amp; Settings'!$C$42/(($F98-1)*COUNTIFS($A$4:$A$1510,$A98,$E$4:$E$1510,"Win")))*SUMIFS($Z$4:$Z$1510,$A$4:$A$1510,$A98,$E$4:$E$1510,"Loss"),-('Guide &amp; Settings'!$C$42/($F98-1))*$Z98)))</f>
        <v>11.843995360289181</v>
      </c>
      <c r="AB98" s="126">
        <f t="shared" si="36"/>
        <v>1120.2064837863559</v>
      </c>
      <c r="AC98" s="126">
        <f>IF($D98="","",IF($AD98=0,0,IF(COUNTIFS($D$4:$D98,$D98,$B$4:$B98,$B98)&gt;1,0,IF($B98&lt;'Guide &amp; Settings'!$C$50,0,IF(($B98-$AD98)/7-'Guide &amp; Settings'!$C$48&gt;=0,(INT(($B98-$AD98)/7-'Guide &amp; Settings'!$C$48)+1)*'Guide &amp; Settings'!$C$49,0)))))</f>
        <v>0</v>
      </c>
      <c r="AD98" s="142">
        <f t="shared" si="37"/>
        <v>46175</v>
      </c>
      <c r="AE98">
        <f t="shared" si="38"/>
        <v>1</v>
      </c>
      <c r="AF98">
        <f t="shared" si="39"/>
        <v>0</v>
      </c>
    </row>
    <row r="99" spans="1:32" ht="15" customHeight="1" x14ac:dyDescent="0.2">
      <c r="A99" s="117">
        <v>44</v>
      </c>
      <c r="B99" s="118">
        <v>46176</v>
      </c>
      <c r="C99" s="119" t="s">
        <v>44</v>
      </c>
      <c r="D99" s="119" t="s">
        <v>25</v>
      </c>
      <c r="E99" s="117" t="s">
        <v>371</v>
      </c>
      <c r="F99" s="120">
        <f t="shared" si="20"/>
        <v>2</v>
      </c>
      <c r="G99" s="121" t="str">
        <f t="shared" si="21"/>
        <v>Josh</v>
      </c>
      <c r="H99" s="122">
        <f>IF($D99="",0,IFERROR(LOOKUP(2,1/(($D$3:D98=$D99)*($A$3:A98&lt;$A99)),$N$3:N98),'Guide &amp; Settings'!$C$41))</f>
        <v>979.95413465100341</v>
      </c>
      <c r="I99" s="123">
        <f t="shared" si="22"/>
        <v>0.4375</v>
      </c>
      <c r="J99" s="124">
        <f>IF($D99="",0,IF($F99&lt;2,0,IF($E99="Win",('Guide &amp; Settings'!$C$42/(($F99-1)*COUNTIFS($A$4:$A$1510,$A99,$E$4:$E$1510,"Win")))*SUMIFS($X$4:$X$1510,$A$4:$A$1510,$A99,$E$4:$E$1510,"Loss"),-('Guide &amp; Settings'!$C$42/($F99-1))*$X99)))</f>
        <v>-10.042502896120206</v>
      </c>
      <c r="K99" s="124">
        <f>IF($D99="",0,'Guide &amp; Settings'!$C$43*(IF($E99="Win",1,0)-$I99))</f>
        <v>-5.25</v>
      </c>
      <c r="L99" s="125">
        <f>IF($D99="",0,'Guide &amp; Settings'!$C$44*IF($F99&gt;=3,$F99,0))</f>
        <v>0</v>
      </c>
      <c r="M99" s="124">
        <f t="shared" si="23"/>
        <v>-15.292502896120206</v>
      </c>
      <c r="N99" s="122">
        <f t="shared" si="24"/>
        <v>964.66163175488316</v>
      </c>
      <c r="O99" s="121" t="str">
        <f t="shared" si="25"/>
        <v>OK</v>
      </c>
      <c r="P99">
        <f t="shared" si="26"/>
        <v>1154.2476571069622</v>
      </c>
      <c r="Q99">
        <f t="shared" si="27"/>
        <v>0.26829031587200602</v>
      </c>
      <c r="R99">
        <f t="shared" si="28"/>
        <v>0.66666666666666663</v>
      </c>
      <c r="S99">
        <f t="shared" si="29"/>
        <v>1.5238095238095237</v>
      </c>
      <c r="T99" s="89">
        <f t="shared" si="30"/>
        <v>1</v>
      </c>
      <c r="U99" s="126">
        <f>IF($D99="",0,IFERROR(LOOKUP(2,1/(($D$3:D98=$D99)*($C$3:C98=$C99)*($A$3:A98&lt;$A99)),$AB$3:AB98),1000))</f>
        <v>1016</v>
      </c>
      <c r="V99" s="126">
        <f t="shared" si="31"/>
        <v>985.96177887583622</v>
      </c>
      <c r="W99">
        <f t="shared" si="32"/>
        <v>1121.8581262733887</v>
      </c>
      <c r="X99">
        <f t="shared" si="33"/>
        <v>0.31382821550375645</v>
      </c>
      <c r="Y99">
        <f t="shared" si="34"/>
        <v>1108.3624884260666</v>
      </c>
      <c r="Z99">
        <f t="shared" si="35"/>
        <v>0.37012485500903691</v>
      </c>
      <c r="AA99">
        <f>IF($D99="",0,IF($F99&lt;2,0,IF($E99="Win",('Guide &amp; Settings'!$C$42/(($F99-1)*COUNTIFS($A$4:$A$1510,$A99,$E$4:$E$1510,"Win")))*SUMIFS($Z$4:$Z$1510,$A$4:$A$1510,$A99,$E$4:$E$1510,"Loss"),-('Guide &amp; Settings'!$C$42/($F99-1))*$Z99)))</f>
        <v>-11.843995360289181</v>
      </c>
      <c r="AB99" s="126">
        <f t="shared" si="36"/>
        <v>1004.1560046397108</v>
      </c>
      <c r="AC99" s="126">
        <f>IF($D99="","",IF($AD99=0,0,IF(COUNTIFS($D$4:$D99,$D99,$B$4:$B99,$B99)&gt;1,0,IF($B99&lt;'Guide &amp; Settings'!$C$50,0,IF(($B99-$AD99)/7-'Guide &amp; Settings'!$C$48&gt;=0,(INT(($B99-$AD99)/7-'Guide &amp; Settings'!$C$48)+1)*'Guide &amp; Settings'!$C$49,0)))))</f>
        <v>0</v>
      </c>
      <c r="AD99" s="142">
        <f t="shared" si="37"/>
        <v>46175</v>
      </c>
      <c r="AE99">
        <f t="shared" si="38"/>
        <v>1</v>
      </c>
      <c r="AF99">
        <f t="shared" si="39"/>
        <v>0</v>
      </c>
    </row>
    <row r="100" spans="1:32" ht="15" customHeight="1" x14ac:dyDescent="0.2">
      <c r="A100" s="117">
        <v>45</v>
      </c>
      <c r="B100" s="118">
        <v>46176</v>
      </c>
      <c r="C100" s="119" t="s">
        <v>44</v>
      </c>
      <c r="D100" s="119" t="s">
        <v>19</v>
      </c>
      <c r="E100" s="117" t="s">
        <v>370</v>
      </c>
      <c r="F100" s="120">
        <f t="shared" si="20"/>
        <v>2</v>
      </c>
      <c r="G100" s="121" t="str">
        <f t="shared" si="21"/>
        <v>Josh</v>
      </c>
      <c r="H100" s="122">
        <f>IF($D100="",0,IFERROR(LOOKUP(2,1/(($D$3:D99=$D100)*($A$3:A99&lt;$A100)),$N$3:N99),'Guide &amp; Settings'!$C$41))</f>
        <v>1169.5401600030823</v>
      </c>
      <c r="I100" s="123">
        <f t="shared" si="22"/>
        <v>0.63414634146341464</v>
      </c>
      <c r="J100" s="124">
        <f>IF($D100="",0,IF($F100&lt;2,0,IF($E100="Win",('Guide &amp; Settings'!$C$42/(($F100-1)*COUNTIFS($A$4:$A$1510,$A100,$E$4:$E$1510,"Win")))*SUMIFS($X$4:$X$1510,$A$4:$A$1510,$A100,$E$4:$E$1510,"Loss"),-('Guide &amp; Settings'!$C$42/($F100-1))*$X100)))</f>
        <v>9.1884677700783062</v>
      </c>
      <c r="K100" s="124">
        <f>IF($D100="",0,'Guide &amp; Settings'!$C$43*(IF($E100="Win",1,0)-$I100))</f>
        <v>4.3902439024390247</v>
      </c>
      <c r="L100" s="125">
        <f>IF($D100="",0,'Guide &amp; Settings'!$C$44*IF($F100&gt;=3,$F100,0))</f>
        <v>0</v>
      </c>
      <c r="M100" s="124">
        <f t="shared" si="23"/>
        <v>13.578711672517331</v>
      </c>
      <c r="N100" s="122">
        <f t="shared" si="24"/>
        <v>1183.1188716755996</v>
      </c>
      <c r="O100" s="121" t="str">
        <f t="shared" si="25"/>
        <v>OK</v>
      </c>
      <c r="P100">
        <f t="shared" si="26"/>
        <v>1169.5401600030823</v>
      </c>
      <c r="Q100">
        <f t="shared" si="27"/>
        <v>0.5</v>
      </c>
      <c r="R100">
        <f t="shared" si="28"/>
        <v>0.8666666666666667</v>
      </c>
      <c r="S100">
        <f t="shared" si="29"/>
        <v>1.3666666666666667</v>
      </c>
      <c r="T100" s="89">
        <f t="shared" si="30"/>
        <v>13</v>
      </c>
      <c r="U100" s="126">
        <f>IF($D100="",0,IFERROR(LOOKUP(2,1/(($D$3:D99=$D100)*($C$3:C99=$C100)*($A$3:A99&lt;$A100)),$AB$3:AB99),1000))</f>
        <v>1120.2064837863559</v>
      </c>
      <c r="V100" s="126">
        <f t="shared" si="31"/>
        <v>1133.9102827354466</v>
      </c>
      <c r="W100">
        <f t="shared" si="32"/>
        <v>1133.9102827354466</v>
      </c>
      <c r="X100">
        <f t="shared" si="33"/>
        <v>0.5</v>
      </c>
      <c r="Y100">
        <f t="shared" si="34"/>
        <v>1120.2064837863559</v>
      </c>
      <c r="Z100">
        <f t="shared" si="35"/>
        <v>0.5</v>
      </c>
      <c r="AA100">
        <f>IF($D100="",0,IF($F100&lt;2,0,IF($E100="Win",('Guide &amp; Settings'!$C$42/(($F100-1)*COUNTIFS($A$4:$A$1510,$A100,$E$4:$E$1510,"Win")))*SUMIFS($Z$4:$Z$1510,$A$4:$A$1510,$A100,$E$4:$E$1510,"Loss"),-('Guide &amp; Settings'!$C$42/($F100-1))*$Z100)))</f>
        <v>10.845945553347134</v>
      </c>
      <c r="AB100" s="126">
        <f t="shared" si="36"/>
        <v>1131.0524293397029</v>
      </c>
      <c r="AC100" s="126">
        <f>IF($D100="","",IF($AD100=0,0,IF(COUNTIFS($D$4:$D100,$D100,$B$4:$B100,$B100)&gt;1,0,IF($B100&lt;'Guide &amp; Settings'!$C$50,0,IF(($B100-$AD100)/7-'Guide &amp; Settings'!$C$48&gt;=0,(INT(($B100-$AD100)/7-'Guide &amp; Settings'!$C$48)+1)*'Guide &amp; Settings'!$C$49,0)))))</f>
        <v>0</v>
      </c>
      <c r="AD100" s="142">
        <f t="shared" si="37"/>
        <v>46175</v>
      </c>
      <c r="AE100">
        <f t="shared" si="38"/>
        <v>1</v>
      </c>
      <c r="AF100">
        <f t="shared" si="39"/>
        <v>0</v>
      </c>
    </row>
    <row r="101" spans="1:32" ht="15" customHeight="1" x14ac:dyDescent="0.2">
      <c r="A101" s="117">
        <v>45</v>
      </c>
      <c r="B101" s="118">
        <v>46176</v>
      </c>
      <c r="C101" s="119" t="s">
        <v>44</v>
      </c>
      <c r="D101" s="119" t="s">
        <v>25</v>
      </c>
      <c r="E101" s="117" t="s">
        <v>371</v>
      </c>
      <c r="F101" s="120">
        <f t="shared" si="20"/>
        <v>2</v>
      </c>
      <c r="G101" s="121" t="str">
        <f t="shared" si="21"/>
        <v>Josh</v>
      </c>
      <c r="H101" s="122">
        <f>IF($D101="",0,IFERROR(LOOKUP(2,1/(($D$3:D100=$D101)*($A$3:A100&lt;$A101)),$N$3:N100),'Guide &amp; Settings'!$C$41))</f>
        <v>964.66163175488316</v>
      </c>
      <c r="I101" s="123">
        <f t="shared" si="22"/>
        <v>0.36585365853658536</v>
      </c>
      <c r="J101" s="124">
        <f>IF($D101="",0,IF($F101&lt;2,0,IF($E101="Win",('Guide &amp; Settings'!$C$42/(($F101-1)*COUNTIFS($A$4:$A$1510,$A101,$E$4:$E$1510,"Win")))*SUMIFS($X$4:$X$1510,$A$4:$A$1510,$A101,$E$4:$E$1510,"Loss"),-('Guide &amp; Settings'!$C$42/($F101-1))*$X101)))</f>
        <v>-9.1884677700783062</v>
      </c>
      <c r="K101" s="124">
        <f>IF($D101="",0,'Guide &amp; Settings'!$C$43*(IF($E101="Win",1,0)-$I101))</f>
        <v>-4.3902439024390247</v>
      </c>
      <c r="L101" s="125">
        <f>IF($D101="",0,'Guide &amp; Settings'!$C$44*IF($F101&gt;=3,$F101,0))</f>
        <v>0</v>
      </c>
      <c r="M101" s="124">
        <f t="shared" si="23"/>
        <v>-13.578711672517331</v>
      </c>
      <c r="N101" s="122">
        <f t="shared" si="24"/>
        <v>951.08292008236583</v>
      </c>
      <c r="O101" s="121" t="str">
        <f t="shared" si="25"/>
        <v>OK</v>
      </c>
      <c r="P101">
        <f t="shared" si="26"/>
        <v>1169.5401600030823</v>
      </c>
      <c r="Q101">
        <f t="shared" si="27"/>
        <v>0.23516448133361195</v>
      </c>
      <c r="R101">
        <f t="shared" si="28"/>
        <v>0.5</v>
      </c>
      <c r="S101">
        <f t="shared" si="29"/>
        <v>1.3666666666666667</v>
      </c>
      <c r="T101" s="89">
        <f t="shared" si="30"/>
        <v>2</v>
      </c>
      <c r="U101" s="126">
        <f>IF($D101="",0,IFERROR(LOOKUP(2,1/(($D$3:D100=$D101)*($C$3:C100=$C101)*($A$3:A100&lt;$A101)),$AB$3:AB100),1000))</f>
        <v>1004.1560046397108</v>
      </c>
      <c r="V101" s="126">
        <f t="shared" si="31"/>
        <v>975.94573829340538</v>
      </c>
      <c r="W101">
        <f t="shared" si="32"/>
        <v>1133.9102827354466</v>
      </c>
      <c r="X101">
        <f t="shared" si="33"/>
        <v>0.28713961781494707</v>
      </c>
      <c r="Y101">
        <f t="shared" si="34"/>
        <v>1120.2064837863559</v>
      </c>
      <c r="Z101">
        <f t="shared" si="35"/>
        <v>0.33893579854209793</v>
      </c>
      <c r="AA101">
        <f>IF($D101="",0,IF($F101&lt;2,0,IF($E101="Win",('Guide &amp; Settings'!$C$42/(($F101-1)*COUNTIFS($A$4:$A$1510,$A101,$E$4:$E$1510,"Win")))*SUMIFS($Z$4:$Z$1510,$A$4:$A$1510,$A101,$E$4:$E$1510,"Loss"),-('Guide &amp; Settings'!$C$42/($F101-1))*$Z101)))</f>
        <v>-10.845945553347134</v>
      </c>
      <c r="AB101" s="126">
        <f t="shared" si="36"/>
        <v>993.31005908636359</v>
      </c>
      <c r="AC101" s="126">
        <f>IF($D101="","",IF($AD101=0,0,IF(COUNTIFS($D$4:$D101,$D101,$B$4:$B101,$B101)&gt;1,0,IF($B101&lt;'Guide &amp; Settings'!$C$50,0,IF(($B101-$AD101)/7-'Guide &amp; Settings'!$C$48&gt;=0,(INT(($B101-$AD101)/7-'Guide &amp; Settings'!$C$48)+1)*'Guide &amp; Settings'!$C$49,0)))))</f>
        <v>0</v>
      </c>
      <c r="AD101" s="142">
        <f t="shared" si="37"/>
        <v>46175</v>
      </c>
      <c r="AE101">
        <f t="shared" si="38"/>
        <v>1</v>
      </c>
      <c r="AF101">
        <f t="shared" si="39"/>
        <v>0</v>
      </c>
    </row>
    <row r="102" spans="1:32" ht="15" customHeight="1" x14ac:dyDescent="0.2">
      <c r="A102" s="117">
        <v>46</v>
      </c>
      <c r="B102" s="118">
        <v>46176</v>
      </c>
      <c r="C102" s="119" t="s">
        <v>44</v>
      </c>
      <c r="D102" s="119" t="s">
        <v>19</v>
      </c>
      <c r="E102" s="117" t="s">
        <v>371</v>
      </c>
      <c r="F102" s="120">
        <f t="shared" si="20"/>
        <v>2</v>
      </c>
      <c r="G102" s="121" t="str">
        <f t="shared" si="21"/>
        <v>Oscar</v>
      </c>
      <c r="H102" s="122">
        <f>IF($D102="",0,IFERROR(LOOKUP(2,1/(($D$3:D101=$D102)*($A$3:A101&lt;$A102)),$N$3:N101),'Guide &amp; Settings'!$C$41))</f>
        <v>1183.1188716755996</v>
      </c>
      <c r="I102" s="123">
        <f t="shared" si="22"/>
        <v>0.68627450980392157</v>
      </c>
      <c r="J102" s="124">
        <f>IF($D102="",0,IF($F102&lt;2,0,IF($E102="Win",('Guide &amp; Settings'!$C$42/(($F102-1)*COUNTIFS($A$4:$A$1510,$A102,$E$4:$E$1510,"Win")))*SUMIFS($X$4:$X$1510,$A$4:$A$1510,$A102,$E$4:$E$1510,"Loss"),-('Guide &amp; Settings'!$C$42/($F102-1))*$X102)))</f>
        <v>-23.542206233581037</v>
      </c>
      <c r="K102" s="124">
        <f>IF($D102="",0,'Guide &amp; Settings'!$C$43*(IF($E102="Win",1,0)-$I102))</f>
        <v>-8.235294117647058</v>
      </c>
      <c r="L102" s="125">
        <f>IF($D102="",0,'Guide &amp; Settings'!$C$44*IF($F102&gt;=3,$F102,0))</f>
        <v>0</v>
      </c>
      <c r="M102" s="124">
        <f t="shared" si="23"/>
        <v>-31.777500351228095</v>
      </c>
      <c r="N102" s="122">
        <f t="shared" si="24"/>
        <v>1151.3413713243715</v>
      </c>
      <c r="O102" s="121" t="str">
        <f t="shared" si="25"/>
        <v>OK</v>
      </c>
      <c r="P102">
        <f t="shared" si="26"/>
        <v>951.08292008236583</v>
      </c>
      <c r="Q102">
        <f t="shared" si="27"/>
        <v>0.79178295856584646</v>
      </c>
      <c r="R102">
        <f t="shared" si="28"/>
        <v>0.875</v>
      </c>
      <c r="S102">
        <f t="shared" si="29"/>
        <v>1.2749999999999999</v>
      </c>
      <c r="T102" s="89">
        <f t="shared" si="30"/>
        <v>14</v>
      </c>
      <c r="U102" s="126">
        <f>IF($D102="",0,IFERROR(LOOKUP(2,1/(($D$3:D101=$D102)*($C$3:C101=$C102)*($A$3:A101&lt;$A102)),$AB$3:AB101),1000))</f>
        <v>1131.0524293397029</v>
      </c>
      <c r="V102" s="126">
        <f t="shared" si="31"/>
        <v>1144.7541246912547</v>
      </c>
      <c r="W102">
        <f t="shared" si="32"/>
        <v>966.91809720886499</v>
      </c>
      <c r="X102">
        <f t="shared" si="33"/>
        <v>0.73569394479940742</v>
      </c>
      <c r="Y102">
        <f t="shared" si="34"/>
        <v>993.31005908636359</v>
      </c>
      <c r="Z102">
        <f t="shared" si="35"/>
        <v>0.68845556936334529</v>
      </c>
      <c r="AA102">
        <f>IF($D102="",0,IF($F102&lt;2,0,IF($E102="Win",('Guide &amp; Settings'!$C$42/(($F102-1)*COUNTIFS($A$4:$A$1510,$A102,$E$4:$E$1510,"Win")))*SUMIFS($Z$4:$Z$1510,$A$4:$A$1510,$A102,$E$4:$E$1510,"Loss"),-('Guide &amp; Settings'!$C$42/($F102-1))*$Z102)))</f>
        <v>-22.030578219627049</v>
      </c>
      <c r="AB102" s="126">
        <f t="shared" si="36"/>
        <v>1109.0218511200758</v>
      </c>
      <c r="AC102" s="126">
        <f>IF($D102="","",IF($AD102=0,0,IF(COUNTIFS($D$4:$D102,$D102,$B$4:$B102,$B102)&gt;1,0,IF($B102&lt;'Guide &amp; Settings'!$C$50,0,IF(($B102-$AD102)/7-'Guide &amp; Settings'!$C$48&gt;=0,(INT(($B102-$AD102)/7-'Guide &amp; Settings'!$C$48)+1)*'Guide &amp; Settings'!$C$49,0)))))</f>
        <v>0</v>
      </c>
      <c r="AD102" s="142">
        <f t="shared" si="37"/>
        <v>46175</v>
      </c>
      <c r="AE102">
        <f t="shared" si="38"/>
        <v>1</v>
      </c>
      <c r="AF102">
        <f t="shared" si="39"/>
        <v>0</v>
      </c>
    </row>
    <row r="103" spans="1:32" ht="15" customHeight="1" x14ac:dyDescent="0.2">
      <c r="A103" s="117">
        <v>46</v>
      </c>
      <c r="B103" s="118">
        <v>46176</v>
      </c>
      <c r="C103" s="119" t="s">
        <v>44</v>
      </c>
      <c r="D103" s="119" t="s">
        <v>25</v>
      </c>
      <c r="E103" s="117" t="s">
        <v>370</v>
      </c>
      <c r="F103" s="120">
        <f t="shared" si="20"/>
        <v>2</v>
      </c>
      <c r="G103" s="121" t="str">
        <f t="shared" si="21"/>
        <v>Oscar</v>
      </c>
      <c r="H103" s="122">
        <f>IF($D103="",0,IFERROR(LOOKUP(2,1/(($D$3:D102=$D103)*($A$3:A102&lt;$A103)),$N$3:N102),'Guide &amp; Settings'!$C$41))</f>
        <v>951.08292008236583</v>
      </c>
      <c r="I103" s="123">
        <f t="shared" si="22"/>
        <v>0.31372549019607848</v>
      </c>
      <c r="J103" s="124">
        <f>IF($D103="",0,IF($F103&lt;2,0,IF($E103="Win",('Guide &amp; Settings'!$C$42/(($F103-1)*COUNTIFS($A$4:$A$1510,$A103,$E$4:$E$1510,"Win")))*SUMIFS($X$4:$X$1510,$A$4:$A$1510,$A103,$E$4:$E$1510,"Loss"),-('Guide &amp; Settings'!$C$42/($F103-1))*$X103)))</f>
        <v>23.542206233581037</v>
      </c>
      <c r="K103" s="124">
        <f>IF($D103="",0,'Guide &amp; Settings'!$C$43*(IF($E103="Win",1,0)-$I103))</f>
        <v>8.235294117647058</v>
      </c>
      <c r="L103" s="125">
        <f>IF($D103="",0,'Guide &amp; Settings'!$C$44*IF($F103&gt;=3,$F103,0))</f>
        <v>0</v>
      </c>
      <c r="M103" s="124">
        <f t="shared" si="23"/>
        <v>31.777500351228095</v>
      </c>
      <c r="N103" s="122">
        <f t="shared" si="24"/>
        <v>982.86042043359396</v>
      </c>
      <c r="O103" s="121" t="str">
        <f t="shared" si="25"/>
        <v>OK</v>
      </c>
      <c r="P103">
        <f t="shared" si="26"/>
        <v>951.08292008236583</v>
      </c>
      <c r="Q103">
        <f t="shared" si="27"/>
        <v>0.5</v>
      </c>
      <c r="R103">
        <f t="shared" si="28"/>
        <v>0.4</v>
      </c>
      <c r="S103">
        <f t="shared" si="29"/>
        <v>1.2749999999999999</v>
      </c>
      <c r="T103" s="89">
        <f t="shared" si="30"/>
        <v>3</v>
      </c>
      <c r="U103" s="126">
        <f>IF($D103="",0,IFERROR(LOOKUP(2,1/(($D$3:D102=$D103)*($C$3:C102=$C103)*($A$3:A102&lt;$A103)),$AB$3:AB102),1000))</f>
        <v>993.31005908636359</v>
      </c>
      <c r="V103" s="126">
        <f t="shared" si="31"/>
        <v>966.91809720886499</v>
      </c>
      <c r="W103">
        <f t="shared" si="32"/>
        <v>966.91809720886499</v>
      </c>
      <c r="X103">
        <f t="shared" si="33"/>
        <v>0.5</v>
      </c>
      <c r="Y103">
        <f t="shared" si="34"/>
        <v>993.31005908636359</v>
      </c>
      <c r="Z103">
        <f t="shared" si="35"/>
        <v>0.5</v>
      </c>
      <c r="AA103">
        <f>IF($D103="",0,IF($F103&lt;2,0,IF($E103="Win",('Guide &amp; Settings'!$C$42/(($F103-1)*COUNTIFS($A$4:$A$1510,$A103,$E$4:$E$1510,"Win")))*SUMIFS($Z$4:$Z$1510,$A$4:$A$1510,$A103,$E$4:$E$1510,"Loss"),-('Guide &amp; Settings'!$C$42/($F103-1))*$Z103)))</f>
        <v>22.030578219627049</v>
      </c>
      <c r="AB103" s="126">
        <f t="shared" si="36"/>
        <v>1015.3406373059906</v>
      </c>
      <c r="AC103" s="126">
        <f>IF($D103="","",IF($AD103=0,0,IF(COUNTIFS($D$4:$D103,$D103,$B$4:$B103,$B103)&gt;1,0,IF($B103&lt;'Guide &amp; Settings'!$C$50,0,IF(($B103-$AD103)/7-'Guide &amp; Settings'!$C$48&gt;=0,(INT(($B103-$AD103)/7-'Guide &amp; Settings'!$C$48)+1)*'Guide &amp; Settings'!$C$49,0)))))</f>
        <v>0</v>
      </c>
      <c r="AD103" s="142">
        <f t="shared" si="37"/>
        <v>46175</v>
      </c>
      <c r="AE103">
        <f t="shared" si="38"/>
        <v>1</v>
      </c>
      <c r="AF103">
        <f t="shared" si="39"/>
        <v>0</v>
      </c>
    </row>
    <row r="104" spans="1:32" ht="15" customHeight="1" x14ac:dyDescent="0.2">
      <c r="A104" s="117">
        <v>47</v>
      </c>
      <c r="B104" s="118">
        <v>46176</v>
      </c>
      <c r="C104" s="119" t="s">
        <v>45</v>
      </c>
      <c r="D104" s="119" t="s">
        <v>22</v>
      </c>
      <c r="E104" s="117" t="s">
        <v>370</v>
      </c>
      <c r="F104" s="120">
        <f t="shared" si="20"/>
        <v>2</v>
      </c>
      <c r="G104" s="121" t="str">
        <f t="shared" si="21"/>
        <v>Daniel (Ferret)</v>
      </c>
      <c r="H104" s="122">
        <f>IF($D104="",0,IFERROR(LOOKUP(2,1/(($D$3:D103=$D104)*($A$3:A103&lt;$A104)),$N$3:N103),'Guide &amp; Settings'!$C$41))</f>
        <v>972.22442479508152</v>
      </c>
      <c r="I104" s="123">
        <f t="shared" si="22"/>
        <v>0.5</v>
      </c>
      <c r="J104" s="124">
        <f>IF($D104="",0,IF($F104&lt;2,0,IF($E104="Win",('Guide &amp; Settings'!$C$42/(($F104-1)*COUNTIFS($A$4:$A$1510,$A104,$E$4:$E$1510,"Win")))*SUMIFS($X$4:$X$1510,$A$4:$A$1510,$A104,$E$4:$E$1510,"Loss"),-('Guide &amp; Settings'!$C$42/($F104-1))*$X104)))</f>
        <v>16.489652750819598</v>
      </c>
      <c r="K104" s="124">
        <f>IF($D104="",0,'Guide &amp; Settings'!$C$43*(IF($E104="Win",1,0)-$I104))</f>
        <v>6</v>
      </c>
      <c r="L104" s="125">
        <f>IF($D104="",0,'Guide &amp; Settings'!$C$44*IF($F104&gt;=3,$F104,0))</f>
        <v>0</v>
      </c>
      <c r="M104" s="124">
        <f t="shared" si="23"/>
        <v>22.489652750819598</v>
      </c>
      <c r="N104" s="122">
        <f t="shared" si="24"/>
        <v>994.71407754590109</v>
      </c>
      <c r="O104" s="121" t="str">
        <f t="shared" si="25"/>
        <v>OK</v>
      </c>
      <c r="P104">
        <f t="shared" si="26"/>
        <v>972.22442479508152</v>
      </c>
      <c r="Q104">
        <f t="shared" si="27"/>
        <v>0.5</v>
      </c>
      <c r="R104">
        <f t="shared" si="28"/>
        <v>0.5</v>
      </c>
      <c r="S104">
        <f t="shared" si="29"/>
        <v>1</v>
      </c>
      <c r="T104" s="89">
        <f t="shared" si="30"/>
        <v>0</v>
      </c>
      <c r="U104" s="126">
        <f>IF($D104="",0,IFERROR(LOOKUP(2,1/(($D$3:D103=$D104)*($C$3:C103=$C104)*($A$3:A103&lt;$A104)),$AB$3:AB103),1000))</f>
        <v>1000</v>
      </c>
      <c r="V104" s="126">
        <f t="shared" si="31"/>
        <v>972.22442479508152</v>
      </c>
      <c r="W104">
        <f t="shared" si="32"/>
        <v>972.22442479508152</v>
      </c>
      <c r="X104">
        <f t="shared" si="33"/>
        <v>0.5</v>
      </c>
      <c r="Y104">
        <f t="shared" si="34"/>
        <v>1000</v>
      </c>
      <c r="Z104">
        <f t="shared" si="35"/>
        <v>0.5</v>
      </c>
      <c r="AA104">
        <f>IF($D104="",0,IF($F104&lt;2,0,IF($E104="Win",('Guide &amp; Settings'!$C$42/(($F104-1)*COUNTIFS($A$4:$A$1510,$A104,$E$4:$E$1510,"Win")))*SUMIFS($Z$4:$Z$1510,$A$4:$A$1510,$A104,$E$4:$E$1510,"Loss"),-('Guide &amp; Settings'!$C$42/($F104-1))*$Z104)))</f>
        <v>16</v>
      </c>
      <c r="AB104" s="126">
        <f t="shared" si="36"/>
        <v>1016</v>
      </c>
      <c r="AC104" s="126">
        <f>IF($D104="","",IF($AD104=0,0,IF(COUNTIFS($D$4:$D104,$D104,$B$4:$B104,$B104)&gt;1,0,IF($B104&lt;'Guide &amp; Settings'!$C$50,0,IF(($B104-$AD104)/7-'Guide &amp; Settings'!$C$48&gt;=0,(INT(($B104-$AD104)/7-'Guide &amp; Settings'!$C$48)+1)*'Guide &amp; Settings'!$C$49,0)))))</f>
        <v>0</v>
      </c>
      <c r="AD104" s="142">
        <f t="shared" si="37"/>
        <v>46175</v>
      </c>
      <c r="AE104">
        <f t="shared" si="38"/>
        <v>1</v>
      </c>
      <c r="AF104">
        <f t="shared" si="39"/>
        <v>0</v>
      </c>
    </row>
    <row r="105" spans="1:32" ht="15" customHeight="1" x14ac:dyDescent="0.2">
      <c r="A105" s="117">
        <v>47</v>
      </c>
      <c r="B105" s="118">
        <v>46176</v>
      </c>
      <c r="C105" s="119" t="s">
        <v>45</v>
      </c>
      <c r="D105" s="119" t="s">
        <v>25</v>
      </c>
      <c r="E105" s="117" t="s">
        <v>371</v>
      </c>
      <c r="F105" s="120">
        <f t="shared" si="20"/>
        <v>2</v>
      </c>
      <c r="G105" s="121" t="str">
        <f t="shared" si="21"/>
        <v>Daniel (Ferret)</v>
      </c>
      <c r="H105" s="122">
        <f>IF($D105="",0,IFERROR(LOOKUP(2,1/(($D$3:D104=$D105)*($A$3:A104&lt;$A105)),$N$3:N104),'Guide &amp; Settings'!$C$41))</f>
        <v>982.86042043359396</v>
      </c>
      <c r="I105" s="123">
        <f t="shared" si="22"/>
        <v>0.5</v>
      </c>
      <c r="J105" s="124">
        <f>IF($D105="",0,IF($F105&lt;2,0,IF($E105="Win",('Guide &amp; Settings'!$C$42/(($F105-1)*COUNTIFS($A$4:$A$1510,$A105,$E$4:$E$1510,"Win")))*SUMIFS($X$4:$X$1510,$A$4:$A$1510,$A105,$E$4:$E$1510,"Loss"),-('Guide &amp; Settings'!$C$42/($F105-1))*$X105)))</f>
        <v>-16.489652750819598</v>
      </c>
      <c r="K105" s="124">
        <f>IF($D105="",0,'Guide &amp; Settings'!$C$43*(IF($E105="Win",1,0)-$I105))</f>
        <v>-6</v>
      </c>
      <c r="L105" s="125">
        <f>IF($D105="",0,'Guide &amp; Settings'!$C$44*IF($F105&gt;=3,$F105,0))</f>
        <v>0</v>
      </c>
      <c r="M105" s="124">
        <f t="shared" si="23"/>
        <v>-22.489652750819598</v>
      </c>
      <c r="N105" s="122">
        <f t="shared" si="24"/>
        <v>960.37076768277439</v>
      </c>
      <c r="O105" s="121" t="str">
        <f t="shared" si="25"/>
        <v>OK</v>
      </c>
      <c r="P105">
        <f t="shared" si="26"/>
        <v>972.22442479508152</v>
      </c>
      <c r="Q105">
        <f t="shared" si="27"/>
        <v>0.51530164846311244</v>
      </c>
      <c r="R105">
        <f t="shared" si="28"/>
        <v>0.5</v>
      </c>
      <c r="S105">
        <f t="shared" si="29"/>
        <v>1</v>
      </c>
      <c r="T105" s="89">
        <f t="shared" si="30"/>
        <v>0</v>
      </c>
      <c r="U105" s="126">
        <f>IF($D105="",0,IFERROR(LOOKUP(2,1/(($D$3:D104=$D105)*($C$3:C104=$C105)*($A$3:A104&lt;$A105)),$AB$3:AB104),1000))</f>
        <v>1000</v>
      </c>
      <c r="V105" s="126">
        <f t="shared" si="31"/>
        <v>982.86042043359396</v>
      </c>
      <c r="W105">
        <f t="shared" si="32"/>
        <v>972.22442479508152</v>
      </c>
      <c r="X105">
        <f t="shared" si="33"/>
        <v>0.51530164846311244</v>
      </c>
      <c r="Y105">
        <f t="shared" si="34"/>
        <v>1000</v>
      </c>
      <c r="Z105">
        <f t="shared" si="35"/>
        <v>0.5</v>
      </c>
      <c r="AA105">
        <f>IF($D105="",0,IF($F105&lt;2,0,IF($E105="Win",('Guide &amp; Settings'!$C$42/(($F105-1)*COUNTIFS($A$4:$A$1510,$A105,$E$4:$E$1510,"Win")))*SUMIFS($Z$4:$Z$1510,$A$4:$A$1510,$A105,$E$4:$E$1510,"Loss"),-('Guide &amp; Settings'!$C$42/($F105-1))*$Z105)))</f>
        <v>-16</v>
      </c>
      <c r="AB105" s="126">
        <f t="shared" si="36"/>
        <v>984</v>
      </c>
      <c r="AC105" s="126">
        <f>IF($D105="","",IF($AD105=0,0,IF(COUNTIFS($D$4:$D105,$D105,$B$4:$B105,$B105)&gt;1,0,IF($B105&lt;'Guide &amp; Settings'!$C$50,0,IF(($B105-$AD105)/7-'Guide &amp; Settings'!$C$48&gt;=0,(INT(($B105-$AD105)/7-'Guide &amp; Settings'!$C$48)+1)*'Guide &amp; Settings'!$C$49,0)))))</f>
        <v>0</v>
      </c>
      <c r="AD105" s="142">
        <f t="shared" si="37"/>
        <v>46175</v>
      </c>
      <c r="AE105">
        <f t="shared" si="38"/>
        <v>1</v>
      </c>
      <c r="AF105">
        <f t="shared" si="39"/>
        <v>0</v>
      </c>
    </row>
    <row r="106" spans="1:32" ht="15" customHeight="1" x14ac:dyDescent="0.2">
      <c r="A106" s="117">
        <v>48</v>
      </c>
      <c r="B106" s="118">
        <v>46176</v>
      </c>
      <c r="C106" s="119" t="s">
        <v>45</v>
      </c>
      <c r="D106" s="119" t="s">
        <v>22</v>
      </c>
      <c r="E106" s="117" t="s">
        <v>370</v>
      </c>
      <c r="F106" s="120">
        <f t="shared" si="20"/>
        <v>2</v>
      </c>
      <c r="G106" s="121" t="str">
        <f t="shared" si="21"/>
        <v>Daniel (Ferret)</v>
      </c>
      <c r="H106" s="122">
        <f>IF($D106="",0,IFERROR(LOOKUP(2,1/(($D$3:D105=$D106)*($A$3:A105&lt;$A106)),$N$3:N105),'Guide &amp; Settings'!$C$41))</f>
        <v>994.71407754590109</v>
      </c>
      <c r="I106" s="123">
        <f t="shared" si="22"/>
        <v>0.66666666666666663</v>
      </c>
      <c r="J106" s="124">
        <f>IF($D106="",0,IF($F106&lt;2,0,IF($E106="Win",('Guide &amp; Settings'!$C$42/(($F106-1)*COUNTIFS($A$4:$A$1510,$A106,$E$4:$E$1510,"Win")))*SUMIFS($X$4:$X$1510,$A$4:$A$1510,$A106,$E$4:$E$1510,"Loss"),-('Guide &amp; Settings'!$C$42/($F106-1))*$X106)))</f>
        <v>14.441376143346284</v>
      </c>
      <c r="K106" s="124">
        <f>IF($D106="",0,'Guide &amp; Settings'!$C$43*(IF($E106="Win",1,0)-$I106))</f>
        <v>4</v>
      </c>
      <c r="L106" s="125">
        <f>IF($D106="",0,'Guide &amp; Settings'!$C$44*IF($F106&gt;=3,$F106,0))</f>
        <v>0</v>
      </c>
      <c r="M106" s="124">
        <f t="shared" si="23"/>
        <v>18.441376143346282</v>
      </c>
      <c r="N106" s="122">
        <f t="shared" si="24"/>
        <v>1013.1554536892473</v>
      </c>
      <c r="O106" s="121" t="str">
        <f t="shared" si="25"/>
        <v>OK</v>
      </c>
      <c r="P106">
        <f t="shared" si="26"/>
        <v>994.71407754590109</v>
      </c>
      <c r="Q106">
        <f t="shared" si="27"/>
        <v>0.5</v>
      </c>
      <c r="R106">
        <f t="shared" si="28"/>
        <v>0.66666666666666663</v>
      </c>
      <c r="S106">
        <f t="shared" si="29"/>
        <v>1</v>
      </c>
      <c r="T106" s="89">
        <f t="shared" si="30"/>
        <v>1</v>
      </c>
      <c r="U106" s="126">
        <f>IF($D106="",0,IFERROR(LOOKUP(2,1/(($D$3:D105=$D106)*($C$3:C105=$C106)*($A$3:A105&lt;$A106)),$AB$3:AB105),1000))</f>
        <v>1016</v>
      </c>
      <c r="V106" s="126">
        <f t="shared" si="31"/>
        <v>998.26173128825099</v>
      </c>
      <c r="W106">
        <f t="shared" si="32"/>
        <v>998.26173128825099</v>
      </c>
      <c r="X106">
        <f t="shared" si="33"/>
        <v>0.5</v>
      </c>
      <c r="Y106">
        <f t="shared" si="34"/>
        <v>1016</v>
      </c>
      <c r="Z106">
        <f t="shared" si="35"/>
        <v>0.5</v>
      </c>
      <c r="AA106">
        <f>IF($D106="",0,IF($F106&lt;2,0,IF($E106="Win",('Guide &amp; Settings'!$C$42/(($F106-1)*COUNTIFS($A$4:$A$1510,$A106,$E$4:$E$1510,"Win")))*SUMIFS($Z$4:$Z$1510,$A$4:$A$1510,$A106,$E$4:$E$1510,"Loss"),-('Guide &amp; Settings'!$C$42/($F106-1))*$Z106)))</f>
        <v>14.530498471024522</v>
      </c>
      <c r="AB106" s="126">
        <f t="shared" si="36"/>
        <v>1030.5304984710244</v>
      </c>
      <c r="AC106" s="126">
        <f>IF($D106="","",IF($AD106=0,0,IF(COUNTIFS($D$4:$D106,$D106,$B$4:$B106,$B106)&gt;1,0,IF($B106&lt;'Guide &amp; Settings'!$C$50,0,IF(($B106-$AD106)/7-'Guide &amp; Settings'!$C$48&gt;=0,(INT(($B106-$AD106)/7-'Guide &amp; Settings'!$C$48)+1)*'Guide &amp; Settings'!$C$49,0)))))</f>
        <v>0</v>
      </c>
      <c r="AD106" s="142">
        <f t="shared" si="37"/>
        <v>46175</v>
      </c>
      <c r="AE106">
        <f t="shared" si="38"/>
        <v>1</v>
      </c>
      <c r="AF106">
        <f t="shared" si="39"/>
        <v>0</v>
      </c>
    </row>
    <row r="107" spans="1:32" ht="15" customHeight="1" x14ac:dyDescent="0.2">
      <c r="A107" s="117">
        <v>48</v>
      </c>
      <c r="B107" s="118">
        <v>46176</v>
      </c>
      <c r="C107" s="119" t="s">
        <v>45</v>
      </c>
      <c r="D107" s="119" t="s">
        <v>25</v>
      </c>
      <c r="E107" s="117" t="s">
        <v>371</v>
      </c>
      <c r="F107" s="120">
        <f t="shared" si="20"/>
        <v>2</v>
      </c>
      <c r="G107" s="121" t="str">
        <f t="shared" si="21"/>
        <v>Daniel (Ferret)</v>
      </c>
      <c r="H107" s="122">
        <f>IF($D107="",0,IFERROR(LOOKUP(2,1/(($D$3:D106=$D107)*($A$3:A106&lt;$A107)),$N$3:N106),'Guide &amp; Settings'!$C$41))</f>
        <v>960.37076768277439</v>
      </c>
      <c r="I107" s="123">
        <f t="shared" si="22"/>
        <v>0.33333333333333331</v>
      </c>
      <c r="J107" s="124">
        <f>IF($D107="",0,IF($F107&lt;2,0,IF($E107="Win",('Guide &amp; Settings'!$C$42/(($F107-1)*COUNTIFS($A$4:$A$1510,$A107,$E$4:$E$1510,"Win")))*SUMIFS($X$4:$X$1510,$A$4:$A$1510,$A107,$E$4:$E$1510,"Loss"),-('Guide &amp; Settings'!$C$42/($F107-1))*$X107)))</f>
        <v>-14.441376143346284</v>
      </c>
      <c r="K107" s="124">
        <f>IF($D107="",0,'Guide &amp; Settings'!$C$43*(IF($E107="Win",1,0)-$I107))</f>
        <v>-4</v>
      </c>
      <c r="L107" s="125">
        <f>IF($D107="",0,'Guide &amp; Settings'!$C$44*IF($F107&gt;=3,$F107,0))</f>
        <v>0</v>
      </c>
      <c r="M107" s="124">
        <f t="shared" si="23"/>
        <v>-18.441376143346282</v>
      </c>
      <c r="N107" s="122">
        <f t="shared" si="24"/>
        <v>941.92939153942814</v>
      </c>
      <c r="O107" s="121" t="str">
        <f t="shared" si="25"/>
        <v>OK</v>
      </c>
      <c r="P107">
        <f t="shared" si="26"/>
        <v>994.71407754590109</v>
      </c>
      <c r="Q107">
        <f t="shared" si="27"/>
        <v>0.45073635022941261</v>
      </c>
      <c r="R107">
        <f t="shared" si="28"/>
        <v>0.33333333333333331</v>
      </c>
      <c r="S107">
        <f t="shared" si="29"/>
        <v>1</v>
      </c>
      <c r="T107" s="89">
        <f t="shared" si="30"/>
        <v>1</v>
      </c>
      <c r="U107" s="126">
        <f>IF($D107="",0,IFERROR(LOOKUP(2,1/(($D$3:D106=$D107)*($C$3:C106=$C107)*($A$3:A106&lt;$A107)),$AB$3:AB106),1000))</f>
        <v>984</v>
      </c>
      <c r="V107" s="126">
        <f t="shared" si="31"/>
        <v>964.30897306897873</v>
      </c>
      <c r="W107">
        <f t="shared" si="32"/>
        <v>998.26173128825099</v>
      </c>
      <c r="X107">
        <f t="shared" si="33"/>
        <v>0.45129300447957138</v>
      </c>
      <c r="Y107">
        <f t="shared" si="34"/>
        <v>1016</v>
      </c>
      <c r="Z107">
        <f t="shared" si="35"/>
        <v>0.45407807721951632</v>
      </c>
      <c r="AA107">
        <f>IF($D107="",0,IF($F107&lt;2,0,IF($E107="Win",('Guide &amp; Settings'!$C$42/(($F107-1)*COUNTIFS($A$4:$A$1510,$A107,$E$4:$E$1510,"Win")))*SUMIFS($Z$4:$Z$1510,$A$4:$A$1510,$A107,$E$4:$E$1510,"Loss"),-('Guide &amp; Settings'!$C$42/($F107-1))*$Z107)))</f>
        <v>-14.530498471024522</v>
      </c>
      <c r="AB107" s="126">
        <f t="shared" si="36"/>
        <v>969.46950152897546</v>
      </c>
      <c r="AC107" s="126">
        <f>IF($D107="","",IF($AD107=0,0,IF(COUNTIFS($D$4:$D107,$D107,$B$4:$B107,$B107)&gt;1,0,IF($B107&lt;'Guide &amp; Settings'!$C$50,0,IF(($B107-$AD107)/7-'Guide &amp; Settings'!$C$48&gt;=0,(INT(($B107-$AD107)/7-'Guide &amp; Settings'!$C$48)+1)*'Guide &amp; Settings'!$C$49,0)))))</f>
        <v>0</v>
      </c>
      <c r="AD107" s="142">
        <f t="shared" si="37"/>
        <v>46175</v>
      </c>
      <c r="AE107">
        <f t="shared" si="38"/>
        <v>1</v>
      </c>
      <c r="AF107">
        <f t="shared" si="39"/>
        <v>0</v>
      </c>
    </row>
    <row r="108" spans="1:32" ht="15" customHeight="1" x14ac:dyDescent="0.2">
      <c r="A108" s="117">
        <v>49</v>
      </c>
      <c r="B108" s="118">
        <v>46176</v>
      </c>
      <c r="C108" s="119" t="s">
        <v>45</v>
      </c>
      <c r="D108" s="119" t="s">
        <v>22</v>
      </c>
      <c r="E108" s="117" t="s">
        <v>371</v>
      </c>
      <c r="F108" s="120">
        <f t="shared" si="20"/>
        <v>2</v>
      </c>
      <c r="G108" s="121" t="str">
        <f t="shared" si="21"/>
        <v>Oscar</v>
      </c>
      <c r="H108" s="122">
        <f>IF($D108="",0,IFERROR(LOOKUP(2,1/(($D$3:D107=$D108)*($A$3:A107&lt;$A108)),$N$3:N107),'Guide &amp; Settings'!$C$41))</f>
        <v>1013.1554536892473</v>
      </c>
      <c r="I108" s="123">
        <f t="shared" si="22"/>
        <v>0.75</v>
      </c>
      <c r="J108" s="124">
        <f>IF($D108="",0,IF($F108&lt;2,0,IF($E108="Win",('Guide &amp; Settings'!$C$42/(($F108-1)*COUNTIFS($A$4:$A$1510,$A108,$E$4:$E$1510,"Win")))*SUMIFS($X$4:$X$1510,$A$4:$A$1510,$A108,$E$4:$E$1510,"Loss"),-('Guide &amp; Settings'!$C$42/($F108-1))*$X108)))</f>
        <v>-19.106395068274207</v>
      </c>
      <c r="K108" s="124">
        <f>IF($D108="",0,'Guide &amp; Settings'!$C$43*(IF($E108="Win",1,0)-$I108))</f>
        <v>-9</v>
      </c>
      <c r="L108" s="125">
        <f>IF($D108="",0,'Guide &amp; Settings'!$C$44*IF($F108&gt;=3,$F108,0))</f>
        <v>0</v>
      </c>
      <c r="M108" s="124">
        <f t="shared" si="23"/>
        <v>-28.106395068274207</v>
      </c>
      <c r="N108" s="122">
        <f t="shared" si="24"/>
        <v>985.04905862097314</v>
      </c>
      <c r="O108" s="121" t="str">
        <f t="shared" si="25"/>
        <v>OK</v>
      </c>
      <c r="P108">
        <f t="shared" si="26"/>
        <v>941.92939153942814</v>
      </c>
      <c r="Q108">
        <f t="shared" si="27"/>
        <v>0.60109031798387125</v>
      </c>
      <c r="R108">
        <f t="shared" si="28"/>
        <v>0.75</v>
      </c>
      <c r="S108">
        <f t="shared" si="29"/>
        <v>1</v>
      </c>
      <c r="T108" s="89">
        <f t="shared" si="30"/>
        <v>2</v>
      </c>
      <c r="U108" s="126">
        <f>IF($D108="",0,IFERROR(LOOKUP(2,1/(($D$3:D107=$D108)*($C$3:C107=$C108)*($A$3:A107&lt;$A108)),$AB$3:AB107),1000))</f>
        <v>1030.5304984710244</v>
      </c>
      <c r="V108" s="126">
        <f t="shared" si="31"/>
        <v>1018.1197521983265</v>
      </c>
      <c r="W108">
        <f t="shared" si="32"/>
        <v>949.79799439358453</v>
      </c>
      <c r="X108">
        <f t="shared" si="33"/>
        <v>0.59707484588356896</v>
      </c>
      <c r="Y108">
        <f t="shared" si="34"/>
        <v>969.46950152897546</v>
      </c>
      <c r="Z108">
        <f t="shared" si="35"/>
        <v>0.58698015116917412</v>
      </c>
      <c r="AA108">
        <f>IF($D108="",0,IF($F108&lt;2,0,IF($E108="Win",('Guide &amp; Settings'!$C$42/(($F108-1)*COUNTIFS($A$4:$A$1510,$A108,$E$4:$E$1510,"Win")))*SUMIFS($Z$4:$Z$1510,$A$4:$A$1510,$A108,$E$4:$E$1510,"Loss"),-('Guide &amp; Settings'!$C$42/($F108-1))*$Z108)))</f>
        <v>-18.783364837413572</v>
      </c>
      <c r="AB108" s="126">
        <f t="shared" si="36"/>
        <v>1011.7471336336108</v>
      </c>
      <c r="AC108" s="126">
        <f>IF($D108="","",IF($AD108=0,0,IF(COUNTIFS($D$4:$D108,$D108,$B$4:$B108,$B108)&gt;1,0,IF($B108&lt;'Guide &amp; Settings'!$C$50,0,IF(($B108-$AD108)/7-'Guide &amp; Settings'!$C$48&gt;=0,(INT(($B108-$AD108)/7-'Guide &amp; Settings'!$C$48)+1)*'Guide &amp; Settings'!$C$49,0)))))</f>
        <v>0</v>
      </c>
      <c r="AD108" s="142">
        <f t="shared" si="37"/>
        <v>46175</v>
      </c>
      <c r="AE108">
        <f t="shared" si="38"/>
        <v>1</v>
      </c>
      <c r="AF108">
        <f t="shared" si="39"/>
        <v>0</v>
      </c>
    </row>
    <row r="109" spans="1:32" ht="15" customHeight="1" x14ac:dyDescent="0.2">
      <c r="A109" s="117">
        <v>49</v>
      </c>
      <c r="B109" s="118">
        <v>46176</v>
      </c>
      <c r="C109" s="119" t="s">
        <v>45</v>
      </c>
      <c r="D109" s="119" t="s">
        <v>25</v>
      </c>
      <c r="E109" s="117" t="s">
        <v>370</v>
      </c>
      <c r="F109" s="120">
        <f t="shared" si="20"/>
        <v>2</v>
      </c>
      <c r="G109" s="121" t="str">
        <f t="shared" si="21"/>
        <v>Oscar</v>
      </c>
      <c r="H109" s="122">
        <f>IF($D109="",0,IFERROR(LOOKUP(2,1/(($D$3:D108=$D109)*($A$3:A108&lt;$A109)),$N$3:N108),'Guide &amp; Settings'!$C$41))</f>
        <v>941.92939153942814</v>
      </c>
      <c r="I109" s="123">
        <f t="shared" si="22"/>
        <v>0.25</v>
      </c>
      <c r="J109" s="124">
        <f>IF($D109="",0,IF($F109&lt;2,0,IF($E109="Win",('Guide &amp; Settings'!$C$42/(($F109-1)*COUNTIFS($A$4:$A$1510,$A109,$E$4:$E$1510,"Win")))*SUMIFS($X$4:$X$1510,$A$4:$A$1510,$A109,$E$4:$E$1510,"Loss"),-('Guide &amp; Settings'!$C$42/($F109-1))*$X109)))</f>
        <v>19.106395068274207</v>
      </c>
      <c r="K109" s="124">
        <f>IF($D109="",0,'Guide &amp; Settings'!$C$43*(IF($E109="Win",1,0)-$I109))</f>
        <v>9</v>
      </c>
      <c r="L109" s="125">
        <f>IF($D109="",0,'Guide &amp; Settings'!$C$44*IF($F109&gt;=3,$F109,0))</f>
        <v>0</v>
      </c>
      <c r="M109" s="124">
        <f t="shared" si="23"/>
        <v>28.106395068274207</v>
      </c>
      <c r="N109" s="122">
        <f t="shared" si="24"/>
        <v>970.03578660770233</v>
      </c>
      <c r="O109" s="121" t="str">
        <f t="shared" si="25"/>
        <v>OK</v>
      </c>
      <c r="P109">
        <f t="shared" si="26"/>
        <v>941.92939153942814</v>
      </c>
      <c r="Q109">
        <f t="shared" si="27"/>
        <v>0.5</v>
      </c>
      <c r="R109">
        <f t="shared" si="28"/>
        <v>0.25</v>
      </c>
      <c r="S109">
        <f t="shared" si="29"/>
        <v>1</v>
      </c>
      <c r="T109" s="89">
        <f t="shared" si="30"/>
        <v>2</v>
      </c>
      <c r="U109" s="126">
        <f>IF($D109="",0,IFERROR(LOOKUP(2,1/(($D$3:D108=$D109)*($C$3:C108=$C109)*($A$3:A108&lt;$A109)),$AB$3:AB108),1000))</f>
        <v>969.46950152897546</v>
      </c>
      <c r="V109" s="126">
        <f t="shared" si="31"/>
        <v>949.79799439358453</v>
      </c>
      <c r="W109">
        <f t="shared" si="32"/>
        <v>949.79799439358453</v>
      </c>
      <c r="X109">
        <f t="shared" si="33"/>
        <v>0.5</v>
      </c>
      <c r="Y109">
        <f t="shared" si="34"/>
        <v>969.46950152897546</v>
      </c>
      <c r="Z109">
        <f t="shared" si="35"/>
        <v>0.5</v>
      </c>
      <c r="AA109">
        <f>IF($D109="",0,IF($F109&lt;2,0,IF($E109="Win",('Guide &amp; Settings'!$C$42/(($F109-1)*COUNTIFS($A$4:$A$1510,$A109,$E$4:$E$1510,"Win")))*SUMIFS($Z$4:$Z$1510,$A$4:$A$1510,$A109,$E$4:$E$1510,"Loss"),-('Guide &amp; Settings'!$C$42/($F109-1))*$Z109)))</f>
        <v>18.783364837413572</v>
      </c>
      <c r="AB109" s="126">
        <f t="shared" si="36"/>
        <v>988.25286636638907</v>
      </c>
      <c r="AC109" s="126">
        <f>IF($D109="","",IF($AD109=0,0,IF(COUNTIFS($D$4:$D109,$D109,$B$4:$B109,$B109)&gt;1,0,IF($B109&lt;'Guide &amp; Settings'!$C$50,0,IF(($B109-$AD109)/7-'Guide &amp; Settings'!$C$48&gt;=0,(INT(($B109-$AD109)/7-'Guide &amp; Settings'!$C$48)+1)*'Guide &amp; Settings'!$C$49,0)))))</f>
        <v>0</v>
      </c>
      <c r="AD109" s="142">
        <f t="shared" si="37"/>
        <v>46175</v>
      </c>
      <c r="AE109">
        <f t="shared" si="38"/>
        <v>1</v>
      </c>
      <c r="AF109">
        <f t="shared" si="39"/>
        <v>0</v>
      </c>
    </row>
    <row r="110" spans="1:32" ht="15" customHeight="1" x14ac:dyDescent="0.2">
      <c r="A110" s="117">
        <v>50</v>
      </c>
      <c r="B110" s="118">
        <v>46177</v>
      </c>
      <c r="C110" s="119" t="s">
        <v>44</v>
      </c>
      <c r="D110" s="119" t="s">
        <v>23</v>
      </c>
      <c r="E110" s="117" t="s">
        <v>370</v>
      </c>
      <c r="F110" s="120">
        <f t="shared" si="20"/>
        <v>2</v>
      </c>
      <c r="G110" s="121" t="str">
        <f t="shared" si="21"/>
        <v>Dean B</v>
      </c>
      <c r="H110" s="122">
        <f>IF($D110="",0,IFERROR(LOOKUP(2,1/(($D$3:D109=$D110)*($A$3:A109&lt;$A110)),$N$3:N109),'Guide &amp; Settings'!$C$41))</f>
        <v>1031.3963708324816</v>
      </c>
      <c r="I110" s="123">
        <f t="shared" si="22"/>
        <v>0.5</v>
      </c>
      <c r="J110" s="124">
        <f>IF($D110="",0,IF($F110&lt;2,0,IF($E110="Win",('Guide &amp; Settings'!$C$42/(($F110-1)*COUNTIFS($A$4:$A$1510,$A110,$E$4:$E$1510,"Win")))*SUMIFS($X$4:$X$1510,$A$4:$A$1510,$A110,$E$4:$E$1510,"Loss"),-('Guide &amp; Settings'!$C$42/($F110-1))*$X110)))</f>
        <v>14.369283088930391</v>
      </c>
      <c r="K110" s="124">
        <f>IF($D110="",0,'Guide &amp; Settings'!$C$43*(IF($E110="Win",1,0)-$I110))</f>
        <v>6</v>
      </c>
      <c r="L110" s="125">
        <f>IF($D110="",0,'Guide &amp; Settings'!$C$44*IF($F110&gt;=3,$F110,0))</f>
        <v>0</v>
      </c>
      <c r="M110" s="124">
        <f t="shared" si="23"/>
        <v>20.369283088930391</v>
      </c>
      <c r="N110" s="122">
        <f t="shared" si="24"/>
        <v>1051.765653921412</v>
      </c>
      <c r="O110" s="121" t="str">
        <f t="shared" si="25"/>
        <v>OK</v>
      </c>
      <c r="P110">
        <f t="shared" si="26"/>
        <v>1031.3963708324816</v>
      </c>
      <c r="Q110">
        <f t="shared" si="27"/>
        <v>0.5</v>
      </c>
      <c r="R110">
        <f t="shared" si="28"/>
        <v>0.5</v>
      </c>
      <c r="S110">
        <f t="shared" si="29"/>
        <v>1</v>
      </c>
      <c r="T110" s="89">
        <f t="shared" si="30"/>
        <v>2</v>
      </c>
      <c r="U110" s="126">
        <f>IF($D110="",0,IFERROR(LOOKUP(2,1/(($D$3:D109=$D110)*($C$3:C109=$C110)*($A$3:A109&lt;$A110)),$AB$3:AB109),1000))</f>
        <v>1011.4773580873075</v>
      </c>
      <c r="V110" s="126">
        <f t="shared" si="31"/>
        <v>1025.7052243338603</v>
      </c>
      <c r="W110">
        <f t="shared" si="32"/>
        <v>1025.7052243338603</v>
      </c>
      <c r="X110">
        <f t="shared" si="33"/>
        <v>0.5</v>
      </c>
      <c r="Y110">
        <f t="shared" si="34"/>
        <v>1011.4773580873075</v>
      </c>
      <c r="Z110">
        <f t="shared" si="35"/>
        <v>0.5</v>
      </c>
      <c r="AA110">
        <f>IF($D110="",0,IF($F110&lt;2,0,IF($E110="Win",('Guide &amp; Settings'!$C$42/(($F110-1)*COUNTIFS($A$4:$A$1510,$A110,$E$4:$E$1510,"Win")))*SUMIFS($Z$4:$Z$1510,$A$4:$A$1510,$A110,$E$4:$E$1510,"Loss"),-('Guide &amp; Settings'!$C$42/($F110-1))*$Z110)))</f>
        <v>16.177903250777021</v>
      </c>
      <c r="AB110" s="126">
        <f t="shared" si="36"/>
        <v>1027.6552613380845</v>
      </c>
      <c r="AC110" s="126">
        <f>IF($D110="","",IF($AD110=0,0,IF(COUNTIFS($D$4:$D110,$D110,$B$4:$B110,$B110)&gt;1,0,IF($B110&lt;'Guide &amp; Settings'!$C$50,0,IF(($B110-$AD110)/7-'Guide &amp; Settings'!$C$48&gt;=0,(INT(($B110-$AD110)/7-'Guide &amp; Settings'!$C$48)+1)*'Guide &amp; Settings'!$C$49,0)))))</f>
        <v>0</v>
      </c>
      <c r="AD110" s="142">
        <f t="shared" si="37"/>
        <v>46176</v>
      </c>
      <c r="AE110">
        <f t="shared" si="38"/>
        <v>1</v>
      </c>
      <c r="AF110">
        <f t="shared" si="39"/>
        <v>0</v>
      </c>
    </row>
    <row r="111" spans="1:32" ht="15" customHeight="1" x14ac:dyDescent="0.2">
      <c r="A111" s="117">
        <v>50</v>
      </c>
      <c r="B111" s="118">
        <v>46177</v>
      </c>
      <c r="C111" s="119" t="s">
        <v>44</v>
      </c>
      <c r="D111" s="119" t="s">
        <v>25</v>
      </c>
      <c r="E111" s="117" t="s">
        <v>371</v>
      </c>
      <c r="F111" s="120">
        <f t="shared" si="20"/>
        <v>2</v>
      </c>
      <c r="G111" s="121" t="str">
        <f t="shared" si="21"/>
        <v>Dean B</v>
      </c>
      <c r="H111" s="122">
        <f>IF($D111="",0,IFERROR(LOOKUP(2,1/(($D$3:D110=$D111)*($A$3:A110&lt;$A111)),$N$3:N110),'Guide &amp; Settings'!$C$41))</f>
        <v>970.03578660770233</v>
      </c>
      <c r="I111" s="123">
        <f t="shared" si="22"/>
        <v>0.5</v>
      </c>
      <c r="J111" s="124">
        <f>IF($D111="",0,IF($F111&lt;2,0,IF($E111="Win",('Guide &amp; Settings'!$C$42/(($F111-1)*COUNTIFS($A$4:$A$1510,$A111,$E$4:$E$1510,"Win")))*SUMIFS($X$4:$X$1510,$A$4:$A$1510,$A111,$E$4:$E$1510,"Loss"),-('Guide &amp; Settings'!$C$42/($F111-1))*$X111)))</f>
        <v>-14.369283088930391</v>
      </c>
      <c r="K111" s="124">
        <f>IF($D111="",0,'Guide &amp; Settings'!$C$43*(IF($E111="Win",1,0)-$I111))</f>
        <v>-6</v>
      </c>
      <c r="L111" s="125">
        <f>IF($D111="",0,'Guide &amp; Settings'!$C$44*IF($F111&gt;=3,$F111,0))</f>
        <v>0</v>
      </c>
      <c r="M111" s="124">
        <f t="shared" si="23"/>
        <v>-20.369283088930391</v>
      </c>
      <c r="N111" s="122">
        <f t="shared" si="24"/>
        <v>949.66650351877195</v>
      </c>
      <c r="O111" s="121" t="str">
        <f t="shared" si="25"/>
        <v>OK</v>
      </c>
      <c r="P111">
        <f t="shared" si="26"/>
        <v>1031.3963708324816</v>
      </c>
      <c r="Q111">
        <f t="shared" si="27"/>
        <v>0.41260181814526686</v>
      </c>
      <c r="R111">
        <f t="shared" si="28"/>
        <v>0.5</v>
      </c>
      <c r="S111">
        <f t="shared" si="29"/>
        <v>1</v>
      </c>
      <c r="T111" s="89">
        <f t="shared" si="30"/>
        <v>4</v>
      </c>
      <c r="U111" s="126">
        <f>IF($D111="",0,IFERROR(LOOKUP(2,1/(($D$3:D110=$D111)*($C$3:C110=$C111)*($A$3:A110&lt;$A111)),$AB$3:AB110),1000))</f>
        <v>1015.3406373059906</v>
      </c>
      <c r="V111" s="126">
        <f t="shared" si="31"/>
        <v>990.17127580694159</v>
      </c>
      <c r="W111">
        <f t="shared" si="32"/>
        <v>1025.7052243338603</v>
      </c>
      <c r="X111">
        <f t="shared" si="33"/>
        <v>0.44904009652907473</v>
      </c>
      <c r="Y111">
        <f t="shared" si="34"/>
        <v>1011.4773580873075</v>
      </c>
      <c r="Z111">
        <f t="shared" si="35"/>
        <v>0.50555947658678191</v>
      </c>
      <c r="AA111">
        <f>IF($D111="",0,IF($F111&lt;2,0,IF($E111="Win",('Guide &amp; Settings'!$C$42/(($F111-1)*COUNTIFS($A$4:$A$1510,$A111,$E$4:$E$1510,"Win")))*SUMIFS($Z$4:$Z$1510,$A$4:$A$1510,$A111,$E$4:$E$1510,"Loss"),-('Guide &amp; Settings'!$C$42/($F111-1))*$Z111)))</f>
        <v>-16.177903250777021</v>
      </c>
      <c r="AB111" s="126">
        <f t="shared" si="36"/>
        <v>999.1627340552136</v>
      </c>
      <c r="AC111" s="126">
        <f>IF($D111="","",IF($AD111=0,0,IF(COUNTIFS($D$4:$D111,$D111,$B$4:$B111,$B111)&gt;1,0,IF($B111&lt;'Guide &amp; Settings'!$C$50,0,IF(($B111-$AD111)/7-'Guide &amp; Settings'!$C$48&gt;=0,(INT(($B111-$AD111)/7-'Guide &amp; Settings'!$C$48)+1)*'Guide &amp; Settings'!$C$49,0)))))</f>
        <v>0</v>
      </c>
      <c r="AD111" s="142">
        <f t="shared" si="37"/>
        <v>46176</v>
      </c>
      <c r="AE111">
        <f t="shared" si="38"/>
        <v>1</v>
      </c>
      <c r="AF111">
        <f t="shared" si="39"/>
        <v>0</v>
      </c>
    </row>
    <row r="112" spans="1:32" ht="15" customHeight="1" x14ac:dyDescent="0.2">
      <c r="A112" s="117">
        <v>51</v>
      </c>
      <c r="B112" s="118">
        <v>46177</v>
      </c>
      <c r="C112" s="119" t="s">
        <v>44</v>
      </c>
      <c r="D112" s="119" t="s">
        <v>23</v>
      </c>
      <c r="E112" s="117" t="s">
        <v>370</v>
      </c>
      <c r="F112" s="120">
        <f t="shared" si="20"/>
        <v>2</v>
      </c>
      <c r="G112" s="121" t="str">
        <f t="shared" si="21"/>
        <v>Dean B</v>
      </c>
      <c r="H112" s="122">
        <f>IF($D112="",0,IFERROR(LOOKUP(2,1/(($D$3:D111=$D112)*($A$3:A111&lt;$A112)),$N$3:N111),'Guide &amp; Settings'!$C$41))</f>
        <v>1051.765653921412</v>
      </c>
      <c r="I112" s="123">
        <f t="shared" si="22"/>
        <v>0.58333333333333337</v>
      </c>
      <c r="J112" s="124">
        <f>IF($D112="",0,IF($F112&lt;2,0,IF($E112="Win",('Guide &amp; Settings'!$C$42/(($F112-1)*COUNTIFS($A$4:$A$1510,$A112,$E$4:$E$1510,"Win")))*SUMIFS($X$4:$X$1510,$A$4:$A$1510,$A112,$E$4:$E$1510,"Loss"),-('Guide &amp; Settings'!$C$42/($F112-1))*$X112)))</f>
        <v>12.894142038237518</v>
      </c>
      <c r="K112" s="124">
        <f>IF($D112="",0,'Guide &amp; Settings'!$C$43*(IF($E112="Win",1,0)-$I112))</f>
        <v>5</v>
      </c>
      <c r="L112" s="125">
        <f>IF($D112="",0,'Guide &amp; Settings'!$C$44*IF($F112&gt;=3,$F112,0))</f>
        <v>0</v>
      </c>
      <c r="M112" s="124">
        <f t="shared" si="23"/>
        <v>17.894142038237518</v>
      </c>
      <c r="N112" s="122">
        <f t="shared" si="24"/>
        <v>1069.6597959596495</v>
      </c>
      <c r="O112" s="121" t="str">
        <f t="shared" si="25"/>
        <v>OK</v>
      </c>
      <c r="P112">
        <f t="shared" si="26"/>
        <v>1051.765653921412</v>
      </c>
      <c r="Q112">
        <f t="shared" si="27"/>
        <v>0.5</v>
      </c>
      <c r="R112">
        <f t="shared" si="28"/>
        <v>0.6</v>
      </c>
      <c r="S112">
        <f t="shared" si="29"/>
        <v>1.0285714285714285</v>
      </c>
      <c r="T112" s="89">
        <f t="shared" si="30"/>
        <v>3</v>
      </c>
      <c r="U112" s="126">
        <f>IF($D112="",0,IFERROR(LOOKUP(2,1/(($D$3:D111=$D112)*($C$3:C111=$C112)*($A$3:A111&lt;$A112)),$AB$3:AB111),1000))</f>
        <v>1027.6552613380845</v>
      </c>
      <c r="V112" s="126">
        <f t="shared" si="31"/>
        <v>1042.7242567026642</v>
      </c>
      <c r="W112">
        <f t="shared" si="32"/>
        <v>1042.7242567026642</v>
      </c>
      <c r="X112">
        <f t="shared" si="33"/>
        <v>0.5</v>
      </c>
      <c r="Y112">
        <f t="shared" si="34"/>
        <v>1027.6552613380845</v>
      </c>
      <c r="Z112">
        <f t="shared" si="35"/>
        <v>0.5</v>
      </c>
      <c r="AA112">
        <f>IF($D112="",0,IF($F112&lt;2,0,IF($E112="Win",('Guide &amp; Settings'!$C$42/(($F112-1)*COUNTIFS($A$4:$A$1510,$A112,$E$4:$E$1510,"Win")))*SUMIFS($Z$4:$Z$1510,$A$4:$A$1510,$A112,$E$4:$E$1510,"Loss"),-('Guide &amp; Settings'!$C$42/($F112-1))*$Z112)))</f>
        <v>14.690804236113944</v>
      </c>
      <c r="AB112" s="126">
        <f t="shared" si="36"/>
        <v>1042.3460655741985</v>
      </c>
      <c r="AC112" s="126">
        <f>IF($D112="","",IF($AD112=0,0,IF(COUNTIFS($D$4:$D112,$D112,$B$4:$B112,$B112)&gt;1,0,IF($B112&lt;'Guide &amp; Settings'!$C$50,0,IF(($B112-$AD112)/7-'Guide &amp; Settings'!$C$48&gt;=0,(INT(($B112-$AD112)/7-'Guide &amp; Settings'!$C$48)+1)*'Guide &amp; Settings'!$C$49,0)))))</f>
        <v>0</v>
      </c>
      <c r="AD112" s="142">
        <f t="shared" si="37"/>
        <v>46176</v>
      </c>
      <c r="AE112">
        <f t="shared" si="38"/>
        <v>1</v>
      </c>
      <c r="AF112">
        <f t="shared" si="39"/>
        <v>0</v>
      </c>
    </row>
    <row r="113" spans="1:32" ht="15" customHeight="1" x14ac:dyDescent="0.2">
      <c r="A113" s="117">
        <v>51</v>
      </c>
      <c r="B113" s="118">
        <v>46177</v>
      </c>
      <c r="C113" s="119" t="s">
        <v>44</v>
      </c>
      <c r="D113" s="119" t="s">
        <v>25</v>
      </c>
      <c r="E113" s="117" t="s">
        <v>371</v>
      </c>
      <c r="F113" s="120">
        <f t="shared" si="20"/>
        <v>2</v>
      </c>
      <c r="G113" s="121" t="str">
        <f t="shared" si="21"/>
        <v>Dean B</v>
      </c>
      <c r="H113" s="122">
        <f>IF($D113="",0,IFERROR(LOOKUP(2,1/(($D$3:D112=$D113)*($A$3:A112&lt;$A113)),$N$3:N112),'Guide &amp; Settings'!$C$41))</f>
        <v>949.66650351877195</v>
      </c>
      <c r="I113" s="123">
        <f t="shared" si="22"/>
        <v>0.41666666666666669</v>
      </c>
      <c r="J113" s="124">
        <f>IF($D113="",0,IF($F113&lt;2,0,IF($E113="Win",('Guide &amp; Settings'!$C$42/(($F113-1)*COUNTIFS($A$4:$A$1510,$A113,$E$4:$E$1510,"Win")))*SUMIFS($X$4:$X$1510,$A$4:$A$1510,$A113,$E$4:$E$1510,"Loss"),-('Guide &amp; Settings'!$C$42/($F113-1))*$X113)))</f>
        <v>-12.894142038237518</v>
      </c>
      <c r="K113" s="124">
        <f>IF($D113="",0,'Guide &amp; Settings'!$C$43*(IF($E113="Win",1,0)-$I113))</f>
        <v>-5</v>
      </c>
      <c r="L113" s="125">
        <f>IF($D113="",0,'Guide &amp; Settings'!$C$44*IF($F113&gt;=3,$F113,0))</f>
        <v>0</v>
      </c>
      <c r="M113" s="124">
        <f t="shared" si="23"/>
        <v>-17.894142038237518</v>
      </c>
      <c r="N113" s="122">
        <f t="shared" si="24"/>
        <v>931.77236148053441</v>
      </c>
      <c r="O113" s="121" t="str">
        <f t="shared" si="25"/>
        <v>OK</v>
      </c>
      <c r="P113">
        <f t="shared" si="26"/>
        <v>1051.765653921412</v>
      </c>
      <c r="Q113">
        <f t="shared" si="27"/>
        <v>0.35715587753707229</v>
      </c>
      <c r="R113">
        <f t="shared" si="28"/>
        <v>0.42857142857142855</v>
      </c>
      <c r="S113">
        <f t="shared" si="29"/>
        <v>1.0285714285714285</v>
      </c>
      <c r="T113" s="89">
        <f t="shared" si="30"/>
        <v>5</v>
      </c>
      <c r="U113" s="126">
        <f>IF($D113="",0,IFERROR(LOOKUP(2,1/(($D$3:D112=$D113)*($C$3:C112=$C113)*($A$3:A112&lt;$A113)),$AB$3:AB112),1000))</f>
        <v>999.1627340552136</v>
      </c>
      <c r="V113" s="126">
        <f t="shared" si="31"/>
        <v>974.41461878699283</v>
      </c>
      <c r="W113">
        <f t="shared" si="32"/>
        <v>1042.7242567026642</v>
      </c>
      <c r="X113">
        <f t="shared" si="33"/>
        <v>0.40294193869492245</v>
      </c>
      <c r="Y113">
        <f t="shared" si="34"/>
        <v>1027.6552613380845</v>
      </c>
      <c r="Z113">
        <f t="shared" si="35"/>
        <v>0.45908763237856076</v>
      </c>
      <c r="AA113">
        <f>IF($D113="",0,IF($F113&lt;2,0,IF($E113="Win",('Guide &amp; Settings'!$C$42/(($F113-1)*COUNTIFS($A$4:$A$1510,$A113,$E$4:$E$1510,"Win")))*SUMIFS($Z$4:$Z$1510,$A$4:$A$1510,$A113,$E$4:$E$1510,"Loss"),-('Guide &amp; Settings'!$C$42/($F113-1))*$Z113)))</f>
        <v>-14.690804236113944</v>
      </c>
      <c r="AB113" s="126">
        <f t="shared" si="36"/>
        <v>984.47192981909961</v>
      </c>
      <c r="AC113" s="126">
        <f>IF($D113="","",IF($AD113=0,0,IF(COUNTIFS($D$4:$D113,$D113,$B$4:$B113,$B113)&gt;1,0,IF($B113&lt;'Guide &amp; Settings'!$C$50,0,IF(($B113-$AD113)/7-'Guide &amp; Settings'!$C$48&gt;=0,(INT(($B113-$AD113)/7-'Guide &amp; Settings'!$C$48)+1)*'Guide &amp; Settings'!$C$49,0)))))</f>
        <v>0</v>
      </c>
      <c r="AD113" s="142">
        <f t="shared" si="37"/>
        <v>46176</v>
      </c>
      <c r="AE113">
        <f t="shared" si="38"/>
        <v>1</v>
      </c>
      <c r="AF113">
        <f t="shared" si="39"/>
        <v>0</v>
      </c>
    </row>
    <row r="114" spans="1:32" ht="15" customHeight="1" x14ac:dyDescent="0.2">
      <c r="A114" s="117">
        <v>52</v>
      </c>
      <c r="B114" s="118">
        <v>46177</v>
      </c>
      <c r="C114" s="119" t="s">
        <v>44</v>
      </c>
      <c r="D114" s="119" t="s">
        <v>23</v>
      </c>
      <c r="E114" s="117" t="s">
        <v>370</v>
      </c>
      <c r="F114" s="120">
        <f t="shared" si="20"/>
        <v>2</v>
      </c>
      <c r="G114" s="121" t="str">
        <f t="shared" si="21"/>
        <v>Dean B</v>
      </c>
      <c r="H114" s="122">
        <f>IF($D114="",0,IFERROR(LOOKUP(2,1/(($D$3:D113=$D114)*($A$3:A113&lt;$A114)),$N$3:N113),'Guide &amp; Settings'!$C$41))</f>
        <v>1069.6597959596495</v>
      </c>
      <c r="I114" s="123">
        <f t="shared" si="22"/>
        <v>0.64</v>
      </c>
      <c r="J114" s="124">
        <f>IF($D114="",0,IF($F114&lt;2,0,IF($E114="Win",('Guide &amp; Settings'!$C$42/(($F114-1)*COUNTIFS($A$4:$A$1510,$A114,$E$4:$E$1510,"Win")))*SUMIFS($X$4:$X$1510,$A$4:$A$1510,$A114,$E$4:$E$1510,"Loss"),-('Guide &amp; Settings'!$C$42/($F114-1))*$X114)))</f>
        <v>11.645420683499232</v>
      </c>
      <c r="K114" s="124">
        <f>IF($D114="",0,'Guide &amp; Settings'!$C$43*(IF($E114="Win",1,0)-$I114))</f>
        <v>4.32</v>
      </c>
      <c r="L114" s="125">
        <f>IF($D114="",0,'Guide &amp; Settings'!$C$44*IF($F114&gt;=3,$F114,0))</f>
        <v>0</v>
      </c>
      <c r="M114" s="124">
        <f t="shared" si="23"/>
        <v>15.965420683499232</v>
      </c>
      <c r="N114" s="122">
        <f t="shared" si="24"/>
        <v>1085.6252166431486</v>
      </c>
      <c r="O114" s="121" t="str">
        <f t="shared" si="25"/>
        <v>OK</v>
      </c>
      <c r="P114">
        <f t="shared" si="26"/>
        <v>1069.6597959596495</v>
      </c>
      <c r="Q114">
        <f t="shared" si="27"/>
        <v>0.5</v>
      </c>
      <c r="R114">
        <f t="shared" si="28"/>
        <v>0.66666666666666663</v>
      </c>
      <c r="S114">
        <f t="shared" si="29"/>
        <v>1.0416666666666665</v>
      </c>
      <c r="T114" s="89">
        <f t="shared" si="30"/>
        <v>4</v>
      </c>
      <c r="U114" s="126">
        <f>IF($D114="",0,IFERROR(LOOKUP(2,1/(($D$3:D113=$D114)*($C$3:C113=$C114)*($A$3:A113&lt;$A114)),$AB$3:AB113),1000))</f>
        <v>1042.3460655741985</v>
      </c>
      <c r="V114" s="126">
        <f t="shared" si="31"/>
        <v>1057.5203602327824</v>
      </c>
      <c r="W114">
        <f t="shared" si="32"/>
        <v>1057.5203602327824</v>
      </c>
      <c r="X114">
        <f t="shared" si="33"/>
        <v>0.5</v>
      </c>
      <c r="Y114">
        <f t="shared" si="34"/>
        <v>1042.3460655741985</v>
      </c>
      <c r="Z114">
        <f t="shared" si="35"/>
        <v>0.5</v>
      </c>
      <c r="AA114">
        <f>IF($D114="",0,IF($F114&lt;2,0,IF($E114="Win",('Guide &amp; Settings'!$C$42/(($F114-1)*COUNTIFS($A$4:$A$1510,$A114,$E$4:$E$1510,"Win")))*SUMIFS($Z$4:$Z$1510,$A$4:$A$1510,$A114,$E$4:$E$1510,"Loss"),-('Guide &amp; Settings'!$C$42/($F114-1))*$Z114)))</f>
        <v>13.359177704896565</v>
      </c>
      <c r="AB114" s="126">
        <f t="shared" si="36"/>
        <v>1055.7052432790952</v>
      </c>
      <c r="AC114" s="126">
        <f>IF($D114="","",IF($AD114=0,0,IF(COUNTIFS($D$4:$D114,$D114,$B$4:$B114,$B114)&gt;1,0,IF($B114&lt;'Guide &amp; Settings'!$C$50,0,IF(($B114-$AD114)/7-'Guide &amp; Settings'!$C$48&gt;=0,(INT(($B114-$AD114)/7-'Guide &amp; Settings'!$C$48)+1)*'Guide &amp; Settings'!$C$49,0)))))</f>
        <v>0</v>
      </c>
      <c r="AD114" s="142">
        <f t="shared" si="37"/>
        <v>46176</v>
      </c>
      <c r="AE114">
        <f t="shared" si="38"/>
        <v>1</v>
      </c>
      <c r="AF114">
        <f t="shared" si="39"/>
        <v>0</v>
      </c>
    </row>
    <row r="115" spans="1:32" ht="15" customHeight="1" x14ac:dyDescent="0.2">
      <c r="A115" s="117">
        <v>52</v>
      </c>
      <c r="B115" s="118">
        <v>46177</v>
      </c>
      <c r="C115" s="119" t="s">
        <v>44</v>
      </c>
      <c r="D115" s="119" t="s">
        <v>25</v>
      </c>
      <c r="E115" s="117" t="s">
        <v>371</v>
      </c>
      <c r="F115" s="120">
        <f t="shared" si="20"/>
        <v>2</v>
      </c>
      <c r="G115" s="121" t="str">
        <f t="shared" si="21"/>
        <v>Dean B</v>
      </c>
      <c r="H115" s="122">
        <f>IF($D115="",0,IFERROR(LOOKUP(2,1/(($D$3:D114=$D115)*($A$3:A114&lt;$A115)),$N$3:N114),'Guide &amp; Settings'!$C$41))</f>
        <v>931.77236148053441</v>
      </c>
      <c r="I115" s="123">
        <f t="shared" si="22"/>
        <v>0.36000000000000004</v>
      </c>
      <c r="J115" s="124">
        <f>IF($D115="",0,IF($F115&lt;2,0,IF($E115="Win",('Guide &amp; Settings'!$C$42/(($F115-1)*COUNTIFS($A$4:$A$1510,$A115,$E$4:$E$1510,"Win")))*SUMIFS($X$4:$X$1510,$A$4:$A$1510,$A115,$E$4:$E$1510,"Loss"),-('Guide &amp; Settings'!$C$42/($F115-1))*$X115)))</f>
        <v>-11.645420683499232</v>
      </c>
      <c r="K115" s="124">
        <f>IF($D115="",0,'Guide &amp; Settings'!$C$43*(IF($E115="Win",1,0)-$I115))</f>
        <v>-4.32</v>
      </c>
      <c r="L115" s="125">
        <f>IF($D115="",0,'Guide &amp; Settings'!$C$44*IF($F115&gt;=3,$F115,0))</f>
        <v>0</v>
      </c>
      <c r="M115" s="124">
        <f t="shared" si="23"/>
        <v>-15.965420683499232</v>
      </c>
      <c r="N115" s="122">
        <f t="shared" si="24"/>
        <v>915.80694079703517</v>
      </c>
      <c r="O115" s="121" t="str">
        <f t="shared" si="25"/>
        <v>OK</v>
      </c>
      <c r="P115">
        <f t="shared" si="26"/>
        <v>1069.6597959596495</v>
      </c>
      <c r="Q115">
        <f t="shared" si="27"/>
        <v>0.31136535208795041</v>
      </c>
      <c r="R115">
        <f t="shared" si="28"/>
        <v>0.375</v>
      </c>
      <c r="S115">
        <f t="shared" si="29"/>
        <v>1.0416666666666665</v>
      </c>
      <c r="T115" s="89">
        <f t="shared" si="30"/>
        <v>6</v>
      </c>
      <c r="U115" s="126">
        <f>IF($D115="",0,IFERROR(LOOKUP(2,1/(($D$3:D114=$D115)*($C$3:C114=$C115)*($A$3:A114&lt;$A115)),$AB$3:AB114),1000))</f>
        <v>984.47192981909961</v>
      </c>
      <c r="V115" s="126">
        <f t="shared" si="31"/>
        <v>960.5175805742972</v>
      </c>
      <c r="W115">
        <f t="shared" si="32"/>
        <v>1057.5203602327824</v>
      </c>
      <c r="X115">
        <f t="shared" si="33"/>
        <v>0.363919396359351</v>
      </c>
      <c r="Y115">
        <f t="shared" si="34"/>
        <v>1042.3460655741985</v>
      </c>
      <c r="Z115">
        <f t="shared" si="35"/>
        <v>0.41747430327801766</v>
      </c>
      <c r="AA115">
        <f>IF($D115="",0,IF($F115&lt;2,0,IF($E115="Win",('Guide &amp; Settings'!$C$42/(($F115-1)*COUNTIFS($A$4:$A$1510,$A115,$E$4:$E$1510,"Win")))*SUMIFS($Z$4:$Z$1510,$A$4:$A$1510,$A115,$E$4:$E$1510,"Loss"),-('Guide &amp; Settings'!$C$42/($F115-1))*$Z115)))</f>
        <v>-13.359177704896565</v>
      </c>
      <c r="AB115" s="126">
        <f t="shared" si="36"/>
        <v>971.11275211420309</v>
      </c>
      <c r="AC115" s="126">
        <f>IF($D115="","",IF($AD115=0,0,IF(COUNTIFS($D$4:$D115,$D115,$B$4:$B115,$B115)&gt;1,0,IF($B115&lt;'Guide &amp; Settings'!$C$50,0,IF(($B115-$AD115)/7-'Guide &amp; Settings'!$C$48&gt;=0,(INT(($B115-$AD115)/7-'Guide &amp; Settings'!$C$48)+1)*'Guide &amp; Settings'!$C$49,0)))))</f>
        <v>0</v>
      </c>
      <c r="AD115" s="142">
        <f t="shared" si="37"/>
        <v>46176</v>
      </c>
      <c r="AE115">
        <f t="shared" si="38"/>
        <v>1</v>
      </c>
      <c r="AF115">
        <f t="shared" si="39"/>
        <v>0</v>
      </c>
    </row>
    <row r="116" spans="1:32" ht="15" customHeight="1" x14ac:dyDescent="0.2">
      <c r="A116" s="117">
        <v>53</v>
      </c>
      <c r="B116" s="118">
        <v>46177</v>
      </c>
      <c r="C116" s="119" t="s">
        <v>37</v>
      </c>
      <c r="D116" s="119" t="s">
        <v>25</v>
      </c>
      <c r="E116" s="117" t="s">
        <v>370</v>
      </c>
      <c r="F116" s="120">
        <f t="shared" si="20"/>
        <v>2</v>
      </c>
      <c r="G116" s="121" t="str">
        <f t="shared" si="21"/>
        <v>Oscar</v>
      </c>
      <c r="H116" s="122">
        <f>IF($D116="",0,IFERROR(LOOKUP(2,1/(($D$3:D115=$D116)*($A$3:A115&lt;$A116)),$N$3:N115),'Guide &amp; Settings'!$C$41))</f>
        <v>915.80694079703517</v>
      </c>
      <c r="I116" s="123">
        <f t="shared" si="22"/>
        <v>0.29411764705882354</v>
      </c>
      <c r="J116" s="124">
        <f>IF($D116="",0,IF($F116&lt;2,0,IF($E116="Win",('Guide &amp; Settings'!$C$42/(($F116-1)*COUNTIFS($A$4:$A$1510,$A116,$E$4:$E$1510,"Win")))*SUMIFS($X$4:$X$1510,$A$4:$A$1510,$A116,$E$4:$E$1510,"Loss"),-('Guide &amp; Settings'!$C$42/($F116-1))*$X116)))</f>
        <v>21.613393235418329</v>
      </c>
      <c r="K116" s="124">
        <f>IF($D116="",0,'Guide &amp; Settings'!$C$43*(IF($E116="Win",1,0)-$I116))</f>
        <v>8.470588235294116</v>
      </c>
      <c r="L116" s="125">
        <f>IF($D116="",0,'Guide &amp; Settings'!$C$44*IF($F116&gt;=3,$F116,0))</f>
        <v>0</v>
      </c>
      <c r="M116" s="124">
        <f t="shared" si="23"/>
        <v>30.083981470712445</v>
      </c>
      <c r="N116" s="122">
        <f t="shared" si="24"/>
        <v>945.89092226774756</v>
      </c>
      <c r="O116" s="121" t="str">
        <f t="shared" si="25"/>
        <v>OK</v>
      </c>
      <c r="P116">
        <f t="shared" si="26"/>
        <v>915.80694079703517</v>
      </c>
      <c r="Q116">
        <f t="shared" si="27"/>
        <v>0.5</v>
      </c>
      <c r="R116">
        <f t="shared" si="28"/>
        <v>0.25</v>
      </c>
      <c r="S116">
        <f t="shared" si="29"/>
        <v>0.85</v>
      </c>
      <c r="T116" s="89">
        <f t="shared" si="30"/>
        <v>2</v>
      </c>
      <c r="U116" s="126">
        <f>IF($D116="",0,IFERROR(LOOKUP(2,1/(($D$3:D115=$D116)*($C$3:C115=$C116)*($A$3:A115&lt;$A116)),$AB$3:AB115),1000))</f>
        <v>969.46950152897546</v>
      </c>
      <c r="V116" s="126">
        <f t="shared" si="31"/>
        <v>931.1391010061609</v>
      </c>
      <c r="W116">
        <f t="shared" si="32"/>
        <v>931.1391010061609</v>
      </c>
      <c r="X116">
        <f t="shared" si="33"/>
        <v>0.5</v>
      </c>
      <c r="Y116">
        <f t="shared" si="34"/>
        <v>969.46950152897546</v>
      </c>
      <c r="Z116">
        <f t="shared" si="35"/>
        <v>0.5</v>
      </c>
      <c r="AA116">
        <f>IF($D116="",0,IF($F116&lt;2,0,IF($E116="Win",('Guide &amp; Settings'!$C$42/(($F116-1)*COUNTIFS($A$4:$A$1510,$A116,$E$4:$E$1510,"Win")))*SUMIFS($Z$4:$Z$1510,$A$4:$A$1510,$A116,$E$4:$E$1510,"Loss"),-('Guide &amp; Settings'!$C$42/($F116-1))*$Z116)))</f>
        <v>18.000037876065491</v>
      </c>
      <c r="AB116" s="126">
        <f t="shared" si="36"/>
        <v>987.4695394050409</v>
      </c>
      <c r="AC116" s="126">
        <f>IF($D116="","",IF($AD116=0,0,IF(COUNTIFS($D$4:$D116,$D116,$B$4:$B116,$B116)&gt;1,0,IF($B116&lt;'Guide &amp; Settings'!$C$50,0,IF(($B116-$AD116)/7-'Guide &amp; Settings'!$C$48&gt;=0,(INT(($B116-$AD116)/7-'Guide &amp; Settings'!$C$48)+1)*'Guide &amp; Settings'!$C$49,0)))))</f>
        <v>0</v>
      </c>
      <c r="AD116" s="142">
        <f t="shared" si="37"/>
        <v>46176</v>
      </c>
      <c r="AE116">
        <f t="shared" si="38"/>
        <v>1</v>
      </c>
      <c r="AF116">
        <f t="shared" si="39"/>
        <v>0</v>
      </c>
    </row>
    <row r="117" spans="1:32" ht="15" customHeight="1" x14ac:dyDescent="0.2">
      <c r="A117" s="117">
        <v>53</v>
      </c>
      <c r="B117" s="118">
        <v>46177</v>
      </c>
      <c r="C117" s="119" t="s">
        <v>37</v>
      </c>
      <c r="D117" s="119" t="s">
        <v>23</v>
      </c>
      <c r="E117" s="117" t="s">
        <v>371</v>
      </c>
      <c r="F117" s="120">
        <f t="shared" si="20"/>
        <v>2</v>
      </c>
      <c r="G117" s="121" t="str">
        <f t="shared" si="21"/>
        <v>Oscar</v>
      </c>
      <c r="H117" s="122">
        <f>IF($D117="",0,IFERROR(LOOKUP(2,1/(($D$3:D116=$D117)*($A$3:A116&lt;$A117)),$N$3:N116),'Guide &amp; Settings'!$C$41))</f>
        <v>1085.6252166431486</v>
      </c>
      <c r="I117" s="123">
        <f t="shared" si="22"/>
        <v>0.70588235294117652</v>
      </c>
      <c r="J117" s="124">
        <f>IF($D117="",0,IF($F117&lt;2,0,IF($E117="Win",('Guide &amp; Settings'!$C$42/(($F117-1)*COUNTIFS($A$4:$A$1510,$A117,$E$4:$E$1510,"Win")))*SUMIFS($X$4:$X$1510,$A$4:$A$1510,$A117,$E$4:$E$1510,"Loss"),-('Guide &amp; Settings'!$C$42/($F117-1))*$X117)))</f>
        <v>-21.613393235418329</v>
      </c>
      <c r="K117" s="124">
        <f>IF($D117="",0,'Guide &amp; Settings'!$C$43*(IF($E117="Win",1,0)-$I117))</f>
        <v>-8.4705882352941178</v>
      </c>
      <c r="L117" s="125">
        <f>IF($D117="",0,'Guide &amp; Settings'!$C$44*IF($F117&gt;=3,$F117,0))</f>
        <v>0</v>
      </c>
      <c r="M117" s="124">
        <f t="shared" si="23"/>
        <v>-30.083981470712445</v>
      </c>
      <c r="N117" s="122">
        <f t="shared" si="24"/>
        <v>1055.5412351724362</v>
      </c>
      <c r="O117" s="121" t="str">
        <f t="shared" si="25"/>
        <v>OK</v>
      </c>
      <c r="P117">
        <f t="shared" si="26"/>
        <v>915.80694079703517</v>
      </c>
      <c r="Q117">
        <f t="shared" si="27"/>
        <v>0.72662232413289352</v>
      </c>
      <c r="R117">
        <f t="shared" si="28"/>
        <v>0.6</v>
      </c>
      <c r="S117">
        <f t="shared" si="29"/>
        <v>0.85</v>
      </c>
      <c r="T117" s="89">
        <f t="shared" si="30"/>
        <v>3</v>
      </c>
      <c r="U117" s="126">
        <f>IF($D117="",0,IFERROR(LOOKUP(2,1/(($D$3:D116=$D117)*($C$3:C116=$C117)*($A$3:A116&lt;$A117)),$AB$3:AB116),1000))</f>
        <v>1013.1281248226184</v>
      </c>
      <c r="V117" s="126">
        <f t="shared" si="31"/>
        <v>1058.4388072104498</v>
      </c>
      <c r="W117">
        <f t="shared" si="32"/>
        <v>931.1391010061609</v>
      </c>
      <c r="X117">
        <f t="shared" si="33"/>
        <v>0.67541853860682277</v>
      </c>
      <c r="Y117">
        <f t="shared" si="34"/>
        <v>969.46950152897546</v>
      </c>
      <c r="Z117">
        <f t="shared" si="35"/>
        <v>0.5625011836270466</v>
      </c>
      <c r="AA117">
        <f>IF($D117="",0,IF($F117&lt;2,0,IF($E117="Win",('Guide &amp; Settings'!$C$42/(($F117-1)*COUNTIFS($A$4:$A$1510,$A117,$E$4:$E$1510,"Win")))*SUMIFS($Z$4:$Z$1510,$A$4:$A$1510,$A117,$E$4:$E$1510,"Loss"),-('Guide &amp; Settings'!$C$42/($F117-1))*$Z117)))</f>
        <v>-18.000037876065491</v>
      </c>
      <c r="AB117" s="126">
        <f t="shared" si="36"/>
        <v>995.12808694655291</v>
      </c>
      <c r="AC117" s="126">
        <f>IF($D117="","",IF($AD117=0,0,IF(COUNTIFS($D$4:$D117,$D117,$B$4:$B117,$B117)&gt;1,0,IF($B117&lt;'Guide &amp; Settings'!$C$50,0,IF(($B117-$AD117)/7-'Guide &amp; Settings'!$C$48&gt;=0,(INT(($B117-$AD117)/7-'Guide &amp; Settings'!$C$48)+1)*'Guide &amp; Settings'!$C$49,0)))))</f>
        <v>0</v>
      </c>
      <c r="AD117" s="142">
        <f t="shared" si="37"/>
        <v>46176</v>
      </c>
      <c r="AE117">
        <f t="shared" si="38"/>
        <v>1</v>
      </c>
      <c r="AF117">
        <f t="shared" si="39"/>
        <v>0</v>
      </c>
    </row>
    <row r="118" spans="1:32" ht="15" customHeight="1" x14ac:dyDescent="0.2">
      <c r="A118" s="117">
        <v>54</v>
      </c>
      <c r="B118" s="118">
        <v>46177</v>
      </c>
      <c r="C118" s="119" t="s">
        <v>37</v>
      </c>
      <c r="D118" s="119" t="s">
        <v>25</v>
      </c>
      <c r="E118" s="117" t="s">
        <v>370</v>
      </c>
      <c r="F118" s="120">
        <f t="shared" si="20"/>
        <v>2</v>
      </c>
      <c r="G118" s="121" t="str">
        <f t="shared" si="21"/>
        <v>Oscar</v>
      </c>
      <c r="H118" s="122">
        <f>IF($D118="",0,IFERROR(LOOKUP(2,1/(($D$3:D117=$D118)*($A$3:A117&lt;$A118)),$N$3:N117),'Guide &amp; Settings'!$C$41))</f>
        <v>945.89092226774756</v>
      </c>
      <c r="I118" s="123">
        <f t="shared" si="22"/>
        <v>0.44444444444444448</v>
      </c>
      <c r="J118" s="124">
        <f>IF($D118="",0,IF($F118&lt;2,0,IF($E118="Win",('Guide &amp; Settings'!$C$42/(($F118-1)*COUNTIFS($A$4:$A$1510,$A118,$E$4:$E$1510,"Win")))*SUMIFS($X$4:$X$1510,$A$4:$A$1510,$A118,$E$4:$E$1510,"Loss"),-('Guide &amp; Settings'!$C$42/($F118-1))*$X118)))</f>
        <v>17.766546695372242</v>
      </c>
      <c r="K118" s="124">
        <f>IF($D118="",0,'Guide &amp; Settings'!$C$43*(IF($E118="Win",1,0)-$I118))</f>
        <v>6.666666666666667</v>
      </c>
      <c r="L118" s="125">
        <f>IF($D118="",0,'Guide &amp; Settings'!$C$44*IF($F118&gt;=3,$F118,0))</f>
        <v>0</v>
      </c>
      <c r="M118" s="124">
        <f t="shared" si="23"/>
        <v>24.433213362038909</v>
      </c>
      <c r="N118" s="122">
        <f t="shared" si="24"/>
        <v>970.3241356297865</v>
      </c>
      <c r="O118" s="121" t="str">
        <f t="shared" si="25"/>
        <v>OK</v>
      </c>
      <c r="P118">
        <f t="shared" si="26"/>
        <v>945.89092226774756</v>
      </c>
      <c r="Q118">
        <f t="shared" si="27"/>
        <v>0.5</v>
      </c>
      <c r="R118">
        <f t="shared" si="28"/>
        <v>0.4</v>
      </c>
      <c r="S118">
        <f t="shared" si="29"/>
        <v>0.9</v>
      </c>
      <c r="T118" s="89">
        <f t="shared" si="30"/>
        <v>3</v>
      </c>
      <c r="U118" s="126">
        <f>IF($D118="",0,IFERROR(LOOKUP(2,1/(($D$3:D117=$D118)*($C$3:C117=$C118)*($A$3:A117&lt;$A118)),$AB$3:AB117),1000))</f>
        <v>987.4695394050409</v>
      </c>
      <c r="V118" s="126">
        <f t="shared" si="31"/>
        <v>961.48290369423262</v>
      </c>
      <c r="W118">
        <f t="shared" si="32"/>
        <v>961.48290369423262</v>
      </c>
      <c r="X118">
        <f t="shared" si="33"/>
        <v>0.5</v>
      </c>
      <c r="Y118">
        <f t="shared" si="34"/>
        <v>987.4695394050409</v>
      </c>
      <c r="Z118">
        <f t="shared" si="35"/>
        <v>0.5</v>
      </c>
      <c r="AA118">
        <f>IF($D118="",0,IF($F118&lt;2,0,IF($E118="Win",('Guide &amp; Settings'!$C$42/(($F118-1)*COUNTIFS($A$4:$A$1510,$A118,$E$4:$E$1510,"Win")))*SUMIFS($Z$4:$Z$1510,$A$4:$A$1510,$A118,$E$4:$E$1510,"Loss"),-('Guide &amp; Settings'!$C$42/($F118-1))*$Z118)))</f>
        <v>16.576798971563427</v>
      </c>
      <c r="AB118" s="126">
        <f t="shared" si="36"/>
        <v>1004.0463383766044</v>
      </c>
      <c r="AC118" s="126">
        <f>IF($D118="","",IF($AD118=0,0,IF(COUNTIFS($D$4:$D118,$D118,$B$4:$B118,$B118)&gt;1,0,IF($B118&lt;'Guide &amp; Settings'!$C$50,0,IF(($B118-$AD118)/7-'Guide &amp; Settings'!$C$48&gt;=0,(INT(($B118-$AD118)/7-'Guide &amp; Settings'!$C$48)+1)*'Guide &amp; Settings'!$C$49,0)))))</f>
        <v>0</v>
      </c>
      <c r="AD118" s="142">
        <f t="shared" si="37"/>
        <v>46176</v>
      </c>
      <c r="AE118">
        <f t="shared" si="38"/>
        <v>1</v>
      </c>
      <c r="AF118">
        <f t="shared" si="39"/>
        <v>0</v>
      </c>
    </row>
    <row r="119" spans="1:32" ht="15" customHeight="1" x14ac:dyDescent="0.2">
      <c r="A119" s="117">
        <v>54</v>
      </c>
      <c r="B119" s="118">
        <v>46177</v>
      </c>
      <c r="C119" s="119" t="s">
        <v>37</v>
      </c>
      <c r="D119" s="119" t="s">
        <v>16</v>
      </c>
      <c r="E119" s="117" t="s">
        <v>371</v>
      </c>
      <c r="F119" s="120">
        <f t="shared" si="20"/>
        <v>2</v>
      </c>
      <c r="G119" s="121" t="str">
        <f t="shared" si="21"/>
        <v>Oscar</v>
      </c>
      <c r="H119" s="122">
        <f>IF($D119="",0,IFERROR(LOOKUP(2,1/(($D$3:D118=$D119)*($A$3:A118&lt;$A119)),$N$3:N118),'Guide &amp; Settings'!$C$41))</f>
        <v>1000</v>
      </c>
      <c r="I119" s="123">
        <f t="shared" si="22"/>
        <v>0.55555555555555558</v>
      </c>
      <c r="J119" s="124">
        <f>IF($D119="",0,IF($F119&lt;2,0,IF($E119="Win",('Guide &amp; Settings'!$C$42/(($F119-1)*COUNTIFS($A$4:$A$1510,$A119,$E$4:$E$1510,"Win")))*SUMIFS($X$4:$X$1510,$A$4:$A$1510,$A119,$E$4:$E$1510,"Loss"),-('Guide &amp; Settings'!$C$42/($F119-1))*$X119)))</f>
        <v>-17.766546695372242</v>
      </c>
      <c r="K119" s="124">
        <f>IF($D119="",0,'Guide &amp; Settings'!$C$43*(IF($E119="Win",1,0)-$I119))</f>
        <v>-6.666666666666667</v>
      </c>
      <c r="L119" s="125">
        <f>IF($D119="",0,'Guide &amp; Settings'!$C$44*IF($F119&gt;=3,$F119,0))</f>
        <v>0</v>
      </c>
      <c r="M119" s="124">
        <f t="shared" si="23"/>
        <v>-24.433213362038909</v>
      </c>
      <c r="N119" s="122">
        <f t="shared" si="24"/>
        <v>975.56678663796106</v>
      </c>
      <c r="O119" s="121" t="str">
        <f t="shared" si="25"/>
        <v>OK</v>
      </c>
      <c r="P119">
        <f t="shared" si="26"/>
        <v>945.89092226774756</v>
      </c>
      <c r="Q119">
        <f t="shared" si="27"/>
        <v>0.57724571209996101</v>
      </c>
      <c r="R119">
        <f t="shared" si="28"/>
        <v>0.5</v>
      </c>
      <c r="S119">
        <f t="shared" si="29"/>
        <v>0.9</v>
      </c>
      <c r="T119" s="89">
        <f t="shared" si="30"/>
        <v>0</v>
      </c>
      <c r="U119" s="126">
        <f>IF($D119="",0,IFERROR(LOOKUP(2,1/(($D$3:D118=$D119)*($C$3:C118=$C119)*($A$3:A118&lt;$A119)),$AB$3:AB118),1000))</f>
        <v>1000</v>
      </c>
      <c r="V119" s="126">
        <f t="shared" si="31"/>
        <v>1000</v>
      </c>
      <c r="W119">
        <f t="shared" si="32"/>
        <v>961.48290369423262</v>
      </c>
      <c r="X119">
        <f t="shared" si="33"/>
        <v>0.55520458423038255</v>
      </c>
      <c r="Y119">
        <f t="shared" si="34"/>
        <v>987.4695394050409</v>
      </c>
      <c r="Z119">
        <f t="shared" si="35"/>
        <v>0.5180249678613571</v>
      </c>
      <c r="AA119">
        <f>IF($D119="",0,IF($F119&lt;2,0,IF($E119="Win",('Guide &amp; Settings'!$C$42/(($F119-1)*COUNTIFS($A$4:$A$1510,$A119,$E$4:$E$1510,"Win")))*SUMIFS($Z$4:$Z$1510,$A$4:$A$1510,$A119,$E$4:$E$1510,"Loss"),-('Guide &amp; Settings'!$C$42/($F119-1))*$Z119)))</f>
        <v>-16.576798971563427</v>
      </c>
      <c r="AB119" s="126">
        <f t="shared" si="36"/>
        <v>983.42320102843655</v>
      </c>
      <c r="AC119" s="126">
        <f>IF($D119="","",IF($AD119=0,0,IF(COUNTIFS($D$4:$D119,$D119,$B$4:$B119,$B119)&gt;1,0,IF($B119&lt;'Guide &amp; Settings'!$C$50,0,IF(($B119-$AD119)/7-'Guide &amp; Settings'!$C$48&gt;=0,(INT(($B119-$AD119)/7-'Guide &amp; Settings'!$C$48)+1)*'Guide &amp; Settings'!$C$49,0)))))</f>
        <v>0</v>
      </c>
      <c r="AD119" s="142">
        <f t="shared" si="37"/>
        <v>0</v>
      </c>
      <c r="AE119">
        <f t="shared" si="38"/>
        <v>1</v>
      </c>
      <c r="AF119">
        <f t="shared" si="39"/>
        <v>0</v>
      </c>
    </row>
    <row r="120" spans="1:32" ht="15" customHeight="1" x14ac:dyDescent="0.2">
      <c r="A120" s="117">
        <v>55</v>
      </c>
      <c r="B120" s="118">
        <v>46177</v>
      </c>
      <c r="C120" s="119" t="s">
        <v>45</v>
      </c>
      <c r="D120" s="119" t="s">
        <v>20</v>
      </c>
      <c r="E120" s="117" t="s">
        <v>371</v>
      </c>
      <c r="F120" s="120">
        <f t="shared" si="20"/>
        <v>2</v>
      </c>
      <c r="G120" s="121" t="str">
        <f t="shared" si="21"/>
        <v>Oscar</v>
      </c>
      <c r="H120" s="122">
        <f>IF($D120="",0,IFERROR(LOOKUP(2,1/(($D$3:D119=$D120)*($A$3:A119&lt;$A120)),$N$3:N119),'Guide &amp; Settings'!$C$41))</f>
        <v>1007.4743526549773</v>
      </c>
      <c r="I120" s="123">
        <f t="shared" si="22"/>
        <v>0.55555555555555558</v>
      </c>
      <c r="J120" s="124">
        <f>IF($D120="",0,IF($F120&lt;2,0,IF($E120="Win",('Guide &amp; Settings'!$C$42/(($F120-1)*COUNTIFS($A$4:$A$1510,$A120,$E$4:$E$1510,"Win")))*SUMIFS($X$4:$X$1510,$A$4:$A$1510,$A120,$E$4:$E$1510,"Loss"),-('Guide &amp; Settings'!$C$42/($F120-1))*$X120)))</f>
        <v>-17.397641255039755</v>
      </c>
      <c r="K120" s="124">
        <f>IF($D120="",0,'Guide &amp; Settings'!$C$43*(IF($E120="Win",1,0)-$I120))</f>
        <v>-6.666666666666667</v>
      </c>
      <c r="L120" s="125">
        <f>IF($D120="",0,'Guide &amp; Settings'!$C$44*IF($F120&gt;=3,$F120,0))</f>
        <v>0</v>
      </c>
      <c r="M120" s="124">
        <f t="shared" si="23"/>
        <v>-24.064307921706423</v>
      </c>
      <c r="N120" s="122">
        <f t="shared" si="24"/>
        <v>983.41004473327087</v>
      </c>
      <c r="O120" s="121" t="str">
        <f t="shared" si="25"/>
        <v>OK</v>
      </c>
      <c r="P120">
        <f t="shared" si="26"/>
        <v>970.3241356297865</v>
      </c>
      <c r="Q120">
        <f t="shared" si="27"/>
        <v>0.55326063173356443</v>
      </c>
      <c r="R120">
        <f t="shared" si="28"/>
        <v>0.5</v>
      </c>
      <c r="S120">
        <f t="shared" si="29"/>
        <v>0.9</v>
      </c>
      <c r="T120" s="89">
        <f t="shared" si="30"/>
        <v>0</v>
      </c>
      <c r="U120" s="126">
        <f>IF($D120="",0,IFERROR(LOOKUP(2,1/(($D$3:D119=$D120)*($C$3:C119=$C120)*($A$3:A119&lt;$A120)),$AB$3:AB119),1000))</f>
        <v>1000</v>
      </c>
      <c r="V120" s="126">
        <f t="shared" si="31"/>
        <v>1007.4743526549773</v>
      </c>
      <c r="W120">
        <f t="shared" si="32"/>
        <v>977.04740965601252</v>
      </c>
      <c r="X120">
        <f t="shared" si="33"/>
        <v>0.54367628921999234</v>
      </c>
      <c r="Y120">
        <f t="shared" si="34"/>
        <v>988.25286636638907</v>
      </c>
      <c r="Z120">
        <f t="shared" si="35"/>
        <v>0.51689904517545837</v>
      </c>
      <c r="AA120">
        <f>IF($D120="",0,IF($F120&lt;2,0,IF($E120="Win",('Guide &amp; Settings'!$C$42/(($F120-1)*COUNTIFS($A$4:$A$1510,$A120,$E$4:$E$1510,"Win")))*SUMIFS($Z$4:$Z$1510,$A$4:$A$1510,$A120,$E$4:$E$1510,"Loss"),-('Guide &amp; Settings'!$C$42/($F120-1))*$Z120)))</f>
        <v>-16.540769445614668</v>
      </c>
      <c r="AB120" s="126">
        <f t="shared" si="36"/>
        <v>983.45923055438539</v>
      </c>
      <c r="AC120" s="126">
        <f>IF($D120="","",IF($AD120=0,0,IF(COUNTIFS($D$4:$D120,$D120,$B$4:$B120,$B120)&gt;1,0,IF($B120&lt;'Guide &amp; Settings'!$C$50,0,IF(($B120-$AD120)/7-'Guide &amp; Settings'!$C$48&gt;=0,(INT(($B120-$AD120)/7-'Guide &amp; Settings'!$C$48)+1)*'Guide &amp; Settings'!$C$49,0)))))</f>
        <v>0</v>
      </c>
      <c r="AD120" s="142">
        <f t="shared" si="37"/>
        <v>46175</v>
      </c>
      <c r="AE120">
        <f t="shared" si="38"/>
        <v>1</v>
      </c>
      <c r="AF120">
        <f t="shared" si="39"/>
        <v>0</v>
      </c>
    </row>
    <row r="121" spans="1:32" ht="15" customHeight="1" x14ac:dyDescent="0.2">
      <c r="A121" s="117">
        <v>55</v>
      </c>
      <c r="B121" s="118">
        <v>46177</v>
      </c>
      <c r="C121" s="119" t="s">
        <v>45</v>
      </c>
      <c r="D121" s="119" t="s">
        <v>25</v>
      </c>
      <c r="E121" s="117" t="s">
        <v>370</v>
      </c>
      <c r="F121" s="120">
        <f t="shared" si="20"/>
        <v>2</v>
      </c>
      <c r="G121" s="121" t="str">
        <f t="shared" si="21"/>
        <v>Oscar</v>
      </c>
      <c r="H121" s="122">
        <f>IF($D121="",0,IFERROR(LOOKUP(2,1/(($D$3:D120=$D121)*($A$3:A120&lt;$A121)),$N$3:N120),'Guide &amp; Settings'!$C$41))</f>
        <v>970.3241356297865</v>
      </c>
      <c r="I121" s="123">
        <f t="shared" si="22"/>
        <v>0.44444444444444448</v>
      </c>
      <c r="J121" s="124">
        <f>IF($D121="",0,IF($F121&lt;2,0,IF($E121="Win",('Guide &amp; Settings'!$C$42/(($F121-1)*COUNTIFS($A$4:$A$1510,$A121,$E$4:$E$1510,"Win")))*SUMIFS($X$4:$X$1510,$A$4:$A$1510,$A121,$E$4:$E$1510,"Loss"),-('Guide &amp; Settings'!$C$42/($F121-1))*$X121)))</f>
        <v>17.397641255039755</v>
      </c>
      <c r="K121" s="124">
        <f>IF($D121="",0,'Guide &amp; Settings'!$C$43*(IF($E121="Win",1,0)-$I121))</f>
        <v>6.666666666666667</v>
      </c>
      <c r="L121" s="125">
        <f>IF($D121="",0,'Guide &amp; Settings'!$C$44*IF($F121&gt;=3,$F121,0))</f>
        <v>0</v>
      </c>
      <c r="M121" s="124">
        <f t="shared" si="23"/>
        <v>24.064307921706423</v>
      </c>
      <c r="N121" s="122">
        <f t="shared" si="24"/>
        <v>994.38844355149297</v>
      </c>
      <c r="O121" s="121" t="str">
        <f t="shared" si="25"/>
        <v>OK</v>
      </c>
      <c r="P121">
        <f t="shared" si="26"/>
        <v>970.3241356297865</v>
      </c>
      <c r="Q121">
        <f t="shared" si="27"/>
        <v>0.5</v>
      </c>
      <c r="R121">
        <f t="shared" si="28"/>
        <v>0.4</v>
      </c>
      <c r="S121">
        <f t="shared" si="29"/>
        <v>0.9</v>
      </c>
      <c r="T121" s="89">
        <f t="shared" si="30"/>
        <v>3</v>
      </c>
      <c r="U121" s="126">
        <f>IF($D121="",0,IFERROR(LOOKUP(2,1/(($D$3:D120=$D121)*($C$3:C120=$C121)*($A$3:A120&lt;$A121)),$AB$3:AB120),1000))</f>
        <v>988.25286636638907</v>
      </c>
      <c r="V121" s="126">
        <f t="shared" si="31"/>
        <v>977.04740965601252</v>
      </c>
      <c r="W121">
        <f t="shared" si="32"/>
        <v>977.04740965601252</v>
      </c>
      <c r="X121">
        <f t="shared" si="33"/>
        <v>0.5</v>
      </c>
      <c r="Y121">
        <f t="shared" si="34"/>
        <v>988.25286636638907</v>
      </c>
      <c r="Z121">
        <f t="shared" si="35"/>
        <v>0.5</v>
      </c>
      <c r="AA121">
        <f>IF($D121="",0,IF($F121&lt;2,0,IF($E121="Win",('Guide &amp; Settings'!$C$42/(($F121-1)*COUNTIFS($A$4:$A$1510,$A121,$E$4:$E$1510,"Win")))*SUMIFS($Z$4:$Z$1510,$A$4:$A$1510,$A121,$E$4:$E$1510,"Loss"),-('Guide &amp; Settings'!$C$42/($F121-1))*$Z121)))</f>
        <v>16.540769445614668</v>
      </c>
      <c r="AB121" s="126">
        <f t="shared" si="36"/>
        <v>1004.7936358120037</v>
      </c>
      <c r="AC121" s="126">
        <f>IF($D121="","",IF($AD121=0,0,IF(COUNTIFS($D$4:$D121,$D121,$B$4:$B121,$B121)&gt;1,0,IF($B121&lt;'Guide &amp; Settings'!$C$50,0,IF(($B121-$AD121)/7-'Guide &amp; Settings'!$C$48&gt;=0,(INT(($B121-$AD121)/7-'Guide &amp; Settings'!$C$48)+1)*'Guide &amp; Settings'!$C$49,0)))))</f>
        <v>0</v>
      </c>
      <c r="AD121" s="142">
        <f t="shared" si="37"/>
        <v>46176</v>
      </c>
      <c r="AE121">
        <f t="shared" si="38"/>
        <v>1</v>
      </c>
      <c r="AF121">
        <f t="shared" si="39"/>
        <v>0</v>
      </c>
    </row>
    <row r="122" spans="1:32" ht="15" customHeight="1" x14ac:dyDescent="0.2">
      <c r="A122" s="117">
        <v>56</v>
      </c>
      <c r="B122" s="118">
        <v>46188</v>
      </c>
      <c r="C122" s="119" t="s">
        <v>49</v>
      </c>
      <c r="D122" s="119" t="s">
        <v>20</v>
      </c>
      <c r="E122" s="117" t="s">
        <v>370</v>
      </c>
      <c r="F122" s="120">
        <f t="shared" si="20"/>
        <v>2</v>
      </c>
      <c r="G122" s="121" t="str">
        <f t="shared" si="21"/>
        <v>Shawn</v>
      </c>
      <c r="H122" s="122">
        <f>IF($D122="",0,IFERROR(LOOKUP(2,1/(($D$3:D121=$D122)*($A$3:A121&lt;$A122)),$N$3:N121),'Guide &amp; Settings'!$C$41))</f>
        <v>983.41004473327087</v>
      </c>
      <c r="I122" s="123">
        <f t="shared" si="22"/>
        <v>0.5</v>
      </c>
      <c r="J122" s="124">
        <f>IF($D122="",0,IF($F122&lt;2,0,IF($E122="Win",('Guide &amp; Settings'!$C$42/(($F122-1)*COUNTIFS($A$4:$A$1510,$A122,$E$4:$E$1510,"Win")))*SUMIFS($X$4:$X$1510,$A$4:$A$1510,$A122,$E$4:$E$1510,"Loss"),-('Guide &amp; Settings'!$C$42/($F122-1))*$X122)))</f>
        <v>23.182698805427563</v>
      </c>
      <c r="K122" s="124">
        <f>IF($D122="",0,'Guide &amp; Settings'!$C$43*(IF($E122="Win",1,0)-$I122))</f>
        <v>6</v>
      </c>
      <c r="L122" s="125">
        <f>IF($D122="",0,'Guide &amp; Settings'!$C$44*IF($F122&gt;=3,$F122,0))</f>
        <v>0</v>
      </c>
      <c r="M122" s="124">
        <f t="shared" si="23"/>
        <v>29.182698805427563</v>
      </c>
      <c r="N122" s="122">
        <f t="shared" si="24"/>
        <v>1012.5927435386984</v>
      </c>
      <c r="O122" s="121" t="str">
        <f t="shared" si="25"/>
        <v>OK</v>
      </c>
      <c r="P122">
        <f t="shared" si="26"/>
        <v>983.41004473327087</v>
      </c>
      <c r="Q122">
        <f t="shared" si="27"/>
        <v>0.5</v>
      </c>
      <c r="R122">
        <f t="shared" si="28"/>
        <v>0.5</v>
      </c>
      <c r="S122">
        <f t="shared" si="29"/>
        <v>1</v>
      </c>
      <c r="T122" s="89">
        <f t="shared" si="30"/>
        <v>0</v>
      </c>
      <c r="U122" s="126">
        <f>IF($D122="",0,IFERROR(LOOKUP(2,1/(($D$3:D121=$D122)*($C$3:C121=$C122)*($A$3:A121&lt;$A122)),$AB$3:AB121),1000))</f>
        <v>1000</v>
      </c>
      <c r="V122" s="126">
        <f t="shared" si="31"/>
        <v>983.41004473327087</v>
      </c>
      <c r="W122">
        <f t="shared" si="32"/>
        <v>983.41004473327087</v>
      </c>
      <c r="X122">
        <f t="shared" si="33"/>
        <v>0.5</v>
      </c>
      <c r="Y122">
        <f t="shared" si="34"/>
        <v>1000</v>
      </c>
      <c r="Z122">
        <f t="shared" si="35"/>
        <v>0.5</v>
      </c>
      <c r="AA122">
        <f>IF($D122="",0,IF($F122&lt;2,0,IF($E122="Win",('Guide &amp; Settings'!$C$42/(($F122-1)*COUNTIFS($A$4:$A$1510,$A122,$E$4:$E$1510,"Win")))*SUMIFS($Z$4:$Z$1510,$A$4:$A$1510,$A122,$E$4:$E$1510,"Loss"),-('Guide &amp; Settings'!$C$42/($F122-1))*$Z122)))</f>
        <v>16</v>
      </c>
      <c r="AB122" s="126">
        <f t="shared" si="36"/>
        <v>1016</v>
      </c>
      <c r="AC122" s="126">
        <f>IF($D122="","",IF($AD122=0,0,IF(COUNTIFS($D$4:$D122,$D122,$B$4:$B122,$B122)&gt;1,0,IF($B122&lt;'Guide &amp; Settings'!$C$50,0,IF(($B122-$AD122)/7-'Guide &amp; Settings'!$C$48&gt;=0,(INT(($B122-$AD122)/7-'Guide &amp; Settings'!$C$48)+1)*'Guide &amp; Settings'!$C$49,0)))))</f>
        <v>0</v>
      </c>
      <c r="AD122" s="142">
        <f t="shared" si="37"/>
        <v>46177</v>
      </c>
      <c r="AE122">
        <f t="shared" si="38"/>
        <v>1</v>
      </c>
      <c r="AF122">
        <f t="shared" si="39"/>
        <v>0</v>
      </c>
    </row>
    <row r="123" spans="1:32" ht="15" customHeight="1" x14ac:dyDescent="0.2">
      <c r="A123" s="117">
        <v>56</v>
      </c>
      <c r="B123" s="118">
        <v>46188</v>
      </c>
      <c r="C123" s="119" t="s">
        <v>49</v>
      </c>
      <c r="D123" s="119" t="s">
        <v>19</v>
      </c>
      <c r="E123" s="117" t="s">
        <v>371</v>
      </c>
      <c r="F123" s="120">
        <f t="shared" si="20"/>
        <v>2</v>
      </c>
      <c r="G123" s="121" t="str">
        <f t="shared" si="21"/>
        <v>Shawn</v>
      </c>
      <c r="H123" s="122">
        <f>IF($D123="",0,IFERROR(LOOKUP(2,1/(($D$3:D122=$D123)*($A$3:A122&lt;$A123)),$N$3:N122),'Guide &amp; Settings'!$C$41))</f>
        <v>1151.3413713243715</v>
      </c>
      <c r="I123" s="123">
        <f t="shared" si="22"/>
        <v>0.5</v>
      </c>
      <c r="J123" s="124">
        <f>IF($D123="",0,IF($F123&lt;2,0,IF($E123="Win",('Guide &amp; Settings'!$C$42/(($F123-1)*COUNTIFS($A$4:$A$1510,$A123,$E$4:$E$1510,"Win")))*SUMIFS($X$4:$X$1510,$A$4:$A$1510,$A123,$E$4:$E$1510,"Loss"),-('Guide &amp; Settings'!$C$42/($F123-1))*$X123)))</f>
        <v>-23.182698805427563</v>
      </c>
      <c r="K123" s="124">
        <f>IF($D123="",0,'Guide &amp; Settings'!$C$43*(IF($E123="Win",1,0)-$I123))</f>
        <v>-6</v>
      </c>
      <c r="L123" s="125">
        <f>IF($D123="",0,'Guide &amp; Settings'!$C$44*IF($F123&gt;=3,$F123,0))</f>
        <v>0</v>
      </c>
      <c r="M123" s="124">
        <f t="shared" si="23"/>
        <v>-29.182698805427563</v>
      </c>
      <c r="N123" s="122">
        <f t="shared" si="24"/>
        <v>1122.1586725189438</v>
      </c>
      <c r="O123" s="121" t="str">
        <f t="shared" si="25"/>
        <v>OK</v>
      </c>
      <c r="P123">
        <f t="shared" si="26"/>
        <v>983.41004473327087</v>
      </c>
      <c r="Q123">
        <f t="shared" si="27"/>
        <v>0.72445933766961135</v>
      </c>
      <c r="R123">
        <f t="shared" si="28"/>
        <v>0.5</v>
      </c>
      <c r="S123">
        <f t="shared" si="29"/>
        <v>1</v>
      </c>
      <c r="T123" s="89">
        <f t="shared" si="30"/>
        <v>0</v>
      </c>
      <c r="U123" s="126">
        <f>IF($D123="",0,IFERROR(LOOKUP(2,1/(($D$3:D122=$D123)*($C$3:C122=$C123)*($A$3:A122&lt;$A123)),$AB$3:AB122),1000))</f>
        <v>1000</v>
      </c>
      <c r="V123" s="126">
        <f t="shared" si="31"/>
        <v>1151.3413713243715</v>
      </c>
      <c r="W123">
        <f t="shared" si="32"/>
        <v>983.41004473327087</v>
      </c>
      <c r="X123">
        <f t="shared" si="33"/>
        <v>0.72445933766961135</v>
      </c>
      <c r="Y123">
        <f t="shared" si="34"/>
        <v>1000</v>
      </c>
      <c r="Z123">
        <f t="shared" si="35"/>
        <v>0.5</v>
      </c>
      <c r="AA123">
        <f>IF($D123="",0,IF($F123&lt;2,0,IF($E123="Win",('Guide &amp; Settings'!$C$42/(($F123-1)*COUNTIFS($A$4:$A$1510,$A123,$E$4:$E$1510,"Win")))*SUMIFS($Z$4:$Z$1510,$A$4:$A$1510,$A123,$E$4:$E$1510,"Loss"),-('Guide &amp; Settings'!$C$42/($F123-1))*$Z123)))</f>
        <v>-16</v>
      </c>
      <c r="AB123" s="126">
        <f t="shared" si="36"/>
        <v>984</v>
      </c>
      <c r="AC123" s="126">
        <f>IF($D123="","",IF($AD123=0,0,IF(COUNTIFS($D$4:$D123,$D123,$B$4:$B123,$B123)&gt;1,0,IF($B123&lt;'Guide &amp; Settings'!$C$50,0,IF(($B123-$AD123)/7-'Guide &amp; Settings'!$C$48&gt;=0,(INT(($B123-$AD123)/7-'Guide &amp; Settings'!$C$48)+1)*'Guide &amp; Settings'!$C$49,0)))))</f>
        <v>0</v>
      </c>
      <c r="AD123" s="142">
        <f t="shared" si="37"/>
        <v>46176</v>
      </c>
      <c r="AE123">
        <f t="shared" si="38"/>
        <v>1</v>
      </c>
      <c r="AF123">
        <f t="shared" si="39"/>
        <v>0</v>
      </c>
    </row>
    <row r="124" spans="1:32" ht="15" customHeight="1" x14ac:dyDescent="0.2">
      <c r="A124" s="117">
        <v>57</v>
      </c>
      <c r="B124" s="118">
        <v>46188</v>
      </c>
      <c r="C124" s="119" t="s">
        <v>49</v>
      </c>
      <c r="D124" s="119" t="s">
        <v>18</v>
      </c>
      <c r="E124" s="117" t="s">
        <v>370</v>
      </c>
      <c r="F124" s="120">
        <f t="shared" si="20"/>
        <v>2</v>
      </c>
      <c r="G124" s="121" t="str">
        <f t="shared" si="21"/>
        <v>David</v>
      </c>
      <c r="H124" s="122">
        <f>IF($D124="",0,IFERROR(LOOKUP(2,1/(($D$3:D123=$D124)*($A$3:A123&lt;$A124)),$N$3:N123),'Guide &amp; Settings'!$C$41))</f>
        <v>941.41068490146347</v>
      </c>
      <c r="I124" s="123">
        <f t="shared" si="22"/>
        <v>0.5</v>
      </c>
      <c r="J124" s="124">
        <f>IF($D124="",0,IF($F124&lt;2,0,IF($E124="Win",('Guide &amp; Settings'!$C$42/(($F124-1)*COUNTIFS($A$4:$A$1510,$A124,$E$4:$E$1510,"Win")))*SUMIFS($X$4:$X$1510,$A$4:$A$1510,$A124,$E$4:$E$1510,"Loss"),-('Guide &amp; Settings'!$C$42/($F124-1))*$X124)))</f>
        <v>21.92995849097127</v>
      </c>
      <c r="K124" s="124">
        <f>IF($D124="",0,'Guide &amp; Settings'!$C$43*(IF($E124="Win",1,0)-$I124))</f>
        <v>6</v>
      </c>
      <c r="L124" s="125">
        <f>IF($D124="",0,'Guide &amp; Settings'!$C$44*IF($F124&gt;=3,$F124,0))</f>
        <v>0</v>
      </c>
      <c r="M124" s="124">
        <f t="shared" si="23"/>
        <v>27.92995849097127</v>
      </c>
      <c r="N124" s="122">
        <f t="shared" si="24"/>
        <v>969.34064339243469</v>
      </c>
      <c r="O124" s="121" t="str">
        <f t="shared" si="25"/>
        <v>OK</v>
      </c>
      <c r="P124">
        <f t="shared" si="26"/>
        <v>941.41068490146347</v>
      </c>
      <c r="Q124">
        <f t="shared" si="27"/>
        <v>0.5</v>
      </c>
      <c r="R124">
        <f t="shared" si="28"/>
        <v>0.5</v>
      </c>
      <c r="S124">
        <f t="shared" si="29"/>
        <v>1</v>
      </c>
      <c r="T124" s="89">
        <f t="shared" si="30"/>
        <v>0</v>
      </c>
      <c r="U124" s="126">
        <f>IF($D124="",0,IFERROR(LOOKUP(2,1/(($D$3:D123=$D124)*($C$3:C123=$C124)*($A$3:A123&lt;$A124)),$AB$3:AB123),1000))</f>
        <v>1000</v>
      </c>
      <c r="V124" s="126">
        <f t="shared" si="31"/>
        <v>941.41068490146347</v>
      </c>
      <c r="W124">
        <f t="shared" si="32"/>
        <v>941.41068490146347</v>
      </c>
      <c r="X124">
        <f t="shared" si="33"/>
        <v>0.5</v>
      </c>
      <c r="Y124">
        <f t="shared" si="34"/>
        <v>1000</v>
      </c>
      <c r="Z124">
        <f t="shared" si="35"/>
        <v>0.5</v>
      </c>
      <c r="AA124">
        <f>IF($D124="",0,IF($F124&lt;2,0,IF($E124="Win",('Guide &amp; Settings'!$C$42/(($F124-1)*COUNTIFS($A$4:$A$1510,$A124,$E$4:$E$1510,"Win")))*SUMIFS($Z$4:$Z$1510,$A$4:$A$1510,$A124,$E$4:$E$1510,"Loss"),-('Guide &amp; Settings'!$C$42/($F124-1))*$Z124)))</f>
        <v>16</v>
      </c>
      <c r="AB124" s="126">
        <f t="shared" si="36"/>
        <v>1016</v>
      </c>
      <c r="AC124" s="126">
        <f>IF($D124="","",IF($AD124=0,0,IF(COUNTIFS($D$4:$D124,$D124,$B$4:$B124,$B124)&gt;1,0,IF($B124&lt;'Guide &amp; Settings'!$C$50,0,IF(($B124-$AD124)/7-'Guide &amp; Settings'!$C$48&gt;=0,(INT(($B124-$AD124)/7-'Guide &amp; Settings'!$C$48)+1)*'Guide &amp; Settings'!$C$49,0)))))</f>
        <v>0</v>
      </c>
      <c r="AD124" s="142">
        <f t="shared" si="37"/>
        <v>46175</v>
      </c>
      <c r="AE124">
        <f t="shared" si="38"/>
        <v>1</v>
      </c>
      <c r="AF124">
        <f t="shared" si="39"/>
        <v>0</v>
      </c>
    </row>
    <row r="125" spans="1:32" ht="15" customHeight="1" x14ac:dyDescent="0.2">
      <c r="A125" s="117">
        <v>57</v>
      </c>
      <c r="B125" s="118">
        <v>46188</v>
      </c>
      <c r="C125" s="119" t="s">
        <v>49</v>
      </c>
      <c r="D125" s="119" t="s">
        <v>15</v>
      </c>
      <c r="E125" s="117" t="s">
        <v>371</v>
      </c>
      <c r="F125" s="120">
        <f t="shared" si="20"/>
        <v>2</v>
      </c>
      <c r="G125" s="121" t="str">
        <f t="shared" si="21"/>
        <v>David</v>
      </c>
      <c r="H125" s="122">
        <f>IF($D125="",0,IFERROR(LOOKUP(2,1/(($D$3:D124=$D125)*($A$3:A124&lt;$A125)),$N$3:N124),'Guide &amp; Settings'!$C$41))</f>
        <v>1076.6133044665753</v>
      </c>
      <c r="I125" s="123">
        <f t="shared" si="22"/>
        <v>0.5</v>
      </c>
      <c r="J125" s="124">
        <f>IF($D125="",0,IF($F125&lt;2,0,IF($E125="Win",('Guide &amp; Settings'!$C$42/(($F125-1)*COUNTIFS($A$4:$A$1510,$A125,$E$4:$E$1510,"Win")))*SUMIFS($X$4:$X$1510,$A$4:$A$1510,$A125,$E$4:$E$1510,"Loss"),-('Guide &amp; Settings'!$C$42/($F125-1))*$X125)))</f>
        <v>-21.92995849097127</v>
      </c>
      <c r="K125" s="124">
        <f>IF($D125="",0,'Guide &amp; Settings'!$C$43*(IF($E125="Win",1,0)-$I125))</f>
        <v>-6</v>
      </c>
      <c r="L125" s="125">
        <f>IF($D125="",0,'Guide &amp; Settings'!$C$44*IF($F125&gt;=3,$F125,0))</f>
        <v>0</v>
      </c>
      <c r="M125" s="124">
        <f t="shared" si="23"/>
        <v>-27.92995849097127</v>
      </c>
      <c r="N125" s="122">
        <f t="shared" si="24"/>
        <v>1048.683345975604</v>
      </c>
      <c r="O125" s="121" t="str">
        <f t="shared" si="25"/>
        <v>OK</v>
      </c>
      <c r="P125">
        <f t="shared" si="26"/>
        <v>941.41068490146347</v>
      </c>
      <c r="Q125">
        <f t="shared" si="27"/>
        <v>0.68531120284285219</v>
      </c>
      <c r="R125">
        <f t="shared" si="28"/>
        <v>0.5</v>
      </c>
      <c r="S125">
        <f t="shared" si="29"/>
        <v>1</v>
      </c>
      <c r="T125" s="89">
        <f t="shared" si="30"/>
        <v>0</v>
      </c>
      <c r="U125" s="126">
        <f>IF($D125="",0,IFERROR(LOOKUP(2,1/(($D$3:D124=$D125)*($C$3:C124=$C125)*($A$3:A124&lt;$A125)),$AB$3:AB124),1000))</f>
        <v>1000</v>
      </c>
      <c r="V125" s="126">
        <f t="shared" si="31"/>
        <v>1076.6133044665753</v>
      </c>
      <c r="W125">
        <f t="shared" si="32"/>
        <v>941.41068490146347</v>
      </c>
      <c r="X125">
        <f t="shared" si="33"/>
        <v>0.68531120284285219</v>
      </c>
      <c r="Y125">
        <f t="shared" si="34"/>
        <v>1000</v>
      </c>
      <c r="Z125">
        <f t="shared" si="35"/>
        <v>0.5</v>
      </c>
      <c r="AA125">
        <f>IF($D125="",0,IF($F125&lt;2,0,IF($E125="Win",('Guide &amp; Settings'!$C$42/(($F125-1)*COUNTIFS($A$4:$A$1510,$A125,$E$4:$E$1510,"Win")))*SUMIFS($Z$4:$Z$1510,$A$4:$A$1510,$A125,$E$4:$E$1510,"Loss"),-('Guide &amp; Settings'!$C$42/($F125-1))*$Z125)))</f>
        <v>-16</v>
      </c>
      <c r="AB125" s="126">
        <f t="shared" si="36"/>
        <v>984</v>
      </c>
      <c r="AC125" s="126">
        <f>IF($D125="","",IF($AD125=0,0,IF(COUNTIFS($D$4:$D125,$D125,$B$4:$B125,$B125)&gt;1,0,IF($B125&lt;'Guide &amp; Settings'!$C$50,0,IF(($B125-$AD125)/7-'Guide &amp; Settings'!$C$48&gt;=0,(INT(($B125-$AD125)/7-'Guide &amp; Settings'!$C$48)+1)*'Guide &amp; Settings'!$C$49,0)))))</f>
        <v>0</v>
      </c>
      <c r="AD125" s="142">
        <f t="shared" si="37"/>
        <v>46175</v>
      </c>
      <c r="AE125">
        <f t="shared" si="38"/>
        <v>1</v>
      </c>
      <c r="AF125">
        <f t="shared" si="39"/>
        <v>0</v>
      </c>
    </row>
    <row r="126" spans="1:32" ht="15" customHeight="1" x14ac:dyDescent="0.2">
      <c r="A126" s="117">
        <v>58</v>
      </c>
      <c r="B126" s="118">
        <v>46188</v>
      </c>
      <c r="C126" s="119" t="s">
        <v>49</v>
      </c>
      <c r="D126" s="119" t="s">
        <v>23</v>
      </c>
      <c r="E126" s="117" t="s">
        <v>370</v>
      </c>
      <c r="F126" s="120">
        <f t="shared" si="20"/>
        <v>2</v>
      </c>
      <c r="G126" s="121" t="str">
        <f t="shared" si="21"/>
        <v>Dean B</v>
      </c>
      <c r="H126" s="122">
        <f>IF($D126="",0,IFERROR(LOOKUP(2,1/(($D$3:D125=$D126)*($A$3:A125&lt;$A126)),$N$3:N125),'Guide &amp; Settings'!$C$41))</f>
        <v>1055.5412351724362</v>
      </c>
      <c r="I126" s="123">
        <f t="shared" si="22"/>
        <v>0.5</v>
      </c>
      <c r="J126" s="124">
        <f>IF($D126="",0,IF($F126&lt;2,0,IF($E126="Win",('Guide &amp; Settings'!$C$42/(($F126-1)*COUNTIFS($A$4:$A$1510,$A126,$E$4:$E$1510,"Win")))*SUMIFS($X$4:$X$1510,$A$4:$A$1510,$A126,$E$4:$E$1510,"Loss"),-('Guide &amp; Settings'!$C$42/($F126-1))*$X126)))</f>
        <v>12.797538799086139</v>
      </c>
      <c r="K126" s="124">
        <f>IF($D126="",0,'Guide &amp; Settings'!$C$43*(IF($E126="Win",1,0)-$I126))</f>
        <v>6</v>
      </c>
      <c r="L126" s="125">
        <f>IF($D126="",0,'Guide &amp; Settings'!$C$44*IF($F126&gt;=3,$F126,0))</f>
        <v>0</v>
      </c>
      <c r="M126" s="124">
        <f t="shared" si="23"/>
        <v>18.797538799086141</v>
      </c>
      <c r="N126" s="122">
        <f t="shared" si="24"/>
        <v>1074.3387739715224</v>
      </c>
      <c r="O126" s="121" t="str">
        <f t="shared" si="25"/>
        <v>OK</v>
      </c>
      <c r="P126">
        <f t="shared" si="26"/>
        <v>1055.5412351724362</v>
      </c>
      <c r="Q126">
        <f t="shared" si="27"/>
        <v>0.5</v>
      </c>
      <c r="R126">
        <f t="shared" si="28"/>
        <v>0.5</v>
      </c>
      <c r="S126">
        <f t="shared" si="29"/>
        <v>1</v>
      </c>
      <c r="T126" s="89">
        <f t="shared" si="30"/>
        <v>0</v>
      </c>
      <c r="U126" s="126">
        <f>IF($D126="",0,IFERROR(LOOKUP(2,1/(($D$3:D125=$D126)*($C$3:C125=$C126)*($A$3:A125&lt;$A126)),$AB$3:AB125),1000))</f>
        <v>1000</v>
      </c>
      <c r="V126" s="126">
        <f t="shared" si="31"/>
        <v>1055.5412351724362</v>
      </c>
      <c r="W126">
        <f t="shared" si="32"/>
        <v>1055.5412351724362</v>
      </c>
      <c r="X126">
        <f t="shared" si="33"/>
        <v>0.5</v>
      </c>
      <c r="Y126">
        <f t="shared" si="34"/>
        <v>1000</v>
      </c>
      <c r="Z126">
        <f t="shared" si="35"/>
        <v>0.5</v>
      </c>
      <c r="AA126">
        <f>IF($D126="",0,IF($F126&lt;2,0,IF($E126="Win",('Guide &amp; Settings'!$C$42/(($F126-1)*COUNTIFS($A$4:$A$1510,$A126,$E$4:$E$1510,"Win")))*SUMIFS($Z$4:$Z$1510,$A$4:$A$1510,$A126,$E$4:$E$1510,"Loss"),-('Guide &amp; Settings'!$C$42/($F126-1))*$Z126)))</f>
        <v>16</v>
      </c>
      <c r="AB126" s="126">
        <f t="shared" si="36"/>
        <v>1016</v>
      </c>
      <c r="AC126" s="126">
        <f>IF($D126="","",IF($AD126=0,0,IF(COUNTIFS($D$4:$D126,$D126,$B$4:$B126,$B126)&gt;1,0,IF($B126&lt;'Guide &amp; Settings'!$C$50,0,IF(($B126-$AD126)/7-'Guide &amp; Settings'!$C$48&gt;=0,(INT(($B126-$AD126)/7-'Guide &amp; Settings'!$C$48)+1)*'Guide &amp; Settings'!$C$49,0)))))</f>
        <v>0</v>
      </c>
      <c r="AD126" s="142">
        <f t="shared" si="37"/>
        <v>46177</v>
      </c>
      <c r="AE126">
        <f t="shared" si="38"/>
        <v>1</v>
      </c>
      <c r="AF126">
        <f t="shared" si="39"/>
        <v>0</v>
      </c>
    </row>
    <row r="127" spans="1:32" ht="15" customHeight="1" x14ac:dyDescent="0.2">
      <c r="A127" s="117">
        <v>58</v>
      </c>
      <c r="B127" s="118">
        <v>46188</v>
      </c>
      <c r="C127" s="119" t="s">
        <v>49</v>
      </c>
      <c r="D127" s="119" t="s">
        <v>22</v>
      </c>
      <c r="E127" s="117" t="s">
        <v>371</v>
      </c>
      <c r="F127" s="120">
        <f t="shared" si="20"/>
        <v>2</v>
      </c>
      <c r="G127" s="121" t="str">
        <f t="shared" si="21"/>
        <v>Dean B</v>
      </c>
      <c r="H127" s="122">
        <f>IF($D127="",0,IFERROR(LOOKUP(2,1/(($D$3:D126=$D127)*($A$3:A126&lt;$A127)),$N$3:N126),'Guide &amp; Settings'!$C$41))</f>
        <v>985.04905862097314</v>
      </c>
      <c r="I127" s="123">
        <f t="shared" si="22"/>
        <v>0.5</v>
      </c>
      <c r="J127" s="124">
        <f>IF($D127="",0,IF($F127&lt;2,0,IF($E127="Win",('Guide &amp; Settings'!$C$42/(($F127-1)*COUNTIFS($A$4:$A$1510,$A127,$E$4:$E$1510,"Win")))*SUMIFS($X$4:$X$1510,$A$4:$A$1510,$A127,$E$4:$E$1510,"Loss"),-('Guide &amp; Settings'!$C$42/($F127-1))*$X127)))</f>
        <v>-12.797538799086139</v>
      </c>
      <c r="K127" s="124">
        <f>IF($D127="",0,'Guide &amp; Settings'!$C$43*(IF($E127="Win",1,0)-$I127))</f>
        <v>-6</v>
      </c>
      <c r="L127" s="125">
        <f>IF($D127="",0,'Guide &amp; Settings'!$C$44*IF($F127&gt;=3,$F127,0))</f>
        <v>0</v>
      </c>
      <c r="M127" s="124">
        <f t="shared" si="23"/>
        <v>-18.797538799086141</v>
      </c>
      <c r="N127" s="122">
        <f t="shared" si="24"/>
        <v>966.25151982188697</v>
      </c>
      <c r="O127" s="121" t="str">
        <f t="shared" si="25"/>
        <v>OK</v>
      </c>
      <c r="P127">
        <f t="shared" si="26"/>
        <v>1055.5412351724362</v>
      </c>
      <c r="Q127">
        <f t="shared" si="27"/>
        <v>0.39992308747144184</v>
      </c>
      <c r="R127">
        <f t="shared" si="28"/>
        <v>0.5</v>
      </c>
      <c r="S127">
        <f t="shared" si="29"/>
        <v>1</v>
      </c>
      <c r="T127" s="89">
        <f t="shared" si="30"/>
        <v>0</v>
      </c>
      <c r="U127" s="126">
        <f>IF($D127="",0,IFERROR(LOOKUP(2,1/(($D$3:D126=$D127)*($C$3:C126=$C127)*($A$3:A126&lt;$A127)),$AB$3:AB126),1000))</f>
        <v>1000</v>
      </c>
      <c r="V127" s="126">
        <f t="shared" si="31"/>
        <v>985.04905862097314</v>
      </c>
      <c r="W127">
        <f t="shared" si="32"/>
        <v>1055.5412351724362</v>
      </c>
      <c r="X127">
        <f t="shared" si="33"/>
        <v>0.39992308747144184</v>
      </c>
      <c r="Y127">
        <f t="shared" si="34"/>
        <v>1000</v>
      </c>
      <c r="Z127">
        <f t="shared" si="35"/>
        <v>0.5</v>
      </c>
      <c r="AA127">
        <f>IF($D127="",0,IF($F127&lt;2,0,IF($E127="Win",('Guide &amp; Settings'!$C$42/(($F127-1)*COUNTIFS($A$4:$A$1510,$A127,$E$4:$E$1510,"Win")))*SUMIFS($Z$4:$Z$1510,$A$4:$A$1510,$A127,$E$4:$E$1510,"Loss"),-('Guide &amp; Settings'!$C$42/($F127-1))*$Z127)))</f>
        <v>-16</v>
      </c>
      <c r="AB127" s="126">
        <f t="shared" si="36"/>
        <v>984</v>
      </c>
      <c r="AC127" s="126">
        <f>IF($D127="","",IF($AD127=0,0,IF(COUNTIFS($D$4:$D127,$D127,$B$4:$B127,$B127)&gt;1,0,IF($B127&lt;'Guide &amp; Settings'!$C$50,0,IF(($B127-$AD127)/7-'Guide &amp; Settings'!$C$48&gt;=0,(INT(($B127-$AD127)/7-'Guide &amp; Settings'!$C$48)+1)*'Guide &amp; Settings'!$C$49,0)))))</f>
        <v>0</v>
      </c>
      <c r="AD127" s="142">
        <f t="shared" si="37"/>
        <v>46176</v>
      </c>
      <c r="AE127">
        <f t="shared" si="38"/>
        <v>1</v>
      </c>
      <c r="AF127">
        <f t="shared" si="39"/>
        <v>0</v>
      </c>
    </row>
    <row r="128" spans="1:32" ht="15" customHeight="1" x14ac:dyDescent="0.2">
      <c r="A128" s="117">
        <v>59</v>
      </c>
      <c r="B128" s="118">
        <v>46188</v>
      </c>
      <c r="C128" s="119" t="s">
        <v>49</v>
      </c>
      <c r="D128" s="119" t="s">
        <v>21</v>
      </c>
      <c r="E128" s="117" t="s">
        <v>370</v>
      </c>
      <c r="F128" s="120">
        <f t="shared" si="20"/>
        <v>2</v>
      </c>
      <c r="G128" s="121" t="str">
        <f t="shared" si="21"/>
        <v>Simon</v>
      </c>
      <c r="H128" s="122">
        <f>IF($D128="",0,IFERROR(LOOKUP(2,1/(($D$3:D127=$D128)*($A$3:A127&lt;$A128)),$N$3:N127),'Guide &amp; Settings'!$C$41))</f>
        <v>1004.2142857142857</v>
      </c>
      <c r="I128" s="123">
        <f t="shared" si="22"/>
        <v>0.60000000000000009</v>
      </c>
      <c r="J128" s="124">
        <f>IF($D128="",0,IF($F128&lt;2,0,IF($E128="Win",('Guide &amp; Settings'!$C$42/(($F128-1)*COUNTIFS($A$4:$A$1510,$A128,$E$4:$E$1510,"Win")))*SUMIFS($X$4:$X$1510,$A$4:$A$1510,$A128,$E$4:$E$1510,"Loss"),-('Guide &amp; Settings'!$C$42/($F128-1))*$X128)))</f>
        <v>17.546569026305754</v>
      </c>
      <c r="K128" s="124">
        <f>IF($D128="",0,'Guide &amp; Settings'!$C$43*(IF($E128="Win",1,0)-$I128))</f>
        <v>4.7999999999999989</v>
      </c>
      <c r="L128" s="125">
        <f>IF($D128="",0,'Guide &amp; Settings'!$C$44*IF($F128&gt;=3,$F128,0))</f>
        <v>0</v>
      </c>
      <c r="M128" s="124">
        <f t="shared" si="23"/>
        <v>22.346569026305751</v>
      </c>
      <c r="N128" s="122">
        <f t="shared" si="24"/>
        <v>1026.5608547405914</v>
      </c>
      <c r="O128" s="121" t="str">
        <f t="shared" si="25"/>
        <v>OK</v>
      </c>
      <c r="P128">
        <f t="shared" si="26"/>
        <v>1004.2142857142857</v>
      </c>
      <c r="Q128">
        <f t="shared" si="27"/>
        <v>0.5</v>
      </c>
      <c r="R128">
        <f t="shared" si="28"/>
        <v>0.5</v>
      </c>
      <c r="S128">
        <f t="shared" si="29"/>
        <v>0.83333333333333326</v>
      </c>
      <c r="T128" s="89">
        <f t="shared" si="30"/>
        <v>0</v>
      </c>
      <c r="U128" s="126">
        <f>IF($D128="",0,IFERROR(LOOKUP(2,1/(($D$3:D127=$D128)*($C$3:C127=$C128)*($A$3:A127&lt;$A128)),$AB$3:AB127),1000))</f>
        <v>1000</v>
      </c>
      <c r="V128" s="126">
        <f t="shared" si="31"/>
        <v>1004.2142857142857</v>
      </c>
      <c r="W128">
        <f t="shared" si="32"/>
        <v>1004.2142857142857</v>
      </c>
      <c r="X128">
        <f t="shared" si="33"/>
        <v>0.5</v>
      </c>
      <c r="Y128">
        <f t="shared" si="34"/>
        <v>1000</v>
      </c>
      <c r="Z128">
        <f t="shared" si="35"/>
        <v>0.5</v>
      </c>
      <c r="AA128">
        <f>IF($D128="",0,IF($F128&lt;2,0,IF($E128="Win",('Guide &amp; Settings'!$C$42/(($F128-1)*COUNTIFS($A$4:$A$1510,$A128,$E$4:$E$1510,"Win")))*SUMIFS($Z$4:$Z$1510,$A$4:$A$1510,$A128,$E$4:$E$1510,"Loss"),-('Guide &amp; Settings'!$C$42/($F128-1))*$Z128)))</f>
        <v>15.263693206478006</v>
      </c>
      <c r="AB128" s="126">
        <f t="shared" si="36"/>
        <v>1015.263693206478</v>
      </c>
      <c r="AC128" s="126">
        <f>IF($D128="","",IF($AD128=0,0,IF(COUNTIFS($D$4:$D128,$D128,$B$4:$B128,$B128)&gt;1,0,IF($B128&lt;'Guide &amp; Settings'!$C$50,0,IF(($B128-$AD128)/7-'Guide &amp; Settings'!$C$48&gt;=0,(INT(($B128-$AD128)/7-'Guide &amp; Settings'!$C$48)+1)*'Guide &amp; Settings'!$C$49,0)))))</f>
        <v>0</v>
      </c>
      <c r="AD128" s="142">
        <f t="shared" si="37"/>
        <v>46175</v>
      </c>
      <c r="AE128">
        <f t="shared" si="38"/>
        <v>1</v>
      </c>
      <c r="AF128">
        <f t="shared" si="39"/>
        <v>0</v>
      </c>
    </row>
    <row r="129" spans="1:32" ht="15" customHeight="1" x14ac:dyDescent="0.2">
      <c r="A129" s="117">
        <v>59</v>
      </c>
      <c r="B129" s="118">
        <v>46188</v>
      </c>
      <c r="C129" s="119" t="s">
        <v>49</v>
      </c>
      <c r="D129" s="119" t="s">
        <v>15</v>
      </c>
      <c r="E129" s="117" t="s">
        <v>371</v>
      </c>
      <c r="F129" s="120">
        <f t="shared" si="20"/>
        <v>2</v>
      </c>
      <c r="G129" s="121" t="str">
        <f t="shared" si="21"/>
        <v>Simon</v>
      </c>
      <c r="H129" s="122">
        <f>IF($D129="",0,IFERROR(LOOKUP(2,1/(($D$3:D128=$D129)*($A$3:A128&lt;$A129)),$N$3:N128),'Guide &amp; Settings'!$C$41))</f>
        <v>1048.683345975604</v>
      </c>
      <c r="I129" s="123">
        <f t="shared" si="22"/>
        <v>0.4</v>
      </c>
      <c r="J129" s="124">
        <f>IF($D129="",0,IF($F129&lt;2,0,IF($E129="Win",('Guide &amp; Settings'!$C$42/(($F129-1)*COUNTIFS($A$4:$A$1510,$A129,$E$4:$E$1510,"Win")))*SUMIFS($X$4:$X$1510,$A$4:$A$1510,$A129,$E$4:$E$1510,"Loss"),-('Guide &amp; Settings'!$C$42/($F129-1))*$X129)))</f>
        <v>-17.546569026305754</v>
      </c>
      <c r="K129" s="124">
        <f>IF($D129="",0,'Guide &amp; Settings'!$C$43*(IF($E129="Win",1,0)-$I129))</f>
        <v>-4.8000000000000007</v>
      </c>
      <c r="L129" s="125">
        <f>IF($D129="",0,'Guide &amp; Settings'!$C$44*IF($F129&gt;=3,$F129,0))</f>
        <v>0</v>
      </c>
      <c r="M129" s="124">
        <f t="shared" si="23"/>
        <v>-22.346569026305755</v>
      </c>
      <c r="N129" s="122">
        <f t="shared" si="24"/>
        <v>1026.3367769492982</v>
      </c>
      <c r="O129" s="121" t="str">
        <f t="shared" si="25"/>
        <v>OK</v>
      </c>
      <c r="P129">
        <f t="shared" si="26"/>
        <v>1004.2142857142857</v>
      </c>
      <c r="Q129">
        <f t="shared" si="27"/>
        <v>0.5636489351062961</v>
      </c>
      <c r="R129">
        <f t="shared" si="28"/>
        <v>0.33333333333333331</v>
      </c>
      <c r="S129">
        <f t="shared" si="29"/>
        <v>0.83333333333333326</v>
      </c>
      <c r="T129" s="89">
        <f t="shared" si="30"/>
        <v>1</v>
      </c>
      <c r="U129" s="126">
        <f>IF($D129="",0,IFERROR(LOOKUP(2,1/(($D$3:D128=$D129)*($C$3:C128=$C129)*($A$3:A128&lt;$A129)),$AB$3:AB128),1000))</f>
        <v>984</v>
      </c>
      <c r="V129" s="126">
        <f t="shared" si="31"/>
        <v>1037.9027883130034</v>
      </c>
      <c r="W129">
        <f t="shared" si="32"/>
        <v>1004.2142857142857</v>
      </c>
      <c r="X129">
        <f t="shared" si="33"/>
        <v>0.54833028207205481</v>
      </c>
      <c r="Y129">
        <f t="shared" si="34"/>
        <v>1000</v>
      </c>
      <c r="Z129">
        <f t="shared" si="35"/>
        <v>0.47699041270243769</v>
      </c>
      <c r="AA129">
        <f>IF($D129="",0,IF($F129&lt;2,0,IF($E129="Win",('Guide &amp; Settings'!$C$42/(($F129-1)*COUNTIFS($A$4:$A$1510,$A129,$E$4:$E$1510,"Win")))*SUMIFS($Z$4:$Z$1510,$A$4:$A$1510,$A129,$E$4:$E$1510,"Loss"),-('Guide &amp; Settings'!$C$42/($F129-1))*$Z129)))</f>
        <v>-15.263693206478006</v>
      </c>
      <c r="AB129" s="126">
        <f t="shared" si="36"/>
        <v>968.73630679352198</v>
      </c>
      <c r="AC129" s="126">
        <f>IF($D129="","",IF($AD129=0,0,IF(COUNTIFS($D$4:$D129,$D129,$B$4:$B129,$B129)&gt;1,0,IF($B129&lt;'Guide &amp; Settings'!$C$50,0,IF(($B129-$AD129)/7-'Guide &amp; Settings'!$C$48&gt;=0,(INT(($B129-$AD129)/7-'Guide &amp; Settings'!$C$48)+1)*'Guide &amp; Settings'!$C$49,0)))))</f>
        <v>0</v>
      </c>
      <c r="AD129" s="142">
        <f t="shared" si="37"/>
        <v>46175</v>
      </c>
      <c r="AE129">
        <f t="shared" si="38"/>
        <v>1</v>
      </c>
      <c r="AF129">
        <f t="shared" si="39"/>
        <v>0</v>
      </c>
    </row>
    <row r="130" spans="1:32" ht="15" customHeight="1" x14ac:dyDescent="0.2">
      <c r="A130" s="117">
        <v>60</v>
      </c>
      <c r="B130" s="118">
        <v>46188</v>
      </c>
      <c r="C130" s="119" t="s">
        <v>49</v>
      </c>
      <c r="D130" s="119" t="s">
        <v>16</v>
      </c>
      <c r="E130" s="117" t="s">
        <v>370</v>
      </c>
      <c r="F130" s="120">
        <f t="shared" si="20"/>
        <v>2</v>
      </c>
      <c r="G130" s="121" t="str">
        <f t="shared" si="21"/>
        <v>Beau</v>
      </c>
      <c r="H130" s="122">
        <f>IF($D130="",0,IFERROR(LOOKUP(2,1/(($D$3:D129=$D130)*($A$3:A129&lt;$A130)),$N$3:N129),'Guide &amp; Settings'!$C$41))</f>
        <v>975.56678663796106</v>
      </c>
      <c r="I130" s="123">
        <f t="shared" si="22"/>
        <v>0.5</v>
      </c>
      <c r="J130" s="124">
        <f>IF($D130="",0,IF($F130&lt;2,0,IF($E130="Win",('Guide &amp; Settings'!$C$42/(($F130-1)*COUNTIFS($A$4:$A$1510,$A130,$E$4:$E$1510,"Win")))*SUMIFS($X$4:$X$1510,$A$4:$A$1510,$A130,$E$4:$E$1510,"Loss"),-('Guide &amp; Settings'!$C$42/($F130-1))*$X130)))</f>
        <v>13.213025694478313</v>
      </c>
      <c r="K130" s="124">
        <f>IF($D130="",0,'Guide &amp; Settings'!$C$43*(IF($E130="Win",1,0)-$I130))</f>
        <v>6</v>
      </c>
      <c r="L130" s="125">
        <f>IF($D130="",0,'Guide &amp; Settings'!$C$44*IF($F130&gt;=3,$F130,0))</f>
        <v>0</v>
      </c>
      <c r="M130" s="124">
        <f t="shared" si="23"/>
        <v>19.213025694478311</v>
      </c>
      <c r="N130" s="122">
        <f t="shared" si="24"/>
        <v>994.77981233243941</v>
      </c>
      <c r="O130" s="121" t="str">
        <f t="shared" si="25"/>
        <v>OK</v>
      </c>
      <c r="P130">
        <f t="shared" si="26"/>
        <v>975.56678663796106</v>
      </c>
      <c r="Q130">
        <f t="shared" si="27"/>
        <v>0.5</v>
      </c>
      <c r="R130">
        <f t="shared" si="28"/>
        <v>0.5</v>
      </c>
      <c r="S130">
        <f t="shared" si="29"/>
        <v>1</v>
      </c>
      <c r="T130" s="89">
        <f t="shared" si="30"/>
        <v>0</v>
      </c>
      <c r="U130" s="126">
        <f>IF($D130="",0,IFERROR(LOOKUP(2,1/(($D$3:D129=$D130)*($C$3:C129=$C130)*($A$3:A129&lt;$A130)),$AB$3:AB129),1000))</f>
        <v>1000</v>
      </c>
      <c r="V130" s="126">
        <f t="shared" si="31"/>
        <v>975.56678663796106</v>
      </c>
      <c r="W130">
        <f t="shared" si="32"/>
        <v>975.56678663796106</v>
      </c>
      <c r="X130">
        <f t="shared" si="33"/>
        <v>0.5</v>
      </c>
      <c r="Y130">
        <f t="shared" si="34"/>
        <v>1000</v>
      </c>
      <c r="Z130">
        <f t="shared" si="35"/>
        <v>0.5</v>
      </c>
      <c r="AA130">
        <f>IF($D130="",0,IF($F130&lt;2,0,IF($E130="Win",('Guide &amp; Settings'!$C$42/(($F130-1)*COUNTIFS($A$4:$A$1510,$A130,$E$4:$E$1510,"Win")))*SUMIFS($Z$4:$Z$1510,$A$4:$A$1510,$A130,$E$4:$E$1510,"Loss"),-('Guide &amp; Settings'!$C$42/($F130-1))*$Z130)))</f>
        <v>16</v>
      </c>
      <c r="AB130" s="126">
        <f t="shared" si="36"/>
        <v>1016</v>
      </c>
      <c r="AC130" s="126">
        <f>IF($D130="","",IF($AD130=0,0,IF(COUNTIFS($D$4:$D130,$D130,$B$4:$B130,$B130)&gt;1,0,IF($B130&lt;'Guide &amp; Settings'!$C$50,0,IF(($B130-$AD130)/7-'Guide &amp; Settings'!$C$48&gt;=0,(INT(($B130-$AD130)/7-'Guide &amp; Settings'!$C$48)+1)*'Guide &amp; Settings'!$C$49,0)))))</f>
        <v>0</v>
      </c>
      <c r="AD130" s="142">
        <f t="shared" si="37"/>
        <v>46177</v>
      </c>
      <c r="AE130">
        <f t="shared" si="38"/>
        <v>1</v>
      </c>
      <c r="AF130">
        <f t="shared" si="39"/>
        <v>0</v>
      </c>
    </row>
    <row r="131" spans="1:32" ht="15" customHeight="1" x14ac:dyDescent="0.2">
      <c r="A131" s="117">
        <v>60</v>
      </c>
      <c r="B131" s="118">
        <v>46188</v>
      </c>
      <c r="C131" s="119" t="s">
        <v>49</v>
      </c>
      <c r="D131" s="119" t="s">
        <v>24</v>
      </c>
      <c r="E131" s="117" t="s">
        <v>371</v>
      </c>
      <c r="F131" s="120">
        <f t="shared" si="20"/>
        <v>2</v>
      </c>
      <c r="G131" s="121" t="str">
        <f t="shared" si="21"/>
        <v>Beau</v>
      </c>
      <c r="H131" s="122">
        <f>IF($D131="",0,IFERROR(LOOKUP(2,1/(($D$3:D130=$D131)*($A$3:A130&lt;$A131)),$N$3:N130),'Guide &amp; Settings'!$C$41))</f>
        <v>914.42496189230224</v>
      </c>
      <c r="I131" s="123">
        <f t="shared" si="22"/>
        <v>0.5</v>
      </c>
      <c r="J131" s="124">
        <f>IF($D131="",0,IF($F131&lt;2,0,IF($E131="Win",('Guide &amp; Settings'!$C$42/(($F131-1)*COUNTIFS($A$4:$A$1510,$A131,$E$4:$E$1510,"Win")))*SUMIFS($X$4:$X$1510,$A$4:$A$1510,$A131,$E$4:$E$1510,"Loss"),-('Guide &amp; Settings'!$C$42/($F131-1))*$X131)))</f>
        <v>-13.213025694478313</v>
      </c>
      <c r="K131" s="124">
        <f>IF($D131="",0,'Guide &amp; Settings'!$C$43*(IF($E131="Win",1,0)-$I131))</f>
        <v>-6</v>
      </c>
      <c r="L131" s="125">
        <f>IF($D131="",0,'Guide &amp; Settings'!$C$44*IF($F131&gt;=3,$F131,0))</f>
        <v>0</v>
      </c>
      <c r="M131" s="124">
        <f t="shared" si="23"/>
        <v>-19.213025694478311</v>
      </c>
      <c r="N131" s="122">
        <f t="shared" si="24"/>
        <v>895.21193619782389</v>
      </c>
      <c r="O131" s="121" t="str">
        <f t="shared" si="25"/>
        <v>OK</v>
      </c>
      <c r="P131">
        <f t="shared" si="26"/>
        <v>975.56678663796106</v>
      </c>
      <c r="Q131">
        <f t="shared" si="27"/>
        <v>0.41290705295244728</v>
      </c>
      <c r="R131">
        <f t="shared" si="28"/>
        <v>0.5</v>
      </c>
      <c r="S131">
        <f t="shared" si="29"/>
        <v>1</v>
      </c>
      <c r="T131" s="89">
        <f t="shared" si="30"/>
        <v>0</v>
      </c>
      <c r="U131" s="126">
        <f>IF($D131="",0,IFERROR(LOOKUP(2,1/(($D$3:D130=$D131)*($C$3:C130=$C131)*($A$3:A130&lt;$A131)),$AB$3:AB130),1000))</f>
        <v>1000</v>
      </c>
      <c r="V131" s="126">
        <f t="shared" si="31"/>
        <v>914.42496189230224</v>
      </c>
      <c r="W131">
        <f t="shared" si="32"/>
        <v>975.56678663796106</v>
      </c>
      <c r="X131">
        <f t="shared" si="33"/>
        <v>0.41290705295244728</v>
      </c>
      <c r="Y131">
        <f t="shared" si="34"/>
        <v>1000</v>
      </c>
      <c r="Z131">
        <f t="shared" si="35"/>
        <v>0.5</v>
      </c>
      <c r="AA131">
        <f>IF($D131="",0,IF($F131&lt;2,0,IF($E131="Win",('Guide &amp; Settings'!$C$42/(($F131-1)*COUNTIFS($A$4:$A$1510,$A131,$E$4:$E$1510,"Win")))*SUMIFS($Z$4:$Z$1510,$A$4:$A$1510,$A131,$E$4:$E$1510,"Loss"),-('Guide &amp; Settings'!$C$42/($F131-1))*$Z131)))</f>
        <v>-16</v>
      </c>
      <c r="AB131" s="126">
        <f t="shared" si="36"/>
        <v>984</v>
      </c>
      <c r="AC131" s="126">
        <f>IF($D131="","",IF($AD131=0,0,IF(COUNTIFS($D$4:$D131,$D131,$B$4:$B131,$B131)&gt;1,0,IF($B131&lt;'Guide &amp; Settings'!$C$50,0,IF(($B131-$AD131)/7-'Guide &amp; Settings'!$C$48&gt;=0,(INT(($B131-$AD131)/7-'Guide &amp; Settings'!$C$48)+1)*'Guide &amp; Settings'!$C$49,0)))))</f>
        <v>0</v>
      </c>
      <c r="AD131" s="142">
        <f t="shared" si="37"/>
        <v>46175</v>
      </c>
      <c r="AE131">
        <f t="shared" si="38"/>
        <v>1</v>
      </c>
      <c r="AF131">
        <f t="shared" si="39"/>
        <v>0</v>
      </c>
    </row>
    <row r="132" spans="1:32" ht="15" customHeight="1" x14ac:dyDescent="0.2">
      <c r="A132" s="117">
        <v>61</v>
      </c>
      <c r="B132" s="118">
        <v>46188</v>
      </c>
      <c r="C132" s="119" t="s">
        <v>49</v>
      </c>
      <c r="D132" s="119" t="s">
        <v>25</v>
      </c>
      <c r="E132" s="117" t="s">
        <v>370</v>
      </c>
      <c r="F132" s="120">
        <f t="shared" ref="F132:F195" si="40">IF($D132="",0,COUNTIF($A$4:$A$1510,$A132))</f>
        <v>2</v>
      </c>
      <c r="G132" s="121" t="str">
        <f t="shared" ref="G132:G195" si="41">IF($D132="","",IFERROR(LOOKUP(2,1/(($A$4:$A$1510=$A132)*($E$4:$E$1510="Win")),$D$4:$D$1510),"(no winner)"))</f>
        <v>Oscar</v>
      </c>
      <c r="H132" s="122">
        <f>IF($D132="",0,IFERROR(LOOKUP(2,1/(($D$3:D131=$D132)*($A$3:A131&lt;$A132)),$N$3:N131),'Guide &amp; Settings'!$C$41))</f>
        <v>994.38844355149297</v>
      </c>
      <c r="I132" s="123">
        <f t="shared" ref="I132:I195" si="42">IF($D132="",0,IF($S132=0,0,$R132/$S132))</f>
        <v>0.4285714285714286</v>
      </c>
      <c r="J132" s="124">
        <f>IF($D132="",0,IF($F132&lt;2,0,IF($E132="Win",('Guide &amp; Settings'!$C$42/(($F132-1)*COUNTIFS($A$4:$A$1510,$A132,$E$4:$E$1510,"Win")))*SUMIFS($X$4:$X$1510,$A$4:$A$1510,$A132,$E$4:$E$1510,"Loss"),-('Guide &amp; Settings'!$C$42/($F132-1))*$X132)))</f>
        <v>16.863650396978123</v>
      </c>
      <c r="K132" s="124">
        <f>IF($D132="",0,'Guide &amp; Settings'!$C$43*(IF($E132="Win",1,0)-$I132))</f>
        <v>6.8571428571428568</v>
      </c>
      <c r="L132" s="125">
        <f>IF($D132="",0,'Guide &amp; Settings'!$C$44*IF($F132&gt;=3,$F132,0))</f>
        <v>0</v>
      </c>
      <c r="M132" s="124">
        <f t="shared" ref="M132:M195" si="43">IF($D132="",0,$J132+$K132+$L132)</f>
        <v>23.720793254120981</v>
      </c>
      <c r="N132" s="122">
        <f t="shared" ref="N132:N195" si="44">IF($D132="",0,$H132+$M132)</f>
        <v>1018.1092368056139</v>
      </c>
      <c r="O132" s="121" t="str">
        <f t="shared" ref="O132:O195" si="45">IF($D132="","",IF($AE132=0,"need a winner",IF($F132-$AE132=0,"need a loser",IF(MOD($AF132,2)=1,"duplicate player",IF(MOD(INT($AF132/2),2)=1,"mixed sports",IF($AF132&gt;=4,"mixed dates",IF($AE132&gt;1,IF($F132&gt;=4,"OK (team)","check winners"),"OK")))))))</f>
        <v>OK</v>
      </c>
      <c r="P132">
        <f t="shared" ref="P132:P195" si="46">IF($D132="",0,IFERROR(SUMIFS($H$4:$H$1510,$A$4:$A$1510,$A132,$E$4:$E$1510,"Win")/COUNTIFS($A$4:$A$1510,$A132,$E$4:$E$1510,"Win"),0))</f>
        <v>994.38844355149297</v>
      </c>
      <c r="Q132">
        <f t="shared" ref="Q132:Q195" si="47">IF($D132="",0,1/(1+10^(($P132-$H132)/400)))</f>
        <v>0.5</v>
      </c>
      <c r="R132">
        <f t="shared" ref="R132:R195" si="48">IF($D132="",0,(COUNTIFS($D$4:$D$1510,$D132,$C$4:$C$1510,$C132,$E$4:$E$1510,"Win",$A$4:$A$1510,"&lt;"&amp;$A132)+1)/(COUNTIFS($D$4:$D$1510,$D132,$C$4:$C$1510,$C132,$A$4:$A$1510,"&lt;"&amp;$A132)+2))</f>
        <v>0.5</v>
      </c>
      <c r="S132">
        <f t="shared" ref="S132:S195" si="49">IF($D132="",0,SUMIFS($R$4:$R$1510,$A$4:$A$1510,$A132))</f>
        <v>1.1666666666666665</v>
      </c>
      <c r="T132" s="89">
        <f t="shared" ref="T132:T195" si="50">IF($D132="",0,COUNTIFS($D$4:$D$1510,$D132,$C$4:$C$1510,$C132,$A$4:$A$1510,"&lt;"&amp;$A132))</f>
        <v>0</v>
      </c>
      <c r="U132" s="126">
        <f>IF($D132="",0,IFERROR(LOOKUP(2,1/(($D$3:D131=$D132)*($C$3:C131=$C132)*($A$3:A131&lt;$A132)),$AB$3:AB131),1000))</f>
        <v>1000</v>
      </c>
      <c r="V132" s="126">
        <f t="shared" ref="V132:V195" si="51">IF($D132="",0,$U132*($T132/($T132+5))+$H132*(1-$T132/($T132+5)))</f>
        <v>994.38844355149297</v>
      </c>
      <c r="W132">
        <f t="shared" ref="W132:W195" si="52">IF($D132="",0,IFERROR(SUMIFS($V$4:$V$1510,$A$4:$A$1510,$A132,$E$4:$E$1510,"Win")/COUNTIFS($A$4:$A$1510,$A132,$E$4:$E$1510,"Win"),0))</f>
        <v>994.38844355149297</v>
      </c>
      <c r="X132">
        <f t="shared" ref="X132:X195" si="53">IF($D132="",0,1/(1+10^(($W132-$V132)/400)))</f>
        <v>0.5</v>
      </c>
      <c r="Y132">
        <f t="shared" ref="Y132:Y195" si="54">IF($D132="",0,IFERROR(SUMIFS($U$4:$U$1510,$A$4:$A$1510,$A132,$E$4:$E$1510,"Win")/COUNTIFS($A$4:$A$1510,$A132,$E$4:$E$1510,"Win"),0))</f>
        <v>1000</v>
      </c>
      <c r="Z132">
        <f t="shared" ref="Z132:Z195" si="55">IF($D132="",0,1/(1+10^(($Y132-$U132)/400)))</f>
        <v>0.5</v>
      </c>
      <c r="AA132">
        <f>IF($D132="",0,IF($F132&lt;2,0,IF($E132="Win",('Guide &amp; Settings'!$C$42/(($F132-1)*COUNTIFS($A$4:$A$1510,$A132,$E$4:$E$1510,"Win")))*SUMIFS($Z$4:$Z$1510,$A$4:$A$1510,$A132,$E$4:$E$1510,"Loss"),-('Guide &amp; Settings'!$C$42/($F132-1))*$Z132)))</f>
        <v>16.736306793521994</v>
      </c>
      <c r="AB132" s="126">
        <f t="shared" ref="AB132:AB195" si="56">IF($D132="",0,$U132+$AA132)</f>
        <v>1016.736306793522</v>
      </c>
      <c r="AC132" s="126">
        <f>IF($D132="","",IF($AD132=0,0,IF(COUNTIFS($D$4:$D132,$D132,$B$4:$B132,$B132)&gt;1,0,IF($B132&lt;'Guide &amp; Settings'!$C$50,0,IF(($B132-$AD132)/7-'Guide &amp; Settings'!$C$48&gt;=0,(INT(($B132-$AD132)/7-'Guide &amp; Settings'!$C$48)+1)*'Guide &amp; Settings'!$C$49,0)))))</f>
        <v>0</v>
      </c>
      <c r="AD132" s="142">
        <f t="shared" ref="AD132:AD195" si="57">IF($D132="",0,SUMPRODUCT(MAX(($D$4:$D$1510=$D132)*($B$4:$B$1510&lt;$B132)*$B$4:$B$1510)))</f>
        <v>46177</v>
      </c>
      <c r="AE132">
        <f t="shared" ref="AE132:AE195" si="58">IF($D132="",0,COUNTIFS($A$4:$A$1510,$A132,$E$4:$E$1510,"Win"))</f>
        <v>1</v>
      </c>
      <c r="AF132">
        <f t="shared" ref="AF132:AF195" si="59">IF($D132="",0,(COUNTIFS($A$4:$A$1510,$A132,$D$4:$D$1510,$D132)&gt;1)*1+(COUNTIFS($A$4:$A$1510,$A132,$C$4:$C$1510,"&lt;&gt;"&amp;$C132)&gt;0)*2+(COUNTIFS($A$4:$A$1510,$A132,$B$4:$B$1510,"&lt;&gt;"&amp;$B132)&gt;0)*4)</f>
        <v>0</v>
      </c>
    </row>
    <row r="133" spans="1:32" ht="15" customHeight="1" x14ac:dyDescent="0.2">
      <c r="A133" s="117">
        <v>61</v>
      </c>
      <c r="B133" s="118">
        <v>46188</v>
      </c>
      <c r="C133" s="119" t="s">
        <v>49</v>
      </c>
      <c r="D133" s="119" t="s">
        <v>20</v>
      </c>
      <c r="E133" s="117" t="s">
        <v>371</v>
      </c>
      <c r="F133" s="120">
        <f t="shared" si="40"/>
        <v>2</v>
      </c>
      <c r="G133" s="121" t="str">
        <f t="shared" si="41"/>
        <v>Oscar</v>
      </c>
      <c r="H133" s="122">
        <f>IF($D133="",0,IFERROR(LOOKUP(2,1/(($D$3:D132=$D133)*($A$3:A132&lt;$A133)),$N$3:N132),'Guide &amp; Settings'!$C$41))</f>
        <v>1012.5927435386984</v>
      </c>
      <c r="I133" s="123">
        <f t="shared" si="42"/>
        <v>0.57142857142857151</v>
      </c>
      <c r="J133" s="124">
        <f>IF($D133="",0,IF($F133&lt;2,0,IF($E133="Win",('Guide &amp; Settings'!$C$42/(($F133-1)*COUNTIFS($A$4:$A$1510,$A133,$E$4:$E$1510,"Win")))*SUMIFS($X$4:$X$1510,$A$4:$A$1510,$A133,$E$4:$E$1510,"Loss"),-('Guide &amp; Settings'!$C$42/($F133-1))*$X133)))</f>
        <v>-16.863650396978123</v>
      </c>
      <c r="K133" s="124">
        <f>IF($D133="",0,'Guide &amp; Settings'!$C$43*(IF($E133="Win",1,0)-$I133))</f>
        <v>-6.8571428571428577</v>
      </c>
      <c r="L133" s="125">
        <f>IF($D133="",0,'Guide &amp; Settings'!$C$44*IF($F133&gt;=3,$F133,0))</f>
        <v>0</v>
      </c>
      <c r="M133" s="124">
        <f t="shared" si="43"/>
        <v>-23.720793254120981</v>
      </c>
      <c r="N133" s="122">
        <f t="shared" si="44"/>
        <v>988.87195028457745</v>
      </c>
      <c r="O133" s="121" t="str">
        <f t="shared" si="45"/>
        <v>OK</v>
      </c>
      <c r="P133">
        <f t="shared" si="46"/>
        <v>994.38844355149297</v>
      </c>
      <c r="Q133">
        <f t="shared" si="47"/>
        <v>0.52617414550673036</v>
      </c>
      <c r="R133">
        <f t="shared" si="48"/>
        <v>0.66666666666666663</v>
      </c>
      <c r="S133">
        <f t="shared" si="49"/>
        <v>1.1666666666666665</v>
      </c>
      <c r="T133" s="89">
        <f t="shared" si="50"/>
        <v>1</v>
      </c>
      <c r="U133" s="126">
        <f>IF($D133="",0,IFERROR(LOOKUP(2,1/(($D$3:D132=$D133)*($C$3:C132=$C133)*($A$3:A132&lt;$A133)),$AB$3:AB132),1000))</f>
        <v>1016</v>
      </c>
      <c r="V133" s="126">
        <f t="shared" si="51"/>
        <v>1013.1606196155819</v>
      </c>
      <c r="W133">
        <f t="shared" si="52"/>
        <v>994.38844355149297</v>
      </c>
      <c r="X133">
        <f t="shared" si="53"/>
        <v>0.52698907490556635</v>
      </c>
      <c r="Y133">
        <f t="shared" si="54"/>
        <v>1000</v>
      </c>
      <c r="Z133">
        <f t="shared" si="55"/>
        <v>0.52300958729756231</v>
      </c>
      <c r="AA133">
        <f>IF($D133="",0,IF($F133&lt;2,0,IF($E133="Win",('Guide &amp; Settings'!$C$42/(($F133-1)*COUNTIFS($A$4:$A$1510,$A133,$E$4:$E$1510,"Win")))*SUMIFS($Z$4:$Z$1510,$A$4:$A$1510,$A133,$E$4:$E$1510,"Loss"),-('Guide &amp; Settings'!$C$42/($F133-1))*$Z133)))</f>
        <v>-16.736306793521994</v>
      </c>
      <c r="AB133" s="126">
        <f t="shared" si="56"/>
        <v>999.26369320647802</v>
      </c>
      <c r="AC133" s="126">
        <f>IF($D133="","",IF($AD133=0,0,IF(COUNTIFS($D$4:$D133,$D133,$B$4:$B133,$B133)&gt;1,0,IF($B133&lt;'Guide &amp; Settings'!$C$50,0,IF(($B133-$AD133)/7-'Guide &amp; Settings'!$C$48&gt;=0,(INT(($B133-$AD133)/7-'Guide &amp; Settings'!$C$48)+1)*'Guide &amp; Settings'!$C$49,0)))))</f>
        <v>0</v>
      </c>
      <c r="AD133" s="142">
        <f t="shared" si="57"/>
        <v>46177</v>
      </c>
      <c r="AE133">
        <f t="shared" si="58"/>
        <v>1</v>
      </c>
      <c r="AF133">
        <f t="shared" si="59"/>
        <v>0</v>
      </c>
    </row>
    <row r="134" spans="1:32" ht="15" customHeight="1" x14ac:dyDescent="0.2">
      <c r="A134" s="117">
        <v>62</v>
      </c>
      <c r="B134" s="118">
        <v>46188</v>
      </c>
      <c r="C134" s="119" t="s">
        <v>49</v>
      </c>
      <c r="D134" s="119" t="s">
        <v>23</v>
      </c>
      <c r="E134" s="117" t="s">
        <v>370</v>
      </c>
      <c r="F134" s="120">
        <f t="shared" si="40"/>
        <v>2</v>
      </c>
      <c r="G134" s="121" t="str">
        <f t="shared" si="41"/>
        <v>Dean B</v>
      </c>
      <c r="H134" s="122">
        <f>IF($D134="",0,IFERROR(LOOKUP(2,1/(($D$3:D133=$D134)*($A$3:A133&lt;$A134)),$N$3:N133),'Guide &amp; Settings'!$C$41))</f>
        <v>1074.3387739715224</v>
      </c>
      <c r="I134" s="123">
        <f t="shared" si="42"/>
        <v>0.5</v>
      </c>
      <c r="J134" s="124">
        <f>IF($D134="",0,IF($F134&lt;2,0,IF($E134="Win",('Guide &amp; Settings'!$C$42/(($F134-1)*COUNTIFS($A$4:$A$1510,$A134,$E$4:$E$1510,"Win")))*SUMIFS($X$4:$X$1510,$A$4:$A$1510,$A134,$E$4:$E$1510,"Loss"),-('Guide &amp; Settings'!$C$42/($F134-1))*$X134)))</f>
        <v>12.053628430658968</v>
      </c>
      <c r="K134" s="124">
        <f>IF($D134="",0,'Guide &amp; Settings'!$C$43*(IF($E134="Win",1,0)-$I134))</f>
        <v>6</v>
      </c>
      <c r="L134" s="125">
        <f>IF($D134="",0,'Guide &amp; Settings'!$C$44*IF($F134&gt;=3,$F134,0))</f>
        <v>0</v>
      </c>
      <c r="M134" s="124">
        <f t="shared" si="43"/>
        <v>18.053628430658968</v>
      </c>
      <c r="N134" s="122">
        <f t="shared" si="44"/>
        <v>1092.3924024021815</v>
      </c>
      <c r="O134" s="121" t="str">
        <f t="shared" si="45"/>
        <v>OK</v>
      </c>
      <c r="P134">
        <f t="shared" si="46"/>
        <v>1074.3387739715224</v>
      </c>
      <c r="Q134">
        <f t="shared" si="47"/>
        <v>0.5</v>
      </c>
      <c r="R134">
        <f t="shared" si="48"/>
        <v>0.66666666666666663</v>
      </c>
      <c r="S134">
        <f t="shared" si="49"/>
        <v>1.3333333333333333</v>
      </c>
      <c r="T134" s="89">
        <f t="shared" si="50"/>
        <v>1</v>
      </c>
      <c r="U134" s="126">
        <f>IF($D134="",0,IFERROR(LOOKUP(2,1/(($D$3:D133=$D134)*($C$3:C133=$C134)*($A$3:A133&lt;$A134)),$AB$3:AB133),1000))</f>
        <v>1016</v>
      </c>
      <c r="V134" s="126">
        <f t="shared" si="51"/>
        <v>1064.6156449762686</v>
      </c>
      <c r="W134">
        <f t="shared" si="52"/>
        <v>1064.6156449762686</v>
      </c>
      <c r="X134">
        <f t="shared" si="53"/>
        <v>0.5</v>
      </c>
      <c r="Y134">
        <f t="shared" si="54"/>
        <v>1016</v>
      </c>
      <c r="Z134">
        <f t="shared" si="55"/>
        <v>0.5</v>
      </c>
      <c r="AA134">
        <f>IF($D134="",0,IF($F134&lt;2,0,IF($E134="Win",('Guide &amp; Settings'!$C$42/(($F134-1)*COUNTIFS($A$4:$A$1510,$A134,$E$4:$E$1510,"Win")))*SUMIFS($Z$4:$Z$1510,$A$4:$A$1510,$A134,$E$4:$E$1510,"Loss"),-('Guide &amp; Settings'!$C$42/($F134-1))*$Z134)))</f>
        <v>16</v>
      </c>
      <c r="AB134" s="126">
        <f t="shared" si="56"/>
        <v>1032</v>
      </c>
      <c r="AC134" s="126">
        <f>IF($D134="","",IF($AD134=0,0,IF(COUNTIFS($D$4:$D134,$D134,$B$4:$B134,$B134)&gt;1,0,IF($B134&lt;'Guide &amp; Settings'!$C$50,0,IF(($B134-$AD134)/7-'Guide &amp; Settings'!$C$48&gt;=0,(INT(($B134-$AD134)/7-'Guide &amp; Settings'!$C$48)+1)*'Guide &amp; Settings'!$C$49,0)))))</f>
        <v>0</v>
      </c>
      <c r="AD134" s="142">
        <f t="shared" si="57"/>
        <v>46177</v>
      </c>
      <c r="AE134">
        <f t="shared" si="58"/>
        <v>1</v>
      </c>
      <c r="AF134">
        <f t="shared" si="59"/>
        <v>0</v>
      </c>
    </row>
    <row r="135" spans="1:32" ht="15" customHeight="1" x14ac:dyDescent="0.2">
      <c r="A135" s="117">
        <v>62</v>
      </c>
      <c r="B135" s="118">
        <v>46188</v>
      </c>
      <c r="C135" s="119" t="s">
        <v>49</v>
      </c>
      <c r="D135" s="119" t="s">
        <v>18</v>
      </c>
      <c r="E135" s="117" t="s">
        <v>371</v>
      </c>
      <c r="F135" s="120">
        <f t="shared" si="40"/>
        <v>2</v>
      </c>
      <c r="G135" s="121" t="str">
        <f t="shared" si="41"/>
        <v>Dean B</v>
      </c>
      <c r="H135" s="122">
        <f>IF($D135="",0,IFERROR(LOOKUP(2,1/(($D$3:D134=$D135)*($A$3:A134&lt;$A135)),$N$3:N134),'Guide &amp; Settings'!$C$41))</f>
        <v>969.34064339243469</v>
      </c>
      <c r="I135" s="123">
        <f t="shared" si="42"/>
        <v>0.5</v>
      </c>
      <c r="J135" s="124">
        <f>IF($D135="",0,IF($F135&lt;2,0,IF($E135="Win",('Guide &amp; Settings'!$C$42/(($F135-1)*COUNTIFS($A$4:$A$1510,$A135,$E$4:$E$1510,"Win")))*SUMIFS($X$4:$X$1510,$A$4:$A$1510,$A135,$E$4:$E$1510,"Loss"),-('Guide &amp; Settings'!$C$42/($F135-1))*$X135)))</f>
        <v>-12.053628430658968</v>
      </c>
      <c r="K135" s="124">
        <f>IF($D135="",0,'Guide &amp; Settings'!$C$43*(IF($E135="Win",1,0)-$I135))</f>
        <v>-6</v>
      </c>
      <c r="L135" s="125">
        <f>IF($D135="",0,'Guide &amp; Settings'!$C$44*IF($F135&gt;=3,$F135,0))</f>
        <v>0</v>
      </c>
      <c r="M135" s="124">
        <f t="shared" si="43"/>
        <v>-18.053628430658968</v>
      </c>
      <c r="N135" s="122">
        <f t="shared" si="44"/>
        <v>951.28701496177575</v>
      </c>
      <c r="O135" s="121" t="str">
        <f t="shared" si="45"/>
        <v>OK</v>
      </c>
      <c r="P135">
        <f t="shared" si="46"/>
        <v>1074.3387739715224</v>
      </c>
      <c r="Q135">
        <f t="shared" si="47"/>
        <v>0.35333361649786815</v>
      </c>
      <c r="R135">
        <f t="shared" si="48"/>
        <v>0.66666666666666663</v>
      </c>
      <c r="S135">
        <f t="shared" si="49"/>
        <v>1.3333333333333333</v>
      </c>
      <c r="T135" s="89">
        <f t="shared" si="50"/>
        <v>1</v>
      </c>
      <c r="U135" s="126">
        <f>IF($D135="",0,IFERROR(LOOKUP(2,1/(($D$3:D134=$D135)*($C$3:C134=$C135)*($A$3:A134&lt;$A135)),$AB$3:AB134),1000))</f>
        <v>1016</v>
      </c>
      <c r="V135" s="126">
        <f t="shared" si="51"/>
        <v>977.1172028270289</v>
      </c>
      <c r="W135">
        <f t="shared" si="52"/>
        <v>1064.6156449762686</v>
      </c>
      <c r="X135">
        <f t="shared" si="53"/>
        <v>0.37667588845809274</v>
      </c>
      <c r="Y135">
        <f t="shared" si="54"/>
        <v>1016</v>
      </c>
      <c r="Z135">
        <f t="shared" si="55"/>
        <v>0.5</v>
      </c>
      <c r="AA135">
        <f>IF($D135="",0,IF($F135&lt;2,0,IF($E135="Win",('Guide &amp; Settings'!$C$42/(($F135-1)*COUNTIFS($A$4:$A$1510,$A135,$E$4:$E$1510,"Win")))*SUMIFS($Z$4:$Z$1510,$A$4:$A$1510,$A135,$E$4:$E$1510,"Loss"),-('Guide &amp; Settings'!$C$42/($F135-1))*$Z135)))</f>
        <v>-16</v>
      </c>
      <c r="AB135" s="126">
        <f t="shared" si="56"/>
        <v>1000</v>
      </c>
      <c r="AC135" s="126">
        <f>IF($D135="","",IF($AD135=0,0,IF(COUNTIFS($D$4:$D135,$D135,$B$4:$B135,$B135)&gt;1,0,IF($B135&lt;'Guide &amp; Settings'!$C$50,0,IF(($B135-$AD135)/7-'Guide &amp; Settings'!$C$48&gt;=0,(INT(($B135-$AD135)/7-'Guide &amp; Settings'!$C$48)+1)*'Guide &amp; Settings'!$C$49,0)))))</f>
        <v>0</v>
      </c>
      <c r="AD135" s="142">
        <f t="shared" si="57"/>
        <v>46175</v>
      </c>
      <c r="AE135">
        <f t="shared" si="58"/>
        <v>1</v>
      </c>
      <c r="AF135">
        <f t="shared" si="59"/>
        <v>0</v>
      </c>
    </row>
    <row r="136" spans="1:32" ht="15" customHeight="1" x14ac:dyDescent="0.2">
      <c r="A136" s="117">
        <v>63</v>
      </c>
      <c r="B136" s="118">
        <v>46188</v>
      </c>
      <c r="C136" s="119" t="s">
        <v>49</v>
      </c>
      <c r="D136" s="119" t="s">
        <v>21</v>
      </c>
      <c r="E136" s="117" t="s">
        <v>370</v>
      </c>
      <c r="F136" s="120">
        <f t="shared" si="40"/>
        <v>2</v>
      </c>
      <c r="G136" s="121" t="str">
        <f t="shared" si="41"/>
        <v>Simon</v>
      </c>
      <c r="H136" s="122">
        <f>IF($D136="",0,IFERROR(LOOKUP(2,1/(($D$3:D135=$D136)*($A$3:A135&lt;$A136)),$N$3:N135),'Guide &amp; Settings'!$C$41))</f>
        <v>1026.5608547405914</v>
      </c>
      <c r="I136" s="123">
        <f t="shared" si="42"/>
        <v>0.5</v>
      </c>
      <c r="J136" s="124">
        <f>IF($D136="",0,IF($F136&lt;2,0,IF($E136="Win",('Guide &amp; Settings'!$C$42/(($F136-1)*COUNTIFS($A$4:$A$1510,$A136,$E$4:$E$1510,"Win")))*SUMIFS($X$4:$X$1510,$A$4:$A$1510,$A136,$E$4:$E$1510,"Loss"),-('Guide &amp; Settings'!$C$42/($F136-1))*$X136)))</f>
        <v>15.686999839200283</v>
      </c>
      <c r="K136" s="124">
        <f>IF($D136="",0,'Guide &amp; Settings'!$C$43*(IF($E136="Win",1,0)-$I136))</f>
        <v>6</v>
      </c>
      <c r="L136" s="125">
        <f>IF($D136="",0,'Guide &amp; Settings'!$C$44*IF($F136&gt;=3,$F136,0))</f>
        <v>0</v>
      </c>
      <c r="M136" s="124">
        <f t="shared" si="43"/>
        <v>21.686999839200283</v>
      </c>
      <c r="N136" s="122">
        <f t="shared" si="44"/>
        <v>1048.2478545797917</v>
      </c>
      <c r="O136" s="121" t="str">
        <f t="shared" si="45"/>
        <v>OK</v>
      </c>
      <c r="P136">
        <f t="shared" si="46"/>
        <v>1026.5608547405914</v>
      </c>
      <c r="Q136">
        <f t="shared" si="47"/>
        <v>0.5</v>
      </c>
      <c r="R136">
        <f t="shared" si="48"/>
        <v>0.66666666666666663</v>
      </c>
      <c r="S136">
        <f t="shared" si="49"/>
        <v>1.3333333333333333</v>
      </c>
      <c r="T136" s="89">
        <f t="shared" si="50"/>
        <v>1</v>
      </c>
      <c r="U136" s="126">
        <f>IF($D136="",0,IFERROR(LOOKUP(2,1/(($D$3:D135=$D136)*($C$3:C135=$C136)*($A$3:A135&lt;$A136)),$AB$3:AB135),1000))</f>
        <v>1015.263693206478</v>
      </c>
      <c r="V136" s="126">
        <f t="shared" si="51"/>
        <v>1024.6779944849059</v>
      </c>
      <c r="W136">
        <f t="shared" si="52"/>
        <v>1024.6779944849059</v>
      </c>
      <c r="X136">
        <f t="shared" si="53"/>
        <v>0.5</v>
      </c>
      <c r="Y136">
        <f t="shared" si="54"/>
        <v>1015.263693206478</v>
      </c>
      <c r="Z136">
        <f t="shared" si="55"/>
        <v>0.5</v>
      </c>
      <c r="AA136">
        <f>IF($D136="",0,IF($F136&lt;2,0,IF($E136="Win",('Guide &amp; Settings'!$C$42/(($F136-1)*COUNTIFS($A$4:$A$1510,$A136,$E$4:$E$1510,"Win")))*SUMIFS($Z$4:$Z$1510,$A$4:$A$1510,$A136,$E$4:$E$1510,"Loss"),-('Guide &amp; Settings'!$C$42/($F136-1))*$Z136)))</f>
        <v>16.067815955759624</v>
      </c>
      <c r="AB136" s="126">
        <f t="shared" si="56"/>
        <v>1031.3315091622376</v>
      </c>
      <c r="AC136" s="126">
        <f>IF($D136="","",IF($AD136=0,0,IF(COUNTIFS($D$4:$D136,$D136,$B$4:$B136,$B136)&gt;1,0,IF($B136&lt;'Guide &amp; Settings'!$C$50,0,IF(($B136-$AD136)/7-'Guide &amp; Settings'!$C$48&gt;=0,(INT(($B136-$AD136)/7-'Guide &amp; Settings'!$C$48)+1)*'Guide &amp; Settings'!$C$49,0)))))</f>
        <v>0</v>
      </c>
      <c r="AD136" s="142">
        <f t="shared" si="57"/>
        <v>46175</v>
      </c>
      <c r="AE136">
        <f t="shared" si="58"/>
        <v>1</v>
      </c>
      <c r="AF136">
        <f t="shared" si="59"/>
        <v>0</v>
      </c>
    </row>
    <row r="137" spans="1:32" ht="15" customHeight="1" x14ac:dyDescent="0.2">
      <c r="A137" s="117">
        <v>63</v>
      </c>
      <c r="B137" s="118">
        <v>46188</v>
      </c>
      <c r="C137" s="119" t="s">
        <v>49</v>
      </c>
      <c r="D137" s="119" t="s">
        <v>25</v>
      </c>
      <c r="E137" s="117" t="s">
        <v>371</v>
      </c>
      <c r="F137" s="120">
        <f t="shared" si="40"/>
        <v>2</v>
      </c>
      <c r="G137" s="121" t="str">
        <f t="shared" si="41"/>
        <v>Simon</v>
      </c>
      <c r="H137" s="122">
        <f>IF($D137="",0,IFERROR(LOOKUP(2,1/(($D$3:D136=$D137)*($A$3:A136&lt;$A137)),$N$3:N136),'Guide &amp; Settings'!$C$41))</f>
        <v>1018.1092368056139</v>
      </c>
      <c r="I137" s="123">
        <f t="shared" si="42"/>
        <v>0.5</v>
      </c>
      <c r="J137" s="124">
        <f>IF($D137="",0,IF($F137&lt;2,0,IF($E137="Win",('Guide &amp; Settings'!$C$42/(($F137-1)*COUNTIFS($A$4:$A$1510,$A137,$E$4:$E$1510,"Win")))*SUMIFS($X$4:$X$1510,$A$4:$A$1510,$A137,$E$4:$E$1510,"Loss"),-('Guide &amp; Settings'!$C$42/($F137-1))*$X137)))</f>
        <v>-15.686999839200283</v>
      </c>
      <c r="K137" s="124">
        <f>IF($D137="",0,'Guide &amp; Settings'!$C$43*(IF($E137="Win",1,0)-$I137))</f>
        <v>-6</v>
      </c>
      <c r="L137" s="125">
        <f>IF($D137="",0,'Guide &amp; Settings'!$C$44*IF($F137&gt;=3,$F137,0))</f>
        <v>0</v>
      </c>
      <c r="M137" s="124">
        <f t="shared" si="43"/>
        <v>-21.686999839200283</v>
      </c>
      <c r="N137" s="122">
        <f t="shared" si="44"/>
        <v>996.42223696641361</v>
      </c>
      <c r="O137" s="121" t="str">
        <f t="shared" si="45"/>
        <v>OK</v>
      </c>
      <c r="P137">
        <f t="shared" si="46"/>
        <v>1026.5608547405914</v>
      </c>
      <c r="Q137">
        <f t="shared" si="47"/>
        <v>0.48783954259813328</v>
      </c>
      <c r="R137">
        <f t="shared" si="48"/>
        <v>0.66666666666666663</v>
      </c>
      <c r="S137">
        <f t="shared" si="49"/>
        <v>1.3333333333333333</v>
      </c>
      <c r="T137" s="89">
        <f t="shared" si="50"/>
        <v>1</v>
      </c>
      <c r="U137" s="126">
        <f>IF($D137="",0,IFERROR(LOOKUP(2,1/(($D$3:D136=$D137)*($C$3:C136=$C137)*($A$3:A136&lt;$A137)),$AB$3:AB136),1000))</f>
        <v>1016.736306793522</v>
      </c>
      <c r="V137" s="126">
        <f t="shared" si="51"/>
        <v>1017.880415136932</v>
      </c>
      <c r="W137">
        <f t="shared" si="52"/>
        <v>1024.6779944849059</v>
      </c>
      <c r="X137">
        <f t="shared" si="53"/>
        <v>0.49021874497500884</v>
      </c>
      <c r="Y137">
        <f t="shared" si="54"/>
        <v>1015.263693206478</v>
      </c>
      <c r="Z137">
        <f t="shared" si="55"/>
        <v>0.50211924861748825</v>
      </c>
      <c r="AA137">
        <f>IF($D137="",0,IF($F137&lt;2,0,IF($E137="Win",('Guide &amp; Settings'!$C$42/(($F137-1)*COUNTIFS($A$4:$A$1510,$A137,$E$4:$E$1510,"Win")))*SUMIFS($Z$4:$Z$1510,$A$4:$A$1510,$A137,$E$4:$E$1510,"Loss"),-('Guide &amp; Settings'!$C$42/($F137-1))*$Z137)))</f>
        <v>-16.067815955759624</v>
      </c>
      <c r="AB137" s="126">
        <f t="shared" si="56"/>
        <v>1000.6684908377623</v>
      </c>
      <c r="AC137" s="126">
        <f>IF($D137="","",IF($AD137=0,0,IF(COUNTIFS($D$4:$D137,$D137,$B$4:$B137,$B137)&gt;1,0,IF($B137&lt;'Guide &amp; Settings'!$C$50,0,IF(($B137-$AD137)/7-'Guide &amp; Settings'!$C$48&gt;=0,(INT(($B137-$AD137)/7-'Guide &amp; Settings'!$C$48)+1)*'Guide &amp; Settings'!$C$49,0)))))</f>
        <v>0</v>
      </c>
      <c r="AD137" s="142">
        <f t="shared" si="57"/>
        <v>46177</v>
      </c>
      <c r="AE137">
        <f t="shared" si="58"/>
        <v>1</v>
      </c>
      <c r="AF137">
        <f t="shared" si="59"/>
        <v>0</v>
      </c>
    </row>
    <row r="138" spans="1:32" ht="15" customHeight="1" x14ac:dyDescent="0.2">
      <c r="A138" s="117">
        <v>64</v>
      </c>
      <c r="B138" s="118">
        <v>46188</v>
      </c>
      <c r="C138" s="119" t="s">
        <v>49</v>
      </c>
      <c r="D138" s="119" t="s">
        <v>17</v>
      </c>
      <c r="E138" s="117" t="s">
        <v>370</v>
      </c>
      <c r="F138" s="120">
        <f t="shared" si="40"/>
        <v>2</v>
      </c>
      <c r="G138" s="121" t="str">
        <f t="shared" si="41"/>
        <v>Chase</v>
      </c>
      <c r="H138" s="122">
        <f>IF($D138="",0,IFERROR(LOOKUP(2,1/(($D$3:D137=$D138)*($A$3:A137&lt;$A138)),$N$3:N137),'Guide &amp; Settings'!$C$41))</f>
        <v>1000.0398229848671</v>
      </c>
      <c r="I138" s="123">
        <f t="shared" si="42"/>
        <v>0.60000000000000009</v>
      </c>
      <c r="J138" s="124">
        <f>IF($D138="",0,IF($F138&lt;2,0,IF($E138="Win",('Guide &amp; Settings'!$C$42/(($F138-1)*COUNTIFS($A$4:$A$1510,$A138,$E$4:$E$1510,"Win")))*SUMIFS($X$4:$X$1510,$A$4:$A$1510,$A138,$E$4:$E$1510,"Loss"),-('Guide &amp; Settings'!$C$42/($F138-1))*$X138)))</f>
        <v>11.944341911061862</v>
      </c>
      <c r="K138" s="124">
        <f>IF($D138="",0,'Guide &amp; Settings'!$C$43*(IF($E138="Win",1,0)-$I138))</f>
        <v>4.7999999999999989</v>
      </c>
      <c r="L138" s="125">
        <f>IF($D138="",0,'Guide &amp; Settings'!$C$44*IF($F138&gt;=3,$F138,0))</f>
        <v>0</v>
      </c>
      <c r="M138" s="124">
        <f t="shared" si="43"/>
        <v>16.744341911061859</v>
      </c>
      <c r="N138" s="122">
        <f t="shared" si="44"/>
        <v>1016.7841648959289</v>
      </c>
      <c r="O138" s="121" t="str">
        <f t="shared" si="45"/>
        <v>OK</v>
      </c>
      <c r="P138">
        <f t="shared" si="46"/>
        <v>1000.0398229848671</v>
      </c>
      <c r="Q138">
        <f t="shared" si="47"/>
        <v>0.5</v>
      </c>
      <c r="R138">
        <f t="shared" si="48"/>
        <v>0.5</v>
      </c>
      <c r="S138">
        <f t="shared" si="49"/>
        <v>0.83333333333333326</v>
      </c>
      <c r="T138" s="89">
        <f t="shared" si="50"/>
        <v>0</v>
      </c>
      <c r="U138" s="126">
        <f>IF($D138="",0,IFERROR(LOOKUP(2,1/(($D$3:D137=$D138)*($C$3:C137=$C138)*($A$3:A137&lt;$A138)),$AB$3:AB137),1000))</f>
        <v>1000</v>
      </c>
      <c r="V138" s="126">
        <f t="shared" si="51"/>
        <v>1000.0398229848671</v>
      </c>
      <c r="W138">
        <f t="shared" si="52"/>
        <v>1000.0398229848671</v>
      </c>
      <c r="X138">
        <f t="shared" si="53"/>
        <v>0.5</v>
      </c>
      <c r="Y138">
        <f t="shared" si="54"/>
        <v>1000</v>
      </c>
      <c r="Z138">
        <f t="shared" si="55"/>
        <v>0.5</v>
      </c>
      <c r="AA138">
        <f>IF($D138="",0,IF($F138&lt;2,0,IF($E138="Win",('Guide &amp; Settings'!$C$42/(($F138-1)*COUNTIFS($A$4:$A$1510,$A138,$E$4:$E$1510,"Win")))*SUMIFS($Z$4:$Z$1510,$A$4:$A$1510,$A138,$E$4:$E$1510,"Loss"),-('Guide &amp; Settings'!$C$42/($F138-1))*$Z138)))</f>
        <v>15.263693206478006</v>
      </c>
      <c r="AB138" s="126">
        <f t="shared" si="56"/>
        <v>1015.263693206478</v>
      </c>
      <c r="AC138" s="126">
        <f>IF($D138="","",IF($AD138=0,0,IF(COUNTIFS($D$4:$D138,$D138,$B$4:$B138,$B138)&gt;1,0,IF($B138&lt;'Guide &amp; Settings'!$C$50,0,IF(($B138-$AD138)/7-'Guide &amp; Settings'!$C$48&gt;=0,(INT(($B138-$AD138)/7-'Guide &amp; Settings'!$C$48)+1)*'Guide &amp; Settings'!$C$49,0)))))</f>
        <v>0</v>
      </c>
      <c r="AD138" s="142">
        <f t="shared" si="57"/>
        <v>46175</v>
      </c>
      <c r="AE138">
        <f t="shared" si="58"/>
        <v>1</v>
      </c>
      <c r="AF138">
        <f t="shared" si="59"/>
        <v>0</v>
      </c>
    </row>
    <row r="139" spans="1:32" ht="15" customHeight="1" x14ac:dyDescent="0.2">
      <c r="A139" s="117">
        <v>64</v>
      </c>
      <c r="B139" s="118">
        <v>46188</v>
      </c>
      <c r="C139" s="119" t="s">
        <v>49</v>
      </c>
      <c r="D139" s="119" t="s">
        <v>24</v>
      </c>
      <c r="E139" s="117" t="s">
        <v>371</v>
      </c>
      <c r="F139" s="120">
        <f t="shared" si="40"/>
        <v>2</v>
      </c>
      <c r="G139" s="121" t="str">
        <f t="shared" si="41"/>
        <v>Chase</v>
      </c>
      <c r="H139" s="122">
        <f>IF($D139="",0,IFERROR(LOOKUP(2,1/(($D$3:D138=$D139)*($A$3:A138&lt;$A139)),$N$3:N138),'Guide &amp; Settings'!$C$41))</f>
        <v>895.21193619782389</v>
      </c>
      <c r="I139" s="123">
        <f t="shared" si="42"/>
        <v>0.4</v>
      </c>
      <c r="J139" s="124">
        <f>IF($D139="",0,IF($F139&lt;2,0,IF($E139="Win",('Guide &amp; Settings'!$C$42/(($F139-1)*COUNTIFS($A$4:$A$1510,$A139,$E$4:$E$1510,"Win")))*SUMIFS($X$4:$X$1510,$A$4:$A$1510,$A139,$E$4:$E$1510,"Loss"),-('Guide &amp; Settings'!$C$42/($F139-1))*$X139)))</f>
        <v>-11.944341911061862</v>
      </c>
      <c r="K139" s="124">
        <f>IF($D139="",0,'Guide &amp; Settings'!$C$43*(IF($E139="Win",1,0)-$I139))</f>
        <v>-4.8000000000000007</v>
      </c>
      <c r="L139" s="125">
        <f>IF($D139="",0,'Guide &amp; Settings'!$C$44*IF($F139&gt;=3,$F139,0))</f>
        <v>0</v>
      </c>
      <c r="M139" s="124">
        <f t="shared" si="43"/>
        <v>-16.744341911061863</v>
      </c>
      <c r="N139" s="122">
        <f t="shared" si="44"/>
        <v>878.46759428676205</v>
      </c>
      <c r="O139" s="121" t="str">
        <f t="shared" si="45"/>
        <v>OK</v>
      </c>
      <c r="P139">
        <f t="shared" si="46"/>
        <v>1000.0398229848671</v>
      </c>
      <c r="Q139">
        <f t="shared" si="47"/>
        <v>0.35355756832891344</v>
      </c>
      <c r="R139">
        <f t="shared" si="48"/>
        <v>0.33333333333333331</v>
      </c>
      <c r="S139">
        <f t="shared" si="49"/>
        <v>0.83333333333333326</v>
      </c>
      <c r="T139" s="89">
        <f t="shared" si="50"/>
        <v>1</v>
      </c>
      <c r="U139" s="126">
        <f>IF($D139="",0,IFERROR(LOOKUP(2,1/(($D$3:D138=$D139)*($C$3:C138=$C139)*($A$3:A138&lt;$A139)),$AB$3:AB138),1000))</f>
        <v>984</v>
      </c>
      <c r="V139" s="126">
        <f t="shared" si="51"/>
        <v>910.00994683151998</v>
      </c>
      <c r="W139">
        <f t="shared" si="52"/>
        <v>1000.0398229848671</v>
      </c>
      <c r="X139">
        <f t="shared" si="53"/>
        <v>0.37326068472068319</v>
      </c>
      <c r="Y139">
        <f t="shared" si="54"/>
        <v>1000</v>
      </c>
      <c r="Z139">
        <f t="shared" si="55"/>
        <v>0.47699041270243769</v>
      </c>
      <c r="AA139">
        <f>IF($D139="",0,IF($F139&lt;2,0,IF($E139="Win",('Guide &amp; Settings'!$C$42/(($F139-1)*COUNTIFS($A$4:$A$1510,$A139,$E$4:$E$1510,"Win")))*SUMIFS($Z$4:$Z$1510,$A$4:$A$1510,$A139,$E$4:$E$1510,"Loss"),-('Guide &amp; Settings'!$C$42/($F139-1))*$Z139)))</f>
        <v>-15.263693206478006</v>
      </c>
      <c r="AB139" s="126">
        <f t="shared" si="56"/>
        <v>968.73630679352198</v>
      </c>
      <c r="AC139" s="126">
        <f>IF($D139="","",IF($AD139=0,0,IF(COUNTIFS($D$4:$D139,$D139,$B$4:$B139,$B139)&gt;1,0,IF($B139&lt;'Guide &amp; Settings'!$C$50,0,IF(($B139-$AD139)/7-'Guide &amp; Settings'!$C$48&gt;=0,(INT(($B139-$AD139)/7-'Guide &amp; Settings'!$C$48)+1)*'Guide &amp; Settings'!$C$49,0)))))</f>
        <v>0</v>
      </c>
      <c r="AD139" s="142">
        <f t="shared" si="57"/>
        <v>46175</v>
      </c>
      <c r="AE139">
        <f t="shared" si="58"/>
        <v>1</v>
      </c>
      <c r="AF139">
        <f t="shared" si="59"/>
        <v>0</v>
      </c>
    </row>
    <row r="140" spans="1:32" ht="15" customHeight="1" x14ac:dyDescent="0.2">
      <c r="A140" s="117">
        <v>65</v>
      </c>
      <c r="B140" s="118">
        <v>46188</v>
      </c>
      <c r="C140" s="119" t="s">
        <v>49</v>
      </c>
      <c r="D140" s="119" t="s">
        <v>24</v>
      </c>
      <c r="E140" s="117" t="s">
        <v>370</v>
      </c>
      <c r="F140" s="120">
        <f t="shared" si="40"/>
        <v>2</v>
      </c>
      <c r="G140" s="121" t="str">
        <f t="shared" si="41"/>
        <v>Cody</v>
      </c>
      <c r="H140" s="122">
        <f>IF($D140="",0,IFERROR(LOOKUP(2,1/(($D$3:D139=$D140)*($A$3:A139&lt;$A140)),$N$3:N139),'Guide &amp; Settings'!$C$41))</f>
        <v>878.46759428676205</v>
      </c>
      <c r="I140" s="123">
        <f t="shared" si="42"/>
        <v>0.33333333333333331</v>
      </c>
      <c r="J140" s="124">
        <f>IF($D140="",0,IF($F140&lt;2,0,IF($E140="Win",('Guide &amp; Settings'!$C$42/(($F140-1)*COUNTIFS($A$4:$A$1510,$A140,$E$4:$E$1510,"Win")))*SUMIFS($X$4:$X$1510,$A$4:$A$1510,$A140,$E$4:$E$1510,"Loss"),-('Guide &amp; Settings'!$C$42/($F140-1))*$X140)))</f>
        <v>20.199530584225887</v>
      </c>
      <c r="K140" s="124">
        <f>IF($D140="",0,'Guide &amp; Settings'!$C$43*(IF($E140="Win",1,0)-$I140))</f>
        <v>8</v>
      </c>
      <c r="L140" s="125">
        <f>IF($D140="",0,'Guide &amp; Settings'!$C$44*IF($F140&gt;=3,$F140,0))</f>
        <v>0</v>
      </c>
      <c r="M140" s="124">
        <f t="shared" si="43"/>
        <v>28.199530584225887</v>
      </c>
      <c r="N140" s="122">
        <f t="shared" si="44"/>
        <v>906.66712487098789</v>
      </c>
      <c r="O140" s="121" t="str">
        <f t="shared" si="45"/>
        <v>OK</v>
      </c>
      <c r="P140">
        <f t="shared" si="46"/>
        <v>878.46759428676205</v>
      </c>
      <c r="Q140">
        <f t="shared" si="47"/>
        <v>0.5</v>
      </c>
      <c r="R140">
        <f t="shared" si="48"/>
        <v>0.25</v>
      </c>
      <c r="S140">
        <f t="shared" si="49"/>
        <v>0.75</v>
      </c>
      <c r="T140" s="89">
        <f t="shared" si="50"/>
        <v>2</v>
      </c>
      <c r="U140" s="126">
        <f>IF($D140="",0,IFERROR(LOOKUP(2,1/(($D$3:D139=$D140)*($C$3:C139=$C140)*($A$3:A139&lt;$A140)),$AB$3:AB139),1000))</f>
        <v>968.73630679352198</v>
      </c>
      <c r="V140" s="126">
        <f t="shared" si="51"/>
        <v>904.25865500297914</v>
      </c>
      <c r="W140">
        <f t="shared" si="52"/>
        <v>904.25865500297914</v>
      </c>
      <c r="X140">
        <f t="shared" si="53"/>
        <v>0.5</v>
      </c>
      <c r="Y140">
        <f t="shared" si="54"/>
        <v>968.73630679352198</v>
      </c>
      <c r="Z140">
        <f t="shared" si="55"/>
        <v>0.5</v>
      </c>
      <c r="AA140">
        <f>IF($D140="",0,IF($F140&lt;2,0,IF($E140="Win",('Guide &amp; Settings'!$C$42/(($F140-1)*COUNTIFS($A$4:$A$1510,$A140,$E$4:$E$1510,"Win")))*SUMIFS($Z$4:$Z$1510,$A$4:$A$1510,$A140,$E$4:$E$1510,"Loss"),-('Guide &amp; Settings'!$C$42/($F140-1))*$Z140)))</f>
        <v>17.466404777079056</v>
      </c>
      <c r="AB140" s="126">
        <f t="shared" si="56"/>
        <v>986.20271157060108</v>
      </c>
      <c r="AC140" s="126">
        <f>IF($D140="","",IF($AD140=0,0,IF(COUNTIFS($D$4:$D140,$D140,$B$4:$B140,$B140)&gt;1,0,IF($B140&lt;'Guide &amp; Settings'!$C$50,0,IF(($B140-$AD140)/7-'Guide &amp; Settings'!$C$48&gt;=0,(INT(($B140-$AD140)/7-'Guide &amp; Settings'!$C$48)+1)*'Guide &amp; Settings'!$C$49,0)))))</f>
        <v>0</v>
      </c>
      <c r="AD140" s="142">
        <f t="shared" si="57"/>
        <v>46175</v>
      </c>
      <c r="AE140">
        <f t="shared" si="58"/>
        <v>1</v>
      </c>
      <c r="AF140">
        <f t="shared" si="59"/>
        <v>0</v>
      </c>
    </row>
    <row r="141" spans="1:32" ht="15" customHeight="1" x14ac:dyDescent="0.2">
      <c r="A141" s="117">
        <v>65</v>
      </c>
      <c r="B141" s="118">
        <v>46188</v>
      </c>
      <c r="C141" s="119" t="s">
        <v>49</v>
      </c>
      <c r="D141" s="119" t="s">
        <v>25</v>
      </c>
      <c r="E141" s="117" t="s">
        <v>371</v>
      </c>
      <c r="F141" s="120">
        <f t="shared" si="40"/>
        <v>2</v>
      </c>
      <c r="G141" s="121" t="str">
        <f t="shared" si="41"/>
        <v>Cody</v>
      </c>
      <c r="H141" s="122">
        <f>IF($D141="",0,IFERROR(LOOKUP(2,1/(($D$3:D140=$D141)*($A$3:A140&lt;$A141)),$N$3:N140),'Guide &amp; Settings'!$C$41))</f>
        <v>996.42223696641361</v>
      </c>
      <c r="I141" s="123">
        <f t="shared" si="42"/>
        <v>0.66666666666666663</v>
      </c>
      <c r="J141" s="124">
        <f>IF($D141="",0,IF($F141&lt;2,0,IF($E141="Win",('Guide &amp; Settings'!$C$42/(($F141-1)*COUNTIFS($A$4:$A$1510,$A141,$E$4:$E$1510,"Win")))*SUMIFS($X$4:$X$1510,$A$4:$A$1510,$A141,$E$4:$E$1510,"Loss"),-('Guide &amp; Settings'!$C$42/($F141-1))*$X141)))</f>
        <v>-20.199530584225887</v>
      </c>
      <c r="K141" s="124">
        <f>IF($D141="",0,'Guide &amp; Settings'!$C$43*(IF($E141="Win",1,0)-$I141))</f>
        <v>-8</v>
      </c>
      <c r="L141" s="125">
        <f>IF($D141="",0,'Guide &amp; Settings'!$C$44*IF($F141&gt;=3,$F141,0))</f>
        <v>0</v>
      </c>
      <c r="M141" s="124">
        <f t="shared" si="43"/>
        <v>-28.199530584225887</v>
      </c>
      <c r="N141" s="122">
        <f t="shared" si="44"/>
        <v>968.22270638218777</v>
      </c>
      <c r="O141" s="121" t="str">
        <f t="shared" si="45"/>
        <v>OK</v>
      </c>
      <c r="P141">
        <f t="shared" si="46"/>
        <v>878.46759428676205</v>
      </c>
      <c r="Q141">
        <f t="shared" si="47"/>
        <v>0.66351580717852021</v>
      </c>
      <c r="R141">
        <f t="shared" si="48"/>
        <v>0.5</v>
      </c>
      <c r="S141">
        <f t="shared" si="49"/>
        <v>0.75</v>
      </c>
      <c r="T141" s="89">
        <f t="shared" si="50"/>
        <v>2</v>
      </c>
      <c r="U141" s="126">
        <f>IF($D141="",0,IFERROR(LOOKUP(2,1/(($D$3:D140=$D141)*($C$3:C140=$C141)*($A$3:A140&lt;$A141)),$AB$3:AB140),1000))</f>
        <v>1000.6684908377623</v>
      </c>
      <c r="V141" s="126">
        <f t="shared" si="51"/>
        <v>997.63545235822744</v>
      </c>
      <c r="W141">
        <f t="shared" si="52"/>
        <v>904.25865500297914</v>
      </c>
      <c r="X141">
        <f t="shared" si="53"/>
        <v>0.63123533075705895</v>
      </c>
      <c r="Y141">
        <f t="shared" si="54"/>
        <v>968.73630679352198</v>
      </c>
      <c r="Z141">
        <f t="shared" si="55"/>
        <v>0.5458251492837205</v>
      </c>
      <c r="AA141">
        <f>IF($D141="",0,IF($F141&lt;2,0,IF($E141="Win",('Guide &amp; Settings'!$C$42/(($F141-1)*COUNTIFS($A$4:$A$1510,$A141,$E$4:$E$1510,"Win")))*SUMIFS($Z$4:$Z$1510,$A$4:$A$1510,$A141,$E$4:$E$1510,"Loss"),-('Guide &amp; Settings'!$C$42/($F141-1))*$Z141)))</f>
        <v>-17.466404777079056</v>
      </c>
      <c r="AB141" s="126">
        <f t="shared" si="56"/>
        <v>983.2020860606832</v>
      </c>
      <c r="AC141" s="126">
        <f>IF($D141="","",IF($AD141=0,0,IF(COUNTIFS($D$4:$D141,$D141,$B$4:$B141,$B141)&gt;1,0,IF($B141&lt;'Guide &amp; Settings'!$C$50,0,IF(($B141-$AD141)/7-'Guide &amp; Settings'!$C$48&gt;=0,(INT(($B141-$AD141)/7-'Guide &amp; Settings'!$C$48)+1)*'Guide &amp; Settings'!$C$49,0)))))</f>
        <v>0</v>
      </c>
      <c r="AD141" s="142">
        <f t="shared" si="57"/>
        <v>46177</v>
      </c>
      <c r="AE141">
        <f t="shared" si="58"/>
        <v>1</v>
      </c>
      <c r="AF141">
        <f t="shared" si="59"/>
        <v>0</v>
      </c>
    </row>
    <row r="142" spans="1:32" ht="15" customHeight="1" x14ac:dyDescent="0.2">
      <c r="A142" s="117">
        <v>66</v>
      </c>
      <c r="B142" s="118">
        <v>46188</v>
      </c>
      <c r="C142" s="119" t="s">
        <v>49</v>
      </c>
      <c r="D142" s="119" t="s">
        <v>21</v>
      </c>
      <c r="E142" s="117" t="s">
        <v>370</v>
      </c>
      <c r="F142" s="120">
        <f t="shared" si="40"/>
        <v>2</v>
      </c>
      <c r="G142" s="121" t="str">
        <f t="shared" si="41"/>
        <v>Simon</v>
      </c>
      <c r="H142" s="122">
        <f>IF($D142="",0,IFERROR(LOOKUP(2,1/(($D$3:D141=$D142)*($A$3:A141&lt;$A142)),$N$3:N141),'Guide &amp; Settings'!$C$41))</f>
        <v>1048.2478545797917</v>
      </c>
      <c r="I142" s="123">
        <f t="shared" si="42"/>
        <v>0.65217391304347827</v>
      </c>
      <c r="J142" s="124">
        <f>IF($D142="",0,IF($F142&lt;2,0,IF($E142="Win",('Guide &amp; Settings'!$C$42/(($F142-1)*COUNTIFS($A$4:$A$1510,$A142,$E$4:$E$1510,"Win")))*SUMIFS($X$4:$X$1510,$A$4:$A$1510,$A142,$E$4:$E$1510,"Loss"),-('Guide &amp; Settings'!$C$42/($F142-1))*$X142)))</f>
        <v>12.838121542381584</v>
      </c>
      <c r="K142" s="124">
        <f>IF($D142="",0,'Guide &amp; Settings'!$C$43*(IF($E142="Win",1,0)-$I142))</f>
        <v>4.1739130434782608</v>
      </c>
      <c r="L142" s="125">
        <f>IF($D142="",0,'Guide &amp; Settings'!$C$44*IF($F142&gt;=3,$F142,0))</f>
        <v>0</v>
      </c>
      <c r="M142" s="124">
        <f t="shared" si="43"/>
        <v>17.012034585859844</v>
      </c>
      <c r="N142" s="122">
        <f t="shared" si="44"/>
        <v>1065.2598891656514</v>
      </c>
      <c r="O142" s="121" t="str">
        <f t="shared" si="45"/>
        <v>OK</v>
      </c>
      <c r="P142">
        <f t="shared" si="46"/>
        <v>1048.2478545797917</v>
      </c>
      <c r="Q142">
        <f t="shared" si="47"/>
        <v>0.5</v>
      </c>
      <c r="R142">
        <f t="shared" si="48"/>
        <v>0.75</v>
      </c>
      <c r="S142">
        <f t="shared" si="49"/>
        <v>1.1499999999999999</v>
      </c>
      <c r="T142" s="89">
        <f t="shared" si="50"/>
        <v>2</v>
      </c>
      <c r="U142" s="126">
        <f>IF($D142="",0,IFERROR(LOOKUP(2,1/(($D$3:D141=$D142)*($C$3:C141=$C142)*($A$3:A141&lt;$A142)),$AB$3:AB141),1000))</f>
        <v>1031.3315091622376</v>
      </c>
      <c r="V142" s="126">
        <f t="shared" si="51"/>
        <v>1043.4146130319191</v>
      </c>
      <c r="W142">
        <f t="shared" si="52"/>
        <v>1043.4146130319191</v>
      </c>
      <c r="X142">
        <f t="shared" si="53"/>
        <v>0.5</v>
      </c>
      <c r="Y142">
        <f t="shared" si="54"/>
        <v>1031.3315091622376</v>
      </c>
      <c r="Z142">
        <f t="shared" si="55"/>
        <v>0.5</v>
      </c>
      <c r="AA142">
        <f>IF($D142="",0,IF($F142&lt;2,0,IF($E142="Win",('Guide &amp; Settings'!$C$42/(($F142-1)*COUNTIFS($A$4:$A$1510,$A142,$E$4:$E$1510,"Win")))*SUMIFS($Z$4:$Z$1510,$A$4:$A$1510,$A142,$E$4:$E$1510,"Loss"),-('Guide &amp; Settings'!$C$42/($F142-1))*$Z142)))</f>
        <v>13.797627933361934</v>
      </c>
      <c r="AB142" s="126">
        <f t="shared" si="56"/>
        <v>1045.1291370955996</v>
      </c>
      <c r="AC142" s="126">
        <f>IF($D142="","",IF($AD142=0,0,IF(COUNTIFS($D$4:$D142,$D142,$B$4:$B142,$B142)&gt;1,0,IF($B142&lt;'Guide &amp; Settings'!$C$50,0,IF(($B142-$AD142)/7-'Guide &amp; Settings'!$C$48&gt;=0,(INT(($B142-$AD142)/7-'Guide &amp; Settings'!$C$48)+1)*'Guide &amp; Settings'!$C$49,0)))))</f>
        <v>0</v>
      </c>
      <c r="AD142" s="142">
        <f t="shared" si="57"/>
        <v>46175</v>
      </c>
      <c r="AE142">
        <f t="shared" si="58"/>
        <v>1</v>
      </c>
      <c r="AF142">
        <f t="shared" si="59"/>
        <v>0</v>
      </c>
    </row>
    <row r="143" spans="1:32" ht="15" customHeight="1" x14ac:dyDescent="0.2">
      <c r="A143" s="117">
        <v>66</v>
      </c>
      <c r="B143" s="118">
        <v>46188</v>
      </c>
      <c r="C143" s="119" t="s">
        <v>49</v>
      </c>
      <c r="D143" s="119" t="s">
        <v>25</v>
      </c>
      <c r="E143" s="117" t="s">
        <v>371</v>
      </c>
      <c r="F143" s="120">
        <f t="shared" si="40"/>
        <v>2</v>
      </c>
      <c r="G143" s="121" t="str">
        <f t="shared" si="41"/>
        <v>Simon</v>
      </c>
      <c r="H143" s="122">
        <f>IF($D143="",0,IFERROR(LOOKUP(2,1/(($D$3:D142=$D143)*($A$3:A142&lt;$A143)),$N$3:N142),'Guide &amp; Settings'!$C$41))</f>
        <v>968.22270638218777</v>
      </c>
      <c r="I143" s="123">
        <f t="shared" si="42"/>
        <v>0.34782608695652178</v>
      </c>
      <c r="J143" s="124">
        <f>IF($D143="",0,IF($F143&lt;2,0,IF($E143="Win",('Guide &amp; Settings'!$C$42/(($F143-1)*COUNTIFS($A$4:$A$1510,$A143,$E$4:$E$1510,"Win")))*SUMIFS($X$4:$X$1510,$A$4:$A$1510,$A143,$E$4:$E$1510,"Loss"),-('Guide &amp; Settings'!$C$42/($F143-1))*$X143)))</f>
        <v>-12.838121542381584</v>
      </c>
      <c r="K143" s="124">
        <f>IF($D143="",0,'Guide &amp; Settings'!$C$43*(IF($E143="Win",1,0)-$I143))</f>
        <v>-4.1739130434782616</v>
      </c>
      <c r="L143" s="125">
        <f>IF($D143="",0,'Guide &amp; Settings'!$C$44*IF($F143&gt;=3,$F143,0))</f>
        <v>0</v>
      </c>
      <c r="M143" s="124">
        <f t="shared" si="43"/>
        <v>-17.012034585859844</v>
      </c>
      <c r="N143" s="122">
        <f t="shared" si="44"/>
        <v>951.21067179632792</v>
      </c>
      <c r="O143" s="121" t="str">
        <f t="shared" si="45"/>
        <v>OK</v>
      </c>
      <c r="P143">
        <f t="shared" si="46"/>
        <v>1048.2478545797917</v>
      </c>
      <c r="Q143">
        <f t="shared" si="47"/>
        <v>0.38682884222273406</v>
      </c>
      <c r="R143">
        <f t="shared" si="48"/>
        <v>0.4</v>
      </c>
      <c r="S143">
        <f t="shared" si="49"/>
        <v>1.1499999999999999</v>
      </c>
      <c r="T143" s="89">
        <f t="shared" si="50"/>
        <v>3</v>
      </c>
      <c r="U143" s="126">
        <f>IF($D143="",0,IFERROR(LOOKUP(2,1/(($D$3:D142=$D143)*($C$3:C142=$C143)*($A$3:A142&lt;$A143)),$AB$3:AB142),1000))</f>
        <v>983.2020860606832</v>
      </c>
      <c r="V143" s="126">
        <f t="shared" si="51"/>
        <v>973.83997376162358</v>
      </c>
      <c r="W143">
        <f t="shared" si="52"/>
        <v>1043.4146130319191</v>
      </c>
      <c r="X143">
        <f t="shared" si="53"/>
        <v>0.40119129819942451</v>
      </c>
      <c r="Y143">
        <f t="shared" si="54"/>
        <v>1031.3315091622376</v>
      </c>
      <c r="Z143">
        <f t="shared" si="55"/>
        <v>0.43117587291756043</v>
      </c>
      <c r="AA143">
        <f>IF($D143="",0,IF($F143&lt;2,0,IF($E143="Win",('Guide &amp; Settings'!$C$42/(($F143-1)*COUNTIFS($A$4:$A$1510,$A143,$E$4:$E$1510,"Win")))*SUMIFS($Z$4:$Z$1510,$A$4:$A$1510,$A143,$E$4:$E$1510,"Loss"),-('Guide &amp; Settings'!$C$42/($F143-1))*$Z143)))</f>
        <v>-13.797627933361934</v>
      </c>
      <c r="AB143" s="126">
        <f t="shared" si="56"/>
        <v>969.40445812732128</v>
      </c>
      <c r="AC143" s="126">
        <f>IF($D143="","",IF($AD143=0,0,IF(COUNTIFS($D$4:$D143,$D143,$B$4:$B143,$B143)&gt;1,0,IF($B143&lt;'Guide &amp; Settings'!$C$50,0,IF(($B143-$AD143)/7-'Guide &amp; Settings'!$C$48&gt;=0,(INT(($B143-$AD143)/7-'Guide &amp; Settings'!$C$48)+1)*'Guide &amp; Settings'!$C$49,0)))))</f>
        <v>0</v>
      </c>
      <c r="AD143" s="142">
        <f t="shared" si="57"/>
        <v>46177</v>
      </c>
      <c r="AE143">
        <f t="shared" si="58"/>
        <v>1</v>
      </c>
      <c r="AF143">
        <f t="shared" si="59"/>
        <v>0</v>
      </c>
    </row>
    <row r="144" spans="1:32" ht="15" customHeight="1" x14ac:dyDescent="0.2">
      <c r="A144" s="117">
        <v>67</v>
      </c>
      <c r="B144" s="118">
        <v>46188</v>
      </c>
      <c r="C144" s="119" t="s">
        <v>49</v>
      </c>
      <c r="D144" s="119" t="s">
        <v>24</v>
      </c>
      <c r="E144" s="117" t="s">
        <v>370</v>
      </c>
      <c r="F144" s="120">
        <f t="shared" si="40"/>
        <v>2</v>
      </c>
      <c r="G144" s="121" t="str">
        <f t="shared" si="41"/>
        <v>Cody</v>
      </c>
      <c r="H144" s="122">
        <f>IF($D144="",0,IFERROR(LOOKUP(2,1/(($D$3:D143=$D144)*($A$3:A143&lt;$A144)),$N$3:N143),'Guide &amp; Settings'!$C$41))</f>
        <v>906.66712487098789</v>
      </c>
      <c r="I144" s="123">
        <f t="shared" si="42"/>
        <v>0.54545454545454541</v>
      </c>
      <c r="J144" s="124">
        <f>IF($D144="",0,IF($F144&lt;2,0,IF($E144="Win",('Guide &amp; Settings'!$C$42/(($F144-1)*COUNTIFS($A$4:$A$1510,$A144,$E$4:$E$1510,"Win")))*SUMIFS($X$4:$X$1510,$A$4:$A$1510,$A144,$E$4:$E$1510,"Loss"),-('Guide &amp; Settings'!$C$42/($F144-1))*$X144)))</f>
        <v>17.048649743793796</v>
      </c>
      <c r="K144" s="124">
        <f>IF($D144="",0,'Guide &amp; Settings'!$C$43*(IF($E144="Win",1,0)-$I144))</f>
        <v>5.454545454545455</v>
      </c>
      <c r="L144" s="125">
        <f>IF($D144="",0,'Guide &amp; Settings'!$C$44*IF($F144&gt;=3,$F144,0))</f>
        <v>0</v>
      </c>
      <c r="M144" s="124">
        <f t="shared" si="43"/>
        <v>22.503195198339249</v>
      </c>
      <c r="N144" s="122">
        <f t="shared" si="44"/>
        <v>929.17032006932709</v>
      </c>
      <c r="O144" s="121" t="str">
        <f t="shared" si="45"/>
        <v>OK</v>
      </c>
      <c r="P144">
        <f t="shared" si="46"/>
        <v>906.66712487098789</v>
      </c>
      <c r="Q144">
        <f t="shared" si="47"/>
        <v>0.5</v>
      </c>
      <c r="R144">
        <f t="shared" si="48"/>
        <v>0.4</v>
      </c>
      <c r="S144">
        <f t="shared" si="49"/>
        <v>0.73333333333333339</v>
      </c>
      <c r="T144" s="89">
        <f t="shared" si="50"/>
        <v>3</v>
      </c>
      <c r="U144" s="126">
        <f>IF($D144="",0,IFERROR(LOOKUP(2,1/(($D$3:D143=$D144)*($C$3:C143=$C144)*($A$3:A143&lt;$A144)),$AB$3:AB143),1000))</f>
        <v>986.20271157060108</v>
      </c>
      <c r="V144" s="126">
        <f t="shared" si="51"/>
        <v>936.49296988334288</v>
      </c>
      <c r="W144">
        <f t="shared" si="52"/>
        <v>936.49296988334288</v>
      </c>
      <c r="X144">
        <f t="shared" si="53"/>
        <v>0.5</v>
      </c>
      <c r="Y144">
        <f t="shared" si="54"/>
        <v>986.20271157060108</v>
      </c>
      <c r="Z144">
        <f t="shared" si="55"/>
        <v>0.5</v>
      </c>
      <c r="AA144">
        <f>IF($D144="",0,IF($F144&lt;2,0,IF($E144="Win",('Guide &amp; Settings'!$C$42/(($F144-1)*COUNTIFS($A$4:$A$1510,$A144,$E$4:$E$1510,"Win")))*SUMIFS($Z$4:$Z$1510,$A$4:$A$1510,$A144,$E$4:$E$1510,"Loss"),-('Guide &amp; Settings'!$C$42/($F144-1))*$Z144)))</f>
        <v>15.227014070577207</v>
      </c>
      <c r="AB144" s="126">
        <f t="shared" si="56"/>
        <v>1001.4297256411783</v>
      </c>
      <c r="AC144" s="126">
        <f>IF($D144="","",IF($AD144=0,0,IF(COUNTIFS($D$4:$D144,$D144,$B$4:$B144,$B144)&gt;1,0,IF($B144&lt;'Guide &amp; Settings'!$C$50,0,IF(($B144-$AD144)/7-'Guide &amp; Settings'!$C$48&gt;=0,(INT(($B144-$AD144)/7-'Guide &amp; Settings'!$C$48)+1)*'Guide &amp; Settings'!$C$49,0)))))</f>
        <v>0</v>
      </c>
      <c r="AD144" s="142">
        <f t="shared" si="57"/>
        <v>46175</v>
      </c>
      <c r="AE144">
        <f t="shared" si="58"/>
        <v>1</v>
      </c>
      <c r="AF144">
        <f t="shared" si="59"/>
        <v>0</v>
      </c>
    </row>
    <row r="145" spans="1:32" ht="15" customHeight="1" x14ac:dyDescent="0.2">
      <c r="A145" s="117">
        <v>67</v>
      </c>
      <c r="B145" s="118">
        <v>46188</v>
      </c>
      <c r="C145" s="119" t="s">
        <v>49</v>
      </c>
      <c r="D145" s="119" t="s">
        <v>25</v>
      </c>
      <c r="E145" s="117" t="s">
        <v>371</v>
      </c>
      <c r="F145" s="120">
        <f t="shared" si="40"/>
        <v>2</v>
      </c>
      <c r="G145" s="121" t="str">
        <f t="shared" si="41"/>
        <v>Cody</v>
      </c>
      <c r="H145" s="122">
        <f>IF($D145="",0,IFERROR(LOOKUP(2,1/(($D$3:D144=$D145)*($A$3:A144&lt;$A145)),$N$3:N144),'Guide &amp; Settings'!$C$41))</f>
        <v>951.21067179632792</v>
      </c>
      <c r="I145" s="123">
        <f t="shared" si="42"/>
        <v>0.45454545454545447</v>
      </c>
      <c r="J145" s="124">
        <f>IF($D145="",0,IF($F145&lt;2,0,IF($E145="Win",('Guide &amp; Settings'!$C$42/(($F145-1)*COUNTIFS($A$4:$A$1510,$A145,$E$4:$E$1510,"Win")))*SUMIFS($X$4:$X$1510,$A$4:$A$1510,$A145,$E$4:$E$1510,"Loss"),-('Guide &amp; Settings'!$C$42/($F145-1))*$X145)))</f>
        <v>-17.048649743793796</v>
      </c>
      <c r="K145" s="124">
        <f>IF($D145="",0,'Guide &amp; Settings'!$C$43*(IF($E145="Win",1,0)-$I145))</f>
        <v>-5.4545454545454533</v>
      </c>
      <c r="L145" s="125">
        <f>IF($D145="",0,'Guide &amp; Settings'!$C$44*IF($F145&gt;=3,$F145,0))</f>
        <v>0</v>
      </c>
      <c r="M145" s="124">
        <f t="shared" si="43"/>
        <v>-22.503195198339249</v>
      </c>
      <c r="N145" s="122">
        <f t="shared" si="44"/>
        <v>928.70747659798872</v>
      </c>
      <c r="O145" s="121" t="str">
        <f t="shared" si="45"/>
        <v>OK</v>
      </c>
      <c r="P145">
        <f t="shared" si="46"/>
        <v>906.66712487098789</v>
      </c>
      <c r="Q145">
        <f t="shared" si="47"/>
        <v>0.56375439008630335</v>
      </c>
      <c r="R145">
        <f t="shared" si="48"/>
        <v>0.33333333333333331</v>
      </c>
      <c r="S145">
        <f t="shared" si="49"/>
        <v>0.73333333333333339</v>
      </c>
      <c r="T145" s="89">
        <f t="shared" si="50"/>
        <v>4</v>
      </c>
      <c r="U145" s="126">
        <f>IF($D145="",0,IFERROR(LOOKUP(2,1/(($D$3:D144=$D145)*($C$3:C144=$C145)*($A$3:A144&lt;$A145)),$AB$3:AB144),1000))</f>
        <v>969.40445812732128</v>
      </c>
      <c r="V145" s="126">
        <f t="shared" si="51"/>
        <v>959.29679905454714</v>
      </c>
      <c r="W145">
        <f t="shared" si="52"/>
        <v>936.49296988334288</v>
      </c>
      <c r="X145">
        <f t="shared" si="53"/>
        <v>0.53277030449355611</v>
      </c>
      <c r="Y145">
        <f t="shared" si="54"/>
        <v>986.20271157060108</v>
      </c>
      <c r="Z145">
        <f t="shared" si="55"/>
        <v>0.47584418970553771</v>
      </c>
      <c r="AA145">
        <f>IF($D145="",0,IF($F145&lt;2,0,IF($E145="Win",('Guide &amp; Settings'!$C$42/(($F145-1)*COUNTIFS($A$4:$A$1510,$A145,$E$4:$E$1510,"Win")))*SUMIFS($Z$4:$Z$1510,$A$4:$A$1510,$A145,$E$4:$E$1510,"Loss"),-('Guide &amp; Settings'!$C$42/($F145-1))*$Z145)))</f>
        <v>-15.227014070577207</v>
      </c>
      <c r="AB145" s="126">
        <f t="shared" si="56"/>
        <v>954.17744405674409</v>
      </c>
      <c r="AC145" s="126">
        <f>IF($D145="","",IF($AD145=0,0,IF(COUNTIFS($D$4:$D145,$D145,$B$4:$B145,$B145)&gt;1,0,IF($B145&lt;'Guide &amp; Settings'!$C$50,0,IF(($B145-$AD145)/7-'Guide &amp; Settings'!$C$48&gt;=0,(INT(($B145-$AD145)/7-'Guide &amp; Settings'!$C$48)+1)*'Guide &amp; Settings'!$C$49,0)))))</f>
        <v>0</v>
      </c>
      <c r="AD145" s="142">
        <f t="shared" si="57"/>
        <v>46177</v>
      </c>
      <c r="AE145">
        <f t="shared" si="58"/>
        <v>1</v>
      </c>
      <c r="AF145">
        <f t="shared" si="59"/>
        <v>0</v>
      </c>
    </row>
    <row r="146" spans="1:32" ht="15" customHeight="1" x14ac:dyDescent="0.2">
      <c r="A146" s="117">
        <v>68</v>
      </c>
      <c r="B146" s="118">
        <v>46188</v>
      </c>
      <c r="C146" s="119" t="s">
        <v>49</v>
      </c>
      <c r="D146" s="119" t="s">
        <v>21</v>
      </c>
      <c r="E146" s="117" t="s">
        <v>370</v>
      </c>
      <c r="F146" s="120">
        <f t="shared" si="40"/>
        <v>2</v>
      </c>
      <c r="G146" s="121" t="str">
        <f t="shared" si="41"/>
        <v>Simon</v>
      </c>
      <c r="H146" s="122">
        <f>IF($D146="",0,IFERROR(LOOKUP(2,1/(($D$3:D145=$D146)*($A$3:A145&lt;$A146)),$N$3:N145),'Guide &amp; Settings'!$C$41))</f>
        <v>1065.2598891656514</v>
      </c>
      <c r="I146" s="123">
        <f t="shared" si="42"/>
        <v>0.61538461538461542</v>
      </c>
      <c r="J146" s="124">
        <f>IF($D146="",0,IF($F146&lt;2,0,IF($E146="Win",('Guide &amp; Settings'!$C$42/(($F146-1)*COUNTIFS($A$4:$A$1510,$A146,$E$4:$E$1510,"Win")))*SUMIFS($X$4:$X$1510,$A$4:$A$1510,$A146,$E$4:$E$1510,"Loss"),-('Guide &amp; Settings'!$C$42/($F146-1))*$X146)))</f>
        <v>11.670058185682469</v>
      </c>
      <c r="K146" s="124">
        <f>IF($D146="",0,'Guide &amp; Settings'!$C$43*(IF($E146="Win",1,0)-$I146))</f>
        <v>4.615384615384615</v>
      </c>
      <c r="L146" s="125">
        <f>IF($D146="",0,'Guide &amp; Settings'!$C$44*IF($F146&gt;=3,$F146,0))</f>
        <v>0</v>
      </c>
      <c r="M146" s="124">
        <f t="shared" si="43"/>
        <v>16.285442801067084</v>
      </c>
      <c r="N146" s="122">
        <f t="shared" si="44"/>
        <v>1081.5453319667185</v>
      </c>
      <c r="O146" s="121" t="str">
        <f t="shared" si="45"/>
        <v>OK</v>
      </c>
      <c r="P146">
        <f t="shared" si="46"/>
        <v>1065.2598891656514</v>
      </c>
      <c r="Q146">
        <f t="shared" si="47"/>
        <v>0.5</v>
      </c>
      <c r="R146">
        <f t="shared" si="48"/>
        <v>0.8</v>
      </c>
      <c r="S146">
        <f t="shared" si="49"/>
        <v>1.3</v>
      </c>
      <c r="T146" s="89">
        <f t="shared" si="50"/>
        <v>3</v>
      </c>
      <c r="U146" s="126">
        <f>IF($D146="",0,IFERROR(LOOKUP(2,1/(($D$3:D145=$D146)*($C$3:C145=$C146)*($A$3:A145&lt;$A146)),$AB$3:AB145),1000))</f>
        <v>1045.1291370955996</v>
      </c>
      <c r="V146" s="126">
        <f t="shared" si="51"/>
        <v>1057.7108571393819</v>
      </c>
      <c r="W146">
        <f t="shared" si="52"/>
        <v>1057.7108571393819</v>
      </c>
      <c r="X146">
        <f t="shared" si="53"/>
        <v>0.5</v>
      </c>
      <c r="Y146">
        <f t="shared" si="54"/>
        <v>1045.1291370955996</v>
      </c>
      <c r="Z146">
        <f t="shared" si="55"/>
        <v>0.5</v>
      </c>
      <c r="AA146">
        <f>IF($D146="",0,IF($F146&lt;2,0,IF($E146="Win",('Guide &amp; Settings'!$C$42/(($F146-1)*COUNTIFS($A$4:$A$1510,$A146,$E$4:$E$1510,"Win")))*SUMIFS($Z$4:$Z$1510,$A$4:$A$1510,$A146,$E$4:$E$1510,"Loss"),-('Guide &amp; Settings'!$C$42/($F146-1))*$Z146)))</f>
        <v>13.998113137409879</v>
      </c>
      <c r="AB146" s="126">
        <f t="shared" si="56"/>
        <v>1059.1272502330096</v>
      </c>
      <c r="AC146" s="126">
        <f>IF($D146="","",IF($AD146=0,0,IF(COUNTIFS($D$4:$D146,$D146,$B$4:$B146,$B146)&gt;1,0,IF($B146&lt;'Guide &amp; Settings'!$C$50,0,IF(($B146-$AD146)/7-'Guide &amp; Settings'!$C$48&gt;=0,(INT(($B146-$AD146)/7-'Guide &amp; Settings'!$C$48)+1)*'Guide &amp; Settings'!$C$49,0)))))</f>
        <v>0</v>
      </c>
      <c r="AD146" s="142">
        <f t="shared" si="57"/>
        <v>46175</v>
      </c>
      <c r="AE146">
        <f t="shared" si="58"/>
        <v>1</v>
      </c>
      <c r="AF146">
        <f t="shared" si="59"/>
        <v>0</v>
      </c>
    </row>
    <row r="147" spans="1:32" ht="15" customHeight="1" x14ac:dyDescent="0.2">
      <c r="A147" s="117">
        <v>68</v>
      </c>
      <c r="B147" s="118">
        <v>46188</v>
      </c>
      <c r="C147" s="119" t="s">
        <v>49</v>
      </c>
      <c r="D147" s="119" t="s">
        <v>24</v>
      </c>
      <c r="E147" s="117" t="s">
        <v>371</v>
      </c>
      <c r="F147" s="120">
        <f t="shared" si="40"/>
        <v>2</v>
      </c>
      <c r="G147" s="121" t="str">
        <f t="shared" si="41"/>
        <v>Simon</v>
      </c>
      <c r="H147" s="122">
        <f>IF($D147="",0,IFERROR(LOOKUP(2,1/(($D$3:D146=$D147)*($A$3:A146&lt;$A147)),$N$3:N146),'Guide &amp; Settings'!$C$41))</f>
        <v>929.17032006932709</v>
      </c>
      <c r="I147" s="123">
        <f t="shared" si="42"/>
        <v>0.38461538461538458</v>
      </c>
      <c r="J147" s="124">
        <f>IF($D147="",0,IF($F147&lt;2,0,IF($E147="Win",('Guide &amp; Settings'!$C$42/(($F147-1)*COUNTIFS($A$4:$A$1510,$A147,$E$4:$E$1510,"Win")))*SUMIFS($X$4:$X$1510,$A$4:$A$1510,$A147,$E$4:$E$1510,"Loss"),-('Guide &amp; Settings'!$C$42/($F147-1))*$X147)))</f>
        <v>-11.670058185682469</v>
      </c>
      <c r="K147" s="124">
        <f>IF($D147="",0,'Guide &amp; Settings'!$C$43*(IF($E147="Win",1,0)-$I147))</f>
        <v>-4.615384615384615</v>
      </c>
      <c r="L147" s="125">
        <f>IF($D147="",0,'Guide &amp; Settings'!$C$44*IF($F147&gt;=3,$F147,0))</f>
        <v>0</v>
      </c>
      <c r="M147" s="124">
        <f t="shared" si="43"/>
        <v>-16.285442801067084</v>
      </c>
      <c r="N147" s="122">
        <f t="shared" si="44"/>
        <v>912.88487726825997</v>
      </c>
      <c r="O147" s="121" t="str">
        <f t="shared" si="45"/>
        <v>OK</v>
      </c>
      <c r="P147">
        <f t="shared" si="46"/>
        <v>1065.2598891656514</v>
      </c>
      <c r="Q147">
        <f t="shared" si="47"/>
        <v>0.31358874806453874</v>
      </c>
      <c r="R147">
        <f t="shared" si="48"/>
        <v>0.5</v>
      </c>
      <c r="S147">
        <f t="shared" si="49"/>
        <v>1.3</v>
      </c>
      <c r="T147" s="89">
        <f t="shared" si="50"/>
        <v>4</v>
      </c>
      <c r="U147" s="126">
        <f>IF($D147="",0,IFERROR(LOOKUP(2,1/(($D$3:D146=$D147)*($C$3:C146=$C147)*($A$3:A146&lt;$A147)),$AB$3:AB146),1000))</f>
        <v>1001.4297256411783</v>
      </c>
      <c r="V147" s="126">
        <f t="shared" si="51"/>
        <v>961.28561143459433</v>
      </c>
      <c r="W147">
        <f t="shared" si="52"/>
        <v>1057.7108571393819</v>
      </c>
      <c r="X147">
        <f t="shared" si="53"/>
        <v>0.36468931830257717</v>
      </c>
      <c r="Y147">
        <f t="shared" si="54"/>
        <v>1045.1291370955996</v>
      </c>
      <c r="Z147">
        <f t="shared" si="55"/>
        <v>0.43744103554405872</v>
      </c>
      <c r="AA147">
        <f>IF($D147="",0,IF($F147&lt;2,0,IF($E147="Win",('Guide &amp; Settings'!$C$42/(($F147-1)*COUNTIFS($A$4:$A$1510,$A147,$E$4:$E$1510,"Win")))*SUMIFS($Z$4:$Z$1510,$A$4:$A$1510,$A147,$E$4:$E$1510,"Loss"),-('Guide &amp; Settings'!$C$42/($F147-1))*$Z147)))</f>
        <v>-13.998113137409879</v>
      </c>
      <c r="AB147" s="126">
        <f t="shared" si="56"/>
        <v>987.43161250376841</v>
      </c>
      <c r="AC147" s="126">
        <f>IF($D147="","",IF($AD147=0,0,IF(COUNTIFS($D$4:$D147,$D147,$B$4:$B147,$B147)&gt;1,0,IF($B147&lt;'Guide &amp; Settings'!$C$50,0,IF(($B147-$AD147)/7-'Guide &amp; Settings'!$C$48&gt;=0,(INT(($B147-$AD147)/7-'Guide &amp; Settings'!$C$48)+1)*'Guide &amp; Settings'!$C$49,0)))))</f>
        <v>0</v>
      </c>
      <c r="AD147" s="142">
        <f t="shared" si="57"/>
        <v>46175</v>
      </c>
      <c r="AE147">
        <f t="shared" si="58"/>
        <v>1</v>
      </c>
      <c r="AF147">
        <f t="shared" si="59"/>
        <v>0</v>
      </c>
    </row>
    <row r="148" spans="1:32" ht="15" customHeight="1" x14ac:dyDescent="0.2">
      <c r="A148" s="117">
        <v>69</v>
      </c>
      <c r="B148" s="118">
        <v>46188</v>
      </c>
      <c r="C148" s="119" t="s">
        <v>49</v>
      </c>
      <c r="D148" s="119" t="s">
        <v>20</v>
      </c>
      <c r="E148" s="117" t="s">
        <v>370</v>
      </c>
      <c r="F148" s="120">
        <f t="shared" si="40"/>
        <v>4</v>
      </c>
      <c r="G148" s="121" t="str">
        <f t="shared" si="41"/>
        <v>Josh</v>
      </c>
      <c r="H148" s="122">
        <f>IF($D148="",0,IFERROR(LOOKUP(2,1/(($D$3:D147=$D148)*($A$3:A147&lt;$A148)),$N$3:N147),'Guide &amp; Settings'!$C$41))</f>
        <v>988.87195028457745</v>
      </c>
      <c r="I148" s="123">
        <f t="shared" si="42"/>
        <v>0.2608695652173913</v>
      </c>
      <c r="J148" s="124">
        <f>IF($D148="",0,IF($F148&lt;2,0,IF($E148="Win",('Guide &amp; Settings'!$C$42/(($F148-1)*COUNTIFS($A$4:$A$1510,$A148,$E$4:$E$1510,"Win")))*SUMIFS($X$4:$X$1510,$A$4:$A$1510,$A148,$E$4:$E$1510,"Loss"),-('Guide &amp; Settings'!$C$42/($F148-1))*$X148)))</f>
        <v>4.9841411411238923</v>
      </c>
      <c r="K148" s="124">
        <f>IF($D148="",0,'Guide &amp; Settings'!$C$43*(IF($E148="Win",1,0)-$I148))</f>
        <v>8.8695652173913047</v>
      </c>
      <c r="L148" s="125">
        <f>IF($D148="",0,'Guide &amp; Settings'!$C$44*IF($F148&gt;=3,$F148,0))</f>
        <v>4</v>
      </c>
      <c r="M148" s="124">
        <f t="shared" si="43"/>
        <v>17.853706358515197</v>
      </c>
      <c r="N148" s="122">
        <f t="shared" si="44"/>
        <v>1006.7256566430926</v>
      </c>
      <c r="O148" s="121" t="str">
        <f t="shared" si="45"/>
        <v>OK (team)</v>
      </c>
      <c r="P148">
        <f t="shared" si="46"/>
        <v>1055.5153114017608</v>
      </c>
      <c r="Q148">
        <f t="shared" si="47"/>
        <v>0.40525167846416971</v>
      </c>
      <c r="R148">
        <f t="shared" si="48"/>
        <v>0.5</v>
      </c>
      <c r="S148">
        <f t="shared" si="49"/>
        <v>1.9166666666666665</v>
      </c>
      <c r="T148" s="89">
        <f t="shared" si="50"/>
        <v>2</v>
      </c>
      <c r="U148" s="126">
        <f>IF($D148="",0,IFERROR(LOOKUP(2,1/(($D$3:D147=$D148)*($C$3:C147=$C148)*($A$3:A147&lt;$A148)),$AB$3:AB147),1000))</f>
        <v>999.26369320647802</v>
      </c>
      <c r="V148" s="126">
        <f t="shared" si="51"/>
        <v>991.84101969083486</v>
      </c>
      <c r="W148">
        <f t="shared" si="52"/>
        <v>1045.4866233949774</v>
      </c>
      <c r="X148">
        <f t="shared" si="53"/>
        <v>0.42340549494706564</v>
      </c>
      <c r="Y148">
        <f t="shared" si="54"/>
        <v>991.63184660323896</v>
      </c>
      <c r="Z148">
        <f t="shared" si="55"/>
        <v>0.51098134397425776</v>
      </c>
      <c r="AA148">
        <f>IF($D148="",0,IF($F148&lt;2,0,IF($E148="Win",('Guide &amp; Settings'!$C$42/(($F148-1)*COUNTIFS($A$4:$A$1510,$A148,$E$4:$E$1510,"Win")))*SUMIFS($Z$4:$Z$1510,$A$4:$A$1510,$A148,$E$4:$E$1510,"Loss"),-('Guide &amp; Settings'!$C$42/($F148-1))*$Z148)))</f>
        <v>5.583216429050422</v>
      </c>
      <c r="AB148" s="126">
        <f t="shared" si="56"/>
        <v>1004.8469096355284</v>
      </c>
      <c r="AC148" s="126">
        <f>IF($D148="","",IF($AD148=0,0,IF(COUNTIFS($D$4:$D148,$D148,$B$4:$B148,$B148)&gt;1,0,IF($B148&lt;'Guide &amp; Settings'!$C$50,0,IF(($B148-$AD148)/7-'Guide &amp; Settings'!$C$48&gt;=0,(INT(($B148-$AD148)/7-'Guide &amp; Settings'!$C$48)+1)*'Guide &amp; Settings'!$C$49,0)))))</f>
        <v>0</v>
      </c>
      <c r="AD148" s="142">
        <f t="shared" si="57"/>
        <v>46177</v>
      </c>
      <c r="AE148">
        <f t="shared" si="58"/>
        <v>2</v>
      </c>
      <c r="AF148">
        <f t="shared" si="59"/>
        <v>0</v>
      </c>
    </row>
    <row r="149" spans="1:32" ht="15" customHeight="1" x14ac:dyDescent="0.2">
      <c r="A149" s="117">
        <v>69</v>
      </c>
      <c r="B149" s="118">
        <v>46188</v>
      </c>
      <c r="C149" s="119" t="s">
        <v>49</v>
      </c>
      <c r="D149" s="119" t="s">
        <v>19</v>
      </c>
      <c r="E149" s="117" t="s">
        <v>370</v>
      </c>
      <c r="F149" s="120">
        <f t="shared" si="40"/>
        <v>4</v>
      </c>
      <c r="G149" s="121" t="str">
        <f t="shared" si="41"/>
        <v>Josh</v>
      </c>
      <c r="H149" s="122">
        <f>IF($D149="",0,IFERROR(LOOKUP(2,1/(($D$3:D148=$D149)*($A$3:A148&lt;$A149)),$N$3:N148),'Guide &amp; Settings'!$C$41))</f>
        <v>1122.1586725189438</v>
      </c>
      <c r="I149" s="123">
        <f t="shared" si="42"/>
        <v>0.17391304347826086</v>
      </c>
      <c r="J149" s="124">
        <f>IF($D149="",0,IF($F149&lt;2,0,IF($E149="Win",('Guide &amp; Settings'!$C$42/(($F149-1)*COUNTIFS($A$4:$A$1510,$A149,$E$4:$E$1510,"Win")))*SUMIFS($X$4:$X$1510,$A$4:$A$1510,$A149,$E$4:$E$1510,"Loss"),-('Guide &amp; Settings'!$C$42/($F149-1))*$X149)))</f>
        <v>4.9841411411238923</v>
      </c>
      <c r="K149" s="124">
        <f>IF($D149="",0,'Guide &amp; Settings'!$C$43*(IF($E149="Win",1,0)-$I149))</f>
        <v>9.9130434782608692</v>
      </c>
      <c r="L149" s="125">
        <f>IF($D149="",0,'Guide &amp; Settings'!$C$44*IF($F149&gt;=3,$F149,0))</f>
        <v>4</v>
      </c>
      <c r="M149" s="124">
        <f t="shared" si="43"/>
        <v>18.89718461938476</v>
      </c>
      <c r="N149" s="122">
        <f t="shared" si="44"/>
        <v>1141.0558571383285</v>
      </c>
      <c r="O149" s="121" t="str">
        <f t="shared" si="45"/>
        <v>OK (team)</v>
      </c>
      <c r="P149">
        <f t="shared" si="46"/>
        <v>1055.5153114017608</v>
      </c>
      <c r="Q149">
        <f t="shared" si="47"/>
        <v>0.5947483215358299</v>
      </c>
      <c r="R149">
        <f t="shared" si="48"/>
        <v>0.33333333333333331</v>
      </c>
      <c r="S149">
        <f t="shared" si="49"/>
        <v>1.9166666666666665</v>
      </c>
      <c r="T149" s="89">
        <f t="shared" si="50"/>
        <v>1</v>
      </c>
      <c r="U149" s="126">
        <f>IF($D149="",0,IFERROR(LOOKUP(2,1/(($D$3:D148=$D149)*($C$3:C148=$C149)*($A$3:A148&lt;$A149)),$AB$3:AB148),1000))</f>
        <v>984</v>
      </c>
      <c r="V149" s="126">
        <f t="shared" si="51"/>
        <v>1099.13222709912</v>
      </c>
      <c r="W149">
        <f t="shared" si="52"/>
        <v>1045.4866233949774</v>
      </c>
      <c r="X149">
        <f t="shared" si="53"/>
        <v>0.57659450505293441</v>
      </c>
      <c r="Y149">
        <f t="shared" si="54"/>
        <v>991.63184660323896</v>
      </c>
      <c r="Z149">
        <f t="shared" si="55"/>
        <v>0.48901865602574252</v>
      </c>
      <c r="AA149">
        <f>IF($D149="",0,IF($F149&lt;2,0,IF($E149="Win",('Guide &amp; Settings'!$C$42/(($F149-1)*COUNTIFS($A$4:$A$1510,$A149,$E$4:$E$1510,"Win")))*SUMIFS($Z$4:$Z$1510,$A$4:$A$1510,$A149,$E$4:$E$1510,"Loss"),-('Guide &amp; Settings'!$C$42/($F149-1))*$Z149)))</f>
        <v>5.583216429050422</v>
      </c>
      <c r="AB149" s="126">
        <f t="shared" si="56"/>
        <v>989.58321642905037</v>
      </c>
      <c r="AC149" s="126">
        <f>IF($D149="","",IF($AD149=0,0,IF(COUNTIFS($D$4:$D149,$D149,$B$4:$B149,$B149)&gt;1,0,IF($B149&lt;'Guide &amp; Settings'!$C$50,0,IF(($B149-$AD149)/7-'Guide &amp; Settings'!$C$48&gt;=0,(INT(($B149-$AD149)/7-'Guide &amp; Settings'!$C$48)+1)*'Guide &amp; Settings'!$C$49,0)))))</f>
        <v>0</v>
      </c>
      <c r="AD149" s="142">
        <f t="shared" si="57"/>
        <v>46176</v>
      </c>
      <c r="AE149">
        <f t="shared" si="58"/>
        <v>2</v>
      </c>
      <c r="AF149">
        <f t="shared" si="59"/>
        <v>0</v>
      </c>
    </row>
    <row r="150" spans="1:32" ht="15" customHeight="1" x14ac:dyDescent="0.2">
      <c r="A150" s="117">
        <v>69</v>
      </c>
      <c r="B150" s="118">
        <v>46188</v>
      </c>
      <c r="C150" s="119" t="s">
        <v>49</v>
      </c>
      <c r="D150" s="119" t="s">
        <v>23</v>
      </c>
      <c r="E150" s="117" t="s">
        <v>371</v>
      </c>
      <c r="F150" s="120">
        <f t="shared" si="40"/>
        <v>4</v>
      </c>
      <c r="G150" s="121" t="str">
        <f t="shared" si="41"/>
        <v>Josh</v>
      </c>
      <c r="H150" s="122">
        <f>IF($D150="",0,IFERROR(LOOKUP(2,1/(($D$3:D149=$D150)*($A$3:A149&lt;$A150)),$N$3:N149),'Guide &amp; Settings'!$C$41))</f>
        <v>1092.3924024021815</v>
      </c>
      <c r="I150" s="123">
        <f t="shared" si="42"/>
        <v>0.39130434782608697</v>
      </c>
      <c r="J150" s="124">
        <f>IF($D150="",0,IF($F150&lt;2,0,IF($E150="Win",('Guide &amp; Settings'!$C$42/(($F150-1)*COUNTIFS($A$4:$A$1510,$A150,$E$4:$E$1510,"Win")))*SUMIFS($X$4:$X$1510,$A$4:$A$1510,$A150,$E$4:$E$1510,"Loss"),-('Guide &amp; Settings'!$C$42/($F150-1))*$X150)))</f>
        <v>-5.7873882446727416</v>
      </c>
      <c r="K150" s="124">
        <f>IF($D150="",0,'Guide &amp; Settings'!$C$43*(IF($E150="Win",1,0)-$I150))</f>
        <v>-4.6956521739130439</v>
      </c>
      <c r="L150" s="125">
        <f>IF($D150="",0,'Guide &amp; Settings'!$C$44*IF($F150&gt;=3,$F150,0))</f>
        <v>4</v>
      </c>
      <c r="M150" s="124">
        <f t="shared" si="43"/>
        <v>-6.4830404185857855</v>
      </c>
      <c r="N150" s="122">
        <f t="shared" si="44"/>
        <v>1085.9093619835958</v>
      </c>
      <c r="O150" s="121" t="str">
        <f t="shared" si="45"/>
        <v>OK (team)</v>
      </c>
      <c r="P150">
        <f t="shared" si="46"/>
        <v>1055.5153114017608</v>
      </c>
      <c r="Q150">
        <f t="shared" si="47"/>
        <v>0.55287199928897568</v>
      </c>
      <c r="R150">
        <f t="shared" si="48"/>
        <v>0.75</v>
      </c>
      <c r="S150">
        <f t="shared" si="49"/>
        <v>1.9166666666666665</v>
      </c>
      <c r="T150" s="89">
        <f t="shared" si="50"/>
        <v>2</v>
      </c>
      <c r="U150" s="126">
        <f>IF($D150="",0,IFERROR(LOOKUP(2,1/(($D$3:D149=$D150)*($C$3:C149=$C150)*($A$3:A149&lt;$A150)),$AB$3:AB149),1000))</f>
        <v>1032</v>
      </c>
      <c r="V150" s="126">
        <f t="shared" si="51"/>
        <v>1075.1374302872725</v>
      </c>
      <c r="W150">
        <f t="shared" si="52"/>
        <v>1045.4866233949774</v>
      </c>
      <c r="X150">
        <f t="shared" si="53"/>
        <v>0.54256764793806955</v>
      </c>
      <c r="Y150">
        <f t="shared" si="54"/>
        <v>991.63184660323896</v>
      </c>
      <c r="Z150">
        <f t="shared" si="55"/>
        <v>0.55783442442121178</v>
      </c>
      <c r="AA150">
        <f>IF($D150="",0,IF($F150&lt;2,0,IF($E150="Win",('Guide &amp; Settings'!$C$42/(($F150-1)*COUNTIFS($A$4:$A$1510,$A150,$E$4:$E$1510,"Win")))*SUMIFS($Z$4:$Z$1510,$A$4:$A$1510,$A150,$E$4:$E$1510,"Loss"),-('Guide &amp; Settings'!$C$42/($F150-1))*$Z150)))</f>
        <v>-5.9502338604929257</v>
      </c>
      <c r="AB150" s="126">
        <f t="shared" si="56"/>
        <v>1026.049766139507</v>
      </c>
      <c r="AC150" s="126">
        <f>IF($D150="","",IF($AD150=0,0,IF(COUNTIFS($D$4:$D150,$D150,$B$4:$B150,$B150)&gt;1,0,IF($B150&lt;'Guide &amp; Settings'!$C$50,0,IF(($B150-$AD150)/7-'Guide &amp; Settings'!$C$48&gt;=0,(INT(($B150-$AD150)/7-'Guide &amp; Settings'!$C$48)+1)*'Guide &amp; Settings'!$C$49,0)))))</f>
        <v>0</v>
      </c>
      <c r="AD150" s="142">
        <f t="shared" si="57"/>
        <v>46177</v>
      </c>
      <c r="AE150">
        <f t="shared" si="58"/>
        <v>2</v>
      </c>
      <c r="AF150">
        <f t="shared" si="59"/>
        <v>0</v>
      </c>
    </row>
    <row r="151" spans="1:32" ht="15" customHeight="1" x14ac:dyDescent="0.2">
      <c r="A151" s="117">
        <v>69</v>
      </c>
      <c r="B151" s="118">
        <v>46188</v>
      </c>
      <c r="C151" s="119" t="s">
        <v>49</v>
      </c>
      <c r="D151" s="119" t="s">
        <v>22</v>
      </c>
      <c r="E151" s="117" t="s">
        <v>371</v>
      </c>
      <c r="F151" s="120">
        <f t="shared" si="40"/>
        <v>4</v>
      </c>
      <c r="G151" s="121" t="str">
        <f t="shared" si="41"/>
        <v>Josh</v>
      </c>
      <c r="H151" s="122">
        <f>IF($D151="",0,IFERROR(LOOKUP(2,1/(($D$3:D150=$D151)*($A$3:A150&lt;$A151)),$N$3:N150),'Guide &amp; Settings'!$C$41))</f>
        <v>966.25151982188697</v>
      </c>
      <c r="I151" s="123">
        <f t="shared" si="42"/>
        <v>0.17391304347826086</v>
      </c>
      <c r="J151" s="124">
        <f>IF($D151="",0,IF($F151&lt;2,0,IF($E151="Win",('Guide &amp; Settings'!$C$42/(($F151-1)*COUNTIFS($A$4:$A$1510,$A151,$E$4:$E$1510,"Win")))*SUMIFS($X$4:$X$1510,$A$4:$A$1510,$A151,$E$4:$E$1510,"Loss"),-('Guide &amp; Settings'!$C$42/($F151-1))*$X151)))</f>
        <v>-4.1808940375750421</v>
      </c>
      <c r="K151" s="124">
        <f>IF($D151="",0,'Guide &amp; Settings'!$C$43*(IF($E151="Win",1,0)-$I151))</f>
        <v>-2.0869565217391304</v>
      </c>
      <c r="L151" s="125">
        <f>IF($D151="",0,'Guide &amp; Settings'!$C$44*IF($F151&gt;=3,$F151,0))</f>
        <v>4</v>
      </c>
      <c r="M151" s="124">
        <f t="shared" si="43"/>
        <v>-2.2678505593141729</v>
      </c>
      <c r="N151" s="122">
        <f t="shared" si="44"/>
        <v>963.98366926257279</v>
      </c>
      <c r="O151" s="121" t="str">
        <f t="shared" si="45"/>
        <v>OK (team)</v>
      </c>
      <c r="P151">
        <f t="shared" si="46"/>
        <v>1055.5153114017608</v>
      </c>
      <c r="Q151">
        <f t="shared" si="47"/>
        <v>0.37429290811548666</v>
      </c>
      <c r="R151">
        <f t="shared" si="48"/>
        <v>0.33333333333333331</v>
      </c>
      <c r="S151">
        <f t="shared" si="49"/>
        <v>1.9166666666666665</v>
      </c>
      <c r="T151" s="89">
        <f t="shared" si="50"/>
        <v>1</v>
      </c>
      <c r="U151" s="126">
        <f>IF($D151="",0,IFERROR(LOOKUP(2,1/(($D$3:D150=$D151)*($C$3:C150=$C151)*($A$3:A150&lt;$A151)),$AB$3:AB150),1000))</f>
        <v>984</v>
      </c>
      <c r="V151" s="126">
        <f t="shared" si="51"/>
        <v>969.20959985157253</v>
      </c>
      <c r="W151">
        <f t="shared" si="52"/>
        <v>1045.4866233949774</v>
      </c>
      <c r="X151">
        <f t="shared" si="53"/>
        <v>0.39195881602266025</v>
      </c>
      <c r="Y151">
        <f t="shared" si="54"/>
        <v>991.63184660323896</v>
      </c>
      <c r="Z151">
        <f t="shared" si="55"/>
        <v>0.48901865602574252</v>
      </c>
      <c r="AA151">
        <f>IF($D151="",0,IF($F151&lt;2,0,IF($E151="Win",('Guide &amp; Settings'!$C$42/(($F151-1)*COUNTIFS($A$4:$A$1510,$A151,$E$4:$E$1510,"Win")))*SUMIFS($Z$4:$Z$1510,$A$4:$A$1510,$A151,$E$4:$E$1510,"Loss"),-('Guide &amp; Settings'!$C$42/($F151-1))*$Z151)))</f>
        <v>-5.2161989976079202</v>
      </c>
      <c r="AB151" s="126">
        <f t="shared" si="56"/>
        <v>978.78380100239212</v>
      </c>
      <c r="AC151" s="126">
        <f>IF($D151="","",IF($AD151=0,0,IF(COUNTIFS($D$4:$D151,$D151,$B$4:$B151,$B151)&gt;1,0,IF($B151&lt;'Guide &amp; Settings'!$C$50,0,IF(($B151-$AD151)/7-'Guide &amp; Settings'!$C$48&gt;=0,(INT(($B151-$AD151)/7-'Guide &amp; Settings'!$C$48)+1)*'Guide &amp; Settings'!$C$49,0)))))</f>
        <v>0</v>
      </c>
      <c r="AD151" s="142">
        <f t="shared" si="57"/>
        <v>46176</v>
      </c>
      <c r="AE151">
        <f t="shared" si="58"/>
        <v>2</v>
      </c>
      <c r="AF151">
        <f t="shared" si="59"/>
        <v>0</v>
      </c>
    </row>
    <row r="152" spans="1:32" ht="15" customHeight="1" x14ac:dyDescent="0.2">
      <c r="A152" s="117">
        <v>70</v>
      </c>
      <c r="B152" s="118">
        <v>46188</v>
      </c>
      <c r="C152" s="119" t="s">
        <v>49</v>
      </c>
      <c r="D152" s="119" t="s">
        <v>25</v>
      </c>
      <c r="E152" s="117" t="s">
        <v>370</v>
      </c>
      <c r="F152" s="120">
        <f t="shared" si="40"/>
        <v>4</v>
      </c>
      <c r="G152" s="121" t="str">
        <f t="shared" si="41"/>
        <v>Simon</v>
      </c>
      <c r="H152" s="122">
        <f>IF($D152="",0,IFERROR(LOOKUP(2,1/(($D$3:D151=$D152)*($A$3:A151&lt;$A152)),$N$3:N151),'Guide &amp; Settings'!$C$41))</f>
        <v>928.70747659798872</v>
      </c>
      <c r="I152" s="123">
        <f t="shared" si="42"/>
        <v>0.12875536480686695</v>
      </c>
      <c r="J152" s="124">
        <f>IF($D152="",0,IF($F152&lt;2,0,IF($E152="Win",('Guide &amp; Settings'!$C$42/(($F152-1)*COUNTIFS($A$4:$A$1510,$A152,$E$4:$E$1510,"Win")))*SUMIFS($X$4:$X$1510,$A$4:$A$1510,$A152,$E$4:$E$1510,"Loss"),-('Guide &amp; Settings'!$C$42/($F152-1))*$X152)))</f>
        <v>6.0143769543044474</v>
      </c>
      <c r="K152" s="124">
        <f>IF($D152="",0,'Guide &amp; Settings'!$C$43*(IF($E152="Win",1,0)-$I152))</f>
        <v>10.454935622317597</v>
      </c>
      <c r="L152" s="125">
        <f>IF($D152="",0,'Guide &amp; Settings'!$C$44*IF($F152&gt;=3,$F152,0))</f>
        <v>4</v>
      </c>
      <c r="M152" s="124">
        <f t="shared" si="43"/>
        <v>20.469312576622045</v>
      </c>
      <c r="N152" s="122">
        <f t="shared" si="44"/>
        <v>949.1767891746108</v>
      </c>
      <c r="O152" s="121" t="str">
        <f t="shared" si="45"/>
        <v>OK (team)</v>
      </c>
      <c r="P152">
        <f t="shared" si="46"/>
        <v>1005.1264042823536</v>
      </c>
      <c r="Q152">
        <f t="shared" si="47"/>
        <v>0.39176415193069725</v>
      </c>
      <c r="R152">
        <f t="shared" si="48"/>
        <v>0.2857142857142857</v>
      </c>
      <c r="S152">
        <f t="shared" si="49"/>
        <v>2.2190476190476192</v>
      </c>
      <c r="T152" s="89">
        <f t="shared" si="50"/>
        <v>5</v>
      </c>
      <c r="U152" s="126">
        <f>IF($D152="",0,IFERROR(LOOKUP(2,1/(($D$3:D151=$D152)*($C$3:C151=$C152)*($A$3:A151&lt;$A152)),$AB$3:AB151),1000))</f>
        <v>954.17744405674409</v>
      </c>
      <c r="V152" s="126">
        <f t="shared" si="51"/>
        <v>941.44246032736646</v>
      </c>
      <c r="W152">
        <f t="shared" si="52"/>
        <v>1006.5121002062183</v>
      </c>
      <c r="X152">
        <f t="shared" si="53"/>
        <v>0.407436980682997</v>
      </c>
      <c r="Y152">
        <f t="shared" si="54"/>
        <v>1006.6523471448768</v>
      </c>
      <c r="Z152">
        <f t="shared" si="55"/>
        <v>0.4250515756358243</v>
      </c>
      <c r="AA152">
        <f>IF($D152="",0,IF($F152&lt;2,0,IF($E152="Win",('Guide &amp; Settings'!$C$42/(($F152-1)*COUNTIFS($A$4:$A$1510,$A152,$E$4:$E$1510,"Win")))*SUMIFS($Z$4:$Z$1510,$A$4:$A$1510,$A152,$E$4:$E$1510,"Loss"),-('Guide &amp; Settings'!$C$42/($F152-1))*$Z152)))</f>
        <v>5.1885710960379354</v>
      </c>
      <c r="AB152" s="126">
        <f t="shared" si="56"/>
        <v>959.36601515278198</v>
      </c>
      <c r="AC152" s="126">
        <f>IF($D152="","",IF($AD152=0,0,IF(COUNTIFS($D$4:$D152,$D152,$B$4:$B152,$B152)&gt;1,0,IF($B152&lt;'Guide &amp; Settings'!$C$50,0,IF(($B152-$AD152)/7-'Guide &amp; Settings'!$C$48&gt;=0,(INT(($B152-$AD152)/7-'Guide &amp; Settings'!$C$48)+1)*'Guide &amp; Settings'!$C$49,0)))))</f>
        <v>0</v>
      </c>
      <c r="AD152" s="142">
        <f t="shared" si="57"/>
        <v>46177</v>
      </c>
      <c r="AE152">
        <f t="shared" si="58"/>
        <v>2</v>
      </c>
      <c r="AF152">
        <f t="shared" si="59"/>
        <v>0</v>
      </c>
    </row>
    <row r="153" spans="1:32" ht="15" customHeight="1" x14ac:dyDescent="0.2">
      <c r="A153" s="117">
        <v>70</v>
      </c>
      <c r="B153" s="118">
        <v>46188</v>
      </c>
      <c r="C153" s="119" t="s">
        <v>49</v>
      </c>
      <c r="D153" s="119" t="s">
        <v>21</v>
      </c>
      <c r="E153" s="117" t="s">
        <v>370</v>
      </c>
      <c r="F153" s="120">
        <f t="shared" si="40"/>
        <v>4</v>
      </c>
      <c r="G153" s="121" t="str">
        <f t="shared" si="41"/>
        <v>Simon</v>
      </c>
      <c r="H153" s="122">
        <f>IF($D153="",0,IFERROR(LOOKUP(2,1/(($D$3:D152=$D153)*($A$3:A152&lt;$A153)),$N$3:N152),'Guide &amp; Settings'!$C$41))</f>
        <v>1081.5453319667185</v>
      </c>
      <c r="I153" s="123">
        <f t="shared" si="42"/>
        <v>0.37553648068669526</v>
      </c>
      <c r="J153" s="124">
        <f>IF($D153="",0,IF($F153&lt;2,0,IF($E153="Win",('Guide &amp; Settings'!$C$42/(($F153-1)*COUNTIFS($A$4:$A$1510,$A153,$E$4:$E$1510,"Win")))*SUMIFS($X$4:$X$1510,$A$4:$A$1510,$A153,$E$4:$E$1510,"Loss"),-('Guide &amp; Settings'!$C$42/($F153-1))*$X153)))</f>
        <v>6.0143769543044474</v>
      </c>
      <c r="K153" s="124">
        <f>IF($D153="",0,'Guide &amp; Settings'!$C$43*(IF($E153="Win",1,0)-$I153))</f>
        <v>7.4935622317596575</v>
      </c>
      <c r="L153" s="125">
        <f>IF($D153="",0,'Guide &amp; Settings'!$C$44*IF($F153&gt;=3,$F153,0))</f>
        <v>4</v>
      </c>
      <c r="M153" s="124">
        <f t="shared" si="43"/>
        <v>17.507939186064107</v>
      </c>
      <c r="N153" s="122">
        <f t="shared" si="44"/>
        <v>1099.0532711527826</v>
      </c>
      <c r="O153" s="121" t="str">
        <f t="shared" si="45"/>
        <v>OK (team)</v>
      </c>
      <c r="P153">
        <f t="shared" si="46"/>
        <v>1005.1264042823536</v>
      </c>
      <c r="Q153">
        <f t="shared" si="47"/>
        <v>0.60823584806930275</v>
      </c>
      <c r="R153">
        <f t="shared" si="48"/>
        <v>0.83333333333333337</v>
      </c>
      <c r="S153">
        <f t="shared" si="49"/>
        <v>2.2190476190476192</v>
      </c>
      <c r="T153" s="89">
        <f t="shared" si="50"/>
        <v>4</v>
      </c>
      <c r="U153" s="126">
        <f>IF($D153="",0,IFERROR(LOOKUP(2,1/(($D$3:D152=$D153)*($C$3:C152=$C153)*($A$3:A152&lt;$A153)),$AB$3:AB152),1000))</f>
        <v>1059.1272502330096</v>
      </c>
      <c r="V153" s="126">
        <f t="shared" si="51"/>
        <v>1071.5817400850701</v>
      </c>
      <c r="W153">
        <f t="shared" si="52"/>
        <v>1006.5121002062183</v>
      </c>
      <c r="X153">
        <f t="shared" si="53"/>
        <v>0.59256301931700295</v>
      </c>
      <c r="Y153">
        <f t="shared" si="54"/>
        <v>1006.6523471448768</v>
      </c>
      <c r="Z153">
        <f t="shared" si="55"/>
        <v>0.57494842436417581</v>
      </c>
      <c r="AA153">
        <f>IF($D153="",0,IF($F153&lt;2,0,IF($E153="Win",('Guide &amp; Settings'!$C$42/(($F153-1)*COUNTIFS($A$4:$A$1510,$A153,$E$4:$E$1510,"Win")))*SUMIFS($Z$4:$Z$1510,$A$4:$A$1510,$A153,$E$4:$E$1510,"Loss"),-('Guide &amp; Settings'!$C$42/($F153-1))*$Z153)))</f>
        <v>5.1885710960379354</v>
      </c>
      <c r="AB153" s="126">
        <f t="shared" si="56"/>
        <v>1064.3158213290476</v>
      </c>
      <c r="AC153" s="126">
        <f>IF($D153="","",IF($AD153=0,0,IF(COUNTIFS($D$4:$D153,$D153,$B$4:$B153,$B153)&gt;1,0,IF($B153&lt;'Guide &amp; Settings'!$C$50,0,IF(($B153-$AD153)/7-'Guide &amp; Settings'!$C$48&gt;=0,(INT(($B153-$AD153)/7-'Guide &amp; Settings'!$C$48)+1)*'Guide &amp; Settings'!$C$49,0)))))</f>
        <v>0</v>
      </c>
      <c r="AD153" s="142">
        <f t="shared" si="57"/>
        <v>46175</v>
      </c>
      <c r="AE153">
        <f t="shared" si="58"/>
        <v>2</v>
      </c>
      <c r="AF153">
        <f t="shared" si="59"/>
        <v>0</v>
      </c>
    </row>
    <row r="154" spans="1:32" ht="15" customHeight="1" x14ac:dyDescent="0.2">
      <c r="A154" s="117">
        <v>70</v>
      </c>
      <c r="B154" s="118">
        <v>46188</v>
      </c>
      <c r="C154" s="119" t="s">
        <v>49</v>
      </c>
      <c r="D154" s="119" t="s">
        <v>20</v>
      </c>
      <c r="E154" s="117" t="s">
        <v>371</v>
      </c>
      <c r="F154" s="120">
        <f t="shared" si="40"/>
        <v>4</v>
      </c>
      <c r="G154" s="121" t="str">
        <f t="shared" si="41"/>
        <v>Simon</v>
      </c>
      <c r="H154" s="122">
        <f>IF($D154="",0,IFERROR(LOOKUP(2,1/(($D$3:D153=$D154)*($A$3:A153&lt;$A154)),$N$3:N153),'Guide &amp; Settings'!$C$41))</f>
        <v>1006.7256566430926</v>
      </c>
      <c r="I154" s="123">
        <f t="shared" si="42"/>
        <v>0.27038626609442057</v>
      </c>
      <c r="J154" s="124">
        <f>IF($D154="",0,IF($F154&lt;2,0,IF($E154="Win",('Guide &amp; Settings'!$C$42/(($F154-1)*COUNTIFS($A$4:$A$1510,$A154,$E$4:$E$1510,"Win")))*SUMIFS($X$4:$X$1510,$A$4:$A$1510,$A154,$E$4:$E$1510,"Loss"),-('Guide &amp; Settings'!$C$42/($F154-1))*$X154)))</f>
        <v>-5.325796613671077</v>
      </c>
      <c r="K154" s="124">
        <f>IF($D154="",0,'Guide &amp; Settings'!$C$43*(IF($E154="Win",1,0)-$I154))</f>
        <v>-3.244635193133047</v>
      </c>
      <c r="L154" s="125">
        <f>IF($D154="",0,'Guide &amp; Settings'!$C$44*IF($F154&gt;=3,$F154,0))</f>
        <v>4</v>
      </c>
      <c r="M154" s="124">
        <f t="shared" si="43"/>
        <v>-4.5704318068041232</v>
      </c>
      <c r="N154" s="122">
        <f t="shared" si="44"/>
        <v>1002.1552248362885</v>
      </c>
      <c r="O154" s="121" t="str">
        <f t="shared" si="45"/>
        <v>OK (team)</v>
      </c>
      <c r="P154">
        <f t="shared" si="46"/>
        <v>1005.1264042823536</v>
      </c>
      <c r="Q154">
        <f t="shared" si="47"/>
        <v>0.50230149289912474</v>
      </c>
      <c r="R154">
        <f t="shared" si="48"/>
        <v>0.6</v>
      </c>
      <c r="S154">
        <f t="shared" si="49"/>
        <v>2.2190476190476192</v>
      </c>
      <c r="T154" s="89">
        <f t="shared" si="50"/>
        <v>3</v>
      </c>
      <c r="U154" s="126">
        <f>IF($D154="",0,IFERROR(LOOKUP(2,1/(($D$3:D153=$D154)*($C$3:C153=$C154)*($A$3:A153&lt;$A154)),$AB$3:AB153),1000))</f>
        <v>1004.8469096355284</v>
      </c>
      <c r="V154" s="126">
        <f t="shared" si="51"/>
        <v>1006.021126515256</v>
      </c>
      <c r="W154">
        <f t="shared" si="52"/>
        <v>1006.5121002062183</v>
      </c>
      <c r="X154">
        <f t="shared" si="53"/>
        <v>0.49929343253166347</v>
      </c>
      <c r="Y154">
        <f t="shared" si="54"/>
        <v>1006.6523471448768</v>
      </c>
      <c r="Z154">
        <f t="shared" si="55"/>
        <v>0.4974017899520799</v>
      </c>
      <c r="AA154">
        <f>IF($D154="",0,IF($F154&lt;2,0,IF($E154="Win",('Guide &amp; Settings'!$C$42/(($F154-1)*COUNTIFS($A$4:$A$1510,$A154,$E$4:$E$1510,"Win")))*SUMIFS($Z$4:$Z$1510,$A$4:$A$1510,$A154,$E$4:$E$1510,"Loss"),-('Guide &amp; Settings'!$C$42/($F154-1))*$Z154)))</f>
        <v>-5.3056190928221856</v>
      </c>
      <c r="AB154" s="126">
        <f t="shared" si="56"/>
        <v>999.54129054270618</v>
      </c>
      <c r="AC154" s="126">
        <f>IF($D154="","",IF($AD154=0,0,IF(COUNTIFS($D$4:$D154,$D154,$B$4:$B154,$B154)&gt;1,0,IF($B154&lt;'Guide &amp; Settings'!$C$50,0,IF(($B154-$AD154)/7-'Guide &amp; Settings'!$C$48&gt;=0,(INT(($B154-$AD154)/7-'Guide &amp; Settings'!$C$48)+1)*'Guide &amp; Settings'!$C$49,0)))))</f>
        <v>0</v>
      </c>
      <c r="AD154" s="142">
        <f t="shared" si="57"/>
        <v>46177</v>
      </c>
      <c r="AE154">
        <f t="shared" si="58"/>
        <v>2</v>
      </c>
      <c r="AF154">
        <f t="shared" si="59"/>
        <v>0</v>
      </c>
    </row>
    <row r="155" spans="1:32" ht="15" customHeight="1" x14ac:dyDescent="0.2">
      <c r="A155" s="117">
        <v>70</v>
      </c>
      <c r="B155" s="118">
        <v>46188</v>
      </c>
      <c r="C155" s="119" t="s">
        <v>49</v>
      </c>
      <c r="D155" s="119" t="s">
        <v>19</v>
      </c>
      <c r="E155" s="117" t="s">
        <v>371</v>
      </c>
      <c r="F155" s="120">
        <f t="shared" si="40"/>
        <v>4</v>
      </c>
      <c r="G155" s="121" t="str">
        <f t="shared" si="41"/>
        <v>Simon</v>
      </c>
      <c r="H155" s="122">
        <f>IF($D155="",0,IFERROR(LOOKUP(2,1/(($D$3:D154=$D155)*($A$3:A154&lt;$A155)),$N$3:N154),'Guide &amp; Settings'!$C$41))</f>
        <v>1141.0558571383285</v>
      </c>
      <c r="I155" s="123">
        <f t="shared" si="42"/>
        <v>0.22532188841201717</v>
      </c>
      <c r="J155" s="124">
        <f>IF($D155="",0,IF($F155&lt;2,0,IF($E155="Win",('Guide &amp; Settings'!$C$42/(($F155-1)*COUNTIFS($A$4:$A$1510,$A155,$E$4:$E$1510,"Win")))*SUMIFS($X$4:$X$1510,$A$4:$A$1510,$A155,$E$4:$E$1510,"Loss"),-('Guide &amp; Settings'!$C$42/($F155-1))*$X155)))</f>
        <v>-6.7029572949378178</v>
      </c>
      <c r="K155" s="124">
        <f>IF($D155="",0,'Guide &amp; Settings'!$C$43*(IF($E155="Win",1,0)-$I155))</f>
        <v>-2.703862660944206</v>
      </c>
      <c r="L155" s="125">
        <f>IF($D155="",0,'Guide &amp; Settings'!$C$44*IF($F155&gt;=3,$F155,0))</f>
        <v>4</v>
      </c>
      <c r="M155" s="124">
        <f t="shared" si="43"/>
        <v>-5.4068199558820247</v>
      </c>
      <c r="N155" s="122">
        <f t="shared" si="44"/>
        <v>1135.6490371824466</v>
      </c>
      <c r="O155" s="121" t="str">
        <f t="shared" si="45"/>
        <v>OK (team)</v>
      </c>
      <c r="P155">
        <f t="shared" si="46"/>
        <v>1005.1264042823536</v>
      </c>
      <c r="Q155">
        <f t="shared" si="47"/>
        <v>0.686212820469424</v>
      </c>
      <c r="R155">
        <f t="shared" si="48"/>
        <v>0.5</v>
      </c>
      <c r="S155">
        <f t="shared" si="49"/>
        <v>2.2190476190476192</v>
      </c>
      <c r="T155" s="89">
        <f t="shared" si="50"/>
        <v>2</v>
      </c>
      <c r="U155" s="126">
        <f>IF($D155="",0,IFERROR(LOOKUP(2,1/(($D$3:D154=$D155)*($C$3:C154=$C155)*($A$3:A154&lt;$A155)),$AB$3:AB154),1000))</f>
        <v>989.58321642905037</v>
      </c>
      <c r="V155" s="126">
        <f t="shared" si="51"/>
        <v>1097.7779597928204</v>
      </c>
      <c r="W155">
        <f t="shared" si="52"/>
        <v>1006.5121002062183</v>
      </c>
      <c r="X155">
        <f t="shared" si="53"/>
        <v>0.62840224640042042</v>
      </c>
      <c r="Y155">
        <f t="shared" si="54"/>
        <v>1006.6523471448768</v>
      </c>
      <c r="Z155">
        <f t="shared" si="55"/>
        <v>0.47545529055503305</v>
      </c>
      <c r="AA155">
        <f>IF($D155="",0,IF($F155&lt;2,0,IF($E155="Win",('Guide &amp; Settings'!$C$42/(($F155-1)*COUNTIFS($A$4:$A$1510,$A155,$E$4:$E$1510,"Win")))*SUMIFS($Z$4:$Z$1510,$A$4:$A$1510,$A155,$E$4:$E$1510,"Loss"),-('Guide &amp; Settings'!$C$42/($F155-1))*$Z155)))</f>
        <v>-5.0715230992536853</v>
      </c>
      <c r="AB155" s="126">
        <f t="shared" si="56"/>
        <v>984.51169332979669</v>
      </c>
      <c r="AC155" s="126">
        <f>IF($D155="","",IF($AD155=0,0,IF(COUNTIFS($D$4:$D155,$D155,$B$4:$B155,$B155)&gt;1,0,IF($B155&lt;'Guide &amp; Settings'!$C$50,0,IF(($B155-$AD155)/7-'Guide &amp; Settings'!$C$48&gt;=0,(INT(($B155-$AD155)/7-'Guide &amp; Settings'!$C$48)+1)*'Guide &amp; Settings'!$C$49,0)))))</f>
        <v>0</v>
      </c>
      <c r="AD155" s="142">
        <f t="shared" si="57"/>
        <v>46176</v>
      </c>
      <c r="AE155">
        <f t="shared" si="58"/>
        <v>2</v>
      </c>
      <c r="AF155">
        <f t="shared" si="59"/>
        <v>0</v>
      </c>
    </row>
    <row r="156" spans="1:32" ht="15" customHeight="1" x14ac:dyDescent="0.2">
      <c r="A156" s="117">
        <v>71</v>
      </c>
      <c r="B156" s="118">
        <v>46188</v>
      </c>
      <c r="C156" s="119" t="s">
        <v>49</v>
      </c>
      <c r="D156" s="119" t="s">
        <v>21</v>
      </c>
      <c r="E156" s="117" t="s">
        <v>370</v>
      </c>
      <c r="F156" s="120">
        <f t="shared" si="40"/>
        <v>4</v>
      </c>
      <c r="G156" s="121" t="str">
        <f t="shared" si="41"/>
        <v>Oscar</v>
      </c>
      <c r="H156" s="122">
        <f>IF($D156="",0,IFERROR(LOOKUP(2,1/(($D$3:D155=$D156)*($A$3:A155&lt;$A156)),$N$3:N155),'Guide &amp; Settings'!$C$41))</f>
        <v>1099.0532711527826</v>
      </c>
      <c r="I156" s="123">
        <f t="shared" si="42"/>
        <v>0.38399999999999995</v>
      </c>
      <c r="J156" s="124">
        <f>IF($D156="",0,IF($F156&lt;2,0,IF($E156="Win",('Guide &amp; Settings'!$C$42/(($F156-1)*COUNTIFS($A$4:$A$1510,$A156,$E$4:$E$1510,"Win")))*SUMIFS($X$4:$X$1510,$A$4:$A$1510,$A156,$E$4:$E$1510,"Loss"),-('Guide &amp; Settings'!$C$42/($F156-1))*$X156)))</f>
        <v>4.7899999552117754</v>
      </c>
      <c r="K156" s="124">
        <f>IF($D156="",0,'Guide &amp; Settings'!$C$43*(IF($E156="Win",1,0)-$I156))</f>
        <v>7.3920000000000012</v>
      </c>
      <c r="L156" s="125">
        <f>IF($D156="",0,'Guide &amp; Settings'!$C$44*IF($F156&gt;=3,$F156,0))</f>
        <v>4</v>
      </c>
      <c r="M156" s="124">
        <f t="shared" si="43"/>
        <v>16.181999955211776</v>
      </c>
      <c r="N156" s="122">
        <f t="shared" si="44"/>
        <v>1115.2352711079943</v>
      </c>
      <c r="O156" s="121" t="str">
        <f t="shared" si="45"/>
        <v>OK (team)</v>
      </c>
      <c r="P156">
        <f t="shared" si="46"/>
        <v>1024.1150301636967</v>
      </c>
      <c r="Q156">
        <f t="shared" si="47"/>
        <v>0.60620295848982209</v>
      </c>
      <c r="R156">
        <f t="shared" si="48"/>
        <v>0.8571428571428571</v>
      </c>
      <c r="S156">
        <f t="shared" si="49"/>
        <v>2.2321428571428572</v>
      </c>
      <c r="T156" s="89">
        <f t="shared" si="50"/>
        <v>5</v>
      </c>
      <c r="U156" s="126">
        <f>IF($D156="",0,IFERROR(LOOKUP(2,1/(($D$3:D155=$D156)*($C$3:C155=$C156)*($A$3:A155&lt;$A156)),$AB$3:AB155),1000))</f>
        <v>1064.3158213290476</v>
      </c>
      <c r="V156" s="126">
        <f t="shared" si="51"/>
        <v>1081.6845462409151</v>
      </c>
      <c r="W156">
        <f t="shared" si="52"/>
        <v>1018.2095475199915</v>
      </c>
      <c r="X156">
        <f t="shared" si="53"/>
        <v>0.59034492620825307</v>
      </c>
      <c r="Y156">
        <f t="shared" si="54"/>
        <v>1011.8409182409148</v>
      </c>
      <c r="Z156">
        <f t="shared" si="55"/>
        <v>0.57494842436417581</v>
      </c>
      <c r="AA156">
        <f>IF($D156="",0,IF($F156&lt;2,0,IF($E156="Win",('Guide &amp; Settings'!$C$42/(($F156-1)*COUNTIFS($A$4:$A$1510,$A156,$E$4:$E$1510,"Win")))*SUMIFS($Z$4:$Z$1510,$A$4:$A$1510,$A156,$E$4:$E$1510,"Loss"),-('Guide &amp; Settings'!$C$42/($F156-1))*$Z156)))</f>
        <v>5.1516388622153571</v>
      </c>
      <c r="AB156" s="126">
        <f t="shared" si="56"/>
        <v>1069.4674601912629</v>
      </c>
      <c r="AC156" s="126">
        <f>IF($D156="","",IF($AD156=0,0,IF(COUNTIFS($D$4:$D156,$D156,$B$4:$B156,$B156)&gt;1,0,IF($B156&lt;'Guide &amp; Settings'!$C$50,0,IF(($B156-$AD156)/7-'Guide &amp; Settings'!$C$48&gt;=0,(INT(($B156-$AD156)/7-'Guide &amp; Settings'!$C$48)+1)*'Guide &amp; Settings'!$C$49,0)))))</f>
        <v>0</v>
      </c>
      <c r="AD156" s="142">
        <f t="shared" si="57"/>
        <v>46175</v>
      </c>
      <c r="AE156">
        <f t="shared" si="58"/>
        <v>2</v>
      </c>
      <c r="AF156">
        <f t="shared" si="59"/>
        <v>0</v>
      </c>
    </row>
    <row r="157" spans="1:32" ht="15" customHeight="1" x14ac:dyDescent="0.2">
      <c r="A157" s="117">
        <v>71</v>
      </c>
      <c r="B157" s="118">
        <v>46188</v>
      </c>
      <c r="C157" s="119" t="s">
        <v>49</v>
      </c>
      <c r="D157" s="119" t="s">
        <v>25</v>
      </c>
      <c r="E157" s="117" t="s">
        <v>370</v>
      </c>
      <c r="F157" s="120">
        <f t="shared" si="40"/>
        <v>4</v>
      </c>
      <c r="G157" s="121" t="str">
        <f t="shared" si="41"/>
        <v>Oscar</v>
      </c>
      <c r="H157" s="122">
        <f>IF($D157="",0,IFERROR(LOOKUP(2,1/(($D$3:D156=$D157)*($A$3:A156&lt;$A157)),$N$3:N156),'Guide &amp; Settings'!$C$41))</f>
        <v>949.1767891746108</v>
      </c>
      <c r="I157" s="123">
        <f t="shared" si="42"/>
        <v>0.16799999999999998</v>
      </c>
      <c r="J157" s="124">
        <f>IF($D157="",0,IF($F157&lt;2,0,IF($E157="Win",('Guide &amp; Settings'!$C$42/(($F157-1)*COUNTIFS($A$4:$A$1510,$A157,$E$4:$E$1510,"Win")))*SUMIFS($X$4:$X$1510,$A$4:$A$1510,$A157,$E$4:$E$1510,"Loss"),-('Guide &amp; Settings'!$C$42/($F157-1))*$X157)))</f>
        <v>4.7899999552117754</v>
      </c>
      <c r="K157" s="124">
        <f>IF($D157="",0,'Guide &amp; Settings'!$C$43*(IF($E157="Win",1,0)-$I157))</f>
        <v>9.9840000000000018</v>
      </c>
      <c r="L157" s="125">
        <f>IF($D157="",0,'Guide &amp; Settings'!$C$44*IF($F157&gt;=3,$F157,0))</f>
        <v>4</v>
      </c>
      <c r="M157" s="124">
        <f t="shared" si="43"/>
        <v>18.773999955211778</v>
      </c>
      <c r="N157" s="122">
        <f t="shared" si="44"/>
        <v>967.95078912982262</v>
      </c>
      <c r="O157" s="121" t="str">
        <f t="shared" si="45"/>
        <v>OK (team)</v>
      </c>
      <c r="P157">
        <f t="shared" si="46"/>
        <v>1024.1150301636967</v>
      </c>
      <c r="Q157">
        <f t="shared" si="47"/>
        <v>0.39379704151017791</v>
      </c>
      <c r="R157">
        <f t="shared" si="48"/>
        <v>0.375</v>
      </c>
      <c r="S157">
        <f t="shared" si="49"/>
        <v>2.2321428571428572</v>
      </c>
      <c r="T157" s="89">
        <f t="shared" si="50"/>
        <v>6</v>
      </c>
      <c r="U157" s="126">
        <f>IF($D157="",0,IFERROR(LOOKUP(2,1/(($D$3:D156=$D157)*($C$3:C156=$C157)*($A$3:A156&lt;$A157)),$AB$3:AB156),1000))</f>
        <v>959.36601515278198</v>
      </c>
      <c r="V157" s="126">
        <f t="shared" si="51"/>
        <v>954.73454879906785</v>
      </c>
      <c r="W157">
        <f t="shared" si="52"/>
        <v>1018.2095475199915</v>
      </c>
      <c r="X157">
        <f t="shared" si="53"/>
        <v>0.40965507379174693</v>
      </c>
      <c r="Y157">
        <f t="shared" si="54"/>
        <v>1011.8409182409148</v>
      </c>
      <c r="Z157">
        <f t="shared" si="55"/>
        <v>0.42505157563582413</v>
      </c>
      <c r="AA157">
        <f>IF($D157="",0,IF($F157&lt;2,0,IF($E157="Win",('Guide &amp; Settings'!$C$42/(($F157-1)*COUNTIFS($A$4:$A$1510,$A157,$E$4:$E$1510,"Win")))*SUMIFS($Z$4:$Z$1510,$A$4:$A$1510,$A157,$E$4:$E$1510,"Loss"),-('Guide &amp; Settings'!$C$42/($F157-1))*$Z157)))</f>
        <v>5.1516388622153571</v>
      </c>
      <c r="AB157" s="126">
        <f t="shared" si="56"/>
        <v>964.51765401499733</v>
      </c>
      <c r="AC157" s="126">
        <f>IF($D157="","",IF($AD157=0,0,IF(COUNTIFS($D$4:$D157,$D157,$B$4:$B157,$B157)&gt;1,0,IF($B157&lt;'Guide &amp; Settings'!$C$50,0,IF(($B157-$AD157)/7-'Guide &amp; Settings'!$C$48&gt;=0,(INT(($B157-$AD157)/7-'Guide &amp; Settings'!$C$48)+1)*'Guide &amp; Settings'!$C$49,0)))))</f>
        <v>0</v>
      </c>
      <c r="AD157" s="142">
        <f t="shared" si="57"/>
        <v>46177</v>
      </c>
      <c r="AE157">
        <f t="shared" si="58"/>
        <v>2</v>
      </c>
      <c r="AF157">
        <f t="shared" si="59"/>
        <v>0</v>
      </c>
    </row>
    <row r="158" spans="1:32" ht="15" customHeight="1" x14ac:dyDescent="0.2">
      <c r="A158" s="117">
        <v>71</v>
      </c>
      <c r="B158" s="118">
        <v>46188</v>
      </c>
      <c r="C158" s="119" t="s">
        <v>49</v>
      </c>
      <c r="D158" s="119" t="s">
        <v>18</v>
      </c>
      <c r="E158" s="117" t="s">
        <v>371</v>
      </c>
      <c r="F158" s="120">
        <f t="shared" si="40"/>
        <v>4</v>
      </c>
      <c r="G158" s="121" t="str">
        <f t="shared" si="41"/>
        <v>Oscar</v>
      </c>
      <c r="H158" s="122">
        <f>IF($D158="",0,IFERROR(LOOKUP(2,1/(($D$3:D157=$D158)*($A$3:A157&lt;$A158)),$N$3:N157),'Guide &amp; Settings'!$C$41))</f>
        <v>951.28701496177575</v>
      </c>
      <c r="I158" s="123">
        <f t="shared" si="42"/>
        <v>0.224</v>
      </c>
      <c r="J158" s="124">
        <f>IF($D158="",0,IF($F158&lt;2,0,IF($E158="Win",('Guide &amp; Settings'!$C$42/(($F158-1)*COUNTIFS($A$4:$A$1510,$A158,$E$4:$E$1510,"Win")))*SUMIFS($X$4:$X$1510,$A$4:$A$1510,$A158,$E$4:$E$1510,"Loss"),-('Guide &amp; Settings'!$C$42/($F158-1))*$X158)))</f>
        <v>-4.5259377942951282</v>
      </c>
      <c r="K158" s="124">
        <f>IF($D158="",0,'Guide &amp; Settings'!$C$43*(IF($E158="Win",1,0)-$I158))</f>
        <v>-2.6880000000000002</v>
      </c>
      <c r="L158" s="125">
        <f>IF($D158="",0,'Guide &amp; Settings'!$C$44*IF($F158&gt;=3,$F158,0))</f>
        <v>4</v>
      </c>
      <c r="M158" s="124">
        <f t="shared" si="43"/>
        <v>-3.2139377942951288</v>
      </c>
      <c r="N158" s="122">
        <f t="shared" si="44"/>
        <v>948.07307716748062</v>
      </c>
      <c r="O158" s="121" t="str">
        <f t="shared" si="45"/>
        <v>OK (team)</v>
      </c>
      <c r="P158">
        <f t="shared" si="46"/>
        <v>1024.1150301636967</v>
      </c>
      <c r="Q158">
        <f t="shared" si="47"/>
        <v>0.39670059892980003</v>
      </c>
      <c r="R158">
        <f t="shared" si="48"/>
        <v>0.5</v>
      </c>
      <c r="S158">
        <f t="shared" si="49"/>
        <v>2.2321428571428572</v>
      </c>
      <c r="T158" s="89">
        <f t="shared" si="50"/>
        <v>2</v>
      </c>
      <c r="U158" s="126">
        <f>IF($D158="",0,IFERROR(LOOKUP(2,1/(($D$3:D157=$D158)*($C$3:C157=$C158)*($A$3:A157&lt;$A158)),$AB$3:AB157),1000))</f>
        <v>1000</v>
      </c>
      <c r="V158" s="126">
        <f t="shared" si="51"/>
        <v>965.20501068698263</v>
      </c>
      <c r="W158">
        <f t="shared" si="52"/>
        <v>1018.2095475199915</v>
      </c>
      <c r="X158">
        <f t="shared" si="53"/>
        <v>0.42430666821516833</v>
      </c>
      <c r="Y158">
        <f t="shared" si="54"/>
        <v>1011.8409182409148</v>
      </c>
      <c r="Z158">
        <f t="shared" si="55"/>
        <v>0.48296614333268972</v>
      </c>
      <c r="AA158">
        <f>IF($D158="",0,IF($F158&lt;2,0,IF($E158="Win",('Guide &amp; Settings'!$C$42/(($F158-1)*COUNTIFS($A$4:$A$1510,$A158,$E$4:$E$1510,"Win")))*SUMIFS($Z$4:$Z$1510,$A$4:$A$1510,$A158,$E$4:$E$1510,"Loss"),-('Guide &amp; Settings'!$C$42/($F158-1))*$Z158)))</f>
        <v>-5.1516388622153571</v>
      </c>
      <c r="AB158" s="126">
        <f t="shared" si="56"/>
        <v>994.84836113778465</v>
      </c>
      <c r="AC158" s="126">
        <f>IF($D158="","",IF($AD158=0,0,IF(COUNTIFS($D$4:$D158,$D158,$B$4:$B158,$B158)&gt;1,0,IF($B158&lt;'Guide &amp; Settings'!$C$50,0,IF(($B158-$AD158)/7-'Guide &amp; Settings'!$C$48&gt;=0,(INT(($B158-$AD158)/7-'Guide &amp; Settings'!$C$48)+1)*'Guide &amp; Settings'!$C$49,0)))))</f>
        <v>0</v>
      </c>
      <c r="AD158" s="142">
        <f t="shared" si="57"/>
        <v>46175</v>
      </c>
      <c r="AE158">
        <f t="shared" si="58"/>
        <v>2</v>
      </c>
      <c r="AF158">
        <f t="shared" si="59"/>
        <v>0</v>
      </c>
    </row>
    <row r="159" spans="1:32" ht="15" customHeight="1" x14ac:dyDescent="0.2">
      <c r="A159" s="117">
        <v>71</v>
      </c>
      <c r="B159" s="118">
        <v>46188</v>
      </c>
      <c r="C159" s="119" t="s">
        <v>49</v>
      </c>
      <c r="D159" s="119" t="s">
        <v>26</v>
      </c>
      <c r="E159" s="117" t="s">
        <v>371</v>
      </c>
      <c r="F159" s="120">
        <f t="shared" si="40"/>
        <v>4</v>
      </c>
      <c r="G159" s="121" t="str">
        <f t="shared" si="41"/>
        <v>Oscar</v>
      </c>
      <c r="H159" s="122">
        <f>IF($D159="",0,IFERROR(LOOKUP(2,1/(($D$3:D158=$D159)*($A$3:A158&lt;$A159)),$N$3:N158),'Guide &amp; Settings'!$C$41))</f>
        <v>1000</v>
      </c>
      <c r="I159" s="123">
        <f t="shared" si="42"/>
        <v>0.224</v>
      </c>
      <c r="J159" s="124">
        <f>IF($D159="",0,IF($F159&lt;2,0,IF($E159="Win",('Guide &amp; Settings'!$C$42/(($F159-1)*COUNTIFS($A$4:$A$1510,$A159,$E$4:$E$1510,"Win")))*SUMIFS($X$4:$X$1510,$A$4:$A$1510,$A159,$E$4:$E$1510,"Loss"),-('Guide &amp; Settings'!$C$42/($F159-1))*$X159)))</f>
        <v>-5.0540621161284225</v>
      </c>
      <c r="K159" s="124">
        <f>IF($D159="",0,'Guide &amp; Settings'!$C$43*(IF($E159="Win",1,0)-$I159))</f>
        <v>-2.6880000000000002</v>
      </c>
      <c r="L159" s="125">
        <f>IF($D159="",0,'Guide &amp; Settings'!$C$44*IF($F159&gt;=3,$F159,0))</f>
        <v>4</v>
      </c>
      <c r="M159" s="124">
        <f t="shared" si="43"/>
        <v>-3.7420621161284231</v>
      </c>
      <c r="N159" s="122">
        <f t="shared" si="44"/>
        <v>996.25793788387159</v>
      </c>
      <c r="O159" s="121" t="str">
        <f t="shared" si="45"/>
        <v>OK (team)</v>
      </c>
      <c r="P159">
        <f t="shared" si="46"/>
        <v>1024.1150301636967</v>
      </c>
      <c r="Q159">
        <f t="shared" si="47"/>
        <v>0.46535130473922148</v>
      </c>
      <c r="R159">
        <f t="shared" si="48"/>
        <v>0.5</v>
      </c>
      <c r="S159">
        <f t="shared" si="49"/>
        <v>2.2321428571428572</v>
      </c>
      <c r="T159" s="89">
        <f t="shared" si="50"/>
        <v>0</v>
      </c>
      <c r="U159" s="126">
        <f>IF($D159="",0,IFERROR(LOOKUP(2,1/(($D$3:D158=$D159)*($C$3:C158=$C159)*($A$3:A158&lt;$A159)),$AB$3:AB158),1000))</f>
        <v>1000</v>
      </c>
      <c r="V159" s="126">
        <f t="shared" si="51"/>
        <v>1000</v>
      </c>
      <c r="W159">
        <f t="shared" si="52"/>
        <v>1018.2095475199915</v>
      </c>
      <c r="X159">
        <f t="shared" si="53"/>
        <v>0.47381832338703961</v>
      </c>
      <c r="Y159">
        <f t="shared" si="54"/>
        <v>1011.8409182409148</v>
      </c>
      <c r="Z159">
        <f t="shared" si="55"/>
        <v>0.48296614333268972</v>
      </c>
      <c r="AA159">
        <f>IF($D159="",0,IF($F159&lt;2,0,IF($E159="Win",('Guide &amp; Settings'!$C$42/(($F159-1)*COUNTIFS($A$4:$A$1510,$A159,$E$4:$E$1510,"Win")))*SUMIFS($Z$4:$Z$1510,$A$4:$A$1510,$A159,$E$4:$E$1510,"Loss"),-('Guide &amp; Settings'!$C$42/($F159-1))*$Z159)))</f>
        <v>-5.1516388622153571</v>
      </c>
      <c r="AB159" s="126">
        <f t="shared" si="56"/>
        <v>994.84836113778465</v>
      </c>
      <c r="AC159" s="126">
        <f>IF($D159="","",IF($AD159=0,0,IF(COUNTIFS($D$4:$D159,$D159,$B$4:$B159,$B159)&gt;1,0,IF($B159&lt;'Guide &amp; Settings'!$C$50,0,IF(($B159-$AD159)/7-'Guide &amp; Settings'!$C$48&gt;=0,(INT(($B159-$AD159)/7-'Guide &amp; Settings'!$C$48)+1)*'Guide &amp; Settings'!$C$49,0)))))</f>
        <v>0</v>
      </c>
      <c r="AD159" s="142">
        <f t="shared" si="57"/>
        <v>0</v>
      </c>
      <c r="AE159">
        <f t="shared" si="58"/>
        <v>2</v>
      </c>
      <c r="AF159">
        <f t="shared" si="59"/>
        <v>0</v>
      </c>
    </row>
    <row r="160" spans="1:32" ht="15" customHeight="1" x14ac:dyDescent="0.2">
      <c r="A160" s="117">
        <v>72</v>
      </c>
      <c r="B160" s="118">
        <v>46188</v>
      </c>
      <c r="C160" s="119" t="s">
        <v>49</v>
      </c>
      <c r="D160" s="119" t="s">
        <v>21</v>
      </c>
      <c r="E160" s="117" t="s">
        <v>370</v>
      </c>
      <c r="F160" s="120">
        <f t="shared" si="40"/>
        <v>4</v>
      </c>
      <c r="G160" s="121" t="str">
        <f t="shared" si="41"/>
        <v>Oscar</v>
      </c>
      <c r="H160" s="122">
        <f>IF($D160="",0,IFERROR(LOOKUP(2,1/(($D$3:D159=$D160)*($A$3:A159&lt;$A160)),$N$3:N159),'Guide &amp; Settings'!$C$41))</f>
        <v>1115.2352711079943</v>
      </c>
      <c r="I160" s="123">
        <f t="shared" si="42"/>
        <v>0.43793445878848064</v>
      </c>
      <c r="J160" s="124">
        <f>IF($D160="",0,IF($F160&lt;2,0,IF($E160="Win",('Guide &amp; Settings'!$C$42/(($F160-1)*COUNTIFS($A$4:$A$1510,$A160,$E$4:$E$1510,"Win")))*SUMIFS($X$4:$X$1510,$A$4:$A$1510,$A160,$E$4:$E$1510,"Loss"),-('Guide &amp; Settings'!$C$42/($F160-1))*$X160)))</f>
        <v>4.605083129714318</v>
      </c>
      <c r="K160" s="124">
        <f>IF($D160="",0,'Guide &amp; Settings'!$C$43*(IF($E160="Win",1,0)-$I160))</f>
        <v>6.744786494538233</v>
      </c>
      <c r="L160" s="125">
        <f>IF($D160="",0,'Guide &amp; Settings'!$C$44*IF($F160&gt;=3,$F160,0))</f>
        <v>4</v>
      </c>
      <c r="M160" s="124">
        <f t="shared" si="43"/>
        <v>15.349869624252552</v>
      </c>
      <c r="N160" s="122">
        <f t="shared" si="44"/>
        <v>1130.5851407322468</v>
      </c>
      <c r="O160" s="121" t="str">
        <f t="shared" si="45"/>
        <v>OK (team)</v>
      </c>
      <c r="P160">
        <f t="shared" si="46"/>
        <v>1041.5930301189085</v>
      </c>
      <c r="Q160">
        <f t="shared" si="47"/>
        <v>0.60442060673678555</v>
      </c>
      <c r="R160">
        <f t="shared" si="48"/>
        <v>0.875</v>
      </c>
      <c r="S160">
        <f t="shared" si="49"/>
        <v>1.998015873015873</v>
      </c>
      <c r="T160" s="89">
        <f t="shared" si="50"/>
        <v>6</v>
      </c>
      <c r="U160" s="126">
        <f>IF($D160="",0,IFERROR(LOOKUP(2,1/(($D$3:D159=$D160)*($C$3:C159=$C160)*($A$3:A159&lt;$A160)),$AB$3:AB159),1000))</f>
        <v>1069.4674601912629</v>
      </c>
      <c r="V160" s="126">
        <f t="shared" si="51"/>
        <v>1090.2710106079589</v>
      </c>
      <c r="W160">
        <f t="shared" si="52"/>
        <v>1028.1095687937334</v>
      </c>
      <c r="X160">
        <f t="shared" si="53"/>
        <v>0.58851504255890175</v>
      </c>
      <c r="Y160">
        <f t="shared" si="54"/>
        <v>1016.9925571031301</v>
      </c>
      <c r="Z160">
        <f t="shared" si="55"/>
        <v>0.57494842436417581</v>
      </c>
      <c r="AA160">
        <f>IF($D160="",0,IF($F160&lt;2,0,IF($E160="Win",('Guide &amp; Settings'!$C$42/(($F160-1)*COUNTIFS($A$4:$A$1510,$A160,$E$4:$E$1510,"Win")))*SUMIFS($Z$4:$Z$1510,$A$4:$A$1510,$A160,$E$4:$E$1510,"Loss"),-('Guide &amp; Settings'!$C$42/($F160-1))*$Z160)))</f>
        <v>4.7389736580532942</v>
      </c>
      <c r="AB160" s="126">
        <f t="shared" si="56"/>
        <v>1074.2064338493162</v>
      </c>
      <c r="AC160" s="126">
        <f>IF($D160="","",IF($AD160=0,0,IF(COUNTIFS($D$4:$D160,$D160,$B$4:$B160,$B160)&gt;1,0,IF($B160&lt;'Guide &amp; Settings'!$C$50,0,IF(($B160-$AD160)/7-'Guide &amp; Settings'!$C$48&gt;=0,(INT(($B160-$AD160)/7-'Guide &amp; Settings'!$C$48)+1)*'Guide &amp; Settings'!$C$49,0)))))</f>
        <v>0</v>
      </c>
      <c r="AD160" s="142">
        <f t="shared" si="57"/>
        <v>46175</v>
      </c>
      <c r="AE160">
        <f t="shared" si="58"/>
        <v>2</v>
      </c>
      <c r="AF160">
        <f t="shared" si="59"/>
        <v>0</v>
      </c>
    </row>
    <row r="161" spans="1:32" ht="15" customHeight="1" x14ac:dyDescent="0.2">
      <c r="A161" s="117">
        <v>72</v>
      </c>
      <c r="B161" s="118">
        <v>46188</v>
      </c>
      <c r="C161" s="119" t="s">
        <v>49</v>
      </c>
      <c r="D161" s="119" t="s">
        <v>25</v>
      </c>
      <c r="E161" s="117" t="s">
        <v>370</v>
      </c>
      <c r="F161" s="120">
        <f t="shared" si="40"/>
        <v>4</v>
      </c>
      <c r="G161" s="121" t="str">
        <f t="shared" si="41"/>
        <v>Oscar</v>
      </c>
      <c r="H161" s="122">
        <f>IF($D161="",0,IFERROR(LOOKUP(2,1/(($D$3:D160=$D161)*($A$3:A160&lt;$A161)),$N$3:N160),'Guide &amp; Settings'!$C$41))</f>
        <v>967.95078912982262</v>
      </c>
      <c r="I161" s="123">
        <f t="shared" si="42"/>
        <v>0.22244289970208539</v>
      </c>
      <c r="J161" s="124">
        <f>IF($D161="",0,IF($F161&lt;2,0,IF($E161="Win",('Guide &amp; Settings'!$C$42/(($F161-1)*COUNTIFS($A$4:$A$1510,$A161,$E$4:$E$1510,"Win")))*SUMIFS($X$4:$X$1510,$A$4:$A$1510,$A161,$E$4:$E$1510,"Loss"),-('Guide &amp; Settings'!$C$42/($F161-1))*$X161)))</f>
        <v>4.605083129714318</v>
      </c>
      <c r="K161" s="124">
        <f>IF($D161="",0,'Guide &amp; Settings'!$C$43*(IF($E161="Win",1,0)-$I161))</f>
        <v>9.3306852035749746</v>
      </c>
      <c r="L161" s="125">
        <f>IF($D161="",0,'Guide &amp; Settings'!$C$44*IF($F161&gt;=3,$F161,0))</f>
        <v>4</v>
      </c>
      <c r="M161" s="124">
        <f t="shared" si="43"/>
        <v>17.935768333289293</v>
      </c>
      <c r="N161" s="122">
        <f t="shared" si="44"/>
        <v>985.8865574631119</v>
      </c>
      <c r="O161" s="121" t="str">
        <f t="shared" si="45"/>
        <v>OK (team)</v>
      </c>
      <c r="P161">
        <f t="shared" si="46"/>
        <v>1041.5930301189085</v>
      </c>
      <c r="Q161">
        <f t="shared" si="47"/>
        <v>0.39557939326321445</v>
      </c>
      <c r="R161">
        <f t="shared" si="48"/>
        <v>0.44444444444444442</v>
      </c>
      <c r="S161">
        <f t="shared" si="49"/>
        <v>1.998015873015873</v>
      </c>
      <c r="T161" s="89">
        <f t="shared" si="50"/>
        <v>7</v>
      </c>
      <c r="U161" s="126">
        <f>IF($D161="",0,IFERROR(LOOKUP(2,1/(($D$3:D160=$D161)*($C$3:C160=$C161)*($A$3:A160&lt;$A161)),$AB$3:AB160),1000))</f>
        <v>964.51765401499733</v>
      </c>
      <c r="V161" s="126">
        <f t="shared" si="51"/>
        <v>965.94812697950783</v>
      </c>
      <c r="W161">
        <f t="shared" si="52"/>
        <v>1028.1095687937334</v>
      </c>
      <c r="X161">
        <f t="shared" si="53"/>
        <v>0.4114849574410982</v>
      </c>
      <c r="Y161">
        <f t="shared" si="54"/>
        <v>1016.9925571031301</v>
      </c>
      <c r="Z161">
        <f t="shared" si="55"/>
        <v>0.42505157563582413</v>
      </c>
      <c r="AA161">
        <f>IF($D161="",0,IF($F161&lt;2,0,IF($E161="Win",('Guide &amp; Settings'!$C$42/(($F161-1)*COUNTIFS($A$4:$A$1510,$A161,$E$4:$E$1510,"Win")))*SUMIFS($Z$4:$Z$1510,$A$4:$A$1510,$A161,$E$4:$E$1510,"Loss"),-('Guide &amp; Settings'!$C$42/($F161-1))*$Z161)))</f>
        <v>4.7389736580532942</v>
      </c>
      <c r="AB161" s="126">
        <f t="shared" si="56"/>
        <v>969.25662767305062</v>
      </c>
      <c r="AC161" s="126">
        <f>IF($D161="","",IF($AD161=0,0,IF(COUNTIFS($D$4:$D161,$D161,$B$4:$B161,$B161)&gt;1,0,IF($B161&lt;'Guide &amp; Settings'!$C$50,0,IF(($B161-$AD161)/7-'Guide &amp; Settings'!$C$48&gt;=0,(INT(($B161-$AD161)/7-'Guide &amp; Settings'!$C$48)+1)*'Guide &amp; Settings'!$C$49,0)))))</f>
        <v>0</v>
      </c>
      <c r="AD161" s="142">
        <f t="shared" si="57"/>
        <v>46177</v>
      </c>
      <c r="AE161">
        <f t="shared" si="58"/>
        <v>2</v>
      </c>
      <c r="AF161">
        <f t="shared" si="59"/>
        <v>0</v>
      </c>
    </row>
    <row r="162" spans="1:32" ht="15" customHeight="1" x14ac:dyDescent="0.2">
      <c r="A162" s="117">
        <v>72</v>
      </c>
      <c r="B162" s="118">
        <v>46188</v>
      </c>
      <c r="C162" s="119" t="s">
        <v>49</v>
      </c>
      <c r="D162" s="119" t="s">
        <v>24</v>
      </c>
      <c r="E162" s="117" t="s">
        <v>371</v>
      </c>
      <c r="F162" s="120">
        <f t="shared" si="40"/>
        <v>4</v>
      </c>
      <c r="G162" s="121" t="str">
        <f t="shared" si="41"/>
        <v>Oscar</v>
      </c>
      <c r="H162" s="122">
        <f>IF($D162="",0,IFERROR(LOOKUP(2,1/(($D$3:D161=$D162)*($A$3:A161&lt;$A162)),$N$3:N161),'Guide &amp; Settings'!$C$41))</f>
        <v>912.88487726825997</v>
      </c>
      <c r="I162" s="123">
        <f t="shared" si="42"/>
        <v>0.2144985104270109</v>
      </c>
      <c r="J162" s="124">
        <f>IF($D162="",0,IF($F162&lt;2,0,IF($E162="Win",('Guide &amp; Settings'!$C$42/(($F162-1)*COUNTIFS($A$4:$A$1510,$A162,$E$4:$E$1510,"Win")))*SUMIFS($X$4:$X$1510,$A$4:$A$1510,$A162,$E$4:$E$1510,"Loss"),-('Guide &amp; Settings'!$C$42/($F162-1))*$X162)))</f>
        <v>-4.1564182954248192</v>
      </c>
      <c r="K162" s="124">
        <f>IF($D162="",0,'Guide &amp; Settings'!$C$43*(IF($E162="Win",1,0)-$I162))</f>
        <v>-2.5739821251241306</v>
      </c>
      <c r="L162" s="125">
        <f>IF($D162="",0,'Guide &amp; Settings'!$C$44*IF($F162&gt;=3,$F162,0))</f>
        <v>4</v>
      </c>
      <c r="M162" s="124">
        <f t="shared" si="43"/>
        <v>-2.7304004205489498</v>
      </c>
      <c r="N162" s="122">
        <f t="shared" si="44"/>
        <v>910.15447684771107</v>
      </c>
      <c r="O162" s="121" t="str">
        <f t="shared" si="45"/>
        <v>OK (team)</v>
      </c>
      <c r="P162">
        <f t="shared" si="46"/>
        <v>1041.5930301189085</v>
      </c>
      <c r="Q162">
        <f t="shared" si="47"/>
        <v>0.32280656429419186</v>
      </c>
      <c r="R162">
        <f t="shared" si="48"/>
        <v>0.42857142857142855</v>
      </c>
      <c r="S162">
        <f t="shared" si="49"/>
        <v>1.998015873015873</v>
      </c>
      <c r="T162" s="89">
        <f t="shared" si="50"/>
        <v>5</v>
      </c>
      <c r="U162" s="126">
        <f>IF($D162="",0,IFERROR(LOOKUP(2,1/(($D$3:D161=$D162)*($C$3:C161=$C162)*($A$3:A161&lt;$A162)),$AB$3:AB161),1000))</f>
        <v>987.43161250376841</v>
      </c>
      <c r="V162" s="126">
        <f t="shared" si="51"/>
        <v>950.15824488601424</v>
      </c>
      <c r="W162">
        <f t="shared" si="52"/>
        <v>1028.1095687937334</v>
      </c>
      <c r="X162">
        <f t="shared" si="53"/>
        <v>0.3896642151960768</v>
      </c>
      <c r="Y162">
        <f t="shared" si="54"/>
        <v>1016.9925571031301</v>
      </c>
      <c r="Z162">
        <f t="shared" si="55"/>
        <v>0.45756073979125222</v>
      </c>
      <c r="AA162">
        <f>IF($D162="",0,IF($F162&lt;2,0,IF($E162="Win",('Guide &amp; Settings'!$C$42/(($F162-1)*COUNTIFS($A$4:$A$1510,$A162,$E$4:$E$1510,"Win")))*SUMIFS($Z$4:$Z$1510,$A$4:$A$1510,$A162,$E$4:$E$1510,"Loss"),-('Guide &amp; Settings'!$C$42/($F162-1))*$Z162)))</f>
        <v>-4.8806478911066904</v>
      </c>
      <c r="AB162" s="126">
        <f t="shared" si="56"/>
        <v>982.55096461266169</v>
      </c>
      <c r="AC162" s="126">
        <f>IF($D162="","",IF($AD162=0,0,IF(COUNTIFS($D$4:$D162,$D162,$B$4:$B162,$B162)&gt;1,0,IF($B162&lt;'Guide &amp; Settings'!$C$50,0,IF(($B162-$AD162)/7-'Guide &amp; Settings'!$C$48&gt;=0,(INT(($B162-$AD162)/7-'Guide &amp; Settings'!$C$48)+1)*'Guide &amp; Settings'!$C$49,0)))))</f>
        <v>0</v>
      </c>
      <c r="AD162" s="142">
        <f t="shared" si="57"/>
        <v>46175</v>
      </c>
      <c r="AE162">
        <f t="shared" si="58"/>
        <v>2</v>
      </c>
      <c r="AF162">
        <f t="shared" si="59"/>
        <v>0</v>
      </c>
    </row>
    <row r="163" spans="1:32" ht="15" customHeight="1" x14ac:dyDescent="0.2">
      <c r="A163" s="117">
        <v>72</v>
      </c>
      <c r="B163" s="118">
        <v>46188</v>
      </c>
      <c r="C163" s="119" t="s">
        <v>49</v>
      </c>
      <c r="D163" s="119" t="s">
        <v>15</v>
      </c>
      <c r="E163" s="117" t="s">
        <v>371</v>
      </c>
      <c r="F163" s="120">
        <f t="shared" si="40"/>
        <v>4</v>
      </c>
      <c r="G163" s="121" t="str">
        <f t="shared" si="41"/>
        <v>Oscar</v>
      </c>
      <c r="H163" s="122">
        <f>IF($D163="",0,IFERROR(LOOKUP(2,1/(($D$3:D162=$D163)*($A$3:A162&lt;$A163)),$N$3:N162),'Guide &amp; Settings'!$C$41))</f>
        <v>1026.3367769492982</v>
      </c>
      <c r="I163" s="123">
        <f t="shared" si="42"/>
        <v>0.12512413108242304</v>
      </c>
      <c r="J163" s="124">
        <f>IF($D163="",0,IF($F163&lt;2,0,IF($E163="Win",('Guide &amp; Settings'!$C$42/(($F163-1)*COUNTIFS($A$4:$A$1510,$A163,$E$4:$E$1510,"Win")))*SUMIFS($X$4:$X$1510,$A$4:$A$1510,$A163,$E$4:$E$1510,"Loss"),-('Guide &amp; Settings'!$C$42/($F163-1))*$X163)))</f>
        <v>-5.0537479640038185</v>
      </c>
      <c r="K163" s="124">
        <f>IF($D163="",0,'Guide &amp; Settings'!$C$43*(IF($E163="Win",1,0)-$I163))</f>
        <v>-1.5014895729890765</v>
      </c>
      <c r="L163" s="125">
        <f>IF($D163="",0,'Guide &amp; Settings'!$C$44*IF($F163&gt;=3,$F163,0))</f>
        <v>4</v>
      </c>
      <c r="M163" s="124">
        <f t="shared" si="43"/>
        <v>-2.5552375369928946</v>
      </c>
      <c r="N163" s="122">
        <f t="shared" si="44"/>
        <v>1023.7815394123053</v>
      </c>
      <c r="O163" s="121" t="str">
        <f t="shared" si="45"/>
        <v>OK (team)</v>
      </c>
      <c r="P163">
        <f t="shared" si="46"/>
        <v>1041.5930301189085</v>
      </c>
      <c r="Q163">
        <f t="shared" si="47"/>
        <v>0.47805858730366335</v>
      </c>
      <c r="R163">
        <f t="shared" si="48"/>
        <v>0.25</v>
      </c>
      <c r="S163">
        <f t="shared" si="49"/>
        <v>1.998015873015873</v>
      </c>
      <c r="T163" s="89">
        <f t="shared" si="50"/>
        <v>2</v>
      </c>
      <c r="U163" s="126">
        <f>IF($D163="",0,IFERROR(LOOKUP(2,1/(($D$3:D162=$D163)*($C$3:C162=$C163)*($A$3:A162&lt;$A163)),$AB$3:AB162),1000))</f>
        <v>968.73630679352198</v>
      </c>
      <c r="V163" s="126">
        <f t="shared" si="51"/>
        <v>1009.8794997619335</v>
      </c>
      <c r="W163">
        <f t="shared" si="52"/>
        <v>1028.1095687937334</v>
      </c>
      <c r="X163">
        <f t="shared" si="53"/>
        <v>0.47378887162535799</v>
      </c>
      <c r="Y163">
        <f t="shared" si="54"/>
        <v>1016.9925571031301</v>
      </c>
      <c r="Z163">
        <f t="shared" si="55"/>
        <v>0.43099682109374055</v>
      </c>
      <c r="AA163">
        <f>IF($D163="",0,IF($F163&lt;2,0,IF($E163="Win",('Guide &amp; Settings'!$C$42/(($F163-1)*COUNTIFS($A$4:$A$1510,$A163,$E$4:$E$1510,"Win")))*SUMIFS($Z$4:$Z$1510,$A$4:$A$1510,$A163,$E$4:$E$1510,"Loss"),-('Guide &amp; Settings'!$C$42/($F163-1))*$Z163)))</f>
        <v>-4.5972994249998989</v>
      </c>
      <c r="AB163" s="126">
        <f t="shared" si="56"/>
        <v>964.13900736852213</v>
      </c>
      <c r="AC163" s="126">
        <f>IF($D163="","",IF($AD163=0,0,IF(COUNTIFS($D$4:$D163,$D163,$B$4:$B163,$B163)&gt;1,0,IF($B163&lt;'Guide &amp; Settings'!$C$50,0,IF(($B163-$AD163)/7-'Guide &amp; Settings'!$C$48&gt;=0,(INT(($B163-$AD163)/7-'Guide &amp; Settings'!$C$48)+1)*'Guide &amp; Settings'!$C$49,0)))))</f>
        <v>0</v>
      </c>
      <c r="AD163" s="142">
        <f t="shared" si="57"/>
        <v>46175</v>
      </c>
      <c r="AE163">
        <f t="shared" si="58"/>
        <v>2</v>
      </c>
      <c r="AF163">
        <f t="shared" si="59"/>
        <v>0</v>
      </c>
    </row>
    <row r="164" spans="1:32" ht="15" customHeight="1" x14ac:dyDescent="0.2">
      <c r="A164" s="117">
        <v>73</v>
      </c>
      <c r="B164" s="118">
        <v>46188</v>
      </c>
      <c r="C164" s="119" t="s">
        <v>49</v>
      </c>
      <c r="D164" s="119" t="s">
        <v>16</v>
      </c>
      <c r="E164" s="117" t="s">
        <v>370</v>
      </c>
      <c r="F164" s="120">
        <f t="shared" si="40"/>
        <v>4</v>
      </c>
      <c r="G164" s="121" t="str">
        <f t="shared" si="41"/>
        <v>Dylan A</v>
      </c>
      <c r="H164" s="122">
        <f>IF($D164="",0,IFERROR(LOOKUP(2,1/(($D$3:D163=$D164)*($A$3:A163&lt;$A164)),$N$3:N163),'Guide &amp; Settings'!$C$41))</f>
        <v>994.77981233243941</v>
      </c>
      <c r="I164" s="123">
        <f t="shared" si="42"/>
        <v>0.2608695652173913</v>
      </c>
      <c r="J164" s="124">
        <f>IF($D164="",0,IF($F164&lt;2,0,IF($E164="Win",('Guide &amp; Settings'!$C$42/(($F164-1)*COUNTIFS($A$4:$A$1510,$A164,$E$4:$E$1510,"Win")))*SUMIFS($X$4:$X$1510,$A$4:$A$1510,$A164,$E$4:$E$1510,"Loss"),-('Guide &amp; Settings'!$C$42/($F164-1))*$X164)))</f>
        <v>5.8898664518025514</v>
      </c>
      <c r="K164" s="124">
        <f>IF($D164="",0,'Guide &amp; Settings'!$C$43*(IF($E164="Win",1,0)-$I164))</f>
        <v>8.8695652173913047</v>
      </c>
      <c r="L164" s="125">
        <f>IF($D164="",0,'Guide &amp; Settings'!$C$44*IF($F164&gt;=3,$F164,0))</f>
        <v>4</v>
      </c>
      <c r="M164" s="124">
        <f t="shared" si="43"/>
        <v>18.759431669193855</v>
      </c>
      <c r="N164" s="122">
        <f t="shared" si="44"/>
        <v>1013.5392440016333</v>
      </c>
      <c r="O164" s="121" t="str">
        <f t="shared" si="45"/>
        <v>OK (team)</v>
      </c>
      <c r="P164">
        <f t="shared" si="46"/>
        <v>997.3899061662197</v>
      </c>
      <c r="Q164">
        <f t="shared" si="47"/>
        <v>0.49624384369114244</v>
      </c>
      <c r="R164">
        <f t="shared" si="48"/>
        <v>0.66666666666666663</v>
      </c>
      <c r="S164">
        <f t="shared" si="49"/>
        <v>2.5555555555555554</v>
      </c>
      <c r="T164" s="89">
        <f t="shared" si="50"/>
        <v>1</v>
      </c>
      <c r="U164" s="126">
        <f>IF($D164="",0,IFERROR(LOOKUP(2,1/(($D$3:D163=$D164)*($C$3:C163=$C164)*($A$3:A163&lt;$A164)),$AB$3:AB163),1000))</f>
        <v>1016</v>
      </c>
      <c r="V164" s="126">
        <f t="shared" si="51"/>
        <v>998.31651027703288</v>
      </c>
      <c r="W164">
        <f t="shared" si="52"/>
        <v>999.15825513851644</v>
      </c>
      <c r="X164">
        <f t="shared" si="53"/>
        <v>0.49878863413875002</v>
      </c>
      <c r="Y164">
        <f t="shared" si="54"/>
        <v>1008</v>
      </c>
      <c r="Z164">
        <f t="shared" si="55"/>
        <v>0.5115108912177917</v>
      </c>
      <c r="AA164">
        <f>IF($D164="",0,IF($F164&lt;2,0,IF($E164="Win",('Guide &amp; Settings'!$C$42/(($F164-1)*COUNTIFS($A$4:$A$1510,$A164,$E$4:$E$1510,"Win")))*SUMIFS($Z$4:$Z$1510,$A$4:$A$1510,$A164,$E$4:$E$1510,"Loss"),-('Guide &amp; Settings'!$C$42/($F164-1))*$Z164)))</f>
        <v>5.5392839402240961</v>
      </c>
      <c r="AB164" s="126">
        <f t="shared" si="56"/>
        <v>1021.5392839402241</v>
      </c>
      <c r="AC164" s="126">
        <f>IF($D164="","",IF($AD164=0,0,IF(COUNTIFS($D$4:$D164,$D164,$B$4:$B164,$B164)&gt;1,0,IF($B164&lt;'Guide &amp; Settings'!$C$50,0,IF(($B164-$AD164)/7-'Guide &amp; Settings'!$C$48&gt;=0,(INT(($B164-$AD164)/7-'Guide &amp; Settings'!$C$48)+1)*'Guide &amp; Settings'!$C$49,0)))))</f>
        <v>0</v>
      </c>
      <c r="AD164" s="142">
        <f t="shared" si="57"/>
        <v>46177</v>
      </c>
      <c r="AE164">
        <f t="shared" si="58"/>
        <v>2</v>
      </c>
      <c r="AF164">
        <f t="shared" si="59"/>
        <v>0</v>
      </c>
    </row>
    <row r="165" spans="1:32" ht="15" customHeight="1" x14ac:dyDescent="0.2">
      <c r="A165" s="117">
        <v>73</v>
      </c>
      <c r="B165" s="118">
        <v>46188</v>
      </c>
      <c r="C165" s="119" t="s">
        <v>49</v>
      </c>
      <c r="D165" s="119" t="s">
        <v>27</v>
      </c>
      <c r="E165" s="117" t="s">
        <v>370</v>
      </c>
      <c r="F165" s="120">
        <f t="shared" si="40"/>
        <v>4</v>
      </c>
      <c r="G165" s="121" t="str">
        <f t="shared" si="41"/>
        <v>Dylan A</v>
      </c>
      <c r="H165" s="122">
        <f>IF($D165="",0,IFERROR(LOOKUP(2,1/(($D$3:D164=$D165)*($A$3:A164&lt;$A165)),$N$3:N164),'Guide &amp; Settings'!$C$41))</f>
        <v>1000</v>
      </c>
      <c r="I165" s="123">
        <f t="shared" si="42"/>
        <v>0.19565217391304349</v>
      </c>
      <c r="J165" s="124">
        <f>IF($D165="",0,IF($F165&lt;2,0,IF($E165="Win",('Guide &amp; Settings'!$C$42/(($F165-1)*COUNTIFS($A$4:$A$1510,$A165,$E$4:$E$1510,"Win")))*SUMIFS($X$4:$X$1510,$A$4:$A$1510,$A165,$E$4:$E$1510,"Loss"),-('Guide &amp; Settings'!$C$42/($F165-1))*$X165)))</f>
        <v>5.8898664518025514</v>
      </c>
      <c r="K165" s="124">
        <f>IF($D165="",0,'Guide &amp; Settings'!$C$43*(IF($E165="Win",1,0)-$I165))</f>
        <v>9.6521739130434785</v>
      </c>
      <c r="L165" s="125">
        <f>IF($D165="",0,'Guide &amp; Settings'!$C$44*IF($F165&gt;=3,$F165,0))</f>
        <v>4</v>
      </c>
      <c r="M165" s="124">
        <f t="shared" si="43"/>
        <v>19.542040364846031</v>
      </c>
      <c r="N165" s="122">
        <f t="shared" si="44"/>
        <v>1019.542040364846</v>
      </c>
      <c r="O165" s="121" t="str">
        <f t="shared" si="45"/>
        <v>OK (team)</v>
      </c>
      <c r="P165">
        <f t="shared" si="46"/>
        <v>997.3899061662197</v>
      </c>
      <c r="Q165">
        <f t="shared" si="47"/>
        <v>0.50375615630885751</v>
      </c>
      <c r="R165">
        <f t="shared" si="48"/>
        <v>0.5</v>
      </c>
      <c r="S165">
        <f t="shared" si="49"/>
        <v>2.5555555555555554</v>
      </c>
      <c r="T165" s="89">
        <f t="shared" si="50"/>
        <v>0</v>
      </c>
      <c r="U165" s="126">
        <f>IF($D165="",0,IFERROR(LOOKUP(2,1/(($D$3:D164=$D165)*($C$3:C164=$C165)*($A$3:A164&lt;$A165)),$AB$3:AB164),1000))</f>
        <v>1000</v>
      </c>
      <c r="V165" s="126">
        <f t="shared" si="51"/>
        <v>1000</v>
      </c>
      <c r="W165">
        <f t="shared" si="52"/>
        <v>999.15825513851644</v>
      </c>
      <c r="X165">
        <f t="shared" si="53"/>
        <v>0.50121136586125004</v>
      </c>
      <c r="Y165">
        <f t="shared" si="54"/>
        <v>1008</v>
      </c>
      <c r="Z165">
        <f t="shared" si="55"/>
        <v>0.4884891087822083</v>
      </c>
      <c r="AA165">
        <f>IF($D165="",0,IF($F165&lt;2,0,IF($E165="Win",('Guide &amp; Settings'!$C$42/(($F165-1)*COUNTIFS($A$4:$A$1510,$A165,$E$4:$E$1510,"Win")))*SUMIFS($Z$4:$Z$1510,$A$4:$A$1510,$A165,$E$4:$E$1510,"Loss"),-('Guide &amp; Settings'!$C$42/($F165-1))*$Z165)))</f>
        <v>5.5392839402240961</v>
      </c>
      <c r="AB165" s="126">
        <f t="shared" si="56"/>
        <v>1005.5392839402241</v>
      </c>
      <c r="AC165" s="126">
        <f>IF($D165="","",IF($AD165=0,0,IF(COUNTIFS($D$4:$D165,$D165,$B$4:$B165,$B165)&gt;1,0,IF($B165&lt;'Guide &amp; Settings'!$C$50,0,IF(($B165-$AD165)/7-'Guide &amp; Settings'!$C$48&gt;=0,(INT(($B165-$AD165)/7-'Guide &amp; Settings'!$C$48)+1)*'Guide &amp; Settings'!$C$49,0)))))</f>
        <v>0</v>
      </c>
      <c r="AD165" s="142">
        <f t="shared" si="57"/>
        <v>0</v>
      </c>
      <c r="AE165">
        <f t="shared" si="58"/>
        <v>2</v>
      </c>
      <c r="AF165">
        <f t="shared" si="59"/>
        <v>0</v>
      </c>
    </row>
    <row r="166" spans="1:32" ht="15" customHeight="1" x14ac:dyDescent="0.2">
      <c r="A166" s="117">
        <v>73</v>
      </c>
      <c r="B166" s="118">
        <v>46188</v>
      </c>
      <c r="C166" s="119" t="s">
        <v>49</v>
      </c>
      <c r="D166" s="119" t="s">
        <v>25</v>
      </c>
      <c r="E166" s="117" t="s">
        <v>371</v>
      </c>
      <c r="F166" s="120">
        <f t="shared" si="40"/>
        <v>4</v>
      </c>
      <c r="G166" s="121" t="str">
        <f t="shared" si="41"/>
        <v>Dylan A</v>
      </c>
      <c r="H166" s="122">
        <f>IF($D166="",0,IFERROR(LOOKUP(2,1/(($D$3:D165=$D166)*($A$3:A165&lt;$A166)),$N$3:N165),'Guide &amp; Settings'!$C$41))</f>
        <v>985.8865574631119</v>
      </c>
      <c r="I166" s="123">
        <f t="shared" si="42"/>
        <v>0.19565217391304349</v>
      </c>
      <c r="J166" s="124">
        <f>IF($D166="",0,IF($F166&lt;2,0,IF($E166="Win",('Guide &amp; Settings'!$C$42/(($F166-1)*COUNTIFS($A$4:$A$1510,$A166,$E$4:$E$1510,"Win")))*SUMIFS($X$4:$X$1510,$A$4:$A$1510,$A166,$E$4:$E$1510,"Loss"),-('Guide &amp; Settings'!$C$42/($F166-1))*$X166)))</f>
        <v>-4.9730600657000661</v>
      </c>
      <c r="K166" s="124">
        <f>IF($D166="",0,'Guide &amp; Settings'!$C$43*(IF($E166="Win",1,0)-$I166))</f>
        <v>-2.347826086956522</v>
      </c>
      <c r="L166" s="125">
        <f>IF($D166="",0,'Guide &amp; Settings'!$C$44*IF($F166&gt;=3,$F166,0))</f>
        <v>4</v>
      </c>
      <c r="M166" s="124">
        <f t="shared" si="43"/>
        <v>-3.3208861526565876</v>
      </c>
      <c r="N166" s="122">
        <f t="shared" si="44"/>
        <v>982.56567131045529</v>
      </c>
      <c r="O166" s="121" t="str">
        <f t="shared" si="45"/>
        <v>OK (team)</v>
      </c>
      <c r="P166">
        <f t="shared" si="46"/>
        <v>997.3899061662197</v>
      </c>
      <c r="Q166">
        <f t="shared" si="47"/>
        <v>0.48345139703226736</v>
      </c>
      <c r="R166">
        <f t="shared" si="48"/>
        <v>0.5</v>
      </c>
      <c r="S166">
        <f t="shared" si="49"/>
        <v>2.5555555555555554</v>
      </c>
      <c r="T166" s="89">
        <f t="shared" si="50"/>
        <v>8</v>
      </c>
      <c r="U166" s="126">
        <f>IF($D166="",0,IFERROR(LOOKUP(2,1/(($D$3:D165=$D166)*($C$3:C165=$C166)*($A$3:A165&lt;$A166)),$AB$3:AB165),1000))</f>
        <v>969.25662767305062</v>
      </c>
      <c r="V166" s="126">
        <f t="shared" si="51"/>
        <v>975.65275451538196</v>
      </c>
      <c r="W166">
        <f t="shared" si="52"/>
        <v>999.15825513851644</v>
      </c>
      <c r="X166">
        <f t="shared" si="53"/>
        <v>0.46622438115938125</v>
      </c>
      <c r="Y166">
        <f t="shared" si="54"/>
        <v>1008</v>
      </c>
      <c r="Z166">
        <f t="shared" si="55"/>
        <v>0.44447377115232384</v>
      </c>
      <c r="AA166">
        <f>IF($D166="",0,IF($F166&lt;2,0,IF($E166="Win",('Guide &amp; Settings'!$C$42/(($F166-1)*COUNTIFS($A$4:$A$1510,$A166,$E$4:$E$1510,"Win")))*SUMIFS($Z$4:$Z$1510,$A$4:$A$1510,$A166,$E$4:$E$1510,"Loss"),-('Guide &amp; Settings'!$C$42/($F166-1))*$Z166)))</f>
        <v>-4.7410535589581206</v>
      </c>
      <c r="AB166" s="126">
        <f t="shared" si="56"/>
        <v>964.51557411409249</v>
      </c>
      <c r="AC166" s="126">
        <f>IF($D166="","",IF($AD166=0,0,IF(COUNTIFS($D$4:$D166,$D166,$B$4:$B166,$B166)&gt;1,0,IF($B166&lt;'Guide &amp; Settings'!$C$50,0,IF(($B166-$AD166)/7-'Guide &amp; Settings'!$C$48&gt;=0,(INT(($B166-$AD166)/7-'Guide &amp; Settings'!$C$48)+1)*'Guide &amp; Settings'!$C$49,0)))))</f>
        <v>0</v>
      </c>
      <c r="AD166" s="142">
        <f t="shared" si="57"/>
        <v>46177</v>
      </c>
      <c r="AE166">
        <f t="shared" si="58"/>
        <v>2</v>
      </c>
      <c r="AF166">
        <f t="shared" si="59"/>
        <v>0</v>
      </c>
    </row>
    <row r="167" spans="1:32" ht="15" customHeight="1" x14ac:dyDescent="0.2">
      <c r="A167" s="117">
        <v>73</v>
      </c>
      <c r="B167" s="118">
        <v>46188</v>
      </c>
      <c r="C167" s="119" t="s">
        <v>49</v>
      </c>
      <c r="D167" s="119" t="s">
        <v>21</v>
      </c>
      <c r="E167" s="117" t="s">
        <v>371</v>
      </c>
      <c r="F167" s="120">
        <f t="shared" si="40"/>
        <v>4</v>
      </c>
      <c r="G167" s="121" t="str">
        <f t="shared" si="41"/>
        <v>Dylan A</v>
      </c>
      <c r="H167" s="122">
        <f>IF($D167="",0,IFERROR(LOOKUP(2,1/(($D$3:D166=$D167)*($A$3:A166&lt;$A167)),$N$3:N166),'Guide &amp; Settings'!$C$41))</f>
        <v>1130.5851407322468</v>
      </c>
      <c r="I167" s="123">
        <f t="shared" si="42"/>
        <v>0.34782608695652173</v>
      </c>
      <c r="J167" s="124">
        <f>IF($D167="",0,IF($F167&lt;2,0,IF($E167="Win",('Guide &amp; Settings'!$C$42/(($F167-1)*COUNTIFS($A$4:$A$1510,$A167,$E$4:$E$1510,"Win")))*SUMIFS($X$4:$X$1510,$A$4:$A$1510,$A167,$E$4:$E$1510,"Loss"),-('Guide &amp; Settings'!$C$42/($F167-1))*$X167)))</f>
        <v>-6.8066728379050376</v>
      </c>
      <c r="K167" s="124">
        <f>IF($D167="",0,'Guide &amp; Settings'!$C$43*(IF($E167="Win",1,0)-$I167))</f>
        <v>-4.1739130434782608</v>
      </c>
      <c r="L167" s="125">
        <f>IF($D167="",0,'Guide &amp; Settings'!$C$44*IF($F167&gt;=3,$F167,0))</f>
        <v>4</v>
      </c>
      <c r="M167" s="124">
        <f t="shared" si="43"/>
        <v>-6.9805858813832984</v>
      </c>
      <c r="N167" s="122">
        <f t="shared" si="44"/>
        <v>1123.6045548508635</v>
      </c>
      <c r="O167" s="121" t="str">
        <f t="shared" si="45"/>
        <v>OK (team)</v>
      </c>
      <c r="P167">
        <f t="shared" si="46"/>
        <v>997.3899061662197</v>
      </c>
      <c r="Q167">
        <f t="shared" si="47"/>
        <v>0.68281384016486213</v>
      </c>
      <c r="R167">
        <f t="shared" si="48"/>
        <v>0.88888888888888884</v>
      </c>
      <c r="S167">
        <f t="shared" si="49"/>
        <v>2.5555555555555554</v>
      </c>
      <c r="T167" s="89">
        <f t="shared" si="50"/>
        <v>7</v>
      </c>
      <c r="U167" s="126">
        <f>IF($D167="",0,IFERROR(LOOKUP(2,1/(($D$3:D166=$D167)*($C$3:C166=$C167)*($A$3:A166&lt;$A167)),$AB$3:AB166),1000))</f>
        <v>1074.2064338493162</v>
      </c>
      <c r="V167" s="126">
        <f t="shared" si="51"/>
        <v>1097.6975617172041</v>
      </c>
      <c r="W167">
        <f t="shared" si="52"/>
        <v>999.15825513851644</v>
      </c>
      <c r="X167">
        <f t="shared" si="53"/>
        <v>0.63812557855359731</v>
      </c>
      <c r="Y167">
        <f t="shared" si="54"/>
        <v>1008</v>
      </c>
      <c r="Z167">
        <f t="shared" si="55"/>
        <v>0.59414196763969418</v>
      </c>
      <c r="AA167">
        <f>IF($D167="",0,IF($F167&lt;2,0,IF($E167="Win",('Guide &amp; Settings'!$C$42/(($F167-1)*COUNTIFS($A$4:$A$1510,$A167,$E$4:$E$1510,"Win")))*SUMIFS($Z$4:$Z$1510,$A$4:$A$1510,$A167,$E$4:$E$1510,"Loss"),-('Guide &amp; Settings'!$C$42/($F167-1))*$Z167)))</f>
        <v>-6.3375143214900707</v>
      </c>
      <c r="AB167" s="126">
        <f t="shared" si="56"/>
        <v>1067.8689195278262</v>
      </c>
      <c r="AC167" s="126">
        <f>IF($D167="","",IF($AD167=0,0,IF(COUNTIFS($D$4:$D167,$D167,$B$4:$B167,$B167)&gt;1,0,IF($B167&lt;'Guide &amp; Settings'!$C$50,0,IF(($B167-$AD167)/7-'Guide &amp; Settings'!$C$48&gt;=0,(INT(($B167-$AD167)/7-'Guide &amp; Settings'!$C$48)+1)*'Guide &amp; Settings'!$C$49,0)))))</f>
        <v>0</v>
      </c>
      <c r="AD167" s="142">
        <f t="shared" si="57"/>
        <v>46175</v>
      </c>
      <c r="AE167">
        <f t="shared" si="58"/>
        <v>2</v>
      </c>
      <c r="AF167">
        <f t="shared" si="59"/>
        <v>0</v>
      </c>
    </row>
    <row r="168" spans="1:32" ht="15" customHeight="1" x14ac:dyDescent="0.2">
      <c r="A168" s="117">
        <v>74</v>
      </c>
      <c r="B168" s="118">
        <v>46188</v>
      </c>
      <c r="C168" s="119" t="s">
        <v>49</v>
      </c>
      <c r="D168" s="119" t="s">
        <v>19</v>
      </c>
      <c r="E168" s="117" t="s">
        <v>370</v>
      </c>
      <c r="F168" s="120">
        <f t="shared" si="40"/>
        <v>4</v>
      </c>
      <c r="G168" s="121" t="str">
        <f t="shared" si="41"/>
        <v>Shawn</v>
      </c>
      <c r="H168" s="122">
        <f>IF($D168="",0,IFERROR(LOOKUP(2,1/(($D$3:D167=$D168)*($A$3:A167&lt;$A168)),$N$3:N167),'Guide &amp; Settings'!$C$41))</f>
        <v>1135.6490371824466</v>
      </c>
      <c r="I168" s="123">
        <f t="shared" si="42"/>
        <v>0.17266187050359716</v>
      </c>
      <c r="J168" s="124">
        <f>IF($D168="",0,IF($F168&lt;2,0,IF($E168="Win",('Guide &amp; Settings'!$C$42/(($F168-1)*COUNTIFS($A$4:$A$1510,$A168,$E$4:$E$1510,"Win")))*SUMIFS($X$4:$X$1510,$A$4:$A$1510,$A168,$E$4:$E$1510,"Loss"),-('Guide &amp; Settings'!$C$42/($F168-1))*$X168)))</f>
        <v>4.9736590267577592</v>
      </c>
      <c r="K168" s="124">
        <f>IF($D168="",0,'Guide &amp; Settings'!$C$43*(IF($E168="Win",1,0)-$I168))</f>
        <v>9.9280575539568332</v>
      </c>
      <c r="L168" s="125">
        <f>IF($D168="",0,'Guide &amp; Settings'!$C$44*IF($F168&gt;=3,$F168,0))</f>
        <v>4</v>
      </c>
      <c r="M168" s="124">
        <f t="shared" si="43"/>
        <v>18.901716580714591</v>
      </c>
      <c r="N168" s="122">
        <f t="shared" si="44"/>
        <v>1154.5507537631611</v>
      </c>
      <c r="O168" s="121" t="str">
        <f t="shared" si="45"/>
        <v>OK (team)</v>
      </c>
      <c r="P168">
        <f t="shared" si="46"/>
        <v>1068.9021310093676</v>
      </c>
      <c r="Q168">
        <f t="shared" si="47"/>
        <v>0.594891975816775</v>
      </c>
      <c r="R168">
        <f t="shared" si="48"/>
        <v>0.4</v>
      </c>
      <c r="S168">
        <f t="shared" si="49"/>
        <v>2.3166666666666664</v>
      </c>
      <c r="T168" s="89">
        <f t="shared" si="50"/>
        <v>3</v>
      </c>
      <c r="U168" s="126">
        <f>IF($D168="",0,IFERROR(LOOKUP(2,1/(($D$3:D167=$D168)*($C$3:C167=$C168)*($A$3:A167&lt;$A168)),$AB$3:AB167),1000))</f>
        <v>984.51169332979669</v>
      </c>
      <c r="V168" s="126">
        <f t="shared" si="51"/>
        <v>1078.9725332377029</v>
      </c>
      <c r="W168">
        <f t="shared" si="52"/>
        <v>1039.9830047495329</v>
      </c>
      <c r="X168">
        <f t="shared" si="53"/>
        <v>0.55587607964891927</v>
      </c>
      <c r="Y168">
        <f t="shared" si="54"/>
        <v>992.02649193625143</v>
      </c>
      <c r="Z168">
        <f t="shared" si="55"/>
        <v>0.48918702162159966</v>
      </c>
      <c r="AA168">
        <f>IF($D168="",0,IF($F168&lt;2,0,IF($E168="Win",('Guide &amp; Settings'!$C$42/(($F168-1)*COUNTIFS($A$4:$A$1510,$A168,$E$4:$E$1510,"Win")))*SUMIFS($Z$4:$Z$1510,$A$4:$A$1510,$A168,$E$4:$E$1510,"Loss"),-('Guide &amp; Settings'!$C$42/($F168-1))*$Z168)))</f>
        <v>5.6629713760314075</v>
      </c>
      <c r="AB168" s="126">
        <f t="shared" si="56"/>
        <v>990.17466470582804</v>
      </c>
      <c r="AC168" s="126">
        <f>IF($D168="","",IF($AD168=0,0,IF(COUNTIFS($D$4:$D168,$D168,$B$4:$B168,$B168)&gt;1,0,IF($B168&lt;'Guide &amp; Settings'!$C$50,0,IF(($B168-$AD168)/7-'Guide &amp; Settings'!$C$48&gt;=0,(INT(($B168-$AD168)/7-'Guide &amp; Settings'!$C$48)+1)*'Guide &amp; Settings'!$C$49,0)))))</f>
        <v>0</v>
      </c>
      <c r="AD168" s="142">
        <f t="shared" si="57"/>
        <v>46176</v>
      </c>
      <c r="AE168">
        <f t="shared" si="58"/>
        <v>2</v>
      </c>
      <c r="AF168">
        <f t="shared" si="59"/>
        <v>0</v>
      </c>
    </row>
    <row r="169" spans="1:32" ht="15" customHeight="1" x14ac:dyDescent="0.2">
      <c r="A169" s="117">
        <v>74</v>
      </c>
      <c r="B169" s="118">
        <v>46188</v>
      </c>
      <c r="C169" s="119" t="s">
        <v>49</v>
      </c>
      <c r="D169" s="119" t="s">
        <v>20</v>
      </c>
      <c r="E169" s="117" t="s">
        <v>370</v>
      </c>
      <c r="F169" s="120">
        <f t="shared" si="40"/>
        <v>4</v>
      </c>
      <c r="G169" s="121" t="str">
        <f t="shared" si="41"/>
        <v>Shawn</v>
      </c>
      <c r="H169" s="122">
        <f>IF($D169="",0,IFERROR(LOOKUP(2,1/(($D$3:D168=$D169)*($A$3:A168&lt;$A169)),$N$3:N168),'Guide &amp; Settings'!$C$41))</f>
        <v>1002.1552248362885</v>
      </c>
      <c r="I169" s="123">
        <f t="shared" si="42"/>
        <v>0.21582733812949642</v>
      </c>
      <c r="J169" s="124">
        <f>IF($D169="",0,IF($F169&lt;2,0,IF($E169="Win",('Guide &amp; Settings'!$C$42/(($F169-1)*COUNTIFS($A$4:$A$1510,$A169,$E$4:$E$1510,"Win")))*SUMIFS($X$4:$X$1510,$A$4:$A$1510,$A169,$E$4:$E$1510,"Loss"),-('Guide &amp; Settings'!$C$42/($F169-1))*$X169)))</f>
        <v>4.9736590267577592</v>
      </c>
      <c r="K169" s="124">
        <f>IF($D169="",0,'Guide &amp; Settings'!$C$43*(IF($E169="Win",1,0)-$I169))</f>
        <v>9.4100719424460433</v>
      </c>
      <c r="L169" s="125">
        <f>IF($D169="",0,'Guide &amp; Settings'!$C$44*IF($F169&gt;=3,$F169,0))</f>
        <v>4</v>
      </c>
      <c r="M169" s="124">
        <f t="shared" si="43"/>
        <v>18.383730969203803</v>
      </c>
      <c r="N169" s="122">
        <f t="shared" si="44"/>
        <v>1020.5389558054924</v>
      </c>
      <c r="O169" s="121" t="str">
        <f t="shared" si="45"/>
        <v>OK (team)</v>
      </c>
      <c r="P169">
        <f t="shared" si="46"/>
        <v>1068.9021310093676</v>
      </c>
      <c r="Q169">
        <f t="shared" si="47"/>
        <v>0.40510802418322495</v>
      </c>
      <c r="R169">
        <f t="shared" si="48"/>
        <v>0.5</v>
      </c>
      <c r="S169">
        <f t="shared" si="49"/>
        <v>2.3166666666666664</v>
      </c>
      <c r="T169" s="89">
        <f t="shared" si="50"/>
        <v>4</v>
      </c>
      <c r="U169" s="126">
        <f>IF($D169="",0,IFERROR(LOOKUP(2,1/(($D$3:D168=$D169)*($C$3:C168=$C169)*($A$3:A168&lt;$A169)),$AB$3:AB168),1000))</f>
        <v>999.54129054270618</v>
      </c>
      <c r="V169" s="126">
        <f t="shared" si="51"/>
        <v>1000.9934762613631</v>
      </c>
      <c r="W169">
        <f t="shared" si="52"/>
        <v>1039.9830047495329</v>
      </c>
      <c r="X169">
        <f t="shared" si="53"/>
        <v>0.44412392035108084</v>
      </c>
      <c r="Y169">
        <f t="shared" si="54"/>
        <v>992.02649193625143</v>
      </c>
      <c r="Z169">
        <f t="shared" si="55"/>
        <v>0.51081297837840034</v>
      </c>
      <c r="AA169">
        <f>IF($D169="",0,IF($F169&lt;2,0,IF($E169="Win",('Guide &amp; Settings'!$C$42/(($F169-1)*COUNTIFS($A$4:$A$1510,$A169,$E$4:$E$1510,"Win")))*SUMIFS($Z$4:$Z$1510,$A$4:$A$1510,$A169,$E$4:$E$1510,"Loss"),-('Guide &amp; Settings'!$C$42/($F169-1))*$Z169)))</f>
        <v>5.6629713760314075</v>
      </c>
      <c r="AB169" s="126">
        <f t="shared" si="56"/>
        <v>1005.2042619187375</v>
      </c>
      <c r="AC169" s="126">
        <f>IF($D169="","",IF($AD169=0,0,IF(COUNTIFS($D$4:$D169,$D169,$B$4:$B169,$B169)&gt;1,0,IF($B169&lt;'Guide &amp; Settings'!$C$50,0,IF(($B169-$AD169)/7-'Guide &amp; Settings'!$C$48&gt;=0,(INT(($B169-$AD169)/7-'Guide &amp; Settings'!$C$48)+1)*'Guide &amp; Settings'!$C$49,0)))))</f>
        <v>0</v>
      </c>
      <c r="AD169" s="142">
        <f t="shared" si="57"/>
        <v>46177</v>
      </c>
      <c r="AE169">
        <f t="shared" si="58"/>
        <v>2</v>
      </c>
      <c r="AF169">
        <f t="shared" si="59"/>
        <v>0</v>
      </c>
    </row>
    <row r="170" spans="1:32" ht="15" customHeight="1" x14ac:dyDescent="0.2">
      <c r="A170" s="117">
        <v>74</v>
      </c>
      <c r="B170" s="118">
        <v>46188</v>
      </c>
      <c r="C170" s="119" t="s">
        <v>49</v>
      </c>
      <c r="D170" s="119" t="s">
        <v>27</v>
      </c>
      <c r="E170" s="117" t="s">
        <v>371</v>
      </c>
      <c r="F170" s="120">
        <f t="shared" si="40"/>
        <v>4</v>
      </c>
      <c r="G170" s="121" t="str">
        <f t="shared" si="41"/>
        <v>Shawn</v>
      </c>
      <c r="H170" s="122">
        <f>IF($D170="",0,IFERROR(LOOKUP(2,1/(($D$3:D169=$D170)*($A$3:A169&lt;$A170)),$N$3:N169),'Guide &amp; Settings'!$C$41))</f>
        <v>1019.542040364846</v>
      </c>
      <c r="I170" s="123">
        <f t="shared" si="42"/>
        <v>0.28776978417266186</v>
      </c>
      <c r="J170" s="124">
        <f>IF($D170="",0,IF($F170&lt;2,0,IF($E170="Win",('Guide &amp; Settings'!$C$42/(($F170-1)*COUNTIFS($A$4:$A$1510,$A170,$E$4:$E$1510,"Win")))*SUMIFS($X$4:$X$1510,$A$4:$A$1510,$A170,$E$4:$E$1510,"Loss"),-('Guide &amp; Settings'!$C$42/($F170-1))*$X170)))</f>
        <v>-4.9842277766217054</v>
      </c>
      <c r="K170" s="124">
        <f>IF($D170="",0,'Guide &amp; Settings'!$C$43*(IF($E170="Win",1,0)-$I170))</f>
        <v>-3.4532374100719423</v>
      </c>
      <c r="L170" s="125">
        <f>IF($D170="",0,'Guide &amp; Settings'!$C$44*IF($F170&gt;=3,$F170,0))</f>
        <v>4</v>
      </c>
      <c r="M170" s="124">
        <f t="shared" si="43"/>
        <v>-4.4374651866936468</v>
      </c>
      <c r="N170" s="122">
        <f t="shared" si="44"/>
        <v>1015.1045751781523</v>
      </c>
      <c r="O170" s="121" t="str">
        <f t="shared" si="45"/>
        <v>OK (team)</v>
      </c>
      <c r="P170">
        <f t="shared" si="46"/>
        <v>1068.9021310093676</v>
      </c>
      <c r="Q170">
        <f t="shared" si="47"/>
        <v>0.42943921055733419</v>
      </c>
      <c r="R170">
        <f t="shared" si="48"/>
        <v>0.66666666666666663</v>
      </c>
      <c r="S170">
        <f t="shared" si="49"/>
        <v>2.3166666666666664</v>
      </c>
      <c r="T170" s="89">
        <f t="shared" si="50"/>
        <v>1</v>
      </c>
      <c r="U170" s="126">
        <f>IF($D170="",0,IFERROR(LOOKUP(2,1/(($D$3:D169=$D170)*($C$3:C169=$C170)*($A$3:A169&lt;$A170)),$AB$3:AB169),1000))</f>
        <v>1005.5392839402241</v>
      </c>
      <c r="V170" s="126">
        <f t="shared" si="51"/>
        <v>1017.208247627409</v>
      </c>
      <c r="W170">
        <f t="shared" si="52"/>
        <v>1039.9830047495329</v>
      </c>
      <c r="X170">
        <f t="shared" si="53"/>
        <v>0.4672713540582849</v>
      </c>
      <c r="Y170">
        <f t="shared" si="54"/>
        <v>992.02649193625143</v>
      </c>
      <c r="Z170">
        <f t="shared" si="55"/>
        <v>0.51943667151935735</v>
      </c>
      <c r="AA170">
        <f>IF($D170="",0,IF($F170&lt;2,0,IF($E170="Win",('Guide &amp; Settings'!$C$42/(($F170-1)*COUNTIFS($A$4:$A$1510,$A170,$E$4:$E$1510,"Win")))*SUMIFS($Z$4:$Z$1510,$A$4:$A$1510,$A170,$E$4:$E$1510,"Loss"),-('Guide &amp; Settings'!$C$42/($F170-1))*$Z170)))</f>
        <v>-5.5406578295398115</v>
      </c>
      <c r="AB170" s="126">
        <f t="shared" si="56"/>
        <v>999.99862611068431</v>
      </c>
      <c r="AC170" s="126">
        <f>IF($D170="","",IF($AD170=0,0,IF(COUNTIFS($D$4:$D170,$D170,$B$4:$B170,$B170)&gt;1,0,IF($B170&lt;'Guide &amp; Settings'!$C$50,0,IF(($B170-$AD170)/7-'Guide &amp; Settings'!$C$48&gt;=0,(INT(($B170-$AD170)/7-'Guide &amp; Settings'!$C$48)+1)*'Guide &amp; Settings'!$C$49,0)))))</f>
        <v>0</v>
      </c>
      <c r="AD170" s="142">
        <f t="shared" si="57"/>
        <v>0</v>
      </c>
      <c r="AE170">
        <f t="shared" si="58"/>
        <v>2</v>
      </c>
      <c r="AF170">
        <f t="shared" si="59"/>
        <v>0</v>
      </c>
    </row>
    <row r="171" spans="1:32" ht="15" customHeight="1" x14ac:dyDescent="0.2">
      <c r="A171" s="117">
        <v>74</v>
      </c>
      <c r="B171" s="118">
        <v>46188</v>
      </c>
      <c r="C171" s="119" t="s">
        <v>49</v>
      </c>
      <c r="D171" s="119" t="s">
        <v>16</v>
      </c>
      <c r="E171" s="117" t="s">
        <v>371</v>
      </c>
      <c r="F171" s="120">
        <f t="shared" si="40"/>
        <v>4</v>
      </c>
      <c r="G171" s="121" t="str">
        <f t="shared" si="41"/>
        <v>Shawn</v>
      </c>
      <c r="H171" s="122">
        <f>IF($D171="",0,IFERROR(LOOKUP(2,1/(($D$3:D170=$D171)*($A$3:A170&lt;$A171)),$N$3:N170),'Guide &amp; Settings'!$C$41))</f>
        <v>1013.5392440016333</v>
      </c>
      <c r="I171" s="123">
        <f t="shared" si="42"/>
        <v>0.32374100719424465</v>
      </c>
      <c r="J171" s="124">
        <f>IF($D171="",0,IF($F171&lt;2,0,IF($E171="Win",('Guide &amp; Settings'!$C$42/(($F171-1)*COUNTIFS($A$4:$A$1510,$A171,$E$4:$E$1510,"Win")))*SUMIFS($X$4:$X$1510,$A$4:$A$1510,$A171,$E$4:$E$1510,"Loss"),-('Guide &amp; Settings'!$C$42/($F171-1))*$X171)))</f>
        <v>-4.9630902768938139</v>
      </c>
      <c r="K171" s="124">
        <f>IF($D171="",0,'Guide &amp; Settings'!$C$43*(IF($E171="Win",1,0)-$I171))</f>
        <v>-3.884892086330936</v>
      </c>
      <c r="L171" s="125">
        <f>IF($D171="",0,'Guide &amp; Settings'!$C$44*IF($F171&gt;=3,$F171,0))</f>
        <v>4</v>
      </c>
      <c r="M171" s="124">
        <f t="shared" si="43"/>
        <v>-4.8479823632247498</v>
      </c>
      <c r="N171" s="122">
        <f t="shared" si="44"/>
        <v>1008.6912616384085</v>
      </c>
      <c r="O171" s="121" t="str">
        <f t="shared" si="45"/>
        <v>OK (team)</v>
      </c>
      <c r="P171">
        <f t="shared" si="46"/>
        <v>1068.9021310093676</v>
      </c>
      <c r="Q171">
        <f t="shared" si="47"/>
        <v>0.4209939665055587</v>
      </c>
      <c r="R171">
        <f t="shared" si="48"/>
        <v>0.75</v>
      </c>
      <c r="S171">
        <f t="shared" si="49"/>
        <v>2.3166666666666664</v>
      </c>
      <c r="T171" s="89">
        <f t="shared" si="50"/>
        <v>2</v>
      </c>
      <c r="U171" s="126">
        <f>IF($D171="",0,IFERROR(LOOKUP(2,1/(($D$3:D170=$D171)*($C$3:C170=$C171)*($A$3:A170&lt;$A171)),$AB$3:AB170),1000))</f>
        <v>1021.5392839402241</v>
      </c>
      <c r="V171" s="126">
        <f t="shared" si="51"/>
        <v>1015.8249696983735</v>
      </c>
      <c r="W171">
        <f t="shared" si="52"/>
        <v>1039.9830047495329</v>
      </c>
      <c r="X171">
        <f t="shared" si="53"/>
        <v>0.46528971345879505</v>
      </c>
      <c r="Y171">
        <f t="shared" si="54"/>
        <v>992.02649193625143</v>
      </c>
      <c r="Z171">
        <f t="shared" si="55"/>
        <v>0.54237046148653156</v>
      </c>
      <c r="AA171">
        <f>IF($D171="",0,IF($F171&lt;2,0,IF($E171="Win",('Guide &amp; Settings'!$C$42/(($F171-1)*COUNTIFS($A$4:$A$1510,$A171,$E$4:$E$1510,"Win")))*SUMIFS($Z$4:$Z$1510,$A$4:$A$1510,$A171,$E$4:$E$1510,"Loss"),-('Guide &amp; Settings'!$C$42/($F171-1))*$Z171)))</f>
        <v>-5.7852849225230027</v>
      </c>
      <c r="AB171" s="126">
        <f t="shared" si="56"/>
        <v>1015.7539990177011</v>
      </c>
      <c r="AC171" s="126">
        <f>IF($D171="","",IF($AD171=0,0,IF(COUNTIFS($D$4:$D171,$D171,$B$4:$B171,$B171)&gt;1,0,IF($B171&lt;'Guide &amp; Settings'!$C$50,0,IF(($B171-$AD171)/7-'Guide &amp; Settings'!$C$48&gt;=0,(INT(($B171-$AD171)/7-'Guide &amp; Settings'!$C$48)+1)*'Guide &amp; Settings'!$C$49,0)))))</f>
        <v>0</v>
      </c>
      <c r="AD171" s="142">
        <f t="shared" si="57"/>
        <v>46177</v>
      </c>
      <c r="AE171">
        <f t="shared" si="58"/>
        <v>2</v>
      </c>
      <c r="AF171">
        <f t="shared" si="59"/>
        <v>0</v>
      </c>
    </row>
    <row r="172" spans="1:32" ht="15" customHeight="1" x14ac:dyDescent="0.2">
      <c r="A172" s="117">
        <v>75</v>
      </c>
      <c r="B172" s="118">
        <v>46188</v>
      </c>
      <c r="C172" s="119" t="s">
        <v>49</v>
      </c>
      <c r="D172" s="119" t="s">
        <v>23</v>
      </c>
      <c r="E172" s="117" t="s">
        <v>370</v>
      </c>
      <c r="F172" s="120">
        <f t="shared" si="40"/>
        <v>4</v>
      </c>
      <c r="G172" s="121" t="str">
        <f t="shared" si="41"/>
        <v>Daniel (Ferret)</v>
      </c>
      <c r="H172" s="122">
        <f>IF($D172="",0,IFERROR(LOOKUP(2,1/(($D$3:D171=$D172)*($A$3:A171&lt;$A172)),$N$3:N171),'Guide &amp; Settings'!$C$41))</f>
        <v>1085.9093619835958</v>
      </c>
      <c r="I172" s="123">
        <f t="shared" si="42"/>
        <v>0.31226765799256506</v>
      </c>
      <c r="J172" s="124">
        <f>IF($D172="",0,IF($F172&lt;2,0,IF($E172="Win",('Guide &amp; Settings'!$C$42/(($F172-1)*COUNTIFS($A$4:$A$1510,$A172,$E$4:$E$1510,"Win")))*SUMIFS($X$4:$X$1510,$A$4:$A$1510,$A172,$E$4:$E$1510,"Loss"),-('Guide &amp; Settings'!$C$42/($F172-1))*$X172)))</f>
        <v>5.8085984808896161</v>
      </c>
      <c r="K172" s="124">
        <f>IF($D172="",0,'Guide &amp; Settings'!$C$43*(IF($E172="Win",1,0)-$I172))</f>
        <v>8.2527881040892197</v>
      </c>
      <c r="L172" s="125">
        <f>IF($D172="",0,'Guide &amp; Settings'!$C$44*IF($F172&gt;=3,$F172,0))</f>
        <v>4</v>
      </c>
      <c r="M172" s="124">
        <f t="shared" si="43"/>
        <v>18.061386584978834</v>
      </c>
      <c r="N172" s="122">
        <f t="shared" si="44"/>
        <v>1103.9707485685747</v>
      </c>
      <c r="O172" s="121" t="str">
        <f t="shared" si="45"/>
        <v>OK (team)</v>
      </c>
      <c r="P172">
        <f t="shared" si="46"/>
        <v>1024.9465156230842</v>
      </c>
      <c r="Q172">
        <f t="shared" si="47"/>
        <v>0.58684316893492339</v>
      </c>
      <c r="R172">
        <f t="shared" si="48"/>
        <v>0.6</v>
      </c>
      <c r="S172">
        <f t="shared" si="49"/>
        <v>1.9214285714285715</v>
      </c>
      <c r="T172" s="89">
        <f t="shared" si="50"/>
        <v>3</v>
      </c>
      <c r="U172" s="126">
        <f>IF($D172="",0,IFERROR(LOOKUP(2,1/(($D$3:D171=$D172)*($C$3:C171=$C172)*($A$3:A171&lt;$A172)),$AB$3:AB171),1000))</f>
        <v>1026.049766139507</v>
      </c>
      <c r="V172" s="126">
        <f t="shared" si="51"/>
        <v>1063.4620135420626</v>
      </c>
      <c r="W172">
        <f t="shared" si="52"/>
        <v>1015.8371459365776</v>
      </c>
      <c r="X172">
        <f t="shared" si="53"/>
        <v>0.56811162913721924</v>
      </c>
      <c r="Y172">
        <f t="shared" si="54"/>
        <v>1002.4167835709495</v>
      </c>
      <c r="Z172">
        <f t="shared" si="55"/>
        <v>0.53395823840807799</v>
      </c>
      <c r="AA172">
        <f>IF($D172="",0,IF($F172&lt;2,0,IF($E172="Win",('Guide &amp; Settings'!$C$42/(($F172-1)*COUNTIFS($A$4:$A$1510,$A172,$E$4:$E$1510,"Win")))*SUMIFS($Z$4:$Z$1510,$A$4:$A$1510,$A172,$E$4:$E$1510,"Loss"),-('Guide &amp; Settings'!$C$42/($F172-1))*$Z172)))</f>
        <v>5.260804693375384</v>
      </c>
      <c r="AB172" s="126">
        <f t="shared" si="56"/>
        <v>1031.3105708328824</v>
      </c>
      <c r="AC172" s="126">
        <f>IF($D172="","",IF($AD172=0,0,IF(COUNTIFS($D$4:$D172,$D172,$B$4:$B172,$B172)&gt;1,0,IF($B172&lt;'Guide &amp; Settings'!$C$50,0,IF(($B172-$AD172)/7-'Guide &amp; Settings'!$C$48&gt;=0,(INT(($B172-$AD172)/7-'Guide &amp; Settings'!$C$48)+1)*'Guide &amp; Settings'!$C$49,0)))))</f>
        <v>0</v>
      </c>
      <c r="AD172" s="142">
        <f t="shared" si="57"/>
        <v>46177</v>
      </c>
      <c r="AE172">
        <f t="shared" si="58"/>
        <v>2</v>
      </c>
      <c r="AF172">
        <f t="shared" si="59"/>
        <v>0</v>
      </c>
    </row>
    <row r="173" spans="1:32" ht="15" customHeight="1" x14ac:dyDescent="0.2">
      <c r="A173" s="117">
        <v>75</v>
      </c>
      <c r="B173" s="118">
        <v>46188</v>
      </c>
      <c r="C173" s="119" t="s">
        <v>49</v>
      </c>
      <c r="D173" s="119" t="s">
        <v>22</v>
      </c>
      <c r="E173" s="117" t="s">
        <v>370</v>
      </c>
      <c r="F173" s="120">
        <f t="shared" si="40"/>
        <v>4</v>
      </c>
      <c r="G173" s="121" t="str">
        <f t="shared" si="41"/>
        <v>Daniel (Ferret)</v>
      </c>
      <c r="H173" s="122">
        <f>IF($D173="",0,IFERROR(LOOKUP(2,1/(($D$3:D172=$D173)*($A$3:A172&lt;$A173)),$N$3:N172),'Guide &amp; Settings'!$C$41))</f>
        <v>963.98366926257279</v>
      </c>
      <c r="I173" s="123">
        <f t="shared" si="42"/>
        <v>0.13011152416356878</v>
      </c>
      <c r="J173" s="124">
        <f>IF($D173="",0,IF($F173&lt;2,0,IF($E173="Win",('Guide &amp; Settings'!$C$42/(($F173-1)*COUNTIFS($A$4:$A$1510,$A173,$E$4:$E$1510,"Win")))*SUMIFS($X$4:$X$1510,$A$4:$A$1510,$A173,$E$4:$E$1510,"Loss"),-('Guide &amp; Settings'!$C$42/($F173-1))*$X173)))</f>
        <v>5.8085984808896161</v>
      </c>
      <c r="K173" s="124">
        <f>IF($D173="",0,'Guide &amp; Settings'!$C$43*(IF($E173="Win",1,0)-$I173))</f>
        <v>10.438661710037175</v>
      </c>
      <c r="L173" s="125">
        <f>IF($D173="",0,'Guide &amp; Settings'!$C$44*IF($F173&gt;=3,$F173,0))</f>
        <v>4</v>
      </c>
      <c r="M173" s="124">
        <f t="shared" si="43"/>
        <v>20.247260190926792</v>
      </c>
      <c r="N173" s="122">
        <f t="shared" si="44"/>
        <v>984.23092945349958</v>
      </c>
      <c r="O173" s="121" t="str">
        <f t="shared" si="45"/>
        <v>OK (team)</v>
      </c>
      <c r="P173">
        <f t="shared" si="46"/>
        <v>1024.9465156230842</v>
      </c>
      <c r="Q173">
        <f t="shared" si="47"/>
        <v>0.41315683106507667</v>
      </c>
      <c r="R173">
        <f t="shared" si="48"/>
        <v>0.25</v>
      </c>
      <c r="S173">
        <f t="shared" si="49"/>
        <v>1.9214285714285715</v>
      </c>
      <c r="T173" s="89">
        <f t="shared" si="50"/>
        <v>2</v>
      </c>
      <c r="U173" s="126">
        <f>IF($D173="",0,IFERROR(LOOKUP(2,1/(($D$3:D172=$D173)*($C$3:C172=$C173)*($A$3:A172&lt;$A173)),$AB$3:AB172),1000))</f>
        <v>978.78380100239212</v>
      </c>
      <c r="V173" s="126">
        <f t="shared" si="51"/>
        <v>968.21227833109265</v>
      </c>
      <c r="W173">
        <f t="shared" si="52"/>
        <v>1015.8371459365776</v>
      </c>
      <c r="X173">
        <f t="shared" si="53"/>
        <v>0.43188837086278076</v>
      </c>
      <c r="Y173">
        <f t="shared" si="54"/>
        <v>1002.4167835709495</v>
      </c>
      <c r="Z173">
        <f t="shared" si="55"/>
        <v>0.46604176159192229</v>
      </c>
      <c r="AA173">
        <f>IF($D173="",0,IF($F173&lt;2,0,IF($E173="Win",('Guide &amp; Settings'!$C$42/(($F173-1)*COUNTIFS($A$4:$A$1510,$A173,$E$4:$E$1510,"Win")))*SUMIFS($Z$4:$Z$1510,$A$4:$A$1510,$A173,$E$4:$E$1510,"Loss"),-('Guide &amp; Settings'!$C$42/($F173-1))*$Z173)))</f>
        <v>5.260804693375384</v>
      </c>
      <c r="AB173" s="126">
        <f t="shared" si="56"/>
        <v>984.04460569576747</v>
      </c>
      <c r="AC173" s="126">
        <f>IF($D173="","",IF($AD173=0,0,IF(COUNTIFS($D$4:$D173,$D173,$B$4:$B173,$B173)&gt;1,0,IF($B173&lt;'Guide &amp; Settings'!$C$50,0,IF(($B173-$AD173)/7-'Guide &amp; Settings'!$C$48&gt;=0,(INT(($B173-$AD173)/7-'Guide &amp; Settings'!$C$48)+1)*'Guide &amp; Settings'!$C$49,0)))))</f>
        <v>0</v>
      </c>
      <c r="AD173" s="142">
        <f t="shared" si="57"/>
        <v>46176</v>
      </c>
      <c r="AE173">
        <f t="shared" si="58"/>
        <v>2</v>
      </c>
      <c r="AF173">
        <f t="shared" si="59"/>
        <v>0</v>
      </c>
    </row>
    <row r="174" spans="1:32" ht="15" customHeight="1" x14ac:dyDescent="0.2">
      <c r="A174" s="117">
        <v>75</v>
      </c>
      <c r="B174" s="118">
        <v>46188</v>
      </c>
      <c r="C174" s="119" t="s">
        <v>49</v>
      </c>
      <c r="D174" s="119" t="s">
        <v>19</v>
      </c>
      <c r="E174" s="117" t="s">
        <v>371</v>
      </c>
      <c r="F174" s="120">
        <f t="shared" si="40"/>
        <v>4</v>
      </c>
      <c r="G174" s="121" t="str">
        <f t="shared" si="41"/>
        <v>Daniel (Ferret)</v>
      </c>
      <c r="H174" s="122">
        <f>IF($D174="",0,IFERROR(LOOKUP(2,1/(($D$3:D173=$D174)*($A$3:A173&lt;$A174)),$N$3:N173),'Guide &amp; Settings'!$C$41))</f>
        <v>1154.5507537631611</v>
      </c>
      <c r="I174" s="123">
        <f t="shared" si="42"/>
        <v>0.26022304832713755</v>
      </c>
      <c r="J174" s="124">
        <f>IF($D174="",0,IF($F174&lt;2,0,IF($E174="Win",('Guide &amp; Settings'!$C$42/(($F174-1)*COUNTIFS($A$4:$A$1510,$A174,$E$4:$E$1510,"Win")))*SUMIFS($X$4:$X$1510,$A$4:$A$1510,$A174,$E$4:$E$1510,"Loss"),-('Guide &amp; Settings'!$C$42/($F174-1))*$X174)))</f>
        <v>-6.3293851993656105</v>
      </c>
      <c r="K174" s="124">
        <f>IF($D174="",0,'Guide &amp; Settings'!$C$43*(IF($E174="Win",1,0)-$I174))</f>
        <v>-3.1226765799256508</v>
      </c>
      <c r="L174" s="125">
        <f>IF($D174="",0,'Guide &amp; Settings'!$C$44*IF($F174&gt;=3,$F174,0))</f>
        <v>4</v>
      </c>
      <c r="M174" s="124">
        <f t="shared" si="43"/>
        <v>-5.4520617792912613</v>
      </c>
      <c r="N174" s="122">
        <f t="shared" si="44"/>
        <v>1149.0986919838699</v>
      </c>
      <c r="O174" s="121" t="str">
        <f t="shared" si="45"/>
        <v>OK (team)</v>
      </c>
      <c r="P174">
        <f t="shared" si="46"/>
        <v>1024.9465156230842</v>
      </c>
      <c r="Q174">
        <f t="shared" si="47"/>
        <v>0.67832001667472208</v>
      </c>
      <c r="R174">
        <f t="shared" si="48"/>
        <v>0.5</v>
      </c>
      <c r="S174">
        <f t="shared" si="49"/>
        <v>1.9214285714285715</v>
      </c>
      <c r="T174" s="89">
        <f t="shared" si="50"/>
        <v>4</v>
      </c>
      <c r="U174" s="126">
        <f>IF($D174="",0,IFERROR(LOOKUP(2,1/(($D$3:D173=$D174)*($C$3:C173=$C174)*($A$3:A173&lt;$A174)),$AB$3:AB173),1000))</f>
        <v>990.17466470582804</v>
      </c>
      <c r="V174" s="126">
        <f t="shared" si="51"/>
        <v>1081.4947141821242</v>
      </c>
      <c r="W174">
        <f t="shared" si="52"/>
        <v>1015.8371459365776</v>
      </c>
      <c r="X174">
        <f t="shared" si="53"/>
        <v>0.59337986244052598</v>
      </c>
      <c r="Y174">
        <f t="shared" si="54"/>
        <v>1002.4167835709495</v>
      </c>
      <c r="Z174">
        <f t="shared" si="55"/>
        <v>0.48238946227070195</v>
      </c>
      <c r="AA174">
        <f>IF($D174="",0,IF($F174&lt;2,0,IF($E174="Win",('Guide &amp; Settings'!$C$42/(($F174-1)*COUNTIFS($A$4:$A$1510,$A174,$E$4:$E$1510,"Win")))*SUMIFS($Z$4:$Z$1510,$A$4:$A$1510,$A174,$E$4:$E$1510,"Loss"),-('Guide &amp; Settings'!$C$42/($F174-1))*$Z174)))</f>
        <v>-5.1454875975541539</v>
      </c>
      <c r="AB174" s="126">
        <f t="shared" si="56"/>
        <v>985.02917710827387</v>
      </c>
      <c r="AC174" s="126">
        <f>IF($D174="","",IF($AD174=0,0,IF(COUNTIFS($D$4:$D174,$D174,$B$4:$B174,$B174)&gt;1,0,IF($B174&lt;'Guide &amp; Settings'!$C$50,0,IF(($B174-$AD174)/7-'Guide &amp; Settings'!$C$48&gt;=0,(INT(($B174-$AD174)/7-'Guide &amp; Settings'!$C$48)+1)*'Guide &amp; Settings'!$C$49,0)))))</f>
        <v>0</v>
      </c>
      <c r="AD174" s="142">
        <f t="shared" si="57"/>
        <v>46176</v>
      </c>
      <c r="AE174">
        <f t="shared" si="58"/>
        <v>2</v>
      </c>
      <c r="AF174">
        <f t="shared" si="59"/>
        <v>0</v>
      </c>
    </row>
    <row r="175" spans="1:32" ht="15" customHeight="1" x14ac:dyDescent="0.2">
      <c r="A175" s="117">
        <v>75</v>
      </c>
      <c r="B175" s="118">
        <v>46188</v>
      </c>
      <c r="C175" s="119" t="s">
        <v>49</v>
      </c>
      <c r="D175" s="119" t="s">
        <v>20</v>
      </c>
      <c r="E175" s="117" t="s">
        <v>371</v>
      </c>
      <c r="F175" s="120">
        <f t="shared" si="40"/>
        <v>4</v>
      </c>
      <c r="G175" s="121" t="str">
        <f t="shared" si="41"/>
        <v>Daniel (Ferret)</v>
      </c>
      <c r="H175" s="122">
        <f>IF($D175="",0,IFERROR(LOOKUP(2,1/(($D$3:D174=$D175)*($A$3:A174&lt;$A175)),$N$3:N174),'Guide &amp; Settings'!$C$41))</f>
        <v>1020.5389558054924</v>
      </c>
      <c r="I175" s="123">
        <f t="shared" si="42"/>
        <v>0.29739776951672858</v>
      </c>
      <c r="J175" s="124">
        <f>IF($D175="",0,IF($F175&lt;2,0,IF($E175="Win",('Guide &amp; Settings'!$C$42/(($F175-1)*COUNTIFS($A$4:$A$1510,$A175,$E$4:$E$1510,"Win")))*SUMIFS($X$4:$X$1510,$A$4:$A$1510,$A175,$E$4:$E$1510,"Loss"),-('Guide &amp; Settings'!$C$42/($F175-1))*$X175)))</f>
        <v>-5.2878117624136216</v>
      </c>
      <c r="K175" s="124">
        <f>IF($D175="",0,'Guide &amp; Settings'!$C$43*(IF($E175="Win",1,0)-$I175))</f>
        <v>-3.568773234200743</v>
      </c>
      <c r="L175" s="125">
        <f>IF($D175="",0,'Guide &amp; Settings'!$C$44*IF($F175&gt;=3,$F175,0))</f>
        <v>4</v>
      </c>
      <c r="M175" s="124">
        <f t="shared" si="43"/>
        <v>-4.8565849966143642</v>
      </c>
      <c r="N175" s="122">
        <f t="shared" si="44"/>
        <v>1015.682370808878</v>
      </c>
      <c r="O175" s="121" t="str">
        <f t="shared" si="45"/>
        <v>OK (team)</v>
      </c>
      <c r="P175">
        <f t="shared" si="46"/>
        <v>1024.9465156230842</v>
      </c>
      <c r="Q175">
        <f t="shared" si="47"/>
        <v>0.49365735178782888</v>
      </c>
      <c r="R175">
        <f t="shared" si="48"/>
        <v>0.5714285714285714</v>
      </c>
      <c r="S175">
        <f t="shared" si="49"/>
        <v>1.9214285714285715</v>
      </c>
      <c r="T175" s="89">
        <f t="shared" si="50"/>
        <v>5</v>
      </c>
      <c r="U175" s="126">
        <f>IF($D175="",0,IFERROR(LOOKUP(2,1/(($D$3:D174=$D175)*($C$3:C174=$C175)*($A$3:A174&lt;$A175)),$AB$3:AB174),1000))</f>
        <v>1005.2042619187375</v>
      </c>
      <c r="V175" s="126">
        <f t="shared" si="51"/>
        <v>1012.871608862115</v>
      </c>
      <c r="W175">
        <f t="shared" si="52"/>
        <v>1015.8371459365776</v>
      </c>
      <c r="X175">
        <f t="shared" si="53"/>
        <v>0.49573235272627708</v>
      </c>
      <c r="Y175">
        <f t="shared" si="54"/>
        <v>1002.4167835709495</v>
      </c>
      <c r="Z175">
        <f t="shared" si="55"/>
        <v>0.5040114177371825</v>
      </c>
      <c r="AA175">
        <f>IF($D175="",0,IF($F175&lt;2,0,IF($E175="Win",('Guide &amp; Settings'!$C$42/(($F175-1)*COUNTIFS($A$4:$A$1510,$A175,$E$4:$E$1510,"Win")))*SUMIFS($Z$4:$Z$1510,$A$4:$A$1510,$A175,$E$4:$E$1510,"Loss"),-('Guide &amp; Settings'!$C$42/($F175-1))*$Z175)))</f>
        <v>-5.3761217891966133</v>
      </c>
      <c r="AB175" s="126">
        <f t="shared" si="56"/>
        <v>999.82814012954088</v>
      </c>
      <c r="AC175" s="126">
        <f>IF($D175="","",IF($AD175=0,0,IF(COUNTIFS($D$4:$D175,$D175,$B$4:$B175,$B175)&gt;1,0,IF($B175&lt;'Guide &amp; Settings'!$C$50,0,IF(($B175-$AD175)/7-'Guide &amp; Settings'!$C$48&gt;=0,(INT(($B175-$AD175)/7-'Guide &amp; Settings'!$C$48)+1)*'Guide &amp; Settings'!$C$49,0)))))</f>
        <v>0</v>
      </c>
      <c r="AD175" s="142">
        <f t="shared" si="57"/>
        <v>46177</v>
      </c>
      <c r="AE175">
        <f t="shared" si="58"/>
        <v>2</v>
      </c>
      <c r="AF175">
        <f t="shared" si="59"/>
        <v>0</v>
      </c>
    </row>
    <row r="176" spans="1:32" ht="15" customHeight="1" x14ac:dyDescent="0.2">
      <c r="A176" s="117">
        <v>76</v>
      </c>
      <c r="B176" s="118">
        <v>46188</v>
      </c>
      <c r="C176" s="119" t="s">
        <v>49</v>
      </c>
      <c r="D176" s="119" t="s">
        <v>23</v>
      </c>
      <c r="E176" s="117" t="s">
        <v>370</v>
      </c>
      <c r="F176" s="120">
        <f t="shared" si="40"/>
        <v>4</v>
      </c>
      <c r="G176" s="121" t="str">
        <f t="shared" si="41"/>
        <v>Daniel (Ferret)</v>
      </c>
      <c r="H176" s="122">
        <f>IF($D176="",0,IFERROR(LOOKUP(2,1/(($D$3:D175=$D176)*($A$3:A175&lt;$A176)),$N$3:N175),'Guide &amp; Settings'!$C$41))</f>
        <v>1103.9707485685747</v>
      </c>
      <c r="I176" s="123">
        <f t="shared" si="42"/>
        <v>0.37037037037037035</v>
      </c>
      <c r="J176" s="124">
        <f>IF($D176="",0,IF($F176&lt;2,0,IF($E176="Win",('Guide &amp; Settings'!$C$42/(($F176-1)*COUNTIFS($A$4:$A$1510,$A176,$E$4:$E$1510,"Win")))*SUMIFS($X$4:$X$1510,$A$4:$A$1510,$A176,$E$4:$E$1510,"Loss"),-('Guide &amp; Settings'!$C$42/($F176-1))*$X176)))</f>
        <v>4.6160561385232342</v>
      </c>
      <c r="K176" s="124">
        <f>IF($D176="",0,'Guide &amp; Settings'!$C$43*(IF($E176="Win",1,0)-$I176))</f>
        <v>7.5555555555555554</v>
      </c>
      <c r="L176" s="125">
        <f>IF($D176="",0,'Guide &amp; Settings'!$C$44*IF($F176&gt;=3,$F176,0))</f>
        <v>4</v>
      </c>
      <c r="M176" s="124">
        <f t="shared" si="43"/>
        <v>16.171611694078791</v>
      </c>
      <c r="N176" s="122">
        <f t="shared" si="44"/>
        <v>1120.1423602626535</v>
      </c>
      <c r="O176" s="121" t="str">
        <f t="shared" si="45"/>
        <v>OK (team)</v>
      </c>
      <c r="P176">
        <f t="shared" si="46"/>
        <v>1044.1008390110371</v>
      </c>
      <c r="Q176">
        <f t="shared" si="47"/>
        <v>0.5853169260376706</v>
      </c>
      <c r="R176">
        <f t="shared" si="48"/>
        <v>0.66666666666666663</v>
      </c>
      <c r="S176">
        <f t="shared" si="49"/>
        <v>1.8</v>
      </c>
      <c r="T176" s="89">
        <f t="shared" si="50"/>
        <v>4</v>
      </c>
      <c r="U176" s="126">
        <f>IF($D176="",0,IFERROR(LOOKUP(2,1/(($D$3:D175=$D176)*($C$3:C175=$C176)*($A$3:A175&lt;$A176)),$AB$3:AB175),1000))</f>
        <v>1031.3105708328824</v>
      </c>
      <c r="V176" s="126">
        <f t="shared" si="51"/>
        <v>1071.6773362416004</v>
      </c>
      <c r="W176">
        <f t="shared" si="52"/>
        <v>1027.9191971429752</v>
      </c>
      <c r="X176">
        <f t="shared" si="53"/>
        <v>0.56264215551613606</v>
      </c>
      <c r="Y176">
        <f t="shared" si="54"/>
        <v>1007.6775882643249</v>
      </c>
      <c r="Z176">
        <f t="shared" si="55"/>
        <v>0.53395823840807799</v>
      </c>
      <c r="AA176">
        <f>IF($D176="",0,IF($F176&lt;2,0,IF($E176="Win",('Guide &amp; Settings'!$C$42/(($F176-1)*COUNTIFS($A$4:$A$1510,$A176,$E$4:$E$1510,"Win")))*SUMIFS($Z$4:$Z$1510,$A$4:$A$1510,$A176,$E$4:$E$1510,"Loss"),-('Guide &amp; Settings'!$C$42/($F176-1))*$Z176)))</f>
        <v>5.1364868771082088</v>
      </c>
      <c r="AB176" s="126">
        <f t="shared" si="56"/>
        <v>1036.4470577099905</v>
      </c>
      <c r="AC176" s="126">
        <f>IF($D176="","",IF($AD176=0,0,IF(COUNTIFS($D$4:$D176,$D176,$B$4:$B176,$B176)&gt;1,0,IF($B176&lt;'Guide &amp; Settings'!$C$50,0,IF(($B176-$AD176)/7-'Guide &amp; Settings'!$C$48&gt;=0,(INT(($B176-$AD176)/7-'Guide &amp; Settings'!$C$48)+1)*'Guide &amp; Settings'!$C$49,0)))))</f>
        <v>0</v>
      </c>
      <c r="AD176" s="142">
        <f t="shared" si="57"/>
        <v>46177</v>
      </c>
      <c r="AE176">
        <f t="shared" si="58"/>
        <v>2</v>
      </c>
      <c r="AF176">
        <f t="shared" si="59"/>
        <v>0</v>
      </c>
    </row>
    <row r="177" spans="1:32" ht="15" customHeight="1" x14ac:dyDescent="0.2">
      <c r="A177" s="117">
        <v>76</v>
      </c>
      <c r="B177" s="118">
        <v>46188</v>
      </c>
      <c r="C177" s="119" t="s">
        <v>49</v>
      </c>
      <c r="D177" s="119" t="s">
        <v>22</v>
      </c>
      <c r="E177" s="117" t="s">
        <v>370</v>
      </c>
      <c r="F177" s="120">
        <f t="shared" si="40"/>
        <v>4</v>
      </c>
      <c r="G177" s="121" t="str">
        <f t="shared" si="41"/>
        <v>Daniel (Ferret)</v>
      </c>
      <c r="H177" s="122">
        <f>IF($D177="",0,IFERROR(LOOKUP(2,1/(($D$3:D176=$D177)*($A$3:A176&lt;$A177)),$N$3:N176),'Guide &amp; Settings'!$C$41))</f>
        <v>984.23092945349958</v>
      </c>
      <c r="I177" s="123">
        <f t="shared" si="42"/>
        <v>0.22222222222222224</v>
      </c>
      <c r="J177" s="124">
        <f>IF($D177="",0,IF($F177&lt;2,0,IF($E177="Win",('Guide &amp; Settings'!$C$42/(($F177-1)*COUNTIFS($A$4:$A$1510,$A177,$E$4:$E$1510,"Win")))*SUMIFS($X$4:$X$1510,$A$4:$A$1510,$A177,$E$4:$E$1510,"Loss"),-('Guide &amp; Settings'!$C$42/($F177-1))*$X177)))</f>
        <v>4.6160561385232342</v>
      </c>
      <c r="K177" s="124">
        <f>IF($D177="",0,'Guide &amp; Settings'!$C$43*(IF($E177="Win",1,0)-$I177))</f>
        <v>9.3333333333333339</v>
      </c>
      <c r="L177" s="125">
        <f>IF($D177="",0,'Guide &amp; Settings'!$C$44*IF($F177&gt;=3,$F177,0))</f>
        <v>4</v>
      </c>
      <c r="M177" s="124">
        <f t="shared" si="43"/>
        <v>17.94938947185657</v>
      </c>
      <c r="N177" s="122">
        <f t="shared" si="44"/>
        <v>1002.1803189253561</v>
      </c>
      <c r="O177" s="121" t="str">
        <f t="shared" si="45"/>
        <v>OK (team)</v>
      </c>
      <c r="P177">
        <f t="shared" si="46"/>
        <v>1044.1008390110371</v>
      </c>
      <c r="Q177">
        <f t="shared" si="47"/>
        <v>0.4146830739623294</v>
      </c>
      <c r="R177">
        <f t="shared" si="48"/>
        <v>0.4</v>
      </c>
      <c r="S177">
        <f t="shared" si="49"/>
        <v>1.8</v>
      </c>
      <c r="T177" s="89">
        <f t="shared" si="50"/>
        <v>3</v>
      </c>
      <c r="U177" s="126">
        <f>IF($D177="",0,IFERROR(LOOKUP(2,1/(($D$3:D176=$D177)*($C$3:C176=$C177)*($A$3:A176&lt;$A177)),$AB$3:AB176),1000))</f>
        <v>984.04460569576747</v>
      </c>
      <c r="V177" s="126">
        <f t="shared" si="51"/>
        <v>984.16105804435006</v>
      </c>
      <c r="W177">
        <f t="shared" si="52"/>
        <v>1027.9191971429752</v>
      </c>
      <c r="X177">
        <f t="shared" si="53"/>
        <v>0.43735784448386394</v>
      </c>
      <c r="Y177">
        <f t="shared" si="54"/>
        <v>1007.6775882643249</v>
      </c>
      <c r="Z177">
        <f t="shared" si="55"/>
        <v>0.46604176159192229</v>
      </c>
      <c r="AA177">
        <f>IF($D177="",0,IF($F177&lt;2,0,IF($E177="Win",('Guide &amp; Settings'!$C$42/(($F177-1)*COUNTIFS($A$4:$A$1510,$A177,$E$4:$E$1510,"Win")))*SUMIFS($Z$4:$Z$1510,$A$4:$A$1510,$A177,$E$4:$E$1510,"Loss"),-('Guide &amp; Settings'!$C$42/($F177-1))*$Z177)))</f>
        <v>5.1364868771082088</v>
      </c>
      <c r="AB177" s="126">
        <f t="shared" si="56"/>
        <v>989.18109257287563</v>
      </c>
      <c r="AC177" s="126">
        <f>IF($D177="","",IF($AD177=0,0,IF(COUNTIFS($D$4:$D177,$D177,$B$4:$B177,$B177)&gt;1,0,IF($B177&lt;'Guide &amp; Settings'!$C$50,0,IF(($B177-$AD177)/7-'Guide &amp; Settings'!$C$48&gt;=0,(INT(($B177-$AD177)/7-'Guide &amp; Settings'!$C$48)+1)*'Guide &amp; Settings'!$C$49,0)))))</f>
        <v>0</v>
      </c>
      <c r="AD177" s="142">
        <f t="shared" si="57"/>
        <v>46176</v>
      </c>
      <c r="AE177">
        <f t="shared" si="58"/>
        <v>2</v>
      </c>
      <c r="AF177">
        <f t="shared" si="59"/>
        <v>0</v>
      </c>
    </row>
    <row r="178" spans="1:32" ht="15" customHeight="1" x14ac:dyDescent="0.2">
      <c r="A178" s="117">
        <v>76</v>
      </c>
      <c r="B178" s="118">
        <v>46188</v>
      </c>
      <c r="C178" s="119" t="s">
        <v>49</v>
      </c>
      <c r="D178" s="119" t="s">
        <v>18</v>
      </c>
      <c r="E178" s="117" t="s">
        <v>371</v>
      </c>
      <c r="F178" s="120">
        <f t="shared" si="40"/>
        <v>4</v>
      </c>
      <c r="G178" s="121" t="str">
        <f t="shared" si="41"/>
        <v>Daniel (Ferret)</v>
      </c>
      <c r="H178" s="122">
        <f>IF($D178="",0,IFERROR(LOOKUP(2,1/(($D$3:D177=$D178)*($A$3:A177&lt;$A178)),$N$3:N177),'Guide &amp; Settings'!$C$41))</f>
        <v>948.07307716748062</v>
      </c>
      <c r="I178" s="123">
        <f t="shared" si="42"/>
        <v>0.22222222222222224</v>
      </c>
      <c r="J178" s="124">
        <f>IF($D178="",0,IF($F178&lt;2,0,IF($E178="Win",('Guide &amp; Settings'!$C$42/(($F178-1)*COUNTIFS($A$4:$A$1510,$A178,$E$4:$E$1510,"Win")))*SUMIFS($X$4:$X$1510,$A$4:$A$1510,$A178,$E$4:$E$1510,"Loss"),-('Guide &amp; Settings'!$C$42/($F178-1))*$X178)))</f>
        <v>-4.3870326234620647</v>
      </c>
      <c r="K178" s="124">
        <f>IF($D178="",0,'Guide &amp; Settings'!$C$43*(IF($E178="Win",1,0)-$I178))</f>
        <v>-2.666666666666667</v>
      </c>
      <c r="L178" s="125">
        <f>IF($D178="",0,'Guide &amp; Settings'!$C$44*IF($F178&gt;=3,$F178,0))</f>
        <v>4</v>
      </c>
      <c r="M178" s="124">
        <f t="shared" si="43"/>
        <v>-3.0536992901287316</v>
      </c>
      <c r="N178" s="122">
        <f t="shared" si="44"/>
        <v>945.01937787735187</v>
      </c>
      <c r="O178" s="121" t="str">
        <f t="shared" si="45"/>
        <v>OK (team)</v>
      </c>
      <c r="P178">
        <f t="shared" si="46"/>
        <v>1044.1008390110371</v>
      </c>
      <c r="Q178">
        <f t="shared" si="47"/>
        <v>0.36521961471446501</v>
      </c>
      <c r="R178">
        <f t="shared" si="48"/>
        <v>0.4</v>
      </c>
      <c r="S178">
        <f t="shared" si="49"/>
        <v>1.8</v>
      </c>
      <c r="T178" s="89">
        <f t="shared" si="50"/>
        <v>3</v>
      </c>
      <c r="U178" s="126">
        <f>IF($D178="",0,IFERROR(LOOKUP(2,1/(($D$3:D177=$D178)*($C$3:C177=$C178)*($A$3:A177&lt;$A178)),$AB$3:AB177),1000))</f>
        <v>994.84836113778465</v>
      </c>
      <c r="V178" s="126">
        <f t="shared" si="51"/>
        <v>965.61380865634464</v>
      </c>
      <c r="W178">
        <f t="shared" si="52"/>
        <v>1027.9191971429752</v>
      </c>
      <c r="X178">
        <f t="shared" si="53"/>
        <v>0.41128430844956859</v>
      </c>
      <c r="Y178">
        <f t="shared" si="54"/>
        <v>1007.6775882643249</v>
      </c>
      <c r="Z178">
        <f t="shared" si="55"/>
        <v>0.48154564472889461</v>
      </c>
      <c r="AA178">
        <f>IF($D178="",0,IF($F178&lt;2,0,IF($E178="Win",('Guide &amp; Settings'!$C$42/(($F178-1)*COUNTIFS($A$4:$A$1510,$A178,$E$4:$E$1510,"Win")))*SUMIFS($Z$4:$Z$1510,$A$4:$A$1510,$A178,$E$4:$E$1510,"Loss"),-('Guide &amp; Settings'!$C$42/($F178-1))*$Z178)))</f>
        <v>-5.1364868771082088</v>
      </c>
      <c r="AB178" s="126">
        <f t="shared" si="56"/>
        <v>989.7118742606765</v>
      </c>
      <c r="AC178" s="126">
        <f>IF($D178="","",IF($AD178=0,0,IF(COUNTIFS($D$4:$D178,$D178,$B$4:$B178,$B178)&gt;1,0,IF($B178&lt;'Guide &amp; Settings'!$C$50,0,IF(($B178-$AD178)/7-'Guide &amp; Settings'!$C$48&gt;=0,(INT(($B178-$AD178)/7-'Guide &amp; Settings'!$C$48)+1)*'Guide &amp; Settings'!$C$49,0)))))</f>
        <v>0</v>
      </c>
      <c r="AD178" s="142">
        <f t="shared" si="57"/>
        <v>46175</v>
      </c>
      <c r="AE178">
        <f t="shared" si="58"/>
        <v>2</v>
      </c>
      <c r="AF178">
        <f t="shared" si="59"/>
        <v>0</v>
      </c>
    </row>
    <row r="179" spans="1:32" ht="15" customHeight="1" x14ac:dyDescent="0.2">
      <c r="A179" s="117">
        <v>76</v>
      </c>
      <c r="B179" s="118">
        <v>46188</v>
      </c>
      <c r="C179" s="119" t="s">
        <v>49</v>
      </c>
      <c r="D179" s="119" t="s">
        <v>26</v>
      </c>
      <c r="E179" s="117" t="s">
        <v>371</v>
      </c>
      <c r="F179" s="120">
        <f t="shared" si="40"/>
        <v>4</v>
      </c>
      <c r="G179" s="121" t="str">
        <f t="shared" si="41"/>
        <v>Daniel (Ferret)</v>
      </c>
      <c r="H179" s="122">
        <f>IF($D179="",0,IFERROR(LOOKUP(2,1/(($D$3:D178=$D179)*($A$3:A178&lt;$A179)),$N$3:N178),'Guide &amp; Settings'!$C$41))</f>
        <v>996.25793788387159</v>
      </c>
      <c r="I179" s="123">
        <f t="shared" si="42"/>
        <v>0.18518518518518517</v>
      </c>
      <c r="J179" s="124">
        <f>IF($D179="",0,IF($F179&lt;2,0,IF($E179="Win",('Guide &amp; Settings'!$C$42/(($F179-1)*COUNTIFS($A$4:$A$1510,$A179,$E$4:$E$1510,"Win")))*SUMIFS($X$4:$X$1510,$A$4:$A$1510,$A179,$E$4:$E$1510,"Loss"),-('Guide &amp; Settings'!$C$42/($F179-1))*$X179)))</f>
        <v>-4.8450796535844027</v>
      </c>
      <c r="K179" s="124">
        <f>IF($D179="",0,'Guide &amp; Settings'!$C$43*(IF($E179="Win",1,0)-$I179))</f>
        <v>-2.2222222222222223</v>
      </c>
      <c r="L179" s="125">
        <f>IF($D179="",0,'Guide &amp; Settings'!$C$44*IF($F179&gt;=3,$F179,0))</f>
        <v>4</v>
      </c>
      <c r="M179" s="124">
        <f t="shared" si="43"/>
        <v>-3.0673018758066251</v>
      </c>
      <c r="N179" s="122">
        <f t="shared" si="44"/>
        <v>993.19063600806498</v>
      </c>
      <c r="O179" s="121" t="str">
        <f t="shared" si="45"/>
        <v>OK (team)</v>
      </c>
      <c r="P179">
        <f t="shared" si="46"/>
        <v>1044.1008390110371</v>
      </c>
      <c r="Q179">
        <f t="shared" si="47"/>
        <v>0.43158044442738797</v>
      </c>
      <c r="R179">
        <f t="shared" si="48"/>
        <v>0.33333333333333331</v>
      </c>
      <c r="S179">
        <f t="shared" si="49"/>
        <v>1.8</v>
      </c>
      <c r="T179" s="89">
        <f t="shared" si="50"/>
        <v>1</v>
      </c>
      <c r="U179" s="126">
        <f>IF($D179="",0,IFERROR(LOOKUP(2,1/(($D$3:D178=$D179)*($C$3:C178=$C179)*($A$3:A178&lt;$A179)),$AB$3:AB178),1000))</f>
        <v>994.84836113778465</v>
      </c>
      <c r="V179" s="126">
        <f t="shared" si="51"/>
        <v>996.02300842619047</v>
      </c>
      <c r="W179">
        <f t="shared" si="52"/>
        <v>1027.9191971429752</v>
      </c>
      <c r="X179">
        <f t="shared" si="53"/>
        <v>0.45422621752353781</v>
      </c>
      <c r="Y179">
        <f t="shared" si="54"/>
        <v>1007.6775882643249</v>
      </c>
      <c r="Z179">
        <f t="shared" si="55"/>
        <v>0.48154564472889461</v>
      </c>
      <c r="AA179">
        <f>IF($D179="",0,IF($F179&lt;2,0,IF($E179="Win",('Guide &amp; Settings'!$C$42/(($F179-1)*COUNTIFS($A$4:$A$1510,$A179,$E$4:$E$1510,"Win")))*SUMIFS($Z$4:$Z$1510,$A$4:$A$1510,$A179,$E$4:$E$1510,"Loss"),-('Guide &amp; Settings'!$C$42/($F179-1))*$Z179)))</f>
        <v>-5.1364868771082088</v>
      </c>
      <c r="AB179" s="126">
        <f t="shared" si="56"/>
        <v>989.7118742606765</v>
      </c>
      <c r="AC179" s="126">
        <f>IF($D179="","",IF($AD179=0,0,IF(COUNTIFS($D$4:$D179,$D179,$B$4:$B179,$B179)&gt;1,0,IF($B179&lt;'Guide &amp; Settings'!$C$50,0,IF(($B179-$AD179)/7-'Guide &amp; Settings'!$C$48&gt;=0,(INT(($B179-$AD179)/7-'Guide &amp; Settings'!$C$48)+1)*'Guide &amp; Settings'!$C$49,0)))))</f>
        <v>0</v>
      </c>
      <c r="AD179" s="142">
        <f t="shared" si="57"/>
        <v>0</v>
      </c>
      <c r="AE179">
        <f t="shared" si="58"/>
        <v>2</v>
      </c>
      <c r="AF179">
        <f t="shared" si="59"/>
        <v>0</v>
      </c>
    </row>
    <row r="180" spans="1:32" ht="15" customHeight="1" x14ac:dyDescent="0.2">
      <c r="A180" s="117">
        <v>77</v>
      </c>
      <c r="B180" s="118">
        <v>46188</v>
      </c>
      <c r="C180" s="119" t="s">
        <v>49</v>
      </c>
      <c r="D180" s="119" t="s">
        <v>23</v>
      </c>
      <c r="E180" s="117" t="s">
        <v>370</v>
      </c>
      <c r="F180" s="120">
        <f t="shared" si="40"/>
        <v>4</v>
      </c>
      <c r="G180" s="121" t="str">
        <f t="shared" si="41"/>
        <v>Daniel (Ferret)</v>
      </c>
      <c r="H180" s="122">
        <f>IF($D180="",0,IFERROR(LOOKUP(2,1/(($D$3:D179=$D180)*($A$3:A179&lt;$A180)),$N$3:N179),'Guide &amp; Settings'!$C$41))</f>
        <v>1120.1423602626535</v>
      </c>
      <c r="I180" s="123">
        <f t="shared" si="42"/>
        <v>0.39920159680638723</v>
      </c>
      <c r="J180" s="124">
        <f>IF($D180="",0,IF($F180&lt;2,0,IF($E180="Win",('Guide &amp; Settings'!$C$42/(($F180-1)*COUNTIFS($A$4:$A$1510,$A180,$E$4:$E$1510,"Win")))*SUMIFS($X$4:$X$1510,$A$4:$A$1510,$A180,$E$4:$E$1510,"Loss"),-('Guide &amp; Settings'!$C$42/($F180-1))*$X180)))</f>
        <v>4.3992952735129167</v>
      </c>
      <c r="K180" s="124">
        <f>IF($D180="",0,'Guide &amp; Settings'!$C$43*(IF($E180="Win",1,0)-$I180))</f>
        <v>7.2095808383233528</v>
      </c>
      <c r="L180" s="125">
        <f>IF($D180="",0,'Guide &amp; Settings'!$C$44*IF($F180&gt;=3,$F180,0))</f>
        <v>4</v>
      </c>
      <c r="M180" s="124">
        <f t="shared" si="43"/>
        <v>15.60887611183627</v>
      </c>
      <c r="N180" s="122">
        <f t="shared" si="44"/>
        <v>1135.7512363744897</v>
      </c>
      <c r="O180" s="121" t="str">
        <f t="shared" si="45"/>
        <v>OK (team)</v>
      </c>
      <c r="P180">
        <f t="shared" si="46"/>
        <v>1061.1613395940049</v>
      </c>
      <c r="Q180">
        <f t="shared" si="47"/>
        <v>0.58407441786551917</v>
      </c>
      <c r="R180">
        <f t="shared" si="48"/>
        <v>0.7142857142857143</v>
      </c>
      <c r="S180">
        <f t="shared" si="49"/>
        <v>1.7892857142857144</v>
      </c>
      <c r="T180" s="89">
        <f t="shared" si="50"/>
        <v>5</v>
      </c>
      <c r="U180" s="126">
        <f>IF($D180="",0,IFERROR(LOOKUP(2,1/(($D$3:D179=$D180)*($C$3:C179=$C180)*($A$3:A179&lt;$A180)),$AB$3:AB179),1000))</f>
        <v>1036.4470577099905</v>
      </c>
      <c r="V180" s="126">
        <f t="shared" si="51"/>
        <v>1078.2947089863219</v>
      </c>
      <c r="W180">
        <f t="shared" si="52"/>
        <v>1037.3487969886212</v>
      </c>
      <c r="X180">
        <f t="shared" si="53"/>
        <v>0.55865460301095482</v>
      </c>
      <c r="Y180">
        <f t="shared" si="54"/>
        <v>1012.814075141433</v>
      </c>
      <c r="Z180">
        <f t="shared" si="55"/>
        <v>0.53395823840807799</v>
      </c>
      <c r="AA180">
        <f>IF($D180="",0,IF($F180&lt;2,0,IF($E180="Win",('Guide &amp; Settings'!$C$42/(($F180-1)*COUNTIFS($A$4:$A$1510,$A180,$E$4:$E$1510,"Win")))*SUMIFS($Z$4:$Z$1510,$A$4:$A$1510,$A180,$E$4:$E$1510,"Loss"),-('Guide &amp; Settings'!$C$42/($F180-1))*$Z180)))</f>
        <v>4.730471293558141</v>
      </c>
      <c r="AB180" s="126">
        <f t="shared" si="56"/>
        <v>1041.1775290035487</v>
      </c>
      <c r="AC180" s="126">
        <f>IF($D180="","",IF($AD180=0,0,IF(COUNTIFS($D$4:$D180,$D180,$B$4:$B180,$B180)&gt;1,0,IF($B180&lt;'Guide &amp; Settings'!$C$50,0,IF(($B180-$AD180)/7-'Guide &amp; Settings'!$C$48&gt;=0,(INT(($B180-$AD180)/7-'Guide &amp; Settings'!$C$48)+1)*'Guide &amp; Settings'!$C$49,0)))))</f>
        <v>0</v>
      </c>
      <c r="AD180" s="142">
        <f t="shared" si="57"/>
        <v>46177</v>
      </c>
      <c r="AE180">
        <f t="shared" si="58"/>
        <v>2</v>
      </c>
      <c r="AF180">
        <f t="shared" si="59"/>
        <v>0</v>
      </c>
    </row>
    <row r="181" spans="1:32" ht="15" customHeight="1" x14ac:dyDescent="0.2">
      <c r="A181" s="117">
        <v>77</v>
      </c>
      <c r="B181" s="118">
        <v>46188</v>
      </c>
      <c r="C181" s="119" t="s">
        <v>49</v>
      </c>
      <c r="D181" s="119" t="s">
        <v>22</v>
      </c>
      <c r="E181" s="117" t="s">
        <v>370</v>
      </c>
      <c r="F181" s="120">
        <f t="shared" si="40"/>
        <v>4</v>
      </c>
      <c r="G181" s="121" t="str">
        <f t="shared" si="41"/>
        <v>Daniel (Ferret)</v>
      </c>
      <c r="H181" s="122">
        <f>IF($D181="",0,IFERROR(LOOKUP(2,1/(($D$3:D180=$D181)*($A$3:A180&lt;$A181)),$N$3:N180),'Guide &amp; Settings'!$C$41))</f>
        <v>1002.1803189253561</v>
      </c>
      <c r="I181" s="123">
        <f t="shared" si="42"/>
        <v>0.27944111776447106</v>
      </c>
      <c r="J181" s="124">
        <f>IF($D181="",0,IF($F181&lt;2,0,IF($E181="Win",('Guide &amp; Settings'!$C$42/(($F181-1)*COUNTIFS($A$4:$A$1510,$A181,$E$4:$E$1510,"Win")))*SUMIFS($X$4:$X$1510,$A$4:$A$1510,$A181,$E$4:$E$1510,"Loss"),-('Guide &amp; Settings'!$C$42/($F181-1))*$X181)))</f>
        <v>4.3992952735129167</v>
      </c>
      <c r="K181" s="124">
        <f>IF($D181="",0,'Guide &amp; Settings'!$C$43*(IF($E181="Win",1,0)-$I181))</f>
        <v>8.6467065868263475</v>
      </c>
      <c r="L181" s="125">
        <f>IF($D181="",0,'Guide &amp; Settings'!$C$44*IF($F181&gt;=3,$F181,0))</f>
        <v>4</v>
      </c>
      <c r="M181" s="124">
        <f t="shared" si="43"/>
        <v>17.046001860339263</v>
      </c>
      <c r="N181" s="122">
        <f t="shared" si="44"/>
        <v>1019.2263207856954</v>
      </c>
      <c r="O181" s="121" t="str">
        <f t="shared" si="45"/>
        <v>OK (team)</v>
      </c>
      <c r="P181">
        <f t="shared" si="46"/>
        <v>1061.1613395940049</v>
      </c>
      <c r="Q181">
        <f t="shared" si="47"/>
        <v>0.41592558213448072</v>
      </c>
      <c r="R181">
        <f t="shared" si="48"/>
        <v>0.5</v>
      </c>
      <c r="S181">
        <f t="shared" si="49"/>
        <v>1.7892857142857144</v>
      </c>
      <c r="T181" s="89">
        <f t="shared" si="50"/>
        <v>4</v>
      </c>
      <c r="U181" s="126">
        <f>IF($D181="",0,IFERROR(LOOKUP(2,1/(($D$3:D180=$D181)*($C$3:C180=$C181)*($A$3:A180&lt;$A181)),$AB$3:AB180),1000))</f>
        <v>989.18109257287563</v>
      </c>
      <c r="V181" s="126">
        <f t="shared" si="51"/>
        <v>996.40288499092037</v>
      </c>
      <c r="W181">
        <f t="shared" si="52"/>
        <v>1037.3487969886212</v>
      </c>
      <c r="X181">
        <f t="shared" si="53"/>
        <v>0.44134539698904501</v>
      </c>
      <c r="Y181">
        <f t="shared" si="54"/>
        <v>1012.814075141433</v>
      </c>
      <c r="Z181">
        <f t="shared" si="55"/>
        <v>0.46604176159192229</v>
      </c>
      <c r="AA181">
        <f>IF($D181="",0,IF($F181&lt;2,0,IF($E181="Win",('Guide &amp; Settings'!$C$42/(($F181-1)*COUNTIFS($A$4:$A$1510,$A181,$E$4:$E$1510,"Win")))*SUMIFS($Z$4:$Z$1510,$A$4:$A$1510,$A181,$E$4:$E$1510,"Loss"),-('Guide &amp; Settings'!$C$42/($F181-1))*$Z181)))</f>
        <v>4.730471293558141</v>
      </c>
      <c r="AB181" s="126">
        <f t="shared" si="56"/>
        <v>993.91156386643377</v>
      </c>
      <c r="AC181" s="126">
        <f>IF($D181="","",IF($AD181=0,0,IF(COUNTIFS($D$4:$D181,$D181,$B$4:$B181,$B181)&gt;1,0,IF($B181&lt;'Guide &amp; Settings'!$C$50,0,IF(($B181-$AD181)/7-'Guide &amp; Settings'!$C$48&gt;=0,(INT(($B181-$AD181)/7-'Guide &amp; Settings'!$C$48)+1)*'Guide &amp; Settings'!$C$49,0)))))</f>
        <v>0</v>
      </c>
      <c r="AD181" s="142">
        <f t="shared" si="57"/>
        <v>46176</v>
      </c>
      <c r="AE181">
        <f t="shared" si="58"/>
        <v>2</v>
      </c>
      <c r="AF181">
        <f t="shared" si="59"/>
        <v>0</v>
      </c>
    </row>
    <row r="182" spans="1:32" ht="15" customHeight="1" x14ac:dyDescent="0.2">
      <c r="A182" s="117">
        <v>77</v>
      </c>
      <c r="B182" s="118">
        <v>46188</v>
      </c>
      <c r="C182" s="119" t="s">
        <v>49</v>
      </c>
      <c r="D182" s="119" t="s">
        <v>24</v>
      </c>
      <c r="E182" s="117" t="s">
        <v>371</v>
      </c>
      <c r="F182" s="120">
        <f t="shared" si="40"/>
        <v>4</v>
      </c>
      <c r="G182" s="121" t="str">
        <f t="shared" si="41"/>
        <v>Daniel (Ferret)</v>
      </c>
      <c r="H182" s="122">
        <f>IF($D182="",0,IFERROR(LOOKUP(2,1/(($D$3:D181=$D182)*($A$3:A181&lt;$A182)),$N$3:N181),'Guide &amp; Settings'!$C$41))</f>
        <v>910.15447684771107</v>
      </c>
      <c r="I182" s="123">
        <f t="shared" si="42"/>
        <v>0.20958083832335328</v>
      </c>
      <c r="J182" s="124">
        <f>IF($D182="",0,IF($F182&lt;2,0,IF($E182="Win",('Guide &amp; Settings'!$C$42/(($F182-1)*COUNTIFS($A$4:$A$1510,$A182,$E$4:$E$1510,"Win")))*SUMIFS($X$4:$X$1510,$A$4:$A$1510,$A182,$E$4:$E$1510,"Loss"),-('Guide &amp; Settings'!$C$42/($F182-1))*$X182)))</f>
        <v>-4.0148939856257932</v>
      </c>
      <c r="K182" s="124">
        <f>IF($D182="",0,'Guide &amp; Settings'!$C$43*(IF($E182="Win",1,0)-$I182))</f>
        <v>-2.5149700598802394</v>
      </c>
      <c r="L182" s="125">
        <f>IF($D182="",0,'Guide &amp; Settings'!$C$44*IF($F182&gt;=3,$F182,0))</f>
        <v>4</v>
      </c>
      <c r="M182" s="124">
        <f t="shared" si="43"/>
        <v>-2.5298640455060326</v>
      </c>
      <c r="N182" s="122">
        <f t="shared" si="44"/>
        <v>907.62461280220498</v>
      </c>
      <c r="O182" s="121" t="str">
        <f t="shared" si="45"/>
        <v>OK (team)</v>
      </c>
      <c r="P182">
        <f t="shared" si="46"/>
        <v>1061.1613395940049</v>
      </c>
      <c r="Q182">
        <f t="shared" si="47"/>
        <v>0.29540718459998255</v>
      </c>
      <c r="R182">
        <f t="shared" si="48"/>
        <v>0.375</v>
      </c>
      <c r="S182">
        <f t="shared" si="49"/>
        <v>1.7892857142857144</v>
      </c>
      <c r="T182" s="89">
        <f t="shared" si="50"/>
        <v>6</v>
      </c>
      <c r="U182" s="126">
        <f>IF($D182="",0,IFERROR(LOOKUP(2,1/(($D$3:D181=$D182)*($C$3:C181=$C182)*($A$3:A181&lt;$A182)),$AB$3:AB181),1000))</f>
        <v>982.55096461266169</v>
      </c>
      <c r="V182" s="126">
        <f t="shared" si="51"/>
        <v>949.64347017404782</v>
      </c>
      <c r="W182">
        <f t="shared" si="52"/>
        <v>1037.3487969886212</v>
      </c>
      <c r="X182">
        <f t="shared" si="53"/>
        <v>0.37639631115241817</v>
      </c>
      <c r="Y182">
        <f t="shared" si="54"/>
        <v>1012.814075141433</v>
      </c>
      <c r="Z182">
        <f t="shared" si="55"/>
        <v>0.45655769521176187</v>
      </c>
      <c r="AA182">
        <f>IF($D182="",0,IF($F182&lt;2,0,IF($E182="Win",('Guide &amp; Settings'!$C$42/(($F182-1)*COUNTIFS($A$4:$A$1510,$A182,$E$4:$E$1510,"Win")))*SUMIFS($Z$4:$Z$1510,$A$4:$A$1510,$A182,$E$4:$E$1510,"Loss"),-('Guide &amp; Settings'!$C$42/($F182-1))*$Z182)))</f>
        <v>-4.8699487489254594</v>
      </c>
      <c r="AB182" s="126">
        <f t="shared" si="56"/>
        <v>977.68101586373621</v>
      </c>
      <c r="AC182" s="126">
        <f>IF($D182="","",IF($AD182=0,0,IF(COUNTIFS($D$4:$D182,$D182,$B$4:$B182,$B182)&gt;1,0,IF($B182&lt;'Guide &amp; Settings'!$C$50,0,IF(($B182-$AD182)/7-'Guide &amp; Settings'!$C$48&gt;=0,(INT(($B182-$AD182)/7-'Guide &amp; Settings'!$C$48)+1)*'Guide &amp; Settings'!$C$49,0)))))</f>
        <v>0</v>
      </c>
      <c r="AD182" s="142">
        <f t="shared" si="57"/>
        <v>46175</v>
      </c>
      <c r="AE182">
        <f t="shared" si="58"/>
        <v>2</v>
      </c>
      <c r="AF182">
        <f t="shared" si="59"/>
        <v>0</v>
      </c>
    </row>
    <row r="183" spans="1:32" ht="15" customHeight="1" x14ac:dyDescent="0.2">
      <c r="A183" s="117">
        <v>77</v>
      </c>
      <c r="B183" s="118">
        <v>46188</v>
      </c>
      <c r="C183" s="119" t="s">
        <v>49</v>
      </c>
      <c r="D183" s="119" t="s">
        <v>15</v>
      </c>
      <c r="E183" s="117" t="s">
        <v>371</v>
      </c>
      <c r="F183" s="120">
        <f t="shared" si="40"/>
        <v>4</v>
      </c>
      <c r="G183" s="121" t="str">
        <f t="shared" si="41"/>
        <v>Daniel (Ferret)</v>
      </c>
      <c r="H183" s="122">
        <f>IF($D183="",0,IFERROR(LOOKUP(2,1/(($D$3:D182=$D183)*($A$3:A182&lt;$A183)),$N$3:N182),'Guide &amp; Settings'!$C$41))</f>
        <v>1023.7815394123053</v>
      </c>
      <c r="I183" s="123">
        <f t="shared" si="42"/>
        <v>0.11177644710578842</v>
      </c>
      <c r="J183" s="124">
        <f>IF($D183="",0,IF($F183&lt;2,0,IF($E183="Win",('Guide &amp; Settings'!$C$42/(($F183-1)*COUNTIFS($A$4:$A$1510,$A183,$E$4:$E$1510,"Win")))*SUMIFS($X$4:$X$1510,$A$4:$A$1510,$A183,$E$4:$E$1510,"Loss"),-('Guide &amp; Settings'!$C$42/($F183-1))*$X183)))</f>
        <v>-4.7836965614000402</v>
      </c>
      <c r="K183" s="124">
        <f>IF($D183="",0,'Guide &amp; Settings'!$C$43*(IF($E183="Win",1,0)-$I183))</f>
        <v>-1.341317365269461</v>
      </c>
      <c r="L183" s="125">
        <f>IF($D183="",0,'Guide &amp; Settings'!$C$44*IF($F183&gt;=3,$F183,0))</f>
        <v>4</v>
      </c>
      <c r="M183" s="124">
        <f t="shared" si="43"/>
        <v>-2.1250139266695012</v>
      </c>
      <c r="N183" s="122">
        <f t="shared" si="44"/>
        <v>1021.6565254856358</v>
      </c>
      <c r="O183" s="121" t="str">
        <f t="shared" si="45"/>
        <v>OK (team)</v>
      </c>
      <c r="P183">
        <f t="shared" si="46"/>
        <v>1061.1613395940049</v>
      </c>
      <c r="Q183">
        <f t="shared" si="47"/>
        <v>0.44641274352227162</v>
      </c>
      <c r="R183">
        <f t="shared" si="48"/>
        <v>0.2</v>
      </c>
      <c r="S183">
        <f t="shared" si="49"/>
        <v>1.7892857142857144</v>
      </c>
      <c r="T183" s="89">
        <f t="shared" si="50"/>
        <v>3</v>
      </c>
      <c r="U183" s="126">
        <f>IF($D183="",0,IFERROR(LOOKUP(2,1/(($D$3:D182=$D183)*($C$3:C182=$C183)*($A$3:A182&lt;$A183)),$AB$3:AB182),1000))</f>
        <v>964.13900736852213</v>
      </c>
      <c r="V183" s="126">
        <f t="shared" si="51"/>
        <v>1001.4155898958866</v>
      </c>
      <c r="W183">
        <f t="shared" si="52"/>
        <v>1037.3487969886212</v>
      </c>
      <c r="X183">
        <f t="shared" si="53"/>
        <v>0.44847155263125377</v>
      </c>
      <c r="Y183">
        <f t="shared" si="54"/>
        <v>1012.814075141433</v>
      </c>
      <c r="Z183">
        <f t="shared" si="55"/>
        <v>0.43040567233038957</v>
      </c>
      <c r="AA183">
        <f>IF($D183="",0,IF($F183&lt;2,0,IF($E183="Win",('Guide &amp; Settings'!$C$42/(($F183-1)*COUNTIFS($A$4:$A$1510,$A183,$E$4:$E$1510,"Win")))*SUMIFS($Z$4:$Z$1510,$A$4:$A$1510,$A183,$E$4:$E$1510,"Loss"),-('Guide &amp; Settings'!$C$42/($F183-1))*$Z183)))</f>
        <v>-4.5909938381908217</v>
      </c>
      <c r="AB183" s="126">
        <f t="shared" si="56"/>
        <v>959.54801353033133</v>
      </c>
      <c r="AC183" s="126">
        <f>IF($D183="","",IF($AD183=0,0,IF(COUNTIFS($D$4:$D183,$D183,$B$4:$B183,$B183)&gt;1,0,IF($B183&lt;'Guide &amp; Settings'!$C$50,0,IF(($B183-$AD183)/7-'Guide &amp; Settings'!$C$48&gt;=0,(INT(($B183-$AD183)/7-'Guide &amp; Settings'!$C$48)+1)*'Guide &amp; Settings'!$C$49,0)))))</f>
        <v>0</v>
      </c>
      <c r="AD183" s="142">
        <f t="shared" si="57"/>
        <v>46175</v>
      </c>
      <c r="AE183">
        <f t="shared" si="58"/>
        <v>2</v>
      </c>
      <c r="AF183">
        <f t="shared" si="59"/>
        <v>0</v>
      </c>
    </row>
    <row r="184" spans="1:32" ht="15" customHeight="1" x14ac:dyDescent="0.2">
      <c r="A184" s="117">
        <v>78</v>
      </c>
      <c r="B184" s="118">
        <v>46188</v>
      </c>
      <c r="C184" s="119" t="s">
        <v>49</v>
      </c>
      <c r="D184" s="119" t="s">
        <v>16</v>
      </c>
      <c r="E184" s="117" t="s">
        <v>370</v>
      </c>
      <c r="F184" s="120">
        <f t="shared" si="40"/>
        <v>4</v>
      </c>
      <c r="G184" s="121" t="str">
        <f t="shared" si="41"/>
        <v>Dylan A</v>
      </c>
      <c r="H184" s="122">
        <f>IF($D184="",0,IFERROR(LOOKUP(2,1/(($D$3:D183=$D184)*($A$3:A183&lt;$A184)),$N$3:N183),'Guide &amp; Settings'!$C$41))</f>
        <v>1008.6912616384085</v>
      </c>
      <c r="I184" s="123">
        <f t="shared" si="42"/>
        <v>0.247787610619469</v>
      </c>
      <c r="J184" s="124">
        <f>IF($D184="",0,IF($F184&lt;2,0,IF($E184="Win",('Guide &amp; Settings'!$C$42/(($F184-1)*COUNTIFS($A$4:$A$1510,$A184,$E$4:$E$1510,"Win")))*SUMIFS($X$4:$X$1510,$A$4:$A$1510,$A184,$E$4:$E$1510,"Loss"),-('Guide &amp; Settings'!$C$42/($F184-1))*$X184)))</f>
        <v>5.8517714396992861</v>
      </c>
      <c r="K184" s="124">
        <f>IF($D184="",0,'Guide &amp; Settings'!$C$43*(IF($E184="Win",1,0)-$I184))</f>
        <v>9.0265486725663724</v>
      </c>
      <c r="L184" s="125">
        <f>IF($D184="",0,'Guide &amp; Settings'!$C$44*IF($F184&gt;=3,$F184,0))</f>
        <v>4</v>
      </c>
      <c r="M184" s="124">
        <f t="shared" si="43"/>
        <v>18.878320112265659</v>
      </c>
      <c r="N184" s="122">
        <f t="shared" si="44"/>
        <v>1027.5695817506742</v>
      </c>
      <c r="O184" s="121" t="str">
        <f t="shared" si="45"/>
        <v>OK (team)</v>
      </c>
      <c r="P184">
        <f t="shared" si="46"/>
        <v>1011.8979184082805</v>
      </c>
      <c r="Q184">
        <f t="shared" si="47"/>
        <v>0.49538538098141038</v>
      </c>
      <c r="R184">
        <f t="shared" si="48"/>
        <v>0.6</v>
      </c>
      <c r="S184">
        <f t="shared" si="49"/>
        <v>2.4214285714285717</v>
      </c>
      <c r="T184" s="89">
        <f t="shared" si="50"/>
        <v>3</v>
      </c>
      <c r="U184" s="126">
        <f>IF($D184="",0,IFERROR(LOOKUP(2,1/(($D$3:D183=$D184)*($C$3:C183=$C184)*($A$3:A183&lt;$A184)),$AB$3:AB183),1000))</f>
        <v>1015.7539990177011</v>
      </c>
      <c r="V184" s="126">
        <f t="shared" si="51"/>
        <v>1011.3397881556432</v>
      </c>
      <c r="W184">
        <f t="shared" si="52"/>
        <v>1011.0641889429737</v>
      </c>
      <c r="X184">
        <f t="shared" si="53"/>
        <v>0.50039661906602062</v>
      </c>
      <c r="Y184">
        <f t="shared" si="54"/>
        <v>1007.8763125641926</v>
      </c>
      <c r="Z184">
        <f t="shared" si="55"/>
        <v>0.51133495974897236</v>
      </c>
      <c r="AA184">
        <f>IF($D184="",0,IF($F184&lt;2,0,IF($E184="Win",('Guide &amp; Settings'!$C$42/(($F184-1)*COUNTIFS($A$4:$A$1510,$A184,$E$4:$E$1510,"Win")))*SUMIFS($Z$4:$Z$1510,$A$4:$A$1510,$A184,$E$4:$E$1510,"Loss"),-('Guide &amp; Settings'!$C$42/($F184-1))*$Z184)))</f>
        <v>5.4810240387817064</v>
      </c>
      <c r="AB184" s="126">
        <f t="shared" si="56"/>
        <v>1021.2350230564828</v>
      </c>
      <c r="AC184" s="126">
        <f>IF($D184="","",IF($AD184=0,0,IF(COUNTIFS($D$4:$D184,$D184,$B$4:$B184,$B184)&gt;1,0,IF($B184&lt;'Guide &amp; Settings'!$C$50,0,IF(($B184-$AD184)/7-'Guide &amp; Settings'!$C$48&gt;=0,(INT(($B184-$AD184)/7-'Guide &amp; Settings'!$C$48)+1)*'Guide &amp; Settings'!$C$49,0)))))</f>
        <v>0</v>
      </c>
      <c r="AD184" s="142">
        <f t="shared" si="57"/>
        <v>46177</v>
      </c>
      <c r="AE184">
        <f t="shared" si="58"/>
        <v>2</v>
      </c>
      <c r="AF184">
        <f t="shared" si="59"/>
        <v>0</v>
      </c>
    </row>
    <row r="185" spans="1:32" ht="15" customHeight="1" x14ac:dyDescent="0.2">
      <c r="A185" s="117">
        <v>78</v>
      </c>
      <c r="B185" s="118">
        <v>46188</v>
      </c>
      <c r="C185" s="119" t="s">
        <v>49</v>
      </c>
      <c r="D185" s="119" t="s">
        <v>27</v>
      </c>
      <c r="E185" s="117" t="s">
        <v>370</v>
      </c>
      <c r="F185" s="120">
        <f t="shared" si="40"/>
        <v>4</v>
      </c>
      <c r="G185" s="121" t="str">
        <f t="shared" si="41"/>
        <v>Dylan A</v>
      </c>
      <c r="H185" s="122">
        <f>IF($D185="",0,IFERROR(LOOKUP(2,1/(($D$3:D184=$D185)*($A$3:A184&lt;$A185)),$N$3:N184),'Guide &amp; Settings'!$C$41))</f>
        <v>1015.1045751781523</v>
      </c>
      <c r="I185" s="123">
        <f t="shared" si="42"/>
        <v>0.20648967551622416</v>
      </c>
      <c r="J185" s="124">
        <f>IF($D185="",0,IF($F185&lt;2,0,IF($E185="Win",('Guide &amp; Settings'!$C$42/(($F185-1)*COUNTIFS($A$4:$A$1510,$A185,$E$4:$E$1510,"Win")))*SUMIFS($X$4:$X$1510,$A$4:$A$1510,$A185,$E$4:$E$1510,"Loss"),-('Guide &amp; Settings'!$C$42/($F185-1))*$X185)))</f>
        <v>5.8517714396992861</v>
      </c>
      <c r="K185" s="124">
        <f>IF($D185="",0,'Guide &amp; Settings'!$C$43*(IF($E185="Win",1,0)-$I185))</f>
        <v>9.5221238938053094</v>
      </c>
      <c r="L185" s="125">
        <f>IF($D185="",0,'Guide &amp; Settings'!$C$44*IF($F185&gt;=3,$F185,0))</f>
        <v>4</v>
      </c>
      <c r="M185" s="124">
        <f t="shared" si="43"/>
        <v>19.373895333504596</v>
      </c>
      <c r="N185" s="122">
        <f t="shared" si="44"/>
        <v>1034.478470511657</v>
      </c>
      <c r="O185" s="121" t="str">
        <f t="shared" si="45"/>
        <v>OK (team)</v>
      </c>
      <c r="P185">
        <f t="shared" si="46"/>
        <v>1011.8979184082805</v>
      </c>
      <c r="Q185">
        <f t="shared" si="47"/>
        <v>0.50461461901858951</v>
      </c>
      <c r="R185">
        <f t="shared" si="48"/>
        <v>0.5</v>
      </c>
      <c r="S185">
        <f t="shared" si="49"/>
        <v>2.4214285714285717</v>
      </c>
      <c r="T185" s="89">
        <f t="shared" si="50"/>
        <v>2</v>
      </c>
      <c r="U185" s="126">
        <f>IF($D185="",0,IFERROR(LOOKUP(2,1/(($D$3:D184=$D185)*($C$3:C184=$C185)*($A$3:A184&lt;$A185)),$AB$3:AB184),1000))</f>
        <v>999.99862611068431</v>
      </c>
      <c r="V185" s="126">
        <f t="shared" si="51"/>
        <v>1010.7885897303044</v>
      </c>
      <c r="W185">
        <f t="shared" si="52"/>
        <v>1011.0641889429737</v>
      </c>
      <c r="X185">
        <f t="shared" si="53"/>
        <v>0.49960338093397944</v>
      </c>
      <c r="Y185">
        <f t="shared" si="54"/>
        <v>1007.8763125641926</v>
      </c>
      <c r="Z185">
        <f t="shared" si="55"/>
        <v>0.4886650402510278</v>
      </c>
      <c r="AA185">
        <f>IF($D185="",0,IF($F185&lt;2,0,IF($E185="Win",('Guide &amp; Settings'!$C$42/(($F185-1)*COUNTIFS($A$4:$A$1510,$A185,$E$4:$E$1510,"Win")))*SUMIFS($Z$4:$Z$1510,$A$4:$A$1510,$A185,$E$4:$E$1510,"Loss"),-('Guide &amp; Settings'!$C$42/($F185-1))*$Z185)))</f>
        <v>5.4810240387817064</v>
      </c>
      <c r="AB185" s="126">
        <f t="shared" si="56"/>
        <v>1005.479650149466</v>
      </c>
      <c r="AC185" s="126">
        <f>IF($D185="","",IF($AD185=0,0,IF(COUNTIFS($D$4:$D185,$D185,$B$4:$B185,$B185)&gt;1,0,IF($B185&lt;'Guide &amp; Settings'!$C$50,0,IF(($B185-$AD185)/7-'Guide &amp; Settings'!$C$48&gt;=0,(INT(($B185-$AD185)/7-'Guide &amp; Settings'!$C$48)+1)*'Guide &amp; Settings'!$C$49,0)))))</f>
        <v>0</v>
      </c>
      <c r="AD185" s="142">
        <f t="shared" si="57"/>
        <v>0</v>
      </c>
      <c r="AE185">
        <f t="shared" si="58"/>
        <v>2</v>
      </c>
      <c r="AF185">
        <f t="shared" si="59"/>
        <v>0</v>
      </c>
    </row>
    <row r="186" spans="1:32" ht="15" customHeight="1" x14ac:dyDescent="0.2">
      <c r="A186" s="117">
        <v>78</v>
      </c>
      <c r="B186" s="118">
        <v>46188</v>
      </c>
      <c r="C186" s="119" t="s">
        <v>49</v>
      </c>
      <c r="D186" s="119" t="s">
        <v>23</v>
      </c>
      <c r="E186" s="117" t="s">
        <v>371</v>
      </c>
      <c r="F186" s="120">
        <f t="shared" si="40"/>
        <v>4</v>
      </c>
      <c r="G186" s="121" t="str">
        <f t="shared" si="41"/>
        <v>Dylan A</v>
      </c>
      <c r="H186" s="122">
        <f>IF($D186="",0,IFERROR(LOOKUP(2,1/(($D$3:D185=$D186)*($A$3:A185&lt;$A186)),$N$3:N185),'Guide &amp; Settings'!$C$41))</f>
        <v>1135.7512363744897</v>
      </c>
      <c r="I186" s="123">
        <f t="shared" si="42"/>
        <v>0.30973451327433627</v>
      </c>
      <c r="J186" s="124">
        <f>IF($D186="",0,IF($F186&lt;2,0,IF($E186="Win",('Guide &amp; Settings'!$C$42/(($F186-1)*COUNTIFS($A$4:$A$1510,$A186,$E$4:$E$1510,"Win")))*SUMIFS($X$4:$X$1510,$A$4:$A$1510,$A186,$E$4:$E$1510,"Loss"),-('Guide &amp; Settings'!$C$42/($F186-1))*$X186)))</f>
        <v>-6.4392102815034598</v>
      </c>
      <c r="K186" s="124">
        <f>IF($D186="",0,'Guide &amp; Settings'!$C$43*(IF($E186="Win",1,0)-$I186))</f>
        <v>-3.716814159292035</v>
      </c>
      <c r="L186" s="125">
        <f>IF($D186="",0,'Guide &amp; Settings'!$C$44*IF($F186&gt;=3,$F186,0))</f>
        <v>4</v>
      </c>
      <c r="M186" s="124">
        <f t="shared" si="43"/>
        <v>-6.1560244407954947</v>
      </c>
      <c r="N186" s="122">
        <f t="shared" si="44"/>
        <v>1129.5952119336941</v>
      </c>
      <c r="O186" s="121" t="str">
        <f t="shared" si="45"/>
        <v>OK (team)</v>
      </c>
      <c r="P186">
        <f t="shared" si="46"/>
        <v>1011.8979184082805</v>
      </c>
      <c r="Q186">
        <f t="shared" si="47"/>
        <v>0.67105422120155811</v>
      </c>
      <c r="R186">
        <f t="shared" si="48"/>
        <v>0.75</v>
      </c>
      <c r="S186">
        <f t="shared" si="49"/>
        <v>2.4214285714285717</v>
      </c>
      <c r="T186" s="89">
        <f t="shared" si="50"/>
        <v>6</v>
      </c>
      <c r="U186" s="126">
        <f>IF($D186="",0,IFERROR(LOOKUP(2,1/(($D$3:D185=$D186)*($C$3:C185=$C186)*($A$3:A185&lt;$A186)),$AB$3:AB185),1000))</f>
        <v>1041.1775290035487</v>
      </c>
      <c r="V186" s="126">
        <f t="shared" si="51"/>
        <v>1084.1655778085219</v>
      </c>
      <c r="W186">
        <f t="shared" si="52"/>
        <v>1011.0641889429737</v>
      </c>
      <c r="X186">
        <f t="shared" si="53"/>
        <v>0.60367596389094935</v>
      </c>
      <c r="Y186">
        <f t="shared" si="54"/>
        <v>1007.8763125641926</v>
      </c>
      <c r="Z186">
        <f t="shared" si="55"/>
        <v>0.54777808068137135</v>
      </c>
      <c r="AA186">
        <f>IF($D186="",0,IF($F186&lt;2,0,IF($E186="Win",('Guide &amp; Settings'!$C$42/(($F186-1)*COUNTIFS($A$4:$A$1510,$A186,$E$4:$E$1510,"Win")))*SUMIFS($Z$4:$Z$1510,$A$4:$A$1510,$A186,$E$4:$E$1510,"Loss"),-('Guide &amp; Settings'!$C$42/($F186-1))*$Z186)))</f>
        <v>-5.8429661939346271</v>
      </c>
      <c r="AB186" s="126">
        <f t="shared" si="56"/>
        <v>1035.334562809614</v>
      </c>
      <c r="AC186" s="126">
        <f>IF($D186="","",IF($AD186=0,0,IF(COUNTIFS($D$4:$D186,$D186,$B$4:$B186,$B186)&gt;1,0,IF($B186&lt;'Guide &amp; Settings'!$C$50,0,IF(($B186-$AD186)/7-'Guide &amp; Settings'!$C$48&gt;=0,(INT(($B186-$AD186)/7-'Guide &amp; Settings'!$C$48)+1)*'Guide &amp; Settings'!$C$49,0)))))</f>
        <v>0</v>
      </c>
      <c r="AD186" s="142">
        <f t="shared" si="57"/>
        <v>46177</v>
      </c>
      <c r="AE186">
        <f t="shared" si="58"/>
        <v>2</v>
      </c>
      <c r="AF186">
        <f t="shared" si="59"/>
        <v>0</v>
      </c>
    </row>
    <row r="187" spans="1:32" ht="15" customHeight="1" x14ac:dyDescent="0.2">
      <c r="A187" s="117">
        <v>78</v>
      </c>
      <c r="B187" s="118">
        <v>46188</v>
      </c>
      <c r="C187" s="119" t="s">
        <v>49</v>
      </c>
      <c r="D187" s="119" t="s">
        <v>22</v>
      </c>
      <c r="E187" s="117" t="s">
        <v>371</v>
      </c>
      <c r="F187" s="120">
        <f t="shared" si="40"/>
        <v>4</v>
      </c>
      <c r="G187" s="121" t="str">
        <f t="shared" si="41"/>
        <v>Dylan A</v>
      </c>
      <c r="H187" s="122">
        <f>IF($D187="",0,IFERROR(LOOKUP(2,1/(($D$3:D186=$D187)*($A$3:A186&lt;$A187)),$N$3:N186),'Guide &amp; Settings'!$C$41))</f>
        <v>1019.2263207856954</v>
      </c>
      <c r="I187" s="123">
        <f t="shared" si="42"/>
        <v>0.23598820058997047</v>
      </c>
      <c r="J187" s="124">
        <f>IF($D187="",0,IF($F187&lt;2,0,IF($E187="Win",('Guide &amp; Settings'!$C$42/(($F187-1)*COUNTIFS($A$4:$A$1510,$A187,$E$4:$E$1510,"Win")))*SUMIFS($X$4:$X$1510,$A$4:$A$1510,$A187,$E$4:$E$1510,"Loss"),-('Guide &amp; Settings'!$C$42/($F187-1))*$X187)))</f>
        <v>-5.2643325978951125</v>
      </c>
      <c r="K187" s="124">
        <f>IF($D187="",0,'Guide &amp; Settings'!$C$43*(IF($E187="Win",1,0)-$I187))</f>
        <v>-2.8318584070796455</v>
      </c>
      <c r="L187" s="125">
        <f>IF($D187="",0,'Guide &amp; Settings'!$C$44*IF($F187&gt;=3,$F187,0))</f>
        <v>4</v>
      </c>
      <c r="M187" s="124">
        <f t="shared" si="43"/>
        <v>-4.0961910049747576</v>
      </c>
      <c r="N187" s="122">
        <f t="shared" si="44"/>
        <v>1015.1301297807206</v>
      </c>
      <c r="O187" s="121" t="str">
        <f t="shared" si="45"/>
        <v>OK (team)</v>
      </c>
      <c r="P187">
        <f t="shared" si="46"/>
        <v>1011.8979184082805</v>
      </c>
      <c r="Q187">
        <f t="shared" si="47"/>
        <v>0.51054485501053726</v>
      </c>
      <c r="R187">
        <f t="shared" si="48"/>
        <v>0.5714285714285714</v>
      </c>
      <c r="S187">
        <f t="shared" si="49"/>
        <v>2.4214285714285717</v>
      </c>
      <c r="T187" s="89">
        <f t="shared" si="50"/>
        <v>5</v>
      </c>
      <c r="U187" s="126">
        <f>IF($D187="",0,IFERROR(LOOKUP(2,1/(($D$3:D186=$D187)*($C$3:C186=$C187)*($A$3:A186&lt;$A187)),$AB$3:AB186),1000))</f>
        <v>993.91156386643377</v>
      </c>
      <c r="V187" s="126">
        <f t="shared" si="51"/>
        <v>1006.5689423260646</v>
      </c>
      <c r="W187">
        <f t="shared" si="52"/>
        <v>1011.0641889429737</v>
      </c>
      <c r="X187">
        <f t="shared" si="53"/>
        <v>0.49353118105266686</v>
      </c>
      <c r="Y187">
        <f t="shared" si="54"/>
        <v>1007.8763125641926</v>
      </c>
      <c r="Z187">
        <f t="shared" si="55"/>
        <v>0.47991392659019877</v>
      </c>
      <c r="AA187">
        <f>IF($D187="",0,IF($F187&lt;2,0,IF($E187="Win",('Guide &amp; Settings'!$C$42/(($F187-1)*COUNTIFS($A$4:$A$1510,$A187,$E$4:$E$1510,"Win")))*SUMIFS($Z$4:$Z$1510,$A$4:$A$1510,$A187,$E$4:$E$1510,"Loss"),-('Guide &amp; Settings'!$C$42/($F187-1))*$Z187)))</f>
        <v>-5.1190818836287866</v>
      </c>
      <c r="AB187" s="126">
        <f t="shared" si="56"/>
        <v>988.79248198280493</v>
      </c>
      <c r="AC187" s="126">
        <f>IF($D187="","",IF($AD187=0,0,IF(COUNTIFS($D$4:$D187,$D187,$B$4:$B187,$B187)&gt;1,0,IF($B187&lt;'Guide &amp; Settings'!$C$50,0,IF(($B187-$AD187)/7-'Guide &amp; Settings'!$C$48&gt;=0,(INT(($B187-$AD187)/7-'Guide &amp; Settings'!$C$48)+1)*'Guide &amp; Settings'!$C$49,0)))))</f>
        <v>0</v>
      </c>
      <c r="AD187" s="142">
        <f t="shared" si="57"/>
        <v>46176</v>
      </c>
      <c r="AE187">
        <f t="shared" si="58"/>
        <v>2</v>
      </c>
      <c r="AF187">
        <f t="shared" si="59"/>
        <v>0</v>
      </c>
    </row>
    <row r="188" spans="1:32" ht="15" customHeight="1" x14ac:dyDescent="0.2">
      <c r="A188" s="117">
        <v>79</v>
      </c>
      <c r="B188" s="118">
        <v>46188</v>
      </c>
      <c r="C188" s="119" t="s">
        <v>49</v>
      </c>
      <c r="D188" s="119" t="s">
        <v>25</v>
      </c>
      <c r="E188" s="117" t="s">
        <v>370</v>
      </c>
      <c r="F188" s="120">
        <f t="shared" si="40"/>
        <v>4</v>
      </c>
      <c r="G188" s="121" t="str">
        <f t="shared" si="41"/>
        <v>Simon</v>
      </c>
      <c r="H188" s="122">
        <f>IF($D188="",0,IFERROR(LOOKUP(2,1/(($D$3:D187=$D188)*($A$3:A187&lt;$A188)),$N$3:N187),'Guide &amp; Settings'!$C$41))</f>
        <v>982.56567131045529</v>
      </c>
      <c r="I188" s="123">
        <f t="shared" si="42"/>
        <v>0.18028846153846151</v>
      </c>
      <c r="J188" s="124">
        <f>IF($D188="",0,IF($F188&lt;2,0,IF($E188="Win",('Guide &amp; Settings'!$C$42/(($F188-1)*COUNTIFS($A$4:$A$1510,$A188,$E$4:$E$1510,"Win")))*SUMIFS($X$4:$X$1510,$A$4:$A$1510,$A188,$E$4:$E$1510,"Loss"),-('Guide &amp; Settings'!$C$42/($F188-1))*$X188)))</f>
        <v>5.2419329404843555</v>
      </c>
      <c r="K188" s="124">
        <f>IF($D188="",0,'Guide &amp; Settings'!$C$43*(IF($E188="Win",1,0)-$I188))</f>
        <v>9.8365384615384635</v>
      </c>
      <c r="L188" s="125">
        <f>IF($D188="",0,'Guide &amp; Settings'!$C$44*IF($F188&gt;=3,$F188,0))</f>
        <v>4</v>
      </c>
      <c r="M188" s="124">
        <f t="shared" si="43"/>
        <v>19.078471402022821</v>
      </c>
      <c r="N188" s="122">
        <f t="shared" si="44"/>
        <v>1001.6441427124781</v>
      </c>
      <c r="O188" s="121" t="str">
        <f t="shared" si="45"/>
        <v>OK (team)</v>
      </c>
      <c r="P188">
        <f t="shared" si="46"/>
        <v>1053.0851130806593</v>
      </c>
      <c r="Q188">
        <f t="shared" si="47"/>
        <v>0.39988542218662843</v>
      </c>
      <c r="R188">
        <f t="shared" si="48"/>
        <v>0.45454545454545453</v>
      </c>
      <c r="S188">
        <f t="shared" si="49"/>
        <v>2.5212121212121215</v>
      </c>
      <c r="T188" s="89">
        <f t="shared" si="50"/>
        <v>9</v>
      </c>
      <c r="U188" s="126">
        <f>IF($D188="",0,IFERROR(LOOKUP(2,1/(($D$3:D187=$D188)*($C$3:C187=$C188)*($A$3:A187&lt;$A188)),$AB$3:AB187),1000))</f>
        <v>964.51557411409249</v>
      </c>
      <c r="V188" s="126">
        <f t="shared" si="51"/>
        <v>970.96203739850785</v>
      </c>
      <c r="W188">
        <f t="shared" si="52"/>
        <v>1030.1338698714435</v>
      </c>
      <c r="X188">
        <f t="shared" si="53"/>
        <v>0.41565877059684575</v>
      </c>
      <c r="Y188">
        <f t="shared" si="54"/>
        <v>1016.1922468209593</v>
      </c>
      <c r="Z188">
        <f t="shared" si="55"/>
        <v>0.4261748951304476</v>
      </c>
      <c r="AA188">
        <f>IF($D188="",0,IF($F188&lt;2,0,IF($E188="Win",('Guide &amp; Settings'!$C$42/(($F188-1)*COUNTIFS($A$4:$A$1510,$A188,$E$4:$E$1510,"Win")))*SUMIFS($Z$4:$Z$1510,$A$4:$A$1510,$A188,$E$4:$E$1510,"Loss"),-('Guide &amp; Settings'!$C$42/($F188-1))*$Z188)))</f>
        <v>5.2898391817695778</v>
      </c>
      <c r="AB188" s="126">
        <f t="shared" si="56"/>
        <v>969.80541329586208</v>
      </c>
      <c r="AC188" s="126">
        <f>IF($D188="","",IF($AD188=0,0,IF(COUNTIFS($D$4:$D188,$D188,$B$4:$B188,$B188)&gt;1,0,IF($B188&lt;'Guide &amp; Settings'!$C$50,0,IF(($B188-$AD188)/7-'Guide &amp; Settings'!$C$48&gt;=0,(INT(($B188-$AD188)/7-'Guide &amp; Settings'!$C$48)+1)*'Guide &amp; Settings'!$C$49,0)))))</f>
        <v>0</v>
      </c>
      <c r="AD188" s="142">
        <f t="shared" si="57"/>
        <v>46177</v>
      </c>
      <c r="AE188">
        <f t="shared" si="58"/>
        <v>2</v>
      </c>
      <c r="AF188">
        <f t="shared" si="59"/>
        <v>0</v>
      </c>
    </row>
    <row r="189" spans="1:32" ht="15" customHeight="1" x14ac:dyDescent="0.2">
      <c r="A189" s="117">
        <v>79</v>
      </c>
      <c r="B189" s="118">
        <v>46188</v>
      </c>
      <c r="C189" s="119" t="s">
        <v>49</v>
      </c>
      <c r="D189" s="119" t="s">
        <v>21</v>
      </c>
      <c r="E189" s="117" t="s">
        <v>370</v>
      </c>
      <c r="F189" s="120">
        <f t="shared" si="40"/>
        <v>4</v>
      </c>
      <c r="G189" s="121" t="str">
        <f t="shared" si="41"/>
        <v>Simon</v>
      </c>
      <c r="H189" s="122">
        <f>IF($D189="",0,IFERROR(LOOKUP(2,1/(($D$3:D188=$D189)*($A$3:A188&lt;$A189)),$N$3:N188),'Guide &amp; Settings'!$C$41))</f>
        <v>1123.6045548508635</v>
      </c>
      <c r="I189" s="123">
        <f t="shared" si="42"/>
        <v>0.31730769230769229</v>
      </c>
      <c r="J189" s="124">
        <f>IF($D189="",0,IF($F189&lt;2,0,IF($E189="Win",('Guide &amp; Settings'!$C$42/(($F189-1)*COUNTIFS($A$4:$A$1510,$A189,$E$4:$E$1510,"Win")))*SUMIFS($X$4:$X$1510,$A$4:$A$1510,$A189,$E$4:$E$1510,"Loss"),-('Guide &amp; Settings'!$C$42/($F189-1))*$X189)))</f>
        <v>5.2419329404843555</v>
      </c>
      <c r="K189" s="124">
        <f>IF($D189="",0,'Guide &amp; Settings'!$C$43*(IF($E189="Win",1,0)-$I189))</f>
        <v>8.1923076923076934</v>
      </c>
      <c r="L189" s="125">
        <f>IF($D189="",0,'Guide &amp; Settings'!$C$44*IF($F189&gt;=3,$F189,0))</f>
        <v>4</v>
      </c>
      <c r="M189" s="124">
        <f t="shared" si="43"/>
        <v>17.434240632792047</v>
      </c>
      <c r="N189" s="122">
        <f t="shared" si="44"/>
        <v>1141.0387954836556</v>
      </c>
      <c r="O189" s="121" t="str">
        <f t="shared" si="45"/>
        <v>OK (team)</v>
      </c>
      <c r="P189">
        <f t="shared" si="46"/>
        <v>1053.0851130806593</v>
      </c>
      <c r="Q189">
        <f t="shared" si="47"/>
        <v>0.60011457781337174</v>
      </c>
      <c r="R189">
        <f t="shared" si="48"/>
        <v>0.8</v>
      </c>
      <c r="S189">
        <f t="shared" si="49"/>
        <v>2.5212121212121215</v>
      </c>
      <c r="T189" s="89">
        <f t="shared" si="50"/>
        <v>8</v>
      </c>
      <c r="U189" s="126">
        <f>IF($D189="",0,IFERROR(LOOKUP(2,1/(($D$3:D188=$D189)*($C$3:C188=$C189)*($A$3:A188&lt;$A189)),$AB$3:AB188),1000))</f>
        <v>1067.8689195278262</v>
      </c>
      <c r="V189" s="126">
        <f t="shared" si="51"/>
        <v>1089.3057023443789</v>
      </c>
      <c r="W189">
        <f t="shared" si="52"/>
        <v>1030.1338698714435</v>
      </c>
      <c r="X189">
        <f t="shared" si="53"/>
        <v>0.58434122940315403</v>
      </c>
      <c r="Y189">
        <f t="shared" si="54"/>
        <v>1016.1922468209593</v>
      </c>
      <c r="Z189">
        <f t="shared" si="55"/>
        <v>0.5738251048695524</v>
      </c>
      <c r="AA189">
        <f>IF($D189="",0,IF($F189&lt;2,0,IF($E189="Win",('Guide &amp; Settings'!$C$42/(($F189-1)*COUNTIFS($A$4:$A$1510,$A189,$E$4:$E$1510,"Win")))*SUMIFS($Z$4:$Z$1510,$A$4:$A$1510,$A189,$E$4:$E$1510,"Loss"),-('Guide &amp; Settings'!$C$42/($F189-1))*$Z189)))</f>
        <v>5.2898391817695778</v>
      </c>
      <c r="AB189" s="126">
        <f t="shared" si="56"/>
        <v>1073.1587587095958</v>
      </c>
      <c r="AC189" s="126">
        <f>IF($D189="","",IF($AD189=0,0,IF(COUNTIFS($D$4:$D189,$D189,$B$4:$B189,$B189)&gt;1,0,IF($B189&lt;'Guide &amp; Settings'!$C$50,0,IF(($B189-$AD189)/7-'Guide &amp; Settings'!$C$48&gt;=0,(INT(($B189-$AD189)/7-'Guide &amp; Settings'!$C$48)+1)*'Guide &amp; Settings'!$C$49,0)))))</f>
        <v>0</v>
      </c>
      <c r="AD189" s="142">
        <f t="shared" si="57"/>
        <v>46175</v>
      </c>
      <c r="AE189">
        <f t="shared" si="58"/>
        <v>2</v>
      </c>
      <c r="AF189">
        <f t="shared" si="59"/>
        <v>0</v>
      </c>
    </row>
    <row r="190" spans="1:32" ht="15" customHeight="1" x14ac:dyDescent="0.2">
      <c r="A190" s="117">
        <v>79</v>
      </c>
      <c r="B190" s="118">
        <v>46188</v>
      </c>
      <c r="C190" s="119" t="s">
        <v>49</v>
      </c>
      <c r="D190" s="119" t="s">
        <v>16</v>
      </c>
      <c r="E190" s="117" t="s">
        <v>371</v>
      </c>
      <c r="F190" s="120">
        <f t="shared" si="40"/>
        <v>4</v>
      </c>
      <c r="G190" s="121" t="str">
        <f t="shared" si="41"/>
        <v>Simon</v>
      </c>
      <c r="H190" s="122">
        <f>IF($D190="",0,IFERROR(LOOKUP(2,1/(($D$3:D189=$D190)*($A$3:A189&lt;$A190)),$N$3:N189),'Guide &amp; Settings'!$C$41))</f>
        <v>1027.5695817506742</v>
      </c>
      <c r="I190" s="123">
        <f t="shared" si="42"/>
        <v>0.26442307692307687</v>
      </c>
      <c r="J190" s="124">
        <f>IF($D190="",0,IF($F190&lt;2,0,IF($E190="Win",('Guide &amp; Settings'!$C$42/(($F190-1)*COUNTIFS($A$4:$A$1510,$A190,$E$4:$E$1510,"Win")))*SUMIFS($X$4:$X$1510,$A$4:$A$1510,$A190,$E$4:$E$1510,"Loss"),-('Guide &amp; Settings'!$C$42/($F190-1))*$X190)))</f>
        <v>-5.2507592907292828</v>
      </c>
      <c r="K190" s="124">
        <f>IF($D190="",0,'Guide &amp; Settings'!$C$43*(IF($E190="Win",1,0)-$I190))</f>
        <v>-3.1730769230769225</v>
      </c>
      <c r="L190" s="125">
        <f>IF($D190="",0,'Guide &amp; Settings'!$C$44*IF($F190&gt;=3,$F190,0))</f>
        <v>4</v>
      </c>
      <c r="M190" s="124">
        <f t="shared" si="43"/>
        <v>-4.4238362138062044</v>
      </c>
      <c r="N190" s="122">
        <f t="shared" si="44"/>
        <v>1023.1457455368679</v>
      </c>
      <c r="O190" s="121" t="str">
        <f t="shared" si="45"/>
        <v>OK (team)</v>
      </c>
      <c r="P190">
        <f t="shared" si="46"/>
        <v>1053.0851130806593</v>
      </c>
      <c r="Q190">
        <f t="shared" si="47"/>
        <v>0.46334607114915577</v>
      </c>
      <c r="R190">
        <f t="shared" si="48"/>
        <v>0.66666666666666663</v>
      </c>
      <c r="S190">
        <f t="shared" si="49"/>
        <v>2.5212121212121215</v>
      </c>
      <c r="T190" s="89">
        <f t="shared" si="50"/>
        <v>4</v>
      </c>
      <c r="U190" s="126">
        <f>IF($D190="",0,IFERROR(LOOKUP(2,1/(($D$3:D189=$D190)*($C$3:C189=$C190)*($A$3:A189&lt;$A190)),$AB$3:AB189),1000))</f>
        <v>1021.2350230564828</v>
      </c>
      <c r="V190" s="126">
        <f t="shared" si="51"/>
        <v>1024.7542223310336</v>
      </c>
      <c r="W190">
        <f t="shared" si="52"/>
        <v>1030.1338698714435</v>
      </c>
      <c r="X190">
        <f t="shared" si="53"/>
        <v>0.49225868350587026</v>
      </c>
      <c r="Y190">
        <f t="shared" si="54"/>
        <v>1016.1922468209593</v>
      </c>
      <c r="Z190">
        <f t="shared" si="55"/>
        <v>0.50725662880346523</v>
      </c>
      <c r="AA190">
        <f>IF($D190="",0,IF($F190&lt;2,0,IF($E190="Win",('Guide &amp; Settings'!$C$42/(($F190-1)*COUNTIFS($A$4:$A$1510,$A190,$E$4:$E$1510,"Win")))*SUMIFS($Z$4:$Z$1510,$A$4:$A$1510,$A190,$E$4:$E$1510,"Loss"),-('Guide &amp; Settings'!$C$42/($F190-1))*$Z190)))</f>
        <v>-5.4107373739036291</v>
      </c>
      <c r="AB190" s="126">
        <f t="shared" si="56"/>
        <v>1015.8242856825791</v>
      </c>
      <c r="AC190" s="126">
        <f>IF($D190="","",IF($AD190=0,0,IF(COUNTIFS($D$4:$D190,$D190,$B$4:$B190,$B190)&gt;1,0,IF($B190&lt;'Guide &amp; Settings'!$C$50,0,IF(($B190-$AD190)/7-'Guide &amp; Settings'!$C$48&gt;=0,(INT(($B190-$AD190)/7-'Guide &amp; Settings'!$C$48)+1)*'Guide &amp; Settings'!$C$49,0)))))</f>
        <v>0</v>
      </c>
      <c r="AD190" s="142">
        <f t="shared" si="57"/>
        <v>46177</v>
      </c>
      <c r="AE190">
        <f t="shared" si="58"/>
        <v>2</v>
      </c>
      <c r="AF190">
        <f t="shared" si="59"/>
        <v>0</v>
      </c>
    </row>
    <row r="191" spans="1:32" ht="15" customHeight="1" x14ac:dyDescent="0.2">
      <c r="A191" s="117">
        <v>79</v>
      </c>
      <c r="B191" s="118">
        <v>46188</v>
      </c>
      <c r="C191" s="119" t="s">
        <v>49</v>
      </c>
      <c r="D191" s="119" t="s">
        <v>27</v>
      </c>
      <c r="E191" s="117" t="s">
        <v>371</v>
      </c>
      <c r="F191" s="120">
        <f t="shared" si="40"/>
        <v>4</v>
      </c>
      <c r="G191" s="121" t="str">
        <f t="shared" si="41"/>
        <v>Simon</v>
      </c>
      <c r="H191" s="122">
        <f>IF($D191="",0,IFERROR(LOOKUP(2,1/(($D$3:D190=$D191)*($A$3:A190&lt;$A191)),$N$3:N190),'Guide &amp; Settings'!$C$41))</f>
        <v>1034.478470511657</v>
      </c>
      <c r="I191" s="123">
        <f t="shared" si="42"/>
        <v>0.23798076923076919</v>
      </c>
      <c r="J191" s="124">
        <f>IF($D191="",0,IF($F191&lt;2,0,IF($E191="Win",('Guide &amp; Settings'!$C$42/(($F191-1)*COUNTIFS($A$4:$A$1510,$A191,$E$4:$E$1510,"Win")))*SUMIFS($X$4:$X$1510,$A$4:$A$1510,$A191,$E$4:$E$1510,"Loss"),-('Guide &amp; Settings'!$C$42/($F191-1))*$X191)))</f>
        <v>-5.2331065902394291</v>
      </c>
      <c r="K191" s="124">
        <f>IF($D191="",0,'Guide &amp; Settings'!$C$43*(IF($E191="Win",1,0)-$I191))</f>
        <v>-2.8557692307692304</v>
      </c>
      <c r="L191" s="125">
        <f>IF($D191="",0,'Guide &amp; Settings'!$C$44*IF($F191&gt;=3,$F191,0))</f>
        <v>4</v>
      </c>
      <c r="M191" s="124">
        <f t="shared" si="43"/>
        <v>-4.08887582100866</v>
      </c>
      <c r="N191" s="122">
        <f t="shared" si="44"/>
        <v>1030.3895946906482</v>
      </c>
      <c r="O191" s="121" t="str">
        <f t="shared" si="45"/>
        <v>OK (team)</v>
      </c>
      <c r="P191">
        <f t="shared" si="46"/>
        <v>1053.0851130806593</v>
      </c>
      <c r="Q191">
        <f t="shared" si="47"/>
        <v>0.47324845894124551</v>
      </c>
      <c r="R191">
        <f t="shared" si="48"/>
        <v>0.6</v>
      </c>
      <c r="S191">
        <f t="shared" si="49"/>
        <v>2.5212121212121215</v>
      </c>
      <c r="T191" s="89">
        <f t="shared" si="50"/>
        <v>3</v>
      </c>
      <c r="U191" s="126">
        <f>IF($D191="",0,IFERROR(LOOKUP(2,1/(($D$3:D190=$D191)*($C$3:C190=$C191)*($A$3:A190&lt;$A191)),$AB$3:AB190),1000))</f>
        <v>1005.479650149466</v>
      </c>
      <c r="V191" s="126">
        <f t="shared" si="51"/>
        <v>1023.6039128758354</v>
      </c>
      <c r="W191">
        <f t="shared" si="52"/>
        <v>1030.1338698714435</v>
      </c>
      <c r="X191">
        <f t="shared" si="53"/>
        <v>0.49060374283494651</v>
      </c>
      <c r="Y191">
        <f t="shared" si="54"/>
        <v>1016.1922468209593</v>
      </c>
      <c r="Z191">
        <f t="shared" si="55"/>
        <v>0.48458821777833072</v>
      </c>
      <c r="AA191">
        <f>IF($D191="",0,IF($F191&lt;2,0,IF($E191="Win",('Guide &amp; Settings'!$C$42/(($F191-1)*COUNTIFS($A$4:$A$1510,$A191,$E$4:$E$1510,"Win")))*SUMIFS($Z$4:$Z$1510,$A$4:$A$1510,$A191,$E$4:$E$1510,"Loss"),-('Guide &amp; Settings'!$C$42/($F191-1))*$Z191)))</f>
        <v>-5.1689409896355274</v>
      </c>
      <c r="AB191" s="126">
        <f t="shared" si="56"/>
        <v>1000.3107091598305</v>
      </c>
      <c r="AC191" s="126">
        <f>IF($D191="","",IF($AD191=0,0,IF(COUNTIFS($D$4:$D191,$D191,$B$4:$B191,$B191)&gt;1,0,IF($B191&lt;'Guide &amp; Settings'!$C$50,0,IF(($B191-$AD191)/7-'Guide &amp; Settings'!$C$48&gt;=0,(INT(($B191-$AD191)/7-'Guide &amp; Settings'!$C$48)+1)*'Guide &amp; Settings'!$C$49,0)))))</f>
        <v>0</v>
      </c>
      <c r="AD191" s="142">
        <f t="shared" si="57"/>
        <v>0</v>
      </c>
      <c r="AE191">
        <f t="shared" si="58"/>
        <v>2</v>
      </c>
      <c r="AF191">
        <f t="shared" si="59"/>
        <v>0</v>
      </c>
    </row>
    <row r="192" spans="1:32" ht="15" customHeight="1" x14ac:dyDescent="0.2">
      <c r="A192" s="117">
        <v>80</v>
      </c>
      <c r="B192" s="118">
        <v>46188</v>
      </c>
      <c r="C192" s="119" t="s">
        <v>49</v>
      </c>
      <c r="D192" s="119" t="s">
        <v>19</v>
      </c>
      <c r="E192" s="117" t="s">
        <v>370</v>
      </c>
      <c r="F192" s="120">
        <f t="shared" si="40"/>
        <v>4</v>
      </c>
      <c r="G192" s="121" t="str">
        <f t="shared" si="41"/>
        <v>Shawn</v>
      </c>
      <c r="H192" s="122">
        <f>IF($D192="",0,IFERROR(LOOKUP(2,1/(($D$3:D191=$D192)*($A$3:A191&lt;$A192)),$N$3:N191),'Guide &amp; Settings'!$C$41))</f>
        <v>1149.0986919838699</v>
      </c>
      <c r="I192" s="123">
        <f t="shared" si="42"/>
        <v>0.19075144508670519</v>
      </c>
      <c r="J192" s="124">
        <f>IF($D192="",0,IF($F192&lt;2,0,IF($E192="Win",('Guide &amp; Settings'!$C$42/(($F192-1)*COUNTIFS($A$4:$A$1510,$A192,$E$4:$E$1510,"Win")))*SUMIFS($X$4:$X$1510,$A$4:$A$1510,$A192,$E$4:$E$1510,"Loss"),-('Guide &amp; Settings'!$C$42/($F192-1))*$X192)))</f>
        <v>5.3611014682775533</v>
      </c>
      <c r="K192" s="124">
        <f>IF($D192="",0,'Guide &amp; Settings'!$C$43*(IF($E192="Win",1,0)-$I192))</f>
        <v>9.7109826589595372</v>
      </c>
      <c r="L192" s="125">
        <f>IF($D192="",0,'Guide &amp; Settings'!$C$44*IF($F192&gt;=3,$F192,0))</f>
        <v>4</v>
      </c>
      <c r="M192" s="124">
        <f t="shared" si="43"/>
        <v>19.07208412723709</v>
      </c>
      <c r="N192" s="122">
        <f t="shared" si="44"/>
        <v>1168.170776111107</v>
      </c>
      <c r="O192" s="121" t="str">
        <f t="shared" si="45"/>
        <v>OK (team)</v>
      </c>
      <c r="P192">
        <f t="shared" si="46"/>
        <v>1082.3905313963739</v>
      </c>
      <c r="Q192">
        <f t="shared" si="47"/>
        <v>0.59483822363795824</v>
      </c>
      <c r="R192">
        <f t="shared" si="48"/>
        <v>0.42857142857142855</v>
      </c>
      <c r="S192">
        <f t="shared" si="49"/>
        <v>2.2467532467532467</v>
      </c>
      <c r="T192" s="89">
        <f t="shared" si="50"/>
        <v>5</v>
      </c>
      <c r="U192" s="126">
        <f>IF($D192="",0,IFERROR(LOOKUP(2,1/(($D$3:D191=$D192)*($C$3:C191=$C192)*($A$3:A191&lt;$A192)),$AB$3:AB191),1000))</f>
        <v>985.02917710827387</v>
      </c>
      <c r="V192" s="126">
        <f t="shared" si="51"/>
        <v>1067.0639345460718</v>
      </c>
      <c r="W192">
        <f t="shared" si="52"/>
        <v>1037.0492715831101</v>
      </c>
      <c r="X192">
        <f t="shared" si="53"/>
        <v>0.54308743709481044</v>
      </c>
      <c r="Y192">
        <f t="shared" si="54"/>
        <v>992.42865861890732</v>
      </c>
      <c r="Z192">
        <f t="shared" si="55"/>
        <v>0.48935289983328739</v>
      </c>
      <c r="AA192">
        <f>IF($D192="",0,IF($F192&lt;2,0,IF($E192="Win",('Guide &amp; Settings'!$C$42/(($F192-1)*COUNTIFS($A$4:$A$1510,$A192,$E$4:$E$1510,"Win")))*SUMIFS($Z$4:$Z$1510,$A$4:$A$1510,$A192,$E$4:$E$1510,"Loss"),-('Guide &amp; Settings'!$C$42/($F192-1))*$Z192)))</f>
        <v>5.7686491567091647</v>
      </c>
      <c r="AB192" s="126">
        <f t="shared" si="56"/>
        <v>990.79782626498309</v>
      </c>
      <c r="AC192" s="126">
        <f>IF($D192="","",IF($AD192=0,0,IF(COUNTIFS($D$4:$D192,$D192,$B$4:$B192,$B192)&gt;1,0,IF($B192&lt;'Guide &amp; Settings'!$C$50,0,IF(($B192-$AD192)/7-'Guide &amp; Settings'!$C$48&gt;=0,(INT(($B192-$AD192)/7-'Guide &amp; Settings'!$C$48)+1)*'Guide &amp; Settings'!$C$49,0)))))</f>
        <v>0</v>
      </c>
      <c r="AD192" s="142">
        <f t="shared" si="57"/>
        <v>46176</v>
      </c>
      <c r="AE192">
        <f t="shared" si="58"/>
        <v>2</v>
      </c>
      <c r="AF192">
        <f t="shared" si="59"/>
        <v>0</v>
      </c>
    </row>
    <row r="193" spans="1:32" ht="15" customHeight="1" x14ac:dyDescent="0.2">
      <c r="A193" s="117">
        <v>80</v>
      </c>
      <c r="B193" s="118">
        <v>46188</v>
      </c>
      <c r="C193" s="119" t="s">
        <v>49</v>
      </c>
      <c r="D193" s="119" t="s">
        <v>20</v>
      </c>
      <c r="E193" s="117" t="s">
        <v>370</v>
      </c>
      <c r="F193" s="120">
        <f t="shared" si="40"/>
        <v>4</v>
      </c>
      <c r="G193" s="121" t="str">
        <f t="shared" si="41"/>
        <v>Shawn</v>
      </c>
      <c r="H193" s="122">
        <f>IF($D193="",0,IFERROR(LOOKUP(2,1/(($D$3:D192=$D193)*($A$3:A192&lt;$A193)),$N$3:N192),'Guide &amp; Settings'!$C$41))</f>
        <v>1015.682370808878</v>
      </c>
      <c r="I193" s="123">
        <f t="shared" si="42"/>
        <v>0.22254335260115607</v>
      </c>
      <c r="J193" s="124">
        <f>IF($D193="",0,IF($F193&lt;2,0,IF($E193="Win",('Guide &amp; Settings'!$C$42/(($F193-1)*COUNTIFS($A$4:$A$1510,$A193,$E$4:$E$1510,"Win")))*SUMIFS($X$4:$X$1510,$A$4:$A$1510,$A193,$E$4:$E$1510,"Loss"),-('Guide &amp; Settings'!$C$42/($F193-1))*$X193)))</f>
        <v>5.3611014682775533</v>
      </c>
      <c r="K193" s="124">
        <f>IF($D193="",0,'Guide &amp; Settings'!$C$43*(IF($E193="Win",1,0)-$I193))</f>
        <v>9.3294797687861273</v>
      </c>
      <c r="L193" s="125">
        <f>IF($D193="",0,'Guide &amp; Settings'!$C$44*IF($F193&gt;=3,$F193,0))</f>
        <v>4</v>
      </c>
      <c r="M193" s="124">
        <f t="shared" si="43"/>
        <v>18.690581237063682</v>
      </c>
      <c r="N193" s="122">
        <f t="shared" si="44"/>
        <v>1034.3729520459417</v>
      </c>
      <c r="O193" s="121" t="str">
        <f t="shared" si="45"/>
        <v>OK (team)</v>
      </c>
      <c r="P193">
        <f t="shared" si="46"/>
        <v>1082.3905313963739</v>
      </c>
      <c r="Q193">
        <f t="shared" si="47"/>
        <v>0.40516177636204176</v>
      </c>
      <c r="R193">
        <f t="shared" si="48"/>
        <v>0.5</v>
      </c>
      <c r="S193">
        <f t="shared" si="49"/>
        <v>2.2467532467532467</v>
      </c>
      <c r="T193" s="89">
        <f t="shared" si="50"/>
        <v>6</v>
      </c>
      <c r="U193" s="126">
        <f>IF($D193="",0,IFERROR(LOOKUP(2,1/(($D$3:D192=$D193)*($C$3:C192=$C193)*($A$3:A192&lt;$A193)),$AB$3:AB192),1000))</f>
        <v>999.82814012954088</v>
      </c>
      <c r="V193" s="126">
        <f t="shared" si="51"/>
        <v>1007.0346086201487</v>
      </c>
      <c r="W193">
        <f t="shared" si="52"/>
        <v>1037.0492715831101</v>
      </c>
      <c r="X193">
        <f t="shared" si="53"/>
        <v>0.45691256290518989</v>
      </c>
      <c r="Y193">
        <f t="shared" si="54"/>
        <v>992.42865861890732</v>
      </c>
      <c r="Z193">
        <f t="shared" si="55"/>
        <v>0.51064710016671289</v>
      </c>
      <c r="AA193">
        <f>IF($D193="",0,IF($F193&lt;2,0,IF($E193="Win",('Guide &amp; Settings'!$C$42/(($F193-1)*COUNTIFS($A$4:$A$1510,$A193,$E$4:$E$1510,"Win")))*SUMIFS($Z$4:$Z$1510,$A$4:$A$1510,$A193,$E$4:$E$1510,"Loss"),-('Guide &amp; Settings'!$C$42/($F193-1))*$Z193)))</f>
        <v>5.7686491567091647</v>
      </c>
      <c r="AB193" s="126">
        <f t="shared" si="56"/>
        <v>1005.5967892862501</v>
      </c>
      <c r="AC193" s="126">
        <f>IF($D193="","",IF($AD193=0,0,IF(COUNTIFS($D$4:$D193,$D193,$B$4:$B193,$B193)&gt;1,0,IF($B193&lt;'Guide &amp; Settings'!$C$50,0,IF(($B193-$AD193)/7-'Guide &amp; Settings'!$C$48&gt;=0,(INT(($B193-$AD193)/7-'Guide &amp; Settings'!$C$48)+1)*'Guide &amp; Settings'!$C$49,0)))))</f>
        <v>0</v>
      </c>
      <c r="AD193" s="142">
        <f t="shared" si="57"/>
        <v>46177</v>
      </c>
      <c r="AE193">
        <f t="shared" si="58"/>
        <v>2</v>
      </c>
      <c r="AF193">
        <f t="shared" si="59"/>
        <v>0</v>
      </c>
    </row>
    <row r="194" spans="1:32" ht="15" customHeight="1" x14ac:dyDescent="0.2">
      <c r="A194" s="117">
        <v>80</v>
      </c>
      <c r="B194" s="118">
        <v>46188</v>
      </c>
      <c r="C194" s="119" t="s">
        <v>49</v>
      </c>
      <c r="D194" s="119" t="s">
        <v>21</v>
      </c>
      <c r="E194" s="117" t="s">
        <v>371</v>
      </c>
      <c r="F194" s="120">
        <f t="shared" si="40"/>
        <v>4</v>
      </c>
      <c r="G194" s="121" t="str">
        <f t="shared" si="41"/>
        <v>Shawn</v>
      </c>
      <c r="H194" s="122">
        <f>IF($D194="",0,IFERROR(LOOKUP(2,1/(($D$3:D193=$D194)*($A$3:A193&lt;$A194)),$N$3:N193),'Guide &amp; Settings'!$C$41))</f>
        <v>1141.0387954836556</v>
      </c>
      <c r="I194" s="123">
        <f t="shared" si="42"/>
        <v>0.3641618497109827</v>
      </c>
      <c r="J194" s="124">
        <f>IF($D194="",0,IF($F194&lt;2,0,IF($E194="Win",('Guide &amp; Settings'!$C$42/(($F194-1)*COUNTIFS($A$4:$A$1510,$A194,$E$4:$E$1510,"Win")))*SUMIFS($X$4:$X$1510,$A$4:$A$1510,$A194,$E$4:$E$1510,"Loss"),-('Guide &amp; Settings'!$C$42/($F194-1))*$X194)))</f>
        <v>-6.2505690566191463</v>
      </c>
      <c r="K194" s="124">
        <f>IF($D194="",0,'Guide &amp; Settings'!$C$43*(IF($E194="Win",1,0)-$I194))</f>
        <v>-4.3699421965317926</v>
      </c>
      <c r="L194" s="125">
        <f>IF($D194="",0,'Guide &amp; Settings'!$C$44*IF($F194&gt;=3,$F194,0))</f>
        <v>4</v>
      </c>
      <c r="M194" s="124">
        <f t="shared" si="43"/>
        <v>-6.6205112531509389</v>
      </c>
      <c r="N194" s="122">
        <f t="shared" si="44"/>
        <v>1134.4182842305047</v>
      </c>
      <c r="O194" s="121" t="str">
        <f t="shared" si="45"/>
        <v>OK (team)</v>
      </c>
      <c r="P194">
        <f t="shared" si="46"/>
        <v>1082.3905313963739</v>
      </c>
      <c r="Q194">
        <f t="shared" si="47"/>
        <v>0.58360900757374456</v>
      </c>
      <c r="R194">
        <f t="shared" si="48"/>
        <v>0.81818181818181823</v>
      </c>
      <c r="S194">
        <f t="shared" si="49"/>
        <v>2.2467532467532467</v>
      </c>
      <c r="T194" s="89">
        <f t="shared" si="50"/>
        <v>9</v>
      </c>
      <c r="U194" s="126">
        <f>IF($D194="",0,IFERROR(LOOKUP(2,1/(($D$3:D193=$D194)*($C$3:C193=$C194)*($A$3:A193&lt;$A194)),$AB$3:AB193),1000))</f>
        <v>1073.1587587095958</v>
      </c>
      <c r="V194" s="126">
        <f t="shared" si="51"/>
        <v>1097.4016289860456</v>
      </c>
      <c r="W194">
        <f t="shared" si="52"/>
        <v>1037.0492715831101</v>
      </c>
      <c r="X194">
        <f t="shared" si="53"/>
        <v>0.58599084905804499</v>
      </c>
      <c r="Y194">
        <f t="shared" si="54"/>
        <v>992.42865861890732</v>
      </c>
      <c r="Z194">
        <f t="shared" si="55"/>
        <v>0.61413324787417245</v>
      </c>
      <c r="AA194">
        <f>IF($D194="",0,IF($F194&lt;2,0,IF($E194="Win",('Guide &amp; Settings'!$C$42/(($F194-1)*COUNTIFS($A$4:$A$1510,$A194,$E$4:$E$1510,"Win")))*SUMIFS($Z$4:$Z$1510,$A$4:$A$1510,$A194,$E$4:$E$1510,"Loss"),-('Guide &amp; Settings'!$C$42/($F194-1))*$Z194)))</f>
        <v>-6.5507546439911728</v>
      </c>
      <c r="AB194" s="126">
        <f t="shared" si="56"/>
        <v>1066.6080040656045</v>
      </c>
      <c r="AC194" s="126">
        <f>IF($D194="","",IF($AD194=0,0,IF(COUNTIFS($D$4:$D194,$D194,$B$4:$B194,$B194)&gt;1,0,IF($B194&lt;'Guide &amp; Settings'!$C$50,0,IF(($B194-$AD194)/7-'Guide &amp; Settings'!$C$48&gt;=0,(INT(($B194-$AD194)/7-'Guide &amp; Settings'!$C$48)+1)*'Guide &amp; Settings'!$C$49,0)))))</f>
        <v>0</v>
      </c>
      <c r="AD194" s="142">
        <f t="shared" si="57"/>
        <v>46175</v>
      </c>
      <c r="AE194">
        <f t="shared" si="58"/>
        <v>2</v>
      </c>
      <c r="AF194">
        <f t="shared" si="59"/>
        <v>0</v>
      </c>
    </row>
    <row r="195" spans="1:32" ht="15" customHeight="1" x14ac:dyDescent="0.2">
      <c r="A195" s="117">
        <v>80</v>
      </c>
      <c r="B195" s="118">
        <v>46188</v>
      </c>
      <c r="C195" s="119" t="s">
        <v>49</v>
      </c>
      <c r="D195" s="119" t="s">
        <v>25</v>
      </c>
      <c r="E195" s="117" t="s">
        <v>371</v>
      </c>
      <c r="F195" s="120">
        <f t="shared" si="40"/>
        <v>4</v>
      </c>
      <c r="G195" s="121" t="str">
        <f t="shared" si="41"/>
        <v>Shawn</v>
      </c>
      <c r="H195" s="122">
        <f>IF($D195="",0,IFERROR(LOOKUP(2,1/(($D$3:D194=$D195)*($A$3:A194&lt;$A195)),$N$3:N194),'Guide &amp; Settings'!$C$41))</f>
        <v>1001.6441427124781</v>
      </c>
      <c r="I195" s="123">
        <f t="shared" si="42"/>
        <v>0.22254335260115607</v>
      </c>
      <c r="J195" s="124">
        <f>IF($D195="",0,IF($F195&lt;2,0,IF($E195="Win",('Guide &amp; Settings'!$C$42/(($F195-1)*COUNTIFS($A$4:$A$1510,$A195,$E$4:$E$1510,"Win")))*SUMIFS($X$4:$X$1510,$A$4:$A$1510,$A195,$E$4:$E$1510,"Loss"),-('Guide &amp; Settings'!$C$42/($F195-1))*$X195)))</f>
        <v>-4.4716338799359603</v>
      </c>
      <c r="K195" s="124">
        <f>IF($D195="",0,'Guide &amp; Settings'!$C$43*(IF($E195="Win",1,0)-$I195))</f>
        <v>-2.6705202312138727</v>
      </c>
      <c r="L195" s="125">
        <f>IF($D195="",0,'Guide &amp; Settings'!$C$44*IF($F195&gt;=3,$F195,0))</f>
        <v>4</v>
      </c>
      <c r="M195" s="124">
        <f t="shared" si="43"/>
        <v>-3.142154111149833</v>
      </c>
      <c r="N195" s="122">
        <f t="shared" si="44"/>
        <v>998.50198860132832</v>
      </c>
      <c r="O195" s="121" t="str">
        <f t="shared" si="45"/>
        <v>OK (team)</v>
      </c>
      <c r="P195">
        <f t="shared" si="46"/>
        <v>1082.3905313963739</v>
      </c>
      <c r="Q195">
        <f t="shared" si="47"/>
        <v>0.38584453260975127</v>
      </c>
      <c r="R195">
        <f t="shared" si="48"/>
        <v>0.5</v>
      </c>
      <c r="S195">
        <f t="shared" si="49"/>
        <v>2.2467532467532467</v>
      </c>
      <c r="T195" s="89">
        <f t="shared" si="50"/>
        <v>10</v>
      </c>
      <c r="U195" s="126">
        <f>IF($D195="",0,IFERROR(LOOKUP(2,1/(($D$3:D194=$D195)*($C$3:C194=$C195)*($A$3:A194&lt;$A195)),$AB$3:AB194),1000))</f>
        <v>969.80541329586208</v>
      </c>
      <c r="V195" s="126">
        <f t="shared" si="51"/>
        <v>980.4183231014008</v>
      </c>
      <c r="W195">
        <f t="shared" si="52"/>
        <v>1037.0492715831101</v>
      </c>
      <c r="X195">
        <f t="shared" si="53"/>
        <v>0.4192156762439963</v>
      </c>
      <c r="Y195">
        <f t="shared" si="54"/>
        <v>992.42865861890732</v>
      </c>
      <c r="Z195">
        <f t="shared" si="55"/>
        <v>0.46748846900879604</v>
      </c>
      <c r="AA195">
        <f>IF($D195="",0,IF($F195&lt;2,0,IF($E195="Win",('Guide &amp; Settings'!$C$42/(($F195-1)*COUNTIFS($A$4:$A$1510,$A195,$E$4:$E$1510,"Win")))*SUMIFS($Z$4:$Z$1510,$A$4:$A$1510,$A195,$E$4:$E$1510,"Loss"),-('Guide &amp; Settings'!$C$42/($F195-1))*$Z195)))</f>
        <v>-4.9865436694271574</v>
      </c>
      <c r="AB195" s="126">
        <f t="shared" si="56"/>
        <v>964.81886962643489</v>
      </c>
      <c r="AC195" s="126">
        <f>IF($D195="","",IF($AD195=0,0,IF(COUNTIFS($D$4:$D195,$D195,$B$4:$B195,$B195)&gt;1,0,IF($B195&lt;'Guide &amp; Settings'!$C$50,0,IF(($B195-$AD195)/7-'Guide &amp; Settings'!$C$48&gt;=0,(INT(($B195-$AD195)/7-'Guide &amp; Settings'!$C$48)+1)*'Guide &amp; Settings'!$C$49,0)))))</f>
        <v>0</v>
      </c>
      <c r="AD195" s="142">
        <f t="shared" si="57"/>
        <v>46177</v>
      </c>
      <c r="AE195">
        <f t="shared" si="58"/>
        <v>2</v>
      </c>
      <c r="AF195">
        <f t="shared" si="59"/>
        <v>0</v>
      </c>
    </row>
    <row r="196" spans="1:32" ht="15" customHeight="1" x14ac:dyDescent="0.2">
      <c r="A196" s="117">
        <v>81</v>
      </c>
      <c r="B196" s="118">
        <v>46188</v>
      </c>
      <c r="C196" s="119" t="s">
        <v>49</v>
      </c>
      <c r="D196" s="119" t="s">
        <v>23</v>
      </c>
      <c r="E196" s="117" t="s">
        <v>370</v>
      </c>
      <c r="F196" s="120">
        <f t="shared" ref="F196:F259" si="60">IF($D196="",0,COUNTIF($A$4:$A$1510,$A196))</f>
        <v>4</v>
      </c>
      <c r="G196" s="121" t="str">
        <f t="shared" ref="G196:G259" si="61">IF($D196="","",IFERROR(LOOKUP(2,1/(($A$4:$A$1510=$A196)*($E$4:$E$1510="Win")),$D$4:$D$1510),"(no winner)"))</f>
        <v>Daniel (Ferret)</v>
      </c>
      <c r="H196" s="122">
        <f>IF($D196="",0,IFERROR(LOOKUP(2,1/(($D$3:D195=$D196)*($A$3:A195&lt;$A196)),$N$3:N195),'Guide &amp; Settings'!$C$41))</f>
        <v>1129.5952119336941</v>
      </c>
      <c r="I196" s="123">
        <f t="shared" ref="I196:I259" si="62">IF($D196="",0,IF($S196=0,0,$R196/$S196))</f>
        <v>0.3</v>
      </c>
      <c r="J196" s="124">
        <f>IF($D196="",0,IF($F196&lt;2,0,IF($E196="Win",('Guide &amp; Settings'!$C$42/(($F196-1)*COUNTIFS($A$4:$A$1510,$A196,$E$4:$E$1510,"Win")))*SUMIFS($X$4:$X$1510,$A$4:$A$1510,$A196,$E$4:$E$1510,"Loss"),-('Guide &amp; Settings'!$C$42/($F196-1))*$X196)))</f>
        <v>5.4373453677876444</v>
      </c>
      <c r="K196" s="124">
        <f>IF($D196="",0,'Guide &amp; Settings'!$C$43*(IF($E196="Win",1,0)-$I196))</f>
        <v>8.3999999999999986</v>
      </c>
      <c r="L196" s="125">
        <f>IF($D196="",0,'Guide &amp; Settings'!$C$44*IF($F196&gt;=3,$F196,0))</f>
        <v>4</v>
      </c>
      <c r="M196" s="124">
        <f t="shared" ref="M196:M259" si="63">IF($D196="",0,$J196+$K196+$L196)</f>
        <v>17.837345367787641</v>
      </c>
      <c r="N196" s="122">
        <f t="shared" ref="N196:N259" si="64">IF($D196="",0,$H196+$M196)</f>
        <v>1147.4325573014819</v>
      </c>
      <c r="O196" s="121" t="str">
        <f t="shared" ref="O196:O259" si="65">IF($D196="","",IF($AE196=0,"need a winner",IF($F196-$AE196=0,"need a loser",IF(MOD($AF196,2)=1,"duplicate player",IF(MOD(INT($AF196/2),2)=1,"mixed sports",IF($AF196&gt;=4,"mixed dates",IF($AE196&gt;1,IF($F196&gt;=4,"OK (team)","check winners"),"OK")))))))</f>
        <v>OK (team)</v>
      </c>
      <c r="P196">
        <f t="shared" ref="P196:P259" si="66">IF($D196="",0,IFERROR(SUMIFS($H$4:$H$1510,$A$4:$A$1510,$A196,$E$4:$E$1510,"Win")/COUNTIFS($A$4:$A$1510,$A196,$E$4:$E$1510,"Win"),0))</f>
        <v>1072.3626708572074</v>
      </c>
      <c r="Q196">
        <f t="shared" ref="Q196:Q259" si="67">IF($D196="",0,1/(1+10^(($P196-$H196)/400)))</f>
        <v>0.58162724823083356</v>
      </c>
      <c r="R196">
        <f t="shared" ref="R196:R259" si="68">IF($D196="",0,(COUNTIFS($D$4:$D$1510,$D196,$C$4:$C$1510,$C196,$E$4:$E$1510,"Win",$A$4:$A$1510,"&lt;"&amp;$A196)+1)/(COUNTIFS($D$4:$D$1510,$D196,$C$4:$C$1510,$C196,$A$4:$A$1510,"&lt;"&amp;$A196)+2))</f>
        <v>0.66666666666666663</v>
      </c>
      <c r="S196">
        <f t="shared" ref="S196:S259" si="69">IF($D196="",0,SUMIFS($R$4:$R$1510,$A$4:$A$1510,$A196))</f>
        <v>2.2222222222222223</v>
      </c>
      <c r="T196" s="89">
        <f t="shared" ref="T196:T259" si="70">IF($D196="",0,COUNTIFS($D$4:$D$1510,$D196,$C$4:$C$1510,$C196,$A$4:$A$1510,"&lt;"&amp;$A196))</f>
        <v>7</v>
      </c>
      <c r="U196" s="126">
        <f>IF($D196="",0,IFERROR(LOOKUP(2,1/(($D$3:D195=$D196)*($C$3:C195=$C196)*($A$3:A195&lt;$A196)),$AB$3:AB195),1000))</f>
        <v>1035.334562809614</v>
      </c>
      <c r="V196" s="126">
        <f t="shared" ref="V196:V259" si="71">IF($D196="",0,$U196*($T196/($T196+5))+$H196*(1-$T196/($T196+5)))</f>
        <v>1074.6098332779807</v>
      </c>
      <c r="W196">
        <f t="shared" ref="W196:W259" si="72">IF($D196="",0,IFERROR(SUMIFS($V$4:$V$1510,$A$4:$A$1510,$A196,$E$4:$E$1510,"Win")/COUNTIFS($A$4:$A$1510,$A196,$E$4:$E$1510,"Win"),0))</f>
        <v>1037.6869866753736</v>
      </c>
      <c r="X196">
        <f t="shared" ref="X196:X259" si="73">IF($D196="",0,1/(1+10^(($W196-$V196)/400)))</f>
        <v>0.5529371096922695</v>
      </c>
      <c r="Y196">
        <f t="shared" ref="Y196:Y259" si="74">IF($D196="",0,IFERROR(SUMIFS($U$4:$U$1510,$A$4:$A$1510,$A196,$E$4:$E$1510,"Win")/COUNTIFS($A$4:$A$1510,$A196,$E$4:$E$1510,"Win"),0))</f>
        <v>1012.0635223962095</v>
      </c>
      <c r="Z196">
        <f t="shared" ref="Z196:Z259" si="75">IF($D196="",0,1/(1+10^(($Y196-$U196)/400)))</f>
        <v>0.5334397278984826</v>
      </c>
      <c r="AA196">
        <f>IF($D196="",0,IF($F196&lt;2,0,IF($E196="Win",('Guide &amp; Settings'!$C$42/(($F196-1)*COUNTIFS($A$4:$A$1510,$A196,$E$4:$E$1510,"Win")))*SUMIFS($Z$4:$Z$1510,$A$4:$A$1510,$A196,$E$4:$E$1510,"Loss"),-('Guide &amp; Settings'!$C$42/($F196-1))*$Z196)))</f>
        <v>5.120688326447592</v>
      </c>
      <c r="AB196" s="126">
        <f t="shared" ref="AB196:AB259" si="76">IF($D196="",0,$U196+$AA196)</f>
        <v>1040.4552511360616</v>
      </c>
      <c r="AC196" s="126">
        <f>IF($D196="","",IF($AD196=0,0,IF(COUNTIFS($D$4:$D196,$D196,$B$4:$B196,$B196)&gt;1,0,IF($B196&lt;'Guide &amp; Settings'!$C$50,0,IF(($B196-$AD196)/7-'Guide &amp; Settings'!$C$48&gt;=0,(INT(($B196-$AD196)/7-'Guide &amp; Settings'!$C$48)+1)*'Guide &amp; Settings'!$C$49,0)))))</f>
        <v>0</v>
      </c>
      <c r="AD196" s="142">
        <f t="shared" ref="AD196:AD259" si="77">IF($D196="",0,SUMPRODUCT(MAX(($D$4:$D$1510=$D196)*($B$4:$B$1510&lt;$B196)*$B$4:$B$1510)))</f>
        <v>46177</v>
      </c>
      <c r="AE196">
        <f t="shared" ref="AE196:AE259" si="78">IF($D196="",0,COUNTIFS($A$4:$A$1510,$A196,$E$4:$E$1510,"Win"))</f>
        <v>2</v>
      </c>
      <c r="AF196">
        <f t="shared" ref="AF196:AF259" si="79">IF($D196="",0,(COUNTIFS($A$4:$A$1510,$A196,$D$4:$D$1510,$D196)&gt;1)*1+(COUNTIFS($A$4:$A$1510,$A196,$C$4:$C$1510,"&lt;&gt;"&amp;$C196)&gt;0)*2+(COUNTIFS($A$4:$A$1510,$A196,$B$4:$B$1510,"&lt;&gt;"&amp;$B196)&gt;0)*4)</f>
        <v>0</v>
      </c>
    </row>
    <row r="197" spans="1:32" ht="15" customHeight="1" x14ac:dyDescent="0.2">
      <c r="A197" s="117">
        <v>81</v>
      </c>
      <c r="B197" s="118">
        <v>46188</v>
      </c>
      <c r="C197" s="119" t="s">
        <v>49</v>
      </c>
      <c r="D197" s="119" t="s">
        <v>22</v>
      </c>
      <c r="E197" s="117" t="s">
        <v>370</v>
      </c>
      <c r="F197" s="120">
        <f t="shared" si="60"/>
        <v>4</v>
      </c>
      <c r="G197" s="121" t="str">
        <f t="shared" si="61"/>
        <v>Daniel (Ferret)</v>
      </c>
      <c r="H197" s="122">
        <f>IF($D197="",0,IFERROR(LOOKUP(2,1/(($D$3:D196=$D197)*($A$3:A196&lt;$A197)),$N$3:N196),'Guide &amp; Settings'!$C$41))</f>
        <v>1015.1301297807206</v>
      </c>
      <c r="I197" s="123">
        <f t="shared" si="62"/>
        <v>0.22499999999999998</v>
      </c>
      <c r="J197" s="124">
        <f>IF($D197="",0,IF($F197&lt;2,0,IF($E197="Win",('Guide &amp; Settings'!$C$42/(($F197-1)*COUNTIFS($A$4:$A$1510,$A197,$E$4:$E$1510,"Win")))*SUMIFS($X$4:$X$1510,$A$4:$A$1510,$A197,$E$4:$E$1510,"Loss"),-('Guide &amp; Settings'!$C$42/($F197-1))*$X197)))</f>
        <v>5.4373453677876444</v>
      </c>
      <c r="K197" s="124">
        <f>IF($D197="",0,'Guide &amp; Settings'!$C$43*(IF($E197="Win",1,0)-$I197))</f>
        <v>9.3000000000000007</v>
      </c>
      <c r="L197" s="125">
        <f>IF($D197="",0,'Guide &amp; Settings'!$C$44*IF($F197&gt;=3,$F197,0))</f>
        <v>4</v>
      </c>
      <c r="M197" s="124">
        <f t="shared" si="63"/>
        <v>18.737345367787647</v>
      </c>
      <c r="N197" s="122">
        <f t="shared" si="64"/>
        <v>1033.8674751485082</v>
      </c>
      <c r="O197" s="121" t="str">
        <f t="shared" si="65"/>
        <v>OK (team)</v>
      </c>
      <c r="P197">
        <f t="shared" si="66"/>
        <v>1072.3626708572074</v>
      </c>
      <c r="Q197">
        <f t="shared" si="67"/>
        <v>0.4183727517691665</v>
      </c>
      <c r="R197">
        <f t="shared" si="68"/>
        <v>0.5</v>
      </c>
      <c r="S197">
        <f t="shared" si="69"/>
        <v>2.2222222222222223</v>
      </c>
      <c r="T197" s="89">
        <f t="shared" si="70"/>
        <v>6</v>
      </c>
      <c r="U197" s="126">
        <f>IF($D197="",0,IFERROR(LOOKUP(2,1/(($D$3:D196=$D197)*($C$3:C196=$C197)*($A$3:A196&lt;$A197)),$AB$3:AB196),1000))</f>
        <v>988.79248198280493</v>
      </c>
      <c r="V197" s="126">
        <f t="shared" si="71"/>
        <v>1000.7641400727666</v>
      </c>
      <c r="W197">
        <f t="shared" si="72"/>
        <v>1037.6869866753736</v>
      </c>
      <c r="X197">
        <f t="shared" si="73"/>
        <v>0.4470628903077305</v>
      </c>
      <c r="Y197">
        <f t="shared" si="74"/>
        <v>1012.0635223962095</v>
      </c>
      <c r="Z197">
        <f t="shared" si="75"/>
        <v>0.4665602721015174</v>
      </c>
      <c r="AA197">
        <f>IF($D197="",0,IF($F197&lt;2,0,IF($E197="Win",('Guide &amp; Settings'!$C$42/(($F197-1)*COUNTIFS($A$4:$A$1510,$A197,$E$4:$E$1510,"Win")))*SUMIFS($Z$4:$Z$1510,$A$4:$A$1510,$A197,$E$4:$E$1510,"Loss"),-('Guide &amp; Settings'!$C$42/($F197-1))*$Z197)))</f>
        <v>5.120688326447592</v>
      </c>
      <c r="AB197" s="126">
        <f t="shared" si="76"/>
        <v>993.91317030925256</v>
      </c>
      <c r="AC197" s="126">
        <f>IF($D197="","",IF($AD197=0,0,IF(COUNTIFS($D$4:$D197,$D197,$B$4:$B197,$B197)&gt;1,0,IF($B197&lt;'Guide &amp; Settings'!$C$50,0,IF(($B197-$AD197)/7-'Guide &amp; Settings'!$C$48&gt;=0,(INT(($B197-$AD197)/7-'Guide &amp; Settings'!$C$48)+1)*'Guide &amp; Settings'!$C$49,0)))))</f>
        <v>0</v>
      </c>
      <c r="AD197" s="142">
        <f t="shared" si="77"/>
        <v>46176</v>
      </c>
      <c r="AE197">
        <f t="shared" si="78"/>
        <v>2</v>
      </c>
      <c r="AF197">
        <f t="shared" si="79"/>
        <v>0</v>
      </c>
    </row>
    <row r="198" spans="1:32" ht="15" customHeight="1" x14ac:dyDescent="0.2">
      <c r="A198" s="117">
        <v>81</v>
      </c>
      <c r="B198" s="118">
        <v>46188</v>
      </c>
      <c r="C198" s="119" t="s">
        <v>49</v>
      </c>
      <c r="D198" s="119" t="s">
        <v>19</v>
      </c>
      <c r="E198" s="117" t="s">
        <v>371</v>
      </c>
      <c r="F198" s="120">
        <f t="shared" si="60"/>
        <v>4</v>
      </c>
      <c r="G198" s="121" t="str">
        <f t="shared" si="61"/>
        <v>Daniel (Ferret)</v>
      </c>
      <c r="H198" s="122">
        <f>IF($D198="",0,IFERROR(LOOKUP(2,1/(($D$3:D197=$D198)*($A$3:A197&lt;$A198)),$N$3:N197),'Guide &amp; Settings'!$C$41))</f>
        <v>1168.170776111107</v>
      </c>
      <c r="I198" s="123">
        <f t="shared" si="62"/>
        <v>0.22499999999999998</v>
      </c>
      <c r="J198" s="124">
        <f>IF($D198="",0,IF($F198&lt;2,0,IF($E198="Win",('Guide &amp; Settings'!$C$42/(($F198-1)*COUNTIFS($A$4:$A$1510,$A198,$E$4:$E$1510,"Win")))*SUMIFS($X$4:$X$1510,$A$4:$A$1510,$A198,$E$4:$E$1510,"Loss"),-('Guide &amp; Settings'!$C$42/($F198-1))*$X198)))</f>
        <v>-5.8495620220149274</v>
      </c>
      <c r="K198" s="124">
        <f>IF($D198="",0,'Guide &amp; Settings'!$C$43*(IF($E198="Win",1,0)-$I198))</f>
        <v>-2.6999999999999997</v>
      </c>
      <c r="L198" s="125">
        <f>IF($D198="",0,'Guide &amp; Settings'!$C$44*IF($F198&gt;=3,$F198,0))</f>
        <v>4</v>
      </c>
      <c r="M198" s="124">
        <f t="shared" si="63"/>
        <v>-4.5495620220149267</v>
      </c>
      <c r="N198" s="122">
        <f t="shared" si="64"/>
        <v>1163.6212140890921</v>
      </c>
      <c r="O198" s="121" t="str">
        <f t="shared" si="65"/>
        <v>OK (team)</v>
      </c>
      <c r="P198">
        <f t="shared" si="66"/>
        <v>1072.3626708572074</v>
      </c>
      <c r="Q198">
        <f t="shared" si="67"/>
        <v>0.63448719370922624</v>
      </c>
      <c r="R198">
        <f t="shared" si="68"/>
        <v>0.5</v>
      </c>
      <c r="S198">
        <f t="shared" si="69"/>
        <v>2.2222222222222223</v>
      </c>
      <c r="T198" s="89">
        <f t="shared" si="70"/>
        <v>6</v>
      </c>
      <c r="U198" s="126">
        <f>IF($D198="",0,IFERROR(LOOKUP(2,1/(($D$3:D197=$D198)*($C$3:C197=$C198)*($A$3:A197&lt;$A198)),$AB$3:AB197),1000))</f>
        <v>990.79782626498309</v>
      </c>
      <c r="V198" s="126">
        <f t="shared" si="71"/>
        <v>1071.4218943768576</v>
      </c>
      <c r="W198">
        <f t="shared" si="72"/>
        <v>1037.6869866753736</v>
      </c>
      <c r="X198">
        <f t="shared" si="73"/>
        <v>0.5483964395638995</v>
      </c>
      <c r="Y198">
        <f t="shared" si="74"/>
        <v>1012.0635223962095</v>
      </c>
      <c r="Z198">
        <f t="shared" si="75"/>
        <v>0.46943436371121494</v>
      </c>
      <c r="AA198">
        <f>IF($D198="",0,IF($F198&lt;2,0,IF($E198="Win",('Guide &amp; Settings'!$C$42/(($F198-1)*COUNTIFS($A$4:$A$1510,$A198,$E$4:$E$1510,"Win")))*SUMIFS($Z$4:$Z$1510,$A$4:$A$1510,$A198,$E$4:$E$1510,"Loss"),-('Guide &amp; Settings'!$C$42/($F198-1))*$Z198)))</f>
        <v>-5.0072998795862924</v>
      </c>
      <c r="AB198" s="126">
        <f t="shared" si="76"/>
        <v>985.79052638539679</v>
      </c>
      <c r="AC198" s="126">
        <f>IF($D198="","",IF($AD198=0,0,IF(COUNTIFS($D$4:$D198,$D198,$B$4:$B198,$B198)&gt;1,0,IF($B198&lt;'Guide &amp; Settings'!$C$50,0,IF(($B198-$AD198)/7-'Guide &amp; Settings'!$C$48&gt;=0,(INT(($B198-$AD198)/7-'Guide &amp; Settings'!$C$48)+1)*'Guide &amp; Settings'!$C$49,0)))))</f>
        <v>0</v>
      </c>
      <c r="AD198" s="142">
        <f t="shared" si="77"/>
        <v>46176</v>
      </c>
      <c r="AE198">
        <f t="shared" si="78"/>
        <v>2</v>
      </c>
      <c r="AF198">
        <f t="shared" si="79"/>
        <v>0</v>
      </c>
    </row>
    <row r="199" spans="1:32" ht="15" customHeight="1" x14ac:dyDescent="0.2">
      <c r="A199" s="117">
        <v>81</v>
      </c>
      <c r="B199" s="118">
        <v>46188</v>
      </c>
      <c r="C199" s="119" t="s">
        <v>49</v>
      </c>
      <c r="D199" s="119" t="s">
        <v>20</v>
      </c>
      <c r="E199" s="117" t="s">
        <v>371</v>
      </c>
      <c r="F199" s="120">
        <f t="shared" si="60"/>
        <v>4</v>
      </c>
      <c r="G199" s="121" t="str">
        <f t="shared" si="61"/>
        <v>Daniel (Ferret)</v>
      </c>
      <c r="H199" s="122">
        <f>IF($D199="",0,IFERROR(LOOKUP(2,1/(($D$3:D198=$D199)*($A$3:A198&lt;$A199)),$N$3:N198),'Guide &amp; Settings'!$C$41))</f>
        <v>1034.3729520459417</v>
      </c>
      <c r="I199" s="123">
        <f t="shared" si="62"/>
        <v>0.25</v>
      </c>
      <c r="J199" s="124">
        <f>IF($D199="",0,IF($F199&lt;2,0,IF($E199="Win",('Guide &amp; Settings'!$C$42/(($F199-1)*COUNTIFS($A$4:$A$1510,$A199,$E$4:$E$1510,"Win")))*SUMIFS($X$4:$X$1510,$A$4:$A$1510,$A199,$E$4:$E$1510,"Loss"),-('Guide &amp; Settings'!$C$42/($F199-1))*$X199)))</f>
        <v>-5.0251287135603615</v>
      </c>
      <c r="K199" s="124">
        <f>IF($D199="",0,'Guide &amp; Settings'!$C$43*(IF($E199="Win",1,0)-$I199))</f>
        <v>-3</v>
      </c>
      <c r="L199" s="125">
        <f>IF($D199="",0,'Guide &amp; Settings'!$C$44*IF($F199&gt;=3,$F199,0))</f>
        <v>4</v>
      </c>
      <c r="M199" s="124">
        <f t="shared" si="63"/>
        <v>-4.0251287135603615</v>
      </c>
      <c r="N199" s="122">
        <f t="shared" si="64"/>
        <v>1030.3478233323813</v>
      </c>
      <c r="O199" s="121" t="str">
        <f t="shared" si="65"/>
        <v>OK (team)</v>
      </c>
      <c r="P199">
        <f t="shared" si="66"/>
        <v>1072.3626708572074</v>
      </c>
      <c r="Q199">
        <f t="shared" si="67"/>
        <v>0.44554524625377467</v>
      </c>
      <c r="R199">
        <f t="shared" si="68"/>
        <v>0.55555555555555558</v>
      </c>
      <c r="S199">
        <f t="shared" si="69"/>
        <v>2.2222222222222223</v>
      </c>
      <c r="T199" s="89">
        <f t="shared" si="70"/>
        <v>7</v>
      </c>
      <c r="U199" s="126">
        <f>IF($D199="",0,IFERROR(LOOKUP(2,1/(($D$3:D198=$D199)*($C$3:C198=$C199)*($A$3:A198&lt;$A199)),$AB$3:AB198),1000))</f>
        <v>1005.5967892862501</v>
      </c>
      <c r="V199" s="126">
        <f t="shared" si="71"/>
        <v>1017.5868571027884</v>
      </c>
      <c r="W199">
        <f t="shared" si="72"/>
        <v>1037.6869866753736</v>
      </c>
      <c r="X199">
        <f t="shared" si="73"/>
        <v>0.47110581689628395</v>
      </c>
      <c r="Y199">
        <f t="shared" si="74"/>
        <v>1012.0635223962095</v>
      </c>
      <c r="Z199">
        <f t="shared" si="75"/>
        <v>0.49069469749770855</v>
      </c>
      <c r="AA199">
        <f>IF($D199="",0,IF($F199&lt;2,0,IF($E199="Win",('Guide &amp; Settings'!$C$42/(($F199-1)*COUNTIFS($A$4:$A$1510,$A199,$E$4:$E$1510,"Win")))*SUMIFS($Z$4:$Z$1510,$A$4:$A$1510,$A199,$E$4:$E$1510,"Loss"),-('Guide &amp; Settings'!$C$42/($F199-1))*$Z199)))</f>
        <v>-5.2340767733088907</v>
      </c>
      <c r="AB199" s="126">
        <f t="shared" si="76"/>
        <v>1000.3627125129412</v>
      </c>
      <c r="AC199" s="126">
        <f>IF($D199="","",IF($AD199=0,0,IF(COUNTIFS($D$4:$D199,$D199,$B$4:$B199,$B199)&gt;1,0,IF($B199&lt;'Guide &amp; Settings'!$C$50,0,IF(($B199-$AD199)/7-'Guide &amp; Settings'!$C$48&gt;=0,(INT(($B199-$AD199)/7-'Guide &amp; Settings'!$C$48)+1)*'Guide &amp; Settings'!$C$49,0)))))</f>
        <v>0</v>
      </c>
      <c r="AD199" s="142">
        <f t="shared" si="77"/>
        <v>46177</v>
      </c>
      <c r="AE199">
        <f t="shared" si="78"/>
        <v>2</v>
      </c>
      <c r="AF199">
        <f t="shared" si="79"/>
        <v>0</v>
      </c>
    </row>
    <row r="200" spans="1:32" ht="15" customHeight="1" x14ac:dyDescent="0.2">
      <c r="A200" s="117">
        <v>82</v>
      </c>
      <c r="B200" s="118">
        <v>46188</v>
      </c>
      <c r="C200" s="119" t="s">
        <v>49</v>
      </c>
      <c r="D200" s="119" t="s">
        <v>23</v>
      </c>
      <c r="E200" s="117" t="s">
        <v>370</v>
      </c>
      <c r="F200" s="120">
        <f t="shared" si="60"/>
        <v>4</v>
      </c>
      <c r="G200" s="121" t="str">
        <f t="shared" si="61"/>
        <v>Daniel (Ferret)</v>
      </c>
      <c r="H200" s="122">
        <f>IF($D200="",0,IFERROR(LOOKUP(2,1/(($D$3:D199=$D200)*($A$3:A199&lt;$A200)),$N$3:N199),'Guide &amp; Settings'!$C$41))</f>
        <v>1147.4325573014819</v>
      </c>
      <c r="I200" s="123">
        <f t="shared" si="62"/>
        <v>0.38066465256797583</v>
      </c>
      <c r="J200" s="124">
        <f>IF($D200="",0,IF($F200&lt;2,0,IF($E200="Win",('Guide &amp; Settings'!$C$42/(($F200-1)*COUNTIFS($A$4:$A$1510,$A200,$E$4:$E$1510,"Win")))*SUMIFS($X$4:$X$1510,$A$4:$A$1510,$A200,$E$4:$E$1510,"Loss"),-('Guide &amp; Settings'!$C$42/($F200-1))*$X200)))</f>
        <v>4.3109307535600321</v>
      </c>
      <c r="K200" s="124">
        <f>IF($D200="",0,'Guide &amp; Settings'!$C$43*(IF($E200="Win",1,0)-$I200))</f>
        <v>7.4320241691842908</v>
      </c>
      <c r="L200" s="125">
        <f>IF($D200="",0,'Guide &amp; Settings'!$C$44*IF($F200&gt;=3,$F200,0))</f>
        <v>4</v>
      </c>
      <c r="M200" s="124">
        <f t="shared" si="63"/>
        <v>15.742954922744323</v>
      </c>
      <c r="N200" s="122">
        <f t="shared" si="64"/>
        <v>1163.1755122242262</v>
      </c>
      <c r="O200" s="121" t="str">
        <f t="shared" si="65"/>
        <v>OK (team)</v>
      </c>
      <c r="P200">
        <f t="shared" si="66"/>
        <v>1090.6500162249949</v>
      </c>
      <c r="Q200">
        <f t="shared" si="67"/>
        <v>0.58099677312320663</v>
      </c>
      <c r="R200">
        <f t="shared" si="68"/>
        <v>0.7</v>
      </c>
      <c r="S200">
        <f t="shared" si="69"/>
        <v>1.8388888888888888</v>
      </c>
      <c r="T200" s="89">
        <f t="shared" si="70"/>
        <v>8</v>
      </c>
      <c r="U200" s="126">
        <f>IF($D200="",0,IFERROR(LOOKUP(2,1/(($D$3:D199=$D200)*($C$3:C199=$C200)*($A$3:A199&lt;$A200)),$AB$3:AB199),1000))</f>
        <v>1040.4552511360616</v>
      </c>
      <c r="V200" s="126">
        <f t="shared" si="71"/>
        <v>1081.6003688919925</v>
      </c>
      <c r="W200">
        <f t="shared" si="72"/>
        <v>1046.0805831088007</v>
      </c>
      <c r="X200">
        <f t="shared" si="73"/>
        <v>0.55093973327974444</v>
      </c>
      <c r="Y200">
        <f t="shared" si="74"/>
        <v>1017.1842107226571</v>
      </c>
      <c r="Z200">
        <f t="shared" si="75"/>
        <v>0.5334397278984826</v>
      </c>
      <c r="AA200">
        <f>IF($D200="",0,IF($F200&lt;2,0,IF($E200="Win",('Guide &amp; Settings'!$C$42/(($F200-1)*COUNTIFS($A$4:$A$1510,$A200,$E$4:$E$1510,"Win")))*SUMIFS($Z$4:$Z$1510,$A$4:$A$1510,$A200,$E$4:$E$1510,"Loss"),-('Guide &amp; Settings'!$C$42/($F200-1))*$Z200)))</f>
        <v>4.9124940952728142</v>
      </c>
      <c r="AB200" s="126">
        <f t="shared" si="76"/>
        <v>1045.3677452313345</v>
      </c>
      <c r="AC200" s="126">
        <f>IF($D200="","",IF($AD200=0,0,IF(COUNTIFS($D$4:$D200,$D200,$B$4:$B200,$B200)&gt;1,0,IF($B200&lt;'Guide &amp; Settings'!$C$50,0,IF(($B200-$AD200)/7-'Guide &amp; Settings'!$C$48&gt;=0,(INT(($B200-$AD200)/7-'Guide &amp; Settings'!$C$48)+1)*'Guide &amp; Settings'!$C$49,0)))))</f>
        <v>0</v>
      </c>
      <c r="AD200" s="142">
        <f t="shared" si="77"/>
        <v>46177</v>
      </c>
      <c r="AE200">
        <f t="shared" si="78"/>
        <v>2</v>
      </c>
      <c r="AF200">
        <f t="shared" si="79"/>
        <v>0</v>
      </c>
    </row>
    <row r="201" spans="1:32" ht="15" customHeight="1" x14ac:dyDescent="0.2">
      <c r="A201" s="117">
        <v>82</v>
      </c>
      <c r="B201" s="118">
        <v>46188</v>
      </c>
      <c r="C201" s="119" t="s">
        <v>49</v>
      </c>
      <c r="D201" s="119" t="s">
        <v>22</v>
      </c>
      <c r="E201" s="117" t="s">
        <v>370</v>
      </c>
      <c r="F201" s="120">
        <f t="shared" si="60"/>
        <v>4</v>
      </c>
      <c r="G201" s="121" t="str">
        <f t="shared" si="61"/>
        <v>Daniel (Ferret)</v>
      </c>
      <c r="H201" s="122">
        <f>IF($D201="",0,IFERROR(LOOKUP(2,1/(($D$3:D200=$D201)*($A$3:A200&lt;$A201)),$N$3:N200),'Guide &amp; Settings'!$C$41))</f>
        <v>1033.8674751485082</v>
      </c>
      <c r="I201" s="123">
        <f t="shared" si="62"/>
        <v>0.30211480362537768</v>
      </c>
      <c r="J201" s="124">
        <f>IF($D201="",0,IF($F201&lt;2,0,IF($E201="Win",('Guide &amp; Settings'!$C$42/(($F201-1)*COUNTIFS($A$4:$A$1510,$A201,$E$4:$E$1510,"Win")))*SUMIFS($X$4:$X$1510,$A$4:$A$1510,$A201,$E$4:$E$1510,"Loss"),-('Guide &amp; Settings'!$C$42/($F201-1))*$X201)))</f>
        <v>4.3109307535600321</v>
      </c>
      <c r="K201" s="124">
        <f>IF($D201="",0,'Guide &amp; Settings'!$C$43*(IF($E201="Win",1,0)-$I201))</f>
        <v>8.3746223564954683</v>
      </c>
      <c r="L201" s="125">
        <f>IF($D201="",0,'Guide &amp; Settings'!$C$44*IF($F201&gt;=3,$F201,0))</f>
        <v>4</v>
      </c>
      <c r="M201" s="124">
        <f t="shared" si="63"/>
        <v>16.685553110055501</v>
      </c>
      <c r="N201" s="122">
        <f t="shared" si="64"/>
        <v>1050.5530282585637</v>
      </c>
      <c r="O201" s="121" t="str">
        <f t="shared" si="65"/>
        <v>OK (team)</v>
      </c>
      <c r="P201">
        <f t="shared" si="66"/>
        <v>1090.6500162249949</v>
      </c>
      <c r="Q201">
        <f t="shared" si="67"/>
        <v>0.41900322687679376</v>
      </c>
      <c r="R201">
        <f t="shared" si="68"/>
        <v>0.55555555555555558</v>
      </c>
      <c r="S201">
        <f t="shared" si="69"/>
        <v>1.8388888888888888</v>
      </c>
      <c r="T201" s="89">
        <f t="shared" si="70"/>
        <v>7</v>
      </c>
      <c r="U201" s="126">
        <f>IF($D201="",0,IFERROR(LOOKUP(2,1/(($D$3:D200=$D201)*($C$3:C200=$C201)*($A$3:A200&lt;$A201)),$AB$3:AB200),1000))</f>
        <v>993.91317030925256</v>
      </c>
      <c r="V201" s="126">
        <f t="shared" si="71"/>
        <v>1010.560797325609</v>
      </c>
      <c r="W201">
        <f t="shared" si="72"/>
        <v>1046.0805831088007</v>
      </c>
      <c r="X201">
        <f t="shared" si="73"/>
        <v>0.44906026672025556</v>
      </c>
      <c r="Y201">
        <f t="shared" si="74"/>
        <v>1017.1842107226571</v>
      </c>
      <c r="Z201">
        <f t="shared" si="75"/>
        <v>0.4665602721015174</v>
      </c>
      <c r="AA201">
        <f>IF($D201="",0,IF($F201&lt;2,0,IF($E201="Win",('Guide &amp; Settings'!$C$42/(($F201-1)*COUNTIFS($A$4:$A$1510,$A201,$E$4:$E$1510,"Win")))*SUMIFS($Z$4:$Z$1510,$A$4:$A$1510,$A201,$E$4:$E$1510,"Loss"),-('Guide &amp; Settings'!$C$42/($F201-1))*$Z201)))</f>
        <v>4.9124940952728142</v>
      </c>
      <c r="AB201" s="126">
        <f t="shared" si="76"/>
        <v>998.82566440452536</v>
      </c>
      <c r="AC201" s="126">
        <f>IF($D201="","",IF($AD201=0,0,IF(COUNTIFS($D$4:$D201,$D201,$B$4:$B201,$B201)&gt;1,0,IF($B201&lt;'Guide &amp; Settings'!$C$50,0,IF(($B201-$AD201)/7-'Guide &amp; Settings'!$C$48&gt;=0,(INT(($B201-$AD201)/7-'Guide &amp; Settings'!$C$48)+1)*'Guide &amp; Settings'!$C$49,0)))))</f>
        <v>0</v>
      </c>
      <c r="AD201" s="142">
        <f t="shared" si="77"/>
        <v>46176</v>
      </c>
      <c r="AE201">
        <f t="shared" si="78"/>
        <v>2</v>
      </c>
      <c r="AF201">
        <f t="shared" si="79"/>
        <v>0</v>
      </c>
    </row>
    <row r="202" spans="1:32" ht="15" customHeight="1" x14ac:dyDescent="0.2">
      <c r="A202" s="117">
        <v>82</v>
      </c>
      <c r="B202" s="118">
        <v>46188</v>
      </c>
      <c r="C202" s="119" t="s">
        <v>49</v>
      </c>
      <c r="D202" s="119" t="s">
        <v>18</v>
      </c>
      <c r="E202" s="117" t="s">
        <v>371</v>
      </c>
      <c r="F202" s="120">
        <f t="shared" si="60"/>
        <v>4</v>
      </c>
      <c r="G202" s="121" t="str">
        <f t="shared" si="61"/>
        <v>Daniel (Ferret)</v>
      </c>
      <c r="H202" s="122">
        <f>IF($D202="",0,IFERROR(LOOKUP(2,1/(($D$3:D201=$D202)*($A$3:A201&lt;$A202)),$N$3:N201),'Guide &amp; Settings'!$C$41))</f>
        <v>945.01937787735187</v>
      </c>
      <c r="I202" s="123">
        <f t="shared" si="62"/>
        <v>0.18126888217522658</v>
      </c>
      <c r="J202" s="124">
        <f>IF($D202="",0,IF($F202&lt;2,0,IF($E202="Win",('Guide &amp; Settings'!$C$42/(($F202-1)*COUNTIFS($A$4:$A$1510,$A202,$E$4:$E$1510,"Win")))*SUMIFS($X$4:$X$1510,$A$4:$A$1510,$A202,$E$4:$E$1510,"Loss"),-('Guide &amp; Settings'!$C$42/($F202-1))*$X202)))</f>
        <v>-4.1091076794377219</v>
      </c>
      <c r="K202" s="124">
        <f>IF($D202="",0,'Guide &amp; Settings'!$C$43*(IF($E202="Win",1,0)-$I202))</f>
        <v>-2.1752265861027187</v>
      </c>
      <c r="L202" s="125">
        <f>IF($D202="",0,'Guide &amp; Settings'!$C$44*IF($F202&gt;=3,$F202,0))</f>
        <v>4</v>
      </c>
      <c r="M202" s="124">
        <f t="shared" si="63"/>
        <v>-2.2843342655404406</v>
      </c>
      <c r="N202" s="122">
        <f t="shared" si="64"/>
        <v>942.73504361181142</v>
      </c>
      <c r="O202" s="121" t="str">
        <f t="shared" si="65"/>
        <v>OK (team)</v>
      </c>
      <c r="P202">
        <f t="shared" si="66"/>
        <v>1090.6500162249949</v>
      </c>
      <c r="Q202">
        <f t="shared" si="67"/>
        <v>0.30188928944856136</v>
      </c>
      <c r="R202">
        <f t="shared" si="68"/>
        <v>0.33333333333333331</v>
      </c>
      <c r="S202">
        <f t="shared" si="69"/>
        <v>1.8388888888888888</v>
      </c>
      <c r="T202" s="89">
        <f t="shared" si="70"/>
        <v>4</v>
      </c>
      <c r="U202" s="126">
        <f>IF($D202="",0,IFERROR(LOOKUP(2,1/(($D$3:D201=$D202)*($C$3:C201=$C202)*($A$3:A201&lt;$A202)),$AB$3:AB201),1000))</f>
        <v>989.7118742606765</v>
      </c>
      <c r="V202" s="126">
        <f t="shared" si="71"/>
        <v>964.88270960327395</v>
      </c>
      <c r="W202">
        <f t="shared" si="72"/>
        <v>1046.0805831088007</v>
      </c>
      <c r="X202">
        <f t="shared" si="73"/>
        <v>0.38522884494728649</v>
      </c>
      <c r="Y202">
        <f t="shared" si="74"/>
        <v>1017.1842107226571</v>
      </c>
      <c r="Z202">
        <f t="shared" si="75"/>
        <v>0.46054632143182633</v>
      </c>
      <c r="AA202">
        <f>IF($D202="",0,IF($F202&lt;2,0,IF($E202="Win",('Guide &amp; Settings'!$C$42/(($F202-1)*COUNTIFS($A$4:$A$1510,$A202,$E$4:$E$1510,"Win")))*SUMIFS($Z$4:$Z$1510,$A$4:$A$1510,$A202,$E$4:$E$1510,"Loss"),-('Guide &amp; Settings'!$C$42/($F202-1))*$Z202)))</f>
        <v>-4.9124940952728142</v>
      </c>
      <c r="AB202" s="126">
        <f t="shared" si="76"/>
        <v>984.7993801654037</v>
      </c>
      <c r="AC202" s="126">
        <f>IF($D202="","",IF($AD202=0,0,IF(COUNTIFS($D$4:$D202,$D202,$B$4:$B202,$B202)&gt;1,0,IF($B202&lt;'Guide &amp; Settings'!$C$50,0,IF(($B202-$AD202)/7-'Guide &amp; Settings'!$C$48&gt;=0,(INT(($B202-$AD202)/7-'Guide &amp; Settings'!$C$48)+1)*'Guide &amp; Settings'!$C$49,0)))))</f>
        <v>0</v>
      </c>
      <c r="AD202" s="142">
        <f t="shared" si="77"/>
        <v>46175</v>
      </c>
      <c r="AE202">
        <f t="shared" si="78"/>
        <v>2</v>
      </c>
      <c r="AF202">
        <f t="shared" si="79"/>
        <v>0</v>
      </c>
    </row>
    <row r="203" spans="1:32" ht="15" customHeight="1" x14ac:dyDescent="0.2">
      <c r="A203" s="117">
        <v>82</v>
      </c>
      <c r="B203" s="118">
        <v>46188</v>
      </c>
      <c r="C203" s="119" t="s">
        <v>49</v>
      </c>
      <c r="D203" s="119" t="s">
        <v>26</v>
      </c>
      <c r="E203" s="117" t="s">
        <v>371</v>
      </c>
      <c r="F203" s="120">
        <f t="shared" si="60"/>
        <v>4</v>
      </c>
      <c r="G203" s="121" t="str">
        <f t="shared" si="61"/>
        <v>Daniel (Ferret)</v>
      </c>
      <c r="H203" s="122">
        <f>IF($D203="",0,IFERROR(LOOKUP(2,1/(($D$3:D202=$D203)*($A$3:A202&lt;$A203)),$N$3:N202),'Guide &amp; Settings'!$C$41))</f>
        <v>993.19063600806498</v>
      </c>
      <c r="I203" s="123">
        <f t="shared" si="62"/>
        <v>0.13595166163141995</v>
      </c>
      <c r="J203" s="124">
        <f>IF($D203="",0,IF($F203&lt;2,0,IF($E203="Win",('Guide &amp; Settings'!$C$42/(($F203-1)*COUNTIFS($A$4:$A$1510,$A203,$E$4:$E$1510,"Win")))*SUMIFS($X$4:$X$1510,$A$4:$A$1510,$A203,$E$4:$E$1510,"Loss"),-('Guide &amp; Settings'!$C$42/($F203-1))*$X203)))</f>
        <v>-4.5127538276823422</v>
      </c>
      <c r="K203" s="124">
        <f>IF($D203="",0,'Guide &amp; Settings'!$C$43*(IF($E203="Win",1,0)-$I203))</f>
        <v>-1.6314199395770395</v>
      </c>
      <c r="L203" s="125">
        <f>IF($D203="",0,'Guide &amp; Settings'!$C$44*IF($F203&gt;=3,$F203,0))</f>
        <v>4</v>
      </c>
      <c r="M203" s="124">
        <f t="shared" si="63"/>
        <v>-2.1441737672593817</v>
      </c>
      <c r="N203" s="122">
        <f t="shared" si="64"/>
        <v>991.04646224080557</v>
      </c>
      <c r="O203" s="121" t="str">
        <f t="shared" si="65"/>
        <v>OK (team)</v>
      </c>
      <c r="P203">
        <f t="shared" si="66"/>
        <v>1090.6500162249949</v>
      </c>
      <c r="Q203">
        <f t="shared" si="67"/>
        <v>0.36331118583142302</v>
      </c>
      <c r="R203">
        <f t="shared" si="68"/>
        <v>0.25</v>
      </c>
      <c r="S203">
        <f t="shared" si="69"/>
        <v>1.8388888888888888</v>
      </c>
      <c r="T203" s="89">
        <f t="shared" si="70"/>
        <v>2</v>
      </c>
      <c r="U203" s="126">
        <f>IF($D203="",0,IFERROR(LOOKUP(2,1/(($D$3:D202=$D203)*($C$3:C202=$C203)*($A$3:A202&lt;$A203)),$AB$3:AB202),1000))</f>
        <v>989.7118742606765</v>
      </c>
      <c r="V203" s="126">
        <f t="shared" si="71"/>
        <v>992.19670408023967</v>
      </c>
      <c r="W203">
        <f t="shared" si="72"/>
        <v>1046.0805831088007</v>
      </c>
      <c r="X203">
        <f t="shared" si="73"/>
        <v>0.42307067134521958</v>
      </c>
      <c r="Y203">
        <f t="shared" si="74"/>
        <v>1017.1842107226571</v>
      </c>
      <c r="Z203">
        <f t="shared" si="75"/>
        <v>0.46054632143182633</v>
      </c>
      <c r="AA203">
        <f>IF($D203="",0,IF($F203&lt;2,0,IF($E203="Win",('Guide &amp; Settings'!$C$42/(($F203-1)*COUNTIFS($A$4:$A$1510,$A203,$E$4:$E$1510,"Win")))*SUMIFS($Z$4:$Z$1510,$A$4:$A$1510,$A203,$E$4:$E$1510,"Loss"),-('Guide &amp; Settings'!$C$42/($F203-1))*$Z203)))</f>
        <v>-4.9124940952728142</v>
      </c>
      <c r="AB203" s="126">
        <f t="shared" si="76"/>
        <v>984.7993801654037</v>
      </c>
      <c r="AC203" s="126">
        <f>IF($D203="","",IF($AD203=0,0,IF(COUNTIFS($D$4:$D203,$D203,$B$4:$B203,$B203)&gt;1,0,IF($B203&lt;'Guide &amp; Settings'!$C$50,0,IF(($B203-$AD203)/7-'Guide &amp; Settings'!$C$48&gt;=0,(INT(($B203-$AD203)/7-'Guide &amp; Settings'!$C$48)+1)*'Guide &amp; Settings'!$C$49,0)))))</f>
        <v>0</v>
      </c>
      <c r="AD203" s="142">
        <f t="shared" si="77"/>
        <v>0</v>
      </c>
      <c r="AE203">
        <f t="shared" si="78"/>
        <v>2</v>
      </c>
      <c r="AF203">
        <f t="shared" si="79"/>
        <v>0</v>
      </c>
    </row>
    <row r="204" spans="1:32" ht="15" customHeight="1" x14ac:dyDescent="0.2">
      <c r="A204" s="117">
        <v>83</v>
      </c>
      <c r="B204" s="118">
        <v>46188</v>
      </c>
      <c r="C204" s="119" t="s">
        <v>49</v>
      </c>
      <c r="D204" s="119" t="s">
        <v>15</v>
      </c>
      <c r="E204" s="117" t="s">
        <v>370</v>
      </c>
      <c r="F204" s="120">
        <f t="shared" si="60"/>
        <v>4</v>
      </c>
      <c r="G204" s="121" t="str">
        <f t="shared" si="61"/>
        <v>Beau</v>
      </c>
      <c r="H204" s="122">
        <f>IF($D204="",0,IFERROR(LOOKUP(2,1/(($D$3:D203=$D204)*($A$3:A203&lt;$A204)),$N$3:N203),'Guide &amp; Settings'!$C$41))</f>
        <v>1021.6565254856358</v>
      </c>
      <c r="I204" s="123">
        <f t="shared" si="62"/>
        <v>8.0695870886606583E-2</v>
      </c>
      <c r="J204" s="124">
        <f>IF($D204="",0,IF($F204&lt;2,0,IF($E204="Win",('Guide &amp; Settings'!$C$42/(($F204-1)*COUNTIFS($A$4:$A$1510,$A204,$E$4:$E$1510,"Win")))*SUMIFS($X$4:$X$1510,$A$4:$A$1510,$A204,$E$4:$E$1510,"Loss"),-('Guide &amp; Settings'!$C$42/($F204-1))*$X204)))</f>
        <v>6.0333272979390955</v>
      </c>
      <c r="K204" s="124">
        <f>IF($D204="",0,'Guide &amp; Settings'!$C$43*(IF($E204="Win",1,0)-$I204))</f>
        <v>11.031649549360722</v>
      </c>
      <c r="L204" s="125">
        <f>IF($D204="",0,'Guide &amp; Settings'!$C$44*IF($F204&gt;=3,$F204,0))</f>
        <v>4</v>
      </c>
      <c r="M204" s="124">
        <f t="shared" si="63"/>
        <v>21.064976847299818</v>
      </c>
      <c r="N204" s="122">
        <f t="shared" si="64"/>
        <v>1042.7215023329356</v>
      </c>
      <c r="O204" s="121" t="str">
        <f t="shared" si="65"/>
        <v>OK (team)</v>
      </c>
      <c r="P204">
        <f t="shared" si="66"/>
        <v>1022.4011355112518</v>
      </c>
      <c r="Q204">
        <f t="shared" si="67"/>
        <v>0.4989284216749606</v>
      </c>
      <c r="R204">
        <f t="shared" si="68"/>
        <v>0.16666666666666666</v>
      </c>
      <c r="S204">
        <f t="shared" si="69"/>
        <v>2.0653679653679653</v>
      </c>
      <c r="T204" s="89">
        <f t="shared" si="70"/>
        <v>4</v>
      </c>
      <c r="U204" s="126">
        <f>IF($D204="",0,IFERROR(LOOKUP(2,1/(($D$3:D203=$D204)*($C$3:C203=$C204)*($A$3:A203&lt;$A204)),$AB$3:AB203),1000))</f>
        <v>959.54801353033133</v>
      </c>
      <c r="V204" s="126">
        <f t="shared" si="71"/>
        <v>994.05274239438938</v>
      </c>
      <c r="W204">
        <f t="shared" si="72"/>
        <v>1006.7688790020565</v>
      </c>
      <c r="X204">
        <f t="shared" si="73"/>
        <v>0.48170817530796478</v>
      </c>
      <c r="Y204">
        <f t="shared" si="74"/>
        <v>987.68614960645527</v>
      </c>
      <c r="Z204">
        <f t="shared" si="75"/>
        <v>0.45959426976874912</v>
      </c>
      <c r="AA204">
        <f>IF($D204="",0,IF($F204&lt;2,0,IF($E204="Win",('Guide &amp; Settings'!$C$42/(($F204-1)*COUNTIFS($A$4:$A$1510,$A204,$E$4:$E$1510,"Win")))*SUMIFS($Z$4:$Z$1510,$A$4:$A$1510,$A204,$E$4:$E$1510,"Loss"),-('Guide &amp; Settings'!$C$42/($F204-1))*$Z204)))</f>
        <v>5.8575023599757596</v>
      </c>
      <c r="AB204" s="126">
        <f t="shared" si="76"/>
        <v>965.40551589030713</v>
      </c>
      <c r="AC204" s="126">
        <f>IF($D204="","",IF($AD204=0,0,IF(COUNTIFS($D$4:$D204,$D204,$B$4:$B204,$B204)&gt;1,0,IF($B204&lt;'Guide &amp; Settings'!$C$50,0,IF(($B204-$AD204)/7-'Guide &amp; Settings'!$C$48&gt;=0,(INT(($B204-$AD204)/7-'Guide &amp; Settings'!$C$48)+1)*'Guide &amp; Settings'!$C$49,0)))))</f>
        <v>0</v>
      </c>
      <c r="AD204" s="142">
        <f t="shared" si="77"/>
        <v>46175</v>
      </c>
      <c r="AE204">
        <f t="shared" si="78"/>
        <v>2</v>
      </c>
      <c r="AF204">
        <f t="shared" si="79"/>
        <v>0</v>
      </c>
    </row>
    <row r="205" spans="1:32" ht="15" customHeight="1" x14ac:dyDescent="0.2">
      <c r="A205" s="117">
        <v>83</v>
      </c>
      <c r="B205" s="118">
        <v>46188</v>
      </c>
      <c r="C205" s="119" t="s">
        <v>49</v>
      </c>
      <c r="D205" s="119" t="s">
        <v>16</v>
      </c>
      <c r="E205" s="117" t="s">
        <v>370</v>
      </c>
      <c r="F205" s="120">
        <f t="shared" si="60"/>
        <v>4</v>
      </c>
      <c r="G205" s="121" t="str">
        <f t="shared" si="61"/>
        <v>Beau</v>
      </c>
      <c r="H205" s="122">
        <f>IF($D205="",0,IFERROR(LOOKUP(2,1/(($D$3:D204=$D205)*($A$3:A204&lt;$A205)),$N$3:N204),'Guide &amp; Settings'!$C$41))</f>
        <v>1023.1457455368679</v>
      </c>
      <c r="I205" s="123">
        <f t="shared" si="62"/>
        <v>0.2766715573255083</v>
      </c>
      <c r="J205" s="124">
        <f>IF($D205="",0,IF($F205&lt;2,0,IF($E205="Win",('Guide &amp; Settings'!$C$42/(($F205-1)*COUNTIFS($A$4:$A$1510,$A205,$E$4:$E$1510,"Win")))*SUMIFS($X$4:$X$1510,$A$4:$A$1510,$A205,$E$4:$E$1510,"Loss"),-('Guide &amp; Settings'!$C$42/($F205-1))*$X205)))</f>
        <v>6.0333272979390955</v>
      </c>
      <c r="K205" s="124">
        <f>IF($D205="",0,'Guide &amp; Settings'!$C$43*(IF($E205="Win",1,0)-$I205))</f>
        <v>8.6799413120939004</v>
      </c>
      <c r="L205" s="125">
        <f>IF($D205="",0,'Guide &amp; Settings'!$C$44*IF($F205&gt;=3,$F205,0))</f>
        <v>4</v>
      </c>
      <c r="M205" s="124">
        <f t="shared" si="63"/>
        <v>18.713268610032998</v>
      </c>
      <c r="N205" s="122">
        <f t="shared" si="64"/>
        <v>1041.859014146901</v>
      </c>
      <c r="O205" s="121" t="str">
        <f t="shared" si="65"/>
        <v>OK (team)</v>
      </c>
      <c r="P205">
        <f t="shared" si="66"/>
        <v>1022.4011355112518</v>
      </c>
      <c r="Q205">
        <f t="shared" si="67"/>
        <v>0.50107157832503957</v>
      </c>
      <c r="R205">
        <f t="shared" si="68"/>
        <v>0.5714285714285714</v>
      </c>
      <c r="S205">
        <f t="shared" si="69"/>
        <v>2.0653679653679653</v>
      </c>
      <c r="T205" s="89">
        <f t="shared" si="70"/>
        <v>5</v>
      </c>
      <c r="U205" s="126">
        <f>IF($D205="",0,IFERROR(LOOKUP(2,1/(($D$3:D204=$D205)*($C$3:C204=$C205)*($A$3:A204&lt;$A205)),$AB$3:AB204),1000))</f>
        <v>1015.8242856825791</v>
      </c>
      <c r="V205" s="126">
        <f t="shared" si="71"/>
        <v>1019.4850156097235</v>
      </c>
      <c r="W205">
        <f t="shared" si="72"/>
        <v>1006.7688790020565</v>
      </c>
      <c r="X205">
        <f t="shared" si="73"/>
        <v>0.51829182469203516</v>
      </c>
      <c r="Y205">
        <f t="shared" si="74"/>
        <v>987.68614960645527</v>
      </c>
      <c r="Z205">
        <f t="shared" si="75"/>
        <v>0.54040573023125071</v>
      </c>
      <c r="AA205">
        <f>IF($D205="",0,IF($F205&lt;2,0,IF($E205="Win",('Guide &amp; Settings'!$C$42/(($F205-1)*COUNTIFS($A$4:$A$1510,$A205,$E$4:$E$1510,"Win")))*SUMIFS($Z$4:$Z$1510,$A$4:$A$1510,$A205,$E$4:$E$1510,"Loss"),-('Guide &amp; Settings'!$C$42/($F205-1))*$Z205)))</f>
        <v>5.8575023599757596</v>
      </c>
      <c r="AB205" s="126">
        <f t="shared" si="76"/>
        <v>1021.6817880425549</v>
      </c>
      <c r="AC205" s="126">
        <f>IF($D205="","",IF($AD205=0,0,IF(COUNTIFS($D$4:$D205,$D205,$B$4:$B205,$B205)&gt;1,0,IF($B205&lt;'Guide &amp; Settings'!$C$50,0,IF(($B205-$AD205)/7-'Guide &amp; Settings'!$C$48&gt;=0,(INT(($B205-$AD205)/7-'Guide &amp; Settings'!$C$48)+1)*'Guide &amp; Settings'!$C$49,0)))))</f>
        <v>0</v>
      </c>
      <c r="AD205" s="142">
        <f t="shared" si="77"/>
        <v>46177</v>
      </c>
      <c r="AE205">
        <f t="shared" si="78"/>
        <v>2</v>
      </c>
      <c r="AF205">
        <f t="shared" si="79"/>
        <v>0</v>
      </c>
    </row>
    <row r="206" spans="1:32" ht="15" customHeight="1" x14ac:dyDescent="0.2">
      <c r="A206" s="117">
        <v>83</v>
      </c>
      <c r="B206" s="118">
        <v>46188</v>
      </c>
      <c r="C206" s="119" t="s">
        <v>49</v>
      </c>
      <c r="D206" s="119" t="s">
        <v>23</v>
      </c>
      <c r="E206" s="117" t="s">
        <v>371</v>
      </c>
      <c r="F206" s="120">
        <f t="shared" si="60"/>
        <v>4</v>
      </c>
      <c r="G206" s="121" t="str">
        <f t="shared" si="61"/>
        <v>Beau</v>
      </c>
      <c r="H206" s="122">
        <f>IF($D206="",0,IFERROR(LOOKUP(2,1/(($D$3:D205=$D206)*($A$3:A205&lt;$A206)),$N$3:N205),'Guide &amp; Settings'!$C$41))</f>
        <v>1163.1755122242262</v>
      </c>
      <c r="I206" s="123">
        <f t="shared" si="62"/>
        <v>0.35212743659610146</v>
      </c>
      <c r="J206" s="124">
        <f>IF($D206="",0,IF($F206&lt;2,0,IF($E206="Win",('Guide &amp; Settings'!$C$42/(($F206-1)*COUNTIFS($A$4:$A$1510,$A206,$E$4:$E$1510,"Win")))*SUMIFS($X$4:$X$1510,$A$4:$A$1510,$A206,$E$4:$E$1510,"Loss"),-('Guide &amp; Settings'!$C$42/($F206-1))*$X206)))</f>
        <v>-6.5499247656734711</v>
      </c>
      <c r="K206" s="124">
        <f>IF($D206="",0,'Guide &amp; Settings'!$C$43*(IF($E206="Win",1,0)-$I206))</f>
        <v>-4.225529239153218</v>
      </c>
      <c r="L206" s="125">
        <f>IF($D206="",0,'Guide &amp; Settings'!$C$44*IF($F206&gt;=3,$F206,0))</f>
        <v>4</v>
      </c>
      <c r="M206" s="124">
        <f t="shared" si="63"/>
        <v>-6.7754540048266882</v>
      </c>
      <c r="N206" s="122">
        <f t="shared" si="64"/>
        <v>1156.4000582193994</v>
      </c>
      <c r="O206" s="121" t="str">
        <f t="shared" si="65"/>
        <v>OK (team)</v>
      </c>
      <c r="P206">
        <f t="shared" si="66"/>
        <v>1022.4011355112518</v>
      </c>
      <c r="Q206">
        <f t="shared" si="67"/>
        <v>0.69218673551103338</v>
      </c>
      <c r="R206">
        <f t="shared" si="68"/>
        <v>0.72727272727272729</v>
      </c>
      <c r="S206">
        <f t="shared" si="69"/>
        <v>2.0653679653679653</v>
      </c>
      <c r="T206" s="89">
        <f t="shared" si="70"/>
        <v>9</v>
      </c>
      <c r="U206" s="126">
        <f>IF($D206="",0,IFERROR(LOOKUP(2,1/(($D$3:D205=$D206)*($C$3:C205=$C206)*($A$3:A205&lt;$A206)),$AB$3:AB205),1000))</f>
        <v>1045.3677452313345</v>
      </c>
      <c r="V206" s="126">
        <f t="shared" si="71"/>
        <v>1087.4419477287959</v>
      </c>
      <c r="W206">
        <f t="shared" si="72"/>
        <v>1006.7688790020565</v>
      </c>
      <c r="X206">
        <f t="shared" si="73"/>
        <v>0.61405544678188795</v>
      </c>
      <c r="Y206">
        <f t="shared" si="74"/>
        <v>987.68614960645527</v>
      </c>
      <c r="Z206">
        <f t="shared" si="75"/>
        <v>0.58225613298011458</v>
      </c>
      <c r="AA206">
        <f>IF($D206="",0,IF($F206&lt;2,0,IF($E206="Win",('Guide &amp; Settings'!$C$42/(($F206-1)*COUNTIFS($A$4:$A$1510,$A206,$E$4:$E$1510,"Win")))*SUMIFS($Z$4:$Z$1510,$A$4:$A$1510,$A206,$E$4:$E$1510,"Loss"),-('Guide &amp; Settings'!$C$42/($F206-1))*$Z206)))</f>
        <v>-6.2107320851212222</v>
      </c>
      <c r="AB206" s="126">
        <f t="shared" si="76"/>
        <v>1039.1570131462133</v>
      </c>
      <c r="AC206" s="126">
        <f>IF($D206="","",IF($AD206=0,0,IF(COUNTIFS($D$4:$D206,$D206,$B$4:$B206,$B206)&gt;1,0,IF($B206&lt;'Guide &amp; Settings'!$C$50,0,IF(($B206-$AD206)/7-'Guide &amp; Settings'!$C$48&gt;=0,(INT(($B206-$AD206)/7-'Guide &amp; Settings'!$C$48)+1)*'Guide &amp; Settings'!$C$49,0)))))</f>
        <v>0</v>
      </c>
      <c r="AD206" s="142">
        <f t="shared" si="77"/>
        <v>46177</v>
      </c>
      <c r="AE206">
        <f t="shared" si="78"/>
        <v>2</v>
      </c>
      <c r="AF206">
        <f t="shared" si="79"/>
        <v>0</v>
      </c>
    </row>
    <row r="207" spans="1:32" ht="15" customHeight="1" x14ac:dyDescent="0.2">
      <c r="A207" s="117">
        <v>83</v>
      </c>
      <c r="B207" s="118">
        <v>46188</v>
      </c>
      <c r="C207" s="119" t="s">
        <v>49</v>
      </c>
      <c r="D207" s="119" t="s">
        <v>22</v>
      </c>
      <c r="E207" s="117" t="s">
        <v>371</v>
      </c>
      <c r="F207" s="120">
        <f t="shared" si="60"/>
        <v>4</v>
      </c>
      <c r="G207" s="121" t="str">
        <f t="shared" si="61"/>
        <v>Beau</v>
      </c>
      <c r="H207" s="122">
        <f>IF($D207="",0,IFERROR(LOOKUP(2,1/(($D$3:D206=$D207)*($A$3:A206&lt;$A207)),$N$3:N206),'Guide &amp; Settings'!$C$41))</f>
        <v>1050.5530282585637</v>
      </c>
      <c r="I207" s="123">
        <f t="shared" si="62"/>
        <v>0.29050513519178367</v>
      </c>
      <c r="J207" s="124">
        <f>IF($D207="",0,IF($F207&lt;2,0,IF($E207="Win",('Guide &amp; Settings'!$C$42/(($F207-1)*COUNTIFS($A$4:$A$1510,$A207,$E$4:$E$1510,"Win")))*SUMIFS($X$4:$X$1510,$A$4:$A$1510,$A207,$E$4:$E$1510,"Loss"),-('Guide &amp; Settings'!$C$42/($F207-1))*$X207)))</f>
        <v>-5.516729830204719</v>
      </c>
      <c r="K207" s="124">
        <f>IF($D207="",0,'Guide &amp; Settings'!$C$43*(IF($E207="Win",1,0)-$I207))</f>
        <v>-3.486061622301404</v>
      </c>
      <c r="L207" s="125">
        <f>IF($D207="",0,'Guide &amp; Settings'!$C$44*IF($F207&gt;=3,$F207,0))</f>
        <v>4</v>
      </c>
      <c r="M207" s="124">
        <f t="shared" si="63"/>
        <v>-5.0027914525061234</v>
      </c>
      <c r="N207" s="122">
        <f t="shared" si="64"/>
        <v>1045.5502368060577</v>
      </c>
      <c r="O207" s="121" t="str">
        <f t="shared" si="65"/>
        <v>OK (team)</v>
      </c>
      <c r="P207">
        <f t="shared" si="66"/>
        <v>1022.4011355112518</v>
      </c>
      <c r="Q207">
        <f t="shared" si="67"/>
        <v>0.54042539832252778</v>
      </c>
      <c r="R207">
        <f t="shared" si="68"/>
        <v>0.6</v>
      </c>
      <c r="S207">
        <f t="shared" si="69"/>
        <v>2.0653679653679653</v>
      </c>
      <c r="T207" s="89">
        <f t="shared" si="70"/>
        <v>8</v>
      </c>
      <c r="U207" s="126">
        <f>IF($D207="",0,IFERROR(LOOKUP(2,1/(($D$3:D206=$D207)*($C$3:C206=$C207)*($A$3:A206&lt;$A207)),$AB$3:AB206),1000))</f>
        <v>998.82566440452536</v>
      </c>
      <c r="V207" s="126">
        <f t="shared" si="71"/>
        <v>1018.7208043483863</v>
      </c>
      <c r="W207">
        <f t="shared" si="72"/>
        <v>1006.7688790020565</v>
      </c>
      <c r="X207">
        <f t="shared" si="73"/>
        <v>0.51719342158169246</v>
      </c>
      <c r="Y207">
        <f t="shared" si="74"/>
        <v>987.68614960645527</v>
      </c>
      <c r="Z207">
        <f t="shared" si="75"/>
        <v>0.51602555951534046</v>
      </c>
      <c r="AA207">
        <f>IF($D207="",0,IF($F207&lt;2,0,IF($E207="Win",('Guide &amp; Settings'!$C$42/(($F207-1)*COUNTIFS($A$4:$A$1510,$A207,$E$4:$E$1510,"Win")))*SUMIFS($Z$4:$Z$1510,$A$4:$A$1510,$A207,$E$4:$E$1510,"Loss"),-('Guide &amp; Settings'!$C$42/($F207-1))*$Z207)))</f>
        <v>-5.5042726348302979</v>
      </c>
      <c r="AB207" s="126">
        <f t="shared" si="76"/>
        <v>993.32139176969508</v>
      </c>
      <c r="AC207" s="126">
        <f>IF($D207="","",IF($AD207=0,0,IF(COUNTIFS($D$4:$D207,$D207,$B$4:$B207,$B207)&gt;1,0,IF($B207&lt;'Guide &amp; Settings'!$C$50,0,IF(($B207-$AD207)/7-'Guide &amp; Settings'!$C$48&gt;=0,(INT(($B207-$AD207)/7-'Guide &amp; Settings'!$C$48)+1)*'Guide &amp; Settings'!$C$49,0)))))</f>
        <v>0</v>
      </c>
      <c r="AD207" s="142">
        <f t="shared" si="77"/>
        <v>46176</v>
      </c>
      <c r="AE207">
        <f t="shared" si="78"/>
        <v>2</v>
      </c>
      <c r="AF207">
        <f t="shared" si="79"/>
        <v>0</v>
      </c>
    </row>
    <row r="208" spans="1:32" ht="15" customHeight="1" x14ac:dyDescent="0.2">
      <c r="A208" s="117">
        <v>84</v>
      </c>
      <c r="B208" s="118">
        <v>46188</v>
      </c>
      <c r="C208" s="119" t="s">
        <v>49</v>
      </c>
      <c r="D208" s="119" t="s">
        <v>15</v>
      </c>
      <c r="E208" s="117" t="s">
        <v>370</v>
      </c>
      <c r="F208" s="120">
        <f t="shared" si="60"/>
        <v>4</v>
      </c>
      <c r="G208" s="121" t="str">
        <f t="shared" si="61"/>
        <v>Beau</v>
      </c>
      <c r="H208" s="122">
        <f>IF($D208="",0,IFERROR(LOOKUP(2,1/(($D$3:D207=$D208)*($A$3:A207&lt;$A208)),$N$3:N207),'Guide &amp; Settings'!$C$41))</f>
        <v>1042.7215023329356</v>
      </c>
      <c r="I208" s="123">
        <f t="shared" si="62"/>
        <v>0.13462783171521034</v>
      </c>
      <c r="J208" s="124">
        <f>IF($D208="",0,IF($F208&lt;2,0,IF($E208="Win",('Guide &amp; Settings'!$C$42/(($F208-1)*COUNTIFS($A$4:$A$1510,$A208,$E$4:$E$1510,"Win")))*SUMIFS($X$4:$X$1510,$A$4:$A$1510,$A208,$E$4:$E$1510,"Loss"),-('Guide &amp; Settings'!$C$42/($F208-1))*$X208)))</f>
        <v>5.5547003773475652</v>
      </c>
      <c r="K208" s="124">
        <f>IF($D208="",0,'Guide &amp; Settings'!$C$43*(IF($E208="Win",1,0)-$I208))</f>
        <v>10.384466019417477</v>
      </c>
      <c r="L208" s="125">
        <f>IF($D208="",0,'Guide &amp; Settings'!$C$44*IF($F208&gt;=3,$F208,0))</f>
        <v>4</v>
      </c>
      <c r="M208" s="124">
        <f t="shared" si="63"/>
        <v>19.939166396765042</v>
      </c>
      <c r="N208" s="122">
        <f t="shared" si="64"/>
        <v>1062.6606687297008</v>
      </c>
      <c r="O208" s="121" t="str">
        <f t="shared" si="65"/>
        <v>OK (team)</v>
      </c>
      <c r="P208">
        <f t="shared" si="66"/>
        <v>1042.2902582399183</v>
      </c>
      <c r="Q208">
        <f t="shared" si="67"/>
        <v>0.50062060981880507</v>
      </c>
      <c r="R208">
        <f t="shared" si="68"/>
        <v>0.2857142857142857</v>
      </c>
      <c r="S208">
        <f t="shared" si="69"/>
        <v>2.1222527472527473</v>
      </c>
      <c r="T208" s="89">
        <f t="shared" si="70"/>
        <v>5</v>
      </c>
      <c r="U208" s="126">
        <f>IF($D208="",0,IFERROR(LOOKUP(2,1/(($D$3:D207=$D208)*($C$3:C207=$C208)*($A$3:A207&lt;$A208)),$AB$3:AB207),1000))</f>
        <v>965.40551589030713</v>
      </c>
      <c r="V208" s="126">
        <f t="shared" si="71"/>
        <v>1004.0635091116214</v>
      </c>
      <c r="W208">
        <f t="shared" si="72"/>
        <v>1017.4583817826214</v>
      </c>
      <c r="X208">
        <f t="shared" si="73"/>
        <v>0.48073277383189922</v>
      </c>
      <c r="Y208">
        <f t="shared" si="74"/>
        <v>993.54365196643107</v>
      </c>
      <c r="Z208">
        <f t="shared" si="75"/>
        <v>0.45959426976874912</v>
      </c>
      <c r="AA208">
        <f>IF($D208="",0,IF($F208&lt;2,0,IF($E208="Win",('Guide &amp; Settings'!$C$42/(($F208-1)*COUNTIFS($A$4:$A$1510,$A208,$E$4:$E$1510,"Win")))*SUMIFS($Z$4:$Z$1510,$A$4:$A$1510,$A208,$E$4:$E$1510,"Loss"),-('Guide &amp; Settings'!$C$42/($F208-1))*$Z208)))</f>
        <v>5.6660298706239702</v>
      </c>
      <c r="AB208" s="126">
        <f t="shared" si="76"/>
        <v>971.07154576093114</v>
      </c>
      <c r="AC208" s="126">
        <f>IF($D208="","",IF($AD208=0,0,IF(COUNTIFS($D$4:$D208,$D208,$B$4:$B208,$B208)&gt;1,0,IF($B208&lt;'Guide &amp; Settings'!$C$50,0,IF(($B208-$AD208)/7-'Guide &amp; Settings'!$C$48&gt;=0,(INT(($B208-$AD208)/7-'Guide &amp; Settings'!$C$48)+1)*'Guide &amp; Settings'!$C$49,0)))))</f>
        <v>0</v>
      </c>
      <c r="AD208" s="142">
        <f t="shared" si="77"/>
        <v>46175</v>
      </c>
      <c r="AE208">
        <f t="shared" si="78"/>
        <v>2</v>
      </c>
      <c r="AF208">
        <f t="shared" si="79"/>
        <v>0</v>
      </c>
    </row>
    <row r="209" spans="1:32" ht="15" customHeight="1" x14ac:dyDescent="0.2">
      <c r="A209" s="117">
        <v>84</v>
      </c>
      <c r="B209" s="118">
        <v>46188</v>
      </c>
      <c r="C209" s="119" t="s">
        <v>49</v>
      </c>
      <c r="D209" s="119" t="s">
        <v>16</v>
      </c>
      <c r="E209" s="117" t="s">
        <v>370</v>
      </c>
      <c r="F209" s="120">
        <f t="shared" si="60"/>
        <v>4</v>
      </c>
      <c r="G209" s="121" t="str">
        <f t="shared" si="61"/>
        <v>Beau</v>
      </c>
      <c r="H209" s="122">
        <f>IF($D209="",0,IFERROR(LOOKUP(2,1/(($D$3:D208=$D209)*($A$3:A208&lt;$A209)),$N$3:N208),'Guide &amp; Settings'!$C$41))</f>
        <v>1041.859014146901</v>
      </c>
      <c r="I209" s="123">
        <f t="shared" si="62"/>
        <v>0.29449838187702265</v>
      </c>
      <c r="J209" s="124">
        <f>IF($D209="",0,IF($F209&lt;2,0,IF($E209="Win",('Guide &amp; Settings'!$C$42/(($F209-1)*COUNTIFS($A$4:$A$1510,$A209,$E$4:$E$1510,"Win")))*SUMIFS($X$4:$X$1510,$A$4:$A$1510,$A209,$E$4:$E$1510,"Loss"),-('Guide &amp; Settings'!$C$42/($F209-1))*$X209)))</f>
        <v>5.5547003773475652</v>
      </c>
      <c r="K209" s="124">
        <f>IF($D209="",0,'Guide &amp; Settings'!$C$43*(IF($E209="Win",1,0)-$I209))</f>
        <v>8.4660194174757279</v>
      </c>
      <c r="L209" s="125">
        <f>IF($D209="",0,'Guide &amp; Settings'!$C$44*IF($F209&gt;=3,$F209,0))</f>
        <v>4</v>
      </c>
      <c r="M209" s="124">
        <f t="shared" si="63"/>
        <v>18.020719794823293</v>
      </c>
      <c r="N209" s="122">
        <f t="shared" si="64"/>
        <v>1059.8797339417242</v>
      </c>
      <c r="O209" s="121" t="str">
        <f t="shared" si="65"/>
        <v>OK (team)</v>
      </c>
      <c r="P209">
        <f t="shared" si="66"/>
        <v>1042.2902582399183</v>
      </c>
      <c r="Q209">
        <f t="shared" si="67"/>
        <v>0.49937939018119487</v>
      </c>
      <c r="R209">
        <f t="shared" si="68"/>
        <v>0.625</v>
      </c>
      <c r="S209">
        <f t="shared" si="69"/>
        <v>2.1222527472527473</v>
      </c>
      <c r="T209" s="89">
        <f t="shared" si="70"/>
        <v>6</v>
      </c>
      <c r="U209" s="126">
        <f>IF($D209="",0,IFERROR(LOOKUP(2,1/(($D$3:D208=$D209)*($C$3:C208=$C209)*($A$3:A208&lt;$A209)),$AB$3:AB208),1000))</f>
        <v>1021.6817880425549</v>
      </c>
      <c r="V209" s="126">
        <f t="shared" si="71"/>
        <v>1030.8532544536213</v>
      </c>
      <c r="W209">
        <f t="shared" si="72"/>
        <v>1017.4583817826214</v>
      </c>
      <c r="X209">
        <f t="shared" si="73"/>
        <v>0.51926722616810084</v>
      </c>
      <c r="Y209">
        <f t="shared" si="74"/>
        <v>993.54365196643107</v>
      </c>
      <c r="Z209">
        <f t="shared" si="75"/>
        <v>0.54040573023125071</v>
      </c>
      <c r="AA209">
        <f>IF($D209="",0,IF($F209&lt;2,0,IF($E209="Win",('Guide &amp; Settings'!$C$42/(($F209-1)*COUNTIFS($A$4:$A$1510,$A209,$E$4:$E$1510,"Win")))*SUMIFS($Z$4:$Z$1510,$A$4:$A$1510,$A209,$E$4:$E$1510,"Loss"),-('Guide &amp; Settings'!$C$42/($F209-1))*$Z209)))</f>
        <v>5.6660298706239702</v>
      </c>
      <c r="AB209" s="126">
        <f t="shared" si="76"/>
        <v>1027.3478179131789</v>
      </c>
      <c r="AC209" s="126">
        <f>IF($D209="","",IF($AD209=0,0,IF(COUNTIFS($D$4:$D209,$D209,$B$4:$B209,$B209)&gt;1,0,IF($B209&lt;'Guide &amp; Settings'!$C$50,0,IF(($B209-$AD209)/7-'Guide &amp; Settings'!$C$48&gt;=0,(INT(($B209-$AD209)/7-'Guide &amp; Settings'!$C$48)+1)*'Guide &amp; Settings'!$C$49,0)))))</f>
        <v>0</v>
      </c>
      <c r="AD209" s="142">
        <f t="shared" si="77"/>
        <v>46177</v>
      </c>
      <c r="AE209">
        <f t="shared" si="78"/>
        <v>2</v>
      </c>
      <c r="AF209">
        <f t="shared" si="79"/>
        <v>0</v>
      </c>
    </row>
    <row r="210" spans="1:32" ht="15" customHeight="1" x14ac:dyDescent="0.2">
      <c r="A210" s="117">
        <v>84</v>
      </c>
      <c r="B210" s="118">
        <v>46188</v>
      </c>
      <c r="C210" s="119" t="s">
        <v>49</v>
      </c>
      <c r="D210" s="119" t="s">
        <v>21</v>
      </c>
      <c r="E210" s="117" t="s">
        <v>371</v>
      </c>
      <c r="F210" s="120">
        <f t="shared" si="60"/>
        <v>4</v>
      </c>
      <c r="G210" s="121" t="str">
        <f t="shared" si="61"/>
        <v>Beau</v>
      </c>
      <c r="H210" s="122">
        <f>IF($D210="",0,IFERROR(LOOKUP(2,1/(($D$3:D209=$D210)*($A$3:A209&lt;$A210)),$N$3:N209),'Guide &amp; Settings'!$C$41))</f>
        <v>1134.4182842305047</v>
      </c>
      <c r="I210" s="123">
        <f t="shared" si="62"/>
        <v>0.35339805825242721</v>
      </c>
      <c r="J210" s="124">
        <f>IF($D210="",0,IF($F210&lt;2,0,IF($E210="Win",('Guide &amp; Settings'!$C$42/(($F210-1)*COUNTIFS($A$4:$A$1510,$A210,$E$4:$E$1510,"Win")))*SUMIFS($X$4:$X$1510,$A$4:$A$1510,$A210,$E$4:$E$1510,"Loss"),-('Guide &amp; Settings'!$C$42/($F210-1))*$X210)))</f>
        <v>-6.419386544575528</v>
      </c>
      <c r="K210" s="124">
        <f>IF($D210="",0,'Guide &amp; Settings'!$C$43*(IF($E210="Win",1,0)-$I210))</f>
        <v>-4.2407766990291265</v>
      </c>
      <c r="L210" s="125">
        <f>IF($D210="",0,'Guide &amp; Settings'!$C$44*IF($F210&gt;=3,$F210,0))</f>
        <v>4</v>
      </c>
      <c r="M210" s="124">
        <f t="shared" si="63"/>
        <v>-6.6601632436046536</v>
      </c>
      <c r="N210" s="122">
        <f t="shared" si="64"/>
        <v>1127.7581209868999</v>
      </c>
      <c r="O210" s="121" t="str">
        <f t="shared" si="65"/>
        <v>OK (team)</v>
      </c>
      <c r="P210">
        <f t="shared" si="66"/>
        <v>1042.2902582399183</v>
      </c>
      <c r="Q210">
        <f t="shared" si="67"/>
        <v>0.62956043700854414</v>
      </c>
      <c r="R210">
        <f t="shared" si="68"/>
        <v>0.75</v>
      </c>
      <c r="S210">
        <f t="shared" si="69"/>
        <v>2.1222527472527473</v>
      </c>
      <c r="T210" s="89">
        <f t="shared" si="70"/>
        <v>10</v>
      </c>
      <c r="U210" s="126">
        <f>IF($D210="",0,IFERROR(LOOKUP(2,1/(($D$3:D209=$D210)*($C$3:C209=$C210)*($A$3:A209&lt;$A210)),$AB$3:AB209),1000))</f>
        <v>1066.6080040656045</v>
      </c>
      <c r="V210" s="126">
        <f t="shared" si="71"/>
        <v>1089.211430787238</v>
      </c>
      <c r="W210">
        <f t="shared" si="72"/>
        <v>1017.4583817826214</v>
      </c>
      <c r="X210">
        <f t="shared" si="73"/>
        <v>0.60181748855395578</v>
      </c>
      <c r="Y210">
        <f t="shared" si="74"/>
        <v>993.54365196643107</v>
      </c>
      <c r="Z210">
        <f t="shared" si="75"/>
        <v>0.60362495420452977</v>
      </c>
      <c r="AA210">
        <f>IF($D210="",0,IF($F210&lt;2,0,IF($E210="Win",('Guide &amp; Settings'!$C$42/(($F210-1)*COUNTIFS($A$4:$A$1510,$A210,$E$4:$E$1510,"Win")))*SUMIFS($Z$4:$Z$1510,$A$4:$A$1510,$A210,$E$4:$E$1510,"Loss"),-('Guide &amp; Settings'!$C$42/($F210-1))*$Z210)))</f>
        <v>-6.4386661781816503</v>
      </c>
      <c r="AB210" s="126">
        <f t="shared" si="76"/>
        <v>1060.1693378874229</v>
      </c>
      <c r="AC210" s="126">
        <f>IF($D210="","",IF($AD210=0,0,IF(COUNTIFS($D$4:$D210,$D210,$B$4:$B210,$B210)&gt;1,0,IF($B210&lt;'Guide &amp; Settings'!$C$50,0,IF(($B210-$AD210)/7-'Guide &amp; Settings'!$C$48&gt;=0,(INT(($B210-$AD210)/7-'Guide &amp; Settings'!$C$48)+1)*'Guide &amp; Settings'!$C$49,0)))))</f>
        <v>0</v>
      </c>
      <c r="AD210" s="142">
        <f t="shared" si="77"/>
        <v>46175</v>
      </c>
      <c r="AE210">
        <f t="shared" si="78"/>
        <v>2</v>
      </c>
      <c r="AF210">
        <f t="shared" si="79"/>
        <v>0</v>
      </c>
    </row>
    <row r="211" spans="1:32" ht="15" customHeight="1" x14ac:dyDescent="0.2">
      <c r="A211" s="117">
        <v>84</v>
      </c>
      <c r="B211" s="118">
        <v>46188</v>
      </c>
      <c r="C211" s="119" t="s">
        <v>49</v>
      </c>
      <c r="D211" s="119" t="s">
        <v>25</v>
      </c>
      <c r="E211" s="117" t="s">
        <v>371</v>
      </c>
      <c r="F211" s="120">
        <f t="shared" si="60"/>
        <v>4</v>
      </c>
      <c r="G211" s="121" t="str">
        <f t="shared" si="61"/>
        <v>Beau</v>
      </c>
      <c r="H211" s="122">
        <f>IF($D211="",0,IFERROR(LOOKUP(2,1/(($D$3:D210=$D211)*($A$3:A210&lt;$A211)),$N$3:N210),'Guide &amp; Settings'!$C$41))</f>
        <v>998.50198860132832</v>
      </c>
      <c r="I211" s="123">
        <f t="shared" si="62"/>
        <v>0.2174757281553398</v>
      </c>
      <c r="J211" s="124">
        <f>IF($D211="",0,IF($F211&lt;2,0,IF($E211="Win",('Guide &amp; Settings'!$C$42/(($F211-1)*COUNTIFS($A$4:$A$1510,$A211,$E$4:$E$1510,"Win")))*SUMIFS($X$4:$X$1510,$A$4:$A$1510,$A211,$E$4:$E$1510,"Loss"),-('Guide &amp; Settings'!$C$42/($F211-1))*$X211)))</f>
        <v>-4.6900142101196005</v>
      </c>
      <c r="K211" s="124">
        <f>IF($D211="",0,'Guide &amp; Settings'!$C$43*(IF($E211="Win",1,0)-$I211))</f>
        <v>-2.6097087378640778</v>
      </c>
      <c r="L211" s="125">
        <f>IF($D211="",0,'Guide &amp; Settings'!$C$44*IF($F211&gt;=3,$F211,0))</f>
        <v>4</v>
      </c>
      <c r="M211" s="124">
        <f t="shared" si="63"/>
        <v>-3.2997229479836783</v>
      </c>
      <c r="N211" s="122">
        <f t="shared" si="64"/>
        <v>995.20226565334463</v>
      </c>
      <c r="O211" s="121" t="str">
        <f t="shared" si="65"/>
        <v>OK (team)</v>
      </c>
      <c r="P211">
        <f t="shared" si="66"/>
        <v>1042.2902582399183</v>
      </c>
      <c r="Q211">
        <f t="shared" si="67"/>
        <v>0.43731516422144057</v>
      </c>
      <c r="R211">
        <f t="shared" si="68"/>
        <v>0.46153846153846156</v>
      </c>
      <c r="S211">
        <f t="shared" si="69"/>
        <v>2.1222527472527473</v>
      </c>
      <c r="T211" s="89">
        <f t="shared" si="70"/>
        <v>11</v>
      </c>
      <c r="U211" s="126">
        <f>IF($D211="",0,IFERROR(LOOKUP(2,1/(($D$3:D210=$D211)*($C$3:C210=$C211)*($A$3:A210&lt;$A211)),$AB$3:AB210),1000))</f>
        <v>964.81886962643489</v>
      </c>
      <c r="V211" s="126">
        <f t="shared" si="71"/>
        <v>975.34484430608916</v>
      </c>
      <c r="W211">
        <f t="shared" si="72"/>
        <v>1017.4583817826214</v>
      </c>
      <c r="X211">
        <f t="shared" si="73"/>
        <v>0.43968883219871258</v>
      </c>
      <c r="Y211">
        <f t="shared" si="74"/>
        <v>993.54365196643107</v>
      </c>
      <c r="Z211">
        <f t="shared" si="75"/>
        <v>0.45875564653746481</v>
      </c>
      <c r="AA211">
        <f>IF($D211="",0,IF($F211&lt;2,0,IF($E211="Win",('Guide &amp; Settings'!$C$42/(($F211-1)*COUNTIFS($A$4:$A$1510,$A211,$E$4:$E$1510,"Win")))*SUMIFS($Z$4:$Z$1510,$A$4:$A$1510,$A211,$E$4:$E$1510,"Loss"),-('Guide &amp; Settings'!$C$42/($F211-1))*$Z211)))</f>
        <v>-4.893393563066291</v>
      </c>
      <c r="AB211" s="126">
        <f t="shared" si="76"/>
        <v>959.92547606336859</v>
      </c>
      <c r="AC211" s="126">
        <f>IF($D211="","",IF($AD211=0,0,IF(COUNTIFS($D$4:$D211,$D211,$B$4:$B211,$B211)&gt;1,0,IF($B211&lt;'Guide &amp; Settings'!$C$50,0,IF(($B211-$AD211)/7-'Guide &amp; Settings'!$C$48&gt;=0,(INT(($B211-$AD211)/7-'Guide &amp; Settings'!$C$48)+1)*'Guide &amp; Settings'!$C$49,0)))))</f>
        <v>0</v>
      </c>
      <c r="AD211" s="142">
        <f t="shared" si="77"/>
        <v>46177</v>
      </c>
      <c r="AE211">
        <f t="shared" si="78"/>
        <v>2</v>
      </c>
      <c r="AF211">
        <f t="shared" si="79"/>
        <v>0</v>
      </c>
    </row>
    <row r="212" spans="1:32" ht="15" customHeight="1" x14ac:dyDescent="0.2">
      <c r="A212" s="117">
        <v>85</v>
      </c>
      <c r="B212" s="118">
        <v>46188</v>
      </c>
      <c r="C212" s="119" t="s">
        <v>49</v>
      </c>
      <c r="D212" s="119" t="s">
        <v>26</v>
      </c>
      <c r="E212" s="117" t="s">
        <v>370</v>
      </c>
      <c r="F212" s="120">
        <f t="shared" si="60"/>
        <v>4</v>
      </c>
      <c r="G212" s="121" t="str">
        <f t="shared" si="61"/>
        <v>David</v>
      </c>
      <c r="H212" s="122">
        <f>IF($D212="",0,IFERROR(LOOKUP(2,1/(($D$3:D211=$D212)*($A$3:A211&lt;$A212)),$N$3:N211),'Guide &amp; Settings'!$C$41))</f>
        <v>991.04646224080557</v>
      </c>
      <c r="I212" s="123">
        <f t="shared" si="62"/>
        <v>0.13094310210444274</v>
      </c>
      <c r="J212" s="124">
        <f>IF($D212="",0,IF($F212&lt;2,0,IF($E212="Win",('Guide &amp; Settings'!$C$42/(($F212-1)*COUNTIFS($A$4:$A$1510,$A212,$E$4:$E$1510,"Win")))*SUMIFS($X$4:$X$1510,$A$4:$A$1510,$A212,$E$4:$E$1510,"Loss"),-('Guide &amp; Settings'!$C$42/($F212-1))*$X212)))</f>
        <v>6.1028943998971137</v>
      </c>
      <c r="K212" s="124">
        <f>IF($D212="",0,'Guide &amp; Settings'!$C$43*(IF($E212="Win",1,0)-$I212))</f>
        <v>10.428682774746687</v>
      </c>
      <c r="L212" s="125">
        <f>IF($D212="",0,'Guide &amp; Settings'!$C$44*IF($F212&gt;=3,$F212,0))</f>
        <v>4</v>
      </c>
      <c r="M212" s="124">
        <f t="shared" si="63"/>
        <v>20.5315771746438</v>
      </c>
      <c r="N212" s="122">
        <f t="shared" si="64"/>
        <v>1011.5780394154493</v>
      </c>
      <c r="O212" s="121" t="str">
        <f t="shared" si="65"/>
        <v>OK (team)</v>
      </c>
      <c r="P212">
        <f t="shared" si="66"/>
        <v>966.89075292630855</v>
      </c>
      <c r="Q212">
        <f t="shared" si="67"/>
        <v>0.53470695566548687</v>
      </c>
      <c r="R212">
        <f t="shared" si="68"/>
        <v>0.2</v>
      </c>
      <c r="S212">
        <f t="shared" si="69"/>
        <v>1.5273809523809523</v>
      </c>
      <c r="T212" s="89">
        <f t="shared" si="70"/>
        <v>3</v>
      </c>
      <c r="U212" s="126">
        <f>IF($D212="",0,IFERROR(LOOKUP(2,1/(($D$3:D211=$D212)*($C$3:C211=$C212)*($A$3:A211&lt;$A212)),$AB$3:AB211),1000))</f>
        <v>984.7993801654037</v>
      </c>
      <c r="V212" s="126">
        <f t="shared" si="71"/>
        <v>988.70380646252988</v>
      </c>
      <c r="W212">
        <f t="shared" si="72"/>
        <v>976.23550917556872</v>
      </c>
      <c r="X212">
        <f t="shared" si="73"/>
        <v>0.51793562335685173</v>
      </c>
      <c r="Y212">
        <f t="shared" si="74"/>
        <v>984.7993801654037</v>
      </c>
      <c r="Z212">
        <f t="shared" si="75"/>
        <v>0.5</v>
      </c>
      <c r="AA212">
        <f>IF($D212="",0,IF($F212&lt;2,0,IF($E212="Win",('Guide &amp; Settings'!$C$42/(($F212-1)*COUNTIFS($A$4:$A$1510,$A212,$E$4:$E$1510,"Win")))*SUMIFS($Z$4:$Z$1510,$A$4:$A$1510,$A212,$E$4:$E$1510,"Loss"),-('Guide &amp; Settings'!$C$42/($F212-1))*$Z212)))</f>
        <v>5.552971587250271</v>
      </c>
      <c r="AB212" s="126">
        <f t="shared" si="76"/>
        <v>990.35235175265393</v>
      </c>
      <c r="AC212" s="126">
        <f>IF($D212="","",IF($AD212=0,0,IF(COUNTIFS($D$4:$D212,$D212,$B$4:$B212,$B212)&gt;1,0,IF($B212&lt;'Guide &amp; Settings'!$C$50,0,IF(($B212-$AD212)/7-'Guide &amp; Settings'!$C$48&gt;=0,(INT(($B212-$AD212)/7-'Guide &amp; Settings'!$C$48)+1)*'Guide &amp; Settings'!$C$49,0)))))</f>
        <v>0</v>
      </c>
      <c r="AD212" s="142">
        <f t="shared" si="77"/>
        <v>0</v>
      </c>
      <c r="AE212">
        <f t="shared" si="78"/>
        <v>2</v>
      </c>
      <c r="AF212">
        <f t="shared" si="79"/>
        <v>0</v>
      </c>
    </row>
    <row r="213" spans="1:32" ht="15" customHeight="1" x14ac:dyDescent="0.2">
      <c r="A213" s="117">
        <v>85</v>
      </c>
      <c r="B213" s="118">
        <v>46188</v>
      </c>
      <c r="C213" s="119" t="s">
        <v>49</v>
      </c>
      <c r="D213" s="119" t="s">
        <v>18</v>
      </c>
      <c r="E213" s="117" t="s">
        <v>370</v>
      </c>
      <c r="F213" s="120">
        <f t="shared" si="60"/>
        <v>4</v>
      </c>
      <c r="G213" s="121" t="str">
        <f t="shared" si="61"/>
        <v>David</v>
      </c>
      <c r="H213" s="122">
        <f>IF($D213="",0,IFERROR(LOOKUP(2,1/(($D$3:D212=$D213)*($A$3:A212&lt;$A213)),$N$3:N212),'Guide &amp; Settings'!$C$41))</f>
        <v>942.73504361181142</v>
      </c>
      <c r="I213" s="123">
        <f t="shared" si="62"/>
        <v>0.18706157443491817</v>
      </c>
      <c r="J213" s="124">
        <f>IF($D213="",0,IF($F213&lt;2,0,IF($E213="Win",('Guide &amp; Settings'!$C$42/(($F213-1)*COUNTIFS($A$4:$A$1510,$A213,$E$4:$E$1510,"Win")))*SUMIFS($X$4:$X$1510,$A$4:$A$1510,$A213,$E$4:$E$1510,"Loss"),-('Guide &amp; Settings'!$C$42/($F213-1))*$X213)))</f>
        <v>6.1028943998971137</v>
      </c>
      <c r="K213" s="124">
        <f>IF($D213="",0,'Guide &amp; Settings'!$C$43*(IF($E213="Win",1,0)-$I213))</f>
        <v>9.7552611067809814</v>
      </c>
      <c r="L213" s="125">
        <f>IF($D213="",0,'Guide &amp; Settings'!$C$44*IF($F213&gt;=3,$F213,0))</f>
        <v>4</v>
      </c>
      <c r="M213" s="124">
        <f t="shared" si="63"/>
        <v>19.858155506678095</v>
      </c>
      <c r="N213" s="122">
        <f t="shared" si="64"/>
        <v>962.59319911848957</v>
      </c>
      <c r="O213" s="121" t="str">
        <f t="shared" si="65"/>
        <v>OK (team)</v>
      </c>
      <c r="P213">
        <f t="shared" si="66"/>
        <v>966.89075292630855</v>
      </c>
      <c r="Q213">
        <f t="shared" si="67"/>
        <v>0.46529304433451285</v>
      </c>
      <c r="R213">
        <f t="shared" si="68"/>
        <v>0.2857142857142857</v>
      </c>
      <c r="S213">
        <f t="shared" si="69"/>
        <v>1.5273809523809523</v>
      </c>
      <c r="T213" s="89">
        <f t="shared" si="70"/>
        <v>5</v>
      </c>
      <c r="U213" s="126">
        <f>IF($D213="",0,IFERROR(LOOKUP(2,1/(($D$3:D212=$D213)*($C$3:C212=$C213)*($A$3:A212&lt;$A213)),$AB$3:AB212),1000))</f>
        <v>984.7993801654037</v>
      </c>
      <c r="V213" s="126">
        <f t="shared" si="71"/>
        <v>963.76721188860756</v>
      </c>
      <c r="W213">
        <f t="shared" si="72"/>
        <v>976.23550917556872</v>
      </c>
      <c r="X213">
        <f t="shared" si="73"/>
        <v>0.48206437664314833</v>
      </c>
      <c r="Y213">
        <f t="shared" si="74"/>
        <v>984.7993801654037</v>
      </c>
      <c r="Z213">
        <f t="shared" si="75"/>
        <v>0.5</v>
      </c>
      <c r="AA213">
        <f>IF($D213="",0,IF($F213&lt;2,0,IF($E213="Win",('Guide &amp; Settings'!$C$42/(($F213-1)*COUNTIFS($A$4:$A$1510,$A213,$E$4:$E$1510,"Win")))*SUMIFS($Z$4:$Z$1510,$A$4:$A$1510,$A213,$E$4:$E$1510,"Loss"),-('Guide &amp; Settings'!$C$42/($F213-1))*$Z213)))</f>
        <v>5.552971587250271</v>
      </c>
      <c r="AB213" s="126">
        <f t="shared" si="76"/>
        <v>990.35235175265393</v>
      </c>
      <c r="AC213" s="126">
        <f>IF($D213="","",IF($AD213=0,0,IF(COUNTIFS($D$4:$D213,$D213,$B$4:$B213,$B213)&gt;1,0,IF($B213&lt;'Guide &amp; Settings'!$C$50,0,IF(($B213-$AD213)/7-'Guide &amp; Settings'!$C$48&gt;=0,(INT(($B213-$AD213)/7-'Guide &amp; Settings'!$C$48)+1)*'Guide &amp; Settings'!$C$49,0)))))</f>
        <v>0</v>
      </c>
      <c r="AD213" s="142">
        <f t="shared" si="77"/>
        <v>46175</v>
      </c>
      <c r="AE213">
        <f t="shared" si="78"/>
        <v>2</v>
      </c>
      <c r="AF213">
        <f t="shared" si="79"/>
        <v>0</v>
      </c>
    </row>
    <row r="214" spans="1:32" ht="15" customHeight="1" x14ac:dyDescent="0.2">
      <c r="A214" s="117">
        <v>85</v>
      </c>
      <c r="B214" s="118">
        <v>46188</v>
      </c>
      <c r="C214" s="119" t="s">
        <v>49</v>
      </c>
      <c r="D214" s="119" t="s">
        <v>15</v>
      </c>
      <c r="E214" s="117" t="s">
        <v>371</v>
      </c>
      <c r="F214" s="120">
        <f t="shared" si="60"/>
        <v>4</v>
      </c>
      <c r="G214" s="121" t="str">
        <f t="shared" si="61"/>
        <v>David</v>
      </c>
      <c r="H214" s="122">
        <f>IF($D214="",0,IFERROR(LOOKUP(2,1/(($D$3:D213=$D214)*($A$3:A213&lt;$A214)),$N$3:N213),'Guide &amp; Settings'!$C$41))</f>
        <v>1062.6606687297008</v>
      </c>
      <c r="I214" s="123">
        <f t="shared" si="62"/>
        <v>0.24551831644583011</v>
      </c>
      <c r="J214" s="124">
        <f>IF($D214="",0,IF($F214&lt;2,0,IF($E214="Win",('Guide &amp; Settings'!$C$42/(($F214-1)*COUNTIFS($A$4:$A$1510,$A214,$E$4:$E$1510,"Win")))*SUMIFS($X$4:$X$1510,$A$4:$A$1510,$A214,$E$4:$E$1510,"Loss"),-('Guide &amp; Settings'!$C$42/($F214-1))*$X214)))</f>
        <v>-5.8910827380286479</v>
      </c>
      <c r="K214" s="124">
        <f>IF($D214="",0,'Guide &amp; Settings'!$C$43*(IF($E214="Win",1,0)-$I214))</f>
        <v>-2.9462197973499613</v>
      </c>
      <c r="L214" s="125">
        <f>IF($D214="",0,'Guide &amp; Settings'!$C$44*IF($F214&gt;=3,$F214,0))</f>
        <v>4</v>
      </c>
      <c r="M214" s="124">
        <f t="shared" si="63"/>
        <v>-4.8373025353786083</v>
      </c>
      <c r="N214" s="122">
        <f t="shared" si="64"/>
        <v>1057.8233661943223</v>
      </c>
      <c r="O214" s="121" t="str">
        <f t="shared" si="65"/>
        <v>OK (team)</v>
      </c>
      <c r="P214">
        <f t="shared" si="66"/>
        <v>966.89075292630855</v>
      </c>
      <c r="Q214">
        <f t="shared" si="67"/>
        <v>0.63443620929852684</v>
      </c>
      <c r="R214">
        <f t="shared" si="68"/>
        <v>0.375</v>
      </c>
      <c r="S214">
        <f t="shared" si="69"/>
        <v>1.5273809523809523</v>
      </c>
      <c r="T214" s="89">
        <f t="shared" si="70"/>
        <v>6</v>
      </c>
      <c r="U214" s="126">
        <f>IF($D214="",0,IFERROR(LOOKUP(2,1/(($D$3:D213=$D214)*($C$3:C213=$C214)*($A$3:A213&lt;$A214)),$AB$3:AB213),1000))</f>
        <v>971.07154576093114</v>
      </c>
      <c r="V214" s="126">
        <f t="shared" si="71"/>
        <v>1012.7029652921901</v>
      </c>
      <c r="W214">
        <f t="shared" si="72"/>
        <v>976.23550917556872</v>
      </c>
      <c r="X214">
        <f t="shared" si="73"/>
        <v>0.55228900669018577</v>
      </c>
      <c r="Y214">
        <f t="shared" si="74"/>
        <v>984.7993801654037</v>
      </c>
      <c r="Z214">
        <f t="shared" si="75"/>
        <v>0.48025433271639861</v>
      </c>
      <c r="AA214">
        <f>IF($D214="",0,IF($F214&lt;2,0,IF($E214="Win",('Guide &amp; Settings'!$C$42/(($F214-1)*COUNTIFS($A$4:$A$1510,$A214,$E$4:$E$1510,"Win")))*SUMIFS($Z$4:$Z$1510,$A$4:$A$1510,$A214,$E$4:$E$1510,"Loss"),-('Guide &amp; Settings'!$C$42/($F214-1))*$Z214)))</f>
        <v>-5.1227128823082513</v>
      </c>
      <c r="AB214" s="126">
        <f t="shared" si="76"/>
        <v>965.94883287862285</v>
      </c>
      <c r="AC214" s="126">
        <f>IF($D214="","",IF($AD214=0,0,IF(COUNTIFS($D$4:$D214,$D214,$B$4:$B214,$B214)&gt;1,0,IF($B214&lt;'Guide &amp; Settings'!$C$50,0,IF(($B214-$AD214)/7-'Guide &amp; Settings'!$C$48&gt;=0,(INT(($B214-$AD214)/7-'Guide &amp; Settings'!$C$48)+1)*'Guide &amp; Settings'!$C$49,0)))))</f>
        <v>0</v>
      </c>
      <c r="AD214" s="142">
        <f t="shared" si="77"/>
        <v>46175</v>
      </c>
      <c r="AE214">
        <f t="shared" si="78"/>
        <v>2</v>
      </c>
      <c r="AF214">
        <f t="shared" si="79"/>
        <v>0</v>
      </c>
    </row>
    <row r="215" spans="1:32" ht="15" customHeight="1" x14ac:dyDescent="0.2">
      <c r="A215" s="117">
        <v>85</v>
      </c>
      <c r="B215" s="118">
        <v>46188</v>
      </c>
      <c r="C215" s="119" t="s">
        <v>49</v>
      </c>
      <c r="D215" s="119" t="s">
        <v>16</v>
      </c>
      <c r="E215" s="117" t="s">
        <v>371</v>
      </c>
      <c r="F215" s="120">
        <f t="shared" si="60"/>
        <v>4</v>
      </c>
      <c r="G215" s="121" t="str">
        <f t="shared" si="61"/>
        <v>David</v>
      </c>
      <c r="H215" s="122">
        <f>IF($D215="",0,IFERROR(LOOKUP(2,1/(($D$3:D214=$D215)*($A$3:A214&lt;$A215)),$N$3:N214),'Guide &amp; Settings'!$C$41))</f>
        <v>1059.8797339417242</v>
      </c>
      <c r="I215" s="123">
        <f t="shared" si="62"/>
        <v>0.43647700701480907</v>
      </c>
      <c r="J215" s="124">
        <f>IF($D215="",0,IF($F215&lt;2,0,IF($E215="Win",('Guide &amp; Settings'!$C$42/(($F215-1)*COUNTIFS($A$4:$A$1510,$A215,$E$4:$E$1510,"Win")))*SUMIFS($X$4:$X$1510,$A$4:$A$1510,$A215,$E$4:$E$1510,"Loss"),-('Guide &amp; Settings'!$C$42/($F215-1))*$X215)))</f>
        <v>-6.3147060617655786</v>
      </c>
      <c r="K215" s="124">
        <f>IF($D215="",0,'Guide &amp; Settings'!$C$43*(IF($E215="Win",1,0)-$I215))</f>
        <v>-5.2377240841777084</v>
      </c>
      <c r="L215" s="125">
        <f>IF($D215="",0,'Guide &amp; Settings'!$C$44*IF($F215&gt;=3,$F215,0))</f>
        <v>4</v>
      </c>
      <c r="M215" s="124">
        <f t="shared" si="63"/>
        <v>-7.552430145943287</v>
      </c>
      <c r="N215" s="122">
        <f t="shared" si="64"/>
        <v>1052.3273037957808</v>
      </c>
      <c r="O215" s="121" t="str">
        <f t="shared" si="65"/>
        <v>OK (team)</v>
      </c>
      <c r="P215">
        <f t="shared" si="66"/>
        <v>966.89075292630855</v>
      </c>
      <c r="Q215">
        <f t="shared" si="67"/>
        <v>0.63071551495116862</v>
      </c>
      <c r="R215">
        <f t="shared" si="68"/>
        <v>0.66666666666666663</v>
      </c>
      <c r="S215">
        <f t="shared" si="69"/>
        <v>1.5273809523809523</v>
      </c>
      <c r="T215" s="89">
        <f t="shared" si="70"/>
        <v>7</v>
      </c>
      <c r="U215" s="126">
        <f>IF($D215="",0,IFERROR(LOOKUP(2,1/(($D$3:D214=$D215)*($C$3:C214=$C215)*($A$3:A214&lt;$A215)),$AB$3:AB214),1000))</f>
        <v>1027.3478179131789</v>
      </c>
      <c r="V215" s="126">
        <f t="shared" si="71"/>
        <v>1040.9027829250729</v>
      </c>
      <c r="W215">
        <f t="shared" si="72"/>
        <v>976.23550917556872</v>
      </c>
      <c r="X215">
        <f t="shared" si="73"/>
        <v>0.59200369329052305</v>
      </c>
      <c r="Y215">
        <f t="shared" si="74"/>
        <v>984.7993801654037</v>
      </c>
      <c r="Z215">
        <f t="shared" si="75"/>
        <v>0.56092783989302741</v>
      </c>
      <c r="AA215">
        <f>IF($D215="",0,IF($F215&lt;2,0,IF($E215="Win",('Guide &amp; Settings'!$C$42/(($F215-1)*COUNTIFS($A$4:$A$1510,$A215,$E$4:$E$1510,"Win")))*SUMIFS($Z$4:$Z$1510,$A$4:$A$1510,$A215,$E$4:$E$1510,"Loss"),-('Guide &amp; Settings'!$C$42/($F215-1))*$Z215)))</f>
        <v>-5.9832302921922924</v>
      </c>
      <c r="AB215" s="126">
        <f t="shared" si="76"/>
        <v>1021.3645876209866</v>
      </c>
      <c r="AC215" s="126">
        <f>IF($D215="","",IF($AD215=0,0,IF(COUNTIFS($D$4:$D215,$D215,$B$4:$B215,$B215)&gt;1,0,IF($B215&lt;'Guide &amp; Settings'!$C$50,0,IF(($B215-$AD215)/7-'Guide &amp; Settings'!$C$48&gt;=0,(INT(($B215-$AD215)/7-'Guide &amp; Settings'!$C$48)+1)*'Guide &amp; Settings'!$C$49,0)))))</f>
        <v>0</v>
      </c>
      <c r="AD215" s="142">
        <f t="shared" si="77"/>
        <v>46177</v>
      </c>
      <c r="AE215">
        <f t="shared" si="78"/>
        <v>2</v>
      </c>
      <c r="AF215">
        <f t="shared" si="79"/>
        <v>0</v>
      </c>
    </row>
    <row r="216" spans="1:32" ht="15" customHeight="1" x14ac:dyDescent="0.2">
      <c r="A216" s="117">
        <v>86</v>
      </c>
      <c r="B216" s="118">
        <v>46188</v>
      </c>
      <c r="C216" s="119" t="s">
        <v>49</v>
      </c>
      <c r="D216" s="119" t="s">
        <v>26</v>
      </c>
      <c r="E216" s="117" t="s">
        <v>370</v>
      </c>
      <c r="F216" s="120">
        <f t="shared" si="60"/>
        <v>4</v>
      </c>
      <c r="G216" s="121" t="str">
        <f t="shared" si="61"/>
        <v>David</v>
      </c>
      <c r="H216" s="122">
        <f>IF($D216="",0,IFERROR(LOOKUP(2,1/(($D$3:D215=$D216)*($A$3:A215&lt;$A216)),$N$3:N215),'Guide &amp; Settings'!$C$41))</f>
        <v>1011.5780394154493</v>
      </c>
      <c r="I216" s="123">
        <f t="shared" si="62"/>
        <v>0.20168067226890757</v>
      </c>
      <c r="J216" s="124">
        <f>IF($D216="",0,IF($F216&lt;2,0,IF($E216="Win",('Guide &amp; Settings'!$C$42/(($F216-1)*COUNTIFS($A$4:$A$1510,$A216,$E$4:$E$1510,"Win")))*SUMIFS($X$4:$X$1510,$A$4:$A$1510,$A216,$E$4:$E$1510,"Loss"),-('Guide &amp; Settings'!$C$42/($F216-1))*$X216)))</f>
        <v>6.0313544237491117</v>
      </c>
      <c r="K216" s="124">
        <f>IF($D216="",0,'Guide &amp; Settings'!$C$43*(IF($E216="Win",1,0)-$I216))</f>
        <v>9.5798319327731107</v>
      </c>
      <c r="L216" s="125">
        <f>IF($D216="",0,'Guide &amp; Settings'!$C$44*IF($F216&gt;=3,$F216,0))</f>
        <v>4</v>
      </c>
      <c r="M216" s="124">
        <f t="shared" si="63"/>
        <v>19.611186356522222</v>
      </c>
      <c r="N216" s="122">
        <f t="shared" si="64"/>
        <v>1031.1892257719715</v>
      </c>
      <c r="O216" s="121" t="str">
        <f t="shared" si="65"/>
        <v>OK (team)</v>
      </c>
      <c r="P216">
        <f t="shared" si="66"/>
        <v>987.08561926696939</v>
      </c>
      <c r="Q216">
        <f t="shared" si="67"/>
        <v>0.53518915413902923</v>
      </c>
      <c r="R216">
        <f t="shared" si="68"/>
        <v>0.33333333333333331</v>
      </c>
      <c r="S216">
        <f t="shared" si="69"/>
        <v>1.6527777777777777</v>
      </c>
      <c r="T216" s="89">
        <f t="shared" si="70"/>
        <v>4</v>
      </c>
      <c r="U216" s="126">
        <f>IF($D216="",0,IFERROR(LOOKUP(2,1/(($D$3:D215=$D216)*($C$3:C215=$C216)*($A$3:A215&lt;$A216)),$AB$3:AB215),1000))</f>
        <v>990.35235175265393</v>
      </c>
      <c r="V216" s="126">
        <f t="shared" si="71"/>
        <v>1002.144400454207</v>
      </c>
      <c r="W216">
        <f t="shared" si="72"/>
        <v>989.93947777748406</v>
      </c>
      <c r="X216">
        <f t="shared" si="73"/>
        <v>0.51755707431461317</v>
      </c>
      <c r="Y216">
        <f t="shared" si="74"/>
        <v>990.35235175265393</v>
      </c>
      <c r="Z216">
        <f t="shared" si="75"/>
        <v>0.5</v>
      </c>
      <c r="AA216">
        <f>IF($D216="",0,IF($F216&lt;2,0,IF($E216="Win",('Guide &amp; Settings'!$C$42/(($F216-1)*COUNTIFS($A$4:$A$1510,$A216,$E$4:$E$1510,"Win")))*SUMIFS($Z$4:$Z$1510,$A$4:$A$1510,$A216,$E$4:$E$1510,"Loss"),-('Guide &amp; Settings'!$C$42/($F216-1))*$Z216)))</f>
        <v>5.3751331463777881</v>
      </c>
      <c r="AB216" s="126">
        <f t="shared" si="76"/>
        <v>995.72748489903177</v>
      </c>
      <c r="AC216" s="126">
        <f>IF($D216="","",IF($AD216=0,0,IF(COUNTIFS($D$4:$D216,$D216,$B$4:$B216,$B216)&gt;1,0,IF($B216&lt;'Guide &amp; Settings'!$C$50,0,IF(($B216-$AD216)/7-'Guide &amp; Settings'!$C$48&gt;=0,(INT(($B216-$AD216)/7-'Guide &amp; Settings'!$C$48)+1)*'Guide &amp; Settings'!$C$49,0)))))</f>
        <v>0</v>
      </c>
      <c r="AD216" s="142">
        <f t="shared" si="77"/>
        <v>0</v>
      </c>
      <c r="AE216">
        <f t="shared" si="78"/>
        <v>2</v>
      </c>
      <c r="AF216">
        <f t="shared" si="79"/>
        <v>0</v>
      </c>
    </row>
    <row r="217" spans="1:32" ht="15" customHeight="1" x14ac:dyDescent="0.2">
      <c r="A217" s="117">
        <v>86</v>
      </c>
      <c r="B217" s="118">
        <v>46188</v>
      </c>
      <c r="C217" s="119" t="s">
        <v>49</v>
      </c>
      <c r="D217" s="119" t="s">
        <v>18</v>
      </c>
      <c r="E217" s="117" t="s">
        <v>370</v>
      </c>
      <c r="F217" s="120">
        <f t="shared" si="60"/>
        <v>4</v>
      </c>
      <c r="G217" s="121" t="str">
        <f t="shared" si="61"/>
        <v>David</v>
      </c>
      <c r="H217" s="122">
        <f>IF($D217="",0,IFERROR(LOOKUP(2,1/(($D$3:D216=$D217)*($A$3:A216&lt;$A217)),$N$3:N216),'Guide &amp; Settings'!$C$41))</f>
        <v>962.59319911848957</v>
      </c>
      <c r="I217" s="123">
        <f t="shared" si="62"/>
        <v>0.22689075630252103</v>
      </c>
      <c r="J217" s="124">
        <f>IF($D217="",0,IF($F217&lt;2,0,IF($E217="Win",('Guide &amp; Settings'!$C$42/(($F217-1)*COUNTIFS($A$4:$A$1510,$A217,$E$4:$E$1510,"Win")))*SUMIFS($X$4:$X$1510,$A$4:$A$1510,$A217,$E$4:$E$1510,"Loss"),-('Guide &amp; Settings'!$C$42/($F217-1))*$X217)))</f>
        <v>6.0313544237491117</v>
      </c>
      <c r="K217" s="124">
        <f>IF($D217="",0,'Guide &amp; Settings'!$C$43*(IF($E217="Win",1,0)-$I217))</f>
        <v>9.2773109243697469</v>
      </c>
      <c r="L217" s="125">
        <f>IF($D217="",0,'Guide &amp; Settings'!$C$44*IF($F217&gt;=3,$F217,0))</f>
        <v>4</v>
      </c>
      <c r="M217" s="124">
        <f t="shared" si="63"/>
        <v>19.308665348118858</v>
      </c>
      <c r="N217" s="122">
        <f t="shared" si="64"/>
        <v>981.90186446660846</v>
      </c>
      <c r="O217" s="121" t="str">
        <f t="shared" si="65"/>
        <v>OK (team)</v>
      </c>
      <c r="P217">
        <f t="shared" si="66"/>
        <v>987.08561926696939</v>
      </c>
      <c r="Q217">
        <f t="shared" si="67"/>
        <v>0.46481084586097088</v>
      </c>
      <c r="R217">
        <f t="shared" si="68"/>
        <v>0.375</v>
      </c>
      <c r="S217">
        <f t="shared" si="69"/>
        <v>1.6527777777777777</v>
      </c>
      <c r="T217" s="89">
        <f t="shared" si="70"/>
        <v>6</v>
      </c>
      <c r="U217" s="126">
        <f>IF($D217="",0,IFERROR(LOOKUP(2,1/(($D$3:D216=$D217)*($C$3:C216=$C217)*($A$3:A216&lt;$A217)),$AB$3:AB216),1000))</f>
        <v>990.35235175265393</v>
      </c>
      <c r="V217" s="126">
        <f t="shared" si="71"/>
        <v>977.7345551007611</v>
      </c>
      <c r="W217">
        <f t="shared" si="72"/>
        <v>989.93947777748406</v>
      </c>
      <c r="X217">
        <f t="shared" si="73"/>
        <v>0.48244292568538671</v>
      </c>
      <c r="Y217">
        <f t="shared" si="74"/>
        <v>990.35235175265393</v>
      </c>
      <c r="Z217">
        <f t="shared" si="75"/>
        <v>0.5</v>
      </c>
      <c r="AA217">
        <f>IF($D217="",0,IF($F217&lt;2,0,IF($E217="Win",('Guide &amp; Settings'!$C$42/(($F217-1)*COUNTIFS($A$4:$A$1510,$A217,$E$4:$E$1510,"Win")))*SUMIFS($Z$4:$Z$1510,$A$4:$A$1510,$A217,$E$4:$E$1510,"Loss"),-('Guide &amp; Settings'!$C$42/($F217-1))*$Z217)))</f>
        <v>5.3751331463777881</v>
      </c>
      <c r="AB217" s="126">
        <f t="shared" si="76"/>
        <v>995.72748489903177</v>
      </c>
      <c r="AC217" s="126">
        <f>IF($D217="","",IF($AD217=0,0,IF(COUNTIFS($D$4:$D217,$D217,$B$4:$B217,$B217)&gt;1,0,IF($B217&lt;'Guide &amp; Settings'!$C$50,0,IF(($B217-$AD217)/7-'Guide &amp; Settings'!$C$48&gt;=0,(INT(($B217-$AD217)/7-'Guide &amp; Settings'!$C$48)+1)*'Guide &amp; Settings'!$C$49,0)))))</f>
        <v>0</v>
      </c>
      <c r="AD217" s="142">
        <f t="shared" si="77"/>
        <v>46175</v>
      </c>
      <c r="AE217">
        <f t="shared" si="78"/>
        <v>2</v>
      </c>
      <c r="AF217">
        <f t="shared" si="79"/>
        <v>0</v>
      </c>
    </row>
    <row r="218" spans="1:32" ht="15" customHeight="1" x14ac:dyDescent="0.2">
      <c r="A218" s="117">
        <v>86</v>
      </c>
      <c r="B218" s="118">
        <v>46188</v>
      </c>
      <c r="C218" s="119" t="s">
        <v>49</v>
      </c>
      <c r="D218" s="119" t="s">
        <v>20</v>
      </c>
      <c r="E218" s="117" t="s">
        <v>371</v>
      </c>
      <c r="F218" s="120">
        <f t="shared" si="60"/>
        <v>4</v>
      </c>
      <c r="G218" s="121" t="str">
        <f t="shared" si="61"/>
        <v>David</v>
      </c>
      <c r="H218" s="122">
        <f>IF($D218="",0,IFERROR(LOOKUP(2,1/(($D$3:D217=$D218)*($A$3:A217&lt;$A218)),$N$3:N217),'Guide &amp; Settings'!$C$41))</f>
        <v>1030.3478233323813</v>
      </c>
      <c r="I218" s="123">
        <f t="shared" si="62"/>
        <v>0.30252100840336138</v>
      </c>
      <c r="J218" s="124">
        <f>IF($D218="",0,IF($F218&lt;2,0,IF($E218="Win",('Guide &amp; Settings'!$C$42/(($F218-1)*COUNTIFS($A$4:$A$1510,$A218,$E$4:$E$1510,"Win")))*SUMIFS($X$4:$X$1510,$A$4:$A$1510,$A218,$E$4:$E$1510,"Loss"),-('Guide &amp; Settings'!$C$42/($F218-1))*$X218)))</f>
        <v>-5.6699219836339214</v>
      </c>
      <c r="K218" s="124">
        <f>IF($D218="",0,'Guide &amp; Settings'!$C$43*(IF($E218="Win",1,0)-$I218))</f>
        <v>-3.6302521008403366</v>
      </c>
      <c r="L218" s="125">
        <f>IF($D218="",0,'Guide &amp; Settings'!$C$44*IF($F218&gt;=3,$F218,0))</f>
        <v>4</v>
      </c>
      <c r="M218" s="124">
        <f t="shared" si="63"/>
        <v>-5.3001740844742571</v>
      </c>
      <c r="N218" s="122">
        <f t="shared" si="64"/>
        <v>1025.047649247907</v>
      </c>
      <c r="O218" s="121" t="str">
        <f t="shared" si="65"/>
        <v>OK (team)</v>
      </c>
      <c r="P218">
        <f t="shared" si="66"/>
        <v>987.08561926696939</v>
      </c>
      <c r="Q218">
        <f t="shared" si="67"/>
        <v>0.56193952492797672</v>
      </c>
      <c r="R218">
        <f t="shared" si="68"/>
        <v>0.5</v>
      </c>
      <c r="S218">
        <f t="shared" si="69"/>
        <v>1.6527777777777777</v>
      </c>
      <c r="T218" s="89">
        <f t="shared" si="70"/>
        <v>8</v>
      </c>
      <c r="U218" s="126">
        <f>IF($D218="",0,IFERROR(LOOKUP(2,1/(($D$3:D217=$D218)*($C$3:C217=$C218)*($A$3:A217&lt;$A218)),$AB$3:AB217),1000))</f>
        <v>1000.3627125129412</v>
      </c>
      <c r="V218" s="126">
        <f t="shared" si="71"/>
        <v>1011.8954474434951</v>
      </c>
      <c r="W218">
        <f t="shared" si="72"/>
        <v>989.93947777748406</v>
      </c>
      <c r="X218">
        <f t="shared" si="73"/>
        <v>0.53155518596568019</v>
      </c>
      <c r="Y218">
        <f t="shared" si="74"/>
        <v>990.35235175265393</v>
      </c>
      <c r="Z218">
        <f t="shared" si="75"/>
        <v>0.51440208214060656</v>
      </c>
      <c r="AA218">
        <f>IF($D218="",0,IF($F218&lt;2,0,IF($E218="Win",('Guide &amp; Settings'!$C$42/(($F218-1)*COUNTIFS($A$4:$A$1510,$A218,$E$4:$E$1510,"Win")))*SUMIFS($Z$4:$Z$1510,$A$4:$A$1510,$A218,$E$4:$E$1510,"Loss"),-('Guide &amp; Settings'!$C$42/($F218-1))*$Z218)))</f>
        <v>-5.4869555428331367</v>
      </c>
      <c r="AB218" s="126">
        <f t="shared" si="76"/>
        <v>994.87575697010811</v>
      </c>
      <c r="AC218" s="126">
        <f>IF($D218="","",IF($AD218=0,0,IF(COUNTIFS($D$4:$D218,$D218,$B$4:$B218,$B218)&gt;1,0,IF($B218&lt;'Guide &amp; Settings'!$C$50,0,IF(($B218-$AD218)/7-'Guide &amp; Settings'!$C$48&gt;=0,(INT(($B218-$AD218)/7-'Guide &amp; Settings'!$C$48)+1)*'Guide &amp; Settings'!$C$49,0)))))</f>
        <v>0</v>
      </c>
      <c r="AD218" s="142">
        <f t="shared" si="77"/>
        <v>46177</v>
      </c>
      <c r="AE218">
        <f t="shared" si="78"/>
        <v>2</v>
      </c>
      <c r="AF218">
        <f t="shared" si="79"/>
        <v>0</v>
      </c>
    </row>
    <row r="219" spans="1:32" ht="15" customHeight="1" x14ac:dyDescent="0.2">
      <c r="A219" s="117">
        <v>86</v>
      </c>
      <c r="B219" s="118">
        <v>46188</v>
      </c>
      <c r="C219" s="119" t="s">
        <v>49</v>
      </c>
      <c r="D219" s="119" t="s">
        <v>19</v>
      </c>
      <c r="E219" s="117" t="s">
        <v>371</v>
      </c>
      <c r="F219" s="120">
        <f t="shared" si="60"/>
        <v>4</v>
      </c>
      <c r="G219" s="121" t="str">
        <f t="shared" si="61"/>
        <v>David</v>
      </c>
      <c r="H219" s="122">
        <f>IF($D219="",0,IFERROR(LOOKUP(2,1/(($D$3:D218=$D219)*($A$3:A218&lt;$A219)),$N$3:N218),'Guide &amp; Settings'!$C$41))</f>
        <v>1163.6212140890921</v>
      </c>
      <c r="I219" s="123">
        <f t="shared" si="62"/>
        <v>0.26890756302521007</v>
      </c>
      <c r="J219" s="124">
        <f>IF($D219="",0,IF($F219&lt;2,0,IF($E219="Win",('Guide &amp; Settings'!$C$42/(($F219-1)*COUNTIFS($A$4:$A$1510,$A219,$E$4:$E$1510,"Win")))*SUMIFS($X$4:$X$1510,$A$4:$A$1510,$A219,$E$4:$E$1510,"Loss"),-('Guide &amp; Settings'!$C$42/($F219-1))*$X219)))</f>
        <v>-6.3927868638643028</v>
      </c>
      <c r="K219" s="124">
        <f>IF($D219="",0,'Guide &amp; Settings'!$C$43*(IF($E219="Win",1,0)-$I219))</f>
        <v>-3.2268907563025211</v>
      </c>
      <c r="L219" s="125">
        <f>IF($D219="",0,'Guide &amp; Settings'!$C$44*IF($F219&gt;=3,$F219,0))</f>
        <v>4</v>
      </c>
      <c r="M219" s="124">
        <f t="shared" si="63"/>
        <v>-5.6196776201668239</v>
      </c>
      <c r="N219" s="122">
        <f t="shared" si="64"/>
        <v>1158.0015364689252</v>
      </c>
      <c r="O219" s="121" t="str">
        <f t="shared" si="65"/>
        <v>OK (team)</v>
      </c>
      <c r="P219">
        <f t="shared" si="66"/>
        <v>987.08561926696939</v>
      </c>
      <c r="Q219">
        <f t="shared" si="67"/>
        <v>0.73423575933293939</v>
      </c>
      <c r="R219">
        <f t="shared" si="68"/>
        <v>0.44444444444444442</v>
      </c>
      <c r="S219">
        <f t="shared" si="69"/>
        <v>1.6527777777777777</v>
      </c>
      <c r="T219" s="89">
        <f t="shared" si="70"/>
        <v>7</v>
      </c>
      <c r="U219" s="126">
        <f>IF($D219="",0,IFERROR(LOOKUP(2,1/(($D$3:D218=$D219)*($C$3:C218=$C219)*($A$3:A218&lt;$A219)),$AB$3:AB218),1000))</f>
        <v>985.79052638539679</v>
      </c>
      <c r="V219" s="126">
        <f t="shared" si="71"/>
        <v>1059.8866462619364</v>
      </c>
      <c r="W219">
        <f t="shared" si="72"/>
        <v>989.93947777748406</v>
      </c>
      <c r="X219">
        <f t="shared" si="73"/>
        <v>0.59932376848727842</v>
      </c>
      <c r="Y219">
        <f t="shared" si="74"/>
        <v>990.35235175265393</v>
      </c>
      <c r="Z219">
        <f t="shared" si="75"/>
        <v>0.49343538280522869</v>
      </c>
      <c r="AA219">
        <f>IF($D219="",0,IF($F219&lt;2,0,IF($E219="Win",('Guide &amp; Settings'!$C$42/(($F219-1)*COUNTIFS($A$4:$A$1510,$A219,$E$4:$E$1510,"Win")))*SUMIFS($Z$4:$Z$1510,$A$4:$A$1510,$A219,$E$4:$E$1510,"Loss"),-('Guide &amp; Settings'!$C$42/($F219-1))*$Z219)))</f>
        <v>-5.2633107499224394</v>
      </c>
      <c r="AB219" s="126">
        <f t="shared" si="76"/>
        <v>980.52721563547436</v>
      </c>
      <c r="AC219" s="126">
        <f>IF($D219="","",IF($AD219=0,0,IF(COUNTIFS($D$4:$D219,$D219,$B$4:$B219,$B219)&gt;1,0,IF($B219&lt;'Guide &amp; Settings'!$C$50,0,IF(($B219-$AD219)/7-'Guide &amp; Settings'!$C$48&gt;=0,(INT(($B219-$AD219)/7-'Guide &amp; Settings'!$C$48)+1)*'Guide &amp; Settings'!$C$49,0)))))</f>
        <v>0</v>
      </c>
      <c r="AD219" s="142">
        <f t="shared" si="77"/>
        <v>46176</v>
      </c>
      <c r="AE219">
        <f t="shared" si="78"/>
        <v>2</v>
      </c>
      <c r="AF219">
        <f t="shared" si="79"/>
        <v>0</v>
      </c>
    </row>
    <row r="220" spans="1:32" ht="15" customHeight="1" x14ac:dyDescent="0.2">
      <c r="A220" s="117">
        <v>87</v>
      </c>
      <c r="B220" s="118">
        <v>46188</v>
      </c>
      <c r="C220" s="119" t="s">
        <v>37</v>
      </c>
      <c r="D220" s="119" t="s">
        <v>21</v>
      </c>
      <c r="E220" s="117" t="s">
        <v>370</v>
      </c>
      <c r="F220" s="120">
        <f t="shared" si="60"/>
        <v>2</v>
      </c>
      <c r="G220" s="121" t="str">
        <f t="shared" si="61"/>
        <v>Simon</v>
      </c>
      <c r="H220" s="122">
        <f>IF($D220="",0,IFERROR(LOOKUP(2,1/(($D$3:D219=$D220)*($A$3:A219&lt;$A220)),$N$3:N219),'Guide &amp; Settings'!$C$41))</f>
        <v>1127.7581209868999</v>
      </c>
      <c r="I220" s="123">
        <f t="shared" si="62"/>
        <v>0.5</v>
      </c>
      <c r="J220" s="124">
        <f>IF($D220="",0,IF($F220&lt;2,0,IF($E220="Win",('Guide &amp; Settings'!$C$42/(($F220-1)*COUNTIFS($A$4:$A$1510,$A220,$E$4:$E$1510,"Win")))*SUMIFS($X$4:$X$1510,$A$4:$A$1510,$A220,$E$4:$E$1510,"Loss"),-('Guide &amp; Settings'!$C$42/($F220-1))*$X220)))</f>
        <v>14.028261530073795</v>
      </c>
      <c r="K220" s="124">
        <f>IF($D220="",0,'Guide &amp; Settings'!$C$43*(IF($E220="Win",1,0)-$I220))</f>
        <v>6</v>
      </c>
      <c r="L220" s="125">
        <f>IF($D220="",0,'Guide &amp; Settings'!$C$44*IF($F220&gt;=3,$F220,0))</f>
        <v>0</v>
      </c>
      <c r="M220" s="124">
        <f t="shared" si="63"/>
        <v>20.028261530073795</v>
      </c>
      <c r="N220" s="122">
        <f t="shared" si="64"/>
        <v>1147.7863825169738</v>
      </c>
      <c r="O220" s="121" t="str">
        <f t="shared" si="65"/>
        <v>OK</v>
      </c>
      <c r="P220">
        <f t="shared" si="66"/>
        <v>1127.7581209868999</v>
      </c>
      <c r="Q220">
        <f t="shared" si="67"/>
        <v>0.5</v>
      </c>
      <c r="R220">
        <f t="shared" si="68"/>
        <v>0.5</v>
      </c>
      <c r="S220">
        <f t="shared" si="69"/>
        <v>1</v>
      </c>
      <c r="T220" s="89">
        <f t="shared" si="70"/>
        <v>0</v>
      </c>
      <c r="U220" s="126">
        <f>IF($D220="",0,IFERROR(LOOKUP(2,1/(($D$3:D219=$D220)*($C$3:C219=$C220)*($A$3:A219&lt;$A220)),$AB$3:AB219),1000))</f>
        <v>1000</v>
      </c>
      <c r="V220" s="126">
        <f t="shared" si="71"/>
        <v>1127.7581209868999</v>
      </c>
      <c r="W220">
        <f t="shared" si="72"/>
        <v>1127.7581209868999</v>
      </c>
      <c r="X220">
        <f t="shared" si="73"/>
        <v>0.5</v>
      </c>
      <c r="Y220">
        <f t="shared" si="74"/>
        <v>1000</v>
      </c>
      <c r="Z220">
        <f t="shared" si="75"/>
        <v>0.5</v>
      </c>
      <c r="AA220">
        <f>IF($D220="",0,IF($F220&lt;2,0,IF($E220="Win",('Guide &amp; Settings'!$C$42/(($F220-1)*COUNTIFS($A$4:$A$1510,$A220,$E$4:$E$1510,"Win")))*SUMIFS($Z$4:$Z$1510,$A$4:$A$1510,$A220,$E$4:$E$1510,"Loss"),-('Guide &amp; Settings'!$C$42/($F220-1))*$Z220)))</f>
        <v>15.775654816736873</v>
      </c>
      <c r="AB220" s="126">
        <f t="shared" si="76"/>
        <v>1015.7756548167368</v>
      </c>
      <c r="AC220" s="126">
        <f>IF($D220="","",IF($AD220=0,0,IF(COUNTIFS($D$4:$D220,$D220,$B$4:$B220,$B220)&gt;1,0,IF($B220&lt;'Guide &amp; Settings'!$C$50,0,IF(($B220-$AD220)/7-'Guide &amp; Settings'!$C$48&gt;=0,(INT(($B220-$AD220)/7-'Guide &amp; Settings'!$C$48)+1)*'Guide &amp; Settings'!$C$49,0)))))</f>
        <v>0</v>
      </c>
      <c r="AD220" s="142">
        <f t="shared" si="77"/>
        <v>46175</v>
      </c>
      <c r="AE220">
        <f t="shared" si="78"/>
        <v>1</v>
      </c>
      <c r="AF220">
        <f t="shared" si="79"/>
        <v>0</v>
      </c>
    </row>
    <row r="221" spans="1:32" ht="15" customHeight="1" x14ac:dyDescent="0.2">
      <c r="A221" s="117">
        <v>87</v>
      </c>
      <c r="B221" s="118">
        <v>46188</v>
      </c>
      <c r="C221" s="119" t="s">
        <v>37</v>
      </c>
      <c r="D221" s="119" t="s">
        <v>23</v>
      </c>
      <c r="E221" s="117" t="s">
        <v>371</v>
      </c>
      <c r="F221" s="120">
        <f t="shared" si="60"/>
        <v>2</v>
      </c>
      <c r="G221" s="121" t="str">
        <f t="shared" si="61"/>
        <v>Simon</v>
      </c>
      <c r="H221" s="122">
        <f>IF($D221="",0,IFERROR(LOOKUP(2,1/(($D$3:D220=$D221)*($A$3:A220&lt;$A221)),$N$3:N220),'Guide &amp; Settings'!$C$41))</f>
        <v>1156.4000582193994</v>
      </c>
      <c r="I221" s="123">
        <f t="shared" si="62"/>
        <v>0.5</v>
      </c>
      <c r="J221" s="124">
        <f>IF($D221="",0,IF($F221&lt;2,0,IF($E221="Win",('Guide &amp; Settings'!$C$42/(($F221-1)*COUNTIFS($A$4:$A$1510,$A221,$E$4:$E$1510,"Win")))*SUMIFS($X$4:$X$1510,$A$4:$A$1510,$A221,$E$4:$E$1510,"Loss"),-('Guide &amp; Settings'!$C$42/($F221-1))*$X221)))</f>
        <v>-14.028261530073795</v>
      </c>
      <c r="K221" s="124">
        <f>IF($D221="",0,'Guide &amp; Settings'!$C$43*(IF($E221="Win",1,0)-$I221))</f>
        <v>-6</v>
      </c>
      <c r="L221" s="125">
        <f>IF($D221="",0,'Guide &amp; Settings'!$C$44*IF($F221&gt;=3,$F221,0))</f>
        <v>0</v>
      </c>
      <c r="M221" s="124">
        <f t="shared" si="63"/>
        <v>-20.028261530073795</v>
      </c>
      <c r="N221" s="122">
        <f t="shared" si="64"/>
        <v>1136.3717966893255</v>
      </c>
      <c r="O221" s="121" t="str">
        <f t="shared" si="65"/>
        <v>OK</v>
      </c>
      <c r="P221">
        <f t="shared" si="66"/>
        <v>1127.7581209868999</v>
      </c>
      <c r="Q221">
        <f t="shared" si="67"/>
        <v>0.54112593868630765</v>
      </c>
      <c r="R221">
        <f t="shared" si="68"/>
        <v>0.5</v>
      </c>
      <c r="S221">
        <f t="shared" si="69"/>
        <v>1</v>
      </c>
      <c r="T221" s="89">
        <f t="shared" si="70"/>
        <v>4</v>
      </c>
      <c r="U221" s="126">
        <f>IF($D221="",0,IFERROR(LOOKUP(2,1/(($D$3:D220=$D221)*($C$3:C220=$C221)*($A$3:A220&lt;$A221)),$AB$3:AB220),1000))</f>
        <v>995.12808694655291</v>
      </c>
      <c r="V221" s="126">
        <f t="shared" si="71"/>
        <v>1084.7236265425786</v>
      </c>
      <c r="W221">
        <f t="shared" si="72"/>
        <v>1127.7581209868999</v>
      </c>
      <c r="X221">
        <f t="shared" si="73"/>
        <v>0.4383831728148061</v>
      </c>
      <c r="Y221">
        <f t="shared" si="74"/>
        <v>1000</v>
      </c>
      <c r="Z221">
        <f t="shared" si="75"/>
        <v>0.49298921302302728</v>
      </c>
      <c r="AA221">
        <f>IF($D221="",0,IF($F221&lt;2,0,IF($E221="Win",('Guide &amp; Settings'!$C$42/(($F221-1)*COUNTIFS($A$4:$A$1510,$A221,$E$4:$E$1510,"Win")))*SUMIFS($Z$4:$Z$1510,$A$4:$A$1510,$A221,$E$4:$E$1510,"Loss"),-('Guide &amp; Settings'!$C$42/($F221-1))*$Z221)))</f>
        <v>-15.775654816736873</v>
      </c>
      <c r="AB221" s="126">
        <f t="shared" si="76"/>
        <v>979.35243212981607</v>
      </c>
      <c r="AC221" s="126">
        <f>IF($D221="","",IF($AD221=0,0,IF(COUNTIFS($D$4:$D221,$D221,$B$4:$B221,$B221)&gt;1,0,IF($B221&lt;'Guide &amp; Settings'!$C$50,0,IF(($B221-$AD221)/7-'Guide &amp; Settings'!$C$48&gt;=0,(INT(($B221-$AD221)/7-'Guide &amp; Settings'!$C$48)+1)*'Guide &amp; Settings'!$C$49,0)))))</f>
        <v>0</v>
      </c>
      <c r="AD221" s="142">
        <f t="shared" si="77"/>
        <v>46177</v>
      </c>
      <c r="AE221">
        <f t="shared" si="78"/>
        <v>1</v>
      </c>
      <c r="AF221">
        <f t="shared" si="79"/>
        <v>0</v>
      </c>
    </row>
    <row r="222" spans="1:32" ht="15" customHeight="1" x14ac:dyDescent="0.2">
      <c r="A222" s="117">
        <v>88</v>
      </c>
      <c r="B222" s="118">
        <v>46188</v>
      </c>
      <c r="C222" s="119" t="s">
        <v>37</v>
      </c>
      <c r="D222" s="119" t="s">
        <v>21</v>
      </c>
      <c r="E222" s="117" t="s">
        <v>370</v>
      </c>
      <c r="F222" s="120">
        <f t="shared" si="60"/>
        <v>2</v>
      </c>
      <c r="G222" s="121" t="str">
        <f t="shared" si="61"/>
        <v>Simon</v>
      </c>
      <c r="H222" s="122">
        <f>IF($D222="",0,IFERROR(LOOKUP(2,1/(($D$3:D221=$D222)*($A$3:A221&lt;$A222)),$N$3:N221),'Guide &amp; Settings'!$C$41))</f>
        <v>1147.7863825169738</v>
      </c>
      <c r="I222" s="123">
        <f t="shared" si="62"/>
        <v>0.60869565217391308</v>
      </c>
      <c r="J222" s="124">
        <f>IF($D222="",0,IF($F222&lt;2,0,IF($E222="Win",('Guide &amp; Settings'!$C$42/(($F222-1)*COUNTIFS($A$4:$A$1510,$A222,$E$4:$E$1510,"Win")))*SUMIFS($X$4:$X$1510,$A$4:$A$1510,$A222,$E$4:$E$1510,"Loss"),-('Guide &amp; Settings'!$C$42/($F222-1))*$X222)))</f>
        <v>12.911303190818334</v>
      </c>
      <c r="K222" s="124">
        <f>IF($D222="",0,'Guide &amp; Settings'!$C$43*(IF($E222="Win",1,0)-$I222))</f>
        <v>4.695652173913043</v>
      </c>
      <c r="L222" s="125">
        <f>IF($D222="",0,'Guide &amp; Settings'!$C$44*IF($F222&gt;=3,$F222,0))</f>
        <v>0</v>
      </c>
      <c r="M222" s="124">
        <f t="shared" si="63"/>
        <v>17.606955364731377</v>
      </c>
      <c r="N222" s="122">
        <f t="shared" si="64"/>
        <v>1165.3933378817053</v>
      </c>
      <c r="O222" s="121" t="str">
        <f t="shared" si="65"/>
        <v>OK</v>
      </c>
      <c r="P222">
        <f t="shared" si="66"/>
        <v>1147.7863825169738</v>
      </c>
      <c r="Q222">
        <f t="shared" si="67"/>
        <v>0.5</v>
      </c>
      <c r="R222">
        <f t="shared" si="68"/>
        <v>0.66666666666666663</v>
      </c>
      <c r="S222">
        <f t="shared" si="69"/>
        <v>1.0952380952380951</v>
      </c>
      <c r="T222" s="89">
        <f t="shared" si="70"/>
        <v>1</v>
      </c>
      <c r="U222" s="126">
        <f>IF($D222="",0,IFERROR(LOOKUP(2,1/(($D$3:D221=$D222)*($C$3:C221=$C222)*($A$3:A221&lt;$A222)),$AB$3:AB221),1000))</f>
        <v>1015.7756548167368</v>
      </c>
      <c r="V222" s="126">
        <f t="shared" si="71"/>
        <v>1125.7845945669344</v>
      </c>
      <c r="W222">
        <f t="shared" si="72"/>
        <v>1125.7845945669344</v>
      </c>
      <c r="X222">
        <f t="shared" si="73"/>
        <v>0.5</v>
      </c>
      <c r="Y222">
        <f t="shared" si="74"/>
        <v>1015.7756548167368</v>
      </c>
      <c r="Z222">
        <f t="shared" si="75"/>
        <v>0.5</v>
      </c>
      <c r="AA222">
        <f>IF($D222="",0,IF($F222&lt;2,0,IF($E222="Win",('Guide &amp; Settings'!$C$42/(($F222-1)*COUNTIFS($A$4:$A$1510,$A222,$E$4:$E$1510,"Win")))*SUMIFS($Z$4:$Z$1510,$A$4:$A$1510,$A222,$E$4:$E$1510,"Loss"),-('Guide &amp; Settings'!$C$42/($F222-1))*$Z222)))</f>
        <v>14.328766559400348</v>
      </c>
      <c r="AB222" s="126">
        <f t="shared" si="76"/>
        <v>1030.1044213761372</v>
      </c>
      <c r="AC222" s="126">
        <f>IF($D222="","",IF($AD222=0,0,IF(COUNTIFS($D$4:$D222,$D222,$B$4:$B222,$B222)&gt;1,0,IF($B222&lt;'Guide &amp; Settings'!$C$50,0,IF(($B222-$AD222)/7-'Guide &amp; Settings'!$C$48&gt;=0,(INT(($B222-$AD222)/7-'Guide &amp; Settings'!$C$48)+1)*'Guide &amp; Settings'!$C$49,0)))))</f>
        <v>0</v>
      </c>
      <c r="AD222" s="142">
        <f t="shared" si="77"/>
        <v>46175</v>
      </c>
      <c r="AE222">
        <f t="shared" si="78"/>
        <v>1</v>
      </c>
      <c r="AF222">
        <f t="shared" si="79"/>
        <v>0</v>
      </c>
    </row>
    <row r="223" spans="1:32" ht="15" customHeight="1" x14ac:dyDescent="0.2">
      <c r="A223" s="117">
        <v>88</v>
      </c>
      <c r="B223" s="118">
        <v>46188</v>
      </c>
      <c r="C223" s="119" t="s">
        <v>37</v>
      </c>
      <c r="D223" s="119" t="s">
        <v>23</v>
      </c>
      <c r="E223" s="117" t="s">
        <v>371</v>
      </c>
      <c r="F223" s="120">
        <f t="shared" si="60"/>
        <v>2</v>
      </c>
      <c r="G223" s="121" t="str">
        <f t="shared" si="61"/>
        <v>Simon</v>
      </c>
      <c r="H223" s="122">
        <f>IF($D223="",0,IFERROR(LOOKUP(2,1/(($D$3:D222=$D223)*($A$3:A222&lt;$A223)),$N$3:N222),'Guide &amp; Settings'!$C$41))</f>
        <v>1136.3717966893255</v>
      </c>
      <c r="I223" s="123">
        <f t="shared" si="62"/>
        <v>0.39130434782608697</v>
      </c>
      <c r="J223" s="124">
        <f>IF($D223="",0,IF($F223&lt;2,0,IF($E223="Win",('Guide &amp; Settings'!$C$42/(($F223-1)*COUNTIFS($A$4:$A$1510,$A223,$E$4:$E$1510,"Win")))*SUMIFS($X$4:$X$1510,$A$4:$A$1510,$A223,$E$4:$E$1510,"Loss"),-('Guide &amp; Settings'!$C$42/($F223-1))*$X223)))</f>
        <v>-12.911303190818334</v>
      </c>
      <c r="K223" s="124">
        <f>IF($D223="",0,'Guide &amp; Settings'!$C$43*(IF($E223="Win",1,0)-$I223))</f>
        <v>-4.6956521739130439</v>
      </c>
      <c r="L223" s="125">
        <f>IF($D223="",0,'Guide &amp; Settings'!$C$44*IF($F223&gt;=3,$F223,0))</f>
        <v>0</v>
      </c>
      <c r="M223" s="124">
        <f t="shared" si="63"/>
        <v>-17.606955364731377</v>
      </c>
      <c r="N223" s="122">
        <f t="shared" si="64"/>
        <v>1118.764841324594</v>
      </c>
      <c r="O223" s="121" t="str">
        <f t="shared" si="65"/>
        <v>OK</v>
      </c>
      <c r="P223">
        <f t="shared" si="66"/>
        <v>1147.7863825169738</v>
      </c>
      <c r="Q223">
        <f t="shared" si="67"/>
        <v>0.48357899822495315</v>
      </c>
      <c r="R223">
        <f t="shared" si="68"/>
        <v>0.42857142857142855</v>
      </c>
      <c r="S223">
        <f t="shared" si="69"/>
        <v>1.0952380952380951</v>
      </c>
      <c r="T223" s="89">
        <f t="shared" si="70"/>
        <v>5</v>
      </c>
      <c r="U223" s="126">
        <f>IF($D223="",0,IFERROR(LOOKUP(2,1/(($D$3:D222=$D223)*($C$3:C222=$C223)*($A$3:A222&lt;$A223)),$AB$3:AB222),1000))</f>
        <v>979.35243212981607</v>
      </c>
      <c r="V223" s="126">
        <f t="shared" si="71"/>
        <v>1057.8621144095707</v>
      </c>
      <c r="W223">
        <f t="shared" si="72"/>
        <v>1125.7845945669344</v>
      </c>
      <c r="X223">
        <f t="shared" si="73"/>
        <v>0.40347822471307293</v>
      </c>
      <c r="Y223">
        <f t="shared" si="74"/>
        <v>1015.7756548167368</v>
      </c>
      <c r="Z223">
        <f t="shared" si="75"/>
        <v>0.44777395498126088</v>
      </c>
      <c r="AA223">
        <f>IF($D223="",0,IF($F223&lt;2,0,IF($E223="Win",('Guide &amp; Settings'!$C$42/(($F223-1)*COUNTIFS($A$4:$A$1510,$A223,$E$4:$E$1510,"Win")))*SUMIFS($Z$4:$Z$1510,$A$4:$A$1510,$A223,$E$4:$E$1510,"Loss"),-('Guide &amp; Settings'!$C$42/($F223-1))*$Z223)))</f>
        <v>-14.328766559400348</v>
      </c>
      <c r="AB223" s="126">
        <f t="shared" si="76"/>
        <v>965.02366557041569</v>
      </c>
      <c r="AC223" s="126">
        <f>IF($D223="","",IF($AD223=0,0,IF(COUNTIFS($D$4:$D223,$D223,$B$4:$B223,$B223)&gt;1,0,IF($B223&lt;'Guide &amp; Settings'!$C$50,0,IF(($B223-$AD223)/7-'Guide &amp; Settings'!$C$48&gt;=0,(INT(($B223-$AD223)/7-'Guide &amp; Settings'!$C$48)+1)*'Guide &amp; Settings'!$C$49,0)))))</f>
        <v>0</v>
      </c>
      <c r="AD223" s="142">
        <f t="shared" si="77"/>
        <v>46177</v>
      </c>
      <c r="AE223">
        <f t="shared" si="78"/>
        <v>1</v>
      </c>
      <c r="AF223">
        <f t="shared" si="79"/>
        <v>0</v>
      </c>
    </row>
    <row r="224" spans="1:32" ht="15" customHeight="1" x14ac:dyDescent="0.2">
      <c r="A224" s="117">
        <v>89</v>
      </c>
      <c r="B224" s="118">
        <v>46188</v>
      </c>
      <c r="C224" s="119" t="s">
        <v>9</v>
      </c>
      <c r="D224" s="119" t="s">
        <v>22</v>
      </c>
      <c r="E224" s="117" t="s">
        <v>370</v>
      </c>
      <c r="F224" s="120">
        <f t="shared" si="60"/>
        <v>3</v>
      </c>
      <c r="G224" s="121" t="str">
        <f t="shared" si="61"/>
        <v>Daniel (Ferret)</v>
      </c>
      <c r="H224" s="122">
        <f>IF($D224="",0,IFERROR(LOOKUP(2,1/(($D$3:D223=$D224)*($A$3:A223&lt;$A224)),$N$3:N223),'Guide &amp; Settings'!$C$41))</f>
        <v>1045.5502368060577</v>
      </c>
      <c r="I224" s="123">
        <f t="shared" si="62"/>
        <v>0.33333333333333331</v>
      </c>
      <c r="J224" s="124">
        <f>IF($D224="",0,IF($F224&lt;2,0,IF($E224="Win",('Guide &amp; Settings'!$C$42/(($F224-1)*COUNTIFS($A$4:$A$1510,$A224,$E$4:$E$1510,"Win")))*SUMIFS($X$4:$X$1510,$A$4:$A$1510,$A224,$E$4:$E$1510,"Loss"),-('Guide &amp; Settings'!$C$42/($F224-1))*$X224)))</f>
        <v>14.377200292731217</v>
      </c>
      <c r="K224" s="124">
        <f>IF($D224="",0,'Guide &amp; Settings'!$C$43*(IF($E224="Win",1,0)-$I224))</f>
        <v>8</v>
      </c>
      <c r="L224" s="125">
        <f>IF($D224="",0,'Guide &amp; Settings'!$C$44*IF($F224&gt;=3,$F224,0))</f>
        <v>3</v>
      </c>
      <c r="M224" s="124">
        <f t="shared" si="63"/>
        <v>25.377200292731217</v>
      </c>
      <c r="N224" s="122">
        <f t="shared" si="64"/>
        <v>1070.9274370987889</v>
      </c>
      <c r="O224" s="121" t="str">
        <f t="shared" si="65"/>
        <v>OK</v>
      </c>
      <c r="P224">
        <f t="shared" si="66"/>
        <v>1045.5502368060577</v>
      </c>
      <c r="Q224">
        <f t="shared" si="67"/>
        <v>0.5</v>
      </c>
      <c r="R224">
        <f t="shared" si="68"/>
        <v>0.5</v>
      </c>
      <c r="S224">
        <f t="shared" si="69"/>
        <v>1.5</v>
      </c>
      <c r="T224" s="89">
        <f t="shared" si="70"/>
        <v>0</v>
      </c>
      <c r="U224" s="126">
        <f>IF($D224="",0,IFERROR(LOOKUP(2,1/(($D$3:D223=$D224)*($C$3:C223=$C224)*($A$3:A223&lt;$A224)),$AB$3:AB223),1000))</f>
        <v>1000</v>
      </c>
      <c r="V224" s="126">
        <f t="shared" si="71"/>
        <v>1045.5502368060577</v>
      </c>
      <c r="W224">
        <f t="shared" si="72"/>
        <v>1045.5502368060577</v>
      </c>
      <c r="X224">
        <f t="shared" si="73"/>
        <v>0.5</v>
      </c>
      <c r="Y224">
        <f t="shared" si="74"/>
        <v>1000</v>
      </c>
      <c r="Z224">
        <f t="shared" si="75"/>
        <v>0.5</v>
      </c>
      <c r="AA224">
        <f>IF($D224="",0,IF($F224&lt;2,0,IF($E224="Win",('Guide &amp; Settings'!$C$42/(($F224-1)*COUNTIFS($A$4:$A$1510,$A224,$E$4:$E$1510,"Win")))*SUMIFS($Z$4:$Z$1510,$A$4:$A$1510,$A224,$E$4:$E$1510,"Loss"),-('Guide &amp; Settings'!$C$42/($F224-1))*$Z224)))</f>
        <v>16</v>
      </c>
      <c r="AB224" s="126">
        <f t="shared" si="76"/>
        <v>1016</v>
      </c>
      <c r="AC224" s="126">
        <f>IF($D224="","",IF($AD224=0,0,IF(COUNTIFS($D$4:$D224,$D224,$B$4:$B224,$B224)&gt;1,0,IF($B224&lt;'Guide &amp; Settings'!$C$50,0,IF(($B224-$AD224)/7-'Guide &amp; Settings'!$C$48&gt;=0,(INT(($B224-$AD224)/7-'Guide &amp; Settings'!$C$48)+1)*'Guide &amp; Settings'!$C$49,0)))))</f>
        <v>0</v>
      </c>
      <c r="AD224" s="142">
        <f t="shared" si="77"/>
        <v>46176</v>
      </c>
      <c r="AE224">
        <f t="shared" si="78"/>
        <v>1</v>
      </c>
      <c r="AF224">
        <f t="shared" si="79"/>
        <v>0</v>
      </c>
    </row>
    <row r="225" spans="1:32" ht="15" customHeight="1" x14ac:dyDescent="0.2">
      <c r="A225" s="117">
        <v>89</v>
      </c>
      <c r="B225" s="118">
        <v>46188</v>
      </c>
      <c r="C225" s="119" t="s">
        <v>9</v>
      </c>
      <c r="D225" s="119" t="s">
        <v>25</v>
      </c>
      <c r="E225" s="117" t="s">
        <v>371</v>
      </c>
      <c r="F225" s="120">
        <f t="shared" si="60"/>
        <v>3</v>
      </c>
      <c r="G225" s="121" t="str">
        <f t="shared" si="61"/>
        <v>Daniel (Ferret)</v>
      </c>
      <c r="H225" s="122">
        <f>IF($D225="",0,IFERROR(LOOKUP(2,1/(($D$3:D224=$D225)*($A$3:A224&lt;$A225)),$N$3:N224),'Guide &amp; Settings'!$C$41))</f>
        <v>995.20226565334463</v>
      </c>
      <c r="I225" s="123">
        <f t="shared" si="62"/>
        <v>0.33333333333333331</v>
      </c>
      <c r="J225" s="124">
        <f>IF($D225="",0,IF($F225&lt;2,0,IF($E225="Win",('Guide &amp; Settings'!$C$42/(($F225-1)*COUNTIFS($A$4:$A$1510,$A225,$E$4:$E$1510,"Win")))*SUMIFS($X$4:$X$1510,$A$4:$A$1510,$A225,$E$4:$E$1510,"Loss"),-('Guide &amp; Settings'!$C$42/($F225-1))*$X225)))</f>
        <v>-6.8487425907300192</v>
      </c>
      <c r="K225" s="124">
        <f>IF($D225="",0,'Guide &amp; Settings'!$C$43*(IF($E225="Win",1,0)-$I225))</f>
        <v>-4</v>
      </c>
      <c r="L225" s="125">
        <f>IF($D225="",0,'Guide &amp; Settings'!$C$44*IF($F225&gt;=3,$F225,0))</f>
        <v>3</v>
      </c>
      <c r="M225" s="124">
        <f t="shared" si="63"/>
        <v>-7.8487425907300192</v>
      </c>
      <c r="N225" s="122">
        <f t="shared" si="64"/>
        <v>987.35352306261461</v>
      </c>
      <c r="O225" s="121" t="str">
        <f t="shared" si="65"/>
        <v>OK</v>
      </c>
      <c r="P225">
        <f t="shared" si="66"/>
        <v>1045.5502368060577</v>
      </c>
      <c r="Q225">
        <f t="shared" si="67"/>
        <v>0.4280464119206262</v>
      </c>
      <c r="R225">
        <f t="shared" si="68"/>
        <v>0.5</v>
      </c>
      <c r="S225">
        <f t="shared" si="69"/>
        <v>1.5</v>
      </c>
      <c r="T225" s="89">
        <f t="shared" si="70"/>
        <v>0</v>
      </c>
      <c r="U225" s="126">
        <f>IF($D225="",0,IFERROR(LOOKUP(2,1/(($D$3:D224=$D225)*($C$3:C224=$C225)*($A$3:A224&lt;$A225)),$AB$3:AB224),1000))</f>
        <v>1000</v>
      </c>
      <c r="V225" s="126">
        <f t="shared" si="71"/>
        <v>995.20226565334463</v>
      </c>
      <c r="W225">
        <f t="shared" si="72"/>
        <v>1045.5502368060577</v>
      </c>
      <c r="X225">
        <f t="shared" si="73"/>
        <v>0.4280464119206262</v>
      </c>
      <c r="Y225">
        <f t="shared" si="74"/>
        <v>1000</v>
      </c>
      <c r="Z225">
        <f t="shared" si="75"/>
        <v>0.5</v>
      </c>
      <c r="AA225">
        <f>IF($D225="",0,IF($F225&lt;2,0,IF($E225="Win",('Guide &amp; Settings'!$C$42/(($F225-1)*COUNTIFS($A$4:$A$1510,$A225,$E$4:$E$1510,"Win")))*SUMIFS($Z$4:$Z$1510,$A$4:$A$1510,$A225,$E$4:$E$1510,"Loss"),-('Guide &amp; Settings'!$C$42/($F225-1))*$Z225)))</f>
        <v>-8</v>
      </c>
      <c r="AB225" s="126">
        <f t="shared" si="76"/>
        <v>992</v>
      </c>
      <c r="AC225" s="126">
        <f>IF($D225="","",IF($AD225=0,0,IF(COUNTIFS($D$4:$D225,$D225,$B$4:$B225,$B225)&gt;1,0,IF($B225&lt;'Guide &amp; Settings'!$C$50,0,IF(($B225-$AD225)/7-'Guide &amp; Settings'!$C$48&gt;=0,(INT(($B225-$AD225)/7-'Guide &amp; Settings'!$C$48)+1)*'Guide &amp; Settings'!$C$49,0)))))</f>
        <v>0</v>
      </c>
      <c r="AD225" s="142">
        <f t="shared" si="77"/>
        <v>46177</v>
      </c>
      <c r="AE225">
        <f t="shared" si="78"/>
        <v>1</v>
      </c>
      <c r="AF225">
        <f t="shared" si="79"/>
        <v>0</v>
      </c>
    </row>
    <row r="226" spans="1:32" ht="15" customHeight="1" x14ac:dyDescent="0.2">
      <c r="A226" s="117">
        <v>89</v>
      </c>
      <c r="B226" s="118">
        <v>46188</v>
      </c>
      <c r="C226" s="119" t="s">
        <v>9</v>
      </c>
      <c r="D226" s="119" t="s">
        <v>20</v>
      </c>
      <c r="E226" s="117" t="s">
        <v>371</v>
      </c>
      <c r="F226" s="120">
        <f t="shared" si="60"/>
        <v>3</v>
      </c>
      <c r="G226" s="121" t="str">
        <f t="shared" si="61"/>
        <v>Daniel (Ferret)</v>
      </c>
      <c r="H226" s="122">
        <f>IF($D226="",0,IFERROR(LOOKUP(2,1/(($D$3:D225=$D226)*($A$3:A225&lt;$A226)),$N$3:N225),'Guide &amp; Settings'!$C$41))</f>
        <v>1025.047649247907</v>
      </c>
      <c r="I226" s="123">
        <f t="shared" si="62"/>
        <v>0.33333333333333331</v>
      </c>
      <c r="J226" s="124">
        <f>IF($D226="",0,IF($F226&lt;2,0,IF($E226="Win",('Guide &amp; Settings'!$C$42/(($F226-1)*COUNTIFS($A$4:$A$1510,$A226,$E$4:$E$1510,"Win")))*SUMIFS($X$4:$X$1510,$A$4:$A$1510,$A226,$E$4:$E$1510,"Loss"),-('Guide &amp; Settings'!$C$42/($F226-1))*$X226)))</f>
        <v>-7.5284577020011971</v>
      </c>
      <c r="K226" s="124">
        <f>IF($D226="",0,'Guide &amp; Settings'!$C$43*(IF($E226="Win",1,0)-$I226))</f>
        <v>-4</v>
      </c>
      <c r="L226" s="125">
        <f>IF($D226="",0,'Guide &amp; Settings'!$C$44*IF($F226&gt;=3,$F226,0))</f>
        <v>3</v>
      </c>
      <c r="M226" s="124">
        <f t="shared" si="63"/>
        <v>-8.528457702001198</v>
      </c>
      <c r="N226" s="122">
        <f t="shared" si="64"/>
        <v>1016.5191915459058</v>
      </c>
      <c r="O226" s="121" t="str">
        <f t="shared" si="65"/>
        <v>OK</v>
      </c>
      <c r="P226">
        <f t="shared" si="66"/>
        <v>1045.5502368060577</v>
      </c>
      <c r="Q226">
        <f t="shared" si="67"/>
        <v>0.47052860637507482</v>
      </c>
      <c r="R226">
        <f t="shared" si="68"/>
        <v>0.5</v>
      </c>
      <c r="S226">
        <f t="shared" si="69"/>
        <v>1.5</v>
      </c>
      <c r="T226" s="89">
        <f t="shared" si="70"/>
        <v>0</v>
      </c>
      <c r="U226" s="126">
        <f>IF($D226="",0,IFERROR(LOOKUP(2,1/(($D$3:D225=$D226)*($C$3:C225=$C226)*($A$3:A225&lt;$A226)),$AB$3:AB225),1000))</f>
        <v>1000</v>
      </c>
      <c r="V226" s="126">
        <f t="shared" si="71"/>
        <v>1025.047649247907</v>
      </c>
      <c r="W226">
        <f t="shared" si="72"/>
        <v>1045.5502368060577</v>
      </c>
      <c r="X226">
        <f t="shared" si="73"/>
        <v>0.47052860637507482</v>
      </c>
      <c r="Y226">
        <f t="shared" si="74"/>
        <v>1000</v>
      </c>
      <c r="Z226">
        <f t="shared" si="75"/>
        <v>0.5</v>
      </c>
      <c r="AA226">
        <f>IF($D226="",0,IF($F226&lt;2,0,IF($E226="Win",('Guide &amp; Settings'!$C$42/(($F226-1)*COUNTIFS($A$4:$A$1510,$A226,$E$4:$E$1510,"Win")))*SUMIFS($Z$4:$Z$1510,$A$4:$A$1510,$A226,$E$4:$E$1510,"Loss"),-('Guide &amp; Settings'!$C$42/($F226-1))*$Z226)))</f>
        <v>-8</v>
      </c>
      <c r="AB226" s="126">
        <f t="shared" si="76"/>
        <v>992</v>
      </c>
      <c r="AC226" s="126">
        <f>IF($D226="","",IF($AD226=0,0,IF(COUNTIFS($D$4:$D226,$D226,$B$4:$B226,$B226)&gt;1,0,IF($B226&lt;'Guide &amp; Settings'!$C$50,0,IF(($B226-$AD226)/7-'Guide &amp; Settings'!$C$48&gt;=0,(INT(($B226-$AD226)/7-'Guide &amp; Settings'!$C$48)+1)*'Guide &amp; Settings'!$C$49,0)))))</f>
        <v>0</v>
      </c>
      <c r="AD226" s="142">
        <f t="shared" si="77"/>
        <v>46177</v>
      </c>
      <c r="AE226">
        <f t="shared" si="78"/>
        <v>1</v>
      </c>
      <c r="AF226">
        <f t="shared" si="79"/>
        <v>0</v>
      </c>
    </row>
    <row r="227" spans="1:32" ht="15" customHeight="1" x14ac:dyDescent="0.2">
      <c r="A227" s="117">
        <v>90</v>
      </c>
      <c r="B227" s="118">
        <v>46188</v>
      </c>
      <c r="C227" s="119" t="s">
        <v>44</v>
      </c>
      <c r="D227" s="119" t="s">
        <v>25</v>
      </c>
      <c r="E227" s="117" t="s">
        <v>370</v>
      </c>
      <c r="F227" s="120">
        <f t="shared" si="60"/>
        <v>2</v>
      </c>
      <c r="G227" s="121" t="str">
        <f t="shared" si="61"/>
        <v>Oscar</v>
      </c>
      <c r="H227" s="122">
        <f>IF($D227="",0,IFERROR(LOOKUP(2,1/(($D$3:D226=$D227)*($A$3:A226&lt;$A227)),$N$3:N226),'Guide &amp; Settings'!$C$41))</f>
        <v>987.35352306261461</v>
      </c>
      <c r="I227" s="123">
        <f t="shared" si="62"/>
        <v>0.4</v>
      </c>
      <c r="J227" s="124">
        <f>IF($D227="",0,IF($F227&lt;2,0,IF($E227="Win",('Guide &amp; Settings'!$C$42/(($F227-1)*COUNTIFS($A$4:$A$1510,$A227,$E$4:$E$1510,"Win")))*SUMIFS($X$4:$X$1510,$A$4:$A$1510,$A227,$E$4:$E$1510,"Loss"),-('Guide &amp; Settings'!$C$42/($F227-1))*$X227)))</f>
        <v>23.884264599888311</v>
      </c>
      <c r="K227" s="124">
        <f>IF($D227="",0,'Guide &amp; Settings'!$C$43*(IF($E227="Win",1,0)-$I227))</f>
        <v>7.1999999999999993</v>
      </c>
      <c r="L227" s="125">
        <f>IF($D227="",0,'Guide &amp; Settings'!$C$44*IF($F227&gt;=3,$F227,0))</f>
        <v>0</v>
      </c>
      <c r="M227" s="124">
        <f t="shared" si="63"/>
        <v>31.084264599888311</v>
      </c>
      <c r="N227" s="122">
        <f t="shared" si="64"/>
        <v>1018.437787662503</v>
      </c>
      <c r="O227" s="121" t="str">
        <f t="shared" si="65"/>
        <v>OK</v>
      </c>
      <c r="P227">
        <f t="shared" si="66"/>
        <v>987.35352306261461</v>
      </c>
      <c r="Q227">
        <f t="shared" si="67"/>
        <v>0.5</v>
      </c>
      <c r="R227">
        <f t="shared" si="68"/>
        <v>0.33333333333333331</v>
      </c>
      <c r="S227">
        <f t="shared" si="69"/>
        <v>0.83333333333333326</v>
      </c>
      <c r="T227" s="89">
        <f t="shared" si="70"/>
        <v>7</v>
      </c>
      <c r="U227" s="126">
        <f>IF($D227="",0,IFERROR(LOOKUP(2,1/(($D$3:D226=$D227)*($C$3:C226=$C227)*($A$3:A226&lt;$A227)),$AB$3:AB226),1000))</f>
        <v>971.11275211420309</v>
      </c>
      <c r="V227" s="126">
        <f t="shared" si="71"/>
        <v>977.87974000937459</v>
      </c>
      <c r="W227">
        <f t="shared" si="72"/>
        <v>977.87974000937459</v>
      </c>
      <c r="X227">
        <f t="shared" si="73"/>
        <v>0.5</v>
      </c>
      <c r="Y227">
        <f t="shared" si="74"/>
        <v>971.11275211420309</v>
      </c>
      <c r="Z227">
        <f t="shared" si="75"/>
        <v>0.5</v>
      </c>
      <c r="AA227">
        <f>IF($D227="",0,IF($F227&lt;2,0,IF($E227="Win",('Guide &amp; Settings'!$C$42/(($F227-1)*COUNTIFS($A$4:$A$1510,$A227,$E$4:$E$1510,"Win")))*SUMIFS($Z$4:$Z$1510,$A$4:$A$1510,$A227,$E$4:$E$1510,"Loss"),-('Guide &amp; Settings'!$C$42/($F227-1))*$Z227)))</f>
        <v>17.327249929355109</v>
      </c>
      <c r="AB227" s="126">
        <f t="shared" si="76"/>
        <v>988.44000204355825</v>
      </c>
      <c r="AC227" s="126">
        <f>IF($D227="","",IF($AD227=0,0,IF(COUNTIFS($D$4:$D227,$D227,$B$4:$B227,$B227)&gt;1,0,IF($B227&lt;'Guide &amp; Settings'!$C$50,0,IF(($B227-$AD227)/7-'Guide &amp; Settings'!$C$48&gt;=0,(INT(($B227-$AD227)/7-'Guide &amp; Settings'!$C$48)+1)*'Guide &amp; Settings'!$C$49,0)))))</f>
        <v>0</v>
      </c>
      <c r="AD227" s="142">
        <f t="shared" si="77"/>
        <v>46177</v>
      </c>
      <c r="AE227">
        <f t="shared" si="78"/>
        <v>1</v>
      </c>
      <c r="AF227">
        <f t="shared" si="79"/>
        <v>0</v>
      </c>
    </row>
    <row r="228" spans="1:32" ht="15" customHeight="1" x14ac:dyDescent="0.2">
      <c r="A228" s="117">
        <v>90</v>
      </c>
      <c r="B228" s="118">
        <v>46188</v>
      </c>
      <c r="C228" s="119" t="s">
        <v>44</v>
      </c>
      <c r="D228" s="119" t="s">
        <v>21</v>
      </c>
      <c r="E228" s="117" t="s">
        <v>371</v>
      </c>
      <c r="F228" s="120">
        <f t="shared" si="60"/>
        <v>2</v>
      </c>
      <c r="G228" s="121" t="str">
        <f t="shared" si="61"/>
        <v>Oscar</v>
      </c>
      <c r="H228" s="122">
        <f>IF($D228="",0,IFERROR(LOOKUP(2,1/(($D$3:D227=$D228)*($A$3:A227&lt;$A228)),$N$3:N227),'Guide &amp; Settings'!$C$41))</f>
        <v>1165.3933378817053</v>
      </c>
      <c r="I228" s="123">
        <f t="shared" si="62"/>
        <v>0.60000000000000009</v>
      </c>
      <c r="J228" s="124">
        <f>IF($D228="",0,IF($F228&lt;2,0,IF($E228="Win",('Guide &amp; Settings'!$C$42/(($F228-1)*COUNTIFS($A$4:$A$1510,$A228,$E$4:$E$1510,"Win")))*SUMIFS($X$4:$X$1510,$A$4:$A$1510,$A228,$E$4:$E$1510,"Loss"),-('Guide &amp; Settings'!$C$42/($F228-1))*$X228)))</f>
        <v>-23.884264599888311</v>
      </c>
      <c r="K228" s="124">
        <f>IF($D228="",0,'Guide &amp; Settings'!$C$43*(IF($E228="Win",1,0)-$I228))</f>
        <v>-7.2000000000000011</v>
      </c>
      <c r="L228" s="125">
        <f>IF($D228="",0,'Guide &amp; Settings'!$C$44*IF($F228&gt;=3,$F228,0))</f>
        <v>0</v>
      </c>
      <c r="M228" s="124">
        <f t="shared" si="63"/>
        <v>-31.084264599888314</v>
      </c>
      <c r="N228" s="122">
        <f t="shared" si="64"/>
        <v>1134.3090732818171</v>
      </c>
      <c r="O228" s="121" t="str">
        <f t="shared" si="65"/>
        <v>OK</v>
      </c>
      <c r="P228">
        <f t="shared" si="66"/>
        <v>987.35352306261461</v>
      </c>
      <c r="Q228">
        <f t="shared" si="67"/>
        <v>0.73592198797154829</v>
      </c>
      <c r="R228">
        <f t="shared" si="68"/>
        <v>0.5</v>
      </c>
      <c r="S228">
        <f t="shared" si="69"/>
        <v>0.83333333333333326</v>
      </c>
      <c r="T228" s="89">
        <f t="shared" si="70"/>
        <v>0</v>
      </c>
      <c r="U228" s="126">
        <f>IF($D228="",0,IFERROR(LOOKUP(2,1/(($D$3:D227=$D228)*($C$3:C227=$C228)*($A$3:A227&lt;$A228)),$AB$3:AB227),1000))</f>
        <v>1000</v>
      </c>
      <c r="V228" s="126">
        <f t="shared" si="71"/>
        <v>1165.3933378817053</v>
      </c>
      <c r="W228">
        <f t="shared" si="72"/>
        <v>977.87974000937459</v>
      </c>
      <c r="X228">
        <f t="shared" si="73"/>
        <v>0.74638326874650973</v>
      </c>
      <c r="Y228">
        <f t="shared" si="74"/>
        <v>971.11275211420309</v>
      </c>
      <c r="Z228">
        <f t="shared" si="75"/>
        <v>0.54147656029234714</v>
      </c>
      <c r="AA228">
        <f>IF($D228="",0,IF($F228&lt;2,0,IF($E228="Win",('Guide &amp; Settings'!$C$42/(($F228-1)*COUNTIFS($A$4:$A$1510,$A228,$E$4:$E$1510,"Win")))*SUMIFS($Z$4:$Z$1510,$A$4:$A$1510,$A228,$E$4:$E$1510,"Loss"),-('Guide &amp; Settings'!$C$42/($F228-1))*$Z228)))</f>
        <v>-17.327249929355109</v>
      </c>
      <c r="AB228" s="126">
        <f t="shared" si="76"/>
        <v>982.67275007064484</v>
      </c>
      <c r="AC228" s="126">
        <f>IF($D228="","",IF($AD228=0,0,IF(COUNTIFS($D$4:$D228,$D228,$B$4:$B228,$B228)&gt;1,0,IF($B228&lt;'Guide &amp; Settings'!$C$50,0,IF(($B228-$AD228)/7-'Guide &amp; Settings'!$C$48&gt;=0,(INT(($B228-$AD228)/7-'Guide &amp; Settings'!$C$48)+1)*'Guide &amp; Settings'!$C$49,0)))))</f>
        <v>0</v>
      </c>
      <c r="AD228" s="142">
        <f t="shared" si="77"/>
        <v>46175</v>
      </c>
      <c r="AE228">
        <f t="shared" si="78"/>
        <v>1</v>
      </c>
      <c r="AF228">
        <f t="shared" si="79"/>
        <v>0</v>
      </c>
    </row>
    <row r="229" spans="1:32" ht="15" customHeight="1" x14ac:dyDescent="0.2">
      <c r="A229" s="117">
        <v>91</v>
      </c>
      <c r="B229" s="118">
        <v>46188</v>
      </c>
      <c r="C229" s="119" t="s">
        <v>44</v>
      </c>
      <c r="D229" s="119" t="s">
        <v>25</v>
      </c>
      <c r="E229" s="117" t="s">
        <v>370</v>
      </c>
      <c r="F229" s="120">
        <f t="shared" si="60"/>
        <v>2</v>
      </c>
      <c r="G229" s="121" t="str">
        <f t="shared" si="61"/>
        <v>Oscar</v>
      </c>
      <c r="H229" s="122">
        <f>IF($D229="",0,IFERROR(LOOKUP(2,1/(($D$3:D228=$D229)*($A$3:A228&lt;$A229)),$N$3:N228),'Guide &amp; Settings'!$C$41))</f>
        <v>1018.437787662503</v>
      </c>
      <c r="I229" s="123">
        <f t="shared" si="62"/>
        <v>0.54545454545454541</v>
      </c>
      <c r="J229" s="124">
        <f>IF($D229="",0,IF($F229&lt;2,0,IF($E229="Win",('Guide &amp; Settings'!$C$42/(($F229-1)*COUNTIFS($A$4:$A$1510,$A229,$E$4:$E$1510,"Win")))*SUMIFS($X$4:$X$1510,$A$4:$A$1510,$A229,$E$4:$E$1510,"Loss"),-('Guide &amp; Settings'!$C$42/($F229-1))*$X229)))</f>
        <v>20.863640559183274</v>
      </c>
      <c r="K229" s="124">
        <f>IF($D229="",0,'Guide &amp; Settings'!$C$43*(IF($E229="Win",1,0)-$I229))</f>
        <v>5.454545454545455</v>
      </c>
      <c r="L229" s="125">
        <f>IF($D229="",0,'Guide &amp; Settings'!$C$44*IF($F229&gt;=3,$F229,0))</f>
        <v>0</v>
      </c>
      <c r="M229" s="124">
        <f t="shared" si="63"/>
        <v>26.318186013728727</v>
      </c>
      <c r="N229" s="122">
        <f t="shared" si="64"/>
        <v>1044.7559736762316</v>
      </c>
      <c r="O229" s="121" t="str">
        <f t="shared" si="65"/>
        <v>OK</v>
      </c>
      <c r="P229">
        <f t="shared" si="66"/>
        <v>1018.437787662503</v>
      </c>
      <c r="Q229">
        <f t="shared" si="67"/>
        <v>0.5</v>
      </c>
      <c r="R229">
        <f t="shared" si="68"/>
        <v>0.4</v>
      </c>
      <c r="S229">
        <f t="shared" si="69"/>
        <v>0.73333333333333339</v>
      </c>
      <c r="T229" s="89">
        <f t="shared" si="70"/>
        <v>8</v>
      </c>
      <c r="U229" s="126">
        <f>IF($D229="",0,IFERROR(LOOKUP(2,1/(($D$3:D228=$D229)*($C$3:C228=$C229)*($A$3:A228&lt;$A229)),$AB$3:AB228),1000))</f>
        <v>988.44000204355825</v>
      </c>
      <c r="V229" s="126">
        <f t="shared" si="71"/>
        <v>999.9776118969985</v>
      </c>
      <c r="W229">
        <f t="shared" si="72"/>
        <v>999.9776118969985</v>
      </c>
      <c r="X229">
        <f t="shared" si="73"/>
        <v>0.5</v>
      </c>
      <c r="Y229">
        <f t="shared" si="74"/>
        <v>988.44000204355825</v>
      </c>
      <c r="Z229">
        <f t="shared" si="75"/>
        <v>0.5</v>
      </c>
      <c r="AA229">
        <f>IF($D229="",0,IF($F229&lt;2,0,IF($E229="Win",('Guide &amp; Settings'!$C$42/(($F229-1)*COUNTIFS($A$4:$A$1510,$A229,$E$4:$E$1510,"Win")))*SUMIFS($Z$4:$Z$1510,$A$4:$A$1510,$A229,$E$4:$E$1510,"Loss"),-('Guide &amp; Settings'!$C$42/($F229-1))*$Z229)))</f>
        <v>15.73443262288135</v>
      </c>
      <c r="AB229" s="126">
        <f t="shared" si="76"/>
        <v>1004.1744346664397</v>
      </c>
      <c r="AC229" s="126">
        <f>IF($D229="","",IF($AD229=0,0,IF(COUNTIFS($D$4:$D229,$D229,$B$4:$B229,$B229)&gt;1,0,IF($B229&lt;'Guide &amp; Settings'!$C$50,0,IF(($B229-$AD229)/7-'Guide &amp; Settings'!$C$48&gt;=0,(INT(($B229-$AD229)/7-'Guide &amp; Settings'!$C$48)+1)*'Guide &amp; Settings'!$C$49,0)))))</f>
        <v>0</v>
      </c>
      <c r="AD229" s="142">
        <f t="shared" si="77"/>
        <v>46177</v>
      </c>
      <c r="AE229">
        <f t="shared" si="78"/>
        <v>1</v>
      </c>
      <c r="AF229">
        <f t="shared" si="79"/>
        <v>0</v>
      </c>
    </row>
    <row r="230" spans="1:32" ht="15" customHeight="1" x14ac:dyDescent="0.2">
      <c r="A230" s="117">
        <v>91</v>
      </c>
      <c r="B230" s="118">
        <v>46188</v>
      </c>
      <c r="C230" s="119" t="s">
        <v>44</v>
      </c>
      <c r="D230" s="119" t="s">
        <v>21</v>
      </c>
      <c r="E230" s="117" t="s">
        <v>371</v>
      </c>
      <c r="F230" s="120">
        <f t="shared" si="60"/>
        <v>2</v>
      </c>
      <c r="G230" s="121" t="str">
        <f t="shared" si="61"/>
        <v>Oscar</v>
      </c>
      <c r="H230" s="122">
        <f>IF($D230="",0,IFERROR(LOOKUP(2,1/(($D$3:D229=$D230)*($A$3:A229&lt;$A230)),$N$3:N229),'Guide &amp; Settings'!$C$41))</f>
        <v>1134.3090732818171</v>
      </c>
      <c r="I230" s="123">
        <f t="shared" si="62"/>
        <v>0.45454545454545447</v>
      </c>
      <c r="J230" s="124">
        <f>IF($D230="",0,IF($F230&lt;2,0,IF($E230="Win",('Guide &amp; Settings'!$C$42/(($F230-1)*COUNTIFS($A$4:$A$1510,$A230,$E$4:$E$1510,"Win")))*SUMIFS($X$4:$X$1510,$A$4:$A$1510,$A230,$E$4:$E$1510,"Loss"),-('Guide &amp; Settings'!$C$42/($F230-1))*$X230)))</f>
        <v>-20.863640559183274</v>
      </c>
      <c r="K230" s="124">
        <f>IF($D230="",0,'Guide &amp; Settings'!$C$43*(IF($E230="Win",1,0)-$I230))</f>
        <v>-5.4545454545454533</v>
      </c>
      <c r="L230" s="125">
        <f>IF($D230="",0,'Guide &amp; Settings'!$C$44*IF($F230&gt;=3,$F230,0))</f>
        <v>0</v>
      </c>
      <c r="M230" s="124">
        <f t="shared" si="63"/>
        <v>-26.318186013728727</v>
      </c>
      <c r="N230" s="122">
        <f t="shared" si="64"/>
        <v>1107.9908872680883</v>
      </c>
      <c r="O230" s="121" t="str">
        <f t="shared" si="65"/>
        <v>OK</v>
      </c>
      <c r="P230">
        <f t="shared" si="66"/>
        <v>1018.437787662503</v>
      </c>
      <c r="Q230">
        <f t="shared" si="67"/>
        <v>0.66083304223887107</v>
      </c>
      <c r="R230">
        <f t="shared" si="68"/>
        <v>0.33333333333333331</v>
      </c>
      <c r="S230">
        <f t="shared" si="69"/>
        <v>0.73333333333333339</v>
      </c>
      <c r="T230" s="89">
        <f t="shared" si="70"/>
        <v>1</v>
      </c>
      <c r="U230" s="126">
        <f>IF($D230="",0,IFERROR(LOOKUP(2,1/(($D$3:D229=$D230)*($C$3:C229=$C230)*($A$3:A229&lt;$A230)),$AB$3:AB229),1000))</f>
        <v>982.67275007064484</v>
      </c>
      <c r="V230" s="126">
        <f t="shared" si="71"/>
        <v>1109.0363527466218</v>
      </c>
      <c r="W230">
        <f t="shared" si="72"/>
        <v>999.9776118969985</v>
      </c>
      <c r="X230">
        <f t="shared" si="73"/>
        <v>0.65198876747447732</v>
      </c>
      <c r="Y230">
        <f t="shared" si="74"/>
        <v>988.44000204355825</v>
      </c>
      <c r="Z230">
        <f t="shared" si="75"/>
        <v>0.49170101946504219</v>
      </c>
      <c r="AA230">
        <f>IF($D230="",0,IF($F230&lt;2,0,IF($E230="Win",('Guide &amp; Settings'!$C$42/(($F230-1)*COUNTIFS($A$4:$A$1510,$A230,$E$4:$E$1510,"Win")))*SUMIFS($Z$4:$Z$1510,$A$4:$A$1510,$A230,$E$4:$E$1510,"Loss"),-('Guide &amp; Settings'!$C$42/($F230-1))*$Z230)))</f>
        <v>-15.73443262288135</v>
      </c>
      <c r="AB230" s="126">
        <f t="shared" si="76"/>
        <v>966.93831744776344</v>
      </c>
      <c r="AC230" s="126">
        <f>IF($D230="","",IF($AD230=0,0,IF(COUNTIFS($D$4:$D230,$D230,$B$4:$B230,$B230)&gt;1,0,IF($B230&lt;'Guide &amp; Settings'!$C$50,0,IF(($B230-$AD230)/7-'Guide &amp; Settings'!$C$48&gt;=0,(INT(($B230-$AD230)/7-'Guide &amp; Settings'!$C$48)+1)*'Guide &amp; Settings'!$C$49,0)))))</f>
        <v>0</v>
      </c>
      <c r="AD230" s="142">
        <f t="shared" si="77"/>
        <v>46175</v>
      </c>
      <c r="AE230">
        <f t="shared" si="78"/>
        <v>1</v>
      </c>
      <c r="AF230">
        <f t="shared" si="79"/>
        <v>0</v>
      </c>
    </row>
    <row r="231" spans="1:32" ht="15" customHeight="1" x14ac:dyDescent="0.2">
      <c r="A231" s="117">
        <v>92</v>
      </c>
      <c r="B231" s="118">
        <v>46188</v>
      </c>
      <c r="C231" s="119" t="s">
        <v>44</v>
      </c>
      <c r="D231" s="119" t="s">
        <v>25</v>
      </c>
      <c r="E231" s="117" t="s">
        <v>370</v>
      </c>
      <c r="F231" s="120">
        <f t="shared" si="60"/>
        <v>2</v>
      </c>
      <c r="G231" s="121" t="str">
        <f t="shared" si="61"/>
        <v>Oscar</v>
      </c>
      <c r="H231" s="122">
        <f>IF($D231="",0,IFERROR(LOOKUP(2,1/(($D$3:D230=$D231)*($A$3:A230&lt;$A231)),$N$3:N230),'Guide &amp; Settings'!$C$41))</f>
        <v>1044.7559736762316</v>
      </c>
      <c r="I231" s="123">
        <f t="shared" si="62"/>
        <v>0.64516129032258063</v>
      </c>
      <c r="J231" s="124">
        <f>IF($D231="",0,IF($F231&lt;2,0,IF($E231="Win",('Guide &amp; Settings'!$C$42/(($F231-1)*COUNTIFS($A$4:$A$1510,$A231,$E$4:$E$1510,"Win")))*SUMIFS($X$4:$X$1510,$A$4:$A$1510,$A231,$E$4:$E$1510,"Loss"),-('Guide &amp; Settings'!$C$42/($F231-1))*$X231)))</f>
        <v>18.242697662629872</v>
      </c>
      <c r="K231" s="124">
        <f>IF($D231="",0,'Guide &amp; Settings'!$C$43*(IF($E231="Win",1,0)-$I231))</f>
        <v>4.258064516129032</v>
      </c>
      <c r="L231" s="125">
        <f>IF($D231="",0,'Guide &amp; Settings'!$C$44*IF($F231&gt;=3,$F231,0))</f>
        <v>0</v>
      </c>
      <c r="M231" s="124">
        <f t="shared" si="63"/>
        <v>22.500762178758904</v>
      </c>
      <c r="N231" s="122">
        <f t="shared" si="64"/>
        <v>1067.2567358549904</v>
      </c>
      <c r="O231" s="121" t="str">
        <f t="shared" si="65"/>
        <v>OK</v>
      </c>
      <c r="P231">
        <f t="shared" si="66"/>
        <v>1044.7559736762316</v>
      </c>
      <c r="Q231">
        <f t="shared" si="67"/>
        <v>0.5</v>
      </c>
      <c r="R231">
        <f t="shared" si="68"/>
        <v>0.45454545454545453</v>
      </c>
      <c r="S231">
        <f t="shared" si="69"/>
        <v>0.70454545454545459</v>
      </c>
      <c r="T231" s="89">
        <f t="shared" si="70"/>
        <v>9</v>
      </c>
      <c r="U231" s="126">
        <f>IF($D231="",0,IFERROR(LOOKUP(2,1/(($D$3:D230=$D231)*($C$3:C230=$C231)*($A$3:A230&lt;$A231)),$AB$3:AB230),1000))</f>
        <v>1004.1744346664397</v>
      </c>
      <c r="V231" s="126">
        <f t="shared" si="71"/>
        <v>1018.6678414556511</v>
      </c>
      <c r="W231">
        <f t="shared" si="72"/>
        <v>1018.6678414556511</v>
      </c>
      <c r="X231">
        <f t="shared" si="73"/>
        <v>0.5</v>
      </c>
      <c r="Y231">
        <f t="shared" si="74"/>
        <v>1004.1744346664397</v>
      </c>
      <c r="Z231">
        <f t="shared" si="75"/>
        <v>0.5</v>
      </c>
      <c r="AA231">
        <f>IF($D231="",0,IF($F231&lt;2,0,IF($E231="Win",('Guide &amp; Settings'!$C$42/(($F231-1)*COUNTIFS($A$4:$A$1510,$A231,$E$4:$E$1510,"Win")))*SUMIFS($Z$4:$Z$1510,$A$4:$A$1510,$A231,$E$4:$E$1510,"Loss"),-('Guide &amp; Settings'!$C$42/($F231-1))*$Z231)))</f>
        <v>14.291748923662567</v>
      </c>
      <c r="AB231" s="126">
        <f t="shared" si="76"/>
        <v>1018.4661835901022</v>
      </c>
      <c r="AC231" s="126">
        <f>IF($D231="","",IF($AD231=0,0,IF(COUNTIFS($D$4:$D231,$D231,$B$4:$B231,$B231)&gt;1,0,IF($B231&lt;'Guide &amp; Settings'!$C$50,0,IF(($B231-$AD231)/7-'Guide &amp; Settings'!$C$48&gt;=0,(INT(($B231-$AD231)/7-'Guide &amp; Settings'!$C$48)+1)*'Guide &amp; Settings'!$C$49,0)))))</f>
        <v>0</v>
      </c>
      <c r="AD231" s="142">
        <f t="shared" si="77"/>
        <v>46177</v>
      </c>
      <c r="AE231">
        <f t="shared" si="78"/>
        <v>1</v>
      </c>
      <c r="AF231">
        <f t="shared" si="79"/>
        <v>0</v>
      </c>
    </row>
    <row r="232" spans="1:32" ht="15" customHeight="1" x14ac:dyDescent="0.2">
      <c r="A232" s="117">
        <v>92</v>
      </c>
      <c r="B232" s="118">
        <v>46188</v>
      </c>
      <c r="C232" s="119" t="s">
        <v>44</v>
      </c>
      <c r="D232" s="119" t="s">
        <v>21</v>
      </c>
      <c r="E232" s="117" t="s">
        <v>371</v>
      </c>
      <c r="F232" s="120">
        <f t="shared" si="60"/>
        <v>2</v>
      </c>
      <c r="G232" s="121" t="str">
        <f t="shared" si="61"/>
        <v>Oscar</v>
      </c>
      <c r="H232" s="122">
        <f>IF($D232="",0,IFERROR(LOOKUP(2,1/(($D$3:D231=$D232)*($A$3:A231&lt;$A232)),$N$3:N231),'Guide &amp; Settings'!$C$41))</f>
        <v>1107.9908872680883</v>
      </c>
      <c r="I232" s="123">
        <f t="shared" si="62"/>
        <v>0.35483870967741932</v>
      </c>
      <c r="J232" s="124">
        <f>IF($D232="",0,IF($F232&lt;2,0,IF($E232="Win",('Guide &amp; Settings'!$C$42/(($F232-1)*COUNTIFS($A$4:$A$1510,$A232,$E$4:$E$1510,"Win")))*SUMIFS($X$4:$X$1510,$A$4:$A$1510,$A232,$E$4:$E$1510,"Loss"),-('Guide &amp; Settings'!$C$42/($F232-1))*$X232)))</f>
        <v>-18.242697662629872</v>
      </c>
      <c r="K232" s="124">
        <f>IF($D232="",0,'Guide &amp; Settings'!$C$43*(IF($E232="Win",1,0)-$I232))</f>
        <v>-4.258064516129032</v>
      </c>
      <c r="L232" s="125">
        <f>IF($D232="",0,'Guide &amp; Settings'!$C$44*IF($F232&gt;=3,$F232,0))</f>
        <v>0</v>
      </c>
      <c r="M232" s="124">
        <f t="shared" si="63"/>
        <v>-22.500762178758904</v>
      </c>
      <c r="N232" s="122">
        <f t="shared" si="64"/>
        <v>1085.4901250893295</v>
      </c>
      <c r="O232" s="121" t="str">
        <f t="shared" si="65"/>
        <v>OK</v>
      </c>
      <c r="P232">
        <f t="shared" si="66"/>
        <v>1044.7559736762316</v>
      </c>
      <c r="Q232">
        <f t="shared" si="67"/>
        <v>0.59001065475338355</v>
      </c>
      <c r="R232">
        <f t="shared" si="68"/>
        <v>0.25</v>
      </c>
      <c r="S232">
        <f t="shared" si="69"/>
        <v>0.70454545454545459</v>
      </c>
      <c r="T232" s="89">
        <f t="shared" si="70"/>
        <v>2</v>
      </c>
      <c r="U232" s="126">
        <f>IF($D232="",0,IFERROR(LOOKUP(2,1/(($D$3:D231=$D232)*($C$3:C231=$C232)*($A$3:A231&lt;$A232)),$AB$3:AB231),1000))</f>
        <v>966.93831744776344</v>
      </c>
      <c r="V232" s="126">
        <f t="shared" si="71"/>
        <v>1067.6901530337097</v>
      </c>
      <c r="W232">
        <f t="shared" si="72"/>
        <v>1018.6678414556511</v>
      </c>
      <c r="X232">
        <f t="shared" si="73"/>
        <v>0.57008430195718351</v>
      </c>
      <c r="Y232">
        <f t="shared" si="74"/>
        <v>1004.1744346664397</v>
      </c>
      <c r="Z232">
        <f t="shared" si="75"/>
        <v>0.44661715386445522</v>
      </c>
      <c r="AA232">
        <f>IF($D232="",0,IF($F232&lt;2,0,IF($E232="Win",('Guide &amp; Settings'!$C$42/(($F232-1)*COUNTIFS($A$4:$A$1510,$A232,$E$4:$E$1510,"Win")))*SUMIFS($Z$4:$Z$1510,$A$4:$A$1510,$A232,$E$4:$E$1510,"Loss"),-('Guide &amp; Settings'!$C$42/($F232-1))*$Z232)))</f>
        <v>-14.291748923662567</v>
      </c>
      <c r="AB232" s="126">
        <f t="shared" si="76"/>
        <v>952.64656852410087</v>
      </c>
      <c r="AC232" s="126">
        <f>IF($D232="","",IF($AD232=0,0,IF(COUNTIFS($D$4:$D232,$D232,$B$4:$B232,$B232)&gt;1,0,IF($B232&lt;'Guide &amp; Settings'!$C$50,0,IF(($B232-$AD232)/7-'Guide &amp; Settings'!$C$48&gt;=0,(INT(($B232-$AD232)/7-'Guide &amp; Settings'!$C$48)+1)*'Guide &amp; Settings'!$C$49,0)))))</f>
        <v>0</v>
      </c>
      <c r="AD232" s="142">
        <f t="shared" si="77"/>
        <v>46175</v>
      </c>
      <c r="AE232">
        <f t="shared" si="78"/>
        <v>1</v>
      </c>
      <c r="AF232">
        <f t="shared" si="79"/>
        <v>0</v>
      </c>
    </row>
    <row r="233" spans="1:32" ht="15" customHeight="1" x14ac:dyDescent="0.2">
      <c r="A233" s="117">
        <v>93</v>
      </c>
      <c r="B233" s="118">
        <v>46188</v>
      </c>
      <c r="C233" s="119" t="s">
        <v>44</v>
      </c>
      <c r="D233" s="119" t="s">
        <v>16</v>
      </c>
      <c r="E233" s="117" t="s">
        <v>371</v>
      </c>
      <c r="F233" s="120">
        <f t="shared" si="60"/>
        <v>2</v>
      </c>
      <c r="G233" s="121" t="str">
        <f t="shared" si="61"/>
        <v>Oscar</v>
      </c>
      <c r="H233" s="122">
        <f>IF($D233="",0,IFERROR(LOOKUP(2,1/(($D$3:D232=$D233)*($A$3:A232&lt;$A233)),$N$3:N232),'Guide &amp; Settings'!$C$41))</f>
        <v>1052.3273037957808</v>
      </c>
      <c r="I233" s="123">
        <f t="shared" si="62"/>
        <v>0.5</v>
      </c>
      <c r="J233" s="124">
        <f>IF($D233="",0,IF($F233&lt;2,0,IF($E233="Win",('Guide &amp; Settings'!$C$42/(($F233-1)*COUNTIFS($A$4:$A$1510,$A233,$E$4:$E$1510,"Win")))*SUMIFS($X$4:$X$1510,$A$4:$A$1510,$A233,$E$4:$E$1510,"Loss"),-('Guide &amp; Settings'!$C$42/($F233-1))*$X233)))</f>
        <v>-16.809707262266951</v>
      </c>
      <c r="K233" s="124">
        <f>IF($D233="",0,'Guide &amp; Settings'!$C$43*(IF($E233="Win",1,0)-$I233))</f>
        <v>-6</v>
      </c>
      <c r="L233" s="125">
        <f>IF($D233="",0,'Guide &amp; Settings'!$C$44*IF($F233&gt;=3,$F233,0))</f>
        <v>0</v>
      </c>
      <c r="M233" s="124">
        <f t="shared" si="63"/>
        <v>-22.809707262266951</v>
      </c>
      <c r="N233" s="122">
        <f t="shared" si="64"/>
        <v>1029.5175965335138</v>
      </c>
      <c r="O233" s="121" t="str">
        <f t="shared" si="65"/>
        <v>OK</v>
      </c>
      <c r="P233">
        <f t="shared" si="66"/>
        <v>1067.2567358549904</v>
      </c>
      <c r="Q233">
        <f t="shared" si="67"/>
        <v>0.47852803420699253</v>
      </c>
      <c r="R233">
        <f t="shared" si="68"/>
        <v>0.5</v>
      </c>
      <c r="S233">
        <f t="shared" si="69"/>
        <v>1</v>
      </c>
      <c r="T233" s="89">
        <f t="shared" si="70"/>
        <v>0</v>
      </c>
      <c r="U233" s="126">
        <f>IF($D233="",0,IFERROR(LOOKUP(2,1/(($D$3:D232=$D233)*($C$3:C232=$C233)*($A$3:A232&lt;$A233)),$AB$3:AB232),1000))</f>
        <v>1000</v>
      </c>
      <c r="V233" s="126">
        <f t="shared" si="71"/>
        <v>1052.3273037957808</v>
      </c>
      <c r="W233">
        <f t="shared" si="72"/>
        <v>1034.7297010117315</v>
      </c>
      <c r="X233">
        <f t="shared" si="73"/>
        <v>0.52530335194584221</v>
      </c>
      <c r="Y233">
        <f t="shared" si="74"/>
        <v>1018.4661835901022</v>
      </c>
      <c r="Z233">
        <f t="shared" si="75"/>
        <v>0.47345002137691644</v>
      </c>
      <c r="AA233">
        <f>IF($D233="",0,IF($F233&lt;2,0,IF($E233="Win",('Guide &amp; Settings'!$C$42/(($F233-1)*COUNTIFS($A$4:$A$1510,$A233,$E$4:$E$1510,"Win")))*SUMIFS($Z$4:$Z$1510,$A$4:$A$1510,$A233,$E$4:$E$1510,"Loss"),-('Guide &amp; Settings'!$C$42/($F233-1))*$Z233)))</f>
        <v>-15.150400684061326</v>
      </c>
      <c r="AB233" s="126">
        <f t="shared" si="76"/>
        <v>984.84959931593869</v>
      </c>
      <c r="AC233" s="126">
        <f>IF($D233="","",IF($AD233=0,0,IF(COUNTIFS($D$4:$D233,$D233,$B$4:$B233,$B233)&gt;1,0,IF($B233&lt;'Guide &amp; Settings'!$C$50,0,IF(($B233-$AD233)/7-'Guide &amp; Settings'!$C$48&gt;=0,(INT(($B233-$AD233)/7-'Guide &amp; Settings'!$C$48)+1)*'Guide &amp; Settings'!$C$49,0)))))</f>
        <v>0</v>
      </c>
      <c r="AD233" s="142">
        <f t="shared" si="77"/>
        <v>46177</v>
      </c>
      <c r="AE233">
        <f t="shared" si="78"/>
        <v>1</v>
      </c>
      <c r="AF233">
        <f t="shared" si="79"/>
        <v>0</v>
      </c>
    </row>
    <row r="234" spans="1:32" ht="15" customHeight="1" x14ac:dyDescent="0.2">
      <c r="A234" s="117">
        <v>93</v>
      </c>
      <c r="B234" s="118">
        <v>46188</v>
      </c>
      <c r="C234" s="119" t="s">
        <v>44</v>
      </c>
      <c r="D234" s="119" t="s">
        <v>25</v>
      </c>
      <c r="E234" s="117" t="s">
        <v>370</v>
      </c>
      <c r="F234" s="120">
        <f t="shared" si="60"/>
        <v>2</v>
      </c>
      <c r="G234" s="121" t="str">
        <f t="shared" si="61"/>
        <v>Oscar</v>
      </c>
      <c r="H234" s="122">
        <f>IF($D234="",0,IFERROR(LOOKUP(2,1/(($D$3:D233=$D234)*($A$3:A233&lt;$A234)),$N$3:N233),'Guide &amp; Settings'!$C$41))</f>
        <v>1067.2567358549904</v>
      </c>
      <c r="I234" s="123">
        <f t="shared" si="62"/>
        <v>0.5</v>
      </c>
      <c r="J234" s="124">
        <f>IF($D234="",0,IF($F234&lt;2,0,IF($E234="Win",('Guide &amp; Settings'!$C$42/(($F234-1)*COUNTIFS($A$4:$A$1510,$A234,$E$4:$E$1510,"Win")))*SUMIFS($X$4:$X$1510,$A$4:$A$1510,$A234,$E$4:$E$1510,"Loss"),-('Guide &amp; Settings'!$C$42/($F234-1))*$X234)))</f>
        <v>16.809707262266951</v>
      </c>
      <c r="K234" s="124">
        <f>IF($D234="",0,'Guide &amp; Settings'!$C$43*(IF($E234="Win",1,0)-$I234))</f>
        <v>6</v>
      </c>
      <c r="L234" s="125">
        <f>IF($D234="",0,'Guide &amp; Settings'!$C$44*IF($F234&gt;=3,$F234,0))</f>
        <v>0</v>
      </c>
      <c r="M234" s="124">
        <f t="shared" si="63"/>
        <v>22.809707262266951</v>
      </c>
      <c r="N234" s="122">
        <f t="shared" si="64"/>
        <v>1090.0664431172574</v>
      </c>
      <c r="O234" s="121" t="str">
        <f t="shared" si="65"/>
        <v>OK</v>
      </c>
      <c r="P234">
        <f t="shared" si="66"/>
        <v>1067.2567358549904</v>
      </c>
      <c r="Q234">
        <f t="shared" si="67"/>
        <v>0.5</v>
      </c>
      <c r="R234">
        <f t="shared" si="68"/>
        <v>0.5</v>
      </c>
      <c r="S234">
        <f t="shared" si="69"/>
        <v>1</v>
      </c>
      <c r="T234" s="89">
        <f t="shared" si="70"/>
        <v>10</v>
      </c>
      <c r="U234" s="126">
        <f>IF($D234="",0,IFERROR(LOOKUP(2,1/(($D$3:D233=$D234)*($C$3:C233=$C234)*($A$3:A233&lt;$A234)),$AB$3:AB233),1000))</f>
        <v>1018.4661835901022</v>
      </c>
      <c r="V234" s="126">
        <f t="shared" si="71"/>
        <v>1034.7297010117315</v>
      </c>
      <c r="W234">
        <f t="shared" si="72"/>
        <v>1034.7297010117315</v>
      </c>
      <c r="X234">
        <f t="shared" si="73"/>
        <v>0.5</v>
      </c>
      <c r="Y234">
        <f t="shared" si="74"/>
        <v>1018.4661835901022</v>
      </c>
      <c r="Z234">
        <f t="shared" si="75"/>
        <v>0.5</v>
      </c>
      <c r="AA234">
        <f>IF($D234="",0,IF($F234&lt;2,0,IF($E234="Win",('Guide &amp; Settings'!$C$42/(($F234-1)*COUNTIFS($A$4:$A$1510,$A234,$E$4:$E$1510,"Win")))*SUMIFS($Z$4:$Z$1510,$A$4:$A$1510,$A234,$E$4:$E$1510,"Loss"),-('Guide &amp; Settings'!$C$42/($F234-1))*$Z234)))</f>
        <v>15.150400684061326</v>
      </c>
      <c r="AB234" s="126">
        <f t="shared" si="76"/>
        <v>1033.6165842741636</v>
      </c>
      <c r="AC234" s="126">
        <f>IF($D234="","",IF($AD234=0,0,IF(COUNTIFS($D$4:$D234,$D234,$B$4:$B234,$B234)&gt;1,0,IF($B234&lt;'Guide &amp; Settings'!$C$50,0,IF(($B234-$AD234)/7-'Guide &amp; Settings'!$C$48&gt;=0,(INT(($B234-$AD234)/7-'Guide &amp; Settings'!$C$48)+1)*'Guide &amp; Settings'!$C$49,0)))))</f>
        <v>0</v>
      </c>
      <c r="AD234" s="142">
        <f t="shared" si="77"/>
        <v>46177</v>
      </c>
      <c r="AE234">
        <f t="shared" si="78"/>
        <v>1</v>
      </c>
      <c r="AF234">
        <f t="shared" si="79"/>
        <v>0</v>
      </c>
    </row>
    <row r="235" spans="1:32" ht="15" customHeight="1" x14ac:dyDescent="0.2">
      <c r="A235" s="117">
        <v>94</v>
      </c>
      <c r="B235" s="118">
        <v>46188</v>
      </c>
      <c r="C235" s="119" t="s">
        <v>37</v>
      </c>
      <c r="D235" s="119" t="s">
        <v>22</v>
      </c>
      <c r="E235" s="117" t="s">
        <v>370</v>
      </c>
      <c r="F235" s="120">
        <f t="shared" si="60"/>
        <v>2</v>
      </c>
      <c r="G235" s="121" t="str">
        <f t="shared" si="61"/>
        <v>Daniel (Ferret)</v>
      </c>
      <c r="H235" s="122">
        <f>IF($D235="",0,IFERROR(LOOKUP(2,1/(($D$3:D234=$D235)*($A$3:A234&lt;$A235)),$N$3:N234),'Guide &amp; Settings'!$C$41))</f>
        <v>1070.9274370987889</v>
      </c>
      <c r="I235" s="123">
        <f t="shared" si="62"/>
        <v>0.57142857142857151</v>
      </c>
      <c r="J235" s="124">
        <f>IF($D235="",0,IF($F235&lt;2,0,IF($E235="Win",('Guide &amp; Settings'!$C$42/(($F235-1)*COUNTIFS($A$4:$A$1510,$A235,$E$4:$E$1510,"Win")))*SUMIFS($X$4:$X$1510,$A$4:$A$1510,$A235,$E$4:$E$1510,"Loss"),-('Guide &amp; Settings'!$C$42/($F235-1))*$X235)))</f>
        <v>9.3241404609697582</v>
      </c>
      <c r="K235" s="124">
        <f>IF($D235="",0,'Guide &amp; Settings'!$C$43*(IF($E235="Win",1,0)-$I235))</f>
        <v>5.1428571428571423</v>
      </c>
      <c r="L235" s="125">
        <f>IF($D235="",0,'Guide &amp; Settings'!$C$44*IF($F235&gt;=3,$F235,0))</f>
        <v>0</v>
      </c>
      <c r="M235" s="124">
        <f t="shared" si="63"/>
        <v>14.466997603826901</v>
      </c>
      <c r="N235" s="122">
        <f t="shared" si="64"/>
        <v>1085.3944347026159</v>
      </c>
      <c r="O235" s="121" t="str">
        <f t="shared" si="65"/>
        <v>OK</v>
      </c>
      <c r="P235">
        <f t="shared" si="66"/>
        <v>1070.9274370987889</v>
      </c>
      <c r="Q235">
        <f t="shared" si="67"/>
        <v>0.5</v>
      </c>
      <c r="R235">
        <f t="shared" si="68"/>
        <v>0.66666666666666663</v>
      </c>
      <c r="S235">
        <f t="shared" si="69"/>
        <v>1.1666666666666665</v>
      </c>
      <c r="T235" s="89">
        <f t="shared" si="70"/>
        <v>1</v>
      </c>
      <c r="U235" s="126">
        <f>IF($D235="",0,IFERROR(LOOKUP(2,1/(($D$3:D234=$D235)*($C$3:C234=$C235)*($A$3:A234&lt;$A235)),$AB$3:AB234),1000))</f>
        <v>1017.4023736484061</v>
      </c>
      <c r="V235" s="126">
        <f t="shared" si="71"/>
        <v>1062.0065931903919</v>
      </c>
      <c r="W235">
        <f t="shared" si="72"/>
        <v>1062.0065931903919</v>
      </c>
      <c r="X235">
        <f t="shared" si="73"/>
        <v>0.5</v>
      </c>
      <c r="Y235">
        <f t="shared" si="74"/>
        <v>1017.4023736484061</v>
      </c>
      <c r="Z235">
        <f t="shared" si="75"/>
        <v>0.5</v>
      </c>
      <c r="AA235">
        <f>IF($D235="",0,IF($F235&lt;2,0,IF($E235="Win",('Guide &amp; Settings'!$C$42/(($F235-1)*COUNTIFS($A$4:$A$1510,$A235,$E$4:$E$1510,"Win")))*SUMIFS($Z$4:$Z$1510,$A$4:$A$1510,$A235,$E$4:$E$1510,"Loss"),-('Guide &amp; Settings'!$C$42/($F235-1))*$Z235)))</f>
        <v>15.199260600394643</v>
      </c>
      <c r="AB235" s="126">
        <f t="shared" si="76"/>
        <v>1032.6016342488008</v>
      </c>
      <c r="AC235" s="126">
        <f>IF($D235="","",IF($AD235=0,0,IF(COUNTIFS($D$4:$D235,$D235,$B$4:$B235,$B235)&gt;1,0,IF($B235&lt;'Guide &amp; Settings'!$C$50,0,IF(($B235-$AD235)/7-'Guide &amp; Settings'!$C$48&gt;=0,(INT(($B235-$AD235)/7-'Guide &amp; Settings'!$C$48)+1)*'Guide &amp; Settings'!$C$49,0)))))</f>
        <v>0</v>
      </c>
      <c r="AD235" s="142">
        <f t="shared" si="77"/>
        <v>46176</v>
      </c>
      <c r="AE235">
        <f t="shared" si="78"/>
        <v>1</v>
      </c>
      <c r="AF235">
        <f t="shared" si="79"/>
        <v>0</v>
      </c>
    </row>
    <row r="236" spans="1:32" ht="15" customHeight="1" x14ac:dyDescent="0.2">
      <c r="A236" s="117">
        <v>94</v>
      </c>
      <c r="B236" s="118">
        <v>46188</v>
      </c>
      <c r="C236" s="119" t="s">
        <v>37</v>
      </c>
      <c r="D236" s="119" t="s">
        <v>24</v>
      </c>
      <c r="E236" s="117" t="s">
        <v>371</v>
      </c>
      <c r="F236" s="120">
        <f t="shared" si="60"/>
        <v>2</v>
      </c>
      <c r="G236" s="121" t="str">
        <f t="shared" si="61"/>
        <v>Daniel (Ferret)</v>
      </c>
      <c r="H236" s="122">
        <f>IF($D236="",0,IFERROR(LOOKUP(2,1/(($D$3:D235=$D236)*($A$3:A235&lt;$A236)),$N$3:N235),'Guide &amp; Settings'!$C$41))</f>
        <v>907.62461280220498</v>
      </c>
      <c r="I236" s="123">
        <f t="shared" si="62"/>
        <v>0.4285714285714286</v>
      </c>
      <c r="J236" s="124">
        <f>IF($D236="",0,IF($F236&lt;2,0,IF($E236="Win",('Guide &amp; Settings'!$C$42/(($F236-1)*COUNTIFS($A$4:$A$1510,$A236,$E$4:$E$1510,"Win")))*SUMIFS($X$4:$X$1510,$A$4:$A$1510,$A236,$E$4:$E$1510,"Loss"),-('Guide &amp; Settings'!$C$42/($F236-1))*$X236)))</f>
        <v>-9.3241404609697582</v>
      </c>
      <c r="K236" s="124">
        <f>IF($D236="",0,'Guide &amp; Settings'!$C$43*(IF($E236="Win",1,0)-$I236))</f>
        <v>-5.1428571428571432</v>
      </c>
      <c r="L236" s="125">
        <f>IF($D236="",0,'Guide &amp; Settings'!$C$44*IF($F236&gt;=3,$F236,0))</f>
        <v>0</v>
      </c>
      <c r="M236" s="124">
        <f t="shared" si="63"/>
        <v>-14.466997603826901</v>
      </c>
      <c r="N236" s="122">
        <f t="shared" si="64"/>
        <v>893.15761519837804</v>
      </c>
      <c r="O236" s="121" t="str">
        <f t="shared" si="65"/>
        <v>OK</v>
      </c>
      <c r="P236">
        <f t="shared" si="66"/>
        <v>1070.9274370987889</v>
      </c>
      <c r="Q236">
        <f t="shared" si="67"/>
        <v>0.28089092521815329</v>
      </c>
      <c r="R236">
        <f t="shared" si="68"/>
        <v>0.5</v>
      </c>
      <c r="S236">
        <f t="shared" si="69"/>
        <v>1.1666666666666665</v>
      </c>
      <c r="T236" s="89">
        <f t="shared" si="70"/>
        <v>0</v>
      </c>
      <c r="U236" s="126">
        <f>IF($D236="",0,IFERROR(LOOKUP(2,1/(($D$3:D235=$D236)*($C$3:C235=$C236)*($A$3:A235&lt;$A236)),$AB$3:AB235),1000))</f>
        <v>1000</v>
      </c>
      <c r="V236" s="126">
        <f t="shared" si="71"/>
        <v>907.62461280220498</v>
      </c>
      <c r="W236">
        <f t="shared" si="72"/>
        <v>1062.0065931903919</v>
      </c>
      <c r="X236">
        <f t="shared" si="73"/>
        <v>0.29137938940530494</v>
      </c>
      <c r="Y236">
        <f t="shared" si="74"/>
        <v>1017.4023736484061</v>
      </c>
      <c r="Z236">
        <f t="shared" si="75"/>
        <v>0.4749768937623326</v>
      </c>
      <c r="AA236">
        <f>IF($D236="",0,IF($F236&lt;2,0,IF($E236="Win",('Guide &amp; Settings'!$C$42/(($F236-1)*COUNTIFS($A$4:$A$1510,$A236,$E$4:$E$1510,"Win")))*SUMIFS($Z$4:$Z$1510,$A$4:$A$1510,$A236,$E$4:$E$1510,"Loss"),-('Guide &amp; Settings'!$C$42/($F236-1))*$Z236)))</f>
        <v>-15.199260600394643</v>
      </c>
      <c r="AB236" s="126">
        <f t="shared" si="76"/>
        <v>984.80073939960539</v>
      </c>
      <c r="AC236" s="126">
        <f>IF($D236="","",IF($AD236=0,0,IF(COUNTIFS($D$4:$D236,$D236,$B$4:$B236,$B236)&gt;1,0,IF($B236&lt;'Guide &amp; Settings'!$C$50,0,IF(($B236-$AD236)/7-'Guide &amp; Settings'!$C$48&gt;=0,(INT(($B236-$AD236)/7-'Guide &amp; Settings'!$C$48)+1)*'Guide &amp; Settings'!$C$49,0)))))</f>
        <v>0</v>
      </c>
      <c r="AD236" s="142">
        <f t="shared" si="77"/>
        <v>46175</v>
      </c>
      <c r="AE236">
        <f t="shared" si="78"/>
        <v>1</v>
      </c>
      <c r="AF236">
        <f t="shared" si="79"/>
        <v>0</v>
      </c>
    </row>
    <row r="237" spans="1:32" ht="15" customHeight="1" x14ac:dyDescent="0.2">
      <c r="A237" s="117">
        <v>95</v>
      </c>
      <c r="B237" s="118">
        <v>46189</v>
      </c>
      <c r="C237" s="119" t="s">
        <v>9</v>
      </c>
      <c r="D237" s="119" t="s">
        <v>22</v>
      </c>
      <c r="E237" s="117" t="s">
        <v>370</v>
      </c>
      <c r="F237" s="120">
        <f t="shared" si="60"/>
        <v>3</v>
      </c>
      <c r="G237" s="121" t="str">
        <f t="shared" si="61"/>
        <v>Daniel (Ferret)</v>
      </c>
      <c r="H237" s="122">
        <f>IF($D237="",0,IFERROR(LOOKUP(2,1/(($D$3:D236=$D237)*($A$3:A236&lt;$A237)),$N$3:N236),'Guide &amp; Settings'!$C$41))</f>
        <v>1085.3944347026159</v>
      </c>
      <c r="I237" s="123">
        <f t="shared" si="62"/>
        <v>0.5</v>
      </c>
      <c r="J237" s="124">
        <f>IF($D237="",0,IF($F237&lt;2,0,IF($E237="Win",('Guide &amp; Settings'!$C$42/(($F237-1)*COUNTIFS($A$4:$A$1510,$A237,$E$4:$E$1510,"Win")))*SUMIFS($X$4:$X$1510,$A$4:$A$1510,$A237,$E$4:$E$1510,"Loss"),-('Guide &amp; Settings'!$C$42/($F237-1))*$X237)))</f>
        <v>14.598381809992752</v>
      </c>
      <c r="K237" s="124">
        <f>IF($D237="",0,'Guide &amp; Settings'!$C$43*(IF($E237="Win",1,0)-$I237))</f>
        <v>6</v>
      </c>
      <c r="L237" s="125">
        <f>IF($D237="",0,'Guide &amp; Settings'!$C$44*IF($F237&gt;=3,$F237,0))</f>
        <v>3</v>
      </c>
      <c r="M237" s="124">
        <f t="shared" si="63"/>
        <v>23.598381809992752</v>
      </c>
      <c r="N237" s="122">
        <f t="shared" si="64"/>
        <v>1108.9928165126087</v>
      </c>
      <c r="O237" s="121" t="str">
        <f t="shared" si="65"/>
        <v>OK</v>
      </c>
      <c r="P237">
        <f t="shared" si="66"/>
        <v>1085.3944347026159</v>
      </c>
      <c r="Q237">
        <f t="shared" si="67"/>
        <v>0.5</v>
      </c>
      <c r="R237">
        <f t="shared" si="68"/>
        <v>0.66666666666666663</v>
      </c>
      <c r="S237">
        <f t="shared" si="69"/>
        <v>1.3333333333333333</v>
      </c>
      <c r="T237" s="89">
        <f t="shared" si="70"/>
        <v>1</v>
      </c>
      <c r="U237" s="126">
        <f>IF($D237="",0,IFERROR(LOOKUP(2,1/(($D$3:D236=$D237)*($C$3:C236=$C237)*($A$3:A236&lt;$A237)),$AB$3:AB236),1000))</f>
        <v>1016</v>
      </c>
      <c r="V237" s="126">
        <f t="shared" si="71"/>
        <v>1073.8286955855133</v>
      </c>
      <c r="W237">
        <f t="shared" si="72"/>
        <v>1073.8286955855133</v>
      </c>
      <c r="X237">
        <f t="shared" si="73"/>
        <v>0.5</v>
      </c>
      <c r="Y237">
        <f t="shared" si="74"/>
        <v>1016</v>
      </c>
      <c r="Z237">
        <f t="shared" si="75"/>
        <v>0.5</v>
      </c>
      <c r="AA237">
        <f>IF($D237="",0,IF($F237&lt;2,0,IF($E237="Win",('Guide &amp; Settings'!$C$42/(($F237-1)*COUNTIFS($A$4:$A$1510,$A237,$E$4:$E$1510,"Win")))*SUMIFS($Z$4:$Z$1510,$A$4:$A$1510,$A237,$E$4:$E$1510,"Loss"),-('Guide &amp; Settings'!$C$42/($F237-1))*$Z237)))</f>
        <v>14.896513768741391</v>
      </c>
      <c r="AB237" s="126">
        <f t="shared" si="76"/>
        <v>1030.8965137687414</v>
      </c>
      <c r="AC237" s="126">
        <f>IF($D237="","",IF($AD237=0,0,IF(COUNTIFS($D$4:$D237,$D237,$B$4:$B237,$B237)&gt;1,0,IF($B237&lt;'Guide &amp; Settings'!$C$50,0,IF(($B237-$AD237)/7-'Guide &amp; Settings'!$C$48&gt;=0,(INT(($B237-$AD237)/7-'Guide &amp; Settings'!$C$48)+1)*'Guide &amp; Settings'!$C$49,0)))))</f>
        <v>0</v>
      </c>
      <c r="AD237" s="142">
        <f t="shared" si="77"/>
        <v>46188</v>
      </c>
      <c r="AE237">
        <f t="shared" si="78"/>
        <v>1</v>
      </c>
      <c r="AF237">
        <f t="shared" si="79"/>
        <v>0</v>
      </c>
    </row>
    <row r="238" spans="1:32" ht="15" customHeight="1" x14ac:dyDescent="0.2">
      <c r="A238" s="117">
        <v>95</v>
      </c>
      <c r="B238" s="118">
        <v>46189</v>
      </c>
      <c r="C238" s="119" t="s">
        <v>9</v>
      </c>
      <c r="D238" s="119" t="s">
        <v>20</v>
      </c>
      <c r="E238" s="117" t="s">
        <v>371</v>
      </c>
      <c r="F238" s="120">
        <f t="shared" si="60"/>
        <v>3</v>
      </c>
      <c r="G238" s="121" t="str">
        <f t="shared" si="61"/>
        <v>Daniel (Ferret)</v>
      </c>
      <c r="H238" s="122">
        <f>IF($D238="",0,IFERROR(LOOKUP(2,1/(($D$3:D237=$D238)*($A$3:A237&lt;$A238)),$N$3:N237),'Guide &amp; Settings'!$C$41))</f>
        <v>1016.5191915459058</v>
      </c>
      <c r="I238" s="123">
        <f t="shared" si="62"/>
        <v>0.25</v>
      </c>
      <c r="J238" s="124">
        <f>IF($D238="",0,IF($F238&lt;2,0,IF($E238="Win",('Guide &amp; Settings'!$C$42/(($F238-1)*COUNTIFS($A$4:$A$1510,$A238,$E$4:$E$1510,"Win")))*SUMIFS($X$4:$X$1510,$A$4:$A$1510,$A238,$E$4:$E$1510,"Loss"),-('Guide &amp; Settings'!$C$42/($F238-1))*$X238)))</f>
        <v>-6.6008377392195587</v>
      </c>
      <c r="K238" s="124">
        <f>IF($D238="",0,'Guide &amp; Settings'!$C$43*(IF($E238="Win",1,0)-$I238))</f>
        <v>-3</v>
      </c>
      <c r="L238" s="125">
        <f>IF($D238="",0,'Guide &amp; Settings'!$C$44*IF($F238&gt;=3,$F238,0))</f>
        <v>3</v>
      </c>
      <c r="M238" s="124">
        <f t="shared" si="63"/>
        <v>-6.6008377392195587</v>
      </c>
      <c r="N238" s="122">
        <f t="shared" si="64"/>
        <v>1009.9183538066862</v>
      </c>
      <c r="O238" s="121" t="str">
        <f t="shared" si="65"/>
        <v>OK</v>
      </c>
      <c r="P238">
        <f t="shared" si="66"/>
        <v>1085.3944347026159</v>
      </c>
      <c r="Q238">
        <f t="shared" si="67"/>
        <v>0.40215888677753014</v>
      </c>
      <c r="R238">
        <f t="shared" si="68"/>
        <v>0.33333333333333331</v>
      </c>
      <c r="S238">
        <f t="shared" si="69"/>
        <v>1.3333333333333333</v>
      </c>
      <c r="T238" s="89">
        <f t="shared" si="70"/>
        <v>1</v>
      </c>
      <c r="U238" s="126">
        <f>IF($D238="",0,IFERROR(LOOKUP(2,1/(($D$3:D237=$D238)*($C$3:C237=$C238)*($A$3:A237&lt;$A238)),$AB$3:AB237),1000))</f>
        <v>992</v>
      </c>
      <c r="V238" s="126">
        <f t="shared" si="71"/>
        <v>1012.4326596215881</v>
      </c>
      <c r="W238">
        <f t="shared" si="72"/>
        <v>1073.8286955855133</v>
      </c>
      <c r="X238">
        <f t="shared" si="73"/>
        <v>0.41255235870122242</v>
      </c>
      <c r="Y238">
        <f t="shared" si="74"/>
        <v>1016</v>
      </c>
      <c r="Z238">
        <f t="shared" si="75"/>
        <v>0.46551605527316847</v>
      </c>
      <c r="AA238">
        <f>IF($D238="",0,IF($F238&lt;2,0,IF($E238="Win",('Guide &amp; Settings'!$C$42/(($F238-1)*COUNTIFS($A$4:$A$1510,$A238,$E$4:$E$1510,"Win")))*SUMIFS($Z$4:$Z$1510,$A$4:$A$1510,$A238,$E$4:$E$1510,"Loss"),-('Guide &amp; Settings'!$C$42/($F238-1))*$Z238)))</f>
        <v>-7.4482568843706956</v>
      </c>
      <c r="AB238" s="126">
        <f t="shared" si="76"/>
        <v>984.55174311562928</v>
      </c>
      <c r="AC238" s="126">
        <f>IF($D238="","",IF($AD238=0,0,IF(COUNTIFS($D$4:$D238,$D238,$B$4:$B238,$B238)&gt;1,0,IF($B238&lt;'Guide &amp; Settings'!$C$50,0,IF(($B238-$AD238)/7-'Guide &amp; Settings'!$C$48&gt;=0,(INT(($B238-$AD238)/7-'Guide &amp; Settings'!$C$48)+1)*'Guide &amp; Settings'!$C$49,0)))))</f>
        <v>0</v>
      </c>
      <c r="AD238" s="142">
        <f t="shared" si="77"/>
        <v>46188</v>
      </c>
      <c r="AE238">
        <f t="shared" si="78"/>
        <v>1</v>
      </c>
      <c r="AF238">
        <f t="shared" si="79"/>
        <v>0</v>
      </c>
    </row>
    <row r="239" spans="1:32" ht="15" customHeight="1" x14ac:dyDescent="0.2">
      <c r="A239" s="117">
        <v>95</v>
      </c>
      <c r="B239" s="118">
        <v>46189</v>
      </c>
      <c r="C239" s="119" t="s">
        <v>9</v>
      </c>
      <c r="D239" s="119" t="s">
        <v>25</v>
      </c>
      <c r="E239" s="117" t="s">
        <v>371</v>
      </c>
      <c r="F239" s="120">
        <f t="shared" si="60"/>
        <v>3</v>
      </c>
      <c r="G239" s="121" t="str">
        <f t="shared" si="61"/>
        <v>Daniel (Ferret)</v>
      </c>
      <c r="H239" s="122">
        <f>IF($D239="",0,IFERROR(LOOKUP(2,1/(($D$3:D238=$D239)*($A$3:A238&lt;$A239)),$N$3:N238),'Guide &amp; Settings'!$C$41))</f>
        <v>1090.0664431172574</v>
      </c>
      <c r="I239" s="123">
        <f t="shared" si="62"/>
        <v>0.25</v>
      </c>
      <c r="J239" s="124">
        <f>IF($D239="",0,IF($F239&lt;2,0,IF($E239="Win",('Guide &amp; Settings'!$C$42/(($F239-1)*COUNTIFS($A$4:$A$1510,$A239,$E$4:$E$1510,"Win")))*SUMIFS($X$4:$X$1510,$A$4:$A$1510,$A239,$E$4:$E$1510,"Loss"),-('Guide &amp; Settings'!$C$42/($F239-1))*$X239)))</f>
        <v>-7.9975440707731922</v>
      </c>
      <c r="K239" s="124">
        <f>IF($D239="",0,'Guide &amp; Settings'!$C$43*(IF($E239="Win",1,0)-$I239))</f>
        <v>-3</v>
      </c>
      <c r="L239" s="125">
        <f>IF($D239="",0,'Guide &amp; Settings'!$C$44*IF($F239&gt;=3,$F239,0))</f>
        <v>3</v>
      </c>
      <c r="M239" s="124">
        <f t="shared" si="63"/>
        <v>-7.9975440707731913</v>
      </c>
      <c r="N239" s="122">
        <f t="shared" si="64"/>
        <v>1082.0688990464841</v>
      </c>
      <c r="O239" s="121" t="str">
        <f t="shared" si="65"/>
        <v>OK</v>
      </c>
      <c r="P239">
        <f t="shared" si="66"/>
        <v>1085.3944347026159</v>
      </c>
      <c r="Q239">
        <f t="shared" si="67"/>
        <v>0.50672315534773038</v>
      </c>
      <c r="R239">
        <f t="shared" si="68"/>
        <v>0.33333333333333331</v>
      </c>
      <c r="S239">
        <f t="shared" si="69"/>
        <v>1.3333333333333333</v>
      </c>
      <c r="T239" s="89">
        <f t="shared" si="70"/>
        <v>1</v>
      </c>
      <c r="U239" s="126">
        <f>IF($D239="",0,IFERROR(LOOKUP(2,1/(($D$3:D238=$D239)*($C$3:C238=$C239)*($A$3:A238&lt;$A239)),$AB$3:AB238),1000))</f>
        <v>992</v>
      </c>
      <c r="V239" s="126">
        <f t="shared" si="71"/>
        <v>1073.7220359310479</v>
      </c>
      <c r="W239">
        <f t="shared" si="72"/>
        <v>1073.8286955855133</v>
      </c>
      <c r="X239">
        <f t="shared" si="73"/>
        <v>0.49984650442332451</v>
      </c>
      <c r="Y239">
        <f t="shared" si="74"/>
        <v>1016</v>
      </c>
      <c r="Z239">
        <f t="shared" si="75"/>
        <v>0.46551605527316847</v>
      </c>
      <c r="AA239">
        <f>IF($D239="",0,IF($F239&lt;2,0,IF($E239="Win",('Guide &amp; Settings'!$C$42/(($F239-1)*COUNTIFS($A$4:$A$1510,$A239,$E$4:$E$1510,"Win")))*SUMIFS($Z$4:$Z$1510,$A$4:$A$1510,$A239,$E$4:$E$1510,"Loss"),-('Guide &amp; Settings'!$C$42/($F239-1))*$Z239)))</f>
        <v>-7.4482568843706956</v>
      </c>
      <c r="AB239" s="126">
        <f t="shared" si="76"/>
        <v>984.55174311562928</v>
      </c>
      <c r="AC239" s="126">
        <f>IF($D239="","",IF($AD239=0,0,IF(COUNTIFS($D$4:$D239,$D239,$B$4:$B239,$B239)&gt;1,0,IF($B239&lt;'Guide &amp; Settings'!$C$50,0,IF(($B239-$AD239)/7-'Guide &amp; Settings'!$C$48&gt;=0,(INT(($B239-$AD239)/7-'Guide &amp; Settings'!$C$48)+1)*'Guide &amp; Settings'!$C$49,0)))))</f>
        <v>0</v>
      </c>
      <c r="AD239" s="142">
        <f t="shared" si="77"/>
        <v>46188</v>
      </c>
      <c r="AE239">
        <f t="shared" si="78"/>
        <v>1</v>
      </c>
      <c r="AF239">
        <f t="shared" si="79"/>
        <v>0</v>
      </c>
    </row>
    <row r="240" spans="1:32" ht="15" customHeight="1" x14ac:dyDescent="0.2">
      <c r="A240" s="117">
        <v>96</v>
      </c>
      <c r="B240" s="118">
        <v>46189</v>
      </c>
      <c r="C240" s="119" t="s">
        <v>37</v>
      </c>
      <c r="D240" s="119" t="s">
        <v>23</v>
      </c>
      <c r="E240" s="117" t="s">
        <v>370</v>
      </c>
      <c r="F240" s="120">
        <f t="shared" si="60"/>
        <v>2</v>
      </c>
      <c r="G240" s="121" t="str">
        <f t="shared" si="61"/>
        <v>Dean B</v>
      </c>
      <c r="H240" s="122">
        <f>IF($D240="",0,IFERROR(LOOKUP(2,1/(($D$3:D239=$D240)*($A$3:A239&lt;$A240)),$N$3:N239),'Guide &amp; Settings'!$C$41))</f>
        <v>1118.764841324594</v>
      </c>
      <c r="I240" s="123">
        <f t="shared" si="62"/>
        <v>0.33333333333333331</v>
      </c>
      <c r="J240" s="124">
        <f>IF($D240="",0,IF($F240&lt;2,0,IF($E240="Win",('Guide &amp; Settings'!$C$42/(($F240-1)*COUNTIFS($A$4:$A$1510,$A240,$E$4:$E$1510,"Win")))*SUMIFS($X$4:$X$1510,$A$4:$A$1510,$A240,$E$4:$E$1510,"Loss"),-('Guide &amp; Settings'!$C$42/($F240-1))*$X240)))</f>
        <v>18.388707999601383</v>
      </c>
      <c r="K240" s="124">
        <f>IF($D240="",0,'Guide &amp; Settings'!$C$43*(IF($E240="Win",1,0)-$I240))</f>
        <v>8</v>
      </c>
      <c r="L240" s="125">
        <f>IF($D240="",0,'Guide &amp; Settings'!$C$44*IF($F240&gt;=3,$F240,0))</f>
        <v>0</v>
      </c>
      <c r="M240" s="124">
        <f t="shared" si="63"/>
        <v>26.388707999601383</v>
      </c>
      <c r="N240" s="122">
        <f t="shared" si="64"/>
        <v>1145.1535493241954</v>
      </c>
      <c r="O240" s="121" t="str">
        <f t="shared" si="65"/>
        <v>OK</v>
      </c>
      <c r="P240">
        <f t="shared" si="66"/>
        <v>1118.764841324594</v>
      </c>
      <c r="Q240">
        <f t="shared" si="67"/>
        <v>0.5</v>
      </c>
      <c r="R240">
        <f t="shared" si="68"/>
        <v>0.375</v>
      </c>
      <c r="S240">
        <f t="shared" si="69"/>
        <v>1.125</v>
      </c>
      <c r="T240" s="89">
        <f t="shared" si="70"/>
        <v>6</v>
      </c>
      <c r="U240" s="126">
        <f>IF($D240="",0,IFERROR(LOOKUP(2,1/(($D$3:D239=$D240)*($C$3:C239=$C240)*($A$3:A239&lt;$A240)),$AB$3:AB239),1000))</f>
        <v>965.02366557041569</v>
      </c>
      <c r="V240" s="126">
        <f t="shared" si="71"/>
        <v>1034.9060181859513</v>
      </c>
      <c r="W240">
        <f t="shared" si="72"/>
        <v>1034.9060181859513</v>
      </c>
      <c r="X240">
        <f t="shared" si="73"/>
        <v>0.5</v>
      </c>
      <c r="Y240">
        <f t="shared" si="74"/>
        <v>965.02366557041569</v>
      </c>
      <c r="Z240">
        <f t="shared" si="75"/>
        <v>0.5</v>
      </c>
      <c r="AA240">
        <f>IF($D240="",0,IF($F240&lt;2,0,IF($E240="Win",('Guide &amp; Settings'!$C$42/(($F240-1)*COUNTIFS($A$4:$A$1510,$A240,$E$4:$E$1510,"Win")))*SUMIFS($Z$4:$Z$1510,$A$4:$A$1510,$A240,$E$4:$E$1510,"Loss"),-('Guide &amp; Settings'!$C$42/($F240-1))*$Z240)))</f>
        <v>19.073419784742327</v>
      </c>
      <c r="AB240" s="126">
        <f t="shared" si="76"/>
        <v>984.09708535515801</v>
      </c>
      <c r="AC240" s="126">
        <f>IF($D240="","",IF($AD240=0,0,IF(COUNTIFS($D$4:$D240,$D240,$B$4:$B240,$B240)&gt;1,0,IF($B240&lt;'Guide &amp; Settings'!$C$50,0,IF(($B240-$AD240)/7-'Guide &amp; Settings'!$C$48&gt;=0,(INT(($B240-$AD240)/7-'Guide &amp; Settings'!$C$48)+1)*'Guide &amp; Settings'!$C$49,0)))))</f>
        <v>0</v>
      </c>
      <c r="AD240" s="142">
        <f t="shared" si="77"/>
        <v>46188</v>
      </c>
      <c r="AE240">
        <f t="shared" si="78"/>
        <v>1</v>
      </c>
      <c r="AF240">
        <f t="shared" si="79"/>
        <v>0</v>
      </c>
    </row>
    <row r="241" spans="1:32" ht="15" customHeight="1" x14ac:dyDescent="0.2">
      <c r="A241" s="117">
        <v>96</v>
      </c>
      <c r="B241" s="118">
        <v>46189</v>
      </c>
      <c r="C241" s="119" t="s">
        <v>37</v>
      </c>
      <c r="D241" s="119" t="s">
        <v>22</v>
      </c>
      <c r="E241" s="117" t="s">
        <v>371</v>
      </c>
      <c r="F241" s="120">
        <f t="shared" si="60"/>
        <v>2</v>
      </c>
      <c r="G241" s="121" t="str">
        <f t="shared" si="61"/>
        <v>Dean B</v>
      </c>
      <c r="H241" s="122">
        <f>IF($D241="",0,IFERROR(LOOKUP(2,1/(($D$3:D240=$D241)*($A$3:A240&lt;$A241)),$N$3:N240),'Guide &amp; Settings'!$C$41))</f>
        <v>1108.9928165126087</v>
      </c>
      <c r="I241" s="123">
        <f t="shared" si="62"/>
        <v>0.66666666666666663</v>
      </c>
      <c r="J241" s="124">
        <f>IF($D241="",0,IF($F241&lt;2,0,IF($E241="Win",('Guide &amp; Settings'!$C$42/(($F241-1)*COUNTIFS($A$4:$A$1510,$A241,$E$4:$E$1510,"Win")))*SUMIFS($X$4:$X$1510,$A$4:$A$1510,$A241,$E$4:$E$1510,"Loss"),-('Guide &amp; Settings'!$C$42/($F241-1))*$X241)))</f>
        <v>-18.388707999601383</v>
      </c>
      <c r="K241" s="124">
        <f>IF($D241="",0,'Guide &amp; Settings'!$C$43*(IF($E241="Win",1,0)-$I241))</f>
        <v>-8</v>
      </c>
      <c r="L241" s="125">
        <f>IF($D241="",0,'Guide &amp; Settings'!$C$44*IF($F241&gt;=3,$F241,0))</f>
        <v>0</v>
      </c>
      <c r="M241" s="124">
        <f t="shared" si="63"/>
        <v>-26.388707999601383</v>
      </c>
      <c r="N241" s="122">
        <f t="shared" si="64"/>
        <v>1082.6041085130073</v>
      </c>
      <c r="O241" s="121" t="str">
        <f t="shared" si="65"/>
        <v>OK</v>
      </c>
      <c r="P241">
        <f t="shared" si="66"/>
        <v>1118.764841324594</v>
      </c>
      <c r="Q241">
        <f t="shared" si="67"/>
        <v>0.48594063300409196</v>
      </c>
      <c r="R241">
        <f t="shared" si="68"/>
        <v>0.75</v>
      </c>
      <c r="S241">
        <f t="shared" si="69"/>
        <v>1.125</v>
      </c>
      <c r="T241" s="89">
        <f t="shared" si="70"/>
        <v>2</v>
      </c>
      <c r="U241" s="126">
        <f>IF($D241="",0,IFERROR(LOOKUP(2,1/(($D$3:D240=$D241)*($C$3:C240=$C241)*($A$3:A240&lt;$A241)),$AB$3:AB240),1000))</f>
        <v>1032.6016342488008</v>
      </c>
      <c r="V241" s="126">
        <f t="shared" si="71"/>
        <v>1087.1667644372349</v>
      </c>
      <c r="W241">
        <f t="shared" si="72"/>
        <v>1034.9060181859513</v>
      </c>
      <c r="X241">
        <f t="shared" si="73"/>
        <v>0.57464712498754322</v>
      </c>
      <c r="Y241">
        <f t="shared" si="74"/>
        <v>965.02366557041569</v>
      </c>
      <c r="Z241">
        <f t="shared" si="75"/>
        <v>0.59604436827319773</v>
      </c>
      <c r="AA241">
        <f>IF($D241="",0,IF($F241&lt;2,0,IF($E241="Win",('Guide &amp; Settings'!$C$42/(($F241-1)*COUNTIFS($A$4:$A$1510,$A241,$E$4:$E$1510,"Win")))*SUMIFS($Z$4:$Z$1510,$A$4:$A$1510,$A241,$E$4:$E$1510,"Loss"),-('Guide &amp; Settings'!$C$42/($F241-1))*$Z241)))</f>
        <v>-19.073419784742327</v>
      </c>
      <c r="AB241" s="126">
        <f t="shared" si="76"/>
        <v>1013.5282144640585</v>
      </c>
      <c r="AC241" s="126">
        <f>IF($D241="","",IF($AD241=0,0,IF(COUNTIFS($D$4:$D241,$D241,$B$4:$B241,$B241)&gt;1,0,IF($B241&lt;'Guide &amp; Settings'!$C$50,0,IF(($B241-$AD241)/7-'Guide &amp; Settings'!$C$48&gt;=0,(INT(($B241-$AD241)/7-'Guide &amp; Settings'!$C$48)+1)*'Guide &amp; Settings'!$C$49,0)))))</f>
        <v>0</v>
      </c>
      <c r="AD241" s="142">
        <f t="shared" si="77"/>
        <v>46188</v>
      </c>
      <c r="AE241">
        <f t="shared" si="78"/>
        <v>1</v>
      </c>
      <c r="AF241">
        <f t="shared" si="79"/>
        <v>0</v>
      </c>
    </row>
    <row r="242" spans="1:32" ht="15" customHeight="1" x14ac:dyDescent="0.2">
      <c r="A242" s="117">
        <v>97</v>
      </c>
      <c r="B242" s="118">
        <v>46189</v>
      </c>
      <c r="C242" s="119" t="s">
        <v>37</v>
      </c>
      <c r="D242" s="119" t="s">
        <v>23</v>
      </c>
      <c r="E242" s="117" t="s">
        <v>370</v>
      </c>
      <c r="F242" s="120">
        <f t="shared" si="60"/>
        <v>2</v>
      </c>
      <c r="G242" s="121" t="str">
        <f t="shared" si="61"/>
        <v>Dean B</v>
      </c>
      <c r="H242" s="122">
        <f>IF($D242="",0,IFERROR(LOOKUP(2,1/(($D$3:D241=$D242)*($A$3:A241&lt;$A242)),$N$3:N241),'Guide &amp; Settings'!$C$41))</f>
        <v>1145.1535493241954</v>
      </c>
      <c r="I242" s="123">
        <f t="shared" si="62"/>
        <v>0.42553191489361708</v>
      </c>
      <c r="J242" s="124">
        <f>IF($D242="",0,IF($F242&lt;2,0,IF($E242="Win",('Guide &amp; Settings'!$C$42/(($F242-1)*COUNTIFS($A$4:$A$1510,$A242,$E$4:$E$1510,"Win")))*SUMIFS($X$4:$X$1510,$A$4:$A$1510,$A242,$E$4:$E$1510,"Loss"),-('Guide &amp; Settings'!$C$42/($F242-1))*$X242)))</f>
        <v>16.253111405936636</v>
      </c>
      <c r="K242" s="124">
        <f>IF($D242="",0,'Guide &amp; Settings'!$C$43*(IF($E242="Win",1,0)-$I242))</f>
        <v>6.8936170212765955</v>
      </c>
      <c r="L242" s="125">
        <f>IF($D242="",0,'Guide &amp; Settings'!$C$44*IF($F242&gt;=3,$F242,0))</f>
        <v>0</v>
      </c>
      <c r="M242" s="124">
        <f t="shared" si="63"/>
        <v>23.146728427213233</v>
      </c>
      <c r="N242" s="122">
        <f t="shared" si="64"/>
        <v>1168.3002777514087</v>
      </c>
      <c r="O242" s="121" t="str">
        <f t="shared" si="65"/>
        <v>OK</v>
      </c>
      <c r="P242">
        <f t="shared" si="66"/>
        <v>1145.1535493241954</v>
      </c>
      <c r="Q242">
        <f t="shared" si="67"/>
        <v>0.5</v>
      </c>
      <c r="R242">
        <f t="shared" si="68"/>
        <v>0.44444444444444442</v>
      </c>
      <c r="S242">
        <f t="shared" si="69"/>
        <v>1.0444444444444443</v>
      </c>
      <c r="T242" s="89">
        <f t="shared" si="70"/>
        <v>7</v>
      </c>
      <c r="U242" s="126">
        <f>IF($D242="",0,IFERROR(LOOKUP(2,1/(($D$3:D241=$D242)*($C$3:C241=$C242)*($A$3:A241&lt;$A242)),$AB$3:AB241),1000))</f>
        <v>984.09708535515801</v>
      </c>
      <c r="V242" s="126">
        <f t="shared" si="71"/>
        <v>1051.2039453422569</v>
      </c>
      <c r="W242">
        <f t="shared" si="72"/>
        <v>1051.2039453422569</v>
      </c>
      <c r="X242">
        <f t="shared" si="73"/>
        <v>0.5</v>
      </c>
      <c r="Y242">
        <f t="shared" si="74"/>
        <v>984.09708535515801</v>
      </c>
      <c r="Z242">
        <f t="shared" si="75"/>
        <v>0.5</v>
      </c>
      <c r="AA242">
        <f>IF($D242="",0,IF($F242&lt;2,0,IF($E242="Win",('Guide &amp; Settings'!$C$42/(($F242-1)*COUNTIFS($A$4:$A$1510,$A242,$E$4:$E$1510,"Win")))*SUMIFS($Z$4:$Z$1510,$A$4:$A$1510,$A242,$E$4:$E$1510,"Loss"),-('Guide &amp; Settings'!$C$42/($F242-1))*$Z242)))</f>
        <v>17.352120983758638</v>
      </c>
      <c r="AB242" s="126">
        <f t="shared" si="76"/>
        <v>1001.4492063389166</v>
      </c>
      <c r="AC242" s="126">
        <f>IF($D242="","",IF($AD242=0,0,IF(COUNTIFS($D$4:$D242,$D242,$B$4:$B242,$B242)&gt;1,0,IF($B242&lt;'Guide &amp; Settings'!$C$50,0,IF(($B242-$AD242)/7-'Guide &amp; Settings'!$C$48&gt;=0,(INT(($B242-$AD242)/7-'Guide &amp; Settings'!$C$48)+1)*'Guide &amp; Settings'!$C$49,0)))))</f>
        <v>0</v>
      </c>
      <c r="AD242" s="142">
        <f t="shared" si="77"/>
        <v>46188</v>
      </c>
      <c r="AE242">
        <f t="shared" si="78"/>
        <v>1</v>
      </c>
      <c r="AF242">
        <f t="shared" si="79"/>
        <v>0</v>
      </c>
    </row>
    <row r="243" spans="1:32" ht="15" customHeight="1" x14ac:dyDescent="0.2">
      <c r="A243" s="117">
        <v>97</v>
      </c>
      <c r="B243" s="118">
        <v>46189</v>
      </c>
      <c r="C243" s="119" t="s">
        <v>37</v>
      </c>
      <c r="D243" s="119" t="s">
        <v>22</v>
      </c>
      <c r="E243" s="117" t="s">
        <v>371</v>
      </c>
      <c r="F243" s="120">
        <f t="shared" si="60"/>
        <v>2</v>
      </c>
      <c r="G243" s="121" t="str">
        <f t="shared" si="61"/>
        <v>Dean B</v>
      </c>
      <c r="H243" s="122">
        <f>IF($D243="",0,IFERROR(LOOKUP(2,1/(($D$3:D242=$D243)*($A$3:A242&lt;$A243)),$N$3:N242),'Guide &amp; Settings'!$C$41))</f>
        <v>1082.6041085130073</v>
      </c>
      <c r="I243" s="123">
        <f t="shared" si="62"/>
        <v>0.57446808510638303</v>
      </c>
      <c r="J243" s="124">
        <f>IF($D243="",0,IF($F243&lt;2,0,IF($E243="Win",('Guide &amp; Settings'!$C$42/(($F243-1)*COUNTIFS($A$4:$A$1510,$A243,$E$4:$E$1510,"Win")))*SUMIFS($X$4:$X$1510,$A$4:$A$1510,$A243,$E$4:$E$1510,"Loss"),-('Guide &amp; Settings'!$C$42/($F243-1))*$X243)))</f>
        <v>-16.253111405936636</v>
      </c>
      <c r="K243" s="124">
        <f>IF($D243="",0,'Guide &amp; Settings'!$C$43*(IF($E243="Win",1,0)-$I243))</f>
        <v>-6.8936170212765964</v>
      </c>
      <c r="L243" s="125">
        <f>IF($D243="",0,'Guide &amp; Settings'!$C$44*IF($F243&gt;=3,$F243,0))</f>
        <v>0</v>
      </c>
      <c r="M243" s="124">
        <f t="shared" si="63"/>
        <v>-23.146728427213233</v>
      </c>
      <c r="N243" s="122">
        <f t="shared" si="64"/>
        <v>1059.4573800857941</v>
      </c>
      <c r="O243" s="121" t="str">
        <f t="shared" si="65"/>
        <v>OK</v>
      </c>
      <c r="P243">
        <f t="shared" si="66"/>
        <v>1145.1535493241954</v>
      </c>
      <c r="Q243">
        <f t="shared" si="67"/>
        <v>0.41094418842504926</v>
      </c>
      <c r="R243">
        <f t="shared" si="68"/>
        <v>0.6</v>
      </c>
      <c r="S243">
        <f t="shared" si="69"/>
        <v>1.0444444444444443</v>
      </c>
      <c r="T243" s="89">
        <f t="shared" si="70"/>
        <v>3</v>
      </c>
      <c r="U243" s="126">
        <f>IF($D243="",0,IFERROR(LOOKUP(2,1/(($D$3:D242=$D243)*($C$3:C242=$C243)*($A$3:A242&lt;$A243)),$AB$3:AB242),1000))</f>
        <v>1013.5282144640585</v>
      </c>
      <c r="V243" s="126">
        <f t="shared" si="71"/>
        <v>1056.7006482446513</v>
      </c>
      <c r="W243">
        <f t="shared" si="72"/>
        <v>1051.2039453422569</v>
      </c>
      <c r="X243">
        <f t="shared" si="73"/>
        <v>0.50790973143551987</v>
      </c>
      <c r="Y243">
        <f t="shared" si="74"/>
        <v>984.09708535515801</v>
      </c>
      <c r="Z243">
        <f t="shared" si="75"/>
        <v>0.54225378074245745</v>
      </c>
      <c r="AA243">
        <f>IF($D243="",0,IF($F243&lt;2,0,IF($E243="Win",('Guide &amp; Settings'!$C$42/(($F243-1)*COUNTIFS($A$4:$A$1510,$A243,$E$4:$E$1510,"Win")))*SUMIFS($Z$4:$Z$1510,$A$4:$A$1510,$A243,$E$4:$E$1510,"Loss"),-('Guide &amp; Settings'!$C$42/($F243-1))*$Z243)))</f>
        <v>-17.352120983758638</v>
      </c>
      <c r="AB243" s="126">
        <f t="shared" si="76"/>
        <v>996.17609348029987</v>
      </c>
      <c r="AC243" s="126">
        <f>IF($D243="","",IF($AD243=0,0,IF(COUNTIFS($D$4:$D243,$D243,$B$4:$B243,$B243)&gt;1,0,IF($B243&lt;'Guide &amp; Settings'!$C$50,0,IF(($B243-$AD243)/7-'Guide &amp; Settings'!$C$48&gt;=0,(INT(($B243-$AD243)/7-'Guide &amp; Settings'!$C$48)+1)*'Guide &amp; Settings'!$C$49,0)))))</f>
        <v>0</v>
      </c>
      <c r="AD243" s="142">
        <f t="shared" si="77"/>
        <v>46188</v>
      </c>
      <c r="AE243">
        <f t="shared" si="78"/>
        <v>1</v>
      </c>
      <c r="AF243">
        <f t="shared" si="79"/>
        <v>0</v>
      </c>
    </row>
    <row r="244" spans="1:32" ht="15" customHeight="1" x14ac:dyDescent="0.2">
      <c r="A244" s="117">
        <v>98</v>
      </c>
      <c r="B244" s="118">
        <v>46190</v>
      </c>
      <c r="C244" s="119" t="s">
        <v>33</v>
      </c>
      <c r="D244" s="119" t="s">
        <v>20</v>
      </c>
      <c r="E244" s="117" t="s">
        <v>370</v>
      </c>
      <c r="F244" s="120">
        <f t="shared" si="60"/>
        <v>2</v>
      </c>
      <c r="G244" s="121" t="str">
        <f t="shared" si="61"/>
        <v>Shawn</v>
      </c>
      <c r="H244" s="122">
        <f>IF($D244="",0,IFERROR(LOOKUP(2,1/(($D$3:D243=$D244)*($A$3:A243&lt;$A244)),$N$3:N243),'Guide &amp; Settings'!$C$41))</f>
        <v>1009.9183538066862</v>
      </c>
      <c r="I244" s="123">
        <f t="shared" si="62"/>
        <v>0.5</v>
      </c>
      <c r="J244" s="124">
        <f>IF($D244="",0,IF($F244&lt;2,0,IF($E244="Win",('Guide &amp; Settings'!$C$42/(($F244-1)*COUNTIFS($A$4:$A$1510,$A244,$E$4:$E$1510,"Win")))*SUMIFS($X$4:$X$1510,$A$4:$A$1510,$A244,$E$4:$E$1510,"Loss"),-('Guide &amp; Settings'!$C$42/($F244-1))*$X244)))</f>
        <v>18.266020857154174</v>
      </c>
      <c r="K244" s="124">
        <f>IF($D244="",0,'Guide &amp; Settings'!$C$43*(IF($E244="Win",1,0)-$I244))</f>
        <v>6</v>
      </c>
      <c r="L244" s="125">
        <f>IF($D244="",0,'Guide &amp; Settings'!$C$44*IF($F244&gt;=3,$F244,0))</f>
        <v>0</v>
      </c>
      <c r="M244" s="124">
        <f t="shared" si="63"/>
        <v>24.266020857154174</v>
      </c>
      <c r="N244" s="122">
        <f t="shared" si="64"/>
        <v>1034.1843746638403</v>
      </c>
      <c r="O244" s="121" t="str">
        <f t="shared" si="65"/>
        <v>OK</v>
      </c>
      <c r="P244">
        <f t="shared" si="66"/>
        <v>1009.9183538066862</v>
      </c>
      <c r="Q244">
        <f t="shared" si="67"/>
        <v>0.5</v>
      </c>
      <c r="R244">
        <f t="shared" si="68"/>
        <v>0.5</v>
      </c>
      <c r="S244">
        <f t="shared" si="69"/>
        <v>1</v>
      </c>
      <c r="T244" s="89">
        <f t="shared" si="70"/>
        <v>0</v>
      </c>
      <c r="U244" s="126">
        <f>IF($D244="",0,IFERROR(LOOKUP(2,1/(($D$3:D243=$D244)*($C$3:C243=$C244)*($A$3:A243&lt;$A244)),$AB$3:AB243),1000))</f>
        <v>1000</v>
      </c>
      <c r="V244" s="126">
        <f t="shared" si="71"/>
        <v>1009.9183538066862</v>
      </c>
      <c r="W244">
        <f t="shared" si="72"/>
        <v>1009.9183538066862</v>
      </c>
      <c r="X244">
        <f t="shared" si="73"/>
        <v>0.5</v>
      </c>
      <c r="Y244">
        <f t="shared" si="74"/>
        <v>1000</v>
      </c>
      <c r="Z244">
        <f t="shared" si="75"/>
        <v>0.5</v>
      </c>
      <c r="AA244">
        <f>IF($D244="",0,IF($F244&lt;2,0,IF($E244="Win",('Guide &amp; Settings'!$C$42/(($F244-1)*COUNTIFS($A$4:$A$1510,$A244,$E$4:$E$1510,"Win")))*SUMIFS($Z$4:$Z$1510,$A$4:$A$1510,$A244,$E$4:$E$1510,"Loss"),-('Guide &amp; Settings'!$C$42/($F244-1))*$Z244)))</f>
        <v>16</v>
      </c>
      <c r="AB244" s="126">
        <f t="shared" si="76"/>
        <v>1016</v>
      </c>
      <c r="AC244" s="126">
        <f>IF($D244="","",IF($AD244=0,0,IF(COUNTIFS($D$4:$D244,$D244,$B$4:$B244,$B244)&gt;1,0,IF($B244&lt;'Guide &amp; Settings'!$C$50,0,IF(($B244-$AD244)/7-'Guide &amp; Settings'!$C$48&gt;=0,(INT(($B244-$AD244)/7-'Guide &amp; Settings'!$C$48)+1)*'Guide &amp; Settings'!$C$49,0)))))</f>
        <v>0</v>
      </c>
      <c r="AD244" s="142">
        <f t="shared" si="77"/>
        <v>46189</v>
      </c>
      <c r="AE244">
        <f t="shared" si="78"/>
        <v>1</v>
      </c>
      <c r="AF244">
        <f t="shared" si="79"/>
        <v>0</v>
      </c>
    </row>
    <row r="245" spans="1:32" ht="15" customHeight="1" x14ac:dyDescent="0.2">
      <c r="A245" s="117">
        <v>98</v>
      </c>
      <c r="B245" s="118">
        <v>46190</v>
      </c>
      <c r="C245" s="119" t="s">
        <v>33</v>
      </c>
      <c r="D245" s="119" t="s">
        <v>22</v>
      </c>
      <c r="E245" s="117" t="s">
        <v>371</v>
      </c>
      <c r="F245" s="120">
        <f t="shared" si="60"/>
        <v>2</v>
      </c>
      <c r="G245" s="121" t="str">
        <f t="shared" si="61"/>
        <v>Shawn</v>
      </c>
      <c r="H245" s="122">
        <f>IF($D245="",0,IFERROR(LOOKUP(2,1/(($D$3:D244=$D245)*($A$3:A244&lt;$A245)),$N$3:N244),'Guide &amp; Settings'!$C$41))</f>
        <v>1059.4573800857941</v>
      </c>
      <c r="I245" s="123">
        <f t="shared" si="62"/>
        <v>0.5</v>
      </c>
      <c r="J245" s="124">
        <f>IF($D245="",0,IF($F245&lt;2,0,IF($E245="Win",('Guide &amp; Settings'!$C$42/(($F245-1)*COUNTIFS($A$4:$A$1510,$A245,$E$4:$E$1510,"Win")))*SUMIFS($X$4:$X$1510,$A$4:$A$1510,$A245,$E$4:$E$1510,"Loss"),-('Guide &amp; Settings'!$C$42/($F245-1))*$X245)))</f>
        <v>-18.266020857154174</v>
      </c>
      <c r="K245" s="124">
        <f>IF($D245="",0,'Guide &amp; Settings'!$C$43*(IF($E245="Win",1,0)-$I245))</f>
        <v>-6</v>
      </c>
      <c r="L245" s="125">
        <f>IF($D245="",0,'Guide &amp; Settings'!$C$44*IF($F245&gt;=3,$F245,0))</f>
        <v>0</v>
      </c>
      <c r="M245" s="124">
        <f t="shared" si="63"/>
        <v>-24.266020857154174</v>
      </c>
      <c r="N245" s="122">
        <f t="shared" si="64"/>
        <v>1035.1913592286398</v>
      </c>
      <c r="O245" s="121" t="str">
        <f t="shared" si="65"/>
        <v>OK</v>
      </c>
      <c r="P245">
        <f t="shared" si="66"/>
        <v>1009.9183538066862</v>
      </c>
      <c r="Q245">
        <f t="shared" si="67"/>
        <v>0.57081315178606795</v>
      </c>
      <c r="R245">
        <f t="shared" si="68"/>
        <v>0.5</v>
      </c>
      <c r="S245">
        <f t="shared" si="69"/>
        <v>1</v>
      </c>
      <c r="T245" s="89">
        <f t="shared" si="70"/>
        <v>0</v>
      </c>
      <c r="U245" s="126">
        <f>IF($D245="",0,IFERROR(LOOKUP(2,1/(($D$3:D244=$D245)*($C$3:C244=$C245)*($A$3:A244&lt;$A245)),$AB$3:AB244),1000))</f>
        <v>1000</v>
      </c>
      <c r="V245" s="126">
        <f t="shared" si="71"/>
        <v>1059.4573800857941</v>
      </c>
      <c r="W245">
        <f t="shared" si="72"/>
        <v>1009.9183538066862</v>
      </c>
      <c r="X245">
        <f t="shared" si="73"/>
        <v>0.57081315178606795</v>
      </c>
      <c r="Y245">
        <f t="shared" si="74"/>
        <v>1000</v>
      </c>
      <c r="Z245">
        <f t="shared" si="75"/>
        <v>0.5</v>
      </c>
      <c r="AA245">
        <f>IF($D245="",0,IF($F245&lt;2,0,IF($E245="Win",('Guide &amp; Settings'!$C$42/(($F245-1)*COUNTIFS($A$4:$A$1510,$A245,$E$4:$E$1510,"Win")))*SUMIFS($Z$4:$Z$1510,$A$4:$A$1510,$A245,$E$4:$E$1510,"Loss"),-('Guide &amp; Settings'!$C$42/($F245-1))*$Z245)))</f>
        <v>-16</v>
      </c>
      <c r="AB245" s="126">
        <f t="shared" si="76"/>
        <v>984</v>
      </c>
      <c r="AC245" s="126">
        <f>IF($D245="","",IF($AD245=0,0,IF(COUNTIFS($D$4:$D245,$D245,$B$4:$B245,$B245)&gt;1,0,IF($B245&lt;'Guide &amp; Settings'!$C$50,0,IF(($B245-$AD245)/7-'Guide &amp; Settings'!$C$48&gt;=0,(INT(($B245-$AD245)/7-'Guide &amp; Settings'!$C$48)+1)*'Guide &amp; Settings'!$C$49,0)))))</f>
        <v>0</v>
      </c>
      <c r="AD245" s="142">
        <f t="shared" si="77"/>
        <v>46189</v>
      </c>
      <c r="AE245">
        <f t="shared" si="78"/>
        <v>1</v>
      </c>
      <c r="AF245">
        <f t="shared" si="79"/>
        <v>0</v>
      </c>
    </row>
    <row r="246" spans="1:32" ht="15" customHeight="1" x14ac:dyDescent="0.2">
      <c r="A246" s="117">
        <v>99</v>
      </c>
      <c r="B246" s="118">
        <v>46199</v>
      </c>
      <c r="C246" s="119" t="s">
        <v>50</v>
      </c>
      <c r="D246" s="119" t="s">
        <v>22</v>
      </c>
      <c r="E246" s="117" t="s">
        <v>370</v>
      </c>
      <c r="F246" s="120">
        <f t="shared" si="60"/>
        <v>2</v>
      </c>
      <c r="G246" s="121" t="str">
        <f t="shared" si="61"/>
        <v>Daniel (Ferret)</v>
      </c>
      <c r="H246" s="122">
        <f>IF($D246="",0,IFERROR(LOOKUP(2,1/(($D$3:D245=$D246)*($A$3:A245&lt;$A246)),$N$3:N245),'Guide &amp; Settings'!$C$41))</f>
        <v>1035.1913592286398</v>
      </c>
      <c r="I246" s="123">
        <f t="shared" si="62"/>
        <v>0.25</v>
      </c>
      <c r="J246" s="124">
        <f>IF($D246="",0,IF($F246&lt;2,0,IF($E246="Win",('Guide &amp; Settings'!$C$42/(($F246-1)*COUNTIFS($A$4:$A$1510,$A246,$E$4:$E$1510,"Win")))*SUMIFS($X$4:$X$1510,$A$4:$A$1510,$A246,$E$4:$E$1510,"Loss"),-('Guide &amp; Settings'!$C$42/($F246-1))*$X246)))</f>
        <v>23.009569433765709</v>
      </c>
      <c r="K246" s="124">
        <f>IF($D246="",0,'Guide &amp; Settings'!$C$43*(IF($E246="Win",1,0)-$I246))</f>
        <v>9</v>
      </c>
      <c r="L246" s="125">
        <f>IF($D246="",0,'Guide &amp; Settings'!$C$44*IF($F246&gt;=3,$F246,0))</f>
        <v>0</v>
      </c>
      <c r="M246" s="124">
        <f t="shared" si="63"/>
        <v>32.009569433765705</v>
      </c>
      <c r="N246" s="122">
        <f t="shared" si="64"/>
        <v>1067.2009286624057</v>
      </c>
      <c r="O246" s="121" t="str">
        <f t="shared" si="65"/>
        <v>OK</v>
      </c>
      <c r="P246">
        <f t="shared" si="66"/>
        <v>1035.1913592286398</v>
      </c>
      <c r="Q246">
        <f t="shared" si="67"/>
        <v>0.5</v>
      </c>
      <c r="R246">
        <f t="shared" si="68"/>
        <v>0.16666666666666666</v>
      </c>
      <c r="S246">
        <f t="shared" si="69"/>
        <v>0.66666666666666663</v>
      </c>
      <c r="T246" s="89">
        <f t="shared" si="70"/>
        <v>4</v>
      </c>
      <c r="U246" s="126">
        <f>IF($D246="",0,IFERROR(LOOKUP(2,1/(($D$3:D245=$D246)*($C$3:C245=$C246)*($A$3:A245&lt;$A246)),$AB$3:AB245),1000))</f>
        <v>944.19905737100225</v>
      </c>
      <c r="V246" s="126">
        <f t="shared" si="71"/>
        <v>994.7503361808009</v>
      </c>
      <c r="W246">
        <f t="shared" si="72"/>
        <v>994.7503361808009</v>
      </c>
      <c r="X246">
        <f t="shared" si="73"/>
        <v>0.5</v>
      </c>
      <c r="Y246">
        <f t="shared" si="74"/>
        <v>944.19905737100225</v>
      </c>
      <c r="Z246">
        <f t="shared" si="75"/>
        <v>0.5</v>
      </c>
      <c r="AA246">
        <f>IF($D246="",0,IF($F246&lt;2,0,IF($E246="Win",('Guide &amp; Settings'!$C$42/(($F246-1)*COUNTIFS($A$4:$A$1510,$A246,$E$4:$E$1510,"Win")))*SUMIFS($Z$4:$Z$1510,$A$4:$A$1510,$A246,$E$4:$E$1510,"Loss"),-('Guide &amp; Settings'!$C$42/($F246-1))*$Z246)))</f>
        <v>18.547858669515744</v>
      </c>
      <c r="AB246" s="126">
        <f t="shared" si="76"/>
        <v>962.74691604051804</v>
      </c>
      <c r="AC246" s="126">
        <f>IF($D246="","",IF($AD246=0,0,IF(COUNTIFS($D$4:$D246,$D246,$B$4:$B246,$B246)&gt;1,0,IF($B246&lt;'Guide &amp; Settings'!$C$50,0,IF(($B246-$AD246)/7-'Guide &amp; Settings'!$C$48&gt;=0,(INT(($B246-$AD246)/7-'Guide &amp; Settings'!$C$48)+1)*'Guide &amp; Settings'!$C$49,0)))))</f>
        <v>0</v>
      </c>
      <c r="AD246" s="142">
        <f t="shared" si="77"/>
        <v>46190</v>
      </c>
      <c r="AE246">
        <f t="shared" si="78"/>
        <v>1</v>
      </c>
      <c r="AF246">
        <f t="shared" si="79"/>
        <v>0</v>
      </c>
    </row>
    <row r="247" spans="1:32" ht="15" customHeight="1" x14ac:dyDescent="0.2">
      <c r="A247" s="117">
        <v>99</v>
      </c>
      <c r="B247" s="118">
        <v>46199</v>
      </c>
      <c r="C247" s="119" t="s">
        <v>50</v>
      </c>
      <c r="D247" s="119" t="s">
        <v>19</v>
      </c>
      <c r="E247" s="117" t="s">
        <v>371</v>
      </c>
      <c r="F247" s="120">
        <f t="shared" si="60"/>
        <v>2</v>
      </c>
      <c r="G247" s="121" t="str">
        <f t="shared" si="61"/>
        <v>Daniel (Ferret)</v>
      </c>
      <c r="H247" s="122">
        <f>IF($D247="",0,IFERROR(LOOKUP(2,1/(($D$3:D246=$D247)*($A$3:A246&lt;$A247)),$N$3:N246),'Guide &amp; Settings'!$C$41))</f>
        <v>1158.0015364689252</v>
      </c>
      <c r="I247" s="123">
        <f t="shared" si="62"/>
        <v>0.75</v>
      </c>
      <c r="J247" s="124">
        <f>IF($D247="",0,IF($F247&lt;2,0,IF($E247="Win",('Guide &amp; Settings'!$C$42/(($F247-1)*COUNTIFS($A$4:$A$1510,$A247,$E$4:$E$1510,"Win")))*SUMIFS($X$4:$X$1510,$A$4:$A$1510,$A247,$E$4:$E$1510,"Loss"),-('Guide &amp; Settings'!$C$42/($F247-1))*$X247)))</f>
        <v>-23.009569433765709</v>
      </c>
      <c r="K247" s="124">
        <f>IF($D247="",0,'Guide &amp; Settings'!$C$43*(IF($E247="Win",1,0)-$I247))</f>
        <v>-9</v>
      </c>
      <c r="L247" s="125">
        <f>IF($D247="",0,'Guide &amp; Settings'!$C$44*IF($F247&gt;=3,$F247,0))</f>
        <v>0</v>
      </c>
      <c r="M247" s="124">
        <f t="shared" si="63"/>
        <v>-32.009569433765705</v>
      </c>
      <c r="N247" s="122">
        <f t="shared" si="64"/>
        <v>1125.9919670351596</v>
      </c>
      <c r="O247" s="121" t="str">
        <f t="shared" si="65"/>
        <v>OK</v>
      </c>
      <c r="P247">
        <f t="shared" si="66"/>
        <v>1035.1913592286398</v>
      </c>
      <c r="Q247">
        <f t="shared" si="67"/>
        <v>0.66972735987539889</v>
      </c>
      <c r="R247">
        <f t="shared" si="68"/>
        <v>0.5</v>
      </c>
      <c r="S247">
        <f t="shared" si="69"/>
        <v>0.66666666666666663</v>
      </c>
      <c r="T247" s="89">
        <f t="shared" si="70"/>
        <v>0</v>
      </c>
      <c r="U247" s="126">
        <f>IF($D247="",0,IFERROR(LOOKUP(2,1/(($D$3:D246=$D247)*($C$3:C246=$C247)*($A$3:A246&lt;$A247)),$AB$3:AB246),1000))</f>
        <v>1000</v>
      </c>
      <c r="V247" s="126">
        <f t="shared" si="71"/>
        <v>1158.0015364689252</v>
      </c>
      <c r="W247">
        <f t="shared" si="72"/>
        <v>994.7503361808009</v>
      </c>
      <c r="X247">
        <f t="shared" si="73"/>
        <v>0.71904904480517839</v>
      </c>
      <c r="Y247">
        <f t="shared" si="74"/>
        <v>944.19905737100225</v>
      </c>
      <c r="Z247">
        <f t="shared" si="75"/>
        <v>0.579620583422367</v>
      </c>
      <c r="AA247">
        <f>IF($D247="",0,IF($F247&lt;2,0,IF($E247="Win",('Guide &amp; Settings'!$C$42/(($F247-1)*COUNTIFS($A$4:$A$1510,$A247,$E$4:$E$1510,"Win")))*SUMIFS($Z$4:$Z$1510,$A$4:$A$1510,$A247,$E$4:$E$1510,"Loss"),-('Guide &amp; Settings'!$C$42/($F247-1))*$Z247)))</f>
        <v>-18.547858669515744</v>
      </c>
      <c r="AB247" s="126">
        <f t="shared" si="76"/>
        <v>981.45214133048421</v>
      </c>
      <c r="AC247" s="126">
        <f>IF($D247="","",IF($AD247=0,0,IF(COUNTIFS($D$4:$D247,$D247,$B$4:$B247,$B247)&gt;1,0,IF($B247&lt;'Guide &amp; Settings'!$C$50,0,IF(($B247-$AD247)/7-'Guide &amp; Settings'!$C$48&gt;=0,(INT(($B247-$AD247)/7-'Guide &amp; Settings'!$C$48)+1)*'Guide &amp; Settings'!$C$49,0)))))</f>
        <v>0</v>
      </c>
      <c r="AD247" s="142">
        <f t="shared" si="77"/>
        <v>46188</v>
      </c>
      <c r="AE247">
        <f t="shared" si="78"/>
        <v>1</v>
      </c>
      <c r="AF247">
        <f t="shared" si="79"/>
        <v>0</v>
      </c>
    </row>
    <row r="248" spans="1:32" ht="15" customHeight="1" x14ac:dyDescent="0.2">
      <c r="A248" s="117">
        <v>100</v>
      </c>
      <c r="B248" s="118">
        <v>46199</v>
      </c>
      <c r="C248" s="119" t="s">
        <v>50</v>
      </c>
      <c r="D248" s="119" t="s">
        <v>22</v>
      </c>
      <c r="E248" s="117" t="s">
        <v>370</v>
      </c>
      <c r="F248" s="120">
        <f t="shared" si="60"/>
        <v>2</v>
      </c>
      <c r="G248" s="121" t="str">
        <f t="shared" si="61"/>
        <v>Daniel (Ferret)</v>
      </c>
      <c r="H248" s="122">
        <f>IF($D248="",0,IFERROR(LOOKUP(2,1/(($D$3:D247=$D248)*($A$3:A247&lt;$A248)),$N$3:N247),'Guide &amp; Settings'!$C$41))</f>
        <v>1067.2009286624057</v>
      </c>
      <c r="I248" s="123">
        <f t="shared" si="62"/>
        <v>0.46153846153846151</v>
      </c>
      <c r="J248" s="124">
        <f>IF($D248="",0,IF($F248&lt;2,0,IF($E248="Win",('Guide &amp; Settings'!$C$42/(($F248-1)*COUNTIFS($A$4:$A$1510,$A248,$E$4:$E$1510,"Win")))*SUMIFS($X$4:$X$1510,$A$4:$A$1510,$A248,$E$4:$E$1510,"Loss"),-('Guide &amp; Settings'!$C$42/($F248-1))*$X248)))</f>
        <v>19.921693090410614</v>
      </c>
      <c r="K248" s="124">
        <f>IF($D248="",0,'Guide &amp; Settings'!$C$43*(IF($E248="Win",1,0)-$I248))</f>
        <v>6.4615384615384626</v>
      </c>
      <c r="L248" s="125">
        <f>IF($D248="",0,'Guide &amp; Settings'!$C$44*IF($F248&gt;=3,$F248,0))</f>
        <v>0</v>
      </c>
      <c r="M248" s="124">
        <f t="shared" si="63"/>
        <v>26.383231551949077</v>
      </c>
      <c r="N248" s="122">
        <f t="shared" si="64"/>
        <v>1093.5841602143548</v>
      </c>
      <c r="O248" s="121" t="str">
        <f t="shared" si="65"/>
        <v>OK</v>
      </c>
      <c r="P248">
        <f t="shared" si="66"/>
        <v>1067.2009286624057</v>
      </c>
      <c r="Q248">
        <f t="shared" si="67"/>
        <v>0.5</v>
      </c>
      <c r="R248">
        <f t="shared" si="68"/>
        <v>0.2857142857142857</v>
      </c>
      <c r="S248">
        <f t="shared" si="69"/>
        <v>0.61904761904761907</v>
      </c>
      <c r="T248" s="89">
        <f t="shared" si="70"/>
        <v>5</v>
      </c>
      <c r="U248" s="126">
        <f>IF($D248="",0,IFERROR(LOOKUP(2,1/(($D$3:D247=$D248)*($C$3:C247=$C248)*($A$3:A247&lt;$A248)),$AB$3:AB247),1000))</f>
        <v>962.74691604051804</v>
      </c>
      <c r="V248" s="126">
        <f t="shared" si="71"/>
        <v>1014.9739223514619</v>
      </c>
      <c r="W248">
        <f t="shared" si="72"/>
        <v>1014.9739223514619</v>
      </c>
      <c r="X248">
        <f t="shared" si="73"/>
        <v>0.5</v>
      </c>
      <c r="Y248">
        <f t="shared" si="74"/>
        <v>962.74691604051804</v>
      </c>
      <c r="Z248">
        <f t="shared" si="75"/>
        <v>0.5</v>
      </c>
      <c r="AA248">
        <f>IF($D248="",0,IF($F248&lt;2,0,IF($E248="Win",('Guide &amp; Settings'!$C$42/(($F248-1)*COUNTIFS($A$4:$A$1510,$A248,$E$4:$E$1510,"Win")))*SUMIFS($Z$4:$Z$1510,$A$4:$A$1510,$A248,$E$4:$E$1510,"Loss"),-('Guide &amp; Settings'!$C$42/($F248-1))*$Z248)))</f>
        <v>16.860576151278366</v>
      </c>
      <c r="AB248" s="126">
        <f t="shared" si="76"/>
        <v>979.60749219179638</v>
      </c>
      <c r="AC248" s="126">
        <f>IF($D248="","",IF($AD248=0,0,IF(COUNTIFS($D$4:$D248,$D248,$B$4:$B248,$B248)&gt;1,0,IF($B248&lt;'Guide &amp; Settings'!$C$50,0,IF(($B248-$AD248)/7-'Guide &amp; Settings'!$C$48&gt;=0,(INT(($B248-$AD248)/7-'Guide &amp; Settings'!$C$48)+1)*'Guide &amp; Settings'!$C$49,0)))))</f>
        <v>0</v>
      </c>
      <c r="AD248" s="142">
        <f t="shared" si="77"/>
        <v>46190</v>
      </c>
      <c r="AE248">
        <f t="shared" si="78"/>
        <v>1</v>
      </c>
      <c r="AF248">
        <f t="shared" si="79"/>
        <v>0</v>
      </c>
    </row>
    <row r="249" spans="1:32" ht="15" customHeight="1" x14ac:dyDescent="0.2">
      <c r="A249" s="117">
        <v>100</v>
      </c>
      <c r="B249" s="118">
        <v>46199</v>
      </c>
      <c r="C249" s="119" t="s">
        <v>50</v>
      </c>
      <c r="D249" s="119" t="s">
        <v>19</v>
      </c>
      <c r="E249" s="117" t="s">
        <v>371</v>
      </c>
      <c r="F249" s="120">
        <f t="shared" si="60"/>
        <v>2</v>
      </c>
      <c r="G249" s="121" t="str">
        <f t="shared" si="61"/>
        <v>Daniel (Ferret)</v>
      </c>
      <c r="H249" s="122">
        <f>IF($D249="",0,IFERROR(LOOKUP(2,1/(($D$3:D248=$D249)*($A$3:A248&lt;$A249)),$N$3:N248),'Guide &amp; Settings'!$C$41))</f>
        <v>1125.9919670351596</v>
      </c>
      <c r="I249" s="123">
        <f t="shared" si="62"/>
        <v>0.53846153846153844</v>
      </c>
      <c r="J249" s="124">
        <f>IF($D249="",0,IF($F249&lt;2,0,IF($E249="Win",('Guide &amp; Settings'!$C$42/(($F249-1)*COUNTIFS($A$4:$A$1510,$A249,$E$4:$E$1510,"Win")))*SUMIFS($X$4:$X$1510,$A$4:$A$1510,$A249,$E$4:$E$1510,"Loss"),-('Guide &amp; Settings'!$C$42/($F249-1))*$X249)))</f>
        <v>-19.921693090410614</v>
      </c>
      <c r="K249" s="124">
        <f>IF($D249="",0,'Guide &amp; Settings'!$C$43*(IF($E249="Win",1,0)-$I249))</f>
        <v>-6.4615384615384617</v>
      </c>
      <c r="L249" s="125">
        <f>IF($D249="",0,'Guide &amp; Settings'!$C$44*IF($F249&gt;=3,$F249,0))</f>
        <v>0</v>
      </c>
      <c r="M249" s="124">
        <f t="shared" si="63"/>
        <v>-26.383231551949073</v>
      </c>
      <c r="N249" s="122">
        <f t="shared" si="64"/>
        <v>1099.6087354832105</v>
      </c>
      <c r="O249" s="121" t="str">
        <f t="shared" si="65"/>
        <v>OK</v>
      </c>
      <c r="P249">
        <f t="shared" si="66"/>
        <v>1067.2009286624057</v>
      </c>
      <c r="Q249">
        <f t="shared" si="67"/>
        <v>0.58380871726425265</v>
      </c>
      <c r="R249">
        <f t="shared" si="68"/>
        <v>0.33333333333333331</v>
      </c>
      <c r="S249">
        <f t="shared" si="69"/>
        <v>0.61904761904761907</v>
      </c>
      <c r="T249" s="89">
        <f t="shared" si="70"/>
        <v>1</v>
      </c>
      <c r="U249" s="126">
        <f>IF($D249="",0,IFERROR(LOOKUP(2,1/(($D$3:D248=$D249)*($C$3:C248=$C249)*($A$3:A248&lt;$A249)),$AB$3:AB248),1000))</f>
        <v>981.45214133048421</v>
      </c>
      <c r="V249" s="126">
        <f t="shared" si="71"/>
        <v>1101.9019960843805</v>
      </c>
      <c r="W249">
        <f t="shared" si="72"/>
        <v>1014.9739223514619</v>
      </c>
      <c r="X249">
        <f t="shared" si="73"/>
        <v>0.62255290907533167</v>
      </c>
      <c r="Y249">
        <f t="shared" si="74"/>
        <v>962.74691604051804</v>
      </c>
      <c r="Z249">
        <f t="shared" si="75"/>
        <v>0.52689300472744893</v>
      </c>
      <c r="AA249">
        <f>IF($D249="",0,IF($F249&lt;2,0,IF($E249="Win",('Guide &amp; Settings'!$C$42/(($F249-1)*COUNTIFS($A$4:$A$1510,$A249,$E$4:$E$1510,"Win")))*SUMIFS($Z$4:$Z$1510,$A$4:$A$1510,$A249,$E$4:$E$1510,"Loss"),-('Guide &amp; Settings'!$C$42/($F249-1))*$Z249)))</f>
        <v>-16.860576151278366</v>
      </c>
      <c r="AB249" s="126">
        <f t="shared" si="76"/>
        <v>964.59156517920587</v>
      </c>
      <c r="AC249" s="126">
        <f>IF($D249="","",IF($AD249=0,0,IF(COUNTIFS($D$4:$D249,$D249,$B$4:$B249,$B249)&gt;1,0,IF($B249&lt;'Guide &amp; Settings'!$C$50,0,IF(($B249-$AD249)/7-'Guide &amp; Settings'!$C$48&gt;=0,(INT(($B249-$AD249)/7-'Guide &amp; Settings'!$C$48)+1)*'Guide &amp; Settings'!$C$49,0)))))</f>
        <v>0</v>
      </c>
      <c r="AD249" s="142">
        <f t="shared" si="77"/>
        <v>46188</v>
      </c>
      <c r="AE249">
        <f t="shared" si="78"/>
        <v>1</v>
      </c>
      <c r="AF249">
        <f t="shared" si="79"/>
        <v>0</v>
      </c>
    </row>
    <row r="250" spans="1:32" ht="15" customHeight="1" x14ac:dyDescent="0.2">
      <c r="A250" s="117">
        <v>101</v>
      </c>
      <c r="B250" s="118">
        <v>46199</v>
      </c>
      <c r="C250" s="119" t="s">
        <v>50</v>
      </c>
      <c r="D250" s="119" t="s">
        <v>19</v>
      </c>
      <c r="E250" s="117" t="s">
        <v>370</v>
      </c>
      <c r="F250" s="120">
        <f t="shared" si="60"/>
        <v>2</v>
      </c>
      <c r="G250" s="121" t="str">
        <f t="shared" si="61"/>
        <v>Josh</v>
      </c>
      <c r="H250" s="122">
        <f>IF($D250="",0,IFERROR(LOOKUP(2,1/(($D$3:D249=$D250)*($A$3:A249&lt;$A250)),$N$3:N249),'Guide &amp; Settings'!$C$41))</f>
        <v>1099.6087354832105</v>
      </c>
      <c r="I250" s="123">
        <f t="shared" si="62"/>
        <v>0.4</v>
      </c>
      <c r="J250" s="124">
        <f>IF($D250="",0,IF($F250&lt;2,0,IF($E250="Win",('Guide &amp; Settings'!$C$42/(($F250-1)*COUNTIFS($A$4:$A$1510,$A250,$E$4:$E$1510,"Win")))*SUMIFS($X$4:$X$1510,$A$4:$A$1510,$A250,$E$4:$E$1510,"Loss"),-('Guide &amp; Settings'!$C$42/($F250-1))*$X250)))</f>
        <v>14.639365656006049</v>
      </c>
      <c r="K250" s="124">
        <f>IF($D250="",0,'Guide &amp; Settings'!$C$43*(IF($E250="Win",1,0)-$I250))</f>
        <v>7.1999999999999993</v>
      </c>
      <c r="L250" s="125">
        <f>IF($D250="",0,'Guide &amp; Settings'!$C$44*IF($F250&gt;=3,$F250,0))</f>
        <v>0</v>
      </c>
      <c r="M250" s="124">
        <f t="shared" si="63"/>
        <v>21.839365656006049</v>
      </c>
      <c r="N250" s="122">
        <f t="shared" si="64"/>
        <v>1121.4481011392165</v>
      </c>
      <c r="O250" s="121" t="str">
        <f t="shared" si="65"/>
        <v>OK</v>
      </c>
      <c r="P250">
        <f t="shared" si="66"/>
        <v>1099.6087354832105</v>
      </c>
      <c r="Q250">
        <f t="shared" si="67"/>
        <v>0.5</v>
      </c>
      <c r="R250">
        <f t="shared" si="68"/>
        <v>0.25</v>
      </c>
      <c r="S250">
        <f t="shared" si="69"/>
        <v>0.625</v>
      </c>
      <c r="T250" s="89">
        <f t="shared" si="70"/>
        <v>2</v>
      </c>
      <c r="U250" s="126">
        <f>IF($D250="",0,IFERROR(LOOKUP(2,1/(($D$3:D249=$D250)*($C$3:C249=$C250)*($A$3:A249&lt;$A250)),$AB$3:AB249),1000))</f>
        <v>964.59156517920587</v>
      </c>
      <c r="V250" s="126">
        <f t="shared" si="71"/>
        <v>1061.0324011106377</v>
      </c>
      <c r="W250">
        <f t="shared" si="72"/>
        <v>1061.0324011106377</v>
      </c>
      <c r="X250">
        <f t="shared" si="73"/>
        <v>0.5</v>
      </c>
      <c r="Y250">
        <f t="shared" si="74"/>
        <v>964.59156517920587</v>
      </c>
      <c r="Z250">
        <f t="shared" si="75"/>
        <v>0.5</v>
      </c>
      <c r="AA250">
        <f>IF($D250="",0,IF($F250&lt;2,0,IF($E250="Win",('Guide &amp; Settings'!$C$42/(($F250-1)*COUNTIFS($A$4:$A$1510,$A250,$E$4:$E$1510,"Win")))*SUMIFS($Z$4:$Z$1510,$A$4:$A$1510,$A250,$E$4:$E$1510,"Loss"),-('Guide &amp; Settings'!$C$42/($F250-1))*$Z250)))</f>
        <v>16.691078756777557</v>
      </c>
      <c r="AB250" s="126">
        <f t="shared" si="76"/>
        <v>981.2826439359834</v>
      </c>
      <c r="AC250" s="126">
        <f>IF($D250="","",IF($AD250=0,0,IF(COUNTIFS($D$4:$D250,$D250,$B$4:$B250,$B250)&gt;1,0,IF($B250&lt;'Guide &amp; Settings'!$C$50,0,IF(($B250-$AD250)/7-'Guide &amp; Settings'!$C$48&gt;=0,(INT(($B250-$AD250)/7-'Guide &amp; Settings'!$C$48)+1)*'Guide &amp; Settings'!$C$49,0)))))</f>
        <v>0</v>
      </c>
      <c r="AD250" s="142">
        <f t="shared" si="77"/>
        <v>46188</v>
      </c>
      <c r="AE250">
        <f t="shared" si="78"/>
        <v>1</v>
      </c>
      <c r="AF250">
        <f t="shared" si="79"/>
        <v>0</v>
      </c>
    </row>
    <row r="251" spans="1:32" ht="15" customHeight="1" x14ac:dyDescent="0.2">
      <c r="A251" s="117">
        <v>101</v>
      </c>
      <c r="B251" s="118">
        <v>46199</v>
      </c>
      <c r="C251" s="119" t="s">
        <v>50</v>
      </c>
      <c r="D251" s="119" t="s">
        <v>22</v>
      </c>
      <c r="E251" s="117" t="s">
        <v>371</v>
      </c>
      <c r="F251" s="120">
        <f t="shared" si="60"/>
        <v>2</v>
      </c>
      <c r="G251" s="121" t="str">
        <f t="shared" si="61"/>
        <v>Josh</v>
      </c>
      <c r="H251" s="122">
        <f>IF($D251="",0,IFERROR(LOOKUP(2,1/(($D$3:D250=$D251)*($A$3:A250&lt;$A251)),$N$3:N250),'Guide &amp; Settings'!$C$41))</f>
        <v>1093.5841602143548</v>
      </c>
      <c r="I251" s="123">
        <f t="shared" si="62"/>
        <v>0.6</v>
      </c>
      <c r="J251" s="124">
        <f>IF($D251="",0,IF($F251&lt;2,0,IF($E251="Win",('Guide &amp; Settings'!$C$42/(($F251-1)*COUNTIFS($A$4:$A$1510,$A251,$E$4:$E$1510,"Win")))*SUMIFS($X$4:$X$1510,$A$4:$A$1510,$A251,$E$4:$E$1510,"Loss"),-('Guide &amp; Settings'!$C$42/($F251-1))*$X251)))</f>
        <v>-14.639365656006049</v>
      </c>
      <c r="K251" s="124">
        <f>IF($D251="",0,'Guide &amp; Settings'!$C$43*(IF($E251="Win",1,0)-$I251))</f>
        <v>-7.1999999999999993</v>
      </c>
      <c r="L251" s="125">
        <f>IF($D251="",0,'Guide &amp; Settings'!$C$44*IF($F251&gt;=3,$F251,0))</f>
        <v>0</v>
      </c>
      <c r="M251" s="124">
        <f t="shared" si="63"/>
        <v>-21.839365656006049</v>
      </c>
      <c r="N251" s="122">
        <f t="shared" si="64"/>
        <v>1071.7447945583488</v>
      </c>
      <c r="O251" s="121" t="str">
        <f t="shared" si="65"/>
        <v>OK</v>
      </c>
      <c r="P251">
        <f t="shared" si="66"/>
        <v>1099.6087354832105</v>
      </c>
      <c r="Q251">
        <f t="shared" si="67"/>
        <v>0.49133080811269636</v>
      </c>
      <c r="R251">
        <f t="shared" si="68"/>
        <v>0.375</v>
      </c>
      <c r="S251">
        <f t="shared" si="69"/>
        <v>0.625</v>
      </c>
      <c r="T251" s="89">
        <f t="shared" si="70"/>
        <v>6</v>
      </c>
      <c r="U251" s="126">
        <f>IF($D251="",0,IFERROR(LOOKUP(2,1/(($D$3:D250=$D251)*($C$3:C250=$C251)*($A$3:A250&lt;$A251)),$AB$3:AB250),1000))</f>
        <v>979.60749219179638</v>
      </c>
      <c r="V251" s="126">
        <f t="shared" si="71"/>
        <v>1031.4150685656866</v>
      </c>
      <c r="W251">
        <f t="shared" si="72"/>
        <v>1061.0324011106377</v>
      </c>
      <c r="X251">
        <f t="shared" si="73"/>
        <v>0.45748017675018904</v>
      </c>
      <c r="Y251">
        <f t="shared" si="74"/>
        <v>964.59156517920587</v>
      </c>
      <c r="Z251">
        <f t="shared" si="75"/>
        <v>0.52159621114929866</v>
      </c>
      <c r="AA251">
        <f>IF($D251="",0,IF($F251&lt;2,0,IF($E251="Win",('Guide &amp; Settings'!$C$42/(($F251-1)*COUNTIFS($A$4:$A$1510,$A251,$E$4:$E$1510,"Win")))*SUMIFS($Z$4:$Z$1510,$A$4:$A$1510,$A251,$E$4:$E$1510,"Loss"),-('Guide &amp; Settings'!$C$42/($F251-1))*$Z251)))</f>
        <v>-16.691078756777557</v>
      </c>
      <c r="AB251" s="126">
        <f t="shared" si="76"/>
        <v>962.91641343501885</v>
      </c>
      <c r="AC251" s="126">
        <f>IF($D251="","",IF($AD251=0,0,IF(COUNTIFS($D$4:$D251,$D251,$B$4:$B251,$B251)&gt;1,0,IF($B251&lt;'Guide &amp; Settings'!$C$50,0,IF(($B251-$AD251)/7-'Guide &amp; Settings'!$C$48&gt;=0,(INT(($B251-$AD251)/7-'Guide &amp; Settings'!$C$48)+1)*'Guide &amp; Settings'!$C$49,0)))))</f>
        <v>0</v>
      </c>
      <c r="AD251" s="142">
        <f t="shared" si="77"/>
        <v>46190</v>
      </c>
      <c r="AE251">
        <f t="shared" si="78"/>
        <v>1</v>
      </c>
      <c r="AF251">
        <f t="shared" si="79"/>
        <v>0</v>
      </c>
    </row>
    <row r="252" spans="1:32" ht="15" customHeight="1" x14ac:dyDescent="0.2">
      <c r="A252" s="117">
        <v>102</v>
      </c>
      <c r="B252" s="118">
        <v>46199</v>
      </c>
      <c r="C252" s="119" t="s">
        <v>50</v>
      </c>
      <c r="D252" s="119" t="s">
        <v>19</v>
      </c>
      <c r="E252" s="117" t="s">
        <v>370</v>
      </c>
      <c r="F252" s="120">
        <f t="shared" si="60"/>
        <v>2</v>
      </c>
      <c r="G252" s="121" t="str">
        <f t="shared" si="61"/>
        <v>Josh</v>
      </c>
      <c r="H252" s="122">
        <f>IF($D252="",0,IFERROR(LOOKUP(2,1/(($D$3:D251=$D252)*($A$3:A251&lt;$A252)),$N$3:N251),'Guide &amp; Settings'!$C$41))</f>
        <v>1121.4481011392165</v>
      </c>
      <c r="I252" s="123">
        <f t="shared" si="62"/>
        <v>0.54545454545454541</v>
      </c>
      <c r="J252" s="124">
        <f>IF($D252="",0,IF($F252&lt;2,0,IF($E252="Win",('Guide &amp; Settings'!$C$42/(($F252-1)*COUNTIFS($A$4:$A$1510,$A252,$E$4:$E$1510,"Win")))*SUMIFS($X$4:$X$1510,$A$4:$A$1510,$A252,$E$4:$E$1510,"Loss"),-('Guide &amp; Settings'!$C$42/($F252-1))*$X252)))</f>
        <v>13.236133311456253</v>
      </c>
      <c r="K252" s="124">
        <f>IF($D252="",0,'Guide &amp; Settings'!$C$43*(IF($E252="Win",1,0)-$I252))</f>
        <v>5.454545454545455</v>
      </c>
      <c r="L252" s="125">
        <f>IF($D252="",0,'Guide &amp; Settings'!$C$44*IF($F252&gt;=3,$F252,0))</f>
        <v>0</v>
      </c>
      <c r="M252" s="124">
        <f t="shared" si="63"/>
        <v>18.69067876600171</v>
      </c>
      <c r="N252" s="122">
        <f t="shared" si="64"/>
        <v>1140.1387799052181</v>
      </c>
      <c r="O252" s="121" t="str">
        <f t="shared" si="65"/>
        <v>OK</v>
      </c>
      <c r="P252">
        <f t="shared" si="66"/>
        <v>1121.4481011392165</v>
      </c>
      <c r="Q252">
        <f t="shared" si="67"/>
        <v>0.5</v>
      </c>
      <c r="R252">
        <f t="shared" si="68"/>
        <v>0.4</v>
      </c>
      <c r="S252">
        <f t="shared" si="69"/>
        <v>0.73333333333333339</v>
      </c>
      <c r="T252" s="89">
        <f t="shared" si="70"/>
        <v>3</v>
      </c>
      <c r="U252" s="126">
        <f>IF($D252="",0,IFERROR(LOOKUP(2,1/(($D$3:D251=$D252)*($C$3:C251=$C252)*($A$3:A251&lt;$A252)),$AB$3:AB251),1000))</f>
        <v>981.2826439359834</v>
      </c>
      <c r="V252" s="126">
        <f t="shared" si="71"/>
        <v>1068.8860546880042</v>
      </c>
      <c r="W252">
        <f t="shared" si="72"/>
        <v>1068.8860546880042</v>
      </c>
      <c r="X252">
        <f t="shared" si="73"/>
        <v>0.5</v>
      </c>
      <c r="Y252">
        <f t="shared" si="74"/>
        <v>981.2826439359834</v>
      </c>
      <c r="Z252">
        <f t="shared" si="75"/>
        <v>0.5</v>
      </c>
      <c r="AA252">
        <f>IF($D252="",0,IF($F252&lt;2,0,IF($E252="Win",('Guide &amp; Settings'!$C$42/(($F252-1)*COUNTIFS($A$4:$A$1510,$A252,$E$4:$E$1510,"Win")))*SUMIFS($Z$4:$Z$1510,$A$4:$A$1510,$A252,$E$4:$E$1510,"Loss"),-('Guide &amp; Settings'!$C$42/($F252-1))*$Z252)))</f>
        <v>15.15499078524333</v>
      </c>
      <c r="AB252" s="126">
        <f t="shared" si="76"/>
        <v>996.43763472122669</v>
      </c>
      <c r="AC252" s="126">
        <f>IF($D252="","",IF($AD252=0,0,IF(COUNTIFS($D$4:$D252,$D252,$B$4:$B252,$B252)&gt;1,0,IF($B252&lt;'Guide &amp; Settings'!$C$50,0,IF(($B252-$AD252)/7-'Guide &amp; Settings'!$C$48&gt;=0,(INT(($B252-$AD252)/7-'Guide &amp; Settings'!$C$48)+1)*'Guide &amp; Settings'!$C$49,0)))))</f>
        <v>0</v>
      </c>
      <c r="AD252" s="142">
        <f t="shared" si="77"/>
        <v>46188</v>
      </c>
      <c r="AE252">
        <f t="shared" si="78"/>
        <v>1</v>
      </c>
      <c r="AF252">
        <f t="shared" si="79"/>
        <v>0</v>
      </c>
    </row>
    <row r="253" spans="1:32" ht="15" customHeight="1" x14ac:dyDescent="0.2">
      <c r="A253" s="117">
        <v>102</v>
      </c>
      <c r="B253" s="118">
        <v>46199</v>
      </c>
      <c r="C253" s="119" t="s">
        <v>50</v>
      </c>
      <c r="D253" s="119" t="s">
        <v>22</v>
      </c>
      <c r="E253" s="117" t="s">
        <v>371</v>
      </c>
      <c r="F253" s="120">
        <f t="shared" si="60"/>
        <v>2</v>
      </c>
      <c r="G253" s="121" t="str">
        <f t="shared" si="61"/>
        <v>Josh</v>
      </c>
      <c r="H253" s="122">
        <f>IF($D253="",0,IFERROR(LOOKUP(2,1/(($D$3:D252=$D253)*($A$3:A252&lt;$A253)),$N$3:N252),'Guide &amp; Settings'!$C$41))</f>
        <v>1071.7447945583488</v>
      </c>
      <c r="I253" s="123">
        <f t="shared" si="62"/>
        <v>0.45454545454545447</v>
      </c>
      <c r="J253" s="124">
        <f>IF($D253="",0,IF($F253&lt;2,0,IF($E253="Win",('Guide &amp; Settings'!$C$42/(($F253-1)*COUNTIFS($A$4:$A$1510,$A253,$E$4:$E$1510,"Win")))*SUMIFS($X$4:$X$1510,$A$4:$A$1510,$A253,$E$4:$E$1510,"Loss"),-('Guide &amp; Settings'!$C$42/($F253-1))*$X253)))</f>
        <v>-13.236133311456253</v>
      </c>
      <c r="K253" s="124">
        <f>IF($D253="",0,'Guide &amp; Settings'!$C$43*(IF($E253="Win",1,0)-$I253))</f>
        <v>-5.4545454545454533</v>
      </c>
      <c r="L253" s="125">
        <f>IF($D253="",0,'Guide &amp; Settings'!$C$44*IF($F253&gt;=3,$F253,0))</f>
        <v>0</v>
      </c>
      <c r="M253" s="124">
        <f t="shared" si="63"/>
        <v>-18.690678766001707</v>
      </c>
      <c r="N253" s="122">
        <f t="shared" si="64"/>
        <v>1053.0541157923471</v>
      </c>
      <c r="O253" s="121" t="str">
        <f t="shared" si="65"/>
        <v>OK</v>
      </c>
      <c r="P253">
        <f t="shared" si="66"/>
        <v>1121.4481011392165</v>
      </c>
      <c r="Q253">
        <f t="shared" si="67"/>
        <v>0.42895518746769684</v>
      </c>
      <c r="R253">
        <f t="shared" si="68"/>
        <v>0.33333333333333331</v>
      </c>
      <c r="S253">
        <f t="shared" si="69"/>
        <v>0.73333333333333339</v>
      </c>
      <c r="T253" s="89">
        <f t="shared" si="70"/>
        <v>7</v>
      </c>
      <c r="U253" s="126">
        <f>IF($D253="",0,IFERROR(LOOKUP(2,1/(($D$3:D252=$D253)*($C$3:C252=$C253)*($A$3:A252&lt;$A253)),$AB$3:AB252),1000))</f>
        <v>962.91641343501885</v>
      </c>
      <c r="V253" s="126">
        <f t="shared" si="71"/>
        <v>1008.2615722364063</v>
      </c>
      <c r="W253">
        <f t="shared" si="72"/>
        <v>1068.8860546880042</v>
      </c>
      <c r="X253">
        <f t="shared" si="73"/>
        <v>0.41362916598300792</v>
      </c>
      <c r="Y253">
        <f t="shared" si="74"/>
        <v>981.2826439359834</v>
      </c>
      <c r="Z253">
        <f t="shared" si="75"/>
        <v>0.47359346203885405</v>
      </c>
      <c r="AA253">
        <f>IF($D253="",0,IF($F253&lt;2,0,IF($E253="Win",('Guide &amp; Settings'!$C$42/(($F253-1)*COUNTIFS($A$4:$A$1510,$A253,$E$4:$E$1510,"Win")))*SUMIFS($Z$4:$Z$1510,$A$4:$A$1510,$A253,$E$4:$E$1510,"Loss"),-('Guide &amp; Settings'!$C$42/($F253-1))*$Z253)))</f>
        <v>-15.15499078524333</v>
      </c>
      <c r="AB253" s="126">
        <f t="shared" si="76"/>
        <v>947.76142264977557</v>
      </c>
      <c r="AC253" s="126">
        <f>IF($D253="","",IF($AD253=0,0,IF(COUNTIFS($D$4:$D253,$D253,$B$4:$B253,$B253)&gt;1,0,IF($B253&lt;'Guide &amp; Settings'!$C$50,0,IF(($B253-$AD253)/7-'Guide &amp; Settings'!$C$48&gt;=0,(INT(($B253-$AD253)/7-'Guide &amp; Settings'!$C$48)+1)*'Guide &amp; Settings'!$C$49,0)))))</f>
        <v>0</v>
      </c>
      <c r="AD253" s="142">
        <f t="shared" si="77"/>
        <v>46190</v>
      </c>
      <c r="AE253">
        <f t="shared" si="78"/>
        <v>1</v>
      </c>
      <c r="AF253">
        <f t="shared" si="79"/>
        <v>0</v>
      </c>
    </row>
    <row r="254" spans="1:32" ht="15" customHeight="1" x14ac:dyDescent="0.2">
      <c r="A254" s="117">
        <v>103</v>
      </c>
      <c r="B254" s="118">
        <v>46199</v>
      </c>
      <c r="C254" s="119" t="s">
        <v>9</v>
      </c>
      <c r="D254" s="119" t="s">
        <v>22</v>
      </c>
      <c r="E254" s="117" t="s">
        <v>370</v>
      </c>
      <c r="F254" s="120">
        <f t="shared" si="60"/>
        <v>2</v>
      </c>
      <c r="G254" s="121" t="str">
        <f t="shared" si="61"/>
        <v>Daniel (Ferret)</v>
      </c>
      <c r="H254" s="122">
        <f>IF($D254="",0,IFERROR(LOOKUP(2,1/(($D$3:D253=$D254)*($A$3:A253&lt;$A254)),$N$3:N253),'Guide &amp; Settings'!$C$41))</f>
        <v>1053.0541157923471</v>
      </c>
      <c r="I254" s="123">
        <f t="shared" si="62"/>
        <v>0.6</v>
      </c>
      <c r="J254" s="124">
        <f>IF($D254="",0,IF($F254&lt;2,0,IF($E254="Win",('Guide &amp; Settings'!$C$42/(($F254-1)*COUNTIFS($A$4:$A$1510,$A254,$E$4:$E$1510,"Win")))*SUMIFS($X$4:$X$1510,$A$4:$A$1510,$A254,$E$4:$E$1510,"Loss"),-('Guide &amp; Settings'!$C$42/($F254-1))*$X254)))</f>
        <v>20.201186108612102</v>
      </c>
      <c r="K254" s="124">
        <f>IF($D254="",0,'Guide &amp; Settings'!$C$43*(IF($E254="Win",1,0)-$I254))</f>
        <v>4.8000000000000007</v>
      </c>
      <c r="L254" s="125">
        <f>IF($D254="",0,'Guide &amp; Settings'!$C$44*IF($F254&gt;=3,$F254,0))</f>
        <v>0</v>
      </c>
      <c r="M254" s="124">
        <f t="shared" si="63"/>
        <v>25.001186108612103</v>
      </c>
      <c r="N254" s="122">
        <f t="shared" si="64"/>
        <v>1078.0553019009592</v>
      </c>
      <c r="O254" s="121" t="str">
        <f t="shared" si="65"/>
        <v>OK</v>
      </c>
      <c r="P254">
        <f t="shared" si="66"/>
        <v>1053.0541157923471</v>
      </c>
      <c r="Q254">
        <f t="shared" si="67"/>
        <v>0.5</v>
      </c>
      <c r="R254">
        <f t="shared" si="68"/>
        <v>0.75</v>
      </c>
      <c r="S254">
        <f t="shared" si="69"/>
        <v>1.25</v>
      </c>
      <c r="T254" s="89">
        <f t="shared" si="70"/>
        <v>2</v>
      </c>
      <c r="U254" s="126">
        <f>IF($D254="",0,IFERROR(LOOKUP(2,1/(($D$3:D253=$D254)*($C$3:C253=$C254)*($A$3:A253&lt;$A254)),$AB$3:AB253),1000))</f>
        <v>1030.8965137687414</v>
      </c>
      <c r="V254" s="126">
        <f t="shared" si="71"/>
        <v>1046.7233723570312</v>
      </c>
      <c r="W254">
        <f t="shared" si="72"/>
        <v>1046.7233723570312</v>
      </c>
      <c r="X254">
        <f t="shared" si="73"/>
        <v>0.5</v>
      </c>
      <c r="Y254">
        <f t="shared" si="74"/>
        <v>1030.8965137687414</v>
      </c>
      <c r="Z254">
        <f t="shared" si="75"/>
        <v>0.5</v>
      </c>
      <c r="AA254">
        <f>IF($D254="",0,IF($F254&lt;2,0,IF($E254="Win",('Guide &amp; Settings'!$C$42/(($F254-1)*COUNTIFS($A$4:$A$1510,$A254,$E$4:$E$1510,"Win")))*SUMIFS($Z$4:$Z$1510,$A$4:$A$1510,$A254,$E$4:$E$1510,"Loss"),-('Guide &amp; Settings'!$C$42/($F254-1))*$Z254)))</f>
        <v>14.580901763557666</v>
      </c>
      <c r="AB254" s="126">
        <f t="shared" si="76"/>
        <v>1045.4774155322991</v>
      </c>
      <c r="AC254" s="126">
        <f>IF($D254="","",IF($AD254=0,0,IF(COUNTIFS($D$4:$D254,$D254,$B$4:$B254,$B254)&gt;1,0,IF($B254&lt;'Guide &amp; Settings'!$C$50,0,IF(($B254-$AD254)/7-'Guide &amp; Settings'!$C$48&gt;=0,(INT(($B254-$AD254)/7-'Guide &amp; Settings'!$C$48)+1)*'Guide &amp; Settings'!$C$49,0)))))</f>
        <v>0</v>
      </c>
      <c r="AD254" s="142">
        <f t="shared" si="77"/>
        <v>46190</v>
      </c>
      <c r="AE254">
        <f t="shared" si="78"/>
        <v>1</v>
      </c>
      <c r="AF254">
        <f t="shared" si="79"/>
        <v>0</v>
      </c>
    </row>
    <row r="255" spans="1:32" ht="15" customHeight="1" x14ac:dyDescent="0.2">
      <c r="A255" s="117">
        <v>103</v>
      </c>
      <c r="B255" s="118">
        <v>46199</v>
      </c>
      <c r="C255" s="119" t="s">
        <v>9</v>
      </c>
      <c r="D255" s="119" t="s">
        <v>19</v>
      </c>
      <c r="E255" s="117" t="s">
        <v>371</v>
      </c>
      <c r="F255" s="120">
        <f t="shared" si="60"/>
        <v>2</v>
      </c>
      <c r="G255" s="121" t="str">
        <f t="shared" si="61"/>
        <v>Daniel (Ferret)</v>
      </c>
      <c r="H255" s="122">
        <f>IF($D255="",0,IFERROR(LOOKUP(2,1/(($D$3:D254=$D255)*($A$3:A254&lt;$A255)),$N$3:N254),'Guide &amp; Settings'!$C$41))</f>
        <v>1140.1387799052181</v>
      </c>
      <c r="I255" s="123">
        <f t="shared" si="62"/>
        <v>0.4</v>
      </c>
      <c r="J255" s="124">
        <f>IF($D255="",0,IF($F255&lt;2,0,IF($E255="Win",('Guide &amp; Settings'!$C$42/(($F255-1)*COUNTIFS($A$4:$A$1510,$A255,$E$4:$E$1510,"Win")))*SUMIFS($X$4:$X$1510,$A$4:$A$1510,$A255,$E$4:$E$1510,"Loss"),-('Guide &amp; Settings'!$C$42/($F255-1))*$X255)))</f>
        <v>-20.201186108612102</v>
      </c>
      <c r="K255" s="124">
        <f>IF($D255="",0,'Guide &amp; Settings'!$C$43*(IF($E255="Win",1,0)-$I255))</f>
        <v>-4.8000000000000007</v>
      </c>
      <c r="L255" s="125">
        <f>IF($D255="",0,'Guide &amp; Settings'!$C$44*IF($F255&gt;=3,$F255,0))</f>
        <v>0</v>
      </c>
      <c r="M255" s="124">
        <f t="shared" si="63"/>
        <v>-25.001186108612103</v>
      </c>
      <c r="N255" s="122">
        <f t="shared" si="64"/>
        <v>1115.1375937966061</v>
      </c>
      <c r="O255" s="121" t="str">
        <f t="shared" si="65"/>
        <v>OK</v>
      </c>
      <c r="P255">
        <f t="shared" si="66"/>
        <v>1053.0541157923471</v>
      </c>
      <c r="Q255">
        <f t="shared" si="67"/>
        <v>0.62276469891488273</v>
      </c>
      <c r="R255">
        <f t="shared" si="68"/>
        <v>0.5</v>
      </c>
      <c r="S255">
        <f t="shared" si="69"/>
        <v>1.25</v>
      </c>
      <c r="T255" s="89">
        <f t="shared" si="70"/>
        <v>0</v>
      </c>
      <c r="U255" s="126">
        <f>IF($D255="",0,IFERROR(LOOKUP(2,1/(($D$3:D254=$D255)*($C$3:C254=$C255)*($A$3:A254&lt;$A255)),$AB$3:AB254),1000))</f>
        <v>1000</v>
      </c>
      <c r="V255" s="126">
        <f t="shared" si="71"/>
        <v>1140.1387799052181</v>
      </c>
      <c r="W255">
        <f t="shared" si="72"/>
        <v>1046.7233723570312</v>
      </c>
      <c r="X255">
        <f t="shared" si="73"/>
        <v>0.6312870658941282</v>
      </c>
      <c r="Y255">
        <f t="shared" si="74"/>
        <v>1030.8965137687414</v>
      </c>
      <c r="Z255">
        <f t="shared" si="75"/>
        <v>0.45565318011117706</v>
      </c>
      <c r="AA255">
        <f>IF($D255="",0,IF($F255&lt;2,0,IF($E255="Win",('Guide &amp; Settings'!$C$42/(($F255-1)*COUNTIFS($A$4:$A$1510,$A255,$E$4:$E$1510,"Win")))*SUMIFS($Z$4:$Z$1510,$A$4:$A$1510,$A255,$E$4:$E$1510,"Loss"),-('Guide &amp; Settings'!$C$42/($F255-1))*$Z255)))</f>
        <v>-14.580901763557666</v>
      </c>
      <c r="AB255" s="126">
        <f t="shared" si="76"/>
        <v>985.41909823644232</v>
      </c>
      <c r="AC255" s="126">
        <f>IF($D255="","",IF($AD255=0,0,IF(COUNTIFS($D$4:$D255,$D255,$B$4:$B255,$B255)&gt;1,0,IF($B255&lt;'Guide &amp; Settings'!$C$50,0,IF(($B255-$AD255)/7-'Guide &amp; Settings'!$C$48&gt;=0,(INT(($B255-$AD255)/7-'Guide &amp; Settings'!$C$48)+1)*'Guide &amp; Settings'!$C$49,0)))))</f>
        <v>0</v>
      </c>
      <c r="AD255" s="142">
        <f t="shared" si="77"/>
        <v>46188</v>
      </c>
      <c r="AE255">
        <f t="shared" si="78"/>
        <v>1</v>
      </c>
      <c r="AF255">
        <f t="shared" si="79"/>
        <v>0</v>
      </c>
    </row>
    <row r="256" spans="1:32" ht="15" customHeight="1" x14ac:dyDescent="0.2">
      <c r="A256" s="117">
        <v>104</v>
      </c>
      <c r="B256" s="118">
        <v>46199</v>
      </c>
      <c r="C256" s="119" t="s">
        <v>9</v>
      </c>
      <c r="D256" s="119" t="s">
        <v>15</v>
      </c>
      <c r="E256" s="117" t="s">
        <v>371</v>
      </c>
      <c r="F256" s="120">
        <f t="shared" si="60"/>
        <v>2</v>
      </c>
      <c r="G256" s="121" t="str">
        <f t="shared" si="61"/>
        <v>Shawn</v>
      </c>
      <c r="H256" s="122">
        <f>IF($D256="",0,IFERROR(LOOKUP(2,1/(($D$3:D255=$D256)*($A$3:A255&lt;$A256)),$N$3:N255),'Guide &amp; Settings'!$C$41))</f>
        <v>1057.8233661943223</v>
      </c>
      <c r="I256" s="123">
        <f t="shared" si="62"/>
        <v>0.66666666666666663</v>
      </c>
      <c r="J256" s="124">
        <f>IF($D256="",0,IF($F256&lt;2,0,IF($E256="Win",('Guide &amp; Settings'!$C$42/(($F256-1)*COUNTIFS($A$4:$A$1510,$A256,$E$4:$E$1510,"Win")))*SUMIFS($X$4:$X$1510,$A$4:$A$1510,$A256,$E$4:$E$1510,"Loss"),-('Guide &amp; Settings'!$C$42/($F256-1))*$X256)))</f>
        <v>-17.734816897488979</v>
      </c>
      <c r="K256" s="124">
        <f>IF($D256="",0,'Guide &amp; Settings'!$C$43*(IF($E256="Win",1,0)-$I256))</f>
        <v>-8</v>
      </c>
      <c r="L256" s="125">
        <f>IF($D256="",0,'Guide &amp; Settings'!$C$44*IF($F256&gt;=3,$F256,0))</f>
        <v>0</v>
      </c>
      <c r="M256" s="124">
        <f t="shared" si="63"/>
        <v>-25.734816897488979</v>
      </c>
      <c r="N256" s="122">
        <f t="shared" si="64"/>
        <v>1032.0885492968332</v>
      </c>
      <c r="O256" s="121" t="str">
        <f t="shared" si="65"/>
        <v>OK</v>
      </c>
      <c r="P256">
        <f t="shared" si="66"/>
        <v>1034.1843746638403</v>
      </c>
      <c r="Q256">
        <f t="shared" si="67"/>
        <v>0.53396684610101752</v>
      </c>
      <c r="R256">
        <f t="shared" si="68"/>
        <v>0.5</v>
      </c>
      <c r="S256">
        <f t="shared" si="69"/>
        <v>0.75</v>
      </c>
      <c r="T256" s="89">
        <f t="shared" si="70"/>
        <v>0</v>
      </c>
      <c r="U256" s="126">
        <f>IF($D256="",0,IFERROR(LOOKUP(2,1/(($D$3:D255=$D256)*($C$3:C255=$C256)*($A$3:A255&lt;$A256)),$AB$3:AB255),1000))</f>
        <v>1000</v>
      </c>
      <c r="V256" s="126">
        <f t="shared" si="71"/>
        <v>1057.8233661943223</v>
      </c>
      <c r="W256">
        <f t="shared" si="72"/>
        <v>1020.0036227929229</v>
      </c>
      <c r="X256">
        <f t="shared" si="73"/>
        <v>0.55421302804653061</v>
      </c>
      <c r="Y256">
        <f t="shared" si="74"/>
        <v>984.55174311562928</v>
      </c>
      <c r="Z256">
        <f t="shared" si="75"/>
        <v>0.52221718943600426</v>
      </c>
      <c r="AA256">
        <f>IF($D256="",0,IF($F256&lt;2,0,IF($E256="Win",('Guide &amp; Settings'!$C$42/(($F256-1)*COUNTIFS($A$4:$A$1510,$A256,$E$4:$E$1510,"Win")))*SUMIFS($Z$4:$Z$1510,$A$4:$A$1510,$A256,$E$4:$E$1510,"Loss"),-('Guide &amp; Settings'!$C$42/($F256-1))*$Z256)))</f>
        <v>-16.710950061952136</v>
      </c>
      <c r="AB256" s="126">
        <f t="shared" si="76"/>
        <v>983.28904993804781</v>
      </c>
      <c r="AC256" s="126">
        <f>IF($D256="","",IF($AD256=0,0,IF(COUNTIFS($D$4:$D256,$D256,$B$4:$B256,$B256)&gt;1,0,IF($B256&lt;'Guide &amp; Settings'!$C$50,0,IF(($B256-$AD256)/7-'Guide &amp; Settings'!$C$48&gt;=0,(INT(($B256-$AD256)/7-'Guide &amp; Settings'!$C$48)+1)*'Guide &amp; Settings'!$C$49,0)))))</f>
        <v>0</v>
      </c>
      <c r="AD256" s="142">
        <f t="shared" si="77"/>
        <v>46188</v>
      </c>
      <c r="AE256">
        <f t="shared" si="78"/>
        <v>1</v>
      </c>
      <c r="AF256">
        <f t="shared" si="79"/>
        <v>0</v>
      </c>
    </row>
    <row r="257" spans="1:32" ht="15" customHeight="1" x14ac:dyDescent="0.2">
      <c r="A257" s="117">
        <v>104</v>
      </c>
      <c r="B257" s="118">
        <v>46199</v>
      </c>
      <c r="C257" s="119" t="s">
        <v>9</v>
      </c>
      <c r="D257" s="119" t="s">
        <v>20</v>
      </c>
      <c r="E257" s="117" t="s">
        <v>370</v>
      </c>
      <c r="F257" s="120">
        <f t="shared" si="60"/>
        <v>2</v>
      </c>
      <c r="G257" s="121" t="str">
        <f t="shared" si="61"/>
        <v>Shawn</v>
      </c>
      <c r="H257" s="122">
        <f>IF($D257="",0,IFERROR(LOOKUP(2,1/(($D$3:D256=$D257)*($A$3:A256&lt;$A257)),$N$3:N256),'Guide &amp; Settings'!$C$41))</f>
        <v>1034.1843746638403</v>
      </c>
      <c r="I257" s="123">
        <f t="shared" si="62"/>
        <v>0.33333333333333331</v>
      </c>
      <c r="J257" s="124">
        <f>IF($D257="",0,IF($F257&lt;2,0,IF($E257="Win",('Guide &amp; Settings'!$C$42/(($F257-1)*COUNTIFS($A$4:$A$1510,$A257,$E$4:$E$1510,"Win")))*SUMIFS($X$4:$X$1510,$A$4:$A$1510,$A257,$E$4:$E$1510,"Loss"),-('Guide &amp; Settings'!$C$42/($F257-1))*$X257)))</f>
        <v>17.734816897488979</v>
      </c>
      <c r="K257" s="124">
        <f>IF($D257="",0,'Guide &amp; Settings'!$C$43*(IF($E257="Win",1,0)-$I257))</f>
        <v>8</v>
      </c>
      <c r="L257" s="125">
        <f>IF($D257="",0,'Guide &amp; Settings'!$C$44*IF($F257&gt;=3,$F257,0))</f>
        <v>0</v>
      </c>
      <c r="M257" s="124">
        <f t="shared" si="63"/>
        <v>25.734816897488979</v>
      </c>
      <c r="N257" s="122">
        <f t="shared" si="64"/>
        <v>1059.9191915613294</v>
      </c>
      <c r="O257" s="121" t="str">
        <f t="shared" si="65"/>
        <v>OK</v>
      </c>
      <c r="P257">
        <f t="shared" si="66"/>
        <v>1034.1843746638403</v>
      </c>
      <c r="Q257">
        <f t="shared" si="67"/>
        <v>0.5</v>
      </c>
      <c r="R257">
        <f t="shared" si="68"/>
        <v>0.25</v>
      </c>
      <c r="S257">
        <f t="shared" si="69"/>
        <v>0.75</v>
      </c>
      <c r="T257" s="89">
        <f t="shared" si="70"/>
        <v>2</v>
      </c>
      <c r="U257" s="126">
        <f>IF($D257="",0,IFERROR(LOOKUP(2,1/(($D$3:D256=$D257)*($C$3:C256=$C257)*($A$3:A256&lt;$A257)),$AB$3:AB256),1000))</f>
        <v>984.55174311562928</v>
      </c>
      <c r="V257" s="126">
        <f t="shared" si="71"/>
        <v>1020.0036227929229</v>
      </c>
      <c r="W257">
        <f t="shared" si="72"/>
        <v>1020.0036227929229</v>
      </c>
      <c r="X257">
        <f t="shared" si="73"/>
        <v>0.5</v>
      </c>
      <c r="Y257">
        <f t="shared" si="74"/>
        <v>984.55174311562928</v>
      </c>
      <c r="Z257">
        <f t="shared" si="75"/>
        <v>0.5</v>
      </c>
      <c r="AA257">
        <f>IF($D257="",0,IF($F257&lt;2,0,IF($E257="Win",('Guide &amp; Settings'!$C$42/(($F257-1)*COUNTIFS($A$4:$A$1510,$A257,$E$4:$E$1510,"Win")))*SUMIFS($Z$4:$Z$1510,$A$4:$A$1510,$A257,$E$4:$E$1510,"Loss"),-('Guide &amp; Settings'!$C$42/($F257-1))*$Z257)))</f>
        <v>16.710950061952136</v>
      </c>
      <c r="AB257" s="126">
        <f t="shared" si="76"/>
        <v>1001.2626931775815</v>
      </c>
      <c r="AC257" s="126">
        <f>IF($D257="","",IF($AD257=0,0,IF(COUNTIFS($D$4:$D257,$D257,$B$4:$B257,$B257)&gt;1,0,IF($B257&lt;'Guide &amp; Settings'!$C$50,0,IF(($B257-$AD257)/7-'Guide &amp; Settings'!$C$48&gt;=0,(INT(($B257-$AD257)/7-'Guide &amp; Settings'!$C$48)+1)*'Guide &amp; Settings'!$C$49,0)))))</f>
        <v>0</v>
      </c>
      <c r="AD257" s="142">
        <f t="shared" si="77"/>
        <v>46190</v>
      </c>
      <c r="AE257">
        <f t="shared" si="78"/>
        <v>1</v>
      </c>
      <c r="AF257">
        <f t="shared" si="79"/>
        <v>0</v>
      </c>
    </row>
    <row r="258" spans="1:32" ht="15" customHeight="1" x14ac:dyDescent="0.2">
      <c r="A258" s="117">
        <v>105</v>
      </c>
      <c r="B258" s="118">
        <v>46199</v>
      </c>
      <c r="C258" s="119" t="s">
        <v>9</v>
      </c>
      <c r="D258" s="119" t="s">
        <v>15</v>
      </c>
      <c r="E258" s="117" t="s">
        <v>370</v>
      </c>
      <c r="F258" s="120">
        <f t="shared" si="60"/>
        <v>2</v>
      </c>
      <c r="G258" s="121" t="str">
        <f t="shared" si="61"/>
        <v>Aaron</v>
      </c>
      <c r="H258" s="122">
        <f>IF($D258="",0,IFERROR(LOOKUP(2,1/(($D$3:D257=$D258)*($A$3:A257&lt;$A258)),$N$3:N257),'Guide &amp; Settings'!$C$41))</f>
        <v>1032.0885492968332</v>
      </c>
      <c r="I258" s="123">
        <f t="shared" si="62"/>
        <v>0.45454545454545447</v>
      </c>
      <c r="J258" s="124">
        <f>IF($D258="",0,IF($F258&lt;2,0,IF($E258="Win",('Guide &amp; Settings'!$C$42/(($F258-1)*COUNTIFS($A$4:$A$1510,$A258,$E$4:$E$1510,"Win")))*SUMIFS($X$4:$X$1510,$A$4:$A$1510,$A258,$E$4:$E$1510,"Loss"),-('Guide &amp; Settings'!$C$42/($F258-1))*$X258)))</f>
        <v>16.642890284234447</v>
      </c>
      <c r="K258" s="124">
        <f>IF($D258="",0,'Guide &amp; Settings'!$C$43*(IF($E258="Win",1,0)-$I258))</f>
        <v>6.5454545454545467</v>
      </c>
      <c r="L258" s="125">
        <f>IF($D258="",0,'Guide &amp; Settings'!$C$44*IF($F258&gt;=3,$F258,0))</f>
        <v>0</v>
      </c>
      <c r="M258" s="124">
        <f t="shared" si="63"/>
        <v>23.188344829688994</v>
      </c>
      <c r="N258" s="122">
        <f t="shared" si="64"/>
        <v>1055.2768941265222</v>
      </c>
      <c r="O258" s="121" t="str">
        <f t="shared" si="65"/>
        <v>OK</v>
      </c>
      <c r="P258">
        <f t="shared" si="66"/>
        <v>1032.0885492968332</v>
      </c>
      <c r="Q258">
        <f t="shared" si="67"/>
        <v>0.5</v>
      </c>
      <c r="R258">
        <f t="shared" si="68"/>
        <v>0.33333333333333331</v>
      </c>
      <c r="S258">
        <f t="shared" si="69"/>
        <v>0.73333333333333339</v>
      </c>
      <c r="T258" s="89">
        <f t="shared" si="70"/>
        <v>1</v>
      </c>
      <c r="U258" s="126">
        <f>IF($D258="",0,IFERROR(LOOKUP(2,1/(($D$3:D257=$D258)*($C$3:C257=$C258)*($A$3:A257&lt;$A258)),$AB$3:AB257),1000))</f>
        <v>983.28904993804781</v>
      </c>
      <c r="V258" s="126">
        <f t="shared" si="71"/>
        <v>1023.9552994037024</v>
      </c>
      <c r="W258">
        <f t="shared" si="72"/>
        <v>1023.9552994037024</v>
      </c>
      <c r="X258">
        <f t="shared" si="73"/>
        <v>0.5</v>
      </c>
      <c r="Y258">
        <f t="shared" si="74"/>
        <v>983.28904993804781</v>
      </c>
      <c r="Z258">
        <f t="shared" si="75"/>
        <v>0.5</v>
      </c>
      <c r="AA258">
        <f>IF($D258="",0,IF($F258&lt;2,0,IF($E258="Win",('Guide &amp; Settings'!$C$42/(($F258-1)*COUNTIFS($A$4:$A$1510,$A258,$E$4:$E$1510,"Win")))*SUMIFS($Z$4:$Z$1510,$A$4:$A$1510,$A258,$E$4:$E$1510,"Loss"),-('Guide &amp; Settings'!$C$42/($F258-1))*$Z258)))</f>
        <v>16.82697926214345</v>
      </c>
      <c r="AB258" s="126">
        <f t="shared" si="76"/>
        <v>1000.1160292001913</v>
      </c>
      <c r="AC258" s="126">
        <f>IF($D258="","",IF($AD258=0,0,IF(COUNTIFS($D$4:$D258,$D258,$B$4:$B258,$B258)&gt;1,0,IF($B258&lt;'Guide &amp; Settings'!$C$50,0,IF(($B258-$AD258)/7-'Guide &amp; Settings'!$C$48&gt;=0,(INT(($B258-$AD258)/7-'Guide &amp; Settings'!$C$48)+1)*'Guide &amp; Settings'!$C$49,0)))))</f>
        <v>0</v>
      </c>
      <c r="AD258" s="142">
        <f t="shared" si="77"/>
        <v>46188</v>
      </c>
      <c r="AE258">
        <f t="shared" si="78"/>
        <v>1</v>
      </c>
      <c r="AF258">
        <f t="shared" si="79"/>
        <v>0</v>
      </c>
    </row>
    <row r="259" spans="1:32" ht="15" customHeight="1" x14ac:dyDescent="0.2">
      <c r="A259" s="117">
        <v>105</v>
      </c>
      <c r="B259" s="118">
        <v>46199</v>
      </c>
      <c r="C259" s="119" t="s">
        <v>9</v>
      </c>
      <c r="D259" s="119" t="s">
        <v>20</v>
      </c>
      <c r="E259" s="117" t="s">
        <v>371</v>
      </c>
      <c r="F259" s="120">
        <f t="shared" si="60"/>
        <v>2</v>
      </c>
      <c r="G259" s="121" t="str">
        <f t="shared" si="61"/>
        <v>Aaron</v>
      </c>
      <c r="H259" s="122">
        <f>IF($D259="",0,IFERROR(LOOKUP(2,1/(($D$3:D258=$D259)*($A$3:A258&lt;$A259)),$N$3:N258),'Guide &amp; Settings'!$C$41))</f>
        <v>1059.9191915613294</v>
      </c>
      <c r="I259" s="123">
        <f t="shared" si="62"/>
        <v>0.54545454545454541</v>
      </c>
      <c r="J259" s="124">
        <f>IF($D259="",0,IF($F259&lt;2,0,IF($E259="Win",('Guide &amp; Settings'!$C$42/(($F259-1)*COUNTIFS($A$4:$A$1510,$A259,$E$4:$E$1510,"Win")))*SUMIFS($X$4:$X$1510,$A$4:$A$1510,$A259,$E$4:$E$1510,"Loss"),-('Guide &amp; Settings'!$C$42/($F259-1))*$X259)))</f>
        <v>-16.642890284234447</v>
      </c>
      <c r="K259" s="124">
        <f>IF($D259="",0,'Guide &amp; Settings'!$C$43*(IF($E259="Win",1,0)-$I259))</f>
        <v>-6.545454545454545</v>
      </c>
      <c r="L259" s="125">
        <f>IF($D259="",0,'Guide &amp; Settings'!$C$44*IF($F259&gt;=3,$F259,0))</f>
        <v>0</v>
      </c>
      <c r="M259" s="124">
        <f t="shared" si="63"/>
        <v>-23.188344829688994</v>
      </c>
      <c r="N259" s="122">
        <f t="shared" si="64"/>
        <v>1036.7308467316404</v>
      </c>
      <c r="O259" s="121" t="str">
        <f t="shared" si="65"/>
        <v>OK</v>
      </c>
      <c r="P259">
        <f t="shared" si="66"/>
        <v>1032.0885492968332</v>
      </c>
      <c r="Q259">
        <f t="shared" si="67"/>
        <v>0.53996606960213678</v>
      </c>
      <c r="R259">
        <f t="shared" si="68"/>
        <v>0.4</v>
      </c>
      <c r="S259">
        <f t="shared" si="69"/>
        <v>0.73333333333333339</v>
      </c>
      <c r="T259" s="89">
        <f t="shared" si="70"/>
        <v>3</v>
      </c>
      <c r="U259" s="126">
        <f>IF($D259="",0,IFERROR(LOOKUP(2,1/(($D$3:D258=$D259)*($C$3:C258=$C259)*($A$3:A258&lt;$A259)),$AB$3:AB258),1000))</f>
        <v>1001.2626931775815</v>
      </c>
      <c r="V259" s="126">
        <f t="shared" si="71"/>
        <v>1037.9230046674238</v>
      </c>
      <c r="W259">
        <f t="shared" si="72"/>
        <v>1023.9552994037024</v>
      </c>
      <c r="X259">
        <f t="shared" si="73"/>
        <v>0.52009032138232647</v>
      </c>
      <c r="Y259">
        <f t="shared" si="74"/>
        <v>983.28904993804781</v>
      </c>
      <c r="Z259">
        <f t="shared" si="75"/>
        <v>0.5258431019419828</v>
      </c>
      <c r="AA259">
        <f>IF($D259="",0,IF($F259&lt;2,0,IF($E259="Win",('Guide &amp; Settings'!$C$42/(($F259-1)*COUNTIFS($A$4:$A$1510,$A259,$E$4:$E$1510,"Win")))*SUMIFS($Z$4:$Z$1510,$A$4:$A$1510,$A259,$E$4:$E$1510,"Loss"),-('Guide &amp; Settings'!$C$42/($F259-1))*$Z259)))</f>
        <v>-16.82697926214345</v>
      </c>
      <c r="AB259" s="126">
        <f t="shared" si="76"/>
        <v>984.43571391543799</v>
      </c>
      <c r="AC259" s="126">
        <f>IF($D259="","",IF($AD259=0,0,IF(COUNTIFS($D$4:$D259,$D259,$B$4:$B259,$B259)&gt;1,0,IF($B259&lt;'Guide &amp; Settings'!$C$50,0,IF(($B259-$AD259)/7-'Guide &amp; Settings'!$C$48&gt;=0,(INT(($B259-$AD259)/7-'Guide &amp; Settings'!$C$48)+1)*'Guide &amp; Settings'!$C$49,0)))))</f>
        <v>0</v>
      </c>
      <c r="AD259" s="142">
        <f t="shared" si="77"/>
        <v>46190</v>
      </c>
      <c r="AE259">
        <f t="shared" si="78"/>
        <v>1</v>
      </c>
      <c r="AF259">
        <f t="shared" si="79"/>
        <v>0</v>
      </c>
    </row>
    <row r="260" spans="1:32" ht="15" customHeight="1" x14ac:dyDescent="0.2">
      <c r="A260" s="117">
        <v>106</v>
      </c>
      <c r="B260" s="118">
        <v>46199</v>
      </c>
      <c r="C260" s="119" t="s">
        <v>35</v>
      </c>
      <c r="D260" s="119" t="s">
        <v>15</v>
      </c>
      <c r="E260" s="117" t="s">
        <v>370</v>
      </c>
      <c r="F260" s="120">
        <f t="shared" ref="F260:F323" si="80">IF($D260="",0,COUNTIF($A$4:$A$1510,$A260))</f>
        <v>2</v>
      </c>
      <c r="G260" s="121" t="str">
        <f t="shared" ref="G260:G323" si="81">IF($D260="","",IFERROR(LOOKUP(2,1/(($A$4:$A$1510=$A260)*($E$4:$E$1510="Win")),$D$4:$D$1510),"(no winner)"))</f>
        <v>Aaron</v>
      </c>
      <c r="H260" s="122">
        <f>IF($D260="",0,IFERROR(LOOKUP(2,1/(($D$3:D259=$D260)*($A$3:A259&lt;$A260)),$N$3:N259),'Guide &amp; Settings'!$C$41))</f>
        <v>1055.2768941265222</v>
      </c>
      <c r="I260" s="123">
        <f t="shared" ref="I260:I323" si="82">IF($D260="",0,IF($S260=0,0,$R260/$S260))</f>
        <v>0.61538461538461542</v>
      </c>
      <c r="J260" s="124">
        <f>IF($D260="",0,IF($F260&lt;2,0,IF($E260="Win",('Guide &amp; Settings'!$C$42/(($F260-1)*COUNTIFS($A$4:$A$1510,$A260,$E$4:$E$1510,"Win")))*SUMIFS($X$4:$X$1510,$A$4:$A$1510,$A260,$E$4:$E$1510,"Loss"),-('Guide &amp; Settings'!$C$42/($F260-1))*$X260)))</f>
        <v>13.82979338481177</v>
      </c>
      <c r="K260" s="124">
        <f>IF($D260="",0,'Guide &amp; Settings'!$C$43*(IF($E260="Win",1,0)-$I260))</f>
        <v>4.615384615384615</v>
      </c>
      <c r="L260" s="125">
        <f>IF($D260="",0,'Guide &amp; Settings'!$C$44*IF($F260&gt;=3,$F260,0))</f>
        <v>0</v>
      </c>
      <c r="M260" s="124">
        <f t="shared" ref="M260:M323" si="83">IF($D260="",0,$J260+$K260+$L260)</f>
        <v>18.445178000196385</v>
      </c>
      <c r="N260" s="122">
        <f t="shared" ref="N260:N323" si="84">IF($D260="",0,$H260+$M260)</f>
        <v>1073.7220721267186</v>
      </c>
      <c r="O260" s="121" t="str">
        <f t="shared" ref="O260:O323" si="85">IF($D260="","",IF($AE260=0,"need a winner",IF($F260-$AE260=0,"need a loser",IF(MOD($AF260,2)=1,"duplicate player",IF(MOD(INT($AF260/2),2)=1,"mixed sports",IF($AF260&gt;=4,"mixed dates",IF($AE260&gt;1,IF($F260&gt;=4,"OK (team)","check winners"),"OK")))))))</f>
        <v>OK</v>
      </c>
      <c r="P260">
        <f t="shared" ref="P260:P323" si="86">IF($D260="",0,IFERROR(SUMIFS($H$4:$H$1510,$A$4:$A$1510,$A260,$E$4:$E$1510,"Win")/COUNTIFS($A$4:$A$1510,$A260,$E$4:$E$1510,"Win"),0))</f>
        <v>1055.2768941265222</v>
      </c>
      <c r="Q260">
        <f t="shared" ref="Q260:Q323" si="87">IF($D260="",0,1/(1+10^(($P260-$H260)/400)))</f>
        <v>0.5</v>
      </c>
      <c r="R260">
        <f t="shared" ref="R260:R323" si="88">IF($D260="",0,(COUNTIFS($D$4:$D$1510,$D260,$C$4:$C$1510,$C260,$E$4:$E$1510,"Win",$A$4:$A$1510,"&lt;"&amp;$A260)+1)/(COUNTIFS($D$4:$D$1510,$D260,$C$4:$C$1510,$C260,$A$4:$A$1510,"&lt;"&amp;$A260)+2))</f>
        <v>0.8</v>
      </c>
      <c r="S260">
        <f t="shared" ref="S260:S323" si="89">IF($D260="",0,SUMIFS($R$4:$R$1510,$A$4:$A$1510,$A260))</f>
        <v>1.3</v>
      </c>
      <c r="T260" s="89">
        <f t="shared" ref="T260:T323" si="90">IF($D260="",0,COUNTIFS($D$4:$D$1510,$D260,$C$4:$C$1510,$C260,$A$4:$A$1510,"&lt;"&amp;$A260))</f>
        <v>3</v>
      </c>
      <c r="U260" s="126">
        <f>IF($D260="",0,IFERROR(LOOKUP(2,1/(($D$3:D259=$D260)*($C$3:C259=$C260)*($A$3:A259&lt;$A260)),$AB$3:AB259),1000))</f>
        <v>1046.5387222766644</v>
      </c>
      <c r="V260" s="126">
        <f t="shared" ref="V260:V323" si="91">IF($D260="",0,$U260*($T260/($T260+5))+$H260*(1-$T260/($T260+5)))</f>
        <v>1052.0000796828256</v>
      </c>
      <c r="W260">
        <f t="shared" ref="W260:W323" si="92">IF($D260="",0,IFERROR(SUMIFS($V$4:$V$1510,$A$4:$A$1510,$A260,$E$4:$E$1510,"Win")/COUNTIFS($A$4:$A$1510,$A260,$E$4:$E$1510,"Win"),0))</f>
        <v>1052.0000796828256</v>
      </c>
      <c r="X260">
        <f t="shared" ref="X260:X323" si="93">IF($D260="",0,1/(1+10^(($W260-$V260)/400)))</f>
        <v>0.5</v>
      </c>
      <c r="Y260">
        <f t="shared" ref="Y260:Y323" si="94">IF($D260="",0,IFERROR(SUMIFS($U$4:$U$1510,$A$4:$A$1510,$A260,$E$4:$E$1510,"Win")/COUNTIFS($A$4:$A$1510,$A260,$E$4:$E$1510,"Win"),0))</f>
        <v>1046.5387222766644</v>
      </c>
      <c r="Z260">
        <f t="shared" ref="Z260:Z323" si="95">IF($D260="",0,1/(1+10^(($Y260-$U260)/400)))</f>
        <v>0.5</v>
      </c>
      <c r="AA260">
        <f>IF($D260="",0,IF($F260&lt;2,0,IF($E260="Win",('Guide &amp; Settings'!$C$42/(($F260-1)*COUNTIFS($A$4:$A$1510,$A260,$E$4:$E$1510,"Win")))*SUMIFS($Z$4:$Z$1510,$A$4:$A$1510,$A260,$E$4:$E$1510,"Loss"),-('Guide &amp; Settings'!$C$42/($F260-1))*$Z260)))</f>
        <v>13.172530988059659</v>
      </c>
      <c r="AB260" s="126">
        <f t="shared" ref="AB260:AB323" si="96">IF($D260="",0,$U260+$AA260)</f>
        <v>1059.7112532647241</v>
      </c>
      <c r="AC260" s="126">
        <f>IF($D260="","",IF($AD260=0,0,IF(COUNTIFS($D$4:$D260,$D260,$B$4:$B260,$B260)&gt;1,0,IF($B260&lt;'Guide &amp; Settings'!$C$50,0,IF(($B260-$AD260)/7-'Guide &amp; Settings'!$C$48&gt;=0,(INT(($B260-$AD260)/7-'Guide &amp; Settings'!$C$48)+1)*'Guide &amp; Settings'!$C$49,0)))))</f>
        <v>0</v>
      </c>
      <c r="AD260" s="142">
        <f t="shared" ref="AD260:AD323" si="97">IF($D260="",0,SUMPRODUCT(MAX(($D$4:$D$1510=$D260)*($B$4:$B$1510&lt;$B260)*$B$4:$B$1510)))</f>
        <v>46188</v>
      </c>
      <c r="AE260">
        <f t="shared" ref="AE260:AE323" si="98">IF($D260="",0,COUNTIFS($A$4:$A$1510,$A260,$E$4:$E$1510,"Win"))</f>
        <v>1</v>
      </c>
      <c r="AF260">
        <f t="shared" ref="AF260:AF323" si="99">IF($D260="",0,(COUNTIFS($A$4:$A$1510,$A260,$D$4:$D$1510,$D260)&gt;1)*1+(COUNTIFS($A$4:$A$1510,$A260,$C$4:$C$1510,"&lt;&gt;"&amp;$C260)&gt;0)*2+(COUNTIFS($A$4:$A$1510,$A260,$B$4:$B$1510,"&lt;&gt;"&amp;$B260)&gt;0)*4)</f>
        <v>0</v>
      </c>
    </row>
    <row r="261" spans="1:32" ht="15" customHeight="1" x14ac:dyDescent="0.2">
      <c r="A261" s="117">
        <v>106</v>
      </c>
      <c r="B261" s="118">
        <v>46199</v>
      </c>
      <c r="C261" s="119" t="s">
        <v>35</v>
      </c>
      <c r="D261" s="119" t="s">
        <v>20</v>
      </c>
      <c r="E261" s="117" t="s">
        <v>371</v>
      </c>
      <c r="F261" s="120">
        <f t="shared" si="80"/>
        <v>2</v>
      </c>
      <c r="G261" s="121" t="str">
        <f t="shared" si="81"/>
        <v>Aaron</v>
      </c>
      <c r="H261" s="122">
        <f>IF($D261="",0,IFERROR(LOOKUP(2,1/(($D$3:D260=$D261)*($A$3:A260&lt;$A261)),$N$3:N260),'Guide &amp; Settings'!$C$41))</f>
        <v>1036.7308467316404</v>
      </c>
      <c r="I261" s="123">
        <f t="shared" si="82"/>
        <v>0.38461538461538458</v>
      </c>
      <c r="J261" s="124">
        <f>IF($D261="",0,IF($F261&lt;2,0,IF($E261="Win",('Guide &amp; Settings'!$C$42/(($F261-1)*COUNTIFS($A$4:$A$1510,$A261,$E$4:$E$1510,"Win")))*SUMIFS($X$4:$X$1510,$A$4:$A$1510,$A261,$E$4:$E$1510,"Loss"),-('Guide &amp; Settings'!$C$42/($F261-1))*$X261)))</f>
        <v>-13.82979338481177</v>
      </c>
      <c r="K261" s="124">
        <f>IF($D261="",0,'Guide &amp; Settings'!$C$43*(IF($E261="Win",1,0)-$I261))</f>
        <v>-4.615384615384615</v>
      </c>
      <c r="L261" s="125">
        <f>IF($D261="",0,'Guide &amp; Settings'!$C$44*IF($F261&gt;=3,$F261,0))</f>
        <v>0</v>
      </c>
      <c r="M261" s="124">
        <f t="shared" si="83"/>
        <v>-18.445178000196385</v>
      </c>
      <c r="N261" s="122">
        <f t="shared" si="84"/>
        <v>1018.285668731444</v>
      </c>
      <c r="O261" s="121" t="str">
        <f t="shared" si="85"/>
        <v>OK</v>
      </c>
      <c r="P261">
        <f t="shared" si="86"/>
        <v>1055.2768941265222</v>
      </c>
      <c r="Q261">
        <f t="shared" si="87"/>
        <v>0.47333541359028486</v>
      </c>
      <c r="R261">
        <f t="shared" si="88"/>
        <v>0.5</v>
      </c>
      <c r="S261">
        <f t="shared" si="89"/>
        <v>1.3</v>
      </c>
      <c r="T261" s="89">
        <f t="shared" si="90"/>
        <v>8</v>
      </c>
      <c r="U261" s="126">
        <f>IF($D261="",0,IFERROR(LOOKUP(2,1/(($D$3:D260=$D261)*($C$3:C260=$C261)*($A$3:A260&lt;$A261)),$AB$3:AB260),1000))</f>
        <v>984.48963725383635</v>
      </c>
      <c r="V261" s="126">
        <f t="shared" si="91"/>
        <v>1004.5824101299149</v>
      </c>
      <c r="W261">
        <f t="shared" si="92"/>
        <v>1052.0000796828256</v>
      </c>
      <c r="X261">
        <f t="shared" si="93"/>
        <v>0.43218104327536783</v>
      </c>
      <c r="Y261">
        <f t="shared" si="94"/>
        <v>1046.5387222766644</v>
      </c>
      <c r="Z261">
        <f t="shared" si="95"/>
        <v>0.41164159337686435</v>
      </c>
      <c r="AA261">
        <f>IF($D261="",0,IF($F261&lt;2,0,IF($E261="Win",('Guide &amp; Settings'!$C$42/(($F261-1)*COUNTIFS($A$4:$A$1510,$A261,$E$4:$E$1510,"Win")))*SUMIFS($Z$4:$Z$1510,$A$4:$A$1510,$A261,$E$4:$E$1510,"Loss"),-('Guide &amp; Settings'!$C$42/($F261-1))*$Z261)))</f>
        <v>-13.172530988059659</v>
      </c>
      <c r="AB261" s="126">
        <f t="shared" si="96"/>
        <v>971.31710626577672</v>
      </c>
      <c r="AC261" s="126">
        <f>IF($D261="","",IF($AD261=0,0,IF(COUNTIFS($D$4:$D261,$D261,$B$4:$B261,$B261)&gt;1,0,IF($B261&lt;'Guide &amp; Settings'!$C$50,0,IF(($B261-$AD261)/7-'Guide &amp; Settings'!$C$48&gt;=0,(INT(($B261-$AD261)/7-'Guide &amp; Settings'!$C$48)+1)*'Guide &amp; Settings'!$C$49,0)))))</f>
        <v>0</v>
      </c>
      <c r="AD261" s="142">
        <f t="shared" si="97"/>
        <v>46190</v>
      </c>
      <c r="AE261">
        <f t="shared" si="98"/>
        <v>1</v>
      </c>
      <c r="AF261">
        <f t="shared" si="99"/>
        <v>0</v>
      </c>
    </row>
    <row r="262" spans="1:32" ht="15" customHeight="1" x14ac:dyDescent="0.2">
      <c r="A262" s="117">
        <v>107</v>
      </c>
      <c r="B262" s="118">
        <v>46199</v>
      </c>
      <c r="C262" s="119" t="s">
        <v>35</v>
      </c>
      <c r="D262" s="119" t="s">
        <v>15</v>
      </c>
      <c r="E262" s="117" t="s">
        <v>371</v>
      </c>
      <c r="F262" s="120">
        <f t="shared" si="80"/>
        <v>2</v>
      </c>
      <c r="G262" s="121" t="str">
        <f t="shared" si="81"/>
        <v>Shawn</v>
      </c>
      <c r="H262" s="122">
        <f>IF($D262="",0,IFERROR(LOOKUP(2,1/(($D$3:D261=$D262)*($A$3:A261&lt;$A262)),$N$3:N261),'Guide &amp; Settings'!$C$41))</f>
        <v>1073.7220721267186</v>
      </c>
      <c r="I262" s="123">
        <f t="shared" si="82"/>
        <v>0.6470588235294118</v>
      </c>
      <c r="J262" s="124">
        <f>IF($D262="",0,IF($F262&lt;2,0,IF($E262="Win",('Guide &amp; Settings'!$C$42/(($F262-1)*COUNTIFS($A$4:$A$1510,$A262,$E$4:$E$1510,"Win")))*SUMIFS($X$4:$X$1510,$A$4:$A$1510,$A262,$E$4:$E$1510,"Loss"),-('Guide &amp; Settings'!$C$42/($F262-1))*$X262)))</f>
        <v>-19.594302505577598</v>
      </c>
      <c r="K262" s="124">
        <f>IF($D262="",0,'Guide &amp; Settings'!$C$43*(IF($E262="Win",1,0)-$I262))</f>
        <v>-7.764705882352942</v>
      </c>
      <c r="L262" s="125">
        <f>IF($D262="",0,'Guide &amp; Settings'!$C$44*IF($F262&gt;=3,$F262,0))</f>
        <v>0</v>
      </c>
      <c r="M262" s="124">
        <f t="shared" si="83"/>
        <v>-27.35900838793054</v>
      </c>
      <c r="N262" s="122">
        <f t="shared" si="84"/>
        <v>1046.363063738788</v>
      </c>
      <c r="O262" s="121" t="str">
        <f t="shared" si="85"/>
        <v>OK</v>
      </c>
      <c r="P262">
        <f t="shared" si="86"/>
        <v>1018.285668731444</v>
      </c>
      <c r="Q262">
        <f t="shared" si="87"/>
        <v>0.57910918707089598</v>
      </c>
      <c r="R262">
        <f t="shared" si="88"/>
        <v>0.83333333333333337</v>
      </c>
      <c r="S262">
        <f t="shared" si="89"/>
        <v>1.2878787878787878</v>
      </c>
      <c r="T262" s="89">
        <f t="shared" si="90"/>
        <v>4</v>
      </c>
      <c r="U262" s="126">
        <f>IF($D262="",0,IFERROR(LOOKUP(2,1/(($D$3:D261=$D262)*($C$3:C261=$C262)*($A$3:A261&lt;$A262)),$AB$3:AB261),1000))</f>
        <v>1059.7112532647241</v>
      </c>
      <c r="V262" s="126">
        <f t="shared" si="91"/>
        <v>1067.4950415213877</v>
      </c>
      <c r="W262">
        <f t="shared" si="92"/>
        <v>988.09159286065801</v>
      </c>
      <c r="X262">
        <f t="shared" si="93"/>
        <v>0.61232195329929995</v>
      </c>
      <c r="Y262">
        <f t="shared" si="94"/>
        <v>971.31710626577672</v>
      </c>
      <c r="Z262">
        <f t="shared" si="95"/>
        <v>0.62453394430754061</v>
      </c>
      <c r="AA262">
        <f>IF($D262="",0,IF($F262&lt;2,0,IF($E262="Win",('Guide &amp; Settings'!$C$42/(($F262-1)*COUNTIFS($A$4:$A$1510,$A262,$E$4:$E$1510,"Win")))*SUMIFS($Z$4:$Z$1510,$A$4:$A$1510,$A262,$E$4:$E$1510,"Loss"),-('Guide &amp; Settings'!$C$42/($F262-1))*$Z262)))</f>
        <v>-19.9850862178413</v>
      </c>
      <c r="AB262" s="126">
        <f t="shared" si="96"/>
        <v>1039.7261670468827</v>
      </c>
      <c r="AC262" s="126">
        <f>IF($D262="","",IF($AD262=0,0,IF(COUNTIFS($D$4:$D262,$D262,$B$4:$B262,$B262)&gt;1,0,IF($B262&lt;'Guide &amp; Settings'!$C$50,0,IF(($B262-$AD262)/7-'Guide &amp; Settings'!$C$48&gt;=0,(INT(($B262-$AD262)/7-'Guide &amp; Settings'!$C$48)+1)*'Guide &amp; Settings'!$C$49,0)))))</f>
        <v>0</v>
      </c>
      <c r="AD262" s="142">
        <f t="shared" si="97"/>
        <v>46188</v>
      </c>
      <c r="AE262">
        <f t="shared" si="98"/>
        <v>1</v>
      </c>
      <c r="AF262">
        <f t="shared" si="99"/>
        <v>0</v>
      </c>
    </row>
    <row r="263" spans="1:32" ht="15" customHeight="1" x14ac:dyDescent="0.2">
      <c r="A263" s="117">
        <v>107</v>
      </c>
      <c r="B263" s="118">
        <v>46199</v>
      </c>
      <c r="C263" s="119" t="s">
        <v>35</v>
      </c>
      <c r="D263" s="119" t="s">
        <v>20</v>
      </c>
      <c r="E263" s="117" t="s">
        <v>370</v>
      </c>
      <c r="F263" s="120">
        <f t="shared" si="80"/>
        <v>2</v>
      </c>
      <c r="G263" s="121" t="str">
        <f t="shared" si="81"/>
        <v>Shawn</v>
      </c>
      <c r="H263" s="122">
        <f>IF($D263="",0,IFERROR(LOOKUP(2,1/(($D$3:D262=$D263)*($A$3:A262&lt;$A263)),$N$3:N262),'Guide &amp; Settings'!$C$41))</f>
        <v>1018.285668731444</v>
      </c>
      <c r="I263" s="123">
        <f t="shared" si="82"/>
        <v>0.35294117647058826</v>
      </c>
      <c r="J263" s="124">
        <f>IF($D263="",0,IF($F263&lt;2,0,IF($E263="Win",('Guide &amp; Settings'!$C$42/(($F263-1)*COUNTIFS($A$4:$A$1510,$A263,$E$4:$E$1510,"Win")))*SUMIFS($X$4:$X$1510,$A$4:$A$1510,$A263,$E$4:$E$1510,"Loss"),-('Guide &amp; Settings'!$C$42/($F263-1))*$X263)))</f>
        <v>19.594302505577598</v>
      </c>
      <c r="K263" s="124">
        <f>IF($D263="",0,'Guide &amp; Settings'!$C$43*(IF($E263="Win",1,0)-$I263))</f>
        <v>7.7647058823529402</v>
      </c>
      <c r="L263" s="125">
        <f>IF($D263="",0,'Guide &amp; Settings'!$C$44*IF($F263&gt;=3,$F263,0))</f>
        <v>0</v>
      </c>
      <c r="M263" s="124">
        <f t="shared" si="83"/>
        <v>27.359008387930537</v>
      </c>
      <c r="N263" s="122">
        <f t="shared" si="84"/>
        <v>1045.6446771193746</v>
      </c>
      <c r="O263" s="121" t="str">
        <f t="shared" si="85"/>
        <v>OK</v>
      </c>
      <c r="P263">
        <f t="shared" si="86"/>
        <v>1018.285668731444</v>
      </c>
      <c r="Q263">
        <f t="shared" si="87"/>
        <v>0.5</v>
      </c>
      <c r="R263">
        <f t="shared" si="88"/>
        <v>0.45454545454545453</v>
      </c>
      <c r="S263">
        <f t="shared" si="89"/>
        <v>1.2878787878787878</v>
      </c>
      <c r="T263" s="89">
        <f t="shared" si="90"/>
        <v>9</v>
      </c>
      <c r="U263" s="126">
        <f>IF($D263="",0,IFERROR(LOOKUP(2,1/(($D$3:D262=$D263)*($C$3:C262=$C263)*($A$3:A262&lt;$A263)),$AB$3:AB262),1000))</f>
        <v>971.31710626577672</v>
      </c>
      <c r="V263" s="126">
        <f t="shared" si="91"/>
        <v>988.09159286065801</v>
      </c>
      <c r="W263">
        <f t="shared" si="92"/>
        <v>988.09159286065801</v>
      </c>
      <c r="X263">
        <f t="shared" si="93"/>
        <v>0.5</v>
      </c>
      <c r="Y263">
        <f t="shared" si="94"/>
        <v>971.31710626577672</v>
      </c>
      <c r="Z263">
        <f t="shared" si="95"/>
        <v>0.5</v>
      </c>
      <c r="AA263">
        <f>IF($D263="",0,IF($F263&lt;2,0,IF($E263="Win",('Guide &amp; Settings'!$C$42/(($F263-1)*COUNTIFS($A$4:$A$1510,$A263,$E$4:$E$1510,"Win")))*SUMIFS($Z$4:$Z$1510,$A$4:$A$1510,$A263,$E$4:$E$1510,"Loss"),-('Guide &amp; Settings'!$C$42/($F263-1))*$Z263)))</f>
        <v>19.9850862178413</v>
      </c>
      <c r="AB263" s="126">
        <f t="shared" si="96"/>
        <v>991.302192483618</v>
      </c>
      <c r="AC263" s="126">
        <f>IF($D263="","",IF($AD263=0,0,IF(COUNTIFS($D$4:$D263,$D263,$B$4:$B263,$B263)&gt;1,0,IF($B263&lt;'Guide &amp; Settings'!$C$50,0,IF(($B263-$AD263)/7-'Guide &amp; Settings'!$C$48&gt;=0,(INT(($B263-$AD263)/7-'Guide &amp; Settings'!$C$48)+1)*'Guide &amp; Settings'!$C$49,0)))))</f>
        <v>0</v>
      </c>
      <c r="AD263" s="142">
        <f t="shared" si="97"/>
        <v>46190</v>
      </c>
      <c r="AE263">
        <f t="shared" si="98"/>
        <v>1</v>
      </c>
      <c r="AF263">
        <f t="shared" si="99"/>
        <v>0</v>
      </c>
    </row>
    <row r="264" spans="1:32" ht="15" customHeight="1" x14ac:dyDescent="0.2">
      <c r="A264" s="117">
        <v>108</v>
      </c>
      <c r="B264" s="118">
        <v>46200</v>
      </c>
      <c r="C264" s="119" t="s">
        <v>35</v>
      </c>
      <c r="D264" s="119" t="s">
        <v>15</v>
      </c>
      <c r="E264" s="117" t="s">
        <v>371</v>
      </c>
      <c r="F264" s="120">
        <f t="shared" si="80"/>
        <v>2</v>
      </c>
      <c r="G264" s="121" t="str">
        <f t="shared" si="81"/>
        <v>Shawn</v>
      </c>
      <c r="H264" s="122">
        <f>IF($D264="",0,IFERROR(LOOKUP(2,1/(($D$3:D263=$D264)*($A$3:A263&lt;$A264)),$N$3:N263),'Guide &amp; Settings'!$C$41))</f>
        <v>1046.363063738788</v>
      </c>
      <c r="I264" s="123">
        <f t="shared" si="82"/>
        <v>0.58823529411764697</v>
      </c>
      <c r="J264" s="124">
        <f>IF($D264="",0,IF($F264&lt;2,0,IF($E264="Win",('Guide &amp; Settings'!$C$42/(($F264-1)*COUNTIFS($A$4:$A$1510,$A264,$E$4:$E$1510,"Win")))*SUMIFS($X$4:$X$1510,$A$4:$A$1510,$A264,$E$4:$E$1510,"Loss"),-('Guide &amp; Settings'!$C$42/($F264-1))*$X264)))</f>
        <v>-17.543820689080377</v>
      </c>
      <c r="K264" s="124">
        <f>IF($D264="",0,'Guide &amp; Settings'!$C$43*(IF($E264="Win",1,0)-$I264))</f>
        <v>-7.0588235294117636</v>
      </c>
      <c r="L264" s="125">
        <f>IF($D264="",0,'Guide &amp; Settings'!$C$44*IF($F264&gt;=3,$F264,0))</f>
        <v>0</v>
      </c>
      <c r="M264" s="124">
        <f t="shared" si="83"/>
        <v>-24.602644218492141</v>
      </c>
      <c r="N264" s="122">
        <f t="shared" si="84"/>
        <v>1021.7604195202958</v>
      </c>
      <c r="O264" s="121" t="str">
        <f t="shared" si="85"/>
        <v>OK</v>
      </c>
      <c r="P264">
        <f t="shared" si="86"/>
        <v>1045.6446771193746</v>
      </c>
      <c r="Q264">
        <f t="shared" si="87"/>
        <v>0.50103383997721307</v>
      </c>
      <c r="R264">
        <f t="shared" si="88"/>
        <v>0.7142857142857143</v>
      </c>
      <c r="S264">
        <f t="shared" si="89"/>
        <v>1.2142857142857144</v>
      </c>
      <c r="T264" s="89">
        <f t="shared" si="90"/>
        <v>5</v>
      </c>
      <c r="U264" s="126">
        <f>IF($D264="",0,IFERROR(LOOKUP(2,1/(($D$3:D263=$D264)*($C$3:C263=$C264)*($A$3:A263&lt;$A264)),$AB$3:AB263),1000))</f>
        <v>1039.7261670468827</v>
      </c>
      <c r="V264" s="126">
        <f t="shared" si="91"/>
        <v>1043.0446153928353</v>
      </c>
      <c r="W264">
        <f t="shared" si="92"/>
        <v>1009.4163540288703</v>
      </c>
      <c r="X264">
        <f t="shared" si="93"/>
        <v>0.54824439653376178</v>
      </c>
      <c r="Y264">
        <f t="shared" si="94"/>
        <v>991.302192483618</v>
      </c>
      <c r="Z264">
        <f t="shared" si="95"/>
        <v>0.569239940556581</v>
      </c>
      <c r="AA264">
        <f>IF($D264="",0,IF($F264&lt;2,0,IF($E264="Win",('Guide &amp; Settings'!$C$42/(($F264-1)*COUNTIFS($A$4:$A$1510,$A264,$E$4:$E$1510,"Win")))*SUMIFS($Z$4:$Z$1510,$A$4:$A$1510,$A264,$E$4:$E$1510,"Loss"),-('Guide &amp; Settings'!$C$42/($F264-1))*$Z264)))</f>
        <v>-18.215678097810592</v>
      </c>
      <c r="AB264" s="126">
        <f t="shared" si="96"/>
        <v>1021.5104889490721</v>
      </c>
      <c r="AC264" s="126">
        <f>IF($D264="","",IF($AD264=0,0,IF(COUNTIFS($D$4:$D264,$D264,$B$4:$B264,$B264)&gt;1,0,IF($B264&lt;'Guide &amp; Settings'!$C$50,0,IF(($B264-$AD264)/7-'Guide &amp; Settings'!$C$48&gt;=0,(INT(($B264-$AD264)/7-'Guide &amp; Settings'!$C$48)+1)*'Guide &amp; Settings'!$C$49,0)))))</f>
        <v>0</v>
      </c>
      <c r="AD264" s="142">
        <f t="shared" si="97"/>
        <v>46199</v>
      </c>
      <c r="AE264">
        <f t="shared" si="98"/>
        <v>1</v>
      </c>
      <c r="AF264">
        <f t="shared" si="99"/>
        <v>0</v>
      </c>
    </row>
    <row r="265" spans="1:32" ht="15" customHeight="1" x14ac:dyDescent="0.2">
      <c r="A265" s="117">
        <v>108</v>
      </c>
      <c r="B265" s="118">
        <v>46200</v>
      </c>
      <c r="C265" s="119" t="s">
        <v>35</v>
      </c>
      <c r="D265" s="119" t="s">
        <v>20</v>
      </c>
      <c r="E265" s="117" t="s">
        <v>370</v>
      </c>
      <c r="F265" s="120">
        <f t="shared" si="80"/>
        <v>2</v>
      </c>
      <c r="G265" s="121" t="str">
        <f t="shared" si="81"/>
        <v>Shawn</v>
      </c>
      <c r="H265" s="122">
        <f>IF($D265="",0,IFERROR(LOOKUP(2,1/(($D$3:D264=$D265)*($A$3:A264&lt;$A265)),$N$3:N264),'Guide &amp; Settings'!$C$41))</f>
        <v>1045.6446771193746</v>
      </c>
      <c r="I265" s="123">
        <f t="shared" si="82"/>
        <v>0.41176470588235292</v>
      </c>
      <c r="J265" s="124">
        <f>IF($D265="",0,IF($F265&lt;2,0,IF($E265="Win",('Guide &amp; Settings'!$C$42/(($F265-1)*COUNTIFS($A$4:$A$1510,$A265,$E$4:$E$1510,"Win")))*SUMIFS($X$4:$X$1510,$A$4:$A$1510,$A265,$E$4:$E$1510,"Loss"),-('Guide &amp; Settings'!$C$42/($F265-1))*$X265)))</f>
        <v>17.543820689080377</v>
      </c>
      <c r="K265" s="124">
        <f>IF($D265="",0,'Guide &amp; Settings'!$C$43*(IF($E265="Win",1,0)-$I265))</f>
        <v>7.0588235294117645</v>
      </c>
      <c r="L265" s="125">
        <f>IF($D265="",0,'Guide &amp; Settings'!$C$44*IF($F265&gt;=3,$F265,0))</f>
        <v>0</v>
      </c>
      <c r="M265" s="124">
        <f t="shared" si="83"/>
        <v>24.602644218492141</v>
      </c>
      <c r="N265" s="122">
        <f t="shared" si="84"/>
        <v>1070.2473213378667</v>
      </c>
      <c r="O265" s="121" t="str">
        <f t="shared" si="85"/>
        <v>OK</v>
      </c>
      <c r="P265">
        <f t="shared" si="86"/>
        <v>1045.6446771193746</v>
      </c>
      <c r="Q265">
        <f t="shared" si="87"/>
        <v>0.5</v>
      </c>
      <c r="R265">
        <f t="shared" si="88"/>
        <v>0.5</v>
      </c>
      <c r="S265">
        <f t="shared" si="89"/>
        <v>1.2142857142857144</v>
      </c>
      <c r="T265" s="89">
        <f t="shared" si="90"/>
        <v>10</v>
      </c>
      <c r="U265" s="126">
        <f>IF($D265="",0,IFERROR(LOOKUP(2,1/(($D$3:D264=$D265)*($C$3:C264=$C265)*($A$3:A264&lt;$A265)),$AB$3:AB264),1000))</f>
        <v>991.302192483618</v>
      </c>
      <c r="V265" s="126">
        <f t="shared" si="91"/>
        <v>1009.4163540288703</v>
      </c>
      <c r="W265">
        <f t="shared" si="92"/>
        <v>1009.4163540288703</v>
      </c>
      <c r="X265">
        <f t="shared" si="93"/>
        <v>0.5</v>
      </c>
      <c r="Y265">
        <f t="shared" si="94"/>
        <v>991.302192483618</v>
      </c>
      <c r="Z265">
        <f t="shared" si="95"/>
        <v>0.5</v>
      </c>
      <c r="AA265">
        <f>IF($D265="",0,IF($F265&lt;2,0,IF($E265="Win",('Guide &amp; Settings'!$C$42/(($F265-1)*COUNTIFS($A$4:$A$1510,$A265,$E$4:$E$1510,"Win")))*SUMIFS($Z$4:$Z$1510,$A$4:$A$1510,$A265,$E$4:$E$1510,"Loss"),-('Guide &amp; Settings'!$C$42/($F265-1))*$Z265)))</f>
        <v>18.215678097810592</v>
      </c>
      <c r="AB265" s="126">
        <f t="shared" si="96"/>
        <v>1009.5178705814286</v>
      </c>
      <c r="AC265" s="126">
        <f>IF($D265="","",IF($AD265=0,0,IF(COUNTIFS($D$4:$D265,$D265,$B$4:$B265,$B265)&gt;1,0,IF($B265&lt;'Guide &amp; Settings'!$C$50,0,IF(($B265-$AD265)/7-'Guide &amp; Settings'!$C$48&gt;=0,(INT(($B265-$AD265)/7-'Guide &amp; Settings'!$C$48)+1)*'Guide &amp; Settings'!$C$49,0)))))</f>
        <v>0</v>
      </c>
      <c r="AD265" s="142">
        <f t="shared" si="97"/>
        <v>46199</v>
      </c>
      <c r="AE265">
        <f t="shared" si="98"/>
        <v>1</v>
      </c>
      <c r="AF265">
        <f t="shared" si="99"/>
        <v>0</v>
      </c>
    </row>
    <row r="266" spans="1:32" ht="15" customHeight="1" x14ac:dyDescent="0.2">
      <c r="A266" s="117">
        <v>109</v>
      </c>
      <c r="B266" s="118">
        <v>46200</v>
      </c>
      <c r="C266" s="119" t="s">
        <v>35</v>
      </c>
      <c r="D266" s="119" t="s">
        <v>15</v>
      </c>
      <c r="E266" s="117" t="s">
        <v>370</v>
      </c>
      <c r="F266" s="120">
        <f t="shared" si="80"/>
        <v>2</v>
      </c>
      <c r="G266" s="121" t="str">
        <f t="shared" si="81"/>
        <v>Aaron</v>
      </c>
      <c r="H266" s="122">
        <f>IF($D266="",0,IFERROR(LOOKUP(2,1/(($D$3:D265=$D266)*($A$3:A265&lt;$A266)),$N$3:N265),'Guide &amp; Settings'!$C$41))</f>
        <v>1021.7604195202958</v>
      </c>
      <c r="I266" s="123">
        <f t="shared" si="82"/>
        <v>0.5371900826446282</v>
      </c>
      <c r="J266" s="124">
        <f>IF($D266="",0,IF($F266&lt;2,0,IF($E266="Win",('Guide &amp; Settings'!$C$42/(($F266-1)*COUNTIFS($A$4:$A$1510,$A266,$E$4:$E$1510,"Win")))*SUMIFS($X$4:$X$1510,$A$4:$A$1510,$A266,$E$4:$E$1510,"Loss"),-('Guide &amp; Settings'!$C$42/($F266-1))*$X266)))</f>
        <v>16.316413612098106</v>
      </c>
      <c r="K266" s="124">
        <f>IF($D266="",0,'Guide &amp; Settings'!$C$43*(IF($E266="Win",1,0)-$I266))</f>
        <v>5.5537190082644621</v>
      </c>
      <c r="L266" s="125">
        <f>IF($D266="",0,'Guide &amp; Settings'!$C$44*IF($F266&gt;=3,$F266,0))</f>
        <v>0</v>
      </c>
      <c r="M266" s="124">
        <f t="shared" si="83"/>
        <v>21.870132620362568</v>
      </c>
      <c r="N266" s="122">
        <f t="shared" si="84"/>
        <v>1043.6305521406584</v>
      </c>
      <c r="O266" s="121" t="str">
        <f t="shared" si="85"/>
        <v>OK</v>
      </c>
      <c r="P266">
        <f t="shared" si="86"/>
        <v>1021.7604195202958</v>
      </c>
      <c r="Q266">
        <f t="shared" si="87"/>
        <v>0.5</v>
      </c>
      <c r="R266">
        <f t="shared" si="88"/>
        <v>0.625</v>
      </c>
      <c r="S266">
        <f t="shared" si="89"/>
        <v>1.1634615384615383</v>
      </c>
      <c r="T266" s="89">
        <f t="shared" si="90"/>
        <v>6</v>
      </c>
      <c r="U266" s="126">
        <f>IF($D266="",0,IFERROR(LOOKUP(2,1/(($D$3:D265=$D266)*($C$3:C265=$C266)*($A$3:A265&lt;$A266)),$AB$3:AB265),1000))</f>
        <v>1021.5104889490721</v>
      </c>
      <c r="V266" s="126">
        <f t="shared" si="91"/>
        <v>1021.6240937541738</v>
      </c>
      <c r="W266">
        <f t="shared" si="92"/>
        <v>1021.6240937541738</v>
      </c>
      <c r="X266">
        <f t="shared" si="93"/>
        <v>0.5</v>
      </c>
      <c r="Y266">
        <f t="shared" si="94"/>
        <v>1021.5104889490721</v>
      </c>
      <c r="Z266">
        <f t="shared" si="95"/>
        <v>0.5</v>
      </c>
      <c r="AA266">
        <f>IF($D266="",0,IF($F266&lt;2,0,IF($E266="Win",('Guide &amp; Settings'!$C$42/(($F266-1)*COUNTIFS($A$4:$A$1510,$A266,$E$4:$E$1510,"Win")))*SUMIFS($Z$4:$Z$1510,$A$4:$A$1510,$A266,$E$4:$E$1510,"Loss"),-('Guide &amp; Settings'!$C$42/($F266-1))*$Z266)))</f>
        <v>15.44793874994804</v>
      </c>
      <c r="AB266" s="126">
        <f t="shared" si="96"/>
        <v>1036.9584276990201</v>
      </c>
      <c r="AC266" s="126">
        <f>IF($D266="","",IF($AD266=0,0,IF(COUNTIFS($D$4:$D266,$D266,$B$4:$B266,$B266)&gt;1,0,IF($B266&lt;'Guide &amp; Settings'!$C$50,0,IF(($B266-$AD266)/7-'Guide &amp; Settings'!$C$48&gt;=0,(INT(($B266-$AD266)/7-'Guide &amp; Settings'!$C$48)+1)*'Guide &amp; Settings'!$C$49,0)))))</f>
        <v>0</v>
      </c>
      <c r="AD266" s="142">
        <f t="shared" si="97"/>
        <v>46199</v>
      </c>
      <c r="AE266">
        <f t="shared" si="98"/>
        <v>1</v>
      </c>
      <c r="AF266">
        <f t="shared" si="99"/>
        <v>0</v>
      </c>
    </row>
    <row r="267" spans="1:32" ht="15" customHeight="1" x14ac:dyDescent="0.2">
      <c r="A267" s="117">
        <v>109</v>
      </c>
      <c r="B267" s="118">
        <v>46200</v>
      </c>
      <c r="C267" s="119" t="s">
        <v>35</v>
      </c>
      <c r="D267" s="119" t="s">
        <v>20</v>
      </c>
      <c r="E267" s="117" t="s">
        <v>371</v>
      </c>
      <c r="F267" s="120">
        <f t="shared" si="80"/>
        <v>2</v>
      </c>
      <c r="G267" s="121" t="str">
        <f t="shared" si="81"/>
        <v>Aaron</v>
      </c>
      <c r="H267" s="122">
        <f>IF($D267="",0,IFERROR(LOOKUP(2,1/(($D$3:D266=$D267)*($A$3:A266&lt;$A267)),$N$3:N266),'Guide &amp; Settings'!$C$41))</f>
        <v>1070.2473213378667</v>
      </c>
      <c r="I267" s="123">
        <f t="shared" si="82"/>
        <v>0.46280991735537191</v>
      </c>
      <c r="J267" s="124">
        <f>IF($D267="",0,IF($F267&lt;2,0,IF($E267="Win",('Guide &amp; Settings'!$C$42/(($F267-1)*COUNTIFS($A$4:$A$1510,$A267,$E$4:$E$1510,"Win")))*SUMIFS($X$4:$X$1510,$A$4:$A$1510,$A267,$E$4:$E$1510,"Loss"),-('Guide &amp; Settings'!$C$42/($F267-1))*$X267)))</f>
        <v>-16.316413612098106</v>
      </c>
      <c r="K267" s="124">
        <f>IF($D267="",0,'Guide &amp; Settings'!$C$43*(IF($E267="Win",1,0)-$I267))</f>
        <v>-5.553719008264463</v>
      </c>
      <c r="L267" s="125">
        <f>IF($D267="",0,'Guide &amp; Settings'!$C$44*IF($F267&gt;=3,$F267,0))</f>
        <v>0</v>
      </c>
      <c r="M267" s="124">
        <f t="shared" si="83"/>
        <v>-21.870132620362568</v>
      </c>
      <c r="N267" s="122">
        <f t="shared" si="84"/>
        <v>1048.3771887175042</v>
      </c>
      <c r="O267" s="121" t="str">
        <f t="shared" si="85"/>
        <v>OK</v>
      </c>
      <c r="P267">
        <f t="shared" si="86"/>
        <v>1021.7604195202958</v>
      </c>
      <c r="Q267">
        <f t="shared" si="87"/>
        <v>0.56932876129421839</v>
      </c>
      <c r="R267">
        <f t="shared" si="88"/>
        <v>0.53846153846153844</v>
      </c>
      <c r="S267">
        <f t="shared" si="89"/>
        <v>1.1634615384615383</v>
      </c>
      <c r="T267" s="89">
        <f t="shared" si="90"/>
        <v>11</v>
      </c>
      <c r="U267" s="126">
        <f>IF($D267="",0,IFERROR(LOOKUP(2,1/(($D$3:D266=$D267)*($C$3:C266=$C267)*($A$3:A266&lt;$A267)),$AB$3:AB266),1000))</f>
        <v>1009.5178705814286</v>
      </c>
      <c r="V267" s="126">
        <f t="shared" si="91"/>
        <v>1028.4958239428156</v>
      </c>
      <c r="W267">
        <f t="shared" si="92"/>
        <v>1021.6240937541738</v>
      </c>
      <c r="X267">
        <f t="shared" si="93"/>
        <v>0.50988792537806582</v>
      </c>
      <c r="Y267">
        <f t="shared" si="94"/>
        <v>1021.5104889490721</v>
      </c>
      <c r="Z267">
        <f t="shared" si="95"/>
        <v>0.48274808593587626</v>
      </c>
      <c r="AA267">
        <f>IF($D267="",0,IF($F267&lt;2,0,IF($E267="Win",('Guide &amp; Settings'!$C$42/(($F267-1)*COUNTIFS($A$4:$A$1510,$A267,$E$4:$E$1510,"Win")))*SUMIFS($Z$4:$Z$1510,$A$4:$A$1510,$A267,$E$4:$E$1510,"Loss"),-('Guide &amp; Settings'!$C$42/($F267-1))*$Z267)))</f>
        <v>-15.44793874994804</v>
      </c>
      <c r="AB267" s="126">
        <f t="shared" si="96"/>
        <v>994.06993183148052</v>
      </c>
      <c r="AC267" s="126">
        <f>IF($D267="","",IF($AD267=0,0,IF(COUNTIFS($D$4:$D267,$D267,$B$4:$B267,$B267)&gt;1,0,IF($B267&lt;'Guide &amp; Settings'!$C$50,0,IF(($B267-$AD267)/7-'Guide &amp; Settings'!$C$48&gt;=0,(INT(($B267-$AD267)/7-'Guide &amp; Settings'!$C$48)+1)*'Guide &amp; Settings'!$C$49,0)))))</f>
        <v>0</v>
      </c>
      <c r="AD267" s="142">
        <f t="shared" si="97"/>
        <v>46199</v>
      </c>
      <c r="AE267">
        <f t="shared" si="98"/>
        <v>1</v>
      </c>
      <c r="AF267">
        <f t="shared" si="99"/>
        <v>0</v>
      </c>
    </row>
    <row r="268" spans="1:32" ht="15" customHeight="1" x14ac:dyDescent="0.2">
      <c r="A268" s="117">
        <v>110</v>
      </c>
      <c r="B268" s="118">
        <v>46200</v>
      </c>
      <c r="C268" s="119" t="s">
        <v>35</v>
      </c>
      <c r="D268" s="119" t="s">
        <v>15</v>
      </c>
      <c r="E268" s="117" t="s">
        <v>370</v>
      </c>
      <c r="F268" s="120">
        <f t="shared" si="80"/>
        <v>2</v>
      </c>
      <c r="G268" s="121" t="str">
        <f t="shared" si="81"/>
        <v>Aaron</v>
      </c>
      <c r="H268" s="122">
        <f>IF($D268="",0,IFERROR(LOOKUP(2,1/(($D$3:D267=$D268)*($A$3:A267&lt;$A268)),$N$3:N267),'Guide &amp; Settings'!$C$41))</f>
        <v>1043.6305521406584</v>
      </c>
      <c r="I268" s="123">
        <f t="shared" si="82"/>
        <v>0.57142857142857151</v>
      </c>
      <c r="J268" s="124">
        <f>IF($D268="",0,IF($F268&lt;2,0,IF($E268="Win",('Guide &amp; Settings'!$C$42/(($F268-1)*COUNTIFS($A$4:$A$1510,$A268,$E$4:$E$1510,"Win")))*SUMIFS($X$4:$X$1510,$A$4:$A$1510,$A268,$E$4:$E$1510,"Loss"),-('Guide &amp; Settings'!$C$42/($F268-1))*$X268)))</f>
        <v>14.635777149742172</v>
      </c>
      <c r="K268" s="124">
        <f>IF($D268="",0,'Guide &amp; Settings'!$C$43*(IF($E268="Win",1,0)-$I268))</f>
        <v>5.1428571428571423</v>
      </c>
      <c r="L268" s="125">
        <f>IF($D268="",0,'Guide &amp; Settings'!$C$44*IF($F268&gt;=3,$F268,0))</f>
        <v>0</v>
      </c>
      <c r="M268" s="124">
        <f t="shared" si="83"/>
        <v>19.778634292599314</v>
      </c>
      <c r="N268" s="122">
        <f t="shared" si="84"/>
        <v>1063.4091864332577</v>
      </c>
      <c r="O268" s="121" t="str">
        <f t="shared" si="85"/>
        <v>OK</v>
      </c>
      <c r="P268">
        <f t="shared" si="86"/>
        <v>1043.6305521406584</v>
      </c>
      <c r="Q268">
        <f t="shared" si="87"/>
        <v>0.5</v>
      </c>
      <c r="R268">
        <f t="shared" si="88"/>
        <v>0.66666666666666663</v>
      </c>
      <c r="S268">
        <f t="shared" si="89"/>
        <v>1.1666666666666665</v>
      </c>
      <c r="T268" s="89">
        <f t="shared" si="90"/>
        <v>7</v>
      </c>
      <c r="U268" s="126">
        <f>IF($D268="",0,IFERROR(LOOKUP(2,1/(($D$3:D267=$D268)*($C$3:C267=$C268)*($A$3:A267&lt;$A268)),$AB$3:AB267),1000))</f>
        <v>1036.9584276990201</v>
      </c>
      <c r="V268" s="126">
        <f t="shared" si="91"/>
        <v>1039.7384795497028</v>
      </c>
      <c r="W268">
        <f t="shared" si="92"/>
        <v>1039.7384795497028</v>
      </c>
      <c r="X268">
        <f t="shared" si="93"/>
        <v>0.5</v>
      </c>
      <c r="Y268">
        <f t="shared" si="94"/>
        <v>1036.9584276990201</v>
      </c>
      <c r="Z268">
        <f t="shared" si="95"/>
        <v>0.5</v>
      </c>
      <c r="AA268">
        <f>IF($D268="",0,IF($F268&lt;2,0,IF($E268="Win",('Guide &amp; Settings'!$C$42/(($F268-1)*COUNTIFS($A$4:$A$1510,$A268,$E$4:$E$1510,"Win")))*SUMIFS($Z$4:$Z$1510,$A$4:$A$1510,$A268,$E$4:$E$1510,"Loss"),-('Guide &amp; Settings'!$C$42/($F268-1))*$Z268)))</f>
        <v>14.034883249120194</v>
      </c>
      <c r="AB268" s="126">
        <f t="shared" si="96"/>
        <v>1050.9933109481403</v>
      </c>
      <c r="AC268" s="126">
        <f>IF($D268="","",IF($AD268=0,0,IF(COUNTIFS($D$4:$D268,$D268,$B$4:$B268,$B268)&gt;1,0,IF($B268&lt;'Guide &amp; Settings'!$C$50,0,IF(($B268-$AD268)/7-'Guide &amp; Settings'!$C$48&gt;=0,(INT(($B268-$AD268)/7-'Guide &amp; Settings'!$C$48)+1)*'Guide &amp; Settings'!$C$49,0)))))</f>
        <v>0</v>
      </c>
      <c r="AD268" s="142">
        <f t="shared" si="97"/>
        <v>46199</v>
      </c>
      <c r="AE268">
        <f t="shared" si="98"/>
        <v>1</v>
      </c>
      <c r="AF268">
        <f t="shared" si="99"/>
        <v>0</v>
      </c>
    </row>
    <row r="269" spans="1:32" ht="15" customHeight="1" x14ac:dyDescent="0.2">
      <c r="A269" s="117">
        <v>110</v>
      </c>
      <c r="B269" s="118">
        <v>46200</v>
      </c>
      <c r="C269" s="119" t="s">
        <v>35</v>
      </c>
      <c r="D269" s="119" t="s">
        <v>20</v>
      </c>
      <c r="E269" s="117" t="s">
        <v>371</v>
      </c>
      <c r="F269" s="120">
        <f t="shared" si="80"/>
        <v>2</v>
      </c>
      <c r="G269" s="121" t="str">
        <f t="shared" si="81"/>
        <v>Aaron</v>
      </c>
      <c r="H269" s="122">
        <f>IF($D269="",0,IFERROR(LOOKUP(2,1/(($D$3:D268=$D269)*($A$3:A268&lt;$A269)),$N$3:N268),'Guide &amp; Settings'!$C$41))</f>
        <v>1048.3771887175042</v>
      </c>
      <c r="I269" s="123">
        <f t="shared" si="82"/>
        <v>0.4285714285714286</v>
      </c>
      <c r="J269" s="124">
        <f>IF($D269="",0,IF($F269&lt;2,0,IF($E269="Win",('Guide &amp; Settings'!$C$42/(($F269-1)*COUNTIFS($A$4:$A$1510,$A269,$E$4:$E$1510,"Win")))*SUMIFS($X$4:$X$1510,$A$4:$A$1510,$A269,$E$4:$E$1510,"Loss"),-('Guide &amp; Settings'!$C$42/($F269-1))*$X269)))</f>
        <v>-14.635777149742172</v>
      </c>
      <c r="K269" s="124">
        <f>IF($D269="",0,'Guide &amp; Settings'!$C$43*(IF($E269="Win",1,0)-$I269))</f>
        <v>-5.1428571428571432</v>
      </c>
      <c r="L269" s="125">
        <f>IF($D269="",0,'Guide &amp; Settings'!$C$44*IF($F269&gt;=3,$F269,0))</f>
        <v>0</v>
      </c>
      <c r="M269" s="124">
        <f t="shared" si="83"/>
        <v>-19.778634292599314</v>
      </c>
      <c r="N269" s="122">
        <f t="shared" si="84"/>
        <v>1028.5985544249049</v>
      </c>
      <c r="O269" s="121" t="str">
        <f t="shared" si="85"/>
        <v>OK</v>
      </c>
      <c r="P269">
        <f t="shared" si="86"/>
        <v>1043.6305521406584</v>
      </c>
      <c r="Q269">
        <f t="shared" si="87"/>
        <v>0.5068305341765641</v>
      </c>
      <c r="R269">
        <f t="shared" si="88"/>
        <v>0.5</v>
      </c>
      <c r="S269">
        <f t="shared" si="89"/>
        <v>1.1666666666666665</v>
      </c>
      <c r="T269" s="89">
        <f t="shared" si="90"/>
        <v>12</v>
      </c>
      <c r="U269" s="126">
        <f>IF($D269="",0,IFERROR(LOOKUP(2,1/(($D$3:D268=$D269)*($C$3:C268=$C269)*($A$3:A268&lt;$A269)),$AB$3:AB268),1000))</f>
        <v>994.06993183148052</v>
      </c>
      <c r="V269" s="126">
        <f t="shared" si="91"/>
        <v>1010.0426544450169</v>
      </c>
      <c r="W269">
        <f t="shared" si="92"/>
        <v>1039.7384795497028</v>
      </c>
      <c r="X269">
        <f t="shared" si="93"/>
        <v>0.45736803592944286</v>
      </c>
      <c r="Y269">
        <f t="shared" si="94"/>
        <v>1036.9584276990201</v>
      </c>
      <c r="Z269">
        <f t="shared" si="95"/>
        <v>0.43859010153500605</v>
      </c>
      <c r="AA269">
        <f>IF($D269="",0,IF($F269&lt;2,0,IF($E269="Win",('Guide &amp; Settings'!$C$42/(($F269-1)*COUNTIFS($A$4:$A$1510,$A269,$E$4:$E$1510,"Win")))*SUMIFS($Z$4:$Z$1510,$A$4:$A$1510,$A269,$E$4:$E$1510,"Loss"),-('Guide &amp; Settings'!$C$42/($F269-1))*$Z269)))</f>
        <v>-14.034883249120194</v>
      </c>
      <c r="AB269" s="126">
        <f t="shared" si="96"/>
        <v>980.03504858236033</v>
      </c>
      <c r="AC269" s="126">
        <f>IF($D269="","",IF($AD269=0,0,IF(COUNTIFS($D$4:$D269,$D269,$B$4:$B269,$B269)&gt;1,0,IF($B269&lt;'Guide &amp; Settings'!$C$50,0,IF(($B269-$AD269)/7-'Guide &amp; Settings'!$C$48&gt;=0,(INT(($B269-$AD269)/7-'Guide &amp; Settings'!$C$48)+1)*'Guide &amp; Settings'!$C$49,0)))))</f>
        <v>0</v>
      </c>
      <c r="AD269" s="142">
        <f t="shared" si="97"/>
        <v>46199</v>
      </c>
      <c r="AE269">
        <f t="shared" si="98"/>
        <v>1</v>
      </c>
      <c r="AF269">
        <f t="shared" si="99"/>
        <v>0</v>
      </c>
    </row>
    <row r="270" spans="1:32" ht="15" customHeight="1" x14ac:dyDescent="0.2">
      <c r="A270" s="117">
        <v>111</v>
      </c>
      <c r="B270" s="118">
        <v>46200</v>
      </c>
      <c r="C270" s="119" t="s">
        <v>45</v>
      </c>
      <c r="D270" s="119" t="s">
        <v>15</v>
      </c>
      <c r="E270" s="117" t="s">
        <v>370</v>
      </c>
      <c r="F270" s="120">
        <f t="shared" si="80"/>
        <v>2</v>
      </c>
      <c r="G270" s="121" t="str">
        <f t="shared" si="81"/>
        <v>Aaron</v>
      </c>
      <c r="H270" s="122">
        <f>IF($D270="",0,IFERROR(LOOKUP(2,1/(($D$3:D269=$D270)*($A$3:A269&lt;$A270)),$N$3:N269),'Guide &amp; Settings'!$C$41))</f>
        <v>1063.4091864332577</v>
      </c>
      <c r="I270" s="123">
        <f t="shared" si="82"/>
        <v>0.60000000000000009</v>
      </c>
      <c r="J270" s="124">
        <f>IF($D270="",0,IF($F270&lt;2,0,IF($E270="Win",('Guide &amp; Settings'!$C$42/(($F270-1)*COUNTIFS($A$4:$A$1510,$A270,$E$4:$E$1510,"Win")))*SUMIFS($X$4:$X$1510,$A$4:$A$1510,$A270,$E$4:$E$1510,"Loss"),-('Guide &amp; Settings'!$C$42/($F270-1))*$X270)))</f>
        <v>14.060045127678006</v>
      </c>
      <c r="K270" s="124">
        <f>IF($D270="",0,'Guide &amp; Settings'!$C$43*(IF($E270="Win",1,0)-$I270))</f>
        <v>4.7999999999999989</v>
      </c>
      <c r="L270" s="125">
        <f>IF($D270="",0,'Guide &amp; Settings'!$C$44*IF($F270&gt;=3,$F270,0))</f>
        <v>0</v>
      </c>
      <c r="M270" s="124">
        <f t="shared" si="83"/>
        <v>18.860045127678006</v>
      </c>
      <c r="N270" s="122">
        <f t="shared" si="84"/>
        <v>1082.2692315609356</v>
      </c>
      <c r="O270" s="121" t="str">
        <f t="shared" si="85"/>
        <v>OK</v>
      </c>
      <c r="P270">
        <f t="shared" si="86"/>
        <v>1063.4091864332577</v>
      </c>
      <c r="Q270">
        <f t="shared" si="87"/>
        <v>0.5</v>
      </c>
      <c r="R270">
        <f t="shared" si="88"/>
        <v>0.5</v>
      </c>
      <c r="S270">
        <f t="shared" si="89"/>
        <v>0.83333333333333326</v>
      </c>
      <c r="T270" s="89">
        <f t="shared" si="90"/>
        <v>0</v>
      </c>
      <c r="U270" s="126">
        <f>IF($D270="",0,IFERROR(LOOKUP(2,1/(($D$3:D269=$D270)*($C$3:C269=$C270)*($A$3:A269&lt;$A270)),$AB$3:AB269),1000))</f>
        <v>1000</v>
      </c>
      <c r="V270" s="126">
        <f t="shared" si="91"/>
        <v>1063.4091864332577</v>
      </c>
      <c r="W270">
        <f t="shared" si="92"/>
        <v>1063.4091864332577</v>
      </c>
      <c r="X270">
        <f t="shared" si="93"/>
        <v>0.5</v>
      </c>
      <c r="Y270">
        <f t="shared" si="94"/>
        <v>1000</v>
      </c>
      <c r="Z270">
        <f t="shared" si="95"/>
        <v>0.5</v>
      </c>
      <c r="AA270">
        <f>IF($D270="",0,IF($F270&lt;2,0,IF($E270="Win",('Guide &amp; Settings'!$C$42/(($F270-1)*COUNTIFS($A$4:$A$1510,$A270,$E$4:$E$1510,"Win")))*SUMIFS($Z$4:$Z$1510,$A$4:$A$1510,$A270,$E$4:$E$1510,"Loss"),-('Guide &amp; Settings'!$C$42/($F270-1))*$Z270)))</f>
        <v>15.238844392541006</v>
      </c>
      <c r="AB270" s="126">
        <f t="shared" si="96"/>
        <v>1015.238844392541</v>
      </c>
      <c r="AC270" s="126">
        <f>IF($D270="","",IF($AD270=0,0,IF(COUNTIFS($D$4:$D270,$D270,$B$4:$B270,$B270)&gt;1,0,IF($B270&lt;'Guide &amp; Settings'!$C$50,0,IF(($B270-$AD270)/7-'Guide &amp; Settings'!$C$48&gt;=0,(INT(($B270-$AD270)/7-'Guide &amp; Settings'!$C$48)+1)*'Guide &amp; Settings'!$C$49,0)))))</f>
        <v>0</v>
      </c>
      <c r="AD270" s="142">
        <f t="shared" si="97"/>
        <v>46199</v>
      </c>
      <c r="AE270">
        <f t="shared" si="98"/>
        <v>1</v>
      </c>
      <c r="AF270">
        <f t="shared" si="99"/>
        <v>0</v>
      </c>
    </row>
    <row r="271" spans="1:32" ht="15" customHeight="1" x14ac:dyDescent="0.2">
      <c r="A271" s="117">
        <v>111</v>
      </c>
      <c r="B271" s="118">
        <v>46200</v>
      </c>
      <c r="C271" s="119" t="s">
        <v>45</v>
      </c>
      <c r="D271" s="119" t="s">
        <v>20</v>
      </c>
      <c r="E271" s="117" t="s">
        <v>371</v>
      </c>
      <c r="F271" s="120">
        <f t="shared" si="80"/>
        <v>2</v>
      </c>
      <c r="G271" s="121" t="str">
        <f t="shared" si="81"/>
        <v>Aaron</v>
      </c>
      <c r="H271" s="122">
        <f>IF($D271="",0,IFERROR(LOOKUP(2,1/(($D$3:D270=$D271)*($A$3:A270&lt;$A271)),$N$3:N270),'Guide &amp; Settings'!$C$41))</f>
        <v>1028.5985544249049</v>
      </c>
      <c r="I271" s="123">
        <f t="shared" si="82"/>
        <v>0.4</v>
      </c>
      <c r="J271" s="124">
        <f>IF($D271="",0,IF($F271&lt;2,0,IF($E271="Win",('Guide &amp; Settings'!$C$42/(($F271-1)*COUNTIFS($A$4:$A$1510,$A271,$E$4:$E$1510,"Win")))*SUMIFS($X$4:$X$1510,$A$4:$A$1510,$A271,$E$4:$E$1510,"Loss"),-('Guide &amp; Settings'!$C$42/($F271-1))*$X271)))</f>
        <v>-14.060045127678006</v>
      </c>
      <c r="K271" s="124">
        <f>IF($D271="",0,'Guide &amp; Settings'!$C$43*(IF($E271="Win",1,0)-$I271))</f>
        <v>-4.8000000000000007</v>
      </c>
      <c r="L271" s="125">
        <f>IF($D271="",0,'Guide &amp; Settings'!$C$44*IF($F271&gt;=3,$F271,0))</f>
        <v>0</v>
      </c>
      <c r="M271" s="124">
        <f t="shared" si="83"/>
        <v>-18.860045127678006</v>
      </c>
      <c r="N271" s="122">
        <f t="shared" si="84"/>
        <v>1009.738509297227</v>
      </c>
      <c r="O271" s="121" t="str">
        <f t="shared" si="85"/>
        <v>OK</v>
      </c>
      <c r="P271">
        <f t="shared" si="86"/>
        <v>1063.4091864332577</v>
      </c>
      <c r="Q271">
        <f t="shared" si="87"/>
        <v>0.45007043693072984</v>
      </c>
      <c r="R271">
        <f t="shared" si="88"/>
        <v>0.33333333333333331</v>
      </c>
      <c r="S271">
        <f t="shared" si="89"/>
        <v>0.83333333333333326</v>
      </c>
      <c r="T271" s="89">
        <f t="shared" si="90"/>
        <v>1</v>
      </c>
      <c r="U271" s="126">
        <f>IF($D271="",0,IFERROR(LOOKUP(2,1/(($D$3:D270=$D271)*($C$3:C270=$C271)*($A$3:A270&lt;$A271)),$AB$3:AB270),1000))</f>
        <v>983.45923055438539</v>
      </c>
      <c r="V271" s="126">
        <f t="shared" si="91"/>
        <v>1021.0753337798184</v>
      </c>
      <c r="W271">
        <f t="shared" si="92"/>
        <v>1063.4091864332577</v>
      </c>
      <c r="X271">
        <f t="shared" si="93"/>
        <v>0.43937641023993768</v>
      </c>
      <c r="Y271">
        <f t="shared" si="94"/>
        <v>1000</v>
      </c>
      <c r="Z271">
        <f t="shared" si="95"/>
        <v>0.47621388726690644</v>
      </c>
      <c r="AA271">
        <f>IF($D271="",0,IF($F271&lt;2,0,IF($E271="Win",('Guide &amp; Settings'!$C$42/(($F271-1)*COUNTIFS($A$4:$A$1510,$A271,$E$4:$E$1510,"Win")))*SUMIFS($Z$4:$Z$1510,$A$4:$A$1510,$A271,$E$4:$E$1510,"Loss"),-('Guide &amp; Settings'!$C$42/($F271-1))*$Z271)))</f>
        <v>-15.238844392541006</v>
      </c>
      <c r="AB271" s="126">
        <f t="shared" si="96"/>
        <v>968.22038616184443</v>
      </c>
      <c r="AC271" s="126">
        <f>IF($D271="","",IF($AD271=0,0,IF(COUNTIFS($D$4:$D271,$D271,$B$4:$B271,$B271)&gt;1,0,IF($B271&lt;'Guide &amp; Settings'!$C$50,0,IF(($B271-$AD271)/7-'Guide &amp; Settings'!$C$48&gt;=0,(INT(($B271-$AD271)/7-'Guide &amp; Settings'!$C$48)+1)*'Guide &amp; Settings'!$C$49,0)))))</f>
        <v>0</v>
      </c>
      <c r="AD271" s="142">
        <f t="shared" si="97"/>
        <v>46199</v>
      </c>
      <c r="AE271">
        <f t="shared" si="98"/>
        <v>1</v>
      </c>
      <c r="AF271">
        <f t="shared" si="99"/>
        <v>0</v>
      </c>
    </row>
    <row r="272" spans="1:32" ht="15" customHeight="1" x14ac:dyDescent="0.2">
      <c r="A272" s="117">
        <v>112</v>
      </c>
      <c r="B272" s="118">
        <v>46200</v>
      </c>
      <c r="C272" s="119" t="s">
        <v>45</v>
      </c>
      <c r="D272" s="119" t="s">
        <v>15</v>
      </c>
      <c r="E272" s="117" t="s">
        <v>370</v>
      </c>
      <c r="F272" s="120">
        <f t="shared" si="80"/>
        <v>2</v>
      </c>
      <c r="G272" s="121" t="str">
        <f t="shared" si="81"/>
        <v>Aaron</v>
      </c>
      <c r="H272" s="122">
        <f>IF($D272="",0,IFERROR(LOOKUP(2,1/(($D$3:D271=$D272)*($A$3:A271&lt;$A272)),$N$3:N271),'Guide &amp; Settings'!$C$41))</f>
        <v>1082.2692315609356</v>
      </c>
      <c r="I272" s="123">
        <f t="shared" si="82"/>
        <v>0.72727272727272729</v>
      </c>
      <c r="J272" s="124">
        <f>IF($D272="",0,IF($F272&lt;2,0,IF($E272="Win",('Guide &amp; Settings'!$C$42/(($F272-1)*COUNTIFS($A$4:$A$1510,$A272,$E$4:$E$1510,"Win")))*SUMIFS($X$4:$X$1510,$A$4:$A$1510,$A272,$E$4:$E$1510,"Loss"),-('Guide &amp; Settings'!$C$42/($F272-1))*$X272)))</f>
        <v>12.677084317031781</v>
      </c>
      <c r="K272" s="124">
        <f>IF($D272="",0,'Guide &amp; Settings'!$C$43*(IF($E272="Win",1,0)-$I272))</f>
        <v>3.2727272727272725</v>
      </c>
      <c r="L272" s="125">
        <f>IF($D272="",0,'Guide &amp; Settings'!$C$44*IF($F272&gt;=3,$F272,0))</f>
        <v>0</v>
      </c>
      <c r="M272" s="124">
        <f t="shared" si="83"/>
        <v>15.949811589759054</v>
      </c>
      <c r="N272" s="122">
        <f t="shared" si="84"/>
        <v>1098.2190431506947</v>
      </c>
      <c r="O272" s="121" t="str">
        <f t="shared" si="85"/>
        <v>OK</v>
      </c>
      <c r="P272">
        <f t="shared" si="86"/>
        <v>1082.2692315609356</v>
      </c>
      <c r="Q272">
        <f t="shared" si="87"/>
        <v>0.5</v>
      </c>
      <c r="R272">
        <f t="shared" si="88"/>
        <v>0.66666666666666663</v>
      </c>
      <c r="S272">
        <f t="shared" si="89"/>
        <v>0.91666666666666663</v>
      </c>
      <c r="T272" s="89">
        <f t="shared" si="90"/>
        <v>1</v>
      </c>
      <c r="U272" s="126">
        <f>IF($D272="",0,IFERROR(LOOKUP(2,1/(($D$3:D271=$D272)*($C$3:C271=$C272)*($A$3:A271&lt;$A272)),$AB$3:AB271),1000))</f>
        <v>1015.238844392541</v>
      </c>
      <c r="V272" s="126">
        <f t="shared" si="91"/>
        <v>1071.0975003662031</v>
      </c>
      <c r="W272">
        <f t="shared" si="92"/>
        <v>1071.0975003662031</v>
      </c>
      <c r="X272">
        <f t="shared" si="93"/>
        <v>0.5</v>
      </c>
      <c r="Y272">
        <f t="shared" si="94"/>
        <v>1015.238844392541</v>
      </c>
      <c r="Z272">
        <f t="shared" si="95"/>
        <v>0.5</v>
      </c>
      <c r="AA272">
        <f>IF($D272="",0,IF($F272&lt;2,0,IF($E272="Win",('Guide &amp; Settings'!$C$42/(($F272-1)*COUNTIFS($A$4:$A$1510,$A272,$E$4:$E$1510,"Win")))*SUMIFS($Z$4:$Z$1510,$A$4:$A$1510,$A272,$E$4:$E$1510,"Loss"),-('Guide &amp; Settings'!$C$42/($F272-1))*$Z272)))</f>
        <v>13.847842321686677</v>
      </c>
      <c r="AB272" s="126">
        <f t="shared" si="96"/>
        <v>1029.0866867142277</v>
      </c>
      <c r="AC272" s="126">
        <f>IF($D272="","",IF($AD272=0,0,IF(COUNTIFS($D$4:$D272,$D272,$B$4:$B272,$B272)&gt;1,0,IF($B272&lt;'Guide &amp; Settings'!$C$50,0,IF(($B272-$AD272)/7-'Guide &amp; Settings'!$C$48&gt;=0,(INT(($B272-$AD272)/7-'Guide &amp; Settings'!$C$48)+1)*'Guide &amp; Settings'!$C$49,0)))))</f>
        <v>0</v>
      </c>
      <c r="AD272" s="142">
        <f t="shared" si="97"/>
        <v>46199</v>
      </c>
      <c r="AE272">
        <f t="shared" si="98"/>
        <v>1</v>
      </c>
      <c r="AF272">
        <f t="shared" si="99"/>
        <v>0</v>
      </c>
    </row>
    <row r="273" spans="1:32" ht="15" customHeight="1" x14ac:dyDescent="0.2">
      <c r="A273" s="117">
        <v>112</v>
      </c>
      <c r="B273" s="118">
        <v>46200</v>
      </c>
      <c r="C273" s="119" t="s">
        <v>45</v>
      </c>
      <c r="D273" s="119" t="s">
        <v>20</v>
      </c>
      <c r="E273" s="117" t="s">
        <v>371</v>
      </c>
      <c r="F273" s="120">
        <f t="shared" si="80"/>
        <v>2</v>
      </c>
      <c r="G273" s="121" t="str">
        <f t="shared" si="81"/>
        <v>Aaron</v>
      </c>
      <c r="H273" s="122">
        <f>IF($D273="",0,IFERROR(LOOKUP(2,1/(($D$3:D272=$D273)*($A$3:A272&lt;$A273)),$N$3:N272),'Guide &amp; Settings'!$C$41))</f>
        <v>1009.738509297227</v>
      </c>
      <c r="I273" s="123">
        <f t="shared" si="82"/>
        <v>0.27272727272727276</v>
      </c>
      <c r="J273" s="124">
        <f>IF($D273="",0,IF($F273&lt;2,0,IF($E273="Win",('Guide &amp; Settings'!$C$42/(($F273-1)*COUNTIFS($A$4:$A$1510,$A273,$E$4:$E$1510,"Win")))*SUMIFS($X$4:$X$1510,$A$4:$A$1510,$A273,$E$4:$E$1510,"Loss"),-('Guide &amp; Settings'!$C$42/($F273-1))*$X273)))</f>
        <v>-12.677084317031781</v>
      </c>
      <c r="K273" s="124">
        <f>IF($D273="",0,'Guide &amp; Settings'!$C$43*(IF($E273="Win",1,0)-$I273))</f>
        <v>-3.2727272727272734</v>
      </c>
      <c r="L273" s="125">
        <f>IF($D273="",0,'Guide &amp; Settings'!$C$44*IF($F273&gt;=3,$F273,0))</f>
        <v>0</v>
      </c>
      <c r="M273" s="124">
        <f t="shared" si="83"/>
        <v>-15.949811589759054</v>
      </c>
      <c r="N273" s="122">
        <f t="shared" si="84"/>
        <v>993.78869770746792</v>
      </c>
      <c r="O273" s="121" t="str">
        <f t="shared" si="85"/>
        <v>OK</v>
      </c>
      <c r="P273">
        <f t="shared" si="86"/>
        <v>1082.2692315609356</v>
      </c>
      <c r="Q273">
        <f t="shared" si="87"/>
        <v>0.39711024870152489</v>
      </c>
      <c r="R273">
        <f t="shared" si="88"/>
        <v>0.25</v>
      </c>
      <c r="S273">
        <f t="shared" si="89"/>
        <v>0.91666666666666663</v>
      </c>
      <c r="T273" s="89">
        <f t="shared" si="90"/>
        <v>2</v>
      </c>
      <c r="U273" s="126">
        <f>IF($D273="",0,IFERROR(LOOKUP(2,1/(($D$3:D272=$D273)*($C$3:C272=$C273)*($A$3:A272&lt;$A273)),$AB$3:AB272),1000))</f>
        <v>968.22038616184443</v>
      </c>
      <c r="V273" s="126">
        <f t="shared" si="91"/>
        <v>997.8761884014034</v>
      </c>
      <c r="W273">
        <f t="shared" si="92"/>
        <v>1071.0975003662031</v>
      </c>
      <c r="X273">
        <f t="shared" si="93"/>
        <v>0.39615888490724316</v>
      </c>
      <c r="Y273">
        <f t="shared" si="94"/>
        <v>1015.238844392541</v>
      </c>
      <c r="Z273">
        <f t="shared" si="95"/>
        <v>0.43274507255270867</v>
      </c>
      <c r="AA273">
        <f>IF($D273="",0,IF($F273&lt;2,0,IF($E273="Win",('Guide &amp; Settings'!$C$42/(($F273-1)*COUNTIFS($A$4:$A$1510,$A273,$E$4:$E$1510,"Win")))*SUMIFS($Z$4:$Z$1510,$A$4:$A$1510,$A273,$E$4:$E$1510,"Loss"),-('Guide &amp; Settings'!$C$42/($F273-1))*$Z273)))</f>
        <v>-13.847842321686677</v>
      </c>
      <c r="AB273" s="126">
        <f t="shared" si="96"/>
        <v>954.37254384015773</v>
      </c>
      <c r="AC273" s="126">
        <f>IF($D273="","",IF($AD273=0,0,IF(COUNTIFS($D$4:$D273,$D273,$B$4:$B273,$B273)&gt;1,0,IF($B273&lt;'Guide &amp; Settings'!$C$50,0,IF(($B273-$AD273)/7-'Guide &amp; Settings'!$C$48&gt;=0,(INT(($B273-$AD273)/7-'Guide &amp; Settings'!$C$48)+1)*'Guide &amp; Settings'!$C$49,0)))))</f>
        <v>0</v>
      </c>
      <c r="AD273" s="142">
        <f t="shared" si="97"/>
        <v>46199</v>
      </c>
      <c r="AE273">
        <f t="shared" si="98"/>
        <v>1</v>
      </c>
      <c r="AF273">
        <f t="shared" si="99"/>
        <v>0</v>
      </c>
    </row>
    <row r="274" spans="1:32" ht="15" customHeight="1" x14ac:dyDescent="0.2">
      <c r="A274" s="117">
        <v>113</v>
      </c>
      <c r="B274" s="118">
        <v>46200</v>
      </c>
      <c r="C274" s="119" t="s">
        <v>45</v>
      </c>
      <c r="D274" s="119" t="s">
        <v>15</v>
      </c>
      <c r="E274" s="117" t="s">
        <v>370</v>
      </c>
      <c r="F274" s="120">
        <f t="shared" si="80"/>
        <v>2</v>
      </c>
      <c r="G274" s="121" t="str">
        <f t="shared" si="81"/>
        <v>Aaron</v>
      </c>
      <c r="H274" s="122">
        <f>IF($D274="",0,IFERROR(LOOKUP(2,1/(($D$3:D273=$D274)*($A$3:A273&lt;$A274)),$N$3:N273),'Guide &amp; Settings'!$C$41))</f>
        <v>1098.2190431506947</v>
      </c>
      <c r="I274" s="123">
        <f t="shared" si="82"/>
        <v>0.78947368421052633</v>
      </c>
      <c r="J274" s="124">
        <f>IF($D274="",0,IF($F274&lt;2,0,IF($E274="Win",('Guide &amp; Settings'!$C$42/(($F274-1)*COUNTIFS($A$4:$A$1510,$A274,$E$4:$E$1510,"Win")))*SUMIFS($X$4:$X$1510,$A$4:$A$1510,$A274,$E$4:$E$1510,"Loss"),-('Guide &amp; Settings'!$C$42/($F274-1))*$X274)))</f>
        <v>11.540876110102133</v>
      </c>
      <c r="K274" s="124">
        <f>IF($D274="",0,'Guide &amp; Settings'!$C$43*(IF($E274="Win",1,0)-$I274))</f>
        <v>2.5263157894736841</v>
      </c>
      <c r="L274" s="125">
        <f>IF($D274="",0,'Guide &amp; Settings'!$C$44*IF($F274&gt;=3,$F274,0))</f>
        <v>0</v>
      </c>
      <c r="M274" s="124">
        <f t="shared" si="83"/>
        <v>14.067191899575818</v>
      </c>
      <c r="N274" s="122">
        <f t="shared" si="84"/>
        <v>1112.2862350502705</v>
      </c>
      <c r="O274" s="121" t="str">
        <f t="shared" si="85"/>
        <v>OK</v>
      </c>
      <c r="P274">
        <f t="shared" si="86"/>
        <v>1098.2190431506947</v>
      </c>
      <c r="Q274">
        <f t="shared" si="87"/>
        <v>0.5</v>
      </c>
      <c r="R274">
        <f t="shared" si="88"/>
        <v>0.75</v>
      </c>
      <c r="S274">
        <f t="shared" si="89"/>
        <v>0.95</v>
      </c>
      <c r="T274" s="89">
        <f t="shared" si="90"/>
        <v>2</v>
      </c>
      <c r="U274" s="126">
        <f>IF($D274="",0,IFERROR(LOOKUP(2,1/(($D$3:D273=$D274)*($C$3:C273=$C274)*($A$3:A273&lt;$A274)),$AB$3:AB273),1000))</f>
        <v>1029.0866867142277</v>
      </c>
      <c r="V274" s="126">
        <f t="shared" si="91"/>
        <v>1078.466941311704</v>
      </c>
      <c r="W274">
        <f t="shared" si="92"/>
        <v>1078.466941311704</v>
      </c>
      <c r="X274">
        <f t="shared" si="93"/>
        <v>0.5</v>
      </c>
      <c r="Y274">
        <f t="shared" si="94"/>
        <v>1029.0866867142277</v>
      </c>
      <c r="Z274">
        <f t="shared" si="95"/>
        <v>0.5</v>
      </c>
      <c r="AA274">
        <f>IF($D274="",0,IF($F274&lt;2,0,IF($E274="Win",('Guide &amp; Settings'!$C$42/(($F274-1)*COUNTIFS($A$4:$A$1510,$A274,$E$4:$E$1510,"Win")))*SUMIFS($Z$4:$Z$1510,$A$4:$A$1510,$A274,$E$4:$E$1510,"Loss"),-('Guide &amp; Settings'!$C$42/($F274-1))*$Z274)))</f>
        <v>12.611361172384649</v>
      </c>
      <c r="AB274" s="126">
        <f t="shared" si="96"/>
        <v>1041.6980478866124</v>
      </c>
      <c r="AC274" s="126">
        <f>IF($D274="","",IF($AD274=0,0,IF(COUNTIFS($D$4:$D274,$D274,$B$4:$B274,$B274)&gt;1,0,IF($B274&lt;'Guide &amp; Settings'!$C$50,0,IF(($B274-$AD274)/7-'Guide &amp; Settings'!$C$48&gt;=0,(INT(($B274-$AD274)/7-'Guide &amp; Settings'!$C$48)+1)*'Guide &amp; Settings'!$C$49,0)))))</f>
        <v>0</v>
      </c>
      <c r="AD274" s="142">
        <f t="shared" si="97"/>
        <v>46199</v>
      </c>
      <c r="AE274">
        <f t="shared" si="98"/>
        <v>1</v>
      </c>
      <c r="AF274">
        <f t="shared" si="99"/>
        <v>0</v>
      </c>
    </row>
    <row r="275" spans="1:32" ht="15" customHeight="1" x14ac:dyDescent="0.2">
      <c r="A275" s="117">
        <v>113</v>
      </c>
      <c r="B275" s="118">
        <v>46200</v>
      </c>
      <c r="C275" s="119" t="s">
        <v>45</v>
      </c>
      <c r="D275" s="119" t="s">
        <v>20</v>
      </c>
      <c r="E275" s="117" t="s">
        <v>371</v>
      </c>
      <c r="F275" s="120">
        <f t="shared" si="80"/>
        <v>2</v>
      </c>
      <c r="G275" s="121" t="str">
        <f t="shared" si="81"/>
        <v>Aaron</v>
      </c>
      <c r="H275" s="122">
        <f>IF($D275="",0,IFERROR(LOOKUP(2,1/(($D$3:D274=$D275)*($A$3:A274&lt;$A275)),$N$3:N274),'Guide &amp; Settings'!$C$41))</f>
        <v>993.78869770746792</v>
      </c>
      <c r="I275" s="123">
        <f t="shared" si="82"/>
        <v>0.2105263157894737</v>
      </c>
      <c r="J275" s="124">
        <f>IF($D275="",0,IF($F275&lt;2,0,IF($E275="Win",('Guide &amp; Settings'!$C$42/(($F275-1)*COUNTIFS($A$4:$A$1510,$A275,$E$4:$E$1510,"Win")))*SUMIFS($X$4:$X$1510,$A$4:$A$1510,$A275,$E$4:$E$1510,"Loss"),-('Guide &amp; Settings'!$C$42/($F275-1))*$X275)))</f>
        <v>-11.540876110102133</v>
      </c>
      <c r="K275" s="124">
        <f>IF($D275="",0,'Guide &amp; Settings'!$C$43*(IF($E275="Win",1,0)-$I275))</f>
        <v>-2.5263157894736845</v>
      </c>
      <c r="L275" s="125">
        <f>IF($D275="",0,'Guide &amp; Settings'!$C$44*IF($F275&gt;=3,$F275,0))</f>
        <v>0</v>
      </c>
      <c r="M275" s="124">
        <f t="shared" si="83"/>
        <v>-14.067191899575818</v>
      </c>
      <c r="N275" s="122">
        <f t="shared" si="84"/>
        <v>979.72150580789207</v>
      </c>
      <c r="O275" s="121" t="str">
        <f t="shared" si="85"/>
        <v>OK</v>
      </c>
      <c r="P275">
        <f t="shared" si="86"/>
        <v>1098.2190431506947</v>
      </c>
      <c r="Q275">
        <f t="shared" si="87"/>
        <v>0.35408077511645708</v>
      </c>
      <c r="R275">
        <f t="shared" si="88"/>
        <v>0.2</v>
      </c>
      <c r="S275">
        <f t="shared" si="89"/>
        <v>0.95</v>
      </c>
      <c r="T275" s="89">
        <f t="shared" si="90"/>
        <v>3</v>
      </c>
      <c r="U275" s="126">
        <f>IF($D275="",0,IFERROR(LOOKUP(2,1/(($D$3:D274=$D275)*($C$3:C274=$C275)*($A$3:A274&lt;$A275)),$AB$3:AB274),1000))</f>
        <v>954.37254384015773</v>
      </c>
      <c r="V275" s="126">
        <f t="shared" si="91"/>
        <v>979.00764000722654</v>
      </c>
      <c r="W275">
        <f t="shared" si="92"/>
        <v>1078.466941311704</v>
      </c>
      <c r="X275">
        <f t="shared" si="93"/>
        <v>0.36065237844069165</v>
      </c>
      <c r="Y275">
        <f t="shared" si="94"/>
        <v>1029.0866867142277</v>
      </c>
      <c r="Z275">
        <f t="shared" si="95"/>
        <v>0.39410503663702029</v>
      </c>
      <c r="AA275">
        <f>IF($D275="",0,IF($F275&lt;2,0,IF($E275="Win",('Guide &amp; Settings'!$C$42/(($F275-1)*COUNTIFS($A$4:$A$1510,$A275,$E$4:$E$1510,"Win")))*SUMIFS($Z$4:$Z$1510,$A$4:$A$1510,$A275,$E$4:$E$1510,"Loss"),-('Guide &amp; Settings'!$C$42/($F275-1))*$Z275)))</f>
        <v>-12.611361172384649</v>
      </c>
      <c r="AB275" s="126">
        <f t="shared" si="96"/>
        <v>941.76118266777303</v>
      </c>
      <c r="AC275" s="126">
        <f>IF($D275="","",IF($AD275=0,0,IF(COUNTIFS($D$4:$D275,$D275,$B$4:$B275,$B275)&gt;1,0,IF($B275&lt;'Guide &amp; Settings'!$C$50,0,IF(($B275-$AD275)/7-'Guide &amp; Settings'!$C$48&gt;=0,(INT(($B275-$AD275)/7-'Guide &amp; Settings'!$C$48)+1)*'Guide &amp; Settings'!$C$49,0)))))</f>
        <v>0</v>
      </c>
      <c r="AD275" s="142">
        <f t="shared" si="97"/>
        <v>46199</v>
      </c>
      <c r="AE275">
        <f t="shared" si="98"/>
        <v>1</v>
      </c>
      <c r="AF275">
        <f t="shared" si="99"/>
        <v>0</v>
      </c>
    </row>
    <row r="276" spans="1:32" ht="15" customHeight="1" x14ac:dyDescent="0.2">
      <c r="A276" s="117">
        <v>114</v>
      </c>
      <c r="B276" s="118">
        <v>46202</v>
      </c>
      <c r="C276" s="119" t="s">
        <v>33</v>
      </c>
      <c r="D276" s="119" t="s">
        <v>20</v>
      </c>
      <c r="E276" s="117" t="s">
        <v>370</v>
      </c>
      <c r="F276" s="120">
        <f t="shared" si="80"/>
        <v>2</v>
      </c>
      <c r="G276" s="121" t="str">
        <f t="shared" si="81"/>
        <v>Shawn</v>
      </c>
      <c r="H276" s="122">
        <f>IF($D276="",0,IFERROR(LOOKUP(2,1/(($D$3:D275=$D276)*($A$3:A275&lt;$A276)),$N$3:N275),'Guide &amp; Settings'!$C$41))</f>
        <v>979.72150580789207</v>
      </c>
      <c r="I276" s="123">
        <f t="shared" si="82"/>
        <v>0.66666666666666663</v>
      </c>
      <c r="J276" s="124">
        <f>IF($D276="",0,IF($F276&lt;2,0,IF($E276="Win",('Guide &amp; Settings'!$C$42/(($F276-1)*COUNTIFS($A$4:$A$1510,$A276,$E$4:$E$1510,"Win")))*SUMIFS($X$4:$X$1510,$A$4:$A$1510,$A276,$E$4:$E$1510,"Loss"),-('Guide &amp; Settings'!$C$42/($F276-1))*$X276)))</f>
        <v>19.471998695589065</v>
      </c>
      <c r="K276" s="124">
        <f>IF($D276="",0,'Guide &amp; Settings'!$C$43*(IF($E276="Win",1,0)-$I276))</f>
        <v>4</v>
      </c>
      <c r="L276" s="125">
        <f>IF($D276="",0,'Guide &amp; Settings'!$C$44*IF($F276&gt;=3,$F276,0))</f>
        <v>0</v>
      </c>
      <c r="M276" s="124">
        <f t="shared" si="83"/>
        <v>23.471998695589065</v>
      </c>
      <c r="N276" s="122">
        <f t="shared" si="84"/>
        <v>1003.1935045034811</v>
      </c>
      <c r="O276" s="121" t="str">
        <f t="shared" si="85"/>
        <v>OK</v>
      </c>
      <c r="P276">
        <f t="shared" si="86"/>
        <v>979.72150580789207</v>
      </c>
      <c r="Q276">
        <f t="shared" si="87"/>
        <v>0.5</v>
      </c>
      <c r="R276">
        <f t="shared" si="88"/>
        <v>0.66666666666666663</v>
      </c>
      <c r="S276">
        <f t="shared" si="89"/>
        <v>1</v>
      </c>
      <c r="T276" s="89">
        <f t="shared" si="90"/>
        <v>1</v>
      </c>
      <c r="U276" s="126">
        <f>IF($D276="",0,IFERROR(LOOKUP(2,1/(($D$3:D275=$D276)*($C$3:C275=$C276)*($A$3:A275&lt;$A276)),$AB$3:AB275),1000))</f>
        <v>1016</v>
      </c>
      <c r="V276" s="126">
        <f t="shared" si="91"/>
        <v>985.76792150657684</v>
      </c>
      <c r="W276">
        <f t="shared" si="92"/>
        <v>985.76792150657684</v>
      </c>
      <c r="X276">
        <f t="shared" si="93"/>
        <v>0.5</v>
      </c>
      <c r="Y276">
        <f t="shared" si="94"/>
        <v>1016</v>
      </c>
      <c r="Z276">
        <f t="shared" si="95"/>
        <v>0.5</v>
      </c>
      <c r="AA276">
        <f>IF($D276="",0,IF($F276&lt;2,0,IF($E276="Win",('Guide &amp; Settings'!$C$42/(($F276-1)*COUNTIFS($A$4:$A$1510,$A276,$E$4:$E$1510,"Win")))*SUMIFS($Z$4:$Z$1510,$A$4:$A$1510,$A276,$E$4:$E$1510,"Loss"),-('Guide &amp; Settings'!$C$42/($F276-1))*$Z276)))</f>
        <v>14.530498471024522</v>
      </c>
      <c r="AB276" s="126">
        <f t="shared" si="96"/>
        <v>1030.5304984710244</v>
      </c>
      <c r="AC276" s="126">
        <f>IF($D276="","",IF($AD276=0,0,IF(COUNTIFS($D$4:$D276,$D276,$B$4:$B276,$B276)&gt;1,0,IF($B276&lt;'Guide &amp; Settings'!$C$50,0,IF(($B276-$AD276)/7-'Guide &amp; Settings'!$C$48&gt;=0,(INT(($B276-$AD276)/7-'Guide &amp; Settings'!$C$48)+1)*'Guide &amp; Settings'!$C$49,0)))))</f>
        <v>0</v>
      </c>
      <c r="AD276" s="142">
        <f t="shared" si="97"/>
        <v>46200</v>
      </c>
      <c r="AE276">
        <f t="shared" si="98"/>
        <v>1</v>
      </c>
      <c r="AF276">
        <f t="shared" si="99"/>
        <v>0</v>
      </c>
    </row>
    <row r="277" spans="1:32" ht="15" customHeight="1" x14ac:dyDescent="0.2">
      <c r="A277" s="117">
        <v>114</v>
      </c>
      <c r="B277" s="118">
        <v>46202</v>
      </c>
      <c r="C277" s="119" t="s">
        <v>33</v>
      </c>
      <c r="D277" s="119" t="s">
        <v>22</v>
      </c>
      <c r="E277" s="117" t="s">
        <v>371</v>
      </c>
      <c r="F277" s="120">
        <f t="shared" si="80"/>
        <v>2</v>
      </c>
      <c r="G277" s="121" t="str">
        <f t="shared" si="81"/>
        <v>Shawn</v>
      </c>
      <c r="H277" s="122">
        <f>IF($D277="",0,IFERROR(LOOKUP(2,1/(($D$3:D276=$D277)*($A$3:A276&lt;$A277)),$N$3:N276),'Guide &amp; Settings'!$C$41))</f>
        <v>1078.0553019009592</v>
      </c>
      <c r="I277" s="123">
        <f t="shared" si="82"/>
        <v>0.33333333333333331</v>
      </c>
      <c r="J277" s="124">
        <f>IF($D277="",0,IF($F277&lt;2,0,IF($E277="Win",('Guide &amp; Settings'!$C$42/(($F277-1)*COUNTIFS($A$4:$A$1510,$A277,$E$4:$E$1510,"Win")))*SUMIFS($X$4:$X$1510,$A$4:$A$1510,$A277,$E$4:$E$1510,"Loss"),-('Guide &amp; Settings'!$C$42/($F277-1))*$X277)))</f>
        <v>-19.471998695589065</v>
      </c>
      <c r="K277" s="124">
        <f>IF($D277="",0,'Guide &amp; Settings'!$C$43*(IF($E277="Win",1,0)-$I277))</f>
        <v>-4</v>
      </c>
      <c r="L277" s="125">
        <f>IF($D277="",0,'Guide &amp; Settings'!$C$44*IF($F277&gt;=3,$F277,0))</f>
        <v>0</v>
      </c>
      <c r="M277" s="124">
        <f t="shared" si="83"/>
        <v>-23.471998695589065</v>
      </c>
      <c r="N277" s="122">
        <f t="shared" si="84"/>
        <v>1054.5833032053702</v>
      </c>
      <c r="O277" s="121" t="str">
        <f t="shared" si="85"/>
        <v>OK</v>
      </c>
      <c r="P277">
        <f t="shared" si="86"/>
        <v>979.72150580789207</v>
      </c>
      <c r="Q277">
        <f t="shared" si="87"/>
        <v>0.63785235090565318</v>
      </c>
      <c r="R277">
        <f t="shared" si="88"/>
        <v>0.33333333333333331</v>
      </c>
      <c r="S277">
        <f t="shared" si="89"/>
        <v>1</v>
      </c>
      <c r="T277" s="89">
        <f t="shared" si="90"/>
        <v>1</v>
      </c>
      <c r="U277" s="126">
        <f>IF($D277="",0,IFERROR(LOOKUP(2,1/(($D$3:D276=$D277)*($C$3:C276=$C277)*($A$3:A276&lt;$A277)),$AB$3:AB276),1000))</f>
        <v>984</v>
      </c>
      <c r="V277" s="126">
        <f t="shared" si="91"/>
        <v>1062.3794182507995</v>
      </c>
      <c r="W277">
        <f t="shared" si="92"/>
        <v>985.76792150657684</v>
      </c>
      <c r="X277">
        <f t="shared" si="93"/>
        <v>0.60849995923715827</v>
      </c>
      <c r="Y277">
        <f t="shared" si="94"/>
        <v>1016</v>
      </c>
      <c r="Z277">
        <f t="shared" si="95"/>
        <v>0.45407807721951632</v>
      </c>
      <c r="AA277">
        <f>IF($D277="",0,IF($F277&lt;2,0,IF($E277="Win",('Guide &amp; Settings'!$C$42/(($F277-1)*COUNTIFS($A$4:$A$1510,$A277,$E$4:$E$1510,"Win")))*SUMIFS($Z$4:$Z$1510,$A$4:$A$1510,$A277,$E$4:$E$1510,"Loss"),-('Guide &amp; Settings'!$C$42/($F277-1))*$Z277)))</f>
        <v>-14.530498471024522</v>
      </c>
      <c r="AB277" s="126">
        <f t="shared" si="96"/>
        <v>969.46950152897546</v>
      </c>
      <c r="AC277" s="126">
        <f>IF($D277="","",IF($AD277=0,0,IF(COUNTIFS($D$4:$D277,$D277,$B$4:$B277,$B277)&gt;1,0,IF($B277&lt;'Guide &amp; Settings'!$C$50,0,IF(($B277-$AD277)/7-'Guide &amp; Settings'!$C$48&gt;=0,(INT(($B277-$AD277)/7-'Guide &amp; Settings'!$C$48)+1)*'Guide &amp; Settings'!$C$49,0)))))</f>
        <v>0</v>
      </c>
      <c r="AD277" s="142">
        <f t="shared" si="97"/>
        <v>46199</v>
      </c>
      <c r="AE277">
        <f t="shared" si="98"/>
        <v>1</v>
      </c>
      <c r="AF277">
        <f t="shared" si="99"/>
        <v>0</v>
      </c>
    </row>
    <row r="278" spans="1:32" ht="15" customHeight="1" x14ac:dyDescent="0.2">
      <c r="A278" s="117">
        <v>115</v>
      </c>
      <c r="B278" s="118">
        <v>46207</v>
      </c>
      <c r="C278" s="119" t="s">
        <v>45</v>
      </c>
      <c r="D278" s="119" t="s">
        <v>20</v>
      </c>
      <c r="E278" s="117" t="s">
        <v>371</v>
      </c>
      <c r="F278" s="120">
        <f t="shared" si="80"/>
        <v>2</v>
      </c>
      <c r="G278" s="121" t="str">
        <f t="shared" si="81"/>
        <v>Oscar</v>
      </c>
      <c r="H278" s="122">
        <f>IF($D278="",0,IFERROR(LOOKUP(2,1/(($D$3:D277=$D278)*($A$3:A277&lt;$A278)),$N$3:N277),'Guide &amp; Settings'!$C$41))</f>
        <v>1003.1935045034811</v>
      </c>
      <c r="I278" s="123">
        <f t="shared" si="82"/>
        <v>0.25</v>
      </c>
      <c r="J278" s="124">
        <f>IF($D278="",0,IF($F278&lt;2,0,IF($E278="Win",('Guide &amp; Settings'!$C$42/(($F278-1)*COUNTIFS($A$4:$A$1510,$A278,$E$4:$E$1510,"Win")))*SUMIFS($X$4:$X$1510,$A$4:$A$1510,$A278,$E$4:$E$1510,"Loss"),-('Guide &amp; Settings'!$C$42/($F278-1))*$X278)))</f>
        <v>-12.73826334041064</v>
      </c>
      <c r="K278" s="124">
        <f>IF($D278="",0,'Guide &amp; Settings'!$C$43*(IF($E278="Win",1,0)-$I278))</f>
        <v>-3</v>
      </c>
      <c r="L278" s="125">
        <f>IF($D278="",0,'Guide &amp; Settings'!$C$44*IF($F278&gt;=3,$F278,0))</f>
        <v>0</v>
      </c>
      <c r="M278" s="124">
        <f t="shared" si="83"/>
        <v>-15.73826334041064</v>
      </c>
      <c r="N278" s="122">
        <f t="shared" si="84"/>
        <v>987.45524116307047</v>
      </c>
      <c r="O278" s="121" t="str">
        <f t="shared" si="85"/>
        <v>OK</v>
      </c>
      <c r="P278">
        <f t="shared" si="86"/>
        <v>1082.0688990464841</v>
      </c>
      <c r="Q278">
        <f t="shared" si="87"/>
        <v>0.38839987373056262</v>
      </c>
      <c r="R278">
        <f t="shared" si="88"/>
        <v>0.16666666666666666</v>
      </c>
      <c r="S278">
        <f t="shared" si="89"/>
        <v>0.66666666666666663</v>
      </c>
      <c r="T278" s="89">
        <f t="shared" si="90"/>
        <v>4</v>
      </c>
      <c r="U278" s="126">
        <f>IF($D278="",0,IFERROR(LOOKUP(2,1/(($D$3:D277=$D278)*($C$3:C277=$C278)*($A$3:A277&lt;$A278)),$AB$3:AB277),1000))</f>
        <v>941.76118266777303</v>
      </c>
      <c r="V278" s="126">
        <f t="shared" si="91"/>
        <v>975.89025035427755</v>
      </c>
      <c r="W278">
        <f t="shared" si="92"/>
        <v>1047.7243376089373</v>
      </c>
      <c r="X278">
        <f t="shared" si="93"/>
        <v>0.3980707293878325</v>
      </c>
      <c r="Y278">
        <f t="shared" si="94"/>
        <v>1004.7936358120037</v>
      </c>
      <c r="Z278">
        <f t="shared" si="95"/>
        <v>0.41027129636865739</v>
      </c>
      <c r="AA278">
        <f>IF($D278="",0,IF($F278&lt;2,0,IF($E278="Win",('Guide &amp; Settings'!$C$42/(($F278-1)*COUNTIFS($A$4:$A$1510,$A278,$E$4:$E$1510,"Win")))*SUMIFS($Z$4:$Z$1510,$A$4:$A$1510,$A278,$E$4:$E$1510,"Loss"),-('Guide &amp; Settings'!$C$42/($F278-1))*$Z278)))</f>
        <v>-13.128681483797036</v>
      </c>
      <c r="AB278" s="126">
        <f t="shared" si="96"/>
        <v>928.63250118397605</v>
      </c>
      <c r="AC278" s="126">
        <f>IF($D278="","",IF($AD278=0,0,IF(COUNTIFS($D$4:$D278,$D278,$B$4:$B278,$B278)&gt;1,0,IF($B278&lt;'Guide &amp; Settings'!$C$50,0,IF(($B278-$AD278)/7-'Guide &amp; Settings'!$C$48&gt;=0,(INT(($B278-$AD278)/7-'Guide &amp; Settings'!$C$48)+1)*'Guide &amp; Settings'!$C$49,0)))))</f>
        <v>0</v>
      </c>
      <c r="AD278" s="142">
        <f t="shared" si="97"/>
        <v>46202</v>
      </c>
      <c r="AE278">
        <f t="shared" si="98"/>
        <v>1</v>
      </c>
      <c r="AF278">
        <f t="shared" si="99"/>
        <v>0</v>
      </c>
    </row>
    <row r="279" spans="1:32" ht="15" customHeight="1" x14ac:dyDescent="0.2">
      <c r="A279" s="117">
        <v>115</v>
      </c>
      <c r="B279" s="118">
        <v>46207</v>
      </c>
      <c r="C279" s="119" t="s">
        <v>45</v>
      </c>
      <c r="D279" s="119" t="s">
        <v>25</v>
      </c>
      <c r="E279" s="117" t="s">
        <v>370</v>
      </c>
      <c r="F279" s="120">
        <f t="shared" si="80"/>
        <v>2</v>
      </c>
      <c r="G279" s="121" t="str">
        <f t="shared" si="81"/>
        <v>Oscar</v>
      </c>
      <c r="H279" s="122">
        <f>IF($D279="",0,IFERROR(LOOKUP(2,1/(($D$3:D278=$D279)*($A$3:A278&lt;$A279)),$N$3:N278),'Guide &amp; Settings'!$C$41))</f>
        <v>1082.0688990464841</v>
      </c>
      <c r="I279" s="123">
        <f t="shared" si="82"/>
        <v>0.75</v>
      </c>
      <c r="J279" s="124">
        <f>IF($D279="",0,IF($F279&lt;2,0,IF($E279="Win",('Guide &amp; Settings'!$C$42/(($F279-1)*COUNTIFS($A$4:$A$1510,$A279,$E$4:$E$1510,"Win")))*SUMIFS($X$4:$X$1510,$A$4:$A$1510,$A279,$E$4:$E$1510,"Loss"),-('Guide &amp; Settings'!$C$42/($F279-1))*$X279)))</f>
        <v>12.73826334041064</v>
      </c>
      <c r="K279" s="124">
        <f>IF($D279="",0,'Guide &amp; Settings'!$C$43*(IF($E279="Win",1,0)-$I279))</f>
        <v>3</v>
      </c>
      <c r="L279" s="125">
        <f>IF($D279="",0,'Guide &amp; Settings'!$C$44*IF($F279&gt;=3,$F279,0))</f>
        <v>0</v>
      </c>
      <c r="M279" s="124">
        <f t="shared" si="83"/>
        <v>15.73826334041064</v>
      </c>
      <c r="N279" s="122">
        <f t="shared" si="84"/>
        <v>1097.8071623868948</v>
      </c>
      <c r="O279" s="121" t="str">
        <f t="shared" si="85"/>
        <v>OK</v>
      </c>
      <c r="P279">
        <f t="shared" si="86"/>
        <v>1082.0688990464841</v>
      </c>
      <c r="Q279">
        <f t="shared" si="87"/>
        <v>0.5</v>
      </c>
      <c r="R279">
        <f t="shared" si="88"/>
        <v>0.5</v>
      </c>
      <c r="S279">
        <f t="shared" si="89"/>
        <v>0.66666666666666663</v>
      </c>
      <c r="T279" s="89">
        <f t="shared" si="90"/>
        <v>4</v>
      </c>
      <c r="U279" s="126">
        <f>IF($D279="",0,IFERROR(LOOKUP(2,1/(($D$3:D278=$D279)*($C$3:C278=$C279)*($A$3:A278&lt;$A279)),$AB$3:AB278),1000))</f>
        <v>1004.7936358120037</v>
      </c>
      <c r="V279" s="126">
        <f t="shared" si="91"/>
        <v>1047.7243376089373</v>
      </c>
      <c r="W279">
        <f t="shared" si="92"/>
        <v>1047.7243376089373</v>
      </c>
      <c r="X279">
        <f t="shared" si="93"/>
        <v>0.5</v>
      </c>
      <c r="Y279">
        <f t="shared" si="94"/>
        <v>1004.7936358120037</v>
      </c>
      <c r="Z279">
        <f t="shared" si="95"/>
        <v>0.5</v>
      </c>
      <c r="AA279">
        <f>IF($D279="",0,IF($F279&lt;2,0,IF($E279="Win",('Guide &amp; Settings'!$C$42/(($F279-1)*COUNTIFS($A$4:$A$1510,$A279,$E$4:$E$1510,"Win")))*SUMIFS($Z$4:$Z$1510,$A$4:$A$1510,$A279,$E$4:$E$1510,"Loss"),-('Guide &amp; Settings'!$C$42/($F279-1))*$Z279)))</f>
        <v>13.128681483797036</v>
      </c>
      <c r="AB279" s="126">
        <f t="shared" si="96"/>
        <v>1017.9223172958007</v>
      </c>
      <c r="AC279" s="126">
        <f>IF($D279="","",IF($AD279=0,0,IF(COUNTIFS($D$4:$D279,$D279,$B$4:$B279,$B279)&gt;1,0,IF($B279&lt;'Guide &amp; Settings'!$C$50,0,IF(($B279-$AD279)/7-'Guide &amp; Settings'!$C$48&gt;=0,(INT(($B279-$AD279)/7-'Guide &amp; Settings'!$C$48)+1)*'Guide &amp; Settings'!$C$49,0)))))</f>
        <v>0</v>
      </c>
      <c r="AD279" s="142">
        <f t="shared" si="97"/>
        <v>46189</v>
      </c>
      <c r="AE279">
        <f t="shared" si="98"/>
        <v>1</v>
      </c>
      <c r="AF279">
        <f t="shared" si="99"/>
        <v>0</v>
      </c>
    </row>
    <row r="280" spans="1:32" ht="15" customHeight="1" x14ac:dyDescent="0.2">
      <c r="A280" s="117">
        <v>116</v>
      </c>
      <c r="B280" s="118">
        <v>46207</v>
      </c>
      <c r="C280" s="119" t="s">
        <v>45</v>
      </c>
      <c r="D280" s="119" t="s">
        <v>20</v>
      </c>
      <c r="E280" s="117" t="s">
        <v>371</v>
      </c>
      <c r="F280" s="120">
        <f t="shared" si="80"/>
        <v>2</v>
      </c>
      <c r="G280" s="121" t="str">
        <f t="shared" si="81"/>
        <v>Oscar</v>
      </c>
      <c r="H280" s="122">
        <f>IF($D280="",0,IFERROR(LOOKUP(2,1/(($D$3:D279=$D280)*($A$3:A279&lt;$A280)),$N$3:N279),'Guide &amp; Settings'!$C$41))</f>
        <v>987.45524116307047</v>
      </c>
      <c r="I280" s="123">
        <f t="shared" si="82"/>
        <v>0.2</v>
      </c>
      <c r="J280" s="124">
        <f>IF($D280="",0,IF($F280&lt;2,0,IF($E280="Win",('Guide &amp; Settings'!$C$42/(($F280-1)*COUNTIFS($A$4:$A$1510,$A280,$E$4:$E$1510,"Win")))*SUMIFS($X$4:$X$1510,$A$4:$A$1510,$A280,$E$4:$E$1510,"Loss"),-('Guide &amp; Settings'!$C$42/($F280-1))*$X280)))</f>
        <v>-11.525523060426101</v>
      </c>
      <c r="K280" s="124">
        <f>IF($D280="",0,'Guide &amp; Settings'!$C$43*(IF($E280="Win",1,0)-$I280))</f>
        <v>-2.4000000000000004</v>
      </c>
      <c r="L280" s="125">
        <f>IF($D280="",0,'Guide &amp; Settings'!$C$44*IF($F280&gt;=3,$F280,0))</f>
        <v>0</v>
      </c>
      <c r="M280" s="124">
        <f t="shared" si="83"/>
        <v>-13.925523060426102</v>
      </c>
      <c r="N280" s="122">
        <f t="shared" si="84"/>
        <v>973.52971810264432</v>
      </c>
      <c r="O280" s="121" t="str">
        <f t="shared" si="85"/>
        <v>OK</v>
      </c>
      <c r="P280">
        <f t="shared" si="86"/>
        <v>1097.8071623868948</v>
      </c>
      <c r="Q280">
        <f t="shared" si="87"/>
        <v>0.34632407715021113</v>
      </c>
      <c r="R280">
        <f t="shared" si="88"/>
        <v>0.14285714285714285</v>
      </c>
      <c r="S280">
        <f t="shared" si="89"/>
        <v>0.71428571428571419</v>
      </c>
      <c r="T280" s="89">
        <f t="shared" si="90"/>
        <v>5</v>
      </c>
      <c r="U280" s="126">
        <f>IF($D280="",0,IFERROR(LOOKUP(2,1/(($D$3:D279=$D280)*($C$3:C279=$C280)*($A$3:A279&lt;$A280)),$AB$3:AB279),1000))</f>
        <v>928.63250118397605</v>
      </c>
      <c r="V280" s="126">
        <f t="shared" si="91"/>
        <v>958.04387117352326</v>
      </c>
      <c r="W280">
        <f t="shared" si="92"/>
        <v>1057.8647398413477</v>
      </c>
      <c r="X280">
        <f t="shared" si="93"/>
        <v>0.36017259563831566</v>
      </c>
      <c r="Y280">
        <f t="shared" si="94"/>
        <v>1017.9223172958007</v>
      </c>
      <c r="Z280">
        <f t="shared" si="95"/>
        <v>0.37425782379081912</v>
      </c>
      <c r="AA280">
        <f>IF($D280="",0,IF($F280&lt;2,0,IF($E280="Win",('Guide &amp; Settings'!$C$42/(($F280-1)*COUNTIFS($A$4:$A$1510,$A280,$E$4:$E$1510,"Win")))*SUMIFS($Z$4:$Z$1510,$A$4:$A$1510,$A280,$E$4:$E$1510,"Loss"),-('Guide &amp; Settings'!$C$42/($F280-1))*$Z280)))</f>
        <v>-11.976250361306212</v>
      </c>
      <c r="AB280" s="126">
        <f t="shared" si="96"/>
        <v>916.65625082266979</v>
      </c>
      <c r="AC280" s="126">
        <f>IF($D280="","",IF($AD280=0,0,IF(COUNTIFS($D$4:$D280,$D280,$B$4:$B280,$B280)&gt;1,0,IF($B280&lt;'Guide &amp; Settings'!$C$50,0,IF(($B280-$AD280)/7-'Guide &amp; Settings'!$C$48&gt;=0,(INT(($B280-$AD280)/7-'Guide &amp; Settings'!$C$48)+1)*'Guide &amp; Settings'!$C$49,0)))))</f>
        <v>0</v>
      </c>
      <c r="AD280" s="142">
        <f t="shared" si="97"/>
        <v>46202</v>
      </c>
      <c r="AE280">
        <f t="shared" si="98"/>
        <v>1</v>
      </c>
      <c r="AF280">
        <f t="shared" si="99"/>
        <v>0</v>
      </c>
    </row>
    <row r="281" spans="1:32" ht="15" customHeight="1" x14ac:dyDescent="0.2">
      <c r="A281" s="117">
        <v>116</v>
      </c>
      <c r="B281" s="118">
        <v>46207</v>
      </c>
      <c r="C281" s="119" t="s">
        <v>45</v>
      </c>
      <c r="D281" s="119" t="s">
        <v>25</v>
      </c>
      <c r="E281" s="117" t="s">
        <v>370</v>
      </c>
      <c r="F281" s="120">
        <f t="shared" si="80"/>
        <v>2</v>
      </c>
      <c r="G281" s="121" t="str">
        <f t="shared" si="81"/>
        <v>Oscar</v>
      </c>
      <c r="H281" s="122">
        <f>IF($D281="",0,IFERROR(LOOKUP(2,1/(($D$3:D280=$D281)*($A$3:A280&lt;$A281)),$N$3:N280),'Guide &amp; Settings'!$C$41))</f>
        <v>1097.8071623868948</v>
      </c>
      <c r="I281" s="123">
        <f t="shared" si="82"/>
        <v>0.8</v>
      </c>
      <c r="J281" s="124">
        <f>IF($D281="",0,IF($F281&lt;2,0,IF($E281="Win",('Guide &amp; Settings'!$C$42/(($F281-1)*COUNTIFS($A$4:$A$1510,$A281,$E$4:$E$1510,"Win")))*SUMIFS($X$4:$X$1510,$A$4:$A$1510,$A281,$E$4:$E$1510,"Loss"),-('Guide &amp; Settings'!$C$42/($F281-1))*$X281)))</f>
        <v>11.525523060426101</v>
      </c>
      <c r="K281" s="124">
        <f>IF($D281="",0,'Guide &amp; Settings'!$C$43*(IF($E281="Win",1,0)-$I281))</f>
        <v>2.3999999999999995</v>
      </c>
      <c r="L281" s="125">
        <f>IF($D281="",0,'Guide &amp; Settings'!$C$44*IF($F281&gt;=3,$F281,0))</f>
        <v>0</v>
      </c>
      <c r="M281" s="124">
        <f t="shared" si="83"/>
        <v>13.925523060426102</v>
      </c>
      <c r="N281" s="122">
        <f t="shared" si="84"/>
        <v>1111.7326854473208</v>
      </c>
      <c r="O281" s="121" t="str">
        <f t="shared" si="85"/>
        <v>OK</v>
      </c>
      <c r="P281">
        <f t="shared" si="86"/>
        <v>1097.8071623868948</v>
      </c>
      <c r="Q281">
        <f t="shared" si="87"/>
        <v>0.5</v>
      </c>
      <c r="R281">
        <f t="shared" si="88"/>
        <v>0.5714285714285714</v>
      </c>
      <c r="S281">
        <f t="shared" si="89"/>
        <v>0.71428571428571419</v>
      </c>
      <c r="T281" s="89">
        <f t="shared" si="90"/>
        <v>5</v>
      </c>
      <c r="U281" s="126">
        <f>IF($D281="",0,IFERROR(LOOKUP(2,1/(($D$3:D280=$D281)*($C$3:C280=$C281)*($A$3:A280&lt;$A281)),$AB$3:AB280),1000))</f>
        <v>1017.9223172958007</v>
      </c>
      <c r="V281" s="126">
        <f t="shared" si="91"/>
        <v>1057.8647398413477</v>
      </c>
      <c r="W281">
        <f t="shared" si="92"/>
        <v>1057.8647398413477</v>
      </c>
      <c r="X281">
        <f t="shared" si="93"/>
        <v>0.5</v>
      </c>
      <c r="Y281">
        <f t="shared" si="94"/>
        <v>1017.9223172958007</v>
      </c>
      <c r="Z281">
        <f t="shared" si="95"/>
        <v>0.5</v>
      </c>
      <c r="AA281">
        <f>IF($D281="",0,IF($F281&lt;2,0,IF($E281="Win",('Guide &amp; Settings'!$C$42/(($F281-1)*COUNTIFS($A$4:$A$1510,$A281,$E$4:$E$1510,"Win")))*SUMIFS($Z$4:$Z$1510,$A$4:$A$1510,$A281,$E$4:$E$1510,"Loss"),-('Guide &amp; Settings'!$C$42/($F281-1))*$Z281)))</f>
        <v>11.976250361306212</v>
      </c>
      <c r="AB281" s="126">
        <f t="shared" si="96"/>
        <v>1029.8985676571069</v>
      </c>
      <c r="AC281" s="126">
        <f>IF($D281="","",IF($AD281=0,0,IF(COUNTIFS($D$4:$D281,$D281,$B$4:$B281,$B281)&gt;1,0,IF($B281&lt;'Guide &amp; Settings'!$C$50,0,IF(($B281-$AD281)/7-'Guide &amp; Settings'!$C$48&gt;=0,(INT(($B281-$AD281)/7-'Guide &amp; Settings'!$C$48)+1)*'Guide &amp; Settings'!$C$49,0)))))</f>
        <v>0</v>
      </c>
      <c r="AD281" s="142">
        <f t="shared" si="97"/>
        <v>46189</v>
      </c>
      <c r="AE281">
        <f t="shared" si="98"/>
        <v>1</v>
      </c>
      <c r="AF281">
        <f t="shared" si="99"/>
        <v>0</v>
      </c>
    </row>
    <row r="282" spans="1:32" ht="15" customHeight="1" x14ac:dyDescent="0.2">
      <c r="A282" s="117">
        <v>117</v>
      </c>
      <c r="B282" s="118">
        <v>46207</v>
      </c>
      <c r="C282" s="119" t="s">
        <v>45</v>
      </c>
      <c r="D282" s="119" t="s">
        <v>20</v>
      </c>
      <c r="E282" s="117" t="s">
        <v>371</v>
      </c>
      <c r="F282" s="120">
        <f t="shared" si="80"/>
        <v>2</v>
      </c>
      <c r="G282" s="121" t="str">
        <f t="shared" si="81"/>
        <v>Oscar</v>
      </c>
      <c r="H282" s="122">
        <f>IF($D282="",0,IFERROR(LOOKUP(2,1/(($D$3:D281=$D282)*($A$3:A281&lt;$A282)),$N$3:N281),'Guide &amp; Settings'!$C$41))</f>
        <v>973.52971810264432</v>
      </c>
      <c r="I282" s="123">
        <f t="shared" si="82"/>
        <v>0.16666666666666666</v>
      </c>
      <c r="J282" s="124">
        <f>IF($D282="",0,IF($F282&lt;2,0,IF($E282="Win",('Guide &amp; Settings'!$C$42/(($F282-1)*COUNTIFS($A$4:$A$1510,$A282,$E$4:$E$1510,"Win")))*SUMIFS($X$4:$X$1510,$A$4:$A$1510,$A282,$E$4:$E$1510,"Loss"),-('Guide &amp; Settings'!$C$42/($F282-1))*$X282)))</f>
        <v>-10.496410275226046</v>
      </c>
      <c r="K282" s="124">
        <f>IF($D282="",0,'Guide &amp; Settings'!$C$43*(IF($E282="Win",1,0)-$I282))</f>
        <v>-2</v>
      </c>
      <c r="L282" s="125">
        <f>IF($D282="",0,'Guide &amp; Settings'!$C$44*IF($F282&gt;=3,$F282,0))</f>
        <v>0</v>
      </c>
      <c r="M282" s="124">
        <f t="shared" si="83"/>
        <v>-12.496410275226046</v>
      </c>
      <c r="N282" s="122">
        <f t="shared" si="84"/>
        <v>961.0333078274183</v>
      </c>
      <c r="O282" s="121" t="str">
        <f t="shared" si="85"/>
        <v>OK</v>
      </c>
      <c r="P282">
        <f t="shared" si="86"/>
        <v>1111.7326854473208</v>
      </c>
      <c r="Q282">
        <f t="shared" si="87"/>
        <v>0.31097602864285723</v>
      </c>
      <c r="R282">
        <f t="shared" si="88"/>
        <v>0.125</v>
      </c>
      <c r="S282">
        <f t="shared" si="89"/>
        <v>0.75</v>
      </c>
      <c r="T282" s="89">
        <f t="shared" si="90"/>
        <v>6</v>
      </c>
      <c r="U282" s="126">
        <f>IF($D282="",0,IFERROR(LOOKUP(2,1/(($D$3:D281=$D282)*($C$3:C281=$C282)*($A$3:A281&lt;$A282)),$AB$3:AB281),1000))</f>
        <v>916.65625082266979</v>
      </c>
      <c r="V282" s="126">
        <f t="shared" si="91"/>
        <v>942.50782685902186</v>
      </c>
      <c r="W282">
        <f t="shared" si="92"/>
        <v>1067.095893925386</v>
      </c>
      <c r="X282">
        <f t="shared" si="93"/>
        <v>0.32801282110081392</v>
      </c>
      <c r="Y282">
        <f t="shared" si="94"/>
        <v>1029.8985676571069</v>
      </c>
      <c r="Z282">
        <f t="shared" si="95"/>
        <v>0.34256709506594213</v>
      </c>
      <c r="AA282">
        <f>IF($D282="",0,IF($F282&lt;2,0,IF($E282="Win",('Guide &amp; Settings'!$C$42/(($F282-1)*COUNTIFS($A$4:$A$1510,$A282,$E$4:$E$1510,"Win")))*SUMIFS($Z$4:$Z$1510,$A$4:$A$1510,$A282,$E$4:$E$1510,"Loss"),-('Guide &amp; Settings'!$C$42/($F282-1))*$Z282)))</f>
        <v>-10.962147042110148</v>
      </c>
      <c r="AB282" s="126">
        <f t="shared" si="96"/>
        <v>905.69410378055966</v>
      </c>
      <c r="AC282" s="126">
        <f>IF($D282="","",IF($AD282=0,0,IF(COUNTIFS($D$4:$D282,$D282,$B$4:$B282,$B282)&gt;1,0,IF($B282&lt;'Guide &amp; Settings'!$C$50,0,IF(($B282-$AD282)/7-'Guide &amp; Settings'!$C$48&gt;=0,(INT(($B282-$AD282)/7-'Guide &amp; Settings'!$C$48)+1)*'Guide &amp; Settings'!$C$49,0)))))</f>
        <v>0</v>
      </c>
      <c r="AD282" s="142">
        <f t="shared" si="97"/>
        <v>46202</v>
      </c>
      <c r="AE282">
        <f t="shared" si="98"/>
        <v>1</v>
      </c>
      <c r="AF282">
        <f t="shared" si="99"/>
        <v>0</v>
      </c>
    </row>
    <row r="283" spans="1:32" ht="15" customHeight="1" x14ac:dyDescent="0.2">
      <c r="A283" s="117">
        <v>117</v>
      </c>
      <c r="B283" s="118">
        <v>46207</v>
      </c>
      <c r="C283" s="119" t="s">
        <v>45</v>
      </c>
      <c r="D283" s="119" t="s">
        <v>25</v>
      </c>
      <c r="E283" s="117" t="s">
        <v>370</v>
      </c>
      <c r="F283" s="120">
        <f t="shared" si="80"/>
        <v>2</v>
      </c>
      <c r="G283" s="121" t="str">
        <f t="shared" si="81"/>
        <v>Oscar</v>
      </c>
      <c r="H283" s="122">
        <f>IF($D283="",0,IFERROR(LOOKUP(2,1/(($D$3:D282=$D283)*($A$3:A282&lt;$A283)),$N$3:N282),'Guide &amp; Settings'!$C$41))</f>
        <v>1111.7326854473208</v>
      </c>
      <c r="I283" s="123">
        <f t="shared" si="82"/>
        <v>0.83333333333333337</v>
      </c>
      <c r="J283" s="124">
        <f>IF($D283="",0,IF($F283&lt;2,0,IF($E283="Win",('Guide &amp; Settings'!$C$42/(($F283-1)*COUNTIFS($A$4:$A$1510,$A283,$E$4:$E$1510,"Win")))*SUMIFS($X$4:$X$1510,$A$4:$A$1510,$A283,$E$4:$E$1510,"Loss"),-('Guide &amp; Settings'!$C$42/($F283-1))*$X283)))</f>
        <v>10.496410275226046</v>
      </c>
      <c r="K283" s="124">
        <f>IF($D283="",0,'Guide &amp; Settings'!$C$43*(IF($E283="Win",1,0)-$I283))</f>
        <v>1.9999999999999996</v>
      </c>
      <c r="L283" s="125">
        <f>IF($D283="",0,'Guide &amp; Settings'!$C$44*IF($F283&gt;=3,$F283,0))</f>
        <v>0</v>
      </c>
      <c r="M283" s="124">
        <f t="shared" si="83"/>
        <v>12.496410275226046</v>
      </c>
      <c r="N283" s="122">
        <f t="shared" si="84"/>
        <v>1124.2290957225468</v>
      </c>
      <c r="O283" s="121" t="str">
        <f t="shared" si="85"/>
        <v>OK</v>
      </c>
      <c r="P283">
        <f t="shared" si="86"/>
        <v>1111.7326854473208</v>
      </c>
      <c r="Q283">
        <f t="shared" si="87"/>
        <v>0.5</v>
      </c>
      <c r="R283">
        <f t="shared" si="88"/>
        <v>0.625</v>
      </c>
      <c r="S283">
        <f t="shared" si="89"/>
        <v>0.75</v>
      </c>
      <c r="T283" s="89">
        <f t="shared" si="90"/>
        <v>6</v>
      </c>
      <c r="U283" s="126">
        <f>IF($D283="",0,IFERROR(LOOKUP(2,1/(($D$3:D282=$D283)*($C$3:C282=$C283)*($A$3:A282&lt;$A283)),$AB$3:AB282),1000))</f>
        <v>1029.8985676571069</v>
      </c>
      <c r="V283" s="126">
        <f t="shared" si="91"/>
        <v>1067.095893925386</v>
      </c>
      <c r="W283">
        <f t="shared" si="92"/>
        <v>1067.095893925386</v>
      </c>
      <c r="X283">
        <f t="shared" si="93"/>
        <v>0.5</v>
      </c>
      <c r="Y283">
        <f t="shared" si="94"/>
        <v>1029.8985676571069</v>
      </c>
      <c r="Z283">
        <f t="shared" si="95"/>
        <v>0.5</v>
      </c>
      <c r="AA283">
        <f>IF($D283="",0,IF($F283&lt;2,0,IF($E283="Win",('Guide &amp; Settings'!$C$42/(($F283-1)*COUNTIFS($A$4:$A$1510,$A283,$E$4:$E$1510,"Win")))*SUMIFS($Z$4:$Z$1510,$A$4:$A$1510,$A283,$E$4:$E$1510,"Loss"),-('Guide &amp; Settings'!$C$42/($F283-1))*$Z283)))</f>
        <v>10.962147042110148</v>
      </c>
      <c r="AB283" s="126">
        <f t="shared" si="96"/>
        <v>1040.8607146992172</v>
      </c>
      <c r="AC283" s="126">
        <f>IF($D283="","",IF($AD283=0,0,IF(COUNTIFS($D$4:$D283,$D283,$B$4:$B283,$B283)&gt;1,0,IF($B283&lt;'Guide &amp; Settings'!$C$50,0,IF(($B283-$AD283)/7-'Guide &amp; Settings'!$C$48&gt;=0,(INT(($B283-$AD283)/7-'Guide &amp; Settings'!$C$48)+1)*'Guide &amp; Settings'!$C$49,0)))))</f>
        <v>0</v>
      </c>
      <c r="AD283" s="142">
        <f t="shared" si="97"/>
        <v>46189</v>
      </c>
      <c r="AE283">
        <f t="shared" si="98"/>
        <v>1</v>
      </c>
      <c r="AF283">
        <f t="shared" si="99"/>
        <v>0</v>
      </c>
    </row>
    <row r="284" spans="1:32" ht="15" customHeight="1" x14ac:dyDescent="0.2">
      <c r="A284" s="117">
        <v>118</v>
      </c>
      <c r="B284" s="118">
        <v>46207</v>
      </c>
      <c r="C284" s="119" t="s">
        <v>9</v>
      </c>
      <c r="D284" s="119" t="s">
        <v>20</v>
      </c>
      <c r="E284" s="117" t="s">
        <v>371</v>
      </c>
      <c r="F284" s="120">
        <f t="shared" si="80"/>
        <v>2</v>
      </c>
      <c r="G284" s="121" t="str">
        <f t="shared" si="81"/>
        <v>Oscar</v>
      </c>
      <c r="H284" s="122">
        <f>IF($D284="",0,IFERROR(LOOKUP(2,1/(($D$3:D283=$D284)*($A$3:A283&lt;$A284)),$N$3:N283),'Guide &amp; Settings'!$C$41))</f>
        <v>961.0333078274183</v>
      </c>
      <c r="I284" s="123">
        <f t="shared" si="82"/>
        <v>0.57142857142857151</v>
      </c>
      <c r="J284" s="124">
        <f>IF($D284="",0,IF($F284&lt;2,0,IF($E284="Win",('Guide &amp; Settings'!$C$42/(($F284-1)*COUNTIFS($A$4:$A$1510,$A284,$E$4:$E$1510,"Win")))*SUMIFS($X$4:$X$1510,$A$4:$A$1510,$A284,$E$4:$E$1510,"Loss"),-('Guide &amp; Settings'!$C$42/($F284-1))*$X284)))</f>
        <v>-10.976896506181179</v>
      </c>
      <c r="K284" s="124">
        <f>IF($D284="",0,'Guide &amp; Settings'!$C$43*(IF($E284="Win",1,0)-$I284))</f>
        <v>-6.8571428571428577</v>
      </c>
      <c r="L284" s="125">
        <f>IF($D284="",0,'Guide &amp; Settings'!$C$44*IF($F284&gt;=3,$F284,0))</f>
        <v>0</v>
      </c>
      <c r="M284" s="124">
        <f t="shared" si="83"/>
        <v>-17.834039363324038</v>
      </c>
      <c r="N284" s="122">
        <f t="shared" si="84"/>
        <v>943.1992684640943</v>
      </c>
      <c r="O284" s="121" t="str">
        <f t="shared" si="85"/>
        <v>OK</v>
      </c>
      <c r="P284">
        <f t="shared" si="86"/>
        <v>1124.2290957225468</v>
      </c>
      <c r="Q284">
        <f t="shared" si="87"/>
        <v>0.28101539911813223</v>
      </c>
      <c r="R284">
        <f t="shared" si="88"/>
        <v>0.33333333333333331</v>
      </c>
      <c r="S284">
        <f t="shared" si="89"/>
        <v>0.58333333333333326</v>
      </c>
      <c r="T284" s="89">
        <f t="shared" si="90"/>
        <v>4</v>
      </c>
      <c r="U284" s="126">
        <f>IF($D284="",0,IFERROR(LOOKUP(2,1/(($D$3:D283=$D284)*($C$3:C283=$C284)*($A$3:A283&lt;$A284)),$AB$3:AB283),1000))</f>
        <v>984.43571391543799</v>
      </c>
      <c r="V284" s="126">
        <f t="shared" si="91"/>
        <v>971.43437719987151</v>
      </c>
      <c r="W284">
        <f t="shared" si="92"/>
        <v>1084.3212806919989</v>
      </c>
      <c r="X284">
        <f t="shared" si="93"/>
        <v>0.34302801581816184</v>
      </c>
      <c r="Y284">
        <f t="shared" si="94"/>
        <v>984.55174311562928</v>
      </c>
      <c r="Z284">
        <f t="shared" si="95"/>
        <v>0.49983302056451234</v>
      </c>
      <c r="AA284">
        <f>IF($D284="",0,IF($F284&lt;2,0,IF($E284="Win",('Guide &amp; Settings'!$C$42/(($F284-1)*COUNTIFS($A$4:$A$1510,$A284,$E$4:$E$1510,"Win")))*SUMIFS($Z$4:$Z$1510,$A$4:$A$1510,$A284,$E$4:$E$1510,"Loss"),-('Guide &amp; Settings'!$C$42/($F284-1))*$Z284)))</f>
        <v>-15.994656658064395</v>
      </c>
      <c r="AB284" s="126">
        <f t="shared" si="96"/>
        <v>968.44105725737359</v>
      </c>
      <c r="AC284" s="126">
        <f>IF($D284="","",IF($AD284=0,0,IF(COUNTIFS($D$4:$D284,$D284,$B$4:$B284,$B284)&gt;1,0,IF($B284&lt;'Guide &amp; Settings'!$C$50,0,IF(($B284-$AD284)/7-'Guide &amp; Settings'!$C$48&gt;=0,(INT(($B284-$AD284)/7-'Guide &amp; Settings'!$C$48)+1)*'Guide &amp; Settings'!$C$49,0)))))</f>
        <v>0</v>
      </c>
      <c r="AD284" s="142">
        <f t="shared" si="97"/>
        <v>46202</v>
      </c>
      <c r="AE284">
        <f t="shared" si="98"/>
        <v>1</v>
      </c>
      <c r="AF284">
        <f t="shared" si="99"/>
        <v>0</v>
      </c>
    </row>
    <row r="285" spans="1:32" ht="15" customHeight="1" x14ac:dyDescent="0.2">
      <c r="A285" s="117">
        <v>118</v>
      </c>
      <c r="B285" s="118">
        <v>46207</v>
      </c>
      <c r="C285" s="119" t="s">
        <v>9</v>
      </c>
      <c r="D285" s="119" t="s">
        <v>25</v>
      </c>
      <c r="E285" s="117" t="s">
        <v>370</v>
      </c>
      <c r="F285" s="120">
        <f t="shared" si="80"/>
        <v>2</v>
      </c>
      <c r="G285" s="121" t="str">
        <f t="shared" si="81"/>
        <v>Oscar</v>
      </c>
      <c r="H285" s="122">
        <f>IF($D285="",0,IFERROR(LOOKUP(2,1/(($D$3:D284=$D285)*($A$3:A284&lt;$A285)),$N$3:N284),'Guide &amp; Settings'!$C$41))</f>
        <v>1124.2290957225468</v>
      </c>
      <c r="I285" s="123">
        <f t="shared" si="82"/>
        <v>0.4285714285714286</v>
      </c>
      <c r="J285" s="124">
        <f>IF($D285="",0,IF($F285&lt;2,0,IF($E285="Win",('Guide &amp; Settings'!$C$42/(($F285-1)*COUNTIFS($A$4:$A$1510,$A285,$E$4:$E$1510,"Win")))*SUMIFS($X$4:$X$1510,$A$4:$A$1510,$A285,$E$4:$E$1510,"Loss"),-('Guide &amp; Settings'!$C$42/($F285-1))*$X285)))</f>
        <v>10.976896506181179</v>
      </c>
      <c r="K285" s="124">
        <f>IF($D285="",0,'Guide &amp; Settings'!$C$43*(IF($E285="Win",1,0)-$I285))</f>
        <v>6.8571428571428568</v>
      </c>
      <c r="L285" s="125">
        <f>IF($D285="",0,'Guide &amp; Settings'!$C$44*IF($F285&gt;=3,$F285,0))</f>
        <v>0</v>
      </c>
      <c r="M285" s="124">
        <f t="shared" si="83"/>
        <v>17.834039363324035</v>
      </c>
      <c r="N285" s="122">
        <f t="shared" si="84"/>
        <v>1142.063135085871</v>
      </c>
      <c r="O285" s="121" t="str">
        <f t="shared" si="85"/>
        <v>OK</v>
      </c>
      <c r="P285">
        <f t="shared" si="86"/>
        <v>1124.2290957225468</v>
      </c>
      <c r="Q285">
        <f t="shared" si="87"/>
        <v>0.5</v>
      </c>
      <c r="R285">
        <f t="shared" si="88"/>
        <v>0.25</v>
      </c>
      <c r="S285">
        <f t="shared" si="89"/>
        <v>0.58333333333333326</v>
      </c>
      <c r="T285" s="89">
        <f t="shared" si="90"/>
        <v>2</v>
      </c>
      <c r="U285" s="126">
        <f>IF($D285="",0,IFERROR(LOOKUP(2,1/(($D$3:D284=$D285)*($C$3:C284=$C285)*($A$3:A284&lt;$A285)),$AB$3:AB284),1000))</f>
        <v>984.55174311562928</v>
      </c>
      <c r="V285" s="126">
        <f t="shared" si="91"/>
        <v>1084.3212806919989</v>
      </c>
      <c r="W285">
        <f t="shared" si="92"/>
        <v>1084.3212806919989</v>
      </c>
      <c r="X285">
        <f t="shared" si="93"/>
        <v>0.5</v>
      </c>
      <c r="Y285">
        <f t="shared" si="94"/>
        <v>984.55174311562928</v>
      </c>
      <c r="Z285">
        <f t="shared" si="95"/>
        <v>0.5</v>
      </c>
      <c r="AA285">
        <f>IF($D285="",0,IF($F285&lt;2,0,IF($E285="Win",('Guide &amp; Settings'!$C$42/(($F285-1)*COUNTIFS($A$4:$A$1510,$A285,$E$4:$E$1510,"Win")))*SUMIFS($Z$4:$Z$1510,$A$4:$A$1510,$A285,$E$4:$E$1510,"Loss"),-('Guide &amp; Settings'!$C$42/($F285-1))*$Z285)))</f>
        <v>15.994656658064395</v>
      </c>
      <c r="AB285" s="126">
        <f t="shared" si="96"/>
        <v>1000.5463997736937</v>
      </c>
      <c r="AC285" s="126">
        <f>IF($D285="","",IF($AD285=0,0,IF(COUNTIFS($D$4:$D285,$D285,$B$4:$B285,$B285)&gt;1,0,IF($B285&lt;'Guide &amp; Settings'!$C$50,0,IF(($B285-$AD285)/7-'Guide &amp; Settings'!$C$48&gt;=0,(INT(($B285-$AD285)/7-'Guide &amp; Settings'!$C$48)+1)*'Guide &amp; Settings'!$C$49,0)))))</f>
        <v>0</v>
      </c>
      <c r="AD285" s="142">
        <f t="shared" si="97"/>
        <v>46189</v>
      </c>
      <c r="AE285">
        <f t="shared" si="98"/>
        <v>1</v>
      </c>
      <c r="AF285">
        <f t="shared" si="99"/>
        <v>0</v>
      </c>
    </row>
    <row r="286" spans="1:32" ht="15" customHeight="1" x14ac:dyDescent="0.2">
      <c r="A286" s="117">
        <v>119</v>
      </c>
      <c r="B286" s="118">
        <v>46208</v>
      </c>
      <c r="C286" s="119" t="s">
        <v>44</v>
      </c>
      <c r="D286" s="119" t="s">
        <v>20</v>
      </c>
      <c r="E286" s="117" t="s">
        <v>370</v>
      </c>
      <c r="F286" s="120">
        <f t="shared" si="80"/>
        <v>2</v>
      </c>
      <c r="G286" s="121" t="str">
        <f t="shared" si="81"/>
        <v>Shawn</v>
      </c>
      <c r="H286" s="122">
        <f>IF($D286="",0,IFERROR(LOOKUP(2,1/(($D$3:D285=$D286)*($A$3:A285&lt;$A286)),$N$3:N285),'Guide &amp; Settings'!$C$41))</f>
        <v>943.1992684640943</v>
      </c>
      <c r="I286" s="123">
        <f t="shared" si="82"/>
        <v>0.59770114942528729</v>
      </c>
      <c r="J286" s="124">
        <f>IF($D286="",0,IF($F286&lt;2,0,IF($E286="Win",('Guide &amp; Settings'!$C$42/(($F286-1)*COUNTIFS($A$4:$A$1510,$A286,$E$4:$E$1510,"Win")))*SUMIFS($X$4:$X$1510,$A$4:$A$1510,$A286,$E$4:$E$1510,"Loss"),-('Guide &amp; Settings'!$C$42/($F286-1))*$X286)))</f>
        <v>19.907550327573453</v>
      </c>
      <c r="K286" s="124">
        <f>IF($D286="",0,'Guide &amp; Settings'!$C$43*(IF($E286="Win",1,0)-$I286))</f>
        <v>4.8275862068965525</v>
      </c>
      <c r="L286" s="125">
        <f>IF($D286="",0,'Guide &amp; Settings'!$C$44*IF($F286&gt;=3,$F286,0))</f>
        <v>0</v>
      </c>
      <c r="M286" s="124">
        <f t="shared" si="83"/>
        <v>24.735136534470005</v>
      </c>
      <c r="N286" s="122">
        <f t="shared" si="84"/>
        <v>967.93440499856433</v>
      </c>
      <c r="O286" s="121" t="str">
        <f t="shared" si="85"/>
        <v>OK</v>
      </c>
      <c r="P286">
        <f t="shared" si="86"/>
        <v>943.1992684640943</v>
      </c>
      <c r="Q286">
        <f t="shared" si="87"/>
        <v>0.5</v>
      </c>
      <c r="R286">
        <f t="shared" si="88"/>
        <v>0.8</v>
      </c>
      <c r="S286">
        <f t="shared" si="89"/>
        <v>1.3384615384615386</v>
      </c>
      <c r="T286" s="89">
        <f t="shared" si="90"/>
        <v>3</v>
      </c>
      <c r="U286" s="126">
        <f>IF($D286="",0,IFERROR(LOOKUP(2,1/(($D$3:D285=$D286)*($C$3:C285=$C286)*($A$3:A285&lt;$A286)),$AB$3:AB285),1000))</f>
        <v>1043.7471336336109</v>
      </c>
      <c r="V286" s="126">
        <f t="shared" si="91"/>
        <v>980.90471790266304</v>
      </c>
      <c r="W286">
        <f t="shared" si="92"/>
        <v>980.90471790266304</v>
      </c>
      <c r="X286">
        <f t="shared" si="93"/>
        <v>0.5</v>
      </c>
      <c r="Y286">
        <f t="shared" si="94"/>
        <v>1043.7471336336109</v>
      </c>
      <c r="Z286">
        <f t="shared" si="95"/>
        <v>0.5</v>
      </c>
      <c r="AA286">
        <f>IF($D286="",0,IF($F286&lt;2,0,IF($E286="Win",('Guide &amp; Settings'!$C$42/(($F286-1)*COUNTIFS($A$4:$A$1510,$A286,$E$4:$E$1510,"Win")))*SUMIFS($Z$4:$Z$1510,$A$4:$A$1510,$A286,$E$4:$E$1510,"Loss"),-('Guide &amp; Settings'!$C$42/($F286-1))*$Z286)))</f>
        <v>15.533603129476869</v>
      </c>
      <c r="AB286" s="126">
        <f t="shared" si="96"/>
        <v>1059.2807367630878</v>
      </c>
      <c r="AC286" s="126">
        <f>IF($D286="","",IF($AD286=0,0,IF(COUNTIFS($D$4:$D286,$D286,$B$4:$B286,$B286)&gt;1,0,IF($B286&lt;'Guide &amp; Settings'!$C$50,0,IF(($B286-$AD286)/7-'Guide &amp; Settings'!$C$48&gt;=0,(INT(($B286-$AD286)/7-'Guide &amp; Settings'!$C$48)+1)*'Guide &amp; Settings'!$C$49,0)))))</f>
        <v>0</v>
      </c>
      <c r="AD286" s="142">
        <f t="shared" si="97"/>
        <v>46207</v>
      </c>
      <c r="AE286">
        <f t="shared" si="98"/>
        <v>1</v>
      </c>
      <c r="AF286">
        <f t="shared" si="99"/>
        <v>0</v>
      </c>
    </row>
    <row r="287" spans="1:32" ht="15" customHeight="1" x14ac:dyDescent="0.2">
      <c r="A287" s="117">
        <v>119</v>
      </c>
      <c r="B287" s="118">
        <v>46208</v>
      </c>
      <c r="C287" s="119" t="s">
        <v>44</v>
      </c>
      <c r="D287" s="119" t="s">
        <v>25</v>
      </c>
      <c r="E287" s="117" t="s">
        <v>371</v>
      </c>
      <c r="F287" s="120">
        <f t="shared" si="80"/>
        <v>2</v>
      </c>
      <c r="G287" s="121" t="str">
        <f t="shared" si="81"/>
        <v>Shawn</v>
      </c>
      <c r="H287" s="122">
        <f>IF($D287="",0,IFERROR(LOOKUP(2,1/(($D$3:D286=$D287)*($A$3:A286&lt;$A287)),$N$3:N286),'Guide &amp; Settings'!$C$41))</f>
        <v>1142.063135085871</v>
      </c>
      <c r="I287" s="123">
        <f t="shared" si="82"/>
        <v>0.4022988505747126</v>
      </c>
      <c r="J287" s="124">
        <f>IF($D287="",0,IF($F287&lt;2,0,IF($E287="Win",('Guide &amp; Settings'!$C$42/(($F287-1)*COUNTIFS($A$4:$A$1510,$A287,$E$4:$E$1510,"Win")))*SUMIFS($X$4:$X$1510,$A$4:$A$1510,$A287,$E$4:$E$1510,"Loss"),-('Guide &amp; Settings'!$C$42/($F287-1))*$X287)))</f>
        <v>-19.907550327573453</v>
      </c>
      <c r="K287" s="124">
        <f>IF($D287="",0,'Guide &amp; Settings'!$C$43*(IF($E287="Win",1,0)-$I287))</f>
        <v>-4.8275862068965516</v>
      </c>
      <c r="L287" s="125">
        <f>IF($D287="",0,'Guide &amp; Settings'!$C$44*IF($F287&gt;=3,$F287,0))</f>
        <v>0</v>
      </c>
      <c r="M287" s="124">
        <f t="shared" si="83"/>
        <v>-24.735136534470005</v>
      </c>
      <c r="N287" s="122">
        <f t="shared" si="84"/>
        <v>1117.3279985514009</v>
      </c>
      <c r="O287" s="121" t="str">
        <f t="shared" si="85"/>
        <v>OK</v>
      </c>
      <c r="P287">
        <f t="shared" si="86"/>
        <v>943.1992684640943</v>
      </c>
      <c r="Q287">
        <f t="shared" si="87"/>
        <v>0.75855112330023433</v>
      </c>
      <c r="R287">
        <f t="shared" si="88"/>
        <v>0.53846153846153844</v>
      </c>
      <c r="S287">
        <f t="shared" si="89"/>
        <v>1.3384615384615386</v>
      </c>
      <c r="T287" s="89">
        <f t="shared" si="90"/>
        <v>11</v>
      </c>
      <c r="U287" s="126">
        <f>IF($D287="",0,IFERROR(LOOKUP(2,1/(($D$3:D286=$D287)*($C$3:C286=$C287)*($A$3:A286&lt;$A287)),$AB$3:AB286),1000))</f>
        <v>1033.6165842741636</v>
      </c>
      <c r="V287" s="126">
        <f t="shared" si="91"/>
        <v>1067.5061314028221</v>
      </c>
      <c r="W287">
        <f t="shared" si="92"/>
        <v>980.90471790266304</v>
      </c>
      <c r="X287">
        <f t="shared" si="93"/>
        <v>0.62211094773667042</v>
      </c>
      <c r="Y287">
        <f t="shared" si="94"/>
        <v>1043.7471336336109</v>
      </c>
      <c r="Z287">
        <f t="shared" si="95"/>
        <v>0.48542509779615217</v>
      </c>
      <c r="AA287">
        <f>IF($D287="",0,IF($F287&lt;2,0,IF($E287="Win",('Guide &amp; Settings'!$C$42/(($F287-1)*COUNTIFS($A$4:$A$1510,$A287,$E$4:$E$1510,"Win")))*SUMIFS($Z$4:$Z$1510,$A$4:$A$1510,$A287,$E$4:$E$1510,"Loss"),-('Guide &amp; Settings'!$C$42/($F287-1))*$Z287)))</f>
        <v>-15.533603129476869</v>
      </c>
      <c r="AB287" s="126">
        <f t="shared" si="96"/>
        <v>1018.0829811446868</v>
      </c>
      <c r="AC287" s="126">
        <f>IF($D287="","",IF($AD287=0,0,IF(COUNTIFS($D$4:$D287,$D287,$B$4:$B287,$B287)&gt;1,0,IF($B287&lt;'Guide &amp; Settings'!$C$50,0,IF(($B287-$AD287)/7-'Guide &amp; Settings'!$C$48&gt;=0,(INT(($B287-$AD287)/7-'Guide &amp; Settings'!$C$48)+1)*'Guide &amp; Settings'!$C$49,0)))))</f>
        <v>0</v>
      </c>
      <c r="AD287" s="142">
        <f t="shared" si="97"/>
        <v>46207</v>
      </c>
      <c r="AE287">
        <f t="shared" si="98"/>
        <v>1</v>
      </c>
      <c r="AF287">
        <f t="shared" si="99"/>
        <v>0</v>
      </c>
    </row>
    <row r="288" spans="1:32" ht="15" customHeight="1" x14ac:dyDescent="0.2">
      <c r="A288" s="117">
        <v>120</v>
      </c>
      <c r="B288" s="118">
        <v>46208</v>
      </c>
      <c r="C288" s="119" t="s">
        <v>44</v>
      </c>
      <c r="D288" s="119" t="s">
        <v>20</v>
      </c>
      <c r="E288" s="117" t="s">
        <v>370</v>
      </c>
      <c r="F288" s="120">
        <f t="shared" si="80"/>
        <v>2</v>
      </c>
      <c r="G288" s="121" t="str">
        <f t="shared" si="81"/>
        <v>Shawn</v>
      </c>
      <c r="H288" s="122">
        <f>IF($D288="",0,IFERROR(LOOKUP(2,1/(($D$3:D287=$D288)*($A$3:A287&lt;$A288)),$N$3:N287),'Guide &amp; Settings'!$C$41))</f>
        <v>967.93440499856433</v>
      </c>
      <c r="I288" s="123">
        <f t="shared" si="82"/>
        <v>0.625</v>
      </c>
      <c r="J288" s="124">
        <f>IF($D288="",0,IF($F288&lt;2,0,IF($E288="Win",('Guide &amp; Settings'!$C$42/(($F288-1)*COUNTIFS($A$4:$A$1510,$A288,$E$4:$E$1510,"Win")))*SUMIFS($X$4:$X$1510,$A$4:$A$1510,$A288,$E$4:$E$1510,"Loss"),-('Guide &amp; Settings'!$C$42/($F288-1))*$X288)))</f>
        <v>17.776682183285757</v>
      </c>
      <c r="K288" s="124">
        <f>IF($D288="",0,'Guide &amp; Settings'!$C$43*(IF($E288="Win",1,0)-$I288))</f>
        <v>4.5</v>
      </c>
      <c r="L288" s="125">
        <f>IF($D288="",0,'Guide &amp; Settings'!$C$44*IF($F288&gt;=3,$F288,0))</f>
        <v>0</v>
      </c>
      <c r="M288" s="124">
        <f t="shared" si="83"/>
        <v>22.276682183285757</v>
      </c>
      <c r="N288" s="122">
        <f t="shared" si="84"/>
        <v>990.21108718185008</v>
      </c>
      <c r="O288" s="121" t="str">
        <f t="shared" si="85"/>
        <v>OK</v>
      </c>
      <c r="P288">
        <f t="shared" si="86"/>
        <v>967.93440499856433</v>
      </c>
      <c r="Q288">
        <f t="shared" si="87"/>
        <v>0.5</v>
      </c>
      <c r="R288">
        <f t="shared" si="88"/>
        <v>0.83333333333333337</v>
      </c>
      <c r="S288">
        <f t="shared" si="89"/>
        <v>1.3333333333333335</v>
      </c>
      <c r="T288" s="89">
        <f t="shared" si="90"/>
        <v>4</v>
      </c>
      <c r="U288" s="126">
        <f>IF($D288="",0,IFERROR(LOOKUP(2,1/(($D$3:D287=$D288)*($C$3:C287=$C288)*($A$3:A287&lt;$A288)),$AB$3:AB287),1000))</f>
        <v>1059.2807367630878</v>
      </c>
      <c r="V288" s="126">
        <f t="shared" si="91"/>
        <v>1008.532774671686</v>
      </c>
      <c r="W288">
        <f t="shared" si="92"/>
        <v>1008.532774671686</v>
      </c>
      <c r="X288">
        <f t="shared" si="93"/>
        <v>0.5</v>
      </c>
      <c r="Y288">
        <f t="shared" si="94"/>
        <v>1059.2807367630878</v>
      </c>
      <c r="Z288">
        <f t="shared" si="95"/>
        <v>0.5</v>
      </c>
      <c r="AA288">
        <f>IF($D288="",0,IF($F288&lt;2,0,IF($E288="Win",('Guide &amp; Settings'!$C$42/(($F288-1)*COUNTIFS($A$4:$A$1510,$A288,$E$4:$E$1510,"Win")))*SUMIFS($Z$4:$Z$1510,$A$4:$A$1510,$A288,$E$4:$E$1510,"Loss"),-('Guide &amp; Settings'!$C$42/($F288-1))*$Z288)))</f>
        <v>14.111615453782131</v>
      </c>
      <c r="AB288" s="126">
        <f t="shared" si="96"/>
        <v>1073.39235221687</v>
      </c>
      <c r="AC288" s="126">
        <f>IF($D288="","",IF($AD288=0,0,IF(COUNTIFS($D$4:$D288,$D288,$B$4:$B288,$B288)&gt;1,0,IF($B288&lt;'Guide &amp; Settings'!$C$50,0,IF(($B288-$AD288)/7-'Guide &amp; Settings'!$C$48&gt;=0,(INT(($B288-$AD288)/7-'Guide &amp; Settings'!$C$48)+1)*'Guide &amp; Settings'!$C$49,0)))))</f>
        <v>0</v>
      </c>
      <c r="AD288" s="142">
        <f t="shared" si="97"/>
        <v>46207</v>
      </c>
      <c r="AE288">
        <f t="shared" si="98"/>
        <v>1</v>
      </c>
      <c r="AF288">
        <f t="shared" si="99"/>
        <v>0</v>
      </c>
    </row>
    <row r="289" spans="1:32" ht="15" customHeight="1" x14ac:dyDescent="0.2">
      <c r="A289" s="117">
        <v>120</v>
      </c>
      <c r="B289" s="118">
        <v>46208</v>
      </c>
      <c r="C289" s="119" t="s">
        <v>44</v>
      </c>
      <c r="D289" s="119" t="s">
        <v>25</v>
      </c>
      <c r="E289" s="117" t="s">
        <v>371</v>
      </c>
      <c r="F289" s="120">
        <f t="shared" si="80"/>
        <v>2</v>
      </c>
      <c r="G289" s="121" t="str">
        <f t="shared" si="81"/>
        <v>Shawn</v>
      </c>
      <c r="H289" s="122">
        <f>IF($D289="",0,IFERROR(LOOKUP(2,1/(($D$3:D288=$D289)*($A$3:A288&lt;$A289)),$N$3:N288),'Guide &amp; Settings'!$C$41))</f>
        <v>1117.3279985514009</v>
      </c>
      <c r="I289" s="123">
        <f t="shared" si="82"/>
        <v>0.37499999999999994</v>
      </c>
      <c r="J289" s="124">
        <f>IF($D289="",0,IF($F289&lt;2,0,IF($E289="Win",('Guide &amp; Settings'!$C$42/(($F289-1)*COUNTIFS($A$4:$A$1510,$A289,$E$4:$E$1510,"Win")))*SUMIFS($X$4:$X$1510,$A$4:$A$1510,$A289,$E$4:$E$1510,"Loss"),-('Guide &amp; Settings'!$C$42/($F289-1))*$X289)))</f>
        <v>-17.776682183285757</v>
      </c>
      <c r="K289" s="124">
        <f>IF($D289="",0,'Guide &amp; Settings'!$C$43*(IF($E289="Win",1,0)-$I289))</f>
        <v>-4.4999999999999991</v>
      </c>
      <c r="L289" s="125">
        <f>IF($D289="",0,'Guide &amp; Settings'!$C$44*IF($F289&gt;=3,$F289,0))</f>
        <v>0</v>
      </c>
      <c r="M289" s="124">
        <f t="shared" si="83"/>
        <v>-22.276682183285757</v>
      </c>
      <c r="N289" s="122">
        <f t="shared" si="84"/>
        <v>1095.0513163681151</v>
      </c>
      <c r="O289" s="121" t="str">
        <f t="shared" si="85"/>
        <v>OK</v>
      </c>
      <c r="P289">
        <f t="shared" si="86"/>
        <v>967.93440499856433</v>
      </c>
      <c r="Q289">
        <f t="shared" si="87"/>
        <v>0.70265619448391325</v>
      </c>
      <c r="R289">
        <f t="shared" si="88"/>
        <v>0.5</v>
      </c>
      <c r="S289">
        <f t="shared" si="89"/>
        <v>1.3333333333333335</v>
      </c>
      <c r="T289" s="89">
        <f t="shared" si="90"/>
        <v>12</v>
      </c>
      <c r="U289" s="126">
        <f>IF($D289="",0,IFERROR(LOOKUP(2,1/(($D$3:D288=$D289)*($C$3:C288=$C289)*($A$3:A288&lt;$A289)),$AB$3:AB288),1000))</f>
        <v>1018.0829811446868</v>
      </c>
      <c r="V289" s="126">
        <f t="shared" si="91"/>
        <v>1047.2726921466615</v>
      </c>
      <c r="W289">
        <f t="shared" si="92"/>
        <v>1008.532774671686</v>
      </c>
      <c r="X289">
        <f t="shared" si="93"/>
        <v>0.55552131822767992</v>
      </c>
      <c r="Y289">
        <f t="shared" si="94"/>
        <v>1059.2807367630878</v>
      </c>
      <c r="Z289">
        <f t="shared" si="95"/>
        <v>0.44098798293069158</v>
      </c>
      <c r="AA289">
        <f>IF($D289="",0,IF($F289&lt;2,0,IF($E289="Win",('Guide &amp; Settings'!$C$42/(($F289-1)*COUNTIFS($A$4:$A$1510,$A289,$E$4:$E$1510,"Win")))*SUMIFS($Z$4:$Z$1510,$A$4:$A$1510,$A289,$E$4:$E$1510,"Loss"),-('Guide &amp; Settings'!$C$42/($F289-1))*$Z289)))</f>
        <v>-14.111615453782131</v>
      </c>
      <c r="AB289" s="126">
        <f t="shared" si="96"/>
        <v>1003.9713656909046</v>
      </c>
      <c r="AC289" s="126">
        <f>IF($D289="","",IF($AD289=0,0,IF(COUNTIFS($D$4:$D289,$D289,$B$4:$B289,$B289)&gt;1,0,IF($B289&lt;'Guide &amp; Settings'!$C$50,0,IF(($B289-$AD289)/7-'Guide &amp; Settings'!$C$48&gt;=0,(INT(($B289-$AD289)/7-'Guide &amp; Settings'!$C$48)+1)*'Guide &amp; Settings'!$C$49,0)))))</f>
        <v>0</v>
      </c>
      <c r="AD289" s="142">
        <f t="shared" si="97"/>
        <v>46207</v>
      </c>
      <c r="AE289">
        <f t="shared" si="98"/>
        <v>1</v>
      </c>
      <c r="AF289">
        <f t="shared" si="99"/>
        <v>0</v>
      </c>
    </row>
    <row r="290" spans="1:32" ht="15" customHeight="1" x14ac:dyDescent="0.2">
      <c r="A290" s="117">
        <v>121</v>
      </c>
      <c r="B290" s="118">
        <v>46208</v>
      </c>
      <c r="C290" s="119" t="s">
        <v>9</v>
      </c>
      <c r="D290" s="119" t="s">
        <v>20</v>
      </c>
      <c r="E290" s="117" t="s">
        <v>371</v>
      </c>
      <c r="F290" s="120">
        <f t="shared" si="80"/>
        <v>2</v>
      </c>
      <c r="G290" s="121" t="str">
        <f t="shared" si="81"/>
        <v>Daniel (Ferret)</v>
      </c>
      <c r="H290" s="122">
        <f>IF($D290="",0,IFERROR(LOOKUP(2,1/(($D$3:D289=$D290)*($A$3:A289&lt;$A290)),$N$3:N289),'Guide &amp; Settings'!$C$41))</f>
        <v>990.21108718185008</v>
      </c>
      <c r="I290" s="123">
        <f t="shared" si="82"/>
        <v>0.26315789473684204</v>
      </c>
      <c r="J290" s="124">
        <f>IF($D290="",0,IF($F290&lt;2,0,IF($E290="Win",('Guide &amp; Settings'!$C$42/(($F290-1)*COUNTIFS($A$4:$A$1510,$A290,$E$4:$E$1510,"Win")))*SUMIFS($X$4:$X$1510,$A$4:$A$1510,$A290,$E$4:$E$1510,"Loss"),-('Guide &amp; Settings'!$C$42/($F290-1))*$X290)))</f>
        <v>-12.7378910016298</v>
      </c>
      <c r="K290" s="124">
        <f>IF($D290="",0,'Guide &amp; Settings'!$C$43*(IF($E290="Win",1,0)-$I290))</f>
        <v>-3.1578947368421044</v>
      </c>
      <c r="L290" s="125">
        <f>IF($D290="",0,'Guide &amp; Settings'!$C$44*IF($F290&gt;=3,$F290,0))</f>
        <v>0</v>
      </c>
      <c r="M290" s="124">
        <f t="shared" si="83"/>
        <v>-15.895785738471904</v>
      </c>
      <c r="N290" s="122">
        <f t="shared" si="84"/>
        <v>974.31530144337819</v>
      </c>
      <c r="O290" s="121" t="str">
        <f t="shared" si="85"/>
        <v>OK</v>
      </c>
      <c r="P290">
        <f t="shared" si="86"/>
        <v>1054.5833032053702</v>
      </c>
      <c r="Q290">
        <f t="shared" si="87"/>
        <v>0.40840661576610043</v>
      </c>
      <c r="R290">
        <f t="shared" si="88"/>
        <v>0.2857142857142857</v>
      </c>
      <c r="S290">
        <f t="shared" si="89"/>
        <v>1.0857142857142859</v>
      </c>
      <c r="T290" s="89">
        <f t="shared" si="90"/>
        <v>5</v>
      </c>
      <c r="U290" s="126">
        <f>IF($D290="",0,IFERROR(LOOKUP(2,1/(($D$3:D289=$D290)*($C$3:C289=$C290)*($A$3:A289&lt;$A290)),$AB$3:AB289),1000))</f>
        <v>968.44105725737359</v>
      </c>
      <c r="V290" s="126">
        <f t="shared" si="91"/>
        <v>979.32607221961189</v>
      </c>
      <c r="W290">
        <f t="shared" si="92"/>
        <v>1051.1685953279684</v>
      </c>
      <c r="X290">
        <f t="shared" si="93"/>
        <v>0.39805909380093124</v>
      </c>
      <c r="Y290">
        <f t="shared" si="94"/>
        <v>1045.4774155322991</v>
      </c>
      <c r="Z290">
        <f t="shared" si="95"/>
        <v>0.3909175620918483</v>
      </c>
      <c r="AA290">
        <f>IF($D290="",0,IF($F290&lt;2,0,IF($E290="Win",('Guide &amp; Settings'!$C$42/(($F290-1)*COUNTIFS($A$4:$A$1510,$A290,$E$4:$E$1510,"Win")))*SUMIFS($Z$4:$Z$1510,$A$4:$A$1510,$A290,$E$4:$E$1510,"Loss"),-('Guide &amp; Settings'!$C$42/($F290-1))*$Z290)))</f>
        <v>-12.509361986939146</v>
      </c>
      <c r="AB290" s="126">
        <f t="shared" si="96"/>
        <v>955.93169527043449</v>
      </c>
      <c r="AC290" s="126">
        <f>IF($D290="","",IF($AD290=0,0,IF(COUNTIFS($D$4:$D290,$D290,$B$4:$B290,$B290)&gt;1,0,IF($B290&lt;'Guide &amp; Settings'!$C$50,0,IF(($B290-$AD290)/7-'Guide &amp; Settings'!$C$48&gt;=0,(INT(($B290-$AD290)/7-'Guide &amp; Settings'!$C$48)+1)*'Guide &amp; Settings'!$C$49,0)))))</f>
        <v>0</v>
      </c>
      <c r="AD290" s="142">
        <f t="shared" si="97"/>
        <v>46207</v>
      </c>
      <c r="AE290">
        <f t="shared" si="98"/>
        <v>1</v>
      </c>
      <c r="AF290">
        <f t="shared" si="99"/>
        <v>0</v>
      </c>
    </row>
    <row r="291" spans="1:32" ht="15" customHeight="1" x14ac:dyDescent="0.2">
      <c r="A291" s="117">
        <v>121</v>
      </c>
      <c r="B291" s="118">
        <v>46208</v>
      </c>
      <c r="C291" s="119" t="s">
        <v>9</v>
      </c>
      <c r="D291" s="119" t="s">
        <v>22</v>
      </c>
      <c r="E291" s="117" t="s">
        <v>370</v>
      </c>
      <c r="F291" s="120">
        <f t="shared" si="80"/>
        <v>2</v>
      </c>
      <c r="G291" s="121" t="str">
        <f t="shared" si="81"/>
        <v>Daniel (Ferret)</v>
      </c>
      <c r="H291" s="122">
        <f>IF($D291="",0,IFERROR(LOOKUP(2,1/(($D$3:D290=$D291)*($A$3:A290&lt;$A291)),$N$3:N290),'Guide &amp; Settings'!$C$41))</f>
        <v>1054.5833032053702</v>
      </c>
      <c r="I291" s="123">
        <f t="shared" si="82"/>
        <v>0.73684210526315785</v>
      </c>
      <c r="J291" s="124">
        <f>IF($D291="",0,IF($F291&lt;2,0,IF($E291="Win",('Guide &amp; Settings'!$C$42/(($F291-1)*COUNTIFS($A$4:$A$1510,$A291,$E$4:$E$1510,"Win")))*SUMIFS($X$4:$X$1510,$A$4:$A$1510,$A291,$E$4:$E$1510,"Loss"),-('Guide &amp; Settings'!$C$42/($F291-1))*$X291)))</f>
        <v>12.7378910016298</v>
      </c>
      <c r="K291" s="124">
        <f>IF($D291="",0,'Guide &amp; Settings'!$C$43*(IF($E291="Win",1,0)-$I291))</f>
        <v>3.1578947368421058</v>
      </c>
      <c r="L291" s="125">
        <f>IF($D291="",0,'Guide &amp; Settings'!$C$44*IF($F291&gt;=3,$F291,0))</f>
        <v>0</v>
      </c>
      <c r="M291" s="124">
        <f t="shared" si="83"/>
        <v>15.895785738471906</v>
      </c>
      <c r="N291" s="122">
        <f t="shared" si="84"/>
        <v>1070.479088943842</v>
      </c>
      <c r="O291" s="121" t="str">
        <f t="shared" si="85"/>
        <v>OK</v>
      </c>
      <c r="P291">
        <f t="shared" si="86"/>
        <v>1054.5833032053702</v>
      </c>
      <c r="Q291">
        <f t="shared" si="87"/>
        <v>0.5</v>
      </c>
      <c r="R291">
        <f t="shared" si="88"/>
        <v>0.8</v>
      </c>
      <c r="S291">
        <f t="shared" si="89"/>
        <v>1.0857142857142859</v>
      </c>
      <c r="T291" s="89">
        <f t="shared" si="90"/>
        <v>3</v>
      </c>
      <c r="U291" s="126">
        <f>IF($D291="",0,IFERROR(LOOKUP(2,1/(($D$3:D290=$D291)*($C$3:C290=$C291)*($A$3:A290&lt;$A291)),$AB$3:AB290),1000))</f>
        <v>1045.4774155322991</v>
      </c>
      <c r="V291" s="126">
        <f t="shared" si="91"/>
        <v>1051.1685953279684</v>
      </c>
      <c r="W291">
        <f t="shared" si="92"/>
        <v>1051.1685953279684</v>
      </c>
      <c r="X291">
        <f t="shared" si="93"/>
        <v>0.5</v>
      </c>
      <c r="Y291">
        <f t="shared" si="94"/>
        <v>1045.4774155322991</v>
      </c>
      <c r="Z291">
        <f t="shared" si="95"/>
        <v>0.5</v>
      </c>
      <c r="AA291">
        <f>IF($D291="",0,IF($F291&lt;2,0,IF($E291="Win",('Guide &amp; Settings'!$C$42/(($F291-1)*COUNTIFS($A$4:$A$1510,$A291,$E$4:$E$1510,"Win")))*SUMIFS($Z$4:$Z$1510,$A$4:$A$1510,$A291,$E$4:$E$1510,"Loss"),-('Guide &amp; Settings'!$C$42/($F291-1))*$Z291)))</f>
        <v>12.509361986939146</v>
      </c>
      <c r="AB291" s="126">
        <f t="shared" si="96"/>
        <v>1057.9867775192383</v>
      </c>
      <c r="AC291" s="126">
        <f>IF($D291="","",IF($AD291=0,0,IF(COUNTIFS($D$4:$D291,$D291,$B$4:$B291,$B291)&gt;1,0,IF($B291&lt;'Guide &amp; Settings'!$C$50,0,IF(($B291-$AD291)/7-'Guide &amp; Settings'!$C$48&gt;=0,(INT(($B291-$AD291)/7-'Guide &amp; Settings'!$C$48)+1)*'Guide &amp; Settings'!$C$49,0)))))</f>
        <v>0</v>
      </c>
      <c r="AD291" s="142">
        <f t="shared" si="97"/>
        <v>46202</v>
      </c>
      <c r="AE291">
        <f t="shared" si="98"/>
        <v>1</v>
      </c>
      <c r="AF291">
        <f t="shared" si="99"/>
        <v>0</v>
      </c>
    </row>
    <row r="292" spans="1:32" ht="15" customHeight="1" x14ac:dyDescent="0.2">
      <c r="A292" s="117">
        <v>122</v>
      </c>
      <c r="B292" s="118">
        <v>46208</v>
      </c>
      <c r="C292" s="119" t="s">
        <v>9</v>
      </c>
      <c r="D292" s="119" t="s">
        <v>20</v>
      </c>
      <c r="E292" s="117" t="s">
        <v>370</v>
      </c>
      <c r="F292" s="120">
        <f t="shared" si="80"/>
        <v>2</v>
      </c>
      <c r="G292" s="121" t="str">
        <f t="shared" si="81"/>
        <v>Shawn</v>
      </c>
      <c r="H292" s="122">
        <f>IF($D292="",0,IFERROR(LOOKUP(2,1/(($D$3:D291=$D292)*($A$3:A291&lt;$A292)),$N$3:N291),'Guide &amp; Settings'!$C$41))</f>
        <v>974.31530144337819</v>
      </c>
      <c r="I292" s="123">
        <f t="shared" si="82"/>
        <v>0.23076923076923073</v>
      </c>
      <c r="J292" s="124">
        <f>IF($D292="",0,IF($F292&lt;2,0,IF($E292="Win",('Guide &amp; Settings'!$C$42/(($F292-1)*COUNTIFS($A$4:$A$1510,$A292,$E$4:$E$1510,"Win")))*SUMIFS($X$4:$X$1510,$A$4:$A$1510,$A292,$E$4:$E$1510,"Loss"),-('Guide &amp; Settings'!$C$42/($F292-1))*$X292)))</f>
        <v>20.509186808530188</v>
      </c>
      <c r="K292" s="124">
        <f>IF($D292="",0,'Guide &amp; Settings'!$C$43*(IF($E292="Win",1,0)-$I292))</f>
        <v>9.2307692307692317</v>
      </c>
      <c r="L292" s="125">
        <f>IF($D292="",0,'Guide &amp; Settings'!$C$44*IF($F292&gt;=3,$F292,0))</f>
        <v>0</v>
      </c>
      <c r="M292" s="124">
        <f t="shared" si="83"/>
        <v>29.739956039299422</v>
      </c>
      <c r="N292" s="122">
        <f t="shared" si="84"/>
        <v>1004.0552574826776</v>
      </c>
      <c r="O292" s="121" t="str">
        <f t="shared" si="85"/>
        <v>OK</v>
      </c>
      <c r="P292">
        <f t="shared" si="86"/>
        <v>974.31530144337819</v>
      </c>
      <c r="Q292">
        <f t="shared" si="87"/>
        <v>0.5</v>
      </c>
      <c r="R292">
        <f t="shared" si="88"/>
        <v>0.25</v>
      </c>
      <c r="S292">
        <f t="shared" si="89"/>
        <v>1.0833333333333335</v>
      </c>
      <c r="T292" s="89">
        <f t="shared" si="90"/>
        <v>6</v>
      </c>
      <c r="U292" s="126">
        <f>IF($D292="",0,IFERROR(LOOKUP(2,1/(($D$3:D291=$D292)*($C$3:C291=$C292)*($A$3:A291&lt;$A292)),$AB$3:AB291),1000))</f>
        <v>955.93169527043449</v>
      </c>
      <c r="V292" s="126">
        <f t="shared" si="91"/>
        <v>964.28787989449984</v>
      </c>
      <c r="W292">
        <f t="shared" si="92"/>
        <v>964.28787989449984</v>
      </c>
      <c r="X292">
        <f t="shared" si="93"/>
        <v>0.5</v>
      </c>
      <c r="Y292">
        <f t="shared" si="94"/>
        <v>955.93169527043449</v>
      </c>
      <c r="Z292">
        <f t="shared" si="95"/>
        <v>0.5</v>
      </c>
      <c r="AA292">
        <f>IF($D292="",0,IF($F292&lt;2,0,IF($E292="Win",('Guide &amp; Settings'!$C$42/(($F292-1)*COUNTIFS($A$4:$A$1510,$A292,$E$4:$E$1510,"Win")))*SUMIFS($Z$4:$Z$1510,$A$4:$A$1510,$A292,$E$4:$E$1510,"Loss"),-('Guide &amp; Settings'!$C$42/($F292-1))*$Z292)))</f>
        <v>20.569148074012489</v>
      </c>
      <c r="AB292" s="126">
        <f t="shared" si="96"/>
        <v>976.50084334444693</v>
      </c>
      <c r="AC292" s="126">
        <f>IF($D292="","",IF($AD292=0,0,IF(COUNTIFS($D$4:$D292,$D292,$B$4:$B292,$B292)&gt;1,0,IF($B292&lt;'Guide &amp; Settings'!$C$50,0,IF(($B292-$AD292)/7-'Guide &amp; Settings'!$C$48&gt;=0,(INT(($B292-$AD292)/7-'Guide &amp; Settings'!$C$48)+1)*'Guide &amp; Settings'!$C$49,0)))))</f>
        <v>0</v>
      </c>
      <c r="AD292" s="142">
        <f t="shared" si="97"/>
        <v>46207</v>
      </c>
      <c r="AE292">
        <f t="shared" si="98"/>
        <v>1</v>
      </c>
      <c r="AF292">
        <f t="shared" si="99"/>
        <v>0</v>
      </c>
    </row>
    <row r="293" spans="1:32" ht="15" customHeight="1" x14ac:dyDescent="0.2">
      <c r="A293" s="117">
        <v>122</v>
      </c>
      <c r="B293" s="118">
        <v>46208</v>
      </c>
      <c r="C293" s="119" t="s">
        <v>9</v>
      </c>
      <c r="D293" s="119" t="s">
        <v>22</v>
      </c>
      <c r="E293" s="117" t="s">
        <v>371</v>
      </c>
      <c r="F293" s="120">
        <f t="shared" si="80"/>
        <v>2</v>
      </c>
      <c r="G293" s="121" t="str">
        <f t="shared" si="81"/>
        <v>Shawn</v>
      </c>
      <c r="H293" s="122">
        <f>IF($D293="",0,IFERROR(LOOKUP(2,1/(($D$3:D292=$D293)*($A$3:A292&lt;$A293)),$N$3:N292),'Guide &amp; Settings'!$C$41))</f>
        <v>1070.479088943842</v>
      </c>
      <c r="I293" s="123">
        <f t="shared" si="82"/>
        <v>0.76923076923076916</v>
      </c>
      <c r="J293" s="124">
        <f>IF($D293="",0,IF($F293&lt;2,0,IF($E293="Win",('Guide &amp; Settings'!$C$42/(($F293-1)*COUNTIFS($A$4:$A$1510,$A293,$E$4:$E$1510,"Win")))*SUMIFS($X$4:$X$1510,$A$4:$A$1510,$A293,$E$4:$E$1510,"Loss"),-('Guide &amp; Settings'!$C$42/($F293-1))*$X293)))</f>
        <v>-20.509186808530188</v>
      </c>
      <c r="K293" s="124">
        <f>IF($D293="",0,'Guide &amp; Settings'!$C$43*(IF($E293="Win",1,0)-$I293))</f>
        <v>-9.2307692307692299</v>
      </c>
      <c r="L293" s="125">
        <f>IF($D293="",0,'Guide &amp; Settings'!$C$44*IF($F293&gt;=3,$F293,0))</f>
        <v>0</v>
      </c>
      <c r="M293" s="124">
        <f t="shared" si="83"/>
        <v>-29.739956039299418</v>
      </c>
      <c r="N293" s="122">
        <f t="shared" si="84"/>
        <v>1040.7391329045427</v>
      </c>
      <c r="O293" s="121" t="str">
        <f t="shared" si="85"/>
        <v>OK</v>
      </c>
      <c r="P293">
        <f t="shared" si="86"/>
        <v>974.31530144337819</v>
      </c>
      <c r="Q293">
        <f t="shared" si="87"/>
        <v>0.63496189850845441</v>
      </c>
      <c r="R293">
        <f t="shared" si="88"/>
        <v>0.83333333333333337</v>
      </c>
      <c r="S293">
        <f t="shared" si="89"/>
        <v>1.0833333333333335</v>
      </c>
      <c r="T293" s="89">
        <f t="shared" si="90"/>
        <v>4</v>
      </c>
      <c r="U293" s="126">
        <f>IF($D293="",0,IFERROR(LOOKUP(2,1/(($D$3:D292=$D293)*($C$3:C292=$C293)*($A$3:A292&lt;$A293)),$AB$3:AB292),1000))</f>
        <v>1057.9867775192383</v>
      </c>
      <c r="V293" s="126">
        <f t="shared" si="91"/>
        <v>1064.9269505329071</v>
      </c>
      <c r="W293">
        <f t="shared" si="92"/>
        <v>964.28787989449984</v>
      </c>
      <c r="X293">
        <f t="shared" si="93"/>
        <v>0.64091208776656838</v>
      </c>
      <c r="Y293">
        <f t="shared" si="94"/>
        <v>955.93169527043449</v>
      </c>
      <c r="Z293">
        <f t="shared" si="95"/>
        <v>0.64278587731289027</v>
      </c>
      <c r="AA293">
        <f>IF($D293="",0,IF($F293&lt;2,0,IF($E293="Win",('Guide &amp; Settings'!$C$42/(($F293-1)*COUNTIFS($A$4:$A$1510,$A293,$E$4:$E$1510,"Win")))*SUMIFS($Z$4:$Z$1510,$A$4:$A$1510,$A293,$E$4:$E$1510,"Loss"),-('Guide &amp; Settings'!$C$42/($F293-1))*$Z293)))</f>
        <v>-20.569148074012489</v>
      </c>
      <c r="AB293" s="126">
        <f t="shared" si="96"/>
        <v>1037.4176294452259</v>
      </c>
      <c r="AC293" s="126">
        <f>IF($D293="","",IF($AD293=0,0,IF(COUNTIFS($D$4:$D293,$D293,$B$4:$B293,$B293)&gt;1,0,IF($B293&lt;'Guide &amp; Settings'!$C$50,0,IF(($B293-$AD293)/7-'Guide &amp; Settings'!$C$48&gt;=0,(INT(($B293-$AD293)/7-'Guide &amp; Settings'!$C$48)+1)*'Guide &amp; Settings'!$C$49,0)))))</f>
        <v>0</v>
      </c>
      <c r="AD293" s="142">
        <f t="shared" si="97"/>
        <v>46202</v>
      </c>
      <c r="AE293">
        <f t="shared" si="98"/>
        <v>1</v>
      </c>
      <c r="AF293">
        <f t="shared" si="99"/>
        <v>0</v>
      </c>
    </row>
    <row r="294" spans="1:32" ht="15" customHeight="1" x14ac:dyDescent="0.2">
      <c r="A294" s="117">
        <v>123</v>
      </c>
      <c r="B294" s="118">
        <v>46208</v>
      </c>
      <c r="C294" s="119" t="s">
        <v>9</v>
      </c>
      <c r="D294" s="119" t="s">
        <v>20</v>
      </c>
      <c r="E294" s="117" t="s">
        <v>371</v>
      </c>
      <c r="F294" s="120">
        <f t="shared" si="80"/>
        <v>2</v>
      </c>
      <c r="G294" s="121" t="str">
        <f t="shared" si="81"/>
        <v>Daniel (Ferret)</v>
      </c>
      <c r="H294" s="122">
        <f>IF($D294="",0,IFERROR(LOOKUP(2,1/(($D$3:D293=$D294)*($A$3:A293&lt;$A294)),$N$3:N293),'Guide &amp; Settings'!$C$41))</f>
        <v>1004.0552574826776</v>
      </c>
      <c r="I294" s="123">
        <f t="shared" si="82"/>
        <v>0.31818181818181812</v>
      </c>
      <c r="J294" s="124">
        <f>IF($D294="",0,IF($F294&lt;2,0,IF($E294="Win",('Guide &amp; Settings'!$C$42/(($F294-1)*COUNTIFS($A$4:$A$1510,$A294,$E$4:$E$1510,"Win")))*SUMIFS($X$4:$X$1510,$A$4:$A$1510,$A294,$E$4:$E$1510,"Loss"),-('Guide &amp; Settings'!$C$42/($F294-1))*$X294)))</f>
        <v>-13.663737099635748</v>
      </c>
      <c r="K294" s="124">
        <f>IF($D294="",0,'Guide &amp; Settings'!$C$43*(IF($E294="Win",1,0)-$I294))</f>
        <v>-3.8181818181818175</v>
      </c>
      <c r="L294" s="125">
        <f>IF($D294="",0,'Guide &amp; Settings'!$C$44*IF($F294&gt;=3,$F294,0))</f>
        <v>0</v>
      </c>
      <c r="M294" s="124">
        <f t="shared" si="83"/>
        <v>-17.481918917817566</v>
      </c>
      <c r="N294" s="122">
        <f t="shared" si="84"/>
        <v>986.57333856486002</v>
      </c>
      <c r="O294" s="121" t="str">
        <f t="shared" si="85"/>
        <v>OK</v>
      </c>
      <c r="P294">
        <f t="shared" si="86"/>
        <v>1040.7391329045427</v>
      </c>
      <c r="Q294">
        <f t="shared" si="87"/>
        <v>0.4474029672171419</v>
      </c>
      <c r="R294">
        <f t="shared" si="88"/>
        <v>0.33333333333333331</v>
      </c>
      <c r="S294">
        <f t="shared" si="89"/>
        <v>1.0476190476190477</v>
      </c>
      <c r="T294" s="89">
        <f t="shared" si="90"/>
        <v>7</v>
      </c>
      <c r="U294" s="126">
        <f>IF($D294="",0,IFERROR(LOOKUP(2,1/(($D$3:D293=$D294)*($C$3:C293=$C294)*($A$3:A293&lt;$A294)),$AB$3:AB293),1000))</f>
        <v>976.50084334444693</v>
      </c>
      <c r="V294" s="126">
        <f t="shared" si="91"/>
        <v>987.98184923537633</v>
      </c>
      <c r="W294">
        <f t="shared" si="92"/>
        <v>1039.0783811748843</v>
      </c>
      <c r="X294">
        <f t="shared" si="93"/>
        <v>0.42699178436361712</v>
      </c>
      <c r="Y294">
        <f t="shared" si="94"/>
        <v>1037.4176294452259</v>
      </c>
      <c r="Z294">
        <f t="shared" si="95"/>
        <v>0.41322111893982072</v>
      </c>
      <c r="AA294">
        <f>IF($D294="",0,IF($F294&lt;2,0,IF($E294="Win",('Guide &amp; Settings'!$C$42/(($F294-1)*COUNTIFS($A$4:$A$1510,$A294,$E$4:$E$1510,"Win")))*SUMIFS($Z$4:$Z$1510,$A$4:$A$1510,$A294,$E$4:$E$1510,"Loss"),-('Guide &amp; Settings'!$C$42/($F294-1))*$Z294)))</f>
        <v>-13.223075806074263</v>
      </c>
      <c r="AB294" s="126">
        <f t="shared" si="96"/>
        <v>963.2777675383727</v>
      </c>
      <c r="AC294" s="126">
        <f>IF($D294="","",IF($AD294=0,0,IF(COUNTIFS($D$4:$D294,$D294,$B$4:$B294,$B294)&gt;1,0,IF($B294&lt;'Guide &amp; Settings'!$C$50,0,IF(($B294-$AD294)/7-'Guide &amp; Settings'!$C$48&gt;=0,(INT(($B294-$AD294)/7-'Guide &amp; Settings'!$C$48)+1)*'Guide &amp; Settings'!$C$49,0)))))</f>
        <v>0</v>
      </c>
      <c r="AD294" s="142">
        <f t="shared" si="97"/>
        <v>46207</v>
      </c>
      <c r="AE294">
        <f t="shared" si="98"/>
        <v>1</v>
      </c>
      <c r="AF294">
        <f t="shared" si="99"/>
        <v>0</v>
      </c>
    </row>
    <row r="295" spans="1:32" ht="15" customHeight="1" x14ac:dyDescent="0.2">
      <c r="A295" s="117">
        <v>123</v>
      </c>
      <c r="B295" s="118">
        <v>46208</v>
      </c>
      <c r="C295" s="119" t="s">
        <v>9</v>
      </c>
      <c r="D295" s="119" t="s">
        <v>22</v>
      </c>
      <c r="E295" s="117" t="s">
        <v>370</v>
      </c>
      <c r="F295" s="120">
        <f t="shared" si="80"/>
        <v>2</v>
      </c>
      <c r="G295" s="121" t="str">
        <f t="shared" si="81"/>
        <v>Daniel (Ferret)</v>
      </c>
      <c r="H295" s="122">
        <f>IF($D295="",0,IFERROR(LOOKUP(2,1/(($D$3:D294=$D295)*($A$3:A294&lt;$A295)),$N$3:N294),'Guide &amp; Settings'!$C$41))</f>
        <v>1040.7391329045427</v>
      </c>
      <c r="I295" s="123">
        <f t="shared" si="82"/>
        <v>0.68181818181818177</v>
      </c>
      <c r="J295" s="124">
        <f>IF($D295="",0,IF($F295&lt;2,0,IF($E295="Win",('Guide &amp; Settings'!$C$42/(($F295-1)*COUNTIFS($A$4:$A$1510,$A295,$E$4:$E$1510,"Win")))*SUMIFS($X$4:$X$1510,$A$4:$A$1510,$A295,$E$4:$E$1510,"Loss"),-('Guide &amp; Settings'!$C$42/($F295-1))*$X295)))</f>
        <v>13.663737099635748</v>
      </c>
      <c r="K295" s="124">
        <f>IF($D295="",0,'Guide &amp; Settings'!$C$43*(IF($E295="Win",1,0)-$I295))</f>
        <v>3.8181818181818188</v>
      </c>
      <c r="L295" s="125">
        <f>IF($D295="",0,'Guide &amp; Settings'!$C$44*IF($F295&gt;=3,$F295,0))</f>
        <v>0</v>
      </c>
      <c r="M295" s="124">
        <f t="shared" si="83"/>
        <v>17.481918917817566</v>
      </c>
      <c r="N295" s="122">
        <f t="shared" si="84"/>
        <v>1058.2210518223603</v>
      </c>
      <c r="O295" s="121" t="str">
        <f t="shared" si="85"/>
        <v>OK</v>
      </c>
      <c r="P295">
        <f t="shared" si="86"/>
        <v>1040.7391329045427</v>
      </c>
      <c r="Q295">
        <f t="shared" si="87"/>
        <v>0.5</v>
      </c>
      <c r="R295">
        <f t="shared" si="88"/>
        <v>0.7142857142857143</v>
      </c>
      <c r="S295">
        <f t="shared" si="89"/>
        <v>1.0476190476190477</v>
      </c>
      <c r="T295" s="89">
        <f t="shared" si="90"/>
        <v>5</v>
      </c>
      <c r="U295" s="126">
        <f>IF($D295="",0,IFERROR(LOOKUP(2,1/(($D$3:D294=$D295)*($C$3:C294=$C295)*($A$3:A294&lt;$A295)),$AB$3:AB294),1000))</f>
        <v>1037.4176294452259</v>
      </c>
      <c r="V295" s="126">
        <f t="shared" si="91"/>
        <v>1039.0783811748843</v>
      </c>
      <c r="W295">
        <f t="shared" si="92"/>
        <v>1039.0783811748843</v>
      </c>
      <c r="X295">
        <f t="shared" si="93"/>
        <v>0.5</v>
      </c>
      <c r="Y295">
        <f t="shared" si="94"/>
        <v>1037.4176294452259</v>
      </c>
      <c r="Z295">
        <f t="shared" si="95"/>
        <v>0.5</v>
      </c>
      <c r="AA295">
        <f>IF($D295="",0,IF($F295&lt;2,0,IF($E295="Win",('Guide &amp; Settings'!$C$42/(($F295-1)*COUNTIFS($A$4:$A$1510,$A295,$E$4:$E$1510,"Win")))*SUMIFS($Z$4:$Z$1510,$A$4:$A$1510,$A295,$E$4:$E$1510,"Loss"),-('Guide &amp; Settings'!$C$42/($F295-1))*$Z295)))</f>
        <v>13.223075806074263</v>
      </c>
      <c r="AB295" s="126">
        <f t="shared" si="96"/>
        <v>1050.6407052513002</v>
      </c>
      <c r="AC295" s="126">
        <f>IF($D295="","",IF($AD295=0,0,IF(COUNTIFS($D$4:$D295,$D295,$B$4:$B295,$B295)&gt;1,0,IF($B295&lt;'Guide &amp; Settings'!$C$50,0,IF(($B295-$AD295)/7-'Guide &amp; Settings'!$C$48&gt;=0,(INT(($B295-$AD295)/7-'Guide &amp; Settings'!$C$48)+1)*'Guide &amp; Settings'!$C$49,0)))))</f>
        <v>0</v>
      </c>
      <c r="AD295" s="142">
        <f t="shared" si="97"/>
        <v>46202</v>
      </c>
      <c r="AE295">
        <f t="shared" si="98"/>
        <v>1</v>
      </c>
      <c r="AF295">
        <f t="shared" si="99"/>
        <v>0</v>
      </c>
    </row>
    <row r="296" spans="1:32" ht="15" customHeight="1" x14ac:dyDescent="0.2">
      <c r="A296" s="117">
        <v>124</v>
      </c>
      <c r="B296" s="118">
        <v>46209</v>
      </c>
      <c r="C296" s="119" t="s">
        <v>35</v>
      </c>
      <c r="D296" s="119" t="s">
        <v>20</v>
      </c>
      <c r="E296" s="117" t="s">
        <v>370</v>
      </c>
      <c r="F296" s="120">
        <f t="shared" si="80"/>
        <v>2</v>
      </c>
      <c r="G296" s="121" t="str">
        <f t="shared" si="81"/>
        <v>Shawn</v>
      </c>
      <c r="H296" s="122">
        <f>IF($D296="",0,IFERROR(LOOKUP(2,1/(($D$3:D295=$D296)*($A$3:A295&lt;$A296)),$N$3:N295),'Guide &amp; Settings'!$C$41))</f>
        <v>986.57333856486002</v>
      </c>
      <c r="I296" s="123">
        <f t="shared" si="82"/>
        <v>0.48275862068965519</v>
      </c>
      <c r="J296" s="124">
        <f>IF($D296="",0,IF($F296&lt;2,0,IF($E296="Win",('Guide &amp; Settings'!$C$42/(($F296-1)*COUNTIFS($A$4:$A$1510,$A296,$E$4:$E$1510,"Win")))*SUMIFS($X$4:$X$1510,$A$4:$A$1510,$A296,$E$4:$E$1510,"Loss"),-('Guide &amp; Settings'!$C$42/($F296-1))*$X296)))</f>
        <v>21.036100487876737</v>
      </c>
      <c r="K296" s="124">
        <f>IF($D296="",0,'Guide &amp; Settings'!$C$43*(IF($E296="Win",1,0)-$I296))</f>
        <v>6.206896551724137</v>
      </c>
      <c r="L296" s="125">
        <f>IF($D296="",0,'Guide &amp; Settings'!$C$44*IF($F296&gt;=3,$F296,0))</f>
        <v>0</v>
      </c>
      <c r="M296" s="124">
        <f t="shared" si="83"/>
        <v>27.242997039600873</v>
      </c>
      <c r="N296" s="122">
        <f t="shared" si="84"/>
        <v>1013.8163356044608</v>
      </c>
      <c r="O296" s="121" t="str">
        <f t="shared" si="85"/>
        <v>OK</v>
      </c>
      <c r="P296">
        <f t="shared" si="86"/>
        <v>986.57333856486002</v>
      </c>
      <c r="Q296">
        <f t="shared" si="87"/>
        <v>0.5</v>
      </c>
      <c r="R296">
        <f t="shared" si="88"/>
        <v>0.46666666666666667</v>
      </c>
      <c r="S296">
        <f t="shared" si="89"/>
        <v>0.96666666666666667</v>
      </c>
      <c r="T296" s="89">
        <f t="shared" si="90"/>
        <v>13</v>
      </c>
      <c r="U296" s="126">
        <f>IF($D296="",0,IFERROR(LOOKUP(2,1/(($D$3:D295=$D296)*($C$3:C295=$C296)*($A$3:A295&lt;$A296)),$AB$3:AB295),1000))</f>
        <v>980.03504858236033</v>
      </c>
      <c r="V296" s="126">
        <f t="shared" si="91"/>
        <v>981.85124024416575</v>
      </c>
      <c r="W296">
        <f t="shared" si="92"/>
        <v>981.85124024416575</v>
      </c>
      <c r="X296">
        <f t="shared" si="93"/>
        <v>0.5</v>
      </c>
      <c r="Y296">
        <f t="shared" si="94"/>
        <v>980.03504858236033</v>
      </c>
      <c r="Z296">
        <f t="shared" si="95"/>
        <v>0.5</v>
      </c>
      <c r="AA296">
        <f>IF($D296="",0,IF($F296&lt;2,0,IF($E296="Win",('Guide &amp; Settings'!$C$42/(($F296-1)*COUNTIFS($A$4:$A$1510,$A296,$E$4:$E$1510,"Win")))*SUMIFS($Z$4:$Z$1510,$A$4:$A$1510,$A296,$E$4:$E$1510,"Loss"),-('Guide &amp; Settings'!$C$42/($F296-1))*$Z296)))</f>
        <v>16.918409325012838</v>
      </c>
      <c r="AB296" s="126">
        <f t="shared" si="96"/>
        <v>996.95345790737315</v>
      </c>
      <c r="AC296" s="126">
        <f>IF($D296="","",IF($AD296=0,0,IF(COUNTIFS($D$4:$D296,$D296,$B$4:$B296,$B296)&gt;1,0,IF($B296&lt;'Guide &amp; Settings'!$C$50,0,IF(($B296-$AD296)/7-'Guide &amp; Settings'!$C$48&gt;=0,(INT(($B296-$AD296)/7-'Guide &amp; Settings'!$C$48)+1)*'Guide &amp; Settings'!$C$49,0)))))</f>
        <v>0</v>
      </c>
      <c r="AD296" s="142">
        <f t="shared" si="97"/>
        <v>46208</v>
      </c>
      <c r="AE296">
        <f t="shared" si="98"/>
        <v>1</v>
      </c>
      <c r="AF296">
        <f t="shared" si="99"/>
        <v>0</v>
      </c>
    </row>
    <row r="297" spans="1:32" ht="15" customHeight="1" x14ac:dyDescent="0.2">
      <c r="A297" s="117">
        <v>124</v>
      </c>
      <c r="B297" s="118">
        <v>46209</v>
      </c>
      <c r="C297" s="119" t="s">
        <v>35</v>
      </c>
      <c r="D297" s="119" t="s">
        <v>25</v>
      </c>
      <c r="E297" s="117" t="s">
        <v>371</v>
      </c>
      <c r="F297" s="120">
        <f t="shared" si="80"/>
        <v>2</v>
      </c>
      <c r="G297" s="121" t="str">
        <f t="shared" si="81"/>
        <v>Shawn</v>
      </c>
      <c r="H297" s="122">
        <f>IF($D297="",0,IFERROR(LOOKUP(2,1/(($D$3:D296=$D297)*($A$3:A296&lt;$A297)),$N$3:N296),'Guide &amp; Settings'!$C$41))</f>
        <v>1095.0513163681151</v>
      </c>
      <c r="I297" s="123">
        <f t="shared" si="82"/>
        <v>0.51724137931034486</v>
      </c>
      <c r="J297" s="124">
        <f>IF($D297="",0,IF($F297&lt;2,0,IF($E297="Win",('Guide &amp; Settings'!$C$42/(($F297-1)*COUNTIFS($A$4:$A$1510,$A297,$E$4:$E$1510,"Win")))*SUMIFS($X$4:$X$1510,$A$4:$A$1510,$A297,$E$4:$E$1510,"Loss"),-('Guide &amp; Settings'!$C$42/($F297-1))*$X297)))</f>
        <v>-21.036100487876737</v>
      </c>
      <c r="K297" s="124">
        <f>IF($D297="",0,'Guide &amp; Settings'!$C$43*(IF($E297="Win",1,0)-$I297))</f>
        <v>-6.2068965517241388</v>
      </c>
      <c r="L297" s="125">
        <f>IF($D297="",0,'Guide &amp; Settings'!$C$44*IF($F297&gt;=3,$F297,0))</f>
        <v>0</v>
      </c>
      <c r="M297" s="124">
        <f t="shared" si="83"/>
        <v>-27.242997039600876</v>
      </c>
      <c r="N297" s="122">
        <f t="shared" si="84"/>
        <v>1067.8083193285142</v>
      </c>
      <c r="O297" s="121" t="str">
        <f t="shared" si="85"/>
        <v>OK</v>
      </c>
      <c r="P297">
        <f t="shared" si="86"/>
        <v>986.57333856486002</v>
      </c>
      <c r="Q297">
        <f t="shared" si="87"/>
        <v>0.65122982585026978</v>
      </c>
      <c r="R297">
        <f t="shared" si="88"/>
        <v>0.5</v>
      </c>
      <c r="S297">
        <f t="shared" si="89"/>
        <v>0.96666666666666667</v>
      </c>
      <c r="T297" s="89">
        <f t="shared" si="90"/>
        <v>0</v>
      </c>
      <c r="U297" s="126">
        <f>IF($D297="",0,IFERROR(LOOKUP(2,1/(($D$3:D296=$D297)*($C$3:C296=$C297)*($A$3:A296&lt;$A297)),$AB$3:AB296),1000))</f>
        <v>1000</v>
      </c>
      <c r="V297" s="126">
        <f t="shared" si="91"/>
        <v>1095.0513163681151</v>
      </c>
      <c r="W297">
        <f t="shared" si="92"/>
        <v>981.85124024416575</v>
      </c>
      <c r="X297">
        <f t="shared" si="93"/>
        <v>0.65737814024614805</v>
      </c>
      <c r="Y297">
        <f t="shared" si="94"/>
        <v>980.03504858236033</v>
      </c>
      <c r="Z297">
        <f t="shared" si="95"/>
        <v>0.5287002914066512</v>
      </c>
      <c r="AA297">
        <f>IF($D297="",0,IF($F297&lt;2,0,IF($E297="Win",('Guide &amp; Settings'!$C$42/(($F297-1)*COUNTIFS($A$4:$A$1510,$A297,$E$4:$E$1510,"Win")))*SUMIFS($Z$4:$Z$1510,$A$4:$A$1510,$A297,$E$4:$E$1510,"Loss"),-('Guide &amp; Settings'!$C$42/($F297-1))*$Z297)))</f>
        <v>-16.918409325012838</v>
      </c>
      <c r="AB297" s="126">
        <f t="shared" si="96"/>
        <v>983.08159067498718</v>
      </c>
      <c r="AC297" s="126">
        <f>IF($D297="","",IF($AD297=0,0,IF(COUNTIFS($D$4:$D297,$D297,$B$4:$B297,$B297)&gt;1,0,IF($B297&lt;'Guide &amp; Settings'!$C$50,0,IF(($B297-$AD297)/7-'Guide &amp; Settings'!$C$48&gt;=0,(INT(($B297-$AD297)/7-'Guide &amp; Settings'!$C$48)+1)*'Guide &amp; Settings'!$C$49,0)))))</f>
        <v>0</v>
      </c>
      <c r="AD297" s="142">
        <f t="shared" si="97"/>
        <v>46208</v>
      </c>
      <c r="AE297">
        <f t="shared" si="98"/>
        <v>1</v>
      </c>
      <c r="AF297">
        <f t="shared" si="99"/>
        <v>0</v>
      </c>
    </row>
    <row r="298" spans="1:32" ht="15" customHeight="1" x14ac:dyDescent="0.2">
      <c r="A298" s="117">
        <v>125</v>
      </c>
      <c r="B298" s="118">
        <v>46209</v>
      </c>
      <c r="C298" s="119" t="s">
        <v>35</v>
      </c>
      <c r="D298" s="119" t="s">
        <v>20</v>
      </c>
      <c r="E298" s="117" t="s">
        <v>371</v>
      </c>
      <c r="F298" s="120">
        <f t="shared" si="80"/>
        <v>2</v>
      </c>
      <c r="G298" s="121" t="str">
        <f t="shared" si="81"/>
        <v>Oscar</v>
      </c>
      <c r="H298" s="122">
        <f>IF($D298="",0,IFERROR(LOOKUP(2,1/(($D$3:D297=$D298)*($A$3:A297&lt;$A298)),$N$3:N297),'Guide &amp; Settings'!$C$41))</f>
        <v>1013.8163356044608</v>
      </c>
      <c r="I298" s="123">
        <f t="shared" si="82"/>
        <v>0.60000000000000009</v>
      </c>
      <c r="J298" s="124">
        <f>IF($D298="",0,IF($F298&lt;2,0,IF($E298="Win",('Guide &amp; Settings'!$C$42/(($F298-1)*COUNTIFS($A$4:$A$1510,$A298,$E$4:$E$1510,"Win")))*SUMIFS($X$4:$X$1510,$A$4:$A$1510,$A298,$E$4:$E$1510,"Loss"),-('Guide &amp; Settings'!$C$42/($F298-1))*$X298)))</f>
        <v>-13.609698385357394</v>
      </c>
      <c r="K298" s="124">
        <f>IF($D298="",0,'Guide &amp; Settings'!$C$43*(IF($E298="Win",1,0)-$I298))</f>
        <v>-7.2000000000000011</v>
      </c>
      <c r="L298" s="125">
        <f>IF($D298="",0,'Guide &amp; Settings'!$C$44*IF($F298&gt;=3,$F298,0))</f>
        <v>0</v>
      </c>
      <c r="M298" s="124">
        <f t="shared" si="83"/>
        <v>-20.809698385357393</v>
      </c>
      <c r="N298" s="122">
        <f t="shared" si="84"/>
        <v>993.00663721910348</v>
      </c>
      <c r="O298" s="121" t="str">
        <f t="shared" si="85"/>
        <v>OK</v>
      </c>
      <c r="P298">
        <f t="shared" si="86"/>
        <v>1067.8083193285142</v>
      </c>
      <c r="Q298">
        <f t="shared" si="87"/>
        <v>0.4229187863095652</v>
      </c>
      <c r="R298">
        <f t="shared" si="88"/>
        <v>0.5</v>
      </c>
      <c r="S298">
        <f t="shared" si="89"/>
        <v>0.83333333333333326</v>
      </c>
      <c r="T298" s="89">
        <f t="shared" si="90"/>
        <v>14</v>
      </c>
      <c r="U298" s="126">
        <f>IF($D298="",0,IFERROR(LOOKUP(2,1/(($D$3:D297=$D298)*($C$3:C297=$C298)*($A$3:A297&lt;$A298)),$AB$3:AB297),1000))</f>
        <v>996.95345790737315</v>
      </c>
      <c r="V298" s="126">
        <f t="shared" si="91"/>
        <v>1001.3910573013436</v>
      </c>
      <c r="W298">
        <f t="shared" si="92"/>
        <v>1053.6871978862598</v>
      </c>
      <c r="X298">
        <f t="shared" si="93"/>
        <v>0.42530307454241856</v>
      </c>
      <c r="Y298">
        <f t="shared" si="94"/>
        <v>983.08159067498718</v>
      </c>
      <c r="Z298">
        <f t="shared" si="95"/>
        <v>0.51995262051855673</v>
      </c>
      <c r="AA298">
        <f>IF($D298="",0,IF($F298&lt;2,0,IF($E298="Win",('Guide &amp; Settings'!$C$42/(($F298-1)*COUNTIFS($A$4:$A$1510,$A298,$E$4:$E$1510,"Win")))*SUMIFS($Z$4:$Z$1510,$A$4:$A$1510,$A298,$E$4:$E$1510,"Loss"),-('Guide &amp; Settings'!$C$42/($F298-1))*$Z298)))</f>
        <v>-16.638483856593815</v>
      </c>
      <c r="AB298" s="126">
        <f t="shared" si="96"/>
        <v>980.31497405077937</v>
      </c>
      <c r="AC298" s="126">
        <f>IF($D298="","",IF($AD298=0,0,IF(COUNTIFS($D$4:$D298,$D298,$B$4:$B298,$B298)&gt;1,0,IF($B298&lt;'Guide &amp; Settings'!$C$50,0,IF(($B298-$AD298)/7-'Guide &amp; Settings'!$C$48&gt;=0,(INT(($B298-$AD298)/7-'Guide &amp; Settings'!$C$48)+1)*'Guide &amp; Settings'!$C$49,0)))))</f>
        <v>0</v>
      </c>
      <c r="AD298" s="142">
        <f t="shared" si="97"/>
        <v>46208</v>
      </c>
      <c r="AE298">
        <f t="shared" si="98"/>
        <v>1</v>
      </c>
      <c r="AF298">
        <f t="shared" si="99"/>
        <v>0</v>
      </c>
    </row>
    <row r="299" spans="1:32" ht="15" customHeight="1" x14ac:dyDescent="0.2">
      <c r="A299" s="117">
        <v>125</v>
      </c>
      <c r="B299" s="118">
        <v>46209</v>
      </c>
      <c r="C299" s="119" t="s">
        <v>35</v>
      </c>
      <c r="D299" s="119" t="s">
        <v>25</v>
      </c>
      <c r="E299" s="117" t="s">
        <v>370</v>
      </c>
      <c r="F299" s="120">
        <f t="shared" si="80"/>
        <v>2</v>
      </c>
      <c r="G299" s="121" t="str">
        <f t="shared" si="81"/>
        <v>Oscar</v>
      </c>
      <c r="H299" s="122">
        <f>IF($D299="",0,IFERROR(LOOKUP(2,1/(($D$3:D298=$D299)*($A$3:A298&lt;$A299)),$N$3:N298),'Guide &amp; Settings'!$C$41))</f>
        <v>1067.8083193285142</v>
      </c>
      <c r="I299" s="123">
        <f t="shared" si="82"/>
        <v>0.4</v>
      </c>
      <c r="J299" s="124">
        <f>IF($D299="",0,IF($F299&lt;2,0,IF($E299="Win",('Guide &amp; Settings'!$C$42/(($F299-1)*COUNTIFS($A$4:$A$1510,$A299,$E$4:$E$1510,"Win")))*SUMIFS($X$4:$X$1510,$A$4:$A$1510,$A299,$E$4:$E$1510,"Loss"),-('Guide &amp; Settings'!$C$42/($F299-1))*$X299)))</f>
        <v>13.609698385357394</v>
      </c>
      <c r="K299" s="124">
        <f>IF($D299="",0,'Guide &amp; Settings'!$C$43*(IF($E299="Win",1,0)-$I299))</f>
        <v>7.1999999999999993</v>
      </c>
      <c r="L299" s="125">
        <f>IF($D299="",0,'Guide &amp; Settings'!$C$44*IF($F299&gt;=3,$F299,0))</f>
        <v>0</v>
      </c>
      <c r="M299" s="124">
        <f t="shared" si="83"/>
        <v>20.809698385357393</v>
      </c>
      <c r="N299" s="122">
        <f t="shared" si="84"/>
        <v>1088.6180177138717</v>
      </c>
      <c r="O299" s="121" t="str">
        <f t="shared" si="85"/>
        <v>OK</v>
      </c>
      <c r="P299">
        <f t="shared" si="86"/>
        <v>1067.8083193285142</v>
      </c>
      <c r="Q299">
        <f t="shared" si="87"/>
        <v>0.5</v>
      </c>
      <c r="R299">
        <f t="shared" si="88"/>
        <v>0.33333333333333331</v>
      </c>
      <c r="S299">
        <f t="shared" si="89"/>
        <v>0.83333333333333326</v>
      </c>
      <c r="T299" s="89">
        <f t="shared" si="90"/>
        <v>1</v>
      </c>
      <c r="U299" s="126">
        <f>IF($D299="",0,IFERROR(LOOKUP(2,1/(($D$3:D298=$D299)*($C$3:C298=$C299)*($A$3:A298&lt;$A299)),$AB$3:AB298),1000))</f>
        <v>983.08159067498718</v>
      </c>
      <c r="V299" s="126">
        <f t="shared" si="91"/>
        <v>1053.6871978862598</v>
      </c>
      <c r="W299">
        <f t="shared" si="92"/>
        <v>1053.6871978862598</v>
      </c>
      <c r="X299">
        <f t="shared" si="93"/>
        <v>0.5</v>
      </c>
      <c r="Y299">
        <f t="shared" si="94"/>
        <v>983.08159067498718</v>
      </c>
      <c r="Z299">
        <f t="shared" si="95"/>
        <v>0.5</v>
      </c>
      <c r="AA299">
        <f>IF($D299="",0,IF($F299&lt;2,0,IF($E299="Win",('Guide &amp; Settings'!$C$42/(($F299-1)*COUNTIFS($A$4:$A$1510,$A299,$E$4:$E$1510,"Win")))*SUMIFS($Z$4:$Z$1510,$A$4:$A$1510,$A299,$E$4:$E$1510,"Loss"),-('Guide &amp; Settings'!$C$42/($F299-1))*$Z299)))</f>
        <v>16.638483856593815</v>
      </c>
      <c r="AB299" s="126">
        <f t="shared" si="96"/>
        <v>999.72007453158096</v>
      </c>
      <c r="AC299" s="126">
        <f>IF($D299="","",IF($AD299=0,0,IF(COUNTIFS($D$4:$D299,$D299,$B$4:$B299,$B299)&gt;1,0,IF($B299&lt;'Guide &amp; Settings'!$C$50,0,IF(($B299-$AD299)/7-'Guide &amp; Settings'!$C$48&gt;=0,(INT(($B299-$AD299)/7-'Guide &amp; Settings'!$C$48)+1)*'Guide &amp; Settings'!$C$49,0)))))</f>
        <v>0</v>
      </c>
      <c r="AD299" s="142">
        <f t="shared" si="97"/>
        <v>46208</v>
      </c>
      <c r="AE299">
        <f t="shared" si="98"/>
        <v>1</v>
      </c>
      <c r="AF299">
        <f t="shared" si="99"/>
        <v>0</v>
      </c>
    </row>
    <row r="300" spans="1:32" ht="15" customHeight="1" x14ac:dyDescent="0.2">
      <c r="A300" s="117">
        <v>126</v>
      </c>
      <c r="B300" s="118">
        <v>46209</v>
      </c>
      <c r="C300" s="119" t="s">
        <v>35</v>
      </c>
      <c r="D300" s="119" t="s">
        <v>20</v>
      </c>
      <c r="E300" s="117" t="s">
        <v>370</v>
      </c>
      <c r="F300" s="120">
        <f t="shared" si="80"/>
        <v>2</v>
      </c>
      <c r="G300" s="121" t="str">
        <f t="shared" si="81"/>
        <v>Shawn</v>
      </c>
      <c r="H300" s="122">
        <f>IF($D300="",0,IFERROR(LOOKUP(2,1/(($D$3:D299=$D300)*($A$3:A299&lt;$A300)),$N$3:N299),'Guide &amp; Settings'!$C$41))</f>
        <v>993.00663721910348</v>
      </c>
      <c r="I300" s="123">
        <f t="shared" si="82"/>
        <v>0.48484848484848486</v>
      </c>
      <c r="J300" s="124">
        <f>IF($D300="",0,IF($F300&lt;2,0,IF($E300="Win",('Guide &amp; Settings'!$C$42/(($F300-1)*COUNTIFS($A$4:$A$1510,$A300,$E$4:$E$1510,"Win")))*SUMIFS($X$4:$X$1510,$A$4:$A$1510,$A300,$E$4:$E$1510,"Loss"),-('Guide &amp; Settings'!$C$42/($F300-1))*$X300)))</f>
        <v>19.608610104059817</v>
      </c>
      <c r="K300" s="124">
        <f>IF($D300="",0,'Guide &amp; Settings'!$C$43*(IF($E300="Win",1,0)-$I300))</f>
        <v>6.1818181818181817</v>
      </c>
      <c r="L300" s="125">
        <f>IF($D300="",0,'Guide &amp; Settings'!$C$44*IF($F300&gt;=3,$F300,0))</f>
        <v>0</v>
      </c>
      <c r="M300" s="124">
        <f t="shared" si="83"/>
        <v>25.790428285878001</v>
      </c>
      <c r="N300" s="122">
        <f t="shared" si="84"/>
        <v>1018.7970655049814</v>
      </c>
      <c r="O300" s="121" t="str">
        <f t="shared" si="85"/>
        <v>OK</v>
      </c>
      <c r="P300">
        <f t="shared" si="86"/>
        <v>993.00663721910348</v>
      </c>
      <c r="Q300">
        <f t="shared" si="87"/>
        <v>0.5</v>
      </c>
      <c r="R300">
        <f t="shared" si="88"/>
        <v>0.47058823529411764</v>
      </c>
      <c r="S300">
        <f t="shared" si="89"/>
        <v>0.97058823529411764</v>
      </c>
      <c r="T300" s="89">
        <f t="shared" si="90"/>
        <v>15</v>
      </c>
      <c r="U300" s="126">
        <f>IF($D300="",0,IFERROR(LOOKUP(2,1/(($D$3:D299=$D300)*($C$3:C299=$C300)*($A$3:A299&lt;$A300)),$AB$3:AB299),1000))</f>
        <v>980.31497405077937</v>
      </c>
      <c r="V300" s="126">
        <f t="shared" si="91"/>
        <v>983.48788984286045</v>
      </c>
      <c r="W300">
        <f t="shared" si="92"/>
        <v>983.48788984286045</v>
      </c>
      <c r="X300">
        <f t="shared" si="93"/>
        <v>0.5</v>
      </c>
      <c r="Y300">
        <f t="shared" si="94"/>
        <v>980.31497405077937</v>
      </c>
      <c r="Z300">
        <f t="shared" si="95"/>
        <v>0.5</v>
      </c>
      <c r="AA300">
        <f>IF($D300="",0,IF($F300&lt;2,0,IF($E300="Win",('Guide &amp; Settings'!$C$42/(($F300-1)*COUNTIFS($A$4:$A$1510,$A300,$E$4:$E$1510,"Win")))*SUMIFS($Z$4:$Z$1510,$A$4:$A$1510,$A300,$E$4:$E$1510,"Loss"),-('Guide &amp; Settings'!$C$42/($F300-1))*$Z300)))</f>
        <v>16.892709829291775</v>
      </c>
      <c r="AB300" s="126">
        <f t="shared" si="96"/>
        <v>997.20768388007116</v>
      </c>
      <c r="AC300" s="126">
        <f>IF($D300="","",IF($AD300=0,0,IF(COUNTIFS($D$4:$D300,$D300,$B$4:$B300,$B300)&gt;1,0,IF($B300&lt;'Guide &amp; Settings'!$C$50,0,IF(($B300-$AD300)/7-'Guide &amp; Settings'!$C$48&gt;=0,(INT(($B300-$AD300)/7-'Guide &amp; Settings'!$C$48)+1)*'Guide &amp; Settings'!$C$49,0)))))</f>
        <v>0</v>
      </c>
      <c r="AD300" s="142">
        <f t="shared" si="97"/>
        <v>46208</v>
      </c>
      <c r="AE300">
        <f t="shared" si="98"/>
        <v>1</v>
      </c>
      <c r="AF300">
        <f t="shared" si="99"/>
        <v>0</v>
      </c>
    </row>
    <row r="301" spans="1:32" ht="15" customHeight="1" x14ac:dyDescent="0.2">
      <c r="A301" s="117">
        <v>126</v>
      </c>
      <c r="B301" s="118">
        <v>46209</v>
      </c>
      <c r="C301" s="119" t="s">
        <v>35</v>
      </c>
      <c r="D301" s="119" t="s">
        <v>25</v>
      </c>
      <c r="E301" s="117" t="s">
        <v>371</v>
      </c>
      <c r="F301" s="120">
        <f t="shared" si="80"/>
        <v>2</v>
      </c>
      <c r="G301" s="121" t="str">
        <f t="shared" si="81"/>
        <v>Shawn</v>
      </c>
      <c r="H301" s="122">
        <f>IF($D301="",0,IFERROR(LOOKUP(2,1/(($D$3:D300=$D301)*($A$3:A300&lt;$A301)),$N$3:N300),'Guide &amp; Settings'!$C$41))</f>
        <v>1088.6180177138717</v>
      </c>
      <c r="I301" s="123">
        <f t="shared" si="82"/>
        <v>0.51515151515151514</v>
      </c>
      <c r="J301" s="124">
        <f>IF($D301="",0,IF($F301&lt;2,0,IF($E301="Win",('Guide &amp; Settings'!$C$42/(($F301-1)*COUNTIFS($A$4:$A$1510,$A301,$E$4:$E$1510,"Win")))*SUMIFS($X$4:$X$1510,$A$4:$A$1510,$A301,$E$4:$E$1510,"Loss"),-('Guide &amp; Settings'!$C$42/($F301-1))*$X301)))</f>
        <v>-19.608610104059817</v>
      </c>
      <c r="K301" s="124">
        <f>IF($D301="",0,'Guide &amp; Settings'!$C$43*(IF($E301="Win",1,0)-$I301))</f>
        <v>-6.1818181818181817</v>
      </c>
      <c r="L301" s="125">
        <f>IF($D301="",0,'Guide &amp; Settings'!$C$44*IF($F301&gt;=3,$F301,0))</f>
        <v>0</v>
      </c>
      <c r="M301" s="124">
        <f t="shared" si="83"/>
        <v>-25.790428285878001</v>
      </c>
      <c r="N301" s="122">
        <f t="shared" si="84"/>
        <v>1062.8275894279936</v>
      </c>
      <c r="O301" s="121" t="str">
        <f t="shared" si="85"/>
        <v>OK</v>
      </c>
      <c r="P301">
        <f t="shared" si="86"/>
        <v>993.00663721910348</v>
      </c>
      <c r="Q301">
        <f t="shared" si="87"/>
        <v>0.63422452624636383</v>
      </c>
      <c r="R301">
        <f t="shared" si="88"/>
        <v>0.5</v>
      </c>
      <c r="S301">
        <f t="shared" si="89"/>
        <v>0.97058823529411764</v>
      </c>
      <c r="T301" s="89">
        <f t="shared" si="90"/>
        <v>2</v>
      </c>
      <c r="U301" s="126">
        <f>IF($D301="",0,IFERROR(LOOKUP(2,1/(($D$3:D300=$D301)*($C$3:C300=$C301)*($A$3:A300&lt;$A301)),$AB$3:AB300),1000))</f>
        <v>999.72007453158096</v>
      </c>
      <c r="V301" s="126">
        <f t="shared" si="91"/>
        <v>1063.2186053760743</v>
      </c>
      <c r="W301">
        <f t="shared" si="92"/>
        <v>983.48788984286045</v>
      </c>
      <c r="X301">
        <f t="shared" si="93"/>
        <v>0.61276906575186929</v>
      </c>
      <c r="Y301">
        <f t="shared" si="94"/>
        <v>980.31497405077937</v>
      </c>
      <c r="Z301">
        <f t="shared" si="95"/>
        <v>0.52789718216536796</v>
      </c>
      <c r="AA301">
        <f>IF($D301="",0,IF($F301&lt;2,0,IF($E301="Win",('Guide &amp; Settings'!$C$42/(($F301-1)*COUNTIFS($A$4:$A$1510,$A301,$E$4:$E$1510,"Win")))*SUMIFS($Z$4:$Z$1510,$A$4:$A$1510,$A301,$E$4:$E$1510,"Loss"),-('Guide &amp; Settings'!$C$42/($F301-1))*$Z301)))</f>
        <v>-16.892709829291775</v>
      </c>
      <c r="AB301" s="126">
        <f t="shared" si="96"/>
        <v>982.82736470228917</v>
      </c>
      <c r="AC301" s="126">
        <f>IF($D301="","",IF($AD301=0,0,IF(COUNTIFS($D$4:$D301,$D301,$B$4:$B301,$B301)&gt;1,0,IF($B301&lt;'Guide &amp; Settings'!$C$50,0,IF(($B301-$AD301)/7-'Guide &amp; Settings'!$C$48&gt;=0,(INT(($B301-$AD301)/7-'Guide &amp; Settings'!$C$48)+1)*'Guide &amp; Settings'!$C$49,0)))))</f>
        <v>0</v>
      </c>
      <c r="AD301" s="142">
        <f t="shared" si="97"/>
        <v>46208</v>
      </c>
      <c r="AE301">
        <f t="shared" si="98"/>
        <v>1</v>
      </c>
      <c r="AF301">
        <f t="shared" si="99"/>
        <v>0</v>
      </c>
    </row>
    <row r="302" spans="1:32" ht="15" customHeight="1" x14ac:dyDescent="0.2">
      <c r="A302" s="117">
        <v>127</v>
      </c>
      <c r="B302" s="118">
        <v>46212</v>
      </c>
      <c r="C302" s="119" t="s">
        <v>35</v>
      </c>
      <c r="D302" s="119" t="s">
        <v>20</v>
      </c>
      <c r="E302" s="117" t="s">
        <v>370</v>
      </c>
      <c r="F302" s="120">
        <f t="shared" si="80"/>
        <v>2</v>
      </c>
      <c r="G302" s="121" t="str">
        <f t="shared" si="81"/>
        <v>Shawn</v>
      </c>
      <c r="H302" s="122">
        <f>IF($D302="",0,IFERROR(LOOKUP(2,1/(($D$3:D301=$D302)*($A$3:A301&lt;$A302)),$N$3:N301),'Guide &amp; Settings'!$C$41))</f>
        <v>1018.7970655049814</v>
      </c>
      <c r="I302" s="123">
        <f t="shared" si="82"/>
        <v>0.41666666666666669</v>
      </c>
      <c r="J302" s="124">
        <f>IF($D302="",0,IF($F302&lt;2,0,IF($E302="Win",('Guide &amp; Settings'!$C$42/(($F302-1)*COUNTIFS($A$4:$A$1510,$A302,$E$4:$E$1510,"Win")))*SUMIFS($X$4:$X$1510,$A$4:$A$1510,$A302,$E$4:$E$1510,"Loss"),-('Guide &amp; Settings'!$C$42/($F302-1))*$X302)))</f>
        <v>19.278744090844576</v>
      </c>
      <c r="K302" s="124">
        <f>IF($D302="",0,'Guide &amp; Settings'!$C$43*(IF($E302="Win",1,0)-$I302))</f>
        <v>6.9999999999999991</v>
      </c>
      <c r="L302" s="125">
        <f>IF($D302="",0,'Guide &amp; Settings'!$C$44*IF($F302&gt;=3,$F302,0))</f>
        <v>0</v>
      </c>
      <c r="M302" s="124">
        <f t="shared" si="83"/>
        <v>26.278744090844576</v>
      </c>
      <c r="N302" s="122">
        <f t="shared" si="84"/>
        <v>1045.0758095958261</v>
      </c>
      <c r="O302" s="121" t="str">
        <f t="shared" si="85"/>
        <v>OK</v>
      </c>
      <c r="P302">
        <f t="shared" si="86"/>
        <v>1018.7970655049814</v>
      </c>
      <c r="Q302">
        <f t="shared" si="87"/>
        <v>0.5</v>
      </c>
      <c r="R302">
        <f t="shared" si="88"/>
        <v>0.5</v>
      </c>
      <c r="S302">
        <f t="shared" si="89"/>
        <v>1.2</v>
      </c>
      <c r="T302" s="89">
        <f t="shared" si="90"/>
        <v>16</v>
      </c>
      <c r="U302" s="126">
        <f>IF($D302="",0,IFERROR(LOOKUP(2,1/(($D$3:D301=$D302)*($C$3:C301=$C302)*($A$3:A301&lt;$A302)),$AB$3:AB301),1000))</f>
        <v>997.20768388007116</v>
      </c>
      <c r="V302" s="126">
        <f t="shared" si="91"/>
        <v>1002.3480128383832</v>
      </c>
      <c r="W302">
        <f t="shared" si="92"/>
        <v>1002.3480128383832</v>
      </c>
      <c r="X302">
        <f t="shared" si="93"/>
        <v>0.5</v>
      </c>
      <c r="Y302">
        <f t="shared" si="94"/>
        <v>997.20768388007116</v>
      </c>
      <c r="Z302">
        <f t="shared" si="95"/>
        <v>0.5</v>
      </c>
      <c r="AA302">
        <f>IF($D302="",0,IF($F302&lt;2,0,IF($E302="Win",('Guide &amp; Settings'!$C$42/(($F302-1)*COUNTIFS($A$4:$A$1510,$A302,$E$4:$E$1510,"Win")))*SUMIFS($Z$4:$Z$1510,$A$4:$A$1510,$A302,$E$4:$E$1510,"Loss"),-('Guide &amp; Settings'!$C$42/($F302-1))*$Z302)))</f>
        <v>18.457320765051705</v>
      </c>
      <c r="AB302" s="126">
        <f t="shared" si="96"/>
        <v>1015.6650046451228</v>
      </c>
      <c r="AC302" s="126">
        <f>IF($D302="","",IF($AD302=0,0,IF(COUNTIFS($D$4:$D302,$D302,$B$4:$B302,$B302)&gt;1,0,IF($B302&lt;'Guide &amp; Settings'!$C$50,0,IF(($B302-$AD302)/7-'Guide &amp; Settings'!$C$48&gt;=0,(INT(($B302-$AD302)/7-'Guide &amp; Settings'!$C$48)+1)*'Guide &amp; Settings'!$C$49,0)))))</f>
        <v>0</v>
      </c>
      <c r="AD302" s="142">
        <f t="shared" si="97"/>
        <v>46209</v>
      </c>
      <c r="AE302">
        <f t="shared" si="98"/>
        <v>1</v>
      </c>
      <c r="AF302">
        <f t="shared" si="99"/>
        <v>0</v>
      </c>
    </row>
    <row r="303" spans="1:32" ht="15" customHeight="1" x14ac:dyDescent="0.2">
      <c r="A303" s="117">
        <v>127</v>
      </c>
      <c r="B303" s="118">
        <v>46212</v>
      </c>
      <c r="C303" s="119" t="s">
        <v>35</v>
      </c>
      <c r="D303" s="119" t="s">
        <v>15</v>
      </c>
      <c r="E303" s="117" t="s">
        <v>371</v>
      </c>
      <c r="F303" s="120">
        <f t="shared" si="80"/>
        <v>2</v>
      </c>
      <c r="G303" s="121" t="str">
        <f t="shared" si="81"/>
        <v>Shawn</v>
      </c>
      <c r="H303" s="122">
        <f>IF($D303="",0,IFERROR(LOOKUP(2,1/(($D$3:D302=$D303)*($A$3:A302&lt;$A303)),$N$3:N302),'Guide &amp; Settings'!$C$41))</f>
        <v>1112.2862350502705</v>
      </c>
      <c r="I303" s="123">
        <f t="shared" si="82"/>
        <v>0.58333333333333337</v>
      </c>
      <c r="J303" s="124">
        <f>IF($D303="",0,IF($F303&lt;2,0,IF($E303="Win",('Guide &amp; Settings'!$C$42/(($F303-1)*COUNTIFS($A$4:$A$1510,$A303,$E$4:$E$1510,"Win")))*SUMIFS($X$4:$X$1510,$A$4:$A$1510,$A303,$E$4:$E$1510,"Loss"),-('Guide &amp; Settings'!$C$42/($F303-1))*$X303)))</f>
        <v>-19.278744090844576</v>
      </c>
      <c r="K303" s="124">
        <f>IF($D303="",0,'Guide &amp; Settings'!$C$43*(IF($E303="Win",1,0)-$I303))</f>
        <v>-7</v>
      </c>
      <c r="L303" s="125">
        <f>IF($D303="",0,'Guide &amp; Settings'!$C$44*IF($F303&gt;=3,$F303,0))</f>
        <v>0</v>
      </c>
      <c r="M303" s="124">
        <f t="shared" si="83"/>
        <v>-26.278744090844576</v>
      </c>
      <c r="N303" s="122">
        <f t="shared" si="84"/>
        <v>1086.0074909594259</v>
      </c>
      <c r="O303" s="121" t="str">
        <f t="shared" si="85"/>
        <v>OK</v>
      </c>
      <c r="P303">
        <f t="shared" si="86"/>
        <v>1018.7970655049814</v>
      </c>
      <c r="Q303">
        <f t="shared" si="87"/>
        <v>0.63138589375886334</v>
      </c>
      <c r="R303">
        <f t="shared" si="88"/>
        <v>0.7</v>
      </c>
      <c r="S303">
        <f t="shared" si="89"/>
        <v>1.2</v>
      </c>
      <c r="T303" s="89">
        <f t="shared" si="90"/>
        <v>8</v>
      </c>
      <c r="U303" s="126">
        <f>IF($D303="",0,IFERROR(LOOKUP(2,1/(($D$3:D302=$D303)*($C$3:C302=$C303)*($A$3:A302&lt;$A303)),$AB$3:AB302),1000))</f>
        <v>1050.9933109481403</v>
      </c>
      <c r="V303" s="126">
        <f t="shared" si="91"/>
        <v>1074.5675125258826</v>
      </c>
      <c r="W303">
        <f t="shared" si="92"/>
        <v>1002.3480128383832</v>
      </c>
      <c r="X303">
        <f t="shared" si="93"/>
        <v>0.602460752838893</v>
      </c>
      <c r="Y303">
        <f t="shared" si="94"/>
        <v>997.20768388007116</v>
      </c>
      <c r="Z303">
        <f t="shared" si="95"/>
        <v>0.57679127390786578</v>
      </c>
      <c r="AA303">
        <f>IF($D303="",0,IF($F303&lt;2,0,IF($E303="Win",('Guide &amp; Settings'!$C$42/(($F303-1)*COUNTIFS($A$4:$A$1510,$A303,$E$4:$E$1510,"Win")))*SUMIFS($Z$4:$Z$1510,$A$4:$A$1510,$A303,$E$4:$E$1510,"Loss"),-('Guide &amp; Settings'!$C$42/($F303-1))*$Z303)))</f>
        <v>-18.457320765051705</v>
      </c>
      <c r="AB303" s="126">
        <f t="shared" si="96"/>
        <v>1032.5359901830886</v>
      </c>
      <c r="AC303" s="126">
        <f>IF($D303="","",IF($AD303=0,0,IF(COUNTIFS($D$4:$D303,$D303,$B$4:$B303,$B303)&gt;1,0,IF($B303&lt;'Guide &amp; Settings'!$C$50,0,IF(($B303-$AD303)/7-'Guide &amp; Settings'!$C$48&gt;=0,(INT(($B303-$AD303)/7-'Guide &amp; Settings'!$C$48)+1)*'Guide &amp; Settings'!$C$49,0)))))</f>
        <v>0</v>
      </c>
      <c r="AD303" s="142">
        <f t="shared" si="97"/>
        <v>46200</v>
      </c>
      <c r="AE303">
        <f t="shared" si="98"/>
        <v>1</v>
      </c>
      <c r="AF303">
        <f t="shared" si="99"/>
        <v>0</v>
      </c>
    </row>
    <row r="304" spans="1:32" ht="15" customHeight="1" x14ac:dyDescent="0.2">
      <c r="A304" s="117">
        <v>128</v>
      </c>
      <c r="B304" s="118">
        <v>46212</v>
      </c>
      <c r="C304" s="119" t="s">
        <v>35</v>
      </c>
      <c r="D304" s="119" t="s">
        <v>20</v>
      </c>
      <c r="E304" s="117" t="s">
        <v>371</v>
      </c>
      <c r="F304" s="120">
        <f t="shared" si="80"/>
        <v>2</v>
      </c>
      <c r="G304" s="121" t="str">
        <f t="shared" si="81"/>
        <v>Aaron</v>
      </c>
      <c r="H304" s="122">
        <f>IF($D304="",0,IFERROR(LOOKUP(2,1/(($D$3:D303=$D304)*($A$3:A303&lt;$A304)),$N$3:N303),'Guide &amp; Settings'!$C$41))</f>
        <v>1045.0758095958261</v>
      </c>
      <c r="I304" s="123">
        <f t="shared" si="82"/>
        <v>0.45267489711934156</v>
      </c>
      <c r="J304" s="124">
        <f>IF($D304="",0,IF($F304&lt;2,0,IF($E304="Win",('Guide &amp; Settings'!$C$42/(($F304-1)*COUNTIFS($A$4:$A$1510,$A304,$E$4:$E$1510,"Win")))*SUMIFS($X$4:$X$1510,$A$4:$A$1510,$A304,$E$4:$E$1510,"Loss"),-('Guide &amp; Settings'!$C$42/($F304-1))*$X304)))</f>
        <v>-14.654621218587391</v>
      </c>
      <c r="K304" s="124">
        <f>IF($D304="",0,'Guide &amp; Settings'!$C$43*(IF($E304="Win",1,0)-$I304))</f>
        <v>-5.4320987654320989</v>
      </c>
      <c r="L304" s="125">
        <f>IF($D304="",0,'Guide &amp; Settings'!$C$44*IF($F304&gt;=3,$F304,0))</f>
        <v>0</v>
      </c>
      <c r="M304" s="124">
        <f t="shared" si="83"/>
        <v>-20.086719984019489</v>
      </c>
      <c r="N304" s="122">
        <f t="shared" si="84"/>
        <v>1024.9890896118065</v>
      </c>
      <c r="O304" s="121" t="str">
        <f t="shared" si="85"/>
        <v>OK</v>
      </c>
      <c r="P304">
        <f t="shared" si="86"/>
        <v>1086.0074909594259</v>
      </c>
      <c r="Q304">
        <f t="shared" si="87"/>
        <v>0.44136559478679038</v>
      </c>
      <c r="R304">
        <f t="shared" si="88"/>
        <v>0.52631578947368418</v>
      </c>
      <c r="S304">
        <f t="shared" si="89"/>
        <v>1.1626794258373205</v>
      </c>
      <c r="T304" s="89">
        <f t="shared" si="90"/>
        <v>17</v>
      </c>
      <c r="U304" s="126">
        <f>IF($D304="",0,IFERROR(LOOKUP(2,1/(($D$3:D303=$D304)*($C$3:C303=$C304)*($A$3:A303&lt;$A304)),$AB$3:AB303),1000))</f>
        <v>1015.6650046451228</v>
      </c>
      <c r="V304" s="126">
        <f t="shared" si="91"/>
        <v>1022.3492784975555</v>
      </c>
      <c r="W304">
        <f t="shared" si="92"/>
        <v>1051.6329547460662</v>
      </c>
      <c r="X304">
        <f t="shared" si="93"/>
        <v>0.45795691308085595</v>
      </c>
      <c r="Y304">
        <f t="shared" si="94"/>
        <v>1032.5359901830886</v>
      </c>
      <c r="Z304">
        <f t="shared" si="95"/>
        <v>0.47573976516590627</v>
      </c>
      <c r="AA304">
        <f>IF($D304="",0,IF($F304&lt;2,0,IF($E304="Win",('Guide &amp; Settings'!$C$42/(($F304-1)*COUNTIFS($A$4:$A$1510,$A304,$E$4:$E$1510,"Win")))*SUMIFS($Z$4:$Z$1510,$A$4:$A$1510,$A304,$E$4:$E$1510,"Loss"),-('Guide &amp; Settings'!$C$42/($F304-1))*$Z304)))</f>
        <v>-15.223672485309001</v>
      </c>
      <c r="AB304" s="126">
        <f t="shared" si="96"/>
        <v>1000.4413321598139</v>
      </c>
      <c r="AC304" s="126">
        <f>IF($D304="","",IF($AD304=0,0,IF(COUNTIFS($D$4:$D304,$D304,$B$4:$B304,$B304)&gt;1,0,IF($B304&lt;'Guide &amp; Settings'!$C$50,0,IF(($B304-$AD304)/7-'Guide &amp; Settings'!$C$48&gt;=0,(INT(($B304-$AD304)/7-'Guide &amp; Settings'!$C$48)+1)*'Guide &amp; Settings'!$C$49,0)))))</f>
        <v>0</v>
      </c>
      <c r="AD304" s="142">
        <f t="shared" si="97"/>
        <v>46209</v>
      </c>
      <c r="AE304">
        <f t="shared" si="98"/>
        <v>1</v>
      </c>
      <c r="AF304">
        <f t="shared" si="99"/>
        <v>0</v>
      </c>
    </row>
    <row r="305" spans="1:32" ht="15" customHeight="1" x14ac:dyDescent="0.2">
      <c r="A305" s="117">
        <v>128</v>
      </c>
      <c r="B305" s="118">
        <v>46212</v>
      </c>
      <c r="C305" s="119" t="s">
        <v>35</v>
      </c>
      <c r="D305" s="119" t="s">
        <v>15</v>
      </c>
      <c r="E305" s="117" t="s">
        <v>370</v>
      </c>
      <c r="F305" s="120">
        <f t="shared" si="80"/>
        <v>2</v>
      </c>
      <c r="G305" s="121" t="str">
        <f t="shared" si="81"/>
        <v>Aaron</v>
      </c>
      <c r="H305" s="122">
        <f>IF($D305="",0,IFERROR(LOOKUP(2,1/(($D$3:D304=$D305)*($A$3:A304&lt;$A305)),$N$3:N304),'Guide &amp; Settings'!$C$41))</f>
        <v>1086.0074909594259</v>
      </c>
      <c r="I305" s="123">
        <f t="shared" si="82"/>
        <v>0.5473251028806585</v>
      </c>
      <c r="J305" s="124">
        <f>IF($D305="",0,IF($F305&lt;2,0,IF($E305="Win",('Guide &amp; Settings'!$C$42/(($F305-1)*COUNTIFS($A$4:$A$1510,$A305,$E$4:$E$1510,"Win")))*SUMIFS($X$4:$X$1510,$A$4:$A$1510,$A305,$E$4:$E$1510,"Loss"),-('Guide &amp; Settings'!$C$42/($F305-1))*$X305)))</f>
        <v>14.654621218587391</v>
      </c>
      <c r="K305" s="124">
        <f>IF($D305="",0,'Guide &amp; Settings'!$C$43*(IF($E305="Win",1,0)-$I305))</f>
        <v>5.432098765432098</v>
      </c>
      <c r="L305" s="125">
        <f>IF($D305="",0,'Guide &amp; Settings'!$C$44*IF($F305&gt;=3,$F305,0))</f>
        <v>0</v>
      </c>
      <c r="M305" s="124">
        <f t="shared" si="83"/>
        <v>20.086719984019489</v>
      </c>
      <c r="N305" s="122">
        <f t="shared" si="84"/>
        <v>1106.0942109434454</v>
      </c>
      <c r="O305" s="121" t="str">
        <f t="shared" si="85"/>
        <v>OK</v>
      </c>
      <c r="P305">
        <f t="shared" si="86"/>
        <v>1086.0074909594259</v>
      </c>
      <c r="Q305">
        <f t="shared" si="87"/>
        <v>0.5</v>
      </c>
      <c r="R305">
        <f t="shared" si="88"/>
        <v>0.63636363636363635</v>
      </c>
      <c r="S305">
        <f t="shared" si="89"/>
        <v>1.1626794258373205</v>
      </c>
      <c r="T305" s="89">
        <f t="shared" si="90"/>
        <v>9</v>
      </c>
      <c r="U305" s="126">
        <f>IF($D305="",0,IFERROR(LOOKUP(2,1/(($D$3:D304=$D305)*($C$3:C304=$C305)*($A$3:A304&lt;$A305)),$AB$3:AB304),1000))</f>
        <v>1032.5359901830886</v>
      </c>
      <c r="V305" s="126">
        <f t="shared" si="91"/>
        <v>1051.6329547460662</v>
      </c>
      <c r="W305">
        <f t="shared" si="92"/>
        <v>1051.6329547460662</v>
      </c>
      <c r="X305">
        <f t="shared" si="93"/>
        <v>0.5</v>
      </c>
      <c r="Y305">
        <f t="shared" si="94"/>
        <v>1032.5359901830886</v>
      </c>
      <c r="Z305">
        <f t="shared" si="95"/>
        <v>0.5</v>
      </c>
      <c r="AA305">
        <f>IF($D305="",0,IF($F305&lt;2,0,IF($E305="Win",('Guide &amp; Settings'!$C$42/(($F305-1)*COUNTIFS($A$4:$A$1510,$A305,$E$4:$E$1510,"Win")))*SUMIFS($Z$4:$Z$1510,$A$4:$A$1510,$A305,$E$4:$E$1510,"Loss"),-('Guide &amp; Settings'!$C$42/($F305-1))*$Z305)))</f>
        <v>15.223672485309001</v>
      </c>
      <c r="AB305" s="126">
        <f t="shared" si="96"/>
        <v>1047.7596626683976</v>
      </c>
      <c r="AC305" s="126">
        <f>IF($D305="","",IF($AD305=0,0,IF(COUNTIFS($D$4:$D305,$D305,$B$4:$B305,$B305)&gt;1,0,IF($B305&lt;'Guide &amp; Settings'!$C$50,0,IF(($B305-$AD305)/7-'Guide &amp; Settings'!$C$48&gt;=0,(INT(($B305-$AD305)/7-'Guide &amp; Settings'!$C$48)+1)*'Guide &amp; Settings'!$C$49,0)))))</f>
        <v>0</v>
      </c>
      <c r="AD305" s="142">
        <f t="shared" si="97"/>
        <v>46200</v>
      </c>
      <c r="AE305">
        <f t="shared" si="98"/>
        <v>1</v>
      </c>
      <c r="AF305">
        <f t="shared" si="99"/>
        <v>0</v>
      </c>
    </row>
    <row r="306" spans="1:32" ht="15" customHeight="1" x14ac:dyDescent="0.2">
      <c r="A306" s="117">
        <v>129</v>
      </c>
      <c r="B306" s="118">
        <v>46212</v>
      </c>
      <c r="C306" s="119" t="s">
        <v>50</v>
      </c>
      <c r="D306" s="119" t="s">
        <v>20</v>
      </c>
      <c r="E306" s="117" t="s">
        <v>370</v>
      </c>
      <c r="F306" s="120">
        <f t="shared" si="80"/>
        <v>2</v>
      </c>
      <c r="G306" s="121" t="str">
        <f t="shared" si="81"/>
        <v>Shawn</v>
      </c>
      <c r="H306" s="122">
        <f>IF($D306="",0,IFERROR(LOOKUP(2,1/(($D$3:D305=$D306)*($A$3:A305&lt;$A306)),$N$3:N305),'Guide &amp; Settings'!$C$41))</f>
        <v>1024.9890896118065</v>
      </c>
      <c r="I306" s="123">
        <f t="shared" si="82"/>
        <v>0.5</v>
      </c>
      <c r="J306" s="124">
        <f>IF($D306="",0,IF($F306&lt;2,0,IF($E306="Win",('Guide &amp; Settings'!$C$42/(($F306-1)*COUNTIFS($A$4:$A$1510,$A306,$E$4:$E$1510,"Win")))*SUMIFS($X$4:$X$1510,$A$4:$A$1510,$A306,$E$4:$E$1510,"Loss"),-('Guide &amp; Settings'!$C$42/($F306-1))*$X306)))</f>
        <v>19.668630376779298</v>
      </c>
      <c r="K306" s="124">
        <f>IF($D306="",0,'Guide &amp; Settings'!$C$43*(IF($E306="Win",1,0)-$I306))</f>
        <v>6</v>
      </c>
      <c r="L306" s="125">
        <f>IF($D306="",0,'Guide &amp; Settings'!$C$44*IF($F306&gt;=3,$F306,0))</f>
        <v>0</v>
      </c>
      <c r="M306" s="124">
        <f t="shared" si="83"/>
        <v>25.668630376779298</v>
      </c>
      <c r="N306" s="122">
        <f t="shared" si="84"/>
        <v>1050.6577199885858</v>
      </c>
      <c r="O306" s="121" t="str">
        <f t="shared" si="85"/>
        <v>OK</v>
      </c>
      <c r="P306">
        <f t="shared" si="86"/>
        <v>1024.9890896118065</v>
      </c>
      <c r="Q306">
        <f t="shared" si="87"/>
        <v>0.5</v>
      </c>
      <c r="R306">
        <f t="shared" si="88"/>
        <v>0.5</v>
      </c>
      <c r="S306">
        <f t="shared" si="89"/>
        <v>1</v>
      </c>
      <c r="T306" s="89">
        <f t="shared" si="90"/>
        <v>0</v>
      </c>
      <c r="U306" s="126">
        <f>IF($D306="",0,IFERROR(LOOKUP(2,1/(($D$3:D305=$D306)*($C$3:C305=$C306)*($A$3:A305&lt;$A306)),$AB$3:AB305),1000))</f>
        <v>1000</v>
      </c>
      <c r="V306" s="126">
        <f t="shared" si="91"/>
        <v>1024.9890896118065</v>
      </c>
      <c r="W306">
        <f t="shared" si="92"/>
        <v>1024.9890896118065</v>
      </c>
      <c r="X306">
        <f t="shared" si="93"/>
        <v>0.5</v>
      </c>
      <c r="Y306">
        <f t="shared" si="94"/>
        <v>1000</v>
      </c>
      <c r="Z306">
        <f t="shared" si="95"/>
        <v>0.5</v>
      </c>
      <c r="AA306">
        <f>IF($D306="",0,IF($F306&lt;2,0,IF($E306="Win",('Guide &amp; Settings'!$C$42/(($F306-1)*COUNTIFS($A$4:$A$1510,$A306,$E$4:$E$1510,"Win")))*SUMIFS($Z$4:$Z$1510,$A$4:$A$1510,$A306,$E$4:$E$1510,"Loss"),-('Guide &amp; Settings'!$C$42/($F306-1))*$Z306)))</f>
        <v>16</v>
      </c>
      <c r="AB306" s="126">
        <f t="shared" si="96"/>
        <v>1016</v>
      </c>
      <c r="AC306" s="126">
        <f>IF($D306="","",IF($AD306=0,0,IF(COUNTIFS($D$4:$D306,$D306,$B$4:$B306,$B306)&gt;1,0,IF($B306&lt;'Guide &amp; Settings'!$C$50,0,IF(($B306-$AD306)/7-'Guide &amp; Settings'!$C$48&gt;=0,(INT(($B306-$AD306)/7-'Guide &amp; Settings'!$C$48)+1)*'Guide &amp; Settings'!$C$49,0)))))</f>
        <v>0</v>
      </c>
      <c r="AD306" s="142">
        <f t="shared" si="97"/>
        <v>46209</v>
      </c>
      <c r="AE306">
        <f t="shared" si="98"/>
        <v>1</v>
      </c>
      <c r="AF306">
        <f t="shared" si="99"/>
        <v>0</v>
      </c>
    </row>
    <row r="307" spans="1:32" ht="15" customHeight="1" x14ac:dyDescent="0.2">
      <c r="A307" s="117">
        <v>129</v>
      </c>
      <c r="B307" s="118">
        <v>46212</v>
      </c>
      <c r="C307" s="119" t="s">
        <v>50</v>
      </c>
      <c r="D307" s="119" t="s">
        <v>15</v>
      </c>
      <c r="E307" s="117" t="s">
        <v>371</v>
      </c>
      <c r="F307" s="120">
        <f t="shared" si="80"/>
        <v>2</v>
      </c>
      <c r="G307" s="121" t="str">
        <f t="shared" si="81"/>
        <v>Shawn</v>
      </c>
      <c r="H307" s="122">
        <f>IF($D307="",0,IFERROR(LOOKUP(2,1/(($D$3:D306=$D307)*($A$3:A306&lt;$A307)),$N$3:N306),'Guide &amp; Settings'!$C$41))</f>
        <v>1106.0942109434454</v>
      </c>
      <c r="I307" s="123">
        <f t="shared" si="82"/>
        <v>0.5</v>
      </c>
      <c r="J307" s="124">
        <f>IF($D307="",0,IF($F307&lt;2,0,IF($E307="Win",('Guide &amp; Settings'!$C$42/(($F307-1)*COUNTIFS($A$4:$A$1510,$A307,$E$4:$E$1510,"Win")))*SUMIFS($X$4:$X$1510,$A$4:$A$1510,$A307,$E$4:$E$1510,"Loss"),-('Guide &amp; Settings'!$C$42/($F307-1))*$X307)))</f>
        <v>-19.668630376779298</v>
      </c>
      <c r="K307" s="124">
        <f>IF($D307="",0,'Guide &amp; Settings'!$C$43*(IF($E307="Win",1,0)-$I307))</f>
        <v>-6</v>
      </c>
      <c r="L307" s="125">
        <f>IF($D307="",0,'Guide &amp; Settings'!$C$44*IF($F307&gt;=3,$F307,0))</f>
        <v>0</v>
      </c>
      <c r="M307" s="124">
        <f t="shared" si="83"/>
        <v>-25.668630376779298</v>
      </c>
      <c r="N307" s="122">
        <f t="shared" si="84"/>
        <v>1080.4255805666662</v>
      </c>
      <c r="O307" s="121" t="str">
        <f t="shared" si="85"/>
        <v>OK</v>
      </c>
      <c r="P307">
        <f t="shared" si="86"/>
        <v>1024.9890896118065</v>
      </c>
      <c r="Q307">
        <f t="shared" si="87"/>
        <v>0.61464469927435306</v>
      </c>
      <c r="R307">
        <f t="shared" si="88"/>
        <v>0.5</v>
      </c>
      <c r="S307">
        <f t="shared" si="89"/>
        <v>1</v>
      </c>
      <c r="T307" s="89">
        <f t="shared" si="90"/>
        <v>0</v>
      </c>
      <c r="U307" s="126">
        <f>IF($D307="",0,IFERROR(LOOKUP(2,1/(($D$3:D306=$D307)*($C$3:C306=$C307)*($A$3:A306&lt;$A307)),$AB$3:AB306),1000))</f>
        <v>1000</v>
      </c>
      <c r="V307" s="126">
        <f t="shared" si="91"/>
        <v>1106.0942109434454</v>
      </c>
      <c r="W307">
        <f t="shared" si="92"/>
        <v>1024.9890896118065</v>
      </c>
      <c r="X307">
        <f t="shared" si="93"/>
        <v>0.61464469927435306</v>
      </c>
      <c r="Y307">
        <f t="shared" si="94"/>
        <v>1000</v>
      </c>
      <c r="Z307">
        <f t="shared" si="95"/>
        <v>0.5</v>
      </c>
      <c r="AA307">
        <f>IF($D307="",0,IF($F307&lt;2,0,IF($E307="Win",('Guide &amp; Settings'!$C$42/(($F307-1)*COUNTIFS($A$4:$A$1510,$A307,$E$4:$E$1510,"Win")))*SUMIFS($Z$4:$Z$1510,$A$4:$A$1510,$A307,$E$4:$E$1510,"Loss"),-('Guide &amp; Settings'!$C$42/($F307-1))*$Z307)))</f>
        <v>-16</v>
      </c>
      <c r="AB307" s="126">
        <f t="shared" si="96"/>
        <v>984</v>
      </c>
      <c r="AC307" s="126">
        <f>IF($D307="","",IF($AD307=0,0,IF(COUNTIFS($D$4:$D307,$D307,$B$4:$B307,$B307)&gt;1,0,IF($B307&lt;'Guide &amp; Settings'!$C$50,0,IF(($B307-$AD307)/7-'Guide &amp; Settings'!$C$48&gt;=0,(INT(($B307-$AD307)/7-'Guide &amp; Settings'!$C$48)+1)*'Guide &amp; Settings'!$C$49,0)))))</f>
        <v>0</v>
      </c>
      <c r="AD307" s="142">
        <f t="shared" si="97"/>
        <v>46200</v>
      </c>
      <c r="AE307">
        <f t="shared" si="98"/>
        <v>1</v>
      </c>
      <c r="AF307">
        <f t="shared" si="99"/>
        <v>0</v>
      </c>
    </row>
    <row r="308" spans="1:32" ht="15" customHeight="1" x14ac:dyDescent="0.2">
      <c r="A308" s="117">
        <v>130</v>
      </c>
      <c r="B308" s="118">
        <v>46212</v>
      </c>
      <c r="C308" s="119" t="s">
        <v>50</v>
      </c>
      <c r="D308" s="119" t="s">
        <v>20</v>
      </c>
      <c r="E308" s="117" t="s">
        <v>370</v>
      </c>
      <c r="F308" s="120">
        <f t="shared" si="80"/>
        <v>2</v>
      </c>
      <c r="G308" s="121" t="str">
        <f t="shared" si="81"/>
        <v>Shawn</v>
      </c>
      <c r="H308" s="122">
        <f>IF($D308="",0,IFERROR(LOOKUP(2,1/(($D$3:D307=$D308)*($A$3:A307&lt;$A308)),$N$3:N307),'Guide &amp; Settings'!$C$41))</f>
        <v>1050.6577199885858</v>
      </c>
      <c r="I308" s="123">
        <f t="shared" si="82"/>
        <v>0.66666666666666663</v>
      </c>
      <c r="J308" s="124">
        <f>IF($D308="",0,IF($F308&lt;2,0,IF($E308="Win",('Guide &amp; Settings'!$C$42/(($F308-1)*COUNTIFS($A$4:$A$1510,$A308,$E$4:$E$1510,"Win")))*SUMIFS($X$4:$X$1510,$A$4:$A$1510,$A308,$E$4:$E$1510,"Loss"),-('Guide &amp; Settings'!$C$42/($F308-1))*$X308)))</f>
        <v>16.895836918344486</v>
      </c>
      <c r="K308" s="124">
        <f>IF($D308="",0,'Guide &amp; Settings'!$C$43*(IF($E308="Win",1,0)-$I308))</f>
        <v>4</v>
      </c>
      <c r="L308" s="125">
        <f>IF($D308="",0,'Guide &amp; Settings'!$C$44*IF($F308&gt;=3,$F308,0))</f>
        <v>0</v>
      </c>
      <c r="M308" s="124">
        <f t="shared" si="83"/>
        <v>20.895836918344486</v>
      </c>
      <c r="N308" s="122">
        <f t="shared" si="84"/>
        <v>1071.5535569069302</v>
      </c>
      <c r="O308" s="121" t="str">
        <f t="shared" si="85"/>
        <v>OK</v>
      </c>
      <c r="P308">
        <f t="shared" si="86"/>
        <v>1050.6577199885858</v>
      </c>
      <c r="Q308">
        <f t="shared" si="87"/>
        <v>0.5</v>
      </c>
      <c r="R308">
        <f t="shared" si="88"/>
        <v>0.66666666666666663</v>
      </c>
      <c r="S308">
        <f t="shared" si="89"/>
        <v>1</v>
      </c>
      <c r="T308" s="89">
        <f t="shared" si="90"/>
        <v>1</v>
      </c>
      <c r="U308" s="126">
        <f>IF($D308="",0,IFERROR(LOOKUP(2,1/(($D$3:D307=$D308)*($C$3:C307=$C308)*($A$3:A307&lt;$A308)),$AB$3:AB307),1000))</f>
        <v>1016</v>
      </c>
      <c r="V308" s="126">
        <f t="shared" si="91"/>
        <v>1044.8814333238215</v>
      </c>
      <c r="W308">
        <f t="shared" si="92"/>
        <v>1044.8814333238215</v>
      </c>
      <c r="X308">
        <f t="shared" si="93"/>
        <v>0.5</v>
      </c>
      <c r="Y308">
        <f t="shared" si="94"/>
        <v>1016</v>
      </c>
      <c r="Z308">
        <f t="shared" si="95"/>
        <v>0.5</v>
      </c>
      <c r="AA308">
        <f>IF($D308="",0,IF($F308&lt;2,0,IF($E308="Win",('Guide &amp; Settings'!$C$42/(($F308-1)*COUNTIFS($A$4:$A$1510,$A308,$E$4:$E$1510,"Win")))*SUMIFS($Z$4:$Z$1510,$A$4:$A$1510,$A308,$E$4:$E$1510,"Loss"),-('Guide &amp; Settings'!$C$42/($F308-1))*$Z308)))</f>
        <v>14.530498471024522</v>
      </c>
      <c r="AB308" s="126">
        <f t="shared" si="96"/>
        <v>1030.5304984710244</v>
      </c>
      <c r="AC308" s="126">
        <f>IF($D308="","",IF($AD308=0,0,IF(COUNTIFS($D$4:$D308,$D308,$B$4:$B308,$B308)&gt;1,0,IF($B308&lt;'Guide &amp; Settings'!$C$50,0,IF(($B308-$AD308)/7-'Guide &amp; Settings'!$C$48&gt;=0,(INT(($B308-$AD308)/7-'Guide &amp; Settings'!$C$48)+1)*'Guide &amp; Settings'!$C$49,0)))))</f>
        <v>0</v>
      </c>
      <c r="AD308" s="142">
        <f t="shared" si="97"/>
        <v>46209</v>
      </c>
      <c r="AE308">
        <f t="shared" si="98"/>
        <v>1</v>
      </c>
      <c r="AF308">
        <f t="shared" si="99"/>
        <v>0</v>
      </c>
    </row>
    <row r="309" spans="1:32" ht="15" customHeight="1" x14ac:dyDescent="0.2">
      <c r="A309" s="117">
        <v>130</v>
      </c>
      <c r="B309" s="118">
        <v>46212</v>
      </c>
      <c r="C309" s="119" t="s">
        <v>50</v>
      </c>
      <c r="D309" s="119" t="s">
        <v>15</v>
      </c>
      <c r="E309" s="117" t="s">
        <v>371</v>
      </c>
      <c r="F309" s="120">
        <f t="shared" si="80"/>
        <v>2</v>
      </c>
      <c r="G309" s="121" t="str">
        <f t="shared" si="81"/>
        <v>Shawn</v>
      </c>
      <c r="H309" s="122">
        <f>IF($D309="",0,IFERROR(LOOKUP(2,1/(($D$3:D308=$D309)*($A$3:A308&lt;$A309)),$N$3:N308),'Guide &amp; Settings'!$C$41))</f>
        <v>1080.4255805666662</v>
      </c>
      <c r="I309" s="123">
        <f t="shared" si="82"/>
        <v>0.33333333333333331</v>
      </c>
      <c r="J309" s="124">
        <f>IF($D309="",0,IF($F309&lt;2,0,IF($E309="Win",('Guide &amp; Settings'!$C$42/(($F309-1)*COUNTIFS($A$4:$A$1510,$A309,$E$4:$E$1510,"Win")))*SUMIFS($X$4:$X$1510,$A$4:$A$1510,$A309,$E$4:$E$1510,"Loss"),-('Guide &amp; Settings'!$C$42/($F309-1))*$X309)))</f>
        <v>-16.895836918344486</v>
      </c>
      <c r="K309" s="124">
        <f>IF($D309="",0,'Guide &amp; Settings'!$C$43*(IF($E309="Win",1,0)-$I309))</f>
        <v>-4</v>
      </c>
      <c r="L309" s="125">
        <f>IF($D309="",0,'Guide &amp; Settings'!$C$44*IF($F309&gt;=3,$F309,0))</f>
        <v>0</v>
      </c>
      <c r="M309" s="124">
        <f t="shared" si="83"/>
        <v>-20.895836918344486</v>
      </c>
      <c r="N309" s="122">
        <f t="shared" si="84"/>
        <v>1059.5297436483218</v>
      </c>
      <c r="O309" s="121" t="str">
        <f t="shared" si="85"/>
        <v>OK</v>
      </c>
      <c r="P309">
        <f t="shared" si="86"/>
        <v>1050.6577199885858</v>
      </c>
      <c r="Q309">
        <f t="shared" si="87"/>
        <v>0.54273487597392711</v>
      </c>
      <c r="R309">
        <f t="shared" si="88"/>
        <v>0.33333333333333331</v>
      </c>
      <c r="S309">
        <f t="shared" si="89"/>
        <v>1</v>
      </c>
      <c r="T309" s="89">
        <f t="shared" si="90"/>
        <v>1</v>
      </c>
      <c r="U309" s="126">
        <f>IF($D309="",0,IFERROR(LOOKUP(2,1/(($D$3:D308=$D309)*($C$3:C308=$C309)*($A$3:A308&lt;$A309)),$AB$3:AB308),1000))</f>
        <v>984</v>
      </c>
      <c r="V309" s="126">
        <f t="shared" si="91"/>
        <v>1064.3546504722219</v>
      </c>
      <c r="W309">
        <f t="shared" si="92"/>
        <v>1044.8814333238215</v>
      </c>
      <c r="X309">
        <f t="shared" si="93"/>
        <v>0.52799490369826518</v>
      </c>
      <c r="Y309">
        <f t="shared" si="94"/>
        <v>1016</v>
      </c>
      <c r="Z309">
        <f t="shared" si="95"/>
        <v>0.45407807721951632</v>
      </c>
      <c r="AA309">
        <f>IF($D309="",0,IF($F309&lt;2,0,IF($E309="Win",('Guide &amp; Settings'!$C$42/(($F309-1)*COUNTIFS($A$4:$A$1510,$A309,$E$4:$E$1510,"Win")))*SUMIFS($Z$4:$Z$1510,$A$4:$A$1510,$A309,$E$4:$E$1510,"Loss"),-('Guide &amp; Settings'!$C$42/($F309-1))*$Z309)))</f>
        <v>-14.530498471024522</v>
      </c>
      <c r="AB309" s="126">
        <f t="shared" si="96"/>
        <v>969.46950152897546</v>
      </c>
      <c r="AC309" s="126">
        <f>IF($D309="","",IF($AD309=0,0,IF(COUNTIFS($D$4:$D309,$D309,$B$4:$B309,$B309)&gt;1,0,IF($B309&lt;'Guide &amp; Settings'!$C$50,0,IF(($B309-$AD309)/7-'Guide &amp; Settings'!$C$48&gt;=0,(INT(($B309-$AD309)/7-'Guide &amp; Settings'!$C$48)+1)*'Guide &amp; Settings'!$C$49,0)))))</f>
        <v>0</v>
      </c>
      <c r="AD309" s="142">
        <f t="shared" si="97"/>
        <v>46200</v>
      </c>
      <c r="AE309">
        <f t="shared" si="98"/>
        <v>1</v>
      </c>
      <c r="AF309">
        <f t="shared" si="99"/>
        <v>0</v>
      </c>
    </row>
    <row r="310" spans="1:32" ht="15" customHeight="1" x14ac:dyDescent="0.2">
      <c r="A310" s="117">
        <v>131</v>
      </c>
      <c r="B310" s="118">
        <v>46212</v>
      </c>
      <c r="C310" s="119" t="s">
        <v>50</v>
      </c>
      <c r="D310" s="119" t="s">
        <v>20</v>
      </c>
      <c r="E310" s="117" t="s">
        <v>370</v>
      </c>
      <c r="F310" s="120">
        <f t="shared" si="80"/>
        <v>2</v>
      </c>
      <c r="G310" s="121" t="str">
        <f t="shared" si="81"/>
        <v>Shawn</v>
      </c>
      <c r="H310" s="122">
        <f>IF($D310="",0,IFERROR(LOOKUP(2,1/(($D$3:D309=$D310)*($A$3:A309&lt;$A310)),$N$3:N309),'Guide &amp; Settings'!$C$41))</f>
        <v>1071.5535569069302</v>
      </c>
      <c r="I310" s="123">
        <f t="shared" si="82"/>
        <v>0.75</v>
      </c>
      <c r="J310" s="124">
        <f>IF($D310="",0,IF($F310&lt;2,0,IF($E310="Win",('Guide &amp; Settings'!$C$42/(($F310-1)*COUNTIFS($A$4:$A$1510,$A310,$E$4:$E$1510,"Win")))*SUMIFS($X$4:$X$1510,$A$4:$A$1510,$A310,$E$4:$E$1510,"Loss"),-('Guide &amp; Settings'!$C$42/($F310-1))*$X310)))</f>
        <v>14.803308820290763</v>
      </c>
      <c r="K310" s="124">
        <f>IF($D310="",0,'Guide &amp; Settings'!$C$43*(IF($E310="Win",1,0)-$I310))</f>
        <v>3</v>
      </c>
      <c r="L310" s="125">
        <f>IF($D310="",0,'Guide &amp; Settings'!$C$44*IF($F310&gt;=3,$F310,0))</f>
        <v>0</v>
      </c>
      <c r="M310" s="124">
        <f t="shared" si="83"/>
        <v>17.803308820290763</v>
      </c>
      <c r="N310" s="122">
        <f t="shared" si="84"/>
        <v>1089.356865727221</v>
      </c>
      <c r="O310" s="121" t="str">
        <f t="shared" si="85"/>
        <v>OK</v>
      </c>
      <c r="P310">
        <f t="shared" si="86"/>
        <v>1071.5535569069302</v>
      </c>
      <c r="Q310">
        <f t="shared" si="87"/>
        <v>0.5</v>
      </c>
      <c r="R310">
        <f t="shared" si="88"/>
        <v>0.75</v>
      </c>
      <c r="S310">
        <f t="shared" si="89"/>
        <v>1</v>
      </c>
      <c r="T310" s="89">
        <f t="shared" si="90"/>
        <v>2</v>
      </c>
      <c r="U310" s="126">
        <f>IF($D310="",0,IFERROR(LOOKUP(2,1/(($D$3:D309=$D310)*($C$3:C309=$C310)*($A$3:A309&lt;$A310)),$AB$3:AB309),1000))</f>
        <v>1030.5304984710244</v>
      </c>
      <c r="V310" s="126">
        <f t="shared" si="91"/>
        <v>1059.8326830680999</v>
      </c>
      <c r="W310">
        <f t="shared" si="92"/>
        <v>1059.8326830680999</v>
      </c>
      <c r="X310">
        <f t="shared" si="93"/>
        <v>0.5</v>
      </c>
      <c r="Y310">
        <f t="shared" si="94"/>
        <v>1030.5304984710244</v>
      </c>
      <c r="Z310">
        <f t="shared" si="95"/>
        <v>0.5</v>
      </c>
      <c r="AA310">
        <f>IF($D310="",0,IF($F310&lt;2,0,IF($E310="Win",('Guide &amp; Settings'!$C$42/(($F310-1)*COUNTIFS($A$4:$A$1510,$A310,$E$4:$E$1510,"Win")))*SUMIFS($Z$4:$Z$1510,$A$4:$A$1510,$A310,$E$4:$E$1510,"Loss"),-('Guide &amp; Settings'!$C$42/($F310-1))*$Z310)))</f>
        <v>13.21663516258643</v>
      </c>
      <c r="AB310" s="126">
        <f t="shared" si="96"/>
        <v>1043.7471336336109</v>
      </c>
      <c r="AC310" s="126">
        <f>IF($D310="","",IF($AD310=0,0,IF(COUNTIFS($D$4:$D310,$D310,$B$4:$B310,$B310)&gt;1,0,IF($B310&lt;'Guide &amp; Settings'!$C$50,0,IF(($B310-$AD310)/7-'Guide &amp; Settings'!$C$48&gt;=0,(INT(($B310-$AD310)/7-'Guide &amp; Settings'!$C$48)+1)*'Guide &amp; Settings'!$C$49,0)))))</f>
        <v>0</v>
      </c>
      <c r="AD310" s="142">
        <f t="shared" si="97"/>
        <v>46209</v>
      </c>
      <c r="AE310">
        <f t="shared" si="98"/>
        <v>1</v>
      </c>
      <c r="AF310">
        <f t="shared" si="99"/>
        <v>0</v>
      </c>
    </row>
    <row r="311" spans="1:32" ht="15" customHeight="1" x14ac:dyDescent="0.2">
      <c r="A311" s="117">
        <v>131</v>
      </c>
      <c r="B311" s="118">
        <v>46212</v>
      </c>
      <c r="C311" s="119" t="s">
        <v>50</v>
      </c>
      <c r="D311" s="119" t="s">
        <v>15</v>
      </c>
      <c r="E311" s="117" t="s">
        <v>371</v>
      </c>
      <c r="F311" s="120">
        <f t="shared" si="80"/>
        <v>2</v>
      </c>
      <c r="G311" s="121" t="str">
        <f t="shared" si="81"/>
        <v>Shawn</v>
      </c>
      <c r="H311" s="122">
        <f>IF($D311="",0,IFERROR(LOOKUP(2,1/(($D$3:D310=$D311)*($A$3:A310&lt;$A311)),$N$3:N310),'Guide &amp; Settings'!$C$41))</f>
        <v>1059.5297436483218</v>
      </c>
      <c r="I311" s="123">
        <f t="shared" si="82"/>
        <v>0.25</v>
      </c>
      <c r="J311" s="124">
        <f>IF($D311="",0,IF($F311&lt;2,0,IF($E311="Win",('Guide &amp; Settings'!$C$42/(($F311-1)*COUNTIFS($A$4:$A$1510,$A311,$E$4:$E$1510,"Win")))*SUMIFS($X$4:$X$1510,$A$4:$A$1510,$A311,$E$4:$E$1510,"Loss"),-('Guide &amp; Settings'!$C$42/($F311-1))*$X311)))</f>
        <v>-14.803308820290763</v>
      </c>
      <c r="K311" s="124">
        <f>IF($D311="",0,'Guide &amp; Settings'!$C$43*(IF($E311="Win",1,0)-$I311))</f>
        <v>-3</v>
      </c>
      <c r="L311" s="125">
        <f>IF($D311="",0,'Guide &amp; Settings'!$C$44*IF($F311&gt;=3,$F311,0))</f>
        <v>0</v>
      </c>
      <c r="M311" s="124">
        <f t="shared" si="83"/>
        <v>-17.803308820290763</v>
      </c>
      <c r="N311" s="122">
        <f t="shared" si="84"/>
        <v>1041.726434828031</v>
      </c>
      <c r="O311" s="121" t="str">
        <f t="shared" si="85"/>
        <v>OK</v>
      </c>
      <c r="P311">
        <f t="shared" si="86"/>
        <v>1071.5535569069302</v>
      </c>
      <c r="Q311">
        <f t="shared" si="87"/>
        <v>0.48270324646390644</v>
      </c>
      <c r="R311">
        <f t="shared" si="88"/>
        <v>0.25</v>
      </c>
      <c r="S311">
        <f t="shared" si="89"/>
        <v>1</v>
      </c>
      <c r="T311" s="89">
        <f t="shared" si="90"/>
        <v>2</v>
      </c>
      <c r="U311" s="126">
        <f>IF($D311="",0,IFERROR(LOOKUP(2,1/(($D$3:D310=$D311)*($C$3:C310=$C311)*($A$3:A310&lt;$A311)),$AB$3:AB310),1000))</f>
        <v>969.46950152897546</v>
      </c>
      <c r="V311" s="126">
        <f t="shared" si="91"/>
        <v>1033.7982458999372</v>
      </c>
      <c r="W311">
        <f t="shared" si="92"/>
        <v>1059.8326830680999</v>
      </c>
      <c r="X311">
        <f t="shared" si="93"/>
        <v>0.46260340063408634</v>
      </c>
      <c r="Y311">
        <f t="shared" si="94"/>
        <v>1030.5304984710244</v>
      </c>
      <c r="Z311">
        <f t="shared" si="95"/>
        <v>0.41301984883082593</v>
      </c>
      <c r="AA311">
        <f>IF($D311="",0,IF($F311&lt;2,0,IF($E311="Win",('Guide &amp; Settings'!$C$42/(($F311-1)*COUNTIFS($A$4:$A$1510,$A311,$E$4:$E$1510,"Win")))*SUMIFS($Z$4:$Z$1510,$A$4:$A$1510,$A311,$E$4:$E$1510,"Loss"),-('Guide &amp; Settings'!$C$42/($F311-1))*$Z311)))</f>
        <v>-13.21663516258643</v>
      </c>
      <c r="AB311" s="126">
        <f t="shared" si="96"/>
        <v>956.25286636638907</v>
      </c>
      <c r="AC311" s="126">
        <f>IF($D311="","",IF($AD311=0,0,IF(COUNTIFS($D$4:$D311,$D311,$B$4:$B311,$B311)&gt;1,0,IF($B311&lt;'Guide &amp; Settings'!$C$50,0,IF(($B311-$AD311)/7-'Guide &amp; Settings'!$C$48&gt;=0,(INT(($B311-$AD311)/7-'Guide &amp; Settings'!$C$48)+1)*'Guide &amp; Settings'!$C$49,0)))))</f>
        <v>0</v>
      </c>
      <c r="AD311" s="142">
        <f t="shared" si="97"/>
        <v>46200</v>
      </c>
      <c r="AE311">
        <f t="shared" si="98"/>
        <v>1</v>
      </c>
      <c r="AF311">
        <f t="shared" si="99"/>
        <v>0</v>
      </c>
    </row>
    <row r="312" spans="1:32" x14ac:dyDescent="0.2">
      <c r="A312" s="117">
        <v>132</v>
      </c>
      <c r="B312" s="118">
        <v>46213</v>
      </c>
      <c r="C312" s="119" t="s">
        <v>35</v>
      </c>
      <c r="D312" s="119" t="s">
        <v>20</v>
      </c>
      <c r="E312" s="117" t="s">
        <v>371</v>
      </c>
      <c r="F312" s="120">
        <f t="shared" si="80"/>
        <v>2</v>
      </c>
      <c r="G312" s="121" t="str">
        <f t="shared" si="81"/>
        <v>Aaron</v>
      </c>
      <c r="H312" s="122">
        <f>IF($D312="",0,IFERROR(LOOKUP(2,1/(($D$3:D311=$D312)*($A$3:A311&lt;$A312)),$N$3:N311),'Guide &amp; Settings'!$C$41))</f>
        <v>1089.356865727221</v>
      </c>
      <c r="I312" s="123">
        <f t="shared" si="82"/>
        <v>0.4285714285714286</v>
      </c>
      <c r="J312" s="124">
        <f>IF($D312="",0,IF($F312&lt;2,0,IF($E312="Win",('Guide &amp; Settings'!$C$42/(($F312-1)*COUNTIFS($A$4:$A$1510,$A312,$E$4:$E$1510,"Win")))*SUMIFS($X$4:$X$1510,$A$4:$A$1510,$A312,$E$4:$E$1510,"Loss"),-('Guide &amp; Settings'!$C$42/($F312-1))*$X312)))</f>
        <v>-14.805902923266894</v>
      </c>
      <c r="K312" s="124">
        <f>IF($D312="",0,'Guide &amp; Settings'!$C$43*(IF($E312="Win",1,0)-$I312))</f>
        <v>-5.1428571428571432</v>
      </c>
      <c r="L312" s="125">
        <f>IF($D312="",0,'Guide &amp; Settings'!$C$44*IF($F312&gt;=3,$F312,0))</f>
        <v>0</v>
      </c>
      <c r="M312" s="124">
        <f t="shared" si="83"/>
        <v>-19.948760066124038</v>
      </c>
      <c r="N312" s="122">
        <f t="shared" si="84"/>
        <v>1069.4081056610969</v>
      </c>
      <c r="O312" s="121" t="str">
        <f t="shared" si="85"/>
        <v>OK</v>
      </c>
      <c r="P312">
        <f t="shared" si="86"/>
        <v>1041.726434828031</v>
      </c>
      <c r="Q312">
        <f t="shared" si="87"/>
        <v>0.56811948677360813</v>
      </c>
      <c r="R312">
        <f t="shared" si="88"/>
        <v>0.5</v>
      </c>
      <c r="S312">
        <f t="shared" si="89"/>
        <v>1.1666666666666665</v>
      </c>
      <c r="T312" s="89">
        <f t="shared" si="90"/>
        <v>18</v>
      </c>
      <c r="U312" s="126">
        <f>IF($D312="",0,IFERROR(LOOKUP(2,1/(($D$3:D311=$D312)*($C$3:C311=$C312)*($A$3:A311&lt;$A312)),$AB$3:AB311),1000))</f>
        <v>1000.4413321598139</v>
      </c>
      <c r="V312" s="126">
        <f t="shared" si="91"/>
        <v>1019.7707959788155</v>
      </c>
      <c r="W312">
        <f t="shared" si="92"/>
        <v>1045.7485867216087</v>
      </c>
      <c r="X312">
        <f t="shared" si="93"/>
        <v>0.46268446635209043</v>
      </c>
      <c r="Y312">
        <f t="shared" si="94"/>
        <v>1047.7596626683976</v>
      </c>
      <c r="Z312">
        <f t="shared" si="95"/>
        <v>0.43232137895658307</v>
      </c>
      <c r="AA312">
        <f>IF($D312="",0,IF($F312&lt;2,0,IF($E312="Win",('Guide &amp; Settings'!$C$42/(($F312-1)*COUNTIFS($A$4:$A$1510,$A312,$E$4:$E$1510,"Win")))*SUMIFS($Z$4:$Z$1510,$A$4:$A$1510,$A312,$E$4:$E$1510,"Loss"),-('Guide &amp; Settings'!$C$42/($F312-1))*$Z312)))</f>
        <v>-13.834284126610658</v>
      </c>
      <c r="AB312" s="126">
        <f t="shared" si="96"/>
        <v>986.60704803320323</v>
      </c>
      <c r="AC312" s="126">
        <f>IF($D312="","",IF($AD312=0,0,IF(COUNTIFS($D$4:$D312,$D312,$B$4:$B312,$B312)&gt;1,0,IF($B312&lt;'Guide &amp; Settings'!$C$50,0,IF(($B312-$AD312)/7-'Guide &amp; Settings'!$C$48&gt;=0,(INT(($B312-$AD312)/7-'Guide &amp; Settings'!$C$48)+1)*'Guide &amp; Settings'!$C$49,0)))))</f>
        <v>0</v>
      </c>
      <c r="AD312" s="142">
        <f t="shared" si="97"/>
        <v>46212</v>
      </c>
      <c r="AE312">
        <f t="shared" si="98"/>
        <v>1</v>
      </c>
      <c r="AF312">
        <f t="shared" si="99"/>
        <v>0</v>
      </c>
    </row>
    <row r="313" spans="1:32" x14ac:dyDescent="0.2">
      <c r="A313" s="117">
        <v>132</v>
      </c>
      <c r="B313" s="118">
        <v>46213</v>
      </c>
      <c r="C313" s="119" t="s">
        <v>35</v>
      </c>
      <c r="D313" s="119" t="s">
        <v>15</v>
      </c>
      <c r="E313" s="117" t="s">
        <v>370</v>
      </c>
      <c r="F313" s="120">
        <f t="shared" si="80"/>
        <v>2</v>
      </c>
      <c r="G313" s="121" t="str">
        <f t="shared" si="81"/>
        <v>Aaron</v>
      </c>
      <c r="H313" s="122">
        <f>IF($D313="",0,IFERROR(LOOKUP(2,1/(($D$3:D312=$D313)*($A$3:A312&lt;$A313)),$N$3:N312),'Guide &amp; Settings'!$C$41))</f>
        <v>1041.726434828031</v>
      </c>
      <c r="I313" s="123">
        <f t="shared" si="82"/>
        <v>0.57142857142857151</v>
      </c>
      <c r="J313" s="124">
        <f>IF($D313="",0,IF($F313&lt;2,0,IF($E313="Win",('Guide &amp; Settings'!$C$42/(($F313-1)*COUNTIFS($A$4:$A$1510,$A313,$E$4:$E$1510,"Win")))*SUMIFS($X$4:$X$1510,$A$4:$A$1510,$A313,$E$4:$E$1510,"Loss"),-('Guide &amp; Settings'!$C$42/($F313-1))*$X313)))</f>
        <v>14.805902923266894</v>
      </c>
      <c r="K313" s="124">
        <f>IF($D313="",0,'Guide &amp; Settings'!$C$43*(IF($E313="Win",1,0)-$I313))</f>
        <v>5.1428571428571423</v>
      </c>
      <c r="L313" s="125">
        <f>IF($D313="",0,'Guide &amp; Settings'!$C$44*IF($F313&gt;=3,$F313,0))</f>
        <v>0</v>
      </c>
      <c r="M313" s="124">
        <f t="shared" si="83"/>
        <v>19.948760066124038</v>
      </c>
      <c r="N313" s="122">
        <f t="shared" si="84"/>
        <v>1061.6751948941551</v>
      </c>
      <c r="O313" s="121" t="str">
        <f t="shared" si="85"/>
        <v>OK</v>
      </c>
      <c r="P313">
        <f t="shared" si="86"/>
        <v>1041.726434828031</v>
      </c>
      <c r="Q313">
        <f t="shared" si="87"/>
        <v>0.5</v>
      </c>
      <c r="R313">
        <f t="shared" si="88"/>
        <v>0.66666666666666663</v>
      </c>
      <c r="S313">
        <f t="shared" si="89"/>
        <v>1.1666666666666665</v>
      </c>
      <c r="T313" s="89">
        <f t="shared" si="90"/>
        <v>10</v>
      </c>
      <c r="U313" s="126">
        <f>IF($D313="",0,IFERROR(LOOKUP(2,1/(($D$3:D312=$D313)*($C$3:C312=$C313)*($A$3:A312&lt;$A313)),$AB$3:AB312),1000))</f>
        <v>1047.7596626683976</v>
      </c>
      <c r="V313" s="126">
        <f t="shared" si="91"/>
        <v>1045.7485867216087</v>
      </c>
      <c r="W313">
        <f t="shared" si="92"/>
        <v>1045.7485867216087</v>
      </c>
      <c r="X313">
        <f t="shared" si="93"/>
        <v>0.5</v>
      </c>
      <c r="Y313">
        <f t="shared" si="94"/>
        <v>1047.7596626683976</v>
      </c>
      <c r="Z313">
        <f t="shared" si="95"/>
        <v>0.5</v>
      </c>
      <c r="AA313">
        <f>IF($D313="",0,IF($F313&lt;2,0,IF($E313="Win",('Guide &amp; Settings'!$C$42/(($F313-1)*COUNTIFS($A$4:$A$1510,$A313,$E$4:$E$1510,"Win")))*SUMIFS($Z$4:$Z$1510,$A$4:$A$1510,$A313,$E$4:$E$1510,"Loss"),-('Guide &amp; Settings'!$C$42/($F313-1))*$Z313)))</f>
        <v>13.834284126610658</v>
      </c>
      <c r="AB313" s="126">
        <f t="shared" si="96"/>
        <v>1061.5939467950082</v>
      </c>
      <c r="AC313" s="126">
        <f>IF($D313="","",IF($AD313=0,0,IF(COUNTIFS($D$4:$D313,$D313,$B$4:$B313,$B313)&gt;1,0,IF($B313&lt;'Guide &amp; Settings'!$C$50,0,IF(($B313-$AD313)/7-'Guide &amp; Settings'!$C$48&gt;=0,(INT(($B313-$AD313)/7-'Guide &amp; Settings'!$C$48)+1)*'Guide &amp; Settings'!$C$49,0)))))</f>
        <v>0</v>
      </c>
      <c r="AD313" s="142">
        <f t="shared" si="97"/>
        <v>46212</v>
      </c>
      <c r="AE313">
        <f t="shared" si="98"/>
        <v>1</v>
      </c>
      <c r="AF313">
        <f t="shared" si="99"/>
        <v>0</v>
      </c>
    </row>
    <row r="314" spans="1:32" x14ac:dyDescent="0.2">
      <c r="A314" s="117">
        <v>133</v>
      </c>
      <c r="B314" s="118">
        <v>46213</v>
      </c>
      <c r="C314" s="119" t="s">
        <v>35</v>
      </c>
      <c r="D314" s="119" t="s">
        <v>20</v>
      </c>
      <c r="E314" s="117" t="s">
        <v>371</v>
      </c>
      <c r="F314" s="120">
        <f t="shared" si="80"/>
        <v>2</v>
      </c>
      <c r="G314" s="121" t="str">
        <f t="shared" si="81"/>
        <v>Aaron</v>
      </c>
      <c r="H314" s="122">
        <f>IF($D314="",0,IFERROR(LOOKUP(2,1/(($D$3:D313=$D314)*($A$3:A313&lt;$A314)),$N$3:N313),'Guide &amp; Settings'!$C$41))</f>
        <v>1069.4081056610969</v>
      </c>
      <c r="I314" s="123">
        <f t="shared" si="82"/>
        <v>0.40752351097178685</v>
      </c>
      <c r="J314" s="124">
        <f>IF($D314="",0,IF($F314&lt;2,0,IF($E314="Win",('Guide &amp; Settings'!$C$42/(($F314-1)*COUNTIFS($A$4:$A$1510,$A314,$E$4:$E$1510,"Win")))*SUMIFS($X$4:$X$1510,$A$4:$A$1510,$A314,$E$4:$E$1510,"Loss"),-('Guide &amp; Settings'!$C$42/($F314-1))*$X314)))</f>
        <v>-13.364198269192885</v>
      </c>
      <c r="K314" s="124">
        <f>IF($D314="",0,'Guide &amp; Settings'!$C$43*(IF($E314="Win",1,0)-$I314))</f>
        <v>-4.8902821316614418</v>
      </c>
      <c r="L314" s="125">
        <f>IF($D314="",0,'Guide &amp; Settings'!$C$44*IF($F314&gt;=3,$F314,0))</f>
        <v>0</v>
      </c>
      <c r="M314" s="124">
        <f t="shared" si="83"/>
        <v>-18.254480400854327</v>
      </c>
      <c r="N314" s="122">
        <f t="shared" si="84"/>
        <v>1051.1536252602425</v>
      </c>
      <c r="O314" s="121" t="str">
        <f t="shared" si="85"/>
        <v>OK</v>
      </c>
      <c r="P314">
        <f t="shared" si="86"/>
        <v>1061.6751948941551</v>
      </c>
      <c r="Q314">
        <f t="shared" si="87"/>
        <v>0.51112671590856751</v>
      </c>
      <c r="R314">
        <f t="shared" si="88"/>
        <v>0.47619047619047616</v>
      </c>
      <c r="S314">
        <f t="shared" si="89"/>
        <v>1.1684981684981683</v>
      </c>
      <c r="T314" s="89">
        <f t="shared" si="90"/>
        <v>19</v>
      </c>
      <c r="U314" s="126">
        <f>IF($D314="",0,IFERROR(LOOKUP(2,1/(($D$3:D313=$D314)*($C$3:C313=$C314)*($A$3:A313&lt;$A314)),$AB$3:AB313),1000))</f>
        <v>986.60704803320323</v>
      </c>
      <c r="V314" s="126">
        <f t="shared" si="91"/>
        <v>1003.8572683723478</v>
      </c>
      <c r="W314">
        <f t="shared" si="92"/>
        <v>1061.6193368259915</v>
      </c>
      <c r="X314">
        <f t="shared" si="93"/>
        <v>0.41763119591227765</v>
      </c>
      <c r="Y314">
        <f t="shared" si="94"/>
        <v>1061.5939467950082</v>
      </c>
      <c r="Z314">
        <f t="shared" si="95"/>
        <v>0.39373017856509918</v>
      </c>
      <c r="AA314">
        <f>IF($D314="",0,IF($F314&lt;2,0,IF($E314="Win",('Guide &amp; Settings'!$C$42/(($F314-1)*COUNTIFS($A$4:$A$1510,$A314,$E$4:$E$1510,"Win")))*SUMIFS($Z$4:$Z$1510,$A$4:$A$1510,$A314,$E$4:$E$1510,"Loss"),-('Guide &amp; Settings'!$C$42/($F314-1))*$Z314)))</f>
        <v>-12.599365714083174</v>
      </c>
      <c r="AB314" s="126">
        <f t="shared" si="96"/>
        <v>974.00768231912002</v>
      </c>
      <c r="AC314" s="126">
        <f>IF($D314="","",IF($AD314=0,0,IF(COUNTIFS($D$4:$D314,$D314,$B$4:$B314,$B314)&gt;1,0,IF($B314&lt;'Guide &amp; Settings'!$C$50,0,IF(($B314-$AD314)/7-'Guide &amp; Settings'!$C$48&gt;=0,(INT(($B314-$AD314)/7-'Guide &amp; Settings'!$C$48)+1)*'Guide &amp; Settings'!$C$49,0)))))</f>
        <v>0</v>
      </c>
      <c r="AD314" s="142">
        <f t="shared" si="97"/>
        <v>46212</v>
      </c>
      <c r="AE314">
        <f t="shared" si="98"/>
        <v>1</v>
      </c>
      <c r="AF314">
        <f t="shared" si="99"/>
        <v>0</v>
      </c>
    </row>
    <row r="315" spans="1:32" x14ac:dyDescent="0.2">
      <c r="A315" s="117">
        <v>133</v>
      </c>
      <c r="B315" s="118">
        <v>46213</v>
      </c>
      <c r="C315" s="119" t="s">
        <v>35</v>
      </c>
      <c r="D315" s="119" t="s">
        <v>15</v>
      </c>
      <c r="E315" s="117" t="s">
        <v>370</v>
      </c>
      <c r="F315" s="120">
        <f t="shared" si="80"/>
        <v>2</v>
      </c>
      <c r="G315" s="121" t="str">
        <f t="shared" si="81"/>
        <v>Aaron</v>
      </c>
      <c r="H315" s="122">
        <f>IF($D315="",0,IFERROR(LOOKUP(2,1/(($D$3:D314=$D315)*($A$3:A314&lt;$A315)),$N$3:N314),'Guide &amp; Settings'!$C$41))</f>
        <v>1061.6751948941551</v>
      </c>
      <c r="I315" s="123">
        <f t="shared" si="82"/>
        <v>0.59247648902821326</v>
      </c>
      <c r="J315" s="124">
        <f>IF($D315="",0,IF($F315&lt;2,0,IF($E315="Win",('Guide &amp; Settings'!$C$42/(($F315-1)*COUNTIFS($A$4:$A$1510,$A315,$E$4:$E$1510,"Win")))*SUMIFS($X$4:$X$1510,$A$4:$A$1510,$A315,$E$4:$E$1510,"Loss"),-('Guide &amp; Settings'!$C$42/($F315-1))*$X315)))</f>
        <v>13.364198269192885</v>
      </c>
      <c r="K315" s="124">
        <f>IF($D315="",0,'Guide &amp; Settings'!$C$43*(IF($E315="Win",1,0)-$I315))</f>
        <v>4.8902821316614409</v>
      </c>
      <c r="L315" s="125">
        <f>IF($D315="",0,'Guide &amp; Settings'!$C$44*IF($F315&gt;=3,$F315,0))</f>
        <v>0</v>
      </c>
      <c r="M315" s="124">
        <f t="shared" si="83"/>
        <v>18.254480400854327</v>
      </c>
      <c r="N315" s="122">
        <f t="shared" si="84"/>
        <v>1079.9296752950095</v>
      </c>
      <c r="O315" s="121" t="str">
        <f t="shared" si="85"/>
        <v>OK</v>
      </c>
      <c r="P315">
        <f t="shared" si="86"/>
        <v>1061.6751948941551</v>
      </c>
      <c r="Q315">
        <f t="shared" si="87"/>
        <v>0.5</v>
      </c>
      <c r="R315">
        <f t="shared" si="88"/>
        <v>0.69230769230769229</v>
      </c>
      <c r="S315">
        <f t="shared" si="89"/>
        <v>1.1684981684981683</v>
      </c>
      <c r="T315" s="89">
        <f t="shared" si="90"/>
        <v>11</v>
      </c>
      <c r="U315" s="126">
        <f>IF($D315="",0,IFERROR(LOOKUP(2,1/(($D$3:D314=$D315)*($C$3:C314=$C315)*($A$3:A314&lt;$A315)),$AB$3:AB314),1000))</f>
        <v>1061.5939467950082</v>
      </c>
      <c r="V315" s="126">
        <f t="shared" si="91"/>
        <v>1061.6193368259915</v>
      </c>
      <c r="W315">
        <f t="shared" si="92"/>
        <v>1061.6193368259915</v>
      </c>
      <c r="X315">
        <f t="shared" si="93"/>
        <v>0.5</v>
      </c>
      <c r="Y315">
        <f t="shared" si="94"/>
        <v>1061.5939467950082</v>
      </c>
      <c r="Z315">
        <f t="shared" si="95"/>
        <v>0.5</v>
      </c>
      <c r="AA315">
        <f>IF($D315="",0,IF($F315&lt;2,0,IF($E315="Win",('Guide &amp; Settings'!$C$42/(($F315-1)*COUNTIFS($A$4:$A$1510,$A315,$E$4:$E$1510,"Win")))*SUMIFS($Z$4:$Z$1510,$A$4:$A$1510,$A315,$E$4:$E$1510,"Loss"),-('Guide &amp; Settings'!$C$42/($F315-1))*$Z315)))</f>
        <v>12.599365714083174</v>
      </c>
      <c r="AB315" s="126">
        <f t="shared" si="96"/>
        <v>1074.1933125090914</v>
      </c>
      <c r="AC315" s="126">
        <f>IF($D315="","",IF($AD315=0,0,IF(COUNTIFS($D$4:$D315,$D315,$B$4:$B315,$B315)&gt;1,0,IF($B315&lt;'Guide &amp; Settings'!$C$50,0,IF(($B315-$AD315)/7-'Guide &amp; Settings'!$C$48&gt;=0,(INT(($B315-$AD315)/7-'Guide &amp; Settings'!$C$48)+1)*'Guide &amp; Settings'!$C$49,0)))))</f>
        <v>0</v>
      </c>
      <c r="AD315" s="142">
        <f t="shared" si="97"/>
        <v>46212</v>
      </c>
      <c r="AE315">
        <f t="shared" si="98"/>
        <v>1</v>
      </c>
      <c r="AF315">
        <f t="shared" si="99"/>
        <v>0</v>
      </c>
    </row>
    <row r="316" spans="1:32" x14ac:dyDescent="0.2">
      <c r="A316" s="117">
        <v>134</v>
      </c>
      <c r="B316" s="118">
        <v>46213</v>
      </c>
      <c r="C316" s="119" t="s">
        <v>50</v>
      </c>
      <c r="D316" s="119" t="s">
        <v>20</v>
      </c>
      <c r="E316" s="117" t="s">
        <v>370</v>
      </c>
      <c r="F316" s="120">
        <f t="shared" si="80"/>
        <v>2</v>
      </c>
      <c r="G316" s="121" t="str">
        <f t="shared" si="81"/>
        <v>Shawn</v>
      </c>
      <c r="H316" s="122">
        <f>IF($D316="",0,IFERROR(LOOKUP(2,1/(($D$3:D315=$D316)*($A$3:A315&lt;$A316)),$N$3:N315),'Guide &amp; Settings'!$C$41))</f>
        <v>1051.1536252602425</v>
      </c>
      <c r="I316" s="123">
        <f t="shared" si="82"/>
        <v>0.8</v>
      </c>
      <c r="J316" s="124">
        <f>IF($D316="",0,IF($F316&lt;2,0,IF($E316="Win",('Guide &amp; Settings'!$C$42/(($F316-1)*COUNTIFS($A$4:$A$1510,$A316,$E$4:$E$1510,"Win")))*SUMIFS($X$4:$X$1510,$A$4:$A$1510,$A316,$E$4:$E$1510,"Loss"),-('Guide &amp; Settings'!$C$42/($F316-1))*$X316)))</f>
        <v>15.317682899687068</v>
      </c>
      <c r="K316" s="124">
        <f>IF($D316="",0,'Guide &amp; Settings'!$C$43*(IF($E316="Win",1,0)-$I316))</f>
        <v>2.3999999999999995</v>
      </c>
      <c r="L316" s="125">
        <f>IF($D316="",0,'Guide &amp; Settings'!$C$44*IF($F316&gt;=3,$F316,0))</f>
        <v>0</v>
      </c>
      <c r="M316" s="124">
        <f t="shared" si="83"/>
        <v>17.717682899687066</v>
      </c>
      <c r="N316" s="122">
        <f t="shared" si="84"/>
        <v>1068.8713081599296</v>
      </c>
      <c r="O316" s="121" t="str">
        <f t="shared" si="85"/>
        <v>OK</v>
      </c>
      <c r="P316">
        <f t="shared" si="86"/>
        <v>1051.1536252602425</v>
      </c>
      <c r="Q316">
        <f t="shared" si="87"/>
        <v>0.5</v>
      </c>
      <c r="R316">
        <f t="shared" si="88"/>
        <v>0.8</v>
      </c>
      <c r="S316">
        <f t="shared" si="89"/>
        <v>1</v>
      </c>
      <c r="T316" s="89">
        <f t="shared" si="90"/>
        <v>3</v>
      </c>
      <c r="U316" s="126">
        <f>IF($D316="",0,IFERROR(LOOKUP(2,1/(($D$3:D315=$D316)*($C$3:C315=$C316)*($A$3:A315&lt;$A316)),$AB$3:AB315),1000))</f>
        <v>1043.7471336336109</v>
      </c>
      <c r="V316" s="126">
        <f t="shared" si="91"/>
        <v>1048.3761909002556</v>
      </c>
      <c r="W316">
        <f t="shared" si="92"/>
        <v>1048.3761909002556</v>
      </c>
      <c r="X316">
        <f t="shared" si="93"/>
        <v>0.5</v>
      </c>
      <c r="Y316">
        <f t="shared" si="94"/>
        <v>1043.7471336336109</v>
      </c>
      <c r="Z316">
        <f t="shared" si="95"/>
        <v>0.5</v>
      </c>
      <c r="AA316">
        <f>IF($D316="",0,IF($F316&lt;2,0,IF($E316="Win",('Guide &amp; Settings'!$C$42/(($F316-1)*COUNTIFS($A$4:$A$1510,$A316,$E$4:$E$1510,"Win")))*SUMIFS($Z$4:$Z$1510,$A$4:$A$1510,$A316,$E$4:$E$1510,"Loss"),-('Guide &amp; Settings'!$C$42/($F316-1))*$Z316)))</f>
        <v>12.05380899538682</v>
      </c>
      <c r="AB316" s="126">
        <f t="shared" si="96"/>
        <v>1055.8009426289977</v>
      </c>
      <c r="AC316" s="126">
        <f>IF($D316="","",IF($AD316=0,0,IF(COUNTIFS($D$4:$D316,$D316,$B$4:$B316,$B316)&gt;1,0,IF($B316&lt;'Guide &amp; Settings'!$C$50,0,IF(($B316-$AD316)/7-'Guide &amp; Settings'!$C$48&gt;=0,(INT(($B316-$AD316)/7-'Guide &amp; Settings'!$C$48)+1)*'Guide &amp; Settings'!$C$49,0)))))</f>
        <v>0</v>
      </c>
      <c r="AD316" s="142">
        <f t="shared" si="97"/>
        <v>46212</v>
      </c>
      <c r="AE316">
        <f t="shared" si="98"/>
        <v>1</v>
      </c>
      <c r="AF316">
        <f t="shared" si="99"/>
        <v>0</v>
      </c>
    </row>
    <row r="317" spans="1:32" x14ac:dyDescent="0.2">
      <c r="A317" s="117">
        <v>134</v>
      </c>
      <c r="B317" s="118">
        <v>46213</v>
      </c>
      <c r="C317" s="119" t="s">
        <v>50</v>
      </c>
      <c r="D317" s="119" t="s">
        <v>15</v>
      </c>
      <c r="E317" s="117" t="s">
        <v>371</v>
      </c>
      <c r="F317" s="120">
        <f t="shared" si="80"/>
        <v>2</v>
      </c>
      <c r="G317" s="121" t="str">
        <f t="shared" si="81"/>
        <v>Shawn</v>
      </c>
      <c r="H317" s="122">
        <f>IF($D317="",0,IFERROR(LOOKUP(2,1/(($D$3:D316=$D317)*($A$3:A316&lt;$A317)),$N$3:N316),'Guide &amp; Settings'!$C$41))</f>
        <v>1079.9296752950095</v>
      </c>
      <c r="I317" s="123">
        <f t="shared" si="82"/>
        <v>0.2</v>
      </c>
      <c r="J317" s="124">
        <f>IF($D317="",0,IF($F317&lt;2,0,IF($E317="Win",('Guide &amp; Settings'!$C$42/(($F317-1)*COUNTIFS($A$4:$A$1510,$A317,$E$4:$E$1510,"Win")))*SUMIFS($X$4:$X$1510,$A$4:$A$1510,$A317,$E$4:$E$1510,"Loss"),-('Guide &amp; Settings'!$C$42/($F317-1))*$X317)))</f>
        <v>-15.317682899687068</v>
      </c>
      <c r="K317" s="124">
        <f>IF($D317="",0,'Guide &amp; Settings'!$C$43*(IF($E317="Win",1,0)-$I317))</f>
        <v>-2.4000000000000004</v>
      </c>
      <c r="L317" s="125">
        <f>IF($D317="",0,'Guide &amp; Settings'!$C$44*IF($F317&gt;=3,$F317,0))</f>
        <v>0</v>
      </c>
      <c r="M317" s="124">
        <f t="shared" si="83"/>
        <v>-17.71768289968707</v>
      </c>
      <c r="N317" s="122">
        <f t="shared" si="84"/>
        <v>1062.2119923953223</v>
      </c>
      <c r="O317" s="121" t="str">
        <f t="shared" si="85"/>
        <v>OK</v>
      </c>
      <c r="P317">
        <f t="shared" si="86"/>
        <v>1051.1536252602425</v>
      </c>
      <c r="Q317">
        <f t="shared" si="87"/>
        <v>0.54131763068501804</v>
      </c>
      <c r="R317">
        <f t="shared" si="88"/>
        <v>0.2</v>
      </c>
      <c r="S317">
        <f t="shared" si="89"/>
        <v>1</v>
      </c>
      <c r="T317" s="89">
        <f t="shared" si="90"/>
        <v>3</v>
      </c>
      <c r="U317" s="126">
        <f>IF($D317="",0,IFERROR(LOOKUP(2,1/(($D$3:D316=$D317)*($C$3:C316=$C317)*($A$3:A316&lt;$A317)),$AB$3:AB316),1000))</f>
        <v>956.25286636638907</v>
      </c>
      <c r="V317" s="126">
        <f t="shared" si="91"/>
        <v>1033.5508719467769</v>
      </c>
      <c r="W317">
        <f t="shared" si="92"/>
        <v>1048.3761909002556</v>
      </c>
      <c r="X317">
        <f t="shared" si="93"/>
        <v>0.47867759061522086</v>
      </c>
      <c r="Y317">
        <f t="shared" si="94"/>
        <v>1043.7471336336109</v>
      </c>
      <c r="Z317">
        <f t="shared" si="95"/>
        <v>0.37668153110583813</v>
      </c>
      <c r="AA317">
        <f>IF($D317="",0,IF($F317&lt;2,0,IF($E317="Win",('Guide &amp; Settings'!$C$42/(($F317-1)*COUNTIFS($A$4:$A$1510,$A317,$E$4:$E$1510,"Win")))*SUMIFS($Z$4:$Z$1510,$A$4:$A$1510,$A317,$E$4:$E$1510,"Loss"),-('Guide &amp; Settings'!$C$42/($F317-1))*$Z317)))</f>
        <v>-12.05380899538682</v>
      </c>
      <c r="AB317" s="126">
        <f t="shared" si="96"/>
        <v>944.19905737100225</v>
      </c>
      <c r="AC317" s="126">
        <f>IF($D317="","",IF($AD317=0,0,IF(COUNTIFS($D$4:$D317,$D317,$B$4:$B317,$B317)&gt;1,0,IF($B317&lt;'Guide &amp; Settings'!$C$50,0,IF(($B317-$AD317)/7-'Guide &amp; Settings'!$C$48&gt;=0,(INT(($B317-$AD317)/7-'Guide &amp; Settings'!$C$48)+1)*'Guide &amp; Settings'!$C$49,0)))))</f>
        <v>0</v>
      </c>
      <c r="AD317" s="142">
        <f t="shared" si="97"/>
        <v>46212</v>
      </c>
      <c r="AE317">
        <f t="shared" si="98"/>
        <v>1</v>
      </c>
      <c r="AF317">
        <f t="shared" si="99"/>
        <v>0</v>
      </c>
    </row>
    <row r="318" spans="1:32" x14ac:dyDescent="0.2">
      <c r="A318" s="117">
        <v>135</v>
      </c>
      <c r="B318" s="118">
        <v>46213</v>
      </c>
      <c r="C318" s="119" t="s">
        <v>50</v>
      </c>
      <c r="D318" s="119" t="s">
        <v>20</v>
      </c>
      <c r="E318" s="117" t="s">
        <v>371</v>
      </c>
      <c r="F318" s="120">
        <f t="shared" si="80"/>
        <v>2</v>
      </c>
      <c r="G318" s="121" t="str">
        <f t="shared" si="81"/>
        <v>Aaron</v>
      </c>
      <c r="H318" s="122">
        <f>IF($D318="",0,IFERROR(LOOKUP(2,1/(($D$3:D317=$D318)*($A$3:A317&lt;$A318)),$N$3:N317),'Guide &amp; Settings'!$C$41))</f>
        <v>1068.8713081599296</v>
      </c>
      <c r="I318" s="123">
        <f t="shared" si="82"/>
        <v>0.83333333333333337</v>
      </c>
      <c r="J318" s="124">
        <f>IF($D318="",0,IF($F318&lt;2,0,IF($E318="Win",('Guide &amp; Settings'!$C$42/(($F318-1)*COUNTIFS($A$4:$A$1510,$A318,$E$4:$E$1510,"Win")))*SUMIFS($X$4:$X$1510,$A$4:$A$1510,$A318,$E$4:$E$1510,"Loss"),-('Guide &amp; Settings'!$C$42/($F318-1))*$X318)))</f>
        <v>-18.435500241909665</v>
      </c>
      <c r="K318" s="124">
        <f>IF($D318="",0,'Guide &amp; Settings'!$C$43*(IF($E318="Win",1,0)-$I318))</f>
        <v>-10</v>
      </c>
      <c r="L318" s="125">
        <f>IF($D318="",0,'Guide &amp; Settings'!$C$44*IF($F318&gt;=3,$F318,0))</f>
        <v>0</v>
      </c>
      <c r="M318" s="124">
        <f t="shared" si="83"/>
        <v>-28.435500241909665</v>
      </c>
      <c r="N318" s="122">
        <f t="shared" si="84"/>
        <v>1040.4358079180199</v>
      </c>
      <c r="O318" s="121" t="str">
        <f t="shared" si="85"/>
        <v>OK</v>
      </c>
      <c r="P318">
        <f t="shared" si="86"/>
        <v>1062.2119923953223</v>
      </c>
      <c r="Q318">
        <f t="shared" si="87"/>
        <v>0.50958235234278593</v>
      </c>
      <c r="R318">
        <f t="shared" si="88"/>
        <v>0.83333333333333337</v>
      </c>
      <c r="S318">
        <f t="shared" si="89"/>
        <v>1</v>
      </c>
      <c r="T318" s="89">
        <f t="shared" si="90"/>
        <v>4</v>
      </c>
      <c r="U318" s="126">
        <f>IF($D318="",0,IFERROR(LOOKUP(2,1/(($D$3:D317=$D318)*($C$3:C317=$C318)*($A$3:A317&lt;$A318)),$AB$3:AB317),1000))</f>
        <v>1055.8009426289977</v>
      </c>
      <c r="V318" s="126">
        <f t="shared" si="91"/>
        <v>1063.0622568128488</v>
      </c>
      <c r="W318">
        <f t="shared" si="92"/>
        <v>1009.7617990511801</v>
      </c>
      <c r="X318">
        <f t="shared" si="93"/>
        <v>0.57610938255967703</v>
      </c>
      <c r="Y318">
        <f t="shared" si="94"/>
        <v>944.19905737100225</v>
      </c>
      <c r="Z318">
        <f t="shared" si="95"/>
        <v>0.65530303151867697</v>
      </c>
      <c r="AA318">
        <f>IF($D318="",0,IF($F318&lt;2,0,IF($E318="Win",('Guide &amp; Settings'!$C$42/(($F318-1)*COUNTIFS($A$4:$A$1510,$A318,$E$4:$E$1510,"Win")))*SUMIFS($Z$4:$Z$1510,$A$4:$A$1510,$A318,$E$4:$E$1510,"Loss"),-('Guide &amp; Settings'!$C$42/($F318-1))*$Z318)))</f>
        <v>-20.969697008597663</v>
      </c>
      <c r="AB318" s="126">
        <f t="shared" si="96"/>
        <v>1034.8312456204001</v>
      </c>
      <c r="AC318" s="126">
        <f>IF($D318="","",IF($AD318=0,0,IF(COUNTIFS($D$4:$D318,$D318,$B$4:$B318,$B318)&gt;1,0,IF($B318&lt;'Guide &amp; Settings'!$C$50,0,IF(($B318-$AD318)/7-'Guide &amp; Settings'!$C$48&gt;=0,(INT(($B318-$AD318)/7-'Guide &amp; Settings'!$C$48)+1)*'Guide &amp; Settings'!$C$49,0)))))</f>
        <v>0</v>
      </c>
      <c r="AD318" s="142">
        <f t="shared" si="97"/>
        <v>46212</v>
      </c>
      <c r="AE318">
        <f t="shared" si="98"/>
        <v>1</v>
      </c>
      <c r="AF318">
        <f t="shared" si="99"/>
        <v>0</v>
      </c>
    </row>
    <row r="319" spans="1:32" x14ac:dyDescent="0.2">
      <c r="A319" s="117">
        <v>135</v>
      </c>
      <c r="B319" s="118">
        <v>46213</v>
      </c>
      <c r="C319" s="119" t="s">
        <v>50</v>
      </c>
      <c r="D319" s="119" t="s">
        <v>15</v>
      </c>
      <c r="E319" s="117" t="s">
        <v>370</v>
      </c>
      <c r="F319" s="120">
        <f t="shared" si="80"/>
        <v>2</v>
      </c>
      <c r="G319" s="121" t="str">
        <f t="shared" si="81"/>
        <v>Aaron</v>
      </c>
      <c r="H319" s="122">
        <f>IF($D319="",0,IFERROR(LOOKUP(2,1/(($D$3:D318=$D319)*($A$3:A318&lt;$A319)),$N$3:N318),'Guide &amp; Settings'!$C$41))</f>
        <v>1062.2119923953223</v>
      </c>
      <c r="I319" s="123">
        <f t="shared" si="82"/>
        <v>0.16666666666666666</v>
      </c>
      <c r="J319" s="124">
        <f>IF($D319="",0,IF($F319&lt;2,0,IF($E319="Win",('Guide &amp; Settings'!$C$42/(($F319-1)*COUNTIFS($A$4:$A$1510,$A319,$E$4:$E$1510,"Win")))*SUMIFS($X$4:$X$1510,$A$4:$A$1510,$A319,$E$4:$E$1510,"Loss"),-('Guide &amp; Settings'!$C$42/($F319-1))*$X319)))</f>
        <v>18.435500241909665</v>
      </c>
      <c r="K319" s="124">
        <f>IF($D319="",0,'Guide &amp; Settings'!$C$43*(IF($E319="Win",1,0)-$I319))</f>
        <v>10</v>
      </c>
      <c r="L319" s="125">
        <f>IF($D319="",0,'Guide &amp; Settings'!$C$44*IF($F319&gt;=3,$F319,0))</f>
        <v>0</v>
      </c>
      <c r="M319" s="124">
        <f t="shared" si="83"/>
        <v>28.435500241909665</v>
      </c>
      <c r="N319" s="122">
        <f t="shared" si="84"/>
        <v>1090.6474926372321</v>
      </c>
      <c r="O319" s="121" t="str">
        <f t="shared" si="85"/>
        <v>OK</v>
      </c>
      <c r="P319">
        <f t="shared" si="86"/>
        <v>1062.2119923953223</v>
      </c>
      <c r="Q319">
        <f t="shared" si="87"/>
        <v>0.5</v>
      </c>
      <c r="R319">
        <f t="shared" si="88"/>
        <v>0.16666666666666666</v>
      </c>
      <c r="S319">
        <f t="shared" si="89"/>
        <v>1</v>
      </c>
      <c r="T319" s="89">
        <f t="shared" si="90"/>
        <v>4</v>
      </c>
      <c r="U319" s="126">
        <f>IF($D319="",0,IFERROR(LOOKUP(2,1/(($D$3:D318=$D319)*($C$3:C318=$C319)*($A$3:A318&lt;$A319)),$AB$3:AB318),1000))</f>
        <v>944.19905737100225</v>
      </c>
      <c r="V319" s="126">
        <f t="shared" si="91"/>
        <v>1009.7617990511801</v>
      </c>
      <c r="W319">
        <f t="shared" si="92"/>
        <v>1009.7617990511801</v>
      </c>
      <c r="X319">
        <f t="shared" si="93"/>
        <v>0.5</v>
      </c>
      <c r="Y319">
        <f t="shared" si="94"/>
        <v>944.19905737100225</v>
      </c>
      <c r="Z319">
        <f t="shared" si="95"/>
        <v>0.5</v>
      </c>
      <c r="AA319">
        <f>IF($D319="",0,IF($F319&lt;2,0,IF($E319="Win",('Guide &amp; Settings'!$C$42/(($F319-1)*COUNTIFS($A$4:$A$1510,$A319,$E$4:$E$1510,"Win")))*SUMIFS($Z$4:$Z$1510,$A$4:$A$1510,$A319,$E$4:$E$1510,"Loss"),-('Guide &amp; Settings'!$C$42/($F319-1))*$Z319)))</f>
        <v>20.969697008597663</v>
      </c>
      <c r="AB319" s="126">
        <f t="shared" si="96"/>
        <v>965.16875437959993</v>
      </c>
      <c r="AC319" s="126">
        <f>IF($D319="","",IF($AD319=0,0,IF(COUNTIFS($D$4:$D319,$D319,$B$4:$B319,$B319)&gt;1,0,IF($B319&lt;'Guide &amp; Settings'!$C$50,0,IF(($B319-$AD319)/7-'Guide &amp; Settings'!$C$48&gt;=0,(INT(($B319-$AD319)/7-'Guide &amp; Settings'!$C$48)+1)*'Guide &amp; Settings'!$C$49,0)))))</f>
        <v>0</v>
      </c>
      <c r="AD319" s="142">
        <f t="shared" si="97"/>
        <v>46212</v>
      </c>
      <c r="AE319">
        <f t="shared" si="98"/>
        <v>1</v>
      </c>
      <c r="AF319">
        <f t="shared" si="99"/>
        <v>0</v>
      </c>
    </row>
    <row r="320" spans="1:32" x14ac:dyDescent="0.2">
      <c r="A320" s="117">
        <v>136</v>
      </c>
      <c r="B320" s="118">
        <v>46213</v>
      </c>
      <c r="C320" s="119" t="s">
        <v>9</v>
      </c>
      <c r="D320" s="119" t="s">
        <v>20</v>
      </c>
      <c r="E320" s="117" t="s">
        <v>371</v>
      </c>
      <c r="F320" s="120">
        <f t="shared" si="80"/>
        <v>2</v>
      </c>
      <c r="G320" s="121" t="str">
        <f t="shared" si="81"/>
        <v>Aaron</v>
      </c>
      <c r="H320" s="122">
        <f>IF($D320="",0,IFERROR(LOOKUP(2,1/(($D$3:D319=$D320)*($A$3:A319&lt;$A320)),$N$3:N319),'Guide &amp; Settings'!$C$41))</f>
        <v>1040.4358079180199</v>
      </c>
      <c r="I320" s="123">
        <f t="shared" si="82"/>
        <v>0.37499999999999994</v>
      </c>
      <c r="J320" s="124">
        <f>IF($D320="",0,IF($F320&lt;2,0,IF($E320="Win",('Guide &amp; Settings'!$C$42/(($F320-1)*COUNTIFS($A$4:$A$1510,$A320,$E$4:$E$1510,"Win")))*SUMIFS($X$4:$X$1510,$A$4:$A$1510,$A320,$E$4:$E$1510,"Loss"),-('Guide &amp; Settings'!$C$42/($F320-1))*$X320)))</f>
        <v>-12.73855747382602</v>
      </c>
      <c r="K320" s="124">
        <f>IF($D320="",0,'Guide &amp; Settings'!$C$43*(IF($E320="Win",1,0)-$I320))</f>
        <v>-4.4999999999999991</v>
      </c>
      <c r="L320" s="125">
        <f>IF($D320="",0,'Guide &amp; Settings'!$C$44*IF($F320&gt;=3,$F320,0))</f>
        <v>0</v>
      </c>
      <c r="M320" s="124">
        <f t="shared" si="83"/>
        <v>-17.23855747382602</v>
      </c>
      <c r="N320" s="122">
        <f t="shared" si="84"/>
        <v>1023.1972504441939</v>
      </c>
      <c r="O320" s="121" t="str">
        <f t="shared" si="85"/>
        <v>OK</v>
      </c>
      <c r="P320">
        <f t="shared" si="86"/>
        <v>1090.6474926372321</v>
      </c>
      <c r="Q320">
        <f t="shared" si="87"/>
        <v>0.42823849294708699</v>
      </c>
      <c r="R320">
        <f t="shared" si="88"/>
        <v>0.3</v>
      </c>
      <c r="S320">
        <f t="shared" si="89"/>
        <v>0.8</v>
      </c>
      <c r="T320" s="89">
        <f t="shared" si="90"/>
        <v>8</v>
      </c>
      <c r="U320" s="126">
        <f>IF($D320="",0,IFERROR(LOOKUP(2,1/(($D$3:D319=$D320)*($C$3:C319=$C320)*($A$3:A319&lt;$A320)),$AB$3:AB319),1000))</f>
        <v>963.2777675383727</v>
      </c>
      <c r="V320" s="126">
        <f t="shared" si="91"/>
        <v>992.95393691516006</v>
      </c>
      <c r="W320">
        <f t="shared" si="92"/>
        <v>1064.781360226649</v>
      </c>
      <c r="X320">
        <f t="shared" si="93"/>
        <v>0.39807992105706314</v>
      </c>
      <c r="Y320">
        <f t="shared" si="94"/>
        <v>1000.1160292001913</v>
      </c>
      <c r="Z320">
        <f t="shared" si="95"/>
        <v>0.44718325643634876</v>
      </c>
      <c r="AA320">
        <f>IF($D320="",0,IF($F320&lt;2,0,IF($E320="Win",('Guide &amp; Settings'!$C$42/(($F320-1)*COUNTIFS($A$4:$A$1510,$A320,$E$4:$E$1510,"Win")))*SUMIFS($Z$4:$Z$1510,$A$4:$A$1510,$A320,$E$4:$E$1510,"Loss"),-('Guide &amp; Settings'!$C$42/($F320-1))*$Z320)))</f>
        <v>-14.30986420596316</v>
      </c>
      <c r="AB320" s="126">
        <f t="shared" si="96"/>
        <v>948.96790333240949</v>
      </c>
      <c r="AC320" s="126">
        <f>IF($D320="","",IF($AD320=0,0,IF(COUNTIFS($D$4:$D320,$D320,$B$4:$B320,$B320)&gt;1,0,IF($B320&lt;'Guide &amp; Settings'!$C$50,0,IF(($B320-$AD320)/7-'Guide &amp; Settings'!$C$48&gt;=0,(INT(($B320-$AD320)/7-'Guide &amp; Settings'!$C$48)+1)*'Guide &amp; Settings'!$C$49,0)))))</f>
        <v>0</v>
      </c>
      <c r="AD320" s="142">
        <f t="shared" si="97"/>
        <v>46212</v>
      </c>
      <c r="AE320">
        <f t="shared" si="98"/>
        <v>1</v>
      </c>
      <c r="AF320">
        <f t="shared" si="99"/>
        <v>0</v>
      </c>
    </row>
    <row r="321" spans="1:32" x14ac:dyDescent="0.2">
      <c r="A321" s="117">
        <v>136</v>
      </c>
      <c r="B321" s="118">
        <v>46213</v>
      </c>
      <c r="C321" s="119" t="s">
        <v>9</v>
      </c>
      <c r="D321" s="119" t="s">
        <v>15</v>
      </c>
      <c r="E321" s="117" t="s">
        <v>370</v>
      </c>
      <c r="F321" s="120">
        <f t="shared" si="80"/>
        <v>2</v>
      </c>
      <c r="G321" s="121" t="str">
        <f t="shared" si="81"/>
        <v>Aaron</v>
      </c>
      <c r="H321" s="122">
        <f>IF($D321="",0,IFERROR(LOOKUP(2,1/(($D$3:D320=$D321)*($A$3:A320&lt;$A321)),$N$3:N320),'Guide &amp; Settings'!$C$41))</f>
        <v>1090.6474926372321</v>
      </c>
      <c r="I321" s="123">
        <f t="shared" si="82"/>
        <v>0.625</v>
      </c>
      <c r="J321" s="124">
        <f>IF($D321="",0,IF($F321&lt;2,0,IF($E321="Win",('Guide &amp; Settings'!$C$42/(($F321-1)*COUNTIFS($A$4:$A$1510,$A321,$E$4:$E$1510,"Win")))*SUMIFS($X$4:$X$1510,$A$4:$A$1510,$A321,$E$4:$E$1510,"Loss"),-('Guide &amp; Settings'!$C$42/($F321-1))*$X321)))</f>
        <v>12.73855747382602</v>
      </c>
      <c r="K321" s="124">
        <f>IF($D321="",0,'Guide &amp; Settings'!$C$43*(IF($E321="Win",1,0)-$I321))</f>
        <v>4.5</v>
      </c>
      <c r="L321" s="125">
        <f>IF($D321="",0,'Guide &amp; Settings'!$C$44*IF($F321&gt;=3,$F321,0))</f>
        <v>0</v>
      </c>
      <c r="M321" s="124">
        <f t="shared" si="83"/>
        <v>17.23855747382602</v>
      </c>
      <c r="N321" s="122">
        <f t="shared" si="84"/>
        <v>1107.886050111058</v>
      </c>
      <c r="O321" s="121" t="str">
        <f t="shared" si="85"/>
        <v>OK</v>
      </c>
      <c r="P321">
        <f t="shared" si="86"/>
        <v>1090.6474926372321</v>
      </c>
      <c r="Q321">
        <f t="shared" si="87"/>
        <v>0.5</v>
      </c>
      <c r="R321">
        <f t="shared" si="88"/>
        <v>0.5</v>
      </c>
      <c r="S321">
        <f t="shared" si="89"/>
        <v>0.8</v>
      </c>
      <c r="T321" s="89">
        <f t="shared" si="90"/>
        <v>2</v>
      </c>
      <c r="U321" s="126">
        <f>IF($D321="",0,IFERROR(LOOKUP(2,1/(($D$3:D320=$D321)*($C$3:C320=$C321)*($A$3:A320&lt;$A321)),$AB$3:AB320),1000))</f>
        <v>1000.1160292001913</v>
      </c>
      <c r="V321" s="126">
        <f t="shared" si="91"/>
        <v>1064.781360226649</v>
      </c>
      <c r="W321">
        <f t="shared" si="92"/>
        <v>1064.781360226649</v>
      </c>
      <c r="X321">
        <f t="shared" si="93"/>
        <v>0.5</v>
      </c>
      <c r="Y321">
        <f t="shared" si="94"/>
        <v>1000.1160292001913</v>
      </c>
      <c r="Z321">
        <f t="shared" si="95"/>
        <v>0.5</v>
      </c>
      <c r="AA321">
        <f>IF($D321="",0,IF($F321&lt;2,0,IF($E321="Win",('Guide &amp; Settings'!$C$42/(($F321-1)*COUNTIFS($A$4:$A$1510,$A321,$E$4:$E$1510,"Win")))*SUMIFS($Z$4:$Z$1510,$A$4:$A$1510,$A321,$E$4:$E$1510,"Loss"),-('Guide &amp; Settings'!$C$42/($F321-1))*$Z321)))</f>
        <v>14.30986420596316</v>
      </c>
      <c r="AB321" s="126">
        <f t="shared" si="96"/>
        <v>1014.4258934061545</v>
      </c>
      <c r="AC321" s="126">
        <f>IF($D321="","",IF($AD321=0,0,IF(COUNTIFS($D$4:$D321,$D321,$B$4:$B321,$B321)&gt;1,0,IF($B321&lt;'Guide &amp; Settings'!$C$50,0,IF(($B321-$AD321)/7-'Guide &amp; Settings'!$C$48&gt;=0,(INT(($B321-$AD321)/7-'Guide &amp; Settings'!$C$48)+1)*'Guide &amp; Settings'!$C$49,0)))))</f>
        <v>0</v>
      </c>
      <c r="AD321" s="142">
        <f t="shared" si="97"/>
        <v>46212</v>
      </c>
      <c r="AE321">
        <f t="shared" si="98"/>
        <v>1</v>
      </c>
      <c r="AF321">
        <f t="shared" si="99"/>
        <v>0</v>
      </c>
    </row>
    <row r="322" spans="1:32" x14ac:dyDescent="0.2">
      <c r="A322" s="117">
        <v>137</v>
      </c>
      <c r="B322" s="118">
        <v>46214</v>
      </c>
      <c r="C322" s="119" t="s">
        <v>50</v>
      </c>
      <c r="D322" s="119" t="s">
        <v>20</v>
      </c>
      <c r="E322" s="117" t="s">
        <v>371</v>
      </c>
      <c r="F322" s="120">
        <f t="shared" si="80"/>
        <v>2</v>
      </c>
      <c r="G322" s="121" t="str">
        <f t="shared" si="81"/>
        <v>Aaron</v>
      </c>
      <c r="H322" s="122">
        <f>IF($D322="",0,IFERROR(LOOKUP(2,1/(($D$3:D321=$D322)*($A$3:A321&lt;$A322)),$N$3:N321),'Guide &amp; Settings'!$C$41))</f>
        <v>1023.1972504441939</v>
      </c>
      <c r="I322" s="123">
        <f t="shared" si="82"/>
        <v>0.7142857142857143</v>
      </c>
      <c r="J322" s="124">
        <f>IF($D322="",0,IF($F322&lt;2,0,IF($E322="Win",('Guide &amp; Settings'!$C$42/(($F322-1)*COUNTIFS($A$4:$A$1510,$A322,$E$4:$E$1510,"Win")))*SUMIFS($X$4:$X$1510,$A$4:$A$1510,$A322,$E$4:$E$1510,"Loss"),-('Guide &amp; Settings'!$C$42/($F322-1))*$X322)))</f>
        <v>-15.65406038359837</v>
      </c>
      <c r="K322" s="124">
        <f>IF($D322="",0,'Guide &amp; Settings'!$C$43*(IF($E322="Win",1,0)-$I322))</f>
        <v>-8.5714285714285712</v>
      </c>
      <c r="L322" s="125">
        <f>IF($D322="",0,'Guide &amp; Settings'!$C$44*IF($F322&gt;=3,$F322,0))</f>
        <v>0</v>
      </c>
      <c r="M322" s="124">
        <f t="shared" si="83"/>
        <v>-24.22548895502694</v>
      </c>
      <c r="N322" s="122">
        <f t="shared" si="84"/>
        <v>998.97176148916697</v>
      </c>
      <c r="O322" s="121" t="str">
        <f t="shared" si="85"/>
        <v>OK</v>
      </c>
      <c r="P322">
        <f t="shared" si="86"/>
        <v>1107.886050111058</v>
      </c>
      <c r="Q322">
        <f t="shared" si="87"/>
        <v>0.38048081368948072</v>
      </c>
      <c r="R322">
        <f t="shared" si="88"/>
        <v>0.7142857142857143</v>
      </c>
      <c r="S322">
        <f t="shared" si="89"/>
        <v>1</v>
      </c>
      <c r="T322" s="89">
        <f t="shared" si="90"/>
        <v>5</v>
      </c>
      <c r="U322" s="126">
        <f>IF($D322="",0,IFERROR(LOOKUP(2,1/(($D$3:D321=$D322)*($C$3:C321=$C322)*($A$3:A321&lt;$A322)),$AB$3:AB321),1000))</f>
        <v>1034.8312456204001</v>
      </c>
      <c r="V322" s="126">
        <f t="shared" si="91"/>
        <v>1029.014248032297</v>
      </c>
      <c r="W322">
        <f t="shared" si="92"/>
        <v>1036.5274022453291</v>
      </c>
      <c r="X322">
        <f t="shared" si="93"/>
        <v>0.48918938698744907</v>
      </c>
      <c r="Y322">
        <f t="shared" si="94"/>
        <v>965.16875437959993</v>
      </c>
      <c r="Z322">
        <f t="shared" si="95"/>
        <v>0.59893018748419347</v>
      </c>
      <c r="AA322">
        <f>IF($D322="",0,IF($F322&lt;2,0,IF($E322="Win",('Guide &amp; Settings'!$C$42/(($F322-1)*COUNTIFS($A$4:$A$1510,$A322,$E$4:$E$1510,"Win")))*SUMIFS($Z$4:$Z$1510,$A$4:$A$1510,$A322,$E$4:$E$1510,"Loss"),-('Guide &amp; Settings'!$C$42/($F322-1))*$Z322)))</f>
        <v>-19.165765999494191</v>
      </c>
      <c r="AB322" s="126">
        <f t="shared" si="96"/>
        <v>1015.6654796209059</v>
      </c>
      <c r="AC322" s="126">
        <f>IF($D322="","",IF($AD322=0,0,IF(COUNTIFS($D$4:$D322,$D322,$B$4:$B322,$B322)&gt;1,0,IF($B322&lt;'Guide &amp; Settings'!$C$50,0,IF(($B322-$AD322)/7-'Guide &amp; Settings'!$C$48&gt;=0,(INT(($B322-$AD322)/7-'Guide &amp; Settings'!$C$48)+1)*'Guide &amp; Settings'!$C$49,0)))))</f>
        <v>0</v>
      </c>
      <c r="AD322" s="142">
        <f t="shared" si="97"/>
        <v>46213</v>
      </c>
      <c r="AE322">
        <f t="shared" si="98"/>
        <v>1</v>
      </c>
      <c r="AF322">
        <f t="shared" si="99"/>
        <v>0</v>
      </c>
    </row>
    <row r="323" spans="1:32" x14ac:dyDescent="0.2">
      <c r="A323" s="117">
        <v>137</v>
      </c>
      <c r="B323" s="118">
        <v>46214</v>
      </c>
      <c r="C323" s="119" t="s">
        <v>50</v>
      </c>
      <c r="D323" s="119" t="s">
        <v>15</v>
      </c>
      <c r="E323" s="117" t="s">
        <v>370</v>
      </c>
      <c r="F323" s="120">
        <f t="shared" si="80"/>
        <v>2</v>
      </c>
      <c r="G323" s="121" t="str">
        <f t="shared" si="81"/>
        <v>Aaron</v>
      </c>
      <c r="H323" s="122">
        <f>IF($D323="",0,IFERROR(LOOKUP(2,1/(($D$3:D322=$D323)*($A$3:A322&lt;$A323)),$N$3:N322),'Guide &amp; Settings'!$C$41))</f>
        <v>1107.886050111058</v>
      </c>
      <c r="I323" s="123">
        <f t="shared" si="82"/>
        <v>0.2857142857142857</v>
      </c>
      <c r="J323" s="124">
        <f>IF($D323="",0,IF($F323&lt;2,0,IF($E323="Win",('Guide &amp; Settings'!$C$42/(($F323-1)*COUNTIFS($A$4:$A$1510,$A323,$E$4:$E$1510,"Win")))*SUMIFS($X$4:$X$1510,$A$4:$A$1510,$A323,$E$4:$E$1510,"Loss"),-('Guide &amp; Settings'!$C$42/($F323-1))*$X323)))</f>
        <v>15.65406038359837</v>
      </c>
      <c r="K323" s="124">
        <f>IF($D323="",0,'Guide &amp; Settings'!$C$43*(IF($E323="Win",1,0)-$I323))</f>
        <v>8.5714285714285712</v>
      </c>
      <c r="L323" s="125">
        <f>IF($D323="",0,'Guide &amp; Settings'!$C$44*IF($F323&gt;=3,$F323,0))</f>
        <v>0</v>
      </c>
      <c r="M323" s="124">
        <f t="shared" si="83"/>
        <v>24.22548895502694</v>
      </c>
      <c r="N323" s="122">
        <f t="shared" si="84"/>
        <v>1132.111539066085</v>
      </c>
      <c r="O323" s="121" t="str">
        <f t="shared" si="85"/>
        <v>OK</v>
      </c>
      <c r="P323">
        <f t="shared" si="86"/>
        <v>1107.886050111058</v>
      </c>
      <c r="Q323">
        <f t="shared" si="87"/>
        <v>0.5</v>
      </c>
      <c r="R323">
        <f t="shared" si="88"/>
        <v>0.2857142857142857</v>
      </c>
      <c r="S323">
        <f t="shared" si="89"/>
        <v>1</v>
      </c>
      <c r="T323" s="89">
        <f t="shared" si="90"/>
        <v>5</v>
      </c>
      <c r="U323" s="126">
        <f>IF($D323="",0,IFERROR(LOOKUP(2,1/(($D$3:D322=$D323)*($C$3:C322=$C323)*($A$3:A322&lt;$A323)),$AB$3:AB322),1000))</f>
        <v>965.16875437959993</v>
      </c>
      <c r="V323" s="126">
        <f t="shared" si="91"/>
        <v>1036.5274022453291</v>
      </c>
      <c r="W323">
        <f t="shared" si="92"/>
        <v>1036.5274022453291</v>
      </c>
      <c r="X323">
        <f t="shared" si="93"/>
        <v>0.5</v>
      </c>
      <c r="Y323">
        <f t="shared" si="94"/>
        <v>965.16875437959993</v>
      </c>
      <c r="Z323">
        <f t="shared" si="95"/>
        <v>0.5</v>
      </c>
      <c r="AA323">
        <f>IF($D323="",0,IF($F323&lt;2,0,IF($E323="Win",('Guide &amp; Settings'!$C$42/(($F323-1)*COUNTIFS($A$4:$A$1510,$A323,$E$4:$E$1510,"Win")))*SUMIFS($Z$4:$Z$1510,$A$4:$A$1510,$A323,$E$4:$E$1510,"Loss"),-('Guide &amp; Settings'!$C$42/($F323-1))*$Z323)))</f>
        <v>19.165765999494191</v>
      </c>
      <c r="AB323" s="126">
        <f t="shared" si="96"/>
        <v>984.3345203790941</v>
      </c>
      <c r="AC323" s="126">
        <f>IF($D323="","",IF($AD323=0,0,IF(COUNTIFS($D$4:$D323,$D323,$B$4:$B323,$B323)&gt;1,0,IF($B323&lt;'Guide &amp; Settings'!$C$50,0,IF(($B323-$AD323)/7-'Guide &amp; Settings'!$C$48&gt;=0,(INT(($B323-$AD323)/7-'Guide &amp; Settings'!$C$48)+1)*'Guide &amp; Settings'!$C$49,0)))))</f>
        <v>0</v>
      </c>
      <c r="AD323" s="142">
        <f t="shared" si="97"/>
        <v>46213</v>
      </c>
      <c r="AE323">
        <f t="shared" si="98"/>
        <v>1</v>
      </c>
      <c r="AF323">
        <f t="shared" si="99"/>
        <v>0</v>
      </c>
    </row>
    <row r="324" spans="1:32" x14ac:dyDescent="0.2">
      <c r="A324" s="117">
        <v>138</v>
      </c>
      <c r="B324" s="118">
        <v>46214</v>
      </c>
      <c r="C324" s="119" t="s">
        <v>50</v>
      </c>
      <c r="D324" s="119" t="s">
        <v>20</v>
      </c>
      <c r="E324" s="117" t="s">
        <v>370</v>
      </c>
      <c r="F324" s="120">
        <f t="shared" ref="F324:F387" si="100">IF($D324="",0,COUNTIF($A$4:$A$1510,$A324))</f>
        <v>2</v>
      </c>
      <c r="G324" s="121" t="str">
        <f t="shared" ref="G324:G387" si="101">IF($D324="","",IFERROR(LOOKUP(2,1/(($A$4:$A$1510=$A324)*($E$4:$E$1510="Win")),$D$4:$D$1510),"(no winner)"))</f>
        <v>Shawn</v>
      </c>
      <c r="H324" s="122">
        <f>IF($D324="",0,IFERROR(LOOKUP(2,1/(($D$3:D323=$D324)*($A$3:A323&lt;$A324)),$N$3:N323),'Guide &amp; Settings'!$C$41))</f>
        <v>998.97176148916697</v>
      </c>
      <c r="I324" s="123">
        <f t="shared" ref="I324:I387" si="102">IF($D324="",0,IF($S324=0,0,$R324/$S324))</f>
        <v>0.625</v>
      </c>
      <c r="J324" s="124">
        <f>IF($D324="",0,IF($F324&lt;2,0,IF($E324="Win",('Guide &amp; Settings'!$C$42/(($F324-1)*COUNTIFS($A$4:$A$1510,$A324,$E$4:$E$1510,"Win")))*SUMIFS($X$4:$X$1510,$A$4:$A$1510,$A324,$E$4:$E$1510,"Loss"),-('Guide &amp; Settings'!$C$42/($F324-1))*$X324)))</f>
        <v>17.989603522757754</v>
      </c>
      <c r="K324" s="124">
        <f>IF($D324="",0,'Guide &amp; Settings'!$C$43*(IF($E324="Win",1,0)-$I324))</f>
        <v>4.5</v>
      </c>
      <c r="L324" s="125">
        <f>IF($D324="",0,'Guide &amp; Settings'!$C$44*IF($F324&gt;=3,$F324,0))</f>
        <v>0</v>
      </c>
      <c r="M324" s="124">
        <f t="shared" ref="M324:M387" si="103">IF($D324="",0,$J324+$K324+$L324)</f>
        <v>22.489603522757754</v>
      </c>
      <c r="N324" s="122">
        <f t="shared" ref="N324:N387" si="104">IF($D324="",0,$H324+$M324)</f>
        <v>1021.4613650119247</v>
      </c>
      <c r="O324" s="121" t="str">
        <f t="shared" ref="O324:O387" si="105">IF($D324="","",IF($AE324=0,"need a winner",IF($F324-$AE324=0,"need a loser",IF(MOD($AF324,2)=1,"duplicate player",IF(MOD(INT($AF324/2),2)=1,"mixed sports",IF($AF324&gt;=4,"mixed dates",IF($AE324&gt;1,IF($F324&gt;=4,"OK (team)","check winners"),"OK")))))))</f>
        <v>OK</v>
      </c>
      <c r="P324">
        <f t="shared" ref="P324:P387" si="106">IF($D324="",0,IFERROR(SUMIFS($H$4:$H$1510,$A$4:$A$1510,$A324,$E$4:$E$1510,"Win")/COUNTIFS($A$4:$A$1510,$A324,$E$4:$E$1510,"Win"),0))</f>
        <v>998.97176148916697</v>
      </c>
      <c r="Q324">
        <f t="shared" ref="Q324:Q387" si="107">IF($D324="",0,1/(1+10^(($P324-$H324)/400)))</f>
        <v>0.5</v>
      </c>
      <c r="R324">
        <f t="shared" ref="R324:R387" si="108">IF($D324="",0,(COUNTIFS($D$4:$D$1510,$D324,$C$4:$C$1510,$C324,$E$4:$E$1510,"Win",$A$4:$A$1510,"&lt;"&amp;$A324)+1)/(COUNTIFS($D$4:$D$1510,$D324,$C$4:$C$1510,$C324,$A$4:$A$1510,"&lt;"&amp;$A324)+2))</f>
        <v>0.625</v>
      </c>
      <c r="S324">
        <f t="shared" ref="S324:S387" si="109">IF($D324="",0,SUMIFS($R$4:$R$1510,$A$4:$A$1510,$A324))</f>
        <v>1</v>
      </c>
      <c r="T324" s="89">
        <f t="shared" ref="T324:T387" si="110">IF($D324="",0,COUNTIFS($D$4:$D$1510,$D324,$C$4:$C$1510,$C324,$A$4:$A$1510,"&lt;"&amp;$A324))</f>
        <v>6</v>
      </c>
      <c r="U324" s="126">
        <f>IF($D324="",0,IFERROR(LOOKUP(2,1/(($D$3:D323=$D324)*($C$3:C323=$C324)*($A$3:A323&lt;$A324)),$AB$3:AB323),1000))</f>
        <v>1015.6654796209059</v>
      </c>
      <c r="V324" s="126">
        <f t="shared" ref="V324:V387" si="111">IF($D324="",0,$U324*($T324/($T324+5))+$H324*(1-$T324/($T324+5)))</f>
        <v>1008.0774259246609</v>
      </c>
      <c r="W324">
        <f t="shared" ref="W324:W387" si="112">IF($D324="",0,IFERROR(SUMIFS($V$4:$V$1510,$A$4:$A$1510,$A324,$E$4:$E$1510,"Win")/COUNTIFS($A$4:$A$1510,$A324,$E$4:$E$1510,"Win"),0))</f>
        <v>1008.0774259246609</v>
      </c>
      <c r="X324">
        <f t="shared" ref="X324:X387" si="113">IF($D324="",0,1/(1+10^(($W324-$V324)/400)))</f>
        <v>0.5</v>
      </c>
      <c r="Y324">
        <f t="shared" ref="Y324:Y387" si="114">IF($D324="",0,IFERROR(SUMIFS($U$4:$U$1510,$A$4:$A$1510,$A324,$E$4:$E$1510,"Win")/COUNTIFS($A$4:$A$1510,$A324,$E$4:$E$1510,"Win"),0))</f>
        <v>1015.6654796209059</v>
      </c>
      <c r="Z324">
        <f t="shared" ref="Z324:Z387" si="115">IF($D324="",0,1/(1+10^(($Y324-$U324)/400)))</f>
        <v>0.5</v>
      </c>
      <c r="AA324">
        <f>IF($D324="",0,IF($F324&lt;2,0,IF($E324="Win",('Guide &amp; Settings'!$C$42/(($F324-1)*COUNTIFS($A$4:$A$1510,$A324,$E$4:$E$1510,"Win")))*SUMIFS($Z$4:$Z$1510,$A$4:$A$1510,$A324,$E$4:$E$1510,"Loss"),-('Guide &amp; Settings'!$C$42/($F324-1))*$Z324)))</f>
        <v>14.561054407618714</v>
      </c>
      <c r="AB324" s="126">
        <f t="shared" ref="AB324:AB387" si="116">IF($D324="",0,$U324+$AA324)</f>
        <v>1030.2265340285246</v>
      </c>
      <c r="AC324" s="126">
        <f>IF($D324="","",IF($AD324=0,0,IF(COUNTIFS($D$4:$D324,$D324,$B$4:$B324,$B324)&gt;1,0,IF($B324&lt;'Guide &amp; Settings'!$C$50,0,IF(($B324-$AD324)/7-'Guide &amp; Settings'!$C$48&gt;=0,(INT(($B324-$AD324)/7-'Guide &amp; Settings'!$C$48)+1)*'Guide &amp; Settings'!$C$49,0)))))</f>
        <v>0</v>
      </c>
      <c r="AD324" s="142">
        <f t="shared" ref="AD324:AD387" si="117">IF($D324="",0,SUMPRODUCT(MAX(($D$4:$D$1510=$D324)*($B$4:$B$1510&lt;$B324)*$B$4:$B$1510)))</f>
        <v>46213</v>
      </c>
      <c r="AE324">
        <f t="shared" ref="AE324:AE387" si="118">IF($D324="",0,COUNTIFS($A$4:$A$1510,$A324,$E$4:$E$1510,"Win"))</f>
        <v>1</v>
      </c>
      <c r="AF324">
        <f t="shared" ref="AF324:AF387" si="119">IF($D324="",0,(COUNTIFS($A$4:$A$1510,$A324,$D$4:$D$1510,$D324)&gt;1)*1+(COUNTIFS($A$4:$A$1510,$A324,$C$4:$C$1510,"&lt;&gt;"&amp;$C324)&gt;0)*2+(COUNTIFS($A$4:$A$1510,$A324,$B$4:$B$1510,"&lt;&gt;"&amp;$B324)&gt;0)*4)</f>
        <v>0</v>
      </c>
    </row>
    <row r="325" spans="1:32" x14ac:dyDescent="0.2">
      <c r="A325" s="117">
        <v>138</v>
      </c>
      <c r="B325" s="118">
        <v>46214</v>
      </c>
      <c r="C325" s="119" t="s">
        <v>50</v>
      </c>
      <c r="D325" s="119" t="s">
        <v>15</v>
      </c>
      <c r="E325" s="117" t="s">
        <v>371</v>
      </c>
      <c r="F325" s="120">
        <f t="shared" si="100"/>
        <v>2</v>
      </c>
      <c r="G325" s="121" t="str">
        <f t="shared" si="101"/>
        <v>Shawn</v>
      </c>
      <c r="H325" s="122">
        <f>IF($D325="",0,IFERROR(LOOKUP(2,1/(($D$3:D324=$D325)*($A$3:A324&lt;$A325)),$N$3:N324),'Guide &amp; Settings'!$C$41))</f>
        <v>1132.111539066085</v>
      </c>
      <c r="I325" s="123">
        <f t="shared" si="102"/>
        <v>0.375</v>
      </c>
      <c r="J325" s="124">
        <f>IF($D325="",0,IF($F325&lt;2,0,IF($E325="Win",('Guide &amp; Settings'!$C$42/(($F325-1)*COUNTIFS($A$4:$A$1510,$A325,$E$4:$E$1510,"Win")))*SUMIFS($X$4:$X$1510,$A$4:$A$1510,$A325,$E$4:$E$1510,"Loss"),-('Guide &amp; Settings'!$C$42/($F325-1))*$X325)))</f>
        <v>-17.989603522757754</v>
      </c>
      <c r="K325" s="124">
        <f>IF($D325="",0,'Guide &amp; Settings'!$C$43*(IF($E325="Win",1,0)-$I325))</f>
        <v>-4.5</v>
      </c>
      <c r="L325" s="125">
        <f>IF($D325="",0,'Guide &amp; Settings'!$C$44*IF($F325&gt;=3,$F325,0))</f>
        <v>0</v>
      </c>
      <c r="M325" s="124">
        <f t="shared" si="103"/>
        <v>-22.489603522757754</v>
      </c>
      <c r="N325" s="122">
        <f t="shared" si="104"/>
        <v>1109.6219355433273</v>
      </c>
      <c r="O325" s="121" t="str">
        <f t="shared" si="105"/>
        <v>OK</v>
      </c>
      <c r="P325">
        <f t="shared" si="106"/>
        <v>998.97176148916697</v>
      </c>
      <c r="Q325">
        <f t="shared" si="107"/>
        <v>0.68274469626491763</v>
      </c>
      <c r="R325">
        <f t="shared" si="108"/>
        <v>0.375</v>
      </c>
      <c r="S325">
        <f t="shared" si="109"/>
        <v>1</v>
      </c>
      <c r="T325" s="89">
        <f t="shared" si="110"/>
        <v>6</v>
      </c>
      <c r="U325" s="126">
        <f>IF($D325="",0,IFERROR(LOOKUP(2,1/(($D$3:D324=$D325)*($C$3:C324=$C325)*($A$3:A324&lt;$A325)),$AB$3:AB324),1000))</f>
        <v>984.3345203790941</v>
      </c>
      <c r="V325" s="126">
        <f t="shared" si="111"/>
        <v>1051.5058925095445</v>
      </c>
      <c r="W325">
        <f t="shared" si="112"/>
        <v>1008.0774259246609</v>
      </c>
      <c r="X325">
        <f t="shared" si="113"/>
        <v>0.56217511008617982</v>
      </c>
      <c r="Y325">
        <f t="shared" si="114"/>
        <v>1015.6654796209059</v>
      </c>
      <c r="Z325">
        <f t="shared" si="115"/>
        <v>0.45503295023808482</v>
      </c>
      <c r="AA325">
        <f>IF($D325="",0,IF($F325&lt;2,0,IF($E325="Win",('Guide &amp; Settings'!$C$42/(($F325-1)*COUNTIFS($A$4:$A$1510,$A325,$E$4:$E$1510,"Win")))*SUMIFS($Z$4:$Z$1510,$A$4:$A$1510,$A325,$E$4:$E$1510,"Loss"),-('Guide &amp; Settings'!$C$42/($F325-1))*$Z325)))</f>
        <v>-14.561054407618714</v>
      </c>
      <c r="AB325" s="126">
        <f t="shared" si="116"/>
        <v>969.77346597147539</v>
      </c>
      <c r="AC325" s="126">
        <f>IF($D325="","",IF($AD325=0,0,IF(COUNTIFS($D$4:$D325,$D325,$B$4:$B325,$B325)&gt;1,0,IF($B325&lt;'Guide &amp; Settings'!$C$50,0,IF(($B325-$AD325)/7-'Guide &amp; Settings'!$C$48&gt;=0,(INT(($B325-$AD325)/7-'Guide &amp; Settings'!$C$48)+1)*'Guide &amp; Settings'!$C$49,0)))))</f>
        <v>0</v>
      </c>
      <c r="AD325" s="142">
        <f t="shared" si="117"/>
        <v>46213</v>
      </c>
      <c r="AE325">
        <f t="shared" si="118"/>
        <v>1</v>
      </c>
      <c r="AF325">
        <f t="shared" si="119"/>
        <v>0</v>
      </c>
    </row>
    <row r="326" spans="1:32" x14ac:dyDescent="0.2">
      <c r="A326" s="117">
        <v>139</v>
      </c>
      <c r="B326" s="118">
        <v>46214</v>
      </c>
      <c r="C326" s="119" t="s">
        <v>41</v>
      </c>
      <c r="D326" s="119" t="s">
        <v>20</v>
      </c>
      <c r="E326" s="117" t="s">
        <v>370</v>
      </c>
      <c r="F326" s="120">
        <f t="shared" si="100"/>
        <v>3</v>
      </c>
      <c r="G326" s="121" t="str">
        <f t="shared" si="101"/>
        <v>Shawn</v>
      </c>
      <c r="H326" s="122">
        <f>IF($D326="",0,IFERROR(LOOKUP(2,1/(($D$3:D325=$D326)*($A$3:A325&lt;$A326)),$N$3:N325),'Guide &amp; Settings'!$C$41))</f>
        <v>1021.4613650119247</v>
      </c>
      <c r="I326" s="123">
        <f t="shared" si="102"/>
        <v>0.25</v>
      </c>
      <c r="J326" s="124">
        <f>IF($D326="",0,IF($F326&lt;2,0,IF($E326="Win",('Guide &amp; Settings'!$C$42/(($F326-1)*COUNTIFS($A$4:$A$1510,$A326,$E$4:$E$1510,"Win")))*SUMIFS($X$4:$X$1510,$A$4:$A$1510,$A326,$E$4:$E$1510,"Loss"),-('Guide &amp; Settings'!$C$42/($F326-1))*$X326)))</f>
        <v>17.298008818818509</v>
      </c>
      <c r="K326" s="124">
        <f>IF($D326="",0,'Guide &amp; Settings'!$C$43*(IF($E326="Win",1,0)-$I326))</f>
        <v>9</v>
      </c>
      <c r="L326" s="125">
        <f>IF($D326="",0,'Guide &amp; Settings'!$C$44*IF($F326&gt;=3,$F326,0))</f>
        <v>3</v>
      </c>
      <c r="M326" s="124">
        <f t="shared" si="103"/>
        <v>29.298008818818509</v>
      </c>
      <c r="N326" s="122">
        <f t="shared" si="104"/>
        <v>1050.7593738307432</v>
      </c>
      <c r="O326" s="121" t="str">
        <f t="shared" si="105"/>
        <v>OK</v>
      </c>
      <c r="P326">
        <f t="shared" si="106"/>
        <v>1021.4613650119247</v>
      </c>
      <c r="Q326">
        <f t="shared" si="107"/>
        <v>0.5</v>
      </c>
      <c r="R326">
        <f t="shared" si="108"/>
        <v>0.33333333333333331</v>
      </c>
      <c r="S326">
        <f t="shared" si="109"/>
        <v>1.3333333333333333</v>
      </c>
      <c r="T326" s="89">
        <f t="shared" si="110"/>
        <v>1</v>
      </c>
      <c r="U326" s="126">
        <f>IF($D326="",0,IFERROR(LOOKUP(2,1/(($D$3:D325=$D326)*($C$3:C325=$C326)*($A$3:A325&lt;$A326)),$AB$3:AB325),1000))</f>
        <v>992</v>
      </c>
      <c r="V326" s="126">
        <f t="shared" si="111"/>
        <v>1016.5511375099372</v>
      </c>
      <c r="W326">
        <f t="shared" si="112"/>
        <v>1016.5511375099372</v>
      </c>
      <c r="X326">
        <f t="shared" si="113"/>
        <v>0.5</v>
      </c>
      <c r="Y326">
        <f t="shared" si="114"/>
        <v>992</v>
      </c>
      <c r="Z326">
        <f t="shared" si="115"/>
        <v>0.5</v>
      </c>
      <c r="AA326">
        <f>IF($D326="",0,IF($F326&lt;2,0,IF($E326="Win",('Guide &amp; Settings'!$C$42/(($F326-1)*COUNTIFS($A$4:$A$1510,$A326,$E$4:$E$1510,"Win")))*SUMIFS($Z$4:$Z$1510,$A$4:$A$1510,$A326,$E$4:$E$1510,"Loss"),-('Guide &amp; Settings'!$C$42/($F326-1))*$Z326)))</f>
        <v>16.368348518969334</v>
      </c>
      <c r="AB326" s="126">
        <f t="shared" si="116"/>
        <v>1008.3683485189694</v>
      </c>
      <c r="AC326" s="126">
        <f>IF($D326="","",IF($AD326=0,0,IF(COUNTIFS($D$4:$D326,$D326,$B$4:$B326,$B326)&gt;1,0,IF($B326&lt;'Guide &amp; Settings'!$C$50,0,IF(($B326-$AD326)/7-'Guide &amp; Settings'!$C$48&gt;=0,(INT(($B326-$AD326)/7-'Guide &amp; Settings'!$C$48)+1)*'Guide &amp; Settings'!$C$49,0)))))</f>
        <v>0</v>
      </c>
      <c r="AD326" s="142">
        <f t="shared" si="117"/>
        <v>46213</v>
      </c>
      <c r="AE326">
        <f t="shared" si="118"/>
        <v>1</v>
      </c>
      <c r="AF326">
        <f t="shared" si="119"/>
        <v>0</v>
      </c>
    </row>
    <row r="327" spans="1:32" x14ac:dyDescent="0.2">
      <c r="A327" s="117">
        <v>139</v>
      </c>
      <c r="B327" s="118">
        <v>46214</v>
      </c>
      <c r="C327" s="119" t="s">
        <v>41</v>
      </c>
      <c r="D327" s="119" t="s">
        <v>15</v>
      </c>
      <c r="E327" s="117" t="s">
        <v>371</v>
      </c>
      <c r="F327" s="120">
        <f t="shared" si="100"/>
        <v>3</v>
      </c>
      <c r="G327" s="121" t="str">
        <f t="shared" si="101"/>
        <v>Shawn</v>
      </c>
      <c r="H327" s="122">
        <f>IF($D327="",0,IFERROR(LOOKUP(2,1/(($D$3:D326=$D327)*($A$3:A326&lt;$A327)),$N$3:N326),'Guide &amp; Settings'!$C$41))</f>
        <v>1109.6219355433273</v>
      </c>
      <c r="I327" s="123">
        <f t="shared" si="102"/>
        <v>0.375</v>
      </c>
      <c r="J327" s="124">
        <f>IF($D327="",0,IF($F327&lt;2,0,IF($E327="Win",('Guide &amp; Settings'!$C$42/(($F327-1)*COUNTIFS($A$4:$A$1510,$A327,$E$4:$E$1510,"Win")))*SUMIFS($X$4:$X$1510,$A$4:$A$1510,$A327,$E$4:$E$1510,"Loss"),-('Guide &amp; Settings'!$C$42/($F327-1))*$X327)))</f>
        <v>-10.09320327978206</v>
      </c>
      <c r="K327" s="124">
        <f>IF($D327="",0,'Guide &amp; Settings'!$C$43*(IF($E327="Win",1,0)-$I327))</f>
        <v>-4.5</v>
      </c>
      <c r="L327" s="125">
        <f>IF($D327="",0,'Guide &amp; Settings'!$C$44*IF($F327&gt;=3,$F327,0))</f>
        <v>3</v>
      </c>
      <c r="M327" s="124">
        <f t="shared" si="103"/>
        <v>-11.59320327978206</v>
      </c>
      <c r="N327" s="122">
        <f t="shared" si="104"/>
        <v>1098.0287322635452</v>
      </c>
      <c r="O327" s="121" t="str">
        <f t="shared" si="105"/>
        <v>OK</v>
      </c>
      <c r="P327">
        <f t="shared" si="106"/>
        <v>1021.4613650119247</v>
      </c>
      <c r="Q327">
        <f t="shared" si="107"/>
        <v>0.62421860059741507</v>
      </c>
      <c r="R327">
        <f t="shared" si="108"/>
        <v>0.5</v>
      </c>
      <c r="S327">
        <f t="shared" si="109"/>
        <v>1.3333333333333333</v>
      </c>
      <c r="T327" s="89">
        <f t="shared" si="110"/>
        <v>0</v>
      </c>
      <c r="U327" s="126">
        <f>IF($D327="",0,IFERROR(LOOKUP(2,1/(($D$3:D326=$D327)*($C$3:C326=$C327)*($A$3:A326&lt;$A327)),$AB$3:AB326),1000))</f>
        <v>1000</v>
      </c>
      <c r="V327" s="126">
        <f t="shared" si="111"/>
        <v>1109.6219355433273</v>
      </c>
      <c r="W327">
        <f t="shared" si="112"/>
        <v>1016.5511375099372</v>
      </c>
      <c r="X327">
        <f t="shared" si="113"/>
        <v>0.63082520498637873</v>
      </c>
      <c r="Y327">
        <f t="shared" si="114"/>
        <v>992</v>
      </c>
      <c r="Z327">
        <f t="shared" si="115"/>
        <v>0.5115108912177917</v>
      </c>
      <c r="AA327">
        <f>IF($D327="",0,IF($F327&lt;2,0,IF($E327="Win",('Guide &amp; Settings'!$C$42/(($F327-1)*COUNTIFS($A$4:$A$1510,$A327,$E$4:$E$1510,"Win")))*SUMIFS($Z$4:$Z$1510,$A$4:$A$1510,$A327,$E$4:$E$1510,"Loss"),-('Guide &amp; Settings'!$C$42/($F327-1))*$Z327)))</f>
        <v>-8.1841742594846671</v>
      </c>
      <c r="AB327" s="126">
        <f t="shared" si="116"/>
        <v>991.81582574051538</v>
      </c>
      <c r="AC327" s="126">
        <f>IF($D327="","",IF($AD327=0,0,IF(COUNTIFS($D$4:$D327,$D327,$B$4:$B327,$B327)&gt;1,0,IF($B327&lt;'Guide &amp; Settings'!$C$50,0,IF(($B327-$AD327)/7-'Guide &amp; Settings'!$C$48&gt;=0,(INT(($B327-$AD327)/7-'Guide &amp; Settings'!$C$48)+1)*'Guide &amp; Settings'!$C$49,0)))))</f>
        <v>0</v>
      </c>
      <c r="AD327" s="142">
        <f t="shared" si="117"/>
        <v>46213</v>
      </c>
      <c r="AE327">
        <f t="shared" si="118"/>
        <v>1</v>
      </c>
      <c r="AF327">
        <f t="shared" si="119"/>
        <v>0</v>
      </c>
    </row>
    <row r="328" spans="1:32" x14ac:dyDescent="0.2">
      <c r="A328" s="117">
        <v>139</v>
      </c>
      <c r="B328" s="118">
        <v>46214</v>
      </c>
      <c r="C328" s="119" t="s">
        <v>41</v>
      </c>
      <c r="D328" s="119" t="s">
        <v>18</v>
      </c>
      <c r="E328" s="117" t="s">
        <v>371</v>
      </c>
      <c r="F328" s="120">
        <f t="shared" si="100"/>
        <v>3</v>
      </c>
      <c r="G328" s="121" t="str">
        <f t="shared" si="101"/>
        <v>Shawn</v>
      </c>
      <c r="H328" s="122">
        <f>IF($D328="",0,IFERROR(LOOKUP(2,1/(($D$3:D327=$D328)*($A$3:A327&lt;$A328)),$N$3:N327),'Guide &amp; Settings'!$C$41))</f>
        <v>981.90186446660846</v>
      </c>
      <c r="I328" s="123">
        <f t="shared" si="102"/>
        <v>0.375</v>
      </c>
      <c r="J328" s="124">
        <f>IF($D328="",0,IF($F328&lt;2,0,IF($E328="Win",('Guide &amp; Settings'!$C$42/(($F328-1)*COUNTIFS($A$4:$A$1510,$A328,$E$4:$E$1510,"Win")))*SUMIFS($X$4:$X$1510,$A$4:$A$1510,$A328,$E$4:$E$1510,"Loss"),-('Guide &amp; Settings'!$C$42/($F328-1))*$X328)))</f>
        <v>-7.2048055390364514</v>
      </c>
      <c r="K328" s="124">
        <f>IF($D328="",0,'Guide &amp; Settings'!$C$43*(IF($E328="Win",1,0)-$I328))</f>
        <v>-4.5</v>
      </c>
      <c r="L328" s="125">
        <f>IF($D328="",0,'Guide &amp; Settings'!$C$44*IF($F328&gt;=3,$F328,0))</f>
        <v>3</v>
      </c>
      <c r="M328" s="124">
        <f t="shared" si="103"/>
        <v>-8.7048055390364514</v>
      </c>
      <c r="N328" s="122">
        <f t="shared" si="104"/>
        <v>973.19705892757202</v>
      </c>
      <c r="O328" s="121" t="str">
        <f t="shared" si="105"/>
        <v>OK</v>
      </c>
      <c r="P328">
        <f t="shared" si="106"/>
        <v>1021.4613650119247</v>
      </c>
      <c r="Q328">
        <f t="shared" si="107"/>
        <v>0.44331405762455939</v>
      </c>
      <c r="R328">
        <f t="shared" si="108"/>
        <v>0.5</v>
      </c>
      <c r="S328">
        <f t="shared" si="109"/>
        <v>1.3333333333333333</v>
      </c>
      <c r="T328" s="89">
        <f t="shared" si="110"/>
        <v>0</v>
      </c>
      <c r="U328" s="126">
        <f>IF($D328="",0,IFERROR(LOOKUP(2,1/(($D$3:D327=$D328)*($C$3:C327=$C328)*($A$3:A327&lt;$A328)),$AB$3:AB327),1000))</f>
        <v>1000</v>
      </c>
      <c r="V328" s="126">
        <f t="shared" si="111"/>
        <v>981.90186446660846</v>
      </c>
      <c r="W328">
        <f t="shared" si="112"/>
        <v>1016.5511375099372</v>
      </c>
      <c r="X328">
        <f t="shared" si="113"/>
        <v>0.45030034618977821</v>
      </c>
      <c r="Y328">
        <f t="shared" si="114"/>
        <v>992</v>
      </c>
      <c r="Z328">
        <f t="shared" si="115"/>
        <v>0.5115108912177917</v>
      </c>
      <c r="AA328">
        <f>IF($D328="",0,IF($F328&lt;2,0,IF($E328="Win",('Guide &amp; Settings'!$C$42/(($F328-1)*COUNTIFS($A$4:$A$1510,$A328,$E$4:$E$1510,"Win")))*SUMIFS($Z$4:$Z$1510,$A$4:$A$1510,$A328,$E$4:$E$1510,"Loss"),-('Guide &amp; Settings'!$C$42/($F328-1))*$Z328)))</f>
        <v>-8.1841742594846671</v>
      </c>
      <c r="AB328" s="126">
        <f t="shared" si="116"/>
        <v>991.81582574051538</v>
      </c>
      <c r="AC328" s="126">
        <f>IF($D328="","",IF($AD328=0,0,IF(COUNTIFS($D$4:$D328,$D328,$B$4:$B328,$B328)&gt;1,0,IF($B328&lt;'Guide &amp; Settings'!$C$50,0,IF(($B328-$AD328)/7-'Guide &amp; Settings'!$C$48&gt;=0,(INT(($B328-$AD328)/7-'Guide &amp; Settings'!$C$48)+1)*'Guide &amp; Settings'!$C$49,0)))))</f>
        <v>0</v>
      </c>
      <c r="AD328" s="142">
        <f t="shared" si="117"/>
        <v>46188</v>
      </c>
      <c r="AE328">
        <f t="shared" si="118"/>
        <v>1</v>
      </c>
      <c r="AF328">
        <f t="shared" si="119"/>
        <v>0</v>
      </c>
    </row>
    <row r="329" spans="1:32" x14ac:dyDescent="0.2">
      <c r="A329" s="117">
        <v>140</v>
      </c>
      <c r="B329" s="118">
        <v>46214</v>
      </c>
      <c r="C329" s="119" t="s">
        <v>50</v>
      </c>
      <c r="D329" s="119" t="s">
        <v>20</v>
      </c>
      <c r="E329" s="117" t="s">
        <v>370</v>
      </c>
      <c r="F329" s="120">
        <f t="shared" si="100"/>
        <v>2</v>
      </c>
      <c r="G329" s="121" t="str">
        <f t="shared" si="101"/>
        <v>Shawn</v>
      </c>
      <c r="H329" s="122">
        <f>IF($D329="",0,IFERROR(LOOKUP(2,1/(($D$3:D328=$D329)*($A$3:A328&lt;$A329)),$N$3:N328),'Guide &amp; Settings'!$C$41))</f>
        <v>1050.7593738307432</v>
      </c>
      <c r="I329" s="123">
        <f t="shared" si="102"/>
        <v>0.66666666666666663</v>
      </c>
      <c r="J329" s="124">
        <f>IF($D329="",0,IF($F329&lt;2,0,IF($E329="Win",('Guide &amp; Settings'!$C$42/(($F329-1)*COUNTIFS($A$4:$A$1510,$A329,$E$4:$E$1510,"Win")))*SUMIFS($X$4:$X$1510,$A$4:$A$1510,$A329,$E$4:$E$1510,"Loss"),-('Guide &amp; Settings'!$C$42/($F329-1))*$X329)))</f>
        <v>15.283513275785639</v>
      </c>
      <c r="K329" s="124">
        <f>IF($D329="",0,'Guide &amp; Settings'!$C$43*(IF($E329="Win",1,0)-$I329))</f>
        <v>4</v>
      </c>
      <c r="L329" s="125">
        <f>IF($D329="",0,'Guide &amp; Settings'!$C$44*IF($F329&gt;=3,$F329,0))</f>
        <v>0</v>
      </c>
      <c r="M329" s="124">
        <f t="shared" si="103"/>
        <v>19.283513275785637</v>
      </c>
      <c r="N329" s="122">
        <f t="shared" si="104"/>
        <v>1070.042887106529</v>
      </c>
      <c r="O329" s="121" t="str">
        <f t="shared" si="105"/>
        <v>OK</v>
      </c>
      <c r="P329">
        <f t="shared" si="106"/>
        <v>1050.7593738307432</v>
      </c>
      <c r="Q329">
        <f t="shared" si="107"/>
        <v>0.5</v>
      </c>
      <c r="R329">
        <f t="shared" si="108"/>
        <v>0.66666666666666663</v>
      </c>
      <c r="S329">
        <f t="shared" si="109"/>
        <v>1</v>
      </c>
      <c r="T329" s="89">
        <f t="shared" si="110"/>
        <v>7</v>
      </c>
      <c r="U329" s="126">
        <f>IF($D329="",0,IFERROR(LOOKUP(2,1/(($D$3:D328=$D329)*($C$3:C328=$C329)*($A$3:A328&lt;$A329)),$AB$3:AB328),1000))</f>
        <v>1030.2265340285246</v>
      </c>
      <c r="V329" s="126">
        <f t="shared" si="111"/>
        <v>1038.7818839461158</v>
      </c>
      <c r="W329">
        <f t="shared" si="112"/>
        <v>1038.7818839461158</v>
      </c>
      <c r="X329">
        <f t="shared" si="113"/>
        <v>0.5</v>
      </c>
      <c r="Y329">
        <f t="shared" si="114"/>
        <v>1030.2265340285246</v>
      </c>
      <c r="Z329">
        <f t="shared" si="115"/>
        <v>0.5</v>
      </c>
      <c r="AA329">
        <f>IF($D329="",0,IF($F329&lt;2,0,IF($E329="Win",('Guide &amp; Settings'!$C$42/(($F329-1)*COUNTIFS($A$4:$A$1510,$A329,$E$4:$E$1510,"Win")))*SUMIFS($Z$4:$Z$1510,$A$4:$A$1510,$A329,$E$4:$E$1510,"Loss"),-('Guide &amp; Settings'!$C$42/($F329-1))*$Z329)))</f>
        <v>13.2437923359577</v>
      </c>
      <c r="AB329" s="126">
        <f t="shared" si="116"/>
        <v>1043.4703263644824</v>
      </c>
      <c r="AC329" s="126">
        <f>IF($D329="","",IF($AD329=0,0,IF(COUNTIFS($D$4:$D329,$D329,$B$4:$B329,$B329)&gt;1,0,IF($B329&lt;'Guide &amp; Settings'!$C$50,0,IF(($B329-$AD329)/7-'Guide &amp; Settings'!$C$48&gt;=0,(INT(($B329-$AD329)/7-'Guide &amp; Settings'!$C$48)+1)*'Guide &amp; Settings'!$C$49,0)))))</f>
        <v>0</v>
      </c>
      <c r="AD329" s="142">
        <f t="shared" si="117"/>
        <v>46213</v>
      </c>
      <c r="AE329">
        <f t="shared" si="118"/>
        <v>1</v>
      </c>
      <c r="AF329">
        <f t="shared" si="119"/>
        <v>0</v>
      </c>
    </row>
    <row r="330" spans="1:32" x14ac:dyDescent="0.2">
      <c r="A330" s="117">
        <v>140</v>
      </c>
      <c r="B330" s="118">
        <v>46214</v>
      </c>
      <c r="C330" s="119" t="s">
        <v>50</v>
      </c>
      <c r="D330" s="119" t="s">
        <v>15</v>
      </c>
      <c r="E330" s="117" t="s">
        <v>371</v>
      </c>
      <c r="F330" s="120">
        <f t="shared" si="100"/>
        <v>2</v>
      </c>
      <c r="G330" s="121" t="str">
        <f t="shared" si="101"/>
        <v>Shawn</v>
      </c>
      <c r="H330" s="122">
        <f>IF($D330="",0,IFERROR(LOOKUP(2,1/(($D$3:D329=$D330)*($A$3:A329&lt;$A330)),$N$3:N329),'Guide &amp; Settings'!$C$41))</f>
        <v>1098.0287322635452</v>
      </c>
      <c r="I330" s="123">
        <f t="shared" si="102"/>
        <v>0.33333333333333331</v>
      </c>
      <c r="J330" s="124">
        <f>IF($D330="",0,IF($F330&lt;2,0,IF($E330="Win",('Guide &amp; Settings'!$C$42/(($F330-1)*COUNTIFS($A$4:$A$1510,$A330,$E$4:$E$1510,"Win")))*SUMIFS($X$4:$X$1510,$A$4:$A$1510,$A330,$E$4:$E$1510,"Loss"),-('Guide &amp; Settings'!$C$42/($F330-1))*$X330)))</f>
        <v>-15.283513275785639</v>
      </c>
      <c r="K330" s="124">
        <f>IF($D330="",0,'Guide &amp; Settings'!$C$43*(IF($E330="Win",1,0)-$I330))</f>
        <v>-4</v>
      </c>
      <c r="L330" s="125">
        <f>IF($D330="",0,'Guide &amp; Settings'!$C$44*IF($F330&gt;=3,$F330,0))</f>
        <v>0</v>
      </c>
      <c r="M330" s="124">
        <f t="shared" si="103"/>
        <v>-19.283513275785637</v>
      </c>
      <c r="N330" s="122">
        <f t="shared" si="104"/>
        <v>1078.7452189877595</v>
      </c>
      <c r="O330" s="121" t="str">
        <f t="shared" si="105"/>
        <v>OK</v>
      </c>
      <c r="P330">
        <f t="shared" si="106"/>
        <v>1050.7593738307432</v>
      </c>
      <c r="Q330">
        <f t="shared" si="107"/>
        <v>0.56760943448229062</v>
      </c>
      <c r="R330">
        <f t="shared" si="108"/>
        <v>0.33333333333333331</v>
      </c>
      <c r="S330">
        <f t="shared" si="109"/>
        <v>1</v>
      </c>
      <c r="T330" s="89">
        <f t="shared" si="110"/>
        <v>7</v>
      </c>
      <c r="U330" s="126">
        <f>IF($D330="",0,IFERROR(LOOKUP(2,1/(($D$3:D329=$D330)*($C$3:C329=$C330)*($A$3:A329&lt;$A330)),$AB$3:AB329),1000))</f>
        <v>969.77346597147539</v>
      </c>
      <c r="V330" s="126">
        <f t="shared" si="111"/>
        <v>1023.2131602598378</v>
      </c>
      <c r="W330">
        <f t="shared" si="112"/>
        <v>1038.7818839461158</v>
      </c>
      <c r="X330">
        <f t="shared" si="113"/>
        <v>0.47760978986830122</v>
      </c>
      <c r="Y330">
        <f t="shared" si="114"/>
        <v>1030.2265340285246</v>
      </c>
      <c r="Z330">
        <f t="shared" si="115"/>
        <v>0.41386851049867812</v>
      </c>
      <c r="AA330">
        <f>IF($D330="",0,IF($F330&lt;2,0,IF($E330="Win",('Guide &amp; Settings'!$C$42/(($F330-1)*COUNTIFS($A$4:$A$1510,$A330,$E$4:$E$1510,"Win")))*SUMIFS($Z$4:$Z$1510,$A$4:$A$1510,$A330,$E$4:$E$1510,"Loss"),-('Guide &amp; Settings'!$C$42/($F330-1))*$Z330)))</f>
        <v>-13.2437923359577</v>
      </c>
      <c r="AB330" s="126">
        <f t="shared" si="116"/>
        <v>956.52967363551772</v>
      </c>
      <c r="AC330" s="126">
        <f>IF($D330="","",IF($AD330=0,0,IF(COUNTIFS($D$4:$D330,$D330,$B$4:$B330,$B330)&gt;1,0,IF($B330&lt;'Guide &amp; Settings'!$C$50,0,IF(($B330-$AD330)/7-'Guide &amp; Settings'!$C$48&gt;=0,(INT(($B330-$AD330)/7-'Guide &amp; Settings'!$C$48)+1)*'Guide &amp; Settings'!$C$49,0)))))</f>
        <v>0</v>
      </c>
      <c r="AD330" s="142">
        <f t="shared" si="117"/>
        <v>46213</v>
      </c>
      <c r="AE330">
        <f t="shared" si="118"/>
        <v>1</v>
      </c>
      <c r="AF330">
        <f t="shared" si="119"/>
        <v>0</v>
      </c>
    </row>
    <row r="331" spans="1:32" x14ac:dyDescent="0.2">
      <c r="A331" s="117">
        <v>141</v>
      </c>
      <c r="B331" s="118">
        <v>46214</v>
      </c>
      <c r="C331" s="119" t="s">
        <v>50</v>
      </c>
      <c r="D331" s="119" t="s">
        <v>20</v>
      </c>
      <c r="E331" s="117" t="s">
        <v>371</v>
      </c>
      <c r="F331" s="120">
        <f t="shared" si="100"/>
        <v>2</v>
      </c>
      <c r="G331" s="121" t="str">
        <f t="shared" si="101"/>
        <v>Aaron</v>
      </c>
      <c r="H331" s="122">
        <f>IF($D331="",0,IFERROR(LOOKUP(2,1/(($D$3:D330=$D331)*($A$3:A330&lt;$A331)),$N$3:N330),'Guide &amp; Settings'!$C$41))</f>
        <v>1070.042887106529</v>
      </c>
      <c r="I331" s="123">
        <f t="shared" si="102"/>
        <v>0.7</v>
      </c>
      <c r="J331" s="124">
        <f>IF($D331="",0,IF($F331&lt;2,0,IF($E331="Win",('Guide &amp; Settings'!$C$42/(($F331-1)*COUNTIFS($A$4:$A$1510,$A331,$E$4:$E$1510,"Win")))*SUMIFS($X$4:$X$1510,$A$4:$A$1510,$A331,$E$4:$E$1510,"Loss"),-('Guide &amp; Settings'!$C$42/($F331-1))*$X331)))</f>
        <v>-18.293806522030835</v>
      </c>
      <c r="K331" s="124">
        <f>IF($D331="",0,'Guide &amp; Settings'!$C$43*(IF($E331="Win",1,0)-$I331))</f>
        <v>-8.3999999999999986</v>
      </c>
      <c r="L331" s="125">
        <f>IF($D331="",0,'Guide &amp; Settings'!$C$44*IF($F331&gt;=3,$F331,0))</f>
        <v>0</v>
      </c>
      <c r="M331" s="124">
        <f t="shared" si="103"/>
        <v>-26.693806522030833</v>
      </c>
      <c r="N331" s="122">
        <f t="shared" si="104"/>
        <v>1043.3490805844981</v>
      </c>
      <c r="O331" s="121" t="str">
        <f t="shared" si="105"/>
        <v>OK</v>
      </c>
      <c r="P331">
        <f t="shared" si="106"/>
        <v>1078.7452189877595</v>
      </c>
      <c r="Q331">
        <f t="shared" si="107"/>
        <v>0.48747895603654534</v>
      </c>
      <c r="R331">
        <f t="shared" si="108"/>
        <v>0.7</v>
      </c>
      <c r="S331">
        <f t="shared" si="109"/>
        <v>1</v>
      </c>
      <c r="T331" s="89">
        <f t="shared" si="110"/>
        <v>8</v>
      </c>
      <c r="U331" s="126">
        <f>IF($D331="",0,IFERROR(LOOKUP(2,1/(($D$3:D330=$D331)*($C$3:C330=$C331)*($A$3:A330&lt;$A331)),$AB$3:AB330),1000))</f>
        <v>1043.4703263644824</v>
      </c>
      <c r="V331" s="126">
        <f t="shared" si="111"/>
        <v>1053.6905420345004</v>
      </c>
      <c r="W331">
        <f t="shared" si="112"/>
        <v>1003.5356526171493</v>
      </c>
      <c r="X331">
        <f t="shared" si="113"/>
        <v>0.57168145381346358</v>
      </c>
      <c r="Y331">
        <f t="shared" si="114"/>
        <v>956.52967363551772</v>
      </c>
      <c r="Z331">
        <f t="shared" si="115"/>
        <v>0.6225699240055842</v>
      </c>
      <c r="AA331">
        <f>IF($D331="",0,IF($F331&lt;2,0,IF($E331="Win",('Guide &amp; Settings'!$C$42/(($F331-1)*COUNTIFS($A$4:$A$1510,$A331,$E$4:$E$1510,"Win")))*SUMIFS($Z$4:$Z$1510,$A$4:$A$1510,$A331,$E$4:$E$1510,"Loss"),-('Guide &amp; Settings'!$C$42/($F331-1))*$Z331)))</f>
        <v>-19.922237568178694</v>
      </c>
      <c r="AB331" s="126">
        <f t="shared" si="116"/>
        <v>1023.5480887963037</v>
      </c>
      <c r="AC331" s="126">
        <f>IF($D331="","",IF($AD331=0,0,IF(COUNTIFS($D$4:$D331,$D331,$B$4:$B331,$B331)&gt;1,0,IF($B331&lt;'Guide &amp; Settings'!$C$50,0,IF(($B331-$AD331)/7-'Guide &amp; Settings'!$C$48&gt;=0,(INT(($B331-$AD331)/7-'Guide &amp; Settings'!$C$48)+1)*'Guide &amp; Settings'!$C$49,0)))))</f>
        <v>0</v>
      </c>
      <c r="AD331" s="142">
        <f t="shared" si="117"/>
        <v>46213</v>
      </c>
      <c r="AE331">
        <f t="shared" si="118"/>
        <v>1</v>
      </c>
      <c r="AF331">
        <f t="shared" si="119"/>
        <v>0</v>
      </c>
    </row>
    <row r="332" spans="1:32" x14ac:dyDescent="0.2">
      <c r="A332" s="117">
        <v>141</v>
      </c>
      <c r="B332" s="118">
        <v>46214</v>
      </c>
      <c r="C332" s="119" t="s">
        <v>50</v>
      </c>
      <c r="D332" s="119" t="s">
        <v>15</v>
      </c>
      <c r="E332" s="117" t="s">
        <v>370</v>
      </c>
      <c r="F332" s="120">
        <f t="shared" si="100"/>
        <v>2</v>
      </c>
      <c r="G332" s="121" t="str">
        <f t="shared" si="101"/>
        <v>Aaron</v>
      </c>
      <c r="H332" s="122">
        <f>IF($D332="",0,IFERROR(LOOKUP(2,1/(($D$3:D331=$D332)*($A$3:A331&lt;$A332)),$N$3:N331),'Guide &amp; Settings'!$C$41))</f>
        <v>1078.7452189877595</v>
      </c>
      <c r="I332" s="123">
        <f t="shared" si="102"/>
        <v>0.3</v>
      </c>
      <c r="J332" s="124">
        <f>IF($D332="",0,IF($F332&lt;2,0,IF($E332="Win",('Guide &amp; Settings'!$C$42/(($F332-1)*COUNTIFS($A$4:$A$1510,$A332,$E$4:$E$1510,"Win")))*SUMIFS($X$4:$X$1510,$A$4:$A$1510,$A332,$E$4:$E$1510,"Loss"),-('Guide &amp; Settings'!$C$42/($F332-1))*$X332)))</f>
        <v>18.293806522030835</v>
      </c>
      <c r="K332" s="124">
        <f>IF($D332="",0,'Guide &amp; Settings'!$C$43*(IF($E332="Win",1,0)-$I332))</f>
        <v>8.3999999999999986</v>
      </c>
      <c r="L332" s="125">
        <f>IF($D332="",0,'Guide &amp; Settings'!$C$44*IF($F332&gt;=3,$F332,0))</f>
        <v>0</v>
      </c>
      <c r="M332" s="124">
        <f t="shared" si="103"/>
        <v>26.693806522030833</v>
      </c>
      <c r="N332" s="122">
        <f t="shared" si="104"/>
        <v>1105.4390255097903</v>
      </c>
      <c r="O332" s="121" t="str">
        <f t="shared" si="105"/>
        <v>OK</v>
      </c>
      <c r="P332">
        <f t="shared" si="106"/>
        <v>1078.7452189877595</v>
      </c>
      <c r="Q332">
        <f t="shared" si="107"/>
        <v>0.5</v>
      </c>
      <c r="R332">
        <f t="shared" si="108"/>
        <v>0.3</v>
      </c>
      <c r="S332">
        <f t="shared" si="109"/>
        <v>1</v>
      </c>
      <c r="T332" s="89">
        <f t="shared" si="110"/>
        <v>8</v>
      </c>
      <c r="U332" s="126">
        <f>IF($D332="",0,IFERROR(LOOKUP(2,1/(($D$3:D331=$D332)*($C$3:C331=$C332)*($A$3:A331&lt;$A332)),$AB$3:AB331),1000))</f>
        <v>956.52967363551772</v>
      </c>
      <c r="V332" s="126">
        <f t="shared" si="111"/>
        <v>1003.5356526171493</v>
      </c>
      <c r="W332">
        <f t="shared" si="112"/>
        <v>1003.5356526171493</v>
      </c>
      <c r="X332">
        <f t="shared" si="113"/>
        <v>0.5</v>
      </c>
      <c r="Y332">
        <f t="shared" si="114"/>
        <v>956.52967363551772</v>
      </c>
      <c r="Z332">
        <f t="shared" si="115"/>
        <v>0.5</v>
      </c>
      <c r="AA332">
        <f>IF($D332="",0,IF($F332&lt;2,0,IF($E332="Win",('Guide &amp; Settings'!$C$42/(($F332-1)*COUNTIFS($A$4:$A$1510,$A332,$E$4:$E$1510,"Win")))*SUMIFS($Z$4:$Z$1510,$A$4:$A$1510,$A332,$E$4:$E$1510,"Loss"),-('Guide &amp; Settings'!$C$42/($F332-1))*$Z332)))</f>
        <v>19.922237568178694</v>
      </c>
      <c r="AB332" s="126">
        <f t="shared" si="116"/>
        <v>976.45191120369645</v>
      </c>
      <c r="AC332" s="126">
        <f>IF($D332="","",IF($AD332=0,0,IF(COUNTIFS($D$4:$D332,$D332,$B$4:$B332,$B332)&gt;1,0,IF($B332&lt;'Guide &amp; Settings'!$C$50,0,IF(($B332-$AD332)/7-'Guide &amp; Settings'!$C$48&gt;=0,(INT(($B332-$AD332)/7-'Guide &amp; Settings'!$C$48)+1)*'Guide &amp; Settings'!$C$49,0)))))</f>
        <v>0</v>
      </c>
      <c r="AD332" s="142">
        <f t="shared" si="117"/>
        <v>46213</v>
      </c>
      <c r="AE332">
        <f t="shared" si="118"/>
        <v>1</v>
      </c>
      <c r="AF332">
        <f t="shared" si="119"/>
        <v>0</v>
      </c>
    </row>
    <row r="333" spans="1:32" x14ac:dyDescent="0.2">
      <c r="A333" s="117">
        <v>142</v>
      </c>
      <c r="B333" s="118">
        <v>46214</v>
      </c>
      <c r="C333" s="119" t="s">
        <v>34</v>
      </c>
      <c r="D333" s="119" t="s">
        <v>20</v>
      </c>
      <c r="E333" s="117" t="s">
        <v>370</v>
      </c>
      <c r="F333" s="120">
        <f t="shared" si="100"/>
        <v>2</v>
      </c>
      <c r="G333" s="121" t="str">
        <f t="shared" si="101"/>
        <v>Shawn</v>
      </c>
      <c r="H333" s="122">
        <f>IF($D333="",0,IFERROR(LOOKUP(2,1/(($D$3:D332=$D333)*($A$3:A332&lt;$A333)),$N$3:N332),'Guide &amp; Settings'!$C$41))</f>
        <v>1043.3490805844981</v>
      </c>
      <c r="I333" s="123">
        <f t="shared" si="102"/>
        <v>0.5</v>
      </c>
      <c r="J333" s="124">
        <f>IF($D333="",0,IF($F333&lt;2,0,IF($E333="Win",('Guide &amp; Settings'!$C$42/(($F333-1)*COUNTIFS($A$4:$A$1510,$A333,$E$4:$E$1510,"Win")))*SUMIFS($X$4:$X$1510,$A$4:$A$1510,$A333,$E$4:$E$1510,"Loss"),-('Guide &amp; Settings'!$C$42/($F333-1))*$X333)))</f>
        <v>18.829291879798763</v>
      </c>
      <c r="K333" s="124">
        <f>IF($D333="",0,'Guide &amp; Settings'!$C$43*(IF($E333="Win",1,0)-$I333))</f>
        <v>6</v>
      </c>
      <c r="L333" s="125">
        <f>IF($D333="",0,'Guide &amp; Settings'!$C$44*IF($F333&gt;=3,$F333,0))</f>
        <v>0</v>
      </c>
      <c r="M333" s="124">
        <f t="shared" si="103"/>
        <v>24.829291879798763</v>
      </c>
      <c r="N333" s="122">
        <f t="shared" si="104"/>
        <v>1068.1783724642969</v>
      </c>
      <c r="O333" s="121" t="str">
        <f t="shared" si="105"/>
        <v>OK</v>
      </c>
      <c r="P333">
        <f t="shared" si="106"/>
        <v>1043.3490805844981</v>
      </c>
      <c r="Q333">
        <f t="shared" si="107"/>
        <v>0.5</v>
      </c>
      <c r="R333">
        <f t="shared" si="108"/>
        <v>0.5</v>
      </c>
      <c r="S333">
        <f t="shared" si="109"/>
        <v>1</v>
      </c>
      <c r="T333" s="89">
        <f t="shared" si="110"/>
        <v>0</v>
      </c>
      <c r="U333" s="126">
        <f>IF($D333="",0,IFERROR(LOOKUP(2,1/(($D$3:D332=$D333)*($C$3:C332=$C333)*($A$3:A332&lt;$A333)),$AB$3:AB332),1000))</f>
        <v>1000</v>
      </c>
      <c r="V333" s="126">
        <f t="shared" si="111"/>
        <v>1043.3490805844981</v>
      </c>
      <c r="W333">
        <f t="shared" si="112"/>
        <v>1043.3490805844981</v>
      </c>
      <c r="X333">
        <f t="shared" si="113"/>
        <v>0.5</v>
      </c>
      <c r="Y333">
        <f t="shared" si="114"/>
        <v>1000</v>
      </c>
      <c r="Z333">
        <f t="shared" si="115"/>
        <v>0.5</v>
      </c>
      <c r="AA333">
        <f>IF($D333="",0,IF($F333&lt;2,0,IF($E333="Win",('Guide &amp; Settings'!$C$42/(($F333-1)*COUNTIFS($A$4:$A$1510,$A333,$E$4:$E$1510,"Win")))*SUMIFS($Z$4:$Z$1510,$A$4:$A$1510,$A333,$E$4:$E$1510,"Loss"),-('Guide &amp; Settings'!$C$42/($F333-1))*$Z333)))</f>
        <v>16</v>
      </c>
      <c r="AB333" s="126">
        <f t="shared" si="116"/>
        <v>1016</v>
      </c>
      <c r="AC333" s="126">
        <f>IF($D333="","",IF($AD333=0,0,IF(COUNTIFS($D$4:$D333,$D333,$B$4:$B333,$B333)&gt;1,0,IF($B333&lt;'Guide &amp; Settings'!$C$50,0,IF(($B333-$AD333)/7-'Guide &amp; Settings'!$C$48&gt;=0,(INT(($B333-$AD333)/7-'Guide &amp; Settings'!$C$48)+1)*'Guide &amp; Settings'!$C$49,0)))))</f>
        <v>0</v>
      </c>
      <c r="AD333" s="142">
        <f t="shared" si="117"/>
        <v>46213</v>
      </c>
      <c r="AE333">
        <f t="shared" si="118"/>
        <v>1</v>
      </c>
      <c r="AF333">
        <f t="shared" si="119"/>
        <v>0</v>
      </c>
    </row>
    <row r="334" spans="1:32" x14ac:dyDescent="0.2">
      <c r="A334" s="117">
        <v>142</v>
      </c>
      <c r="B334" s="118">
        <v>46214</v>
      </c>
      <c r="C334" s="119" t="s">
        <v>34</v>
      </c>
      <c r="D334" s="119" t="s">
        <v>15</v>
      </c>
      <c r="E334" s="117" t="s">
        <v>371</v>
      </c>
      <c r="F334" s="120">
        <f t="shared" si="100"/>
        <v>2</v>
      </c>
      <c r="G334" s="121" t="str">
        <f t="shared" si="101"/>
        <v>Shawn</v>
      </c>
      <c r="H334" s="122">
        <f>IF($D334="",0,IFERROR(LOOKUP(2,1/(($D$3:D333=$D334)*($A$3:A333&lt;$A334)),$N$3:N333),'Guide &amp; Settings'!$C$41))</f>
        <v>1105.4390255097903</v>
      </c>
      <c r="I334" s="123">
        <f t="shared" si="102"/>
        <v>0.5</v>
      </c>
      <c r="J334" s="124">
        <f>IF($D334="",0,IF($F334&lt;2,0,IF($E334="Win",('Guide &amp; Settings'!$C$42/(($F334-1)*COUNTIFS($A$4:$A$1510,$A334,$E$4:$E$1510,"Win")))*SUMIFS($X$4:$X$1510,$A$4:$A$1510,$A334,$E$4:$E$1510,"Loss"),-('Guide &amp; Settings'!$C$42/($F334-1))*$X334)))</f>
        <v>-18.829291879798763</v>
      </c>
      <c r="K334" s="124">
        <f>IF($D334="",0,'Guide &amp; Settings'!$C$43*(IF($E334="Win",1,0)-$I334))</f>
        <v>-6</v>
      </c>
      <c r="L334" s="125">
        <f>IF($D334="",0,'Guide &amp; Settings'!$C$44*IF($F334&gt;=3,$F334,0))</f>
        <v>0</v>
      </c>
      <c r="M334" s="124">
        <f t="shared" si="103"/>
        <v>-24.829291879798763</v>
      </c>
      <c r="N334" s="122">
        <f t="shared" si="104"/>
        <v>1080.6097336299915</v>
      </c>
      <c r="O334" s="121" t="str">
        <f t="shared" si="105"/>
        <v>OK</v>
      </c>
      <c r="P334">
        <f t="shared" si="106"/>
        <v>1043.3490805844981</v>
      </c>
      <c r="Q334">
        <f t="shared" si="107"/>
        <v>0.58841537124371135</v>
      </c>
      <c r="R334">
        <f t="shared" si="108"/>
        <v>0.5</v>
      </c>
      <c r="S334">
        <f t="shared" si="109"/>
        <v>1</v>
      </c>
      <c r="T334" s="89">
        <f t="shared" si="110"/>
        <v>0</v>
      </c>
      <c r="U334" s="126">
        <f>IF($D334="",0,IFERROR(LOOKUP(2,1/(($D$3:D333=$D334)*($C$3:C333=$C334)*($A$3:A333&lt;$A334)),$AB$3:AB333),1000))</f>
        <v>1000</v>
      </c>
      <c r="V334" s="126">
        <f t="shared" si="111"/>
        <v>1105.4390255097903</v>
      </c>
      <c r="W334">
        <f t="shared" si="112"/>
        <v>1043.3490805844981</v>
      </c>
      <c r="X334">
        <f t="shared" si="113"/>
        <v>0.58841537124371135</v>
      </c>
      <c r="Y334">
        <f t="shared" si="114"/>
        <v>1000</v>
      </c>
      <c r="Z334">
        <f t="shared" si="115"/>
        <v>0.5</v>
      </c>
      <c r="AA334">
        <f>IF($D334="",0,IF($F334&lt;2,0,IF($E334="Win",('Guide &amp; Settings'!$C$42/(($F334-1)*COUNTIFS($A$4:$A$1510,$A334,$E$4:$E$1510,"Win")))*SUMIFS($Z$4:$Z$1510,$A$4:$A$1510,$A334,$E$4:$E$1510,"Loss"),-('Guide &amp; Settings'!$C$42/($F334-1))*$Z334)))</f>
        <v>-16</v>
      </c>
      <c r="AB334" s="126">
        <f t="shared" si="116"/>
        <v>984</v>
      </c>
      <c r="AC334" s="126">
        <f>IF($D334="","",IF($AD334=0,0,IF(COUNTIFS($D$4:$D334,$D334,$B$4:$B334,$B334)&gt;1,0,IF($B334&lt;'Guide &amp; Settings'!$C$50,0,IF(($B334-$AD334)/7-'Guide &amp; Settings'!$C$48&gt;=0,(INT(($B334-$AD334)/7-'Guide &amp; Settings'!$C$48)+1)*'Guide &amp; Settings'!$C$49,0)))))</f>
        <v>0</v>
      </c>
      <c r="AD334" s="142">
        <f t="shared" si="117"/>
        <v>46213</v>
      </c>
      <c r="AE334">
        <f t="shared" si="118"/>
        <v>1</v>
      </c>
      <c r="AF334">
        <f t="shared" si="119"/>
        <v>0</v>
      </c>
    </row>
    <row r="335" spans="1:32" x14ac:dyDescent="0.2">
      <c r="A335" s="117">
        <v>143</v>
      </c>
      <c r="B335" s="118">
        <v>46214</v>
      </c>
      <c r="C335" s="119" t="s">
        <v>34</v>
      </c>
      <c r="D335" s="119" t="s">
        <v>15</v>
      </c>
      <c r="E335" s="117" t="s">
        <v>370</v>
      </c>
      <c r="F335" s="120">
        <f t="shared" si="100"/>
        <v>2</v>
      </c>
      <c r="G335" s="121" t="str">
        <f t="shared" si="101"/>
        <v>Aaron</v>
      </c>
      <c r="H335" s="122">
        <f>IF($D335="",0,IFERROR(LOOKUP(2,1/(($D$3:D334=$D335)*($A$3:A334&lt;$A335)),$N$3:N334),'Guide &amp; Settings'!$C$41))</f>
        <v>1080.6097336299915</v>
      </c>
      <c r="I335" s="123">
        <f t="shared" si="102"/>
        <v>0.33333333333333331</v>
      </c>
      <c r="J335" s="124">
        <f>IF($D335="",0,IF($F335&lt;2,0,IF($E335="Win",('Guide &amp; Settings'!$C$42/(($F335-1)*COUNTIFS($A$4:$A$1510,$A335,$E$4:$E$1510,"Win")))*SUMIFS($X$4:$X$1510,$A$4:$A$1510,$A335,$E$4:$E$1510,"Loss"),-('Guide &amp; Settings'!$C$42/($F335-1))*$X335)))</f>
        <v>15.768554106627615</v>
      </c>
      <c r="K335" s="124">
        <f>IF($D335="",0,'Guide &amp; Settings'!$C$43*(IF($E335="Win",1,0)-$I335))</f>
        <v>8</v>
      </c>
      <c r="L335" s="125">
        <f>IF($D335="",0,'Guide &amp; Settings'!$C$44*IF($F335&gt;=3,$F335,0))</f>
        <v>0</v>
      </c>
      <c r="M335" s="124">
        <f t="shared" si="103"/>
        <v>23.768554106627615</v>
      </c>
      <c r="N335" s="122">
        <f t="shared" si="104"/>
        <v>1104.3782877366191</v>
      </c>
      <c r="O335" s="121" t="str">
        <f t="shared" si="105"/>
        <v>OK</v>
      </c>
      <c r="P335">
        <f t="shared" si="106"/>
        <v>1080.6097336299915</v>
      </c>
      <c r="Q335">
        <f t="shared" si="107"/>
        <v>0.5</v>
      </c>
      <c r="R335">
        <f t="shared" si="108"/>
        <v>0.33333333333333331</v>
      </c>
      <c r="S335">
        <f t="shared" si="109"/>
        <v>1</v>
      </c>
      <c r="T335" s="89">
        <f t="shared" si="110"/>
        <v>1</v>
      </c>
      <c r="U335" s="126">
        <f>IF($D335="",0,IFERROR(LOOKUP(2,1/(($D$3:D334=$D335)*($C$3:C334=$C335)*($A$3:A334&lt;$A335)),$AB$3:AB334),1000))</f>
        <v>984</v>
      </c>
      <c r="V335" s="126">
        <f t="shared" si="111"/>
        <v>1064.5081113583265</v>
      </c>
      <c r="W335">
        <f t="shared" si="112"/>
        <v>1064.5081113583265</v>
      </c>
      <c r="X335">
        <f t="shared" si="113"/>
        <v>0.5</v>
      </c>
      <c r="Y335">
        <f t="shared" si="114"/>
        <v>984</v>
      </c>
      <c r="Z335">
        <f t="shared" si="115"/>
        <v>0.5</v>
      </c>
      <c r="AA335">
        <f>IF($D335="",0,IF($F335&lt;2,0,IF($E335="Win",('Guide &amp; Settings'!$C$42/(($F335-1)*COUNTIFS($A$4:$A$1510,$A335,$E$4:$E$1510,"Win")))*SUMIFS($Z$4:$Z$1510,$A$4:$A$1510,$A335,$E$4:$E$1510,"Loss"),-('Guide &amp; Settings'!$C$42/($F335-1))*$Z335)))</f>
        <v>17.469501528975478</v>
      </c>
      <c r="AB335" s="126">
        <f t="shared" si="116"/>
        <v>1001.4695015289755</v>
      </c>
      <c r="AC335" s="126">
        <f>IF($D335="","",IF($AD335=0,0,IF(COUNTIFS($D$4:$D335,$D335,$B$4:$B335,$B335)&gt;1,0,IF($B335&lt;'Guide &amp; Settings'!$C$50,0,IF(($B335-$AD335)/7-'Guide &amp; Settings'!$C$48&gt;=0,(INT(($B335-$AD335)/7-'Guide &amp; Settings'!$C$48)+1)*'Guide &amp; Settings'!$C$49,0)))))</f>
        <v>0</v>
      </c>
      <c r="AD335" s="142">
        <f t="shared" si="117"/>
        <v>46213</v>
      </c>
      <c r="AE335">
        <f t="shared" si="118"/>
        <v>1</v>
      </c>
      <c r="AF335">
        <f t="shared" si="119"/>
        <v>0</v>
      </c>
    </row>
    <row r="336" spans="1:32" x14ac:dyDescent="0.2">
      <c r="A336" s="117">
        <v>143</v>
      </c>
      <c r="B336" s="118">
        <v>46214</v>
      </c>
      <c r="C336" s="119" t="s">
        <v>34</v>
      </c>
      <c r="D336" s="119" t="s">
        <v>20</v>
      </c>
      <c r="E336" s="117" t="s">
        <v>371</v>
      </c>
      <c r="F336" s="120">
        <f t="shared" si="100"/>
        <v>2</v>
      </c>
      <c r="G336" s="121" t="str">
        <f t="shared" si="101"/>
        <v>Aaron</v>
      </c>
      <c r="H336" s="122">
        <f>IF($D336="",0,IFERROR(LOOKUP(2,1/(($D$3:D335=$D336)*($A$3:A335&lt;$A336)),$N$3:N335),'Guide &amp; Settings'!$C$41))</f>
        <v>1068.1783724642969</v>
      </c>
      <c r="I336" s="123">
        <f t="shared" si="102"/>
        <v>0.66666666666666663</v>
      </c>
      <c r="J336" s="124">
        <f>IF($D336="",0,IF($F336&lt;2,0,IF($E336="Win",('Guide &amp; Settings'!$C$42/(($F336-1)*COUNTIFS($A$4:$A$1510,$A336,$E$4:$E$1510,"Win")))*SUMIFS($X$4:$X$1510,$A$4:$A$1510,$A336,$E$4:$E$1510,"Loss"),-('Guide &amp; Settings'!$C$42/($F336-1))*$X336)))</f>
        <v>-15.768554106627615</v>
      </c>
      <c r="K336" s="124">
        <f>IF($D336="",0,'Guide &amp; Settings'!$C$43*(IF($E336="Win",1,0)-$I336))</f>
        <v>-8</v>
      </c>
      <c r="L336" s="125">
        <f>IF($D336="",0,'Guide &amp; Settings'!$C$44*IF($F336&gt;=3,$F336,0))</f>
        <v>0</v>
      </c>
      <c r="M336" s="124">
        <f t="shared" si="103"/>
        <v>-23.768554106627615</v>
      </c>
      <c r="N336" s="122">
        <f t="shared" si="104"/>
        <v>1044.4098183576693</v>
      </c>
      <c r="O336" s="121" t="str">
        <f t="shared" si="105"/>
        <v>OK</v>
      </c>
      <c r="P336">
        <f t="shared" si="106"/>
        <v>1080.6097336299915</v>
      </c>
      <c r="Q336">
        <f t="shared" si="107"/>
        <v>0.48211746379933051</v>
      </c>
      <c r="R336">
        <f t="shared" si="108"/>
        <v>0.66666666666666663</v>
      </c>
      <c r="S336">
        <f t="shared" si="109"/>
        <v>1</v>
      </c>
      <c r="T336" s="89">
        <f t="shared" si="110"/>
        <v>1</v>
      </c>
      <c r="U336" s="126">
        <f>IF($D336="",0,IFERROR(LOOKUP(2,1/(($D$3:D335=$D336)*($C$3:C335=$C336)*($A$3:A335&lt;$A336)),$AB$3:AB335),1000))</f>
        <v>1016</v>
      </c>
      <c r="V336" s="126">
        <f t="shared" si="111"/>
        <v>1059.4819770535807</v>
      </c>
      <c r="W336">
        <f t="shared" si="112"/>
        <v>1064.5081113583265</v>
      </c>
      <c r="X336">
        <f t="shared" si="113"/>
        <v>0.49276731583211297</v>
      </c>
      <c r="Y336">
        <f t="shared" si="114"/>
        <v>984</v>
      </c>
      <c r="Z336">
        <f t="shared" si="115"/>
        <v>0.54592192278048368</v>
      </c>
      <c r="AA336">
        <f>IF($D336="",0,IF($F336&lt;2,0,IF($E336="Win",('Guide &amp; Settings'!$C$42/(($F336-1)*COUNTIFS($A$4:$A$1510,$A336,$E$4:$E$1510,"Win")))*SUMIFS($Z$4:$Z$1510,$A$4:$A$1510,$A336,$E$4:$E$1510,"Loss"),-('Guide &amp; Settings'!$C$42/($F336-1))*$Z336)))</f>
        <v>-17.469501528975478</v>
      </c>
      <c r="AB336" s="126">
        <f t="shared" si="116"/>
        <v>998.53049847102454</v>
      </c>
      <c r="AC336" s="126">
        <f>IF($D336="","",IF($AD336=0,0,IF(COUNTIFS($D$4:$D336,$D336,$B$4:$B336,$B336)&gt;1,0,IF($B336&lt;'Guide &amp; Settings'!$C$50,0,IF(($B336-$AD336)/7-'Guide &amp; Settings'!$C$48&gt;=0,(INT(($B336-$AD336)/7-'Guide &amp; Settings'!$C$48)+1)*'Guide &amp; Settings'!$C$49,0)))))</f>
        <v>0</v>
      </c>
      <c r="AD336" s="142">
        <f t="shared" si="117"/>
        <v>46213</v>
      </c>
      <c r="AE336">
        <f t="shared" si="118"/>
        <v>1</v>
      </c>
      <c r="AF336">
        <f t="shared" si="119"/>
        <v>0</v>
      </c>
    </row>
    <row r="337" spans="1:32" x14ac:dyDescent="0.2">
      <c r="A337" s="117">
        <v>144</v>
      </c>
      <c r="B337" s="118">
        <v>46214</v>
      </c>
      <c r="C337" s="119" t="s">
        <v>34</v>
      </c>
      <c r="D337" s="119" t="s">
        <v>27</v>
      </c>
      <c r="E337" s="117" t="s">
        <v>370</v>
      </c>
      <c r="F337" s="120">
        <f t="shared" si="100"/>
        <v>2</v>
      </c>
      <c r="G337" s="121" t="str">
        <f t="shared" si="101"/>
        <v>Dylan A</v>
      </c>
      <c r="H337" s="122">
        <f>IF($D337="",0,IFERROR(LOOKUP(2,1/(($D$3:D336=$D337)*($A$3:A336&lt;$A337)),$N$3:N336),'Guide &amp; Settings'!$C$41))</f>
        <v>1030.3895946906482</v>
      </c>
      <c r="I337" s="123">
        <f t="shared" si="102"/>
        <v>0.5</v>
      </c>
      <c r="J337" s="124">
        <f>IF($D337="",0,IF($F337&lt;2,0,IF($E337="Win",('Guide &amp; Settings'!$C$42/(($F337-1)*COUNTIFS($A$4:$A$1510,$A337,$E$4:$E$1510,"Win")))*SUMIFS($X$4:$X$1510,$A$4:$A$1510,$A337,$E$4:$E$1510,"Loss"),-('Guide &amp; Settings'!$C$42/($F337-1))*$X337)))</f>
        <v>16.036824307135447</v>
      </c>
      <c r="K337" s="124">
        <f>IF($D337="",0,'Guide &amp; Settings'!$C$43*(IF($E337="Win",1,0)-$I337))</f>
        <v>6</v>
      </c>
      <c r="L337" s="125">
        <f>IF($D337="",0,'Guide &amp; Settings'!$C$44*IF($F337&gt;=3,$F337,0))</f>
        <v>0</v>
      </c>
      <c r="M337" s="124">
        <f t="shared" si="103"/>
        <v>22.036824307135447</v>
      </c>
      <c r="N337" s="122">
        <f t="shared" si="104"/>
        <v>1052.4264189977837</v>
      </c>
      <c r="O337" s="121" t="str">
        <f t="shared" si="105"/>
        <v>OK</v>
      </c>
      <c r="P337">
        <f t="shared" si="106"/>
        <v>1030.3895946906482</v>
      </c>
      <c r="Q337">
        <f t="shared" si="107"/>
        <v>0.5</v>
      </c>
      <c r="R337">
        <f t="shared" si="108"/>
        <v>0.5</v>
      </c>
      <c r="S337">
        <f t="shared" si="109"/>
        <v>1</v>
      </c>
      <c r="T337" s="89">
        <f t="shared" si="110"/>
        <v>0</v>
      </c>
      <c r="U337" s="126">
        <f>IF($D337="",0,IFERROR(LOOKUP(2,1/(($D$3:D336=$D337)*($C$3:C336=$C337)*($A$3:A336&lt;$A337)),$AB$3:AB336),1000))</f>
        <v>1000</v>
      </c>
      <c r="V337" s="126">
        <f t="shared" si="111"/>
        <v>1030.3895946906482</v>
      </c>
      <c r="W337">
        <f t="shared" si="112"/>
        <v>1030.3895946906482</v>
      </c>
      <c r="X337">
        <f t="shared" si="113"/>
        <v>0.5</v>
      </c>
      <c r="Y337">
        <f t="shared" si="114"/>
        <v>1000</v>
      </c>
      <c r="Z337">
        <f t="shared" si="115"/>
        <v>0.5</v>
      </c>
      <c r="AA337">
        <f>IF($D337="",0,IF($F337&lt;2,0,IF($E337="Win",('Guide &amp; Settings'!$C$42/(($F337-1)*COUNTIFS($A$4:$A$1510,$A337,$E$4:$E$1510,"Win")))*SUMIFS($Z$4:$Z$1510,$A$4:$A$1510,$A337,$E$4:$E$1510,"Loss"),-('Guide &amp; Settings'!$C$42/($F337-1))*$Z337)))</f>
        <v>16</v>
      </c>
      <c r="AB337" s="126">
        <f t="shared" si="116"/>
        <v>1016</v>
      </c>
      <c r="AC337" s="126">
        <f>IF($D337="","",IF($AD337=0,0,IF(COUNTIFS($D$4:$D337,$D337,$B$4:$B337,$B337)&gt;1,0,IF($B337&lt;'Guide &amp; Settings'!$C$50,0,IF(($B337-$AD337)/7-'Guide &amp; Settings'!$C$48&gt;=0,(INT(($B337-$AD337)/7-'Guide &amp; Settings'!$C$48)+1)*'Guide &amp; Settings'!$C$49,0)))))</f>
        <v>0</v>
      </c>
      <c r="AD337" s="142">
        <f t="shared" si="117"/>
        <v>46188</v>
      </c>
      <c r="AE337">
        <f t="shared" si="118"/>
        <v>1</v>
      </c>
      <c r="AF337">
        <f t="shared" si="119"/>
        <v>0</v>
      </c>
    </row>
    <row r="338" spans="1:32" x14ac:dyDescent="0.2">
      <c r="A338" s="117">
        <v>144</v>
      </c>
      <c r="B338" s="118">
        <v>46214</v>
      </c>
      <c r="C338" s="119" t="s">
        <v>34</v>
      </c>
      <c r="D338" s="119" t="s">
        <v>26</v>
      </c>
      <c r="E338" s="117" t="s">
        <v>371</v>
      </c>
      <c r="F338" s="120">
        <f t="shared" si="100"/>
        <v>2</v>
      </c>
      <c r="G338" s="121" t="str">
        <f t="shared" si="101"/>
        <v>Dylan A</v>
      </c>
      <c r="H338" s="122">
        <f>IF($D338="",0,IFERROR(LOOKUP(2,1/(($D$3:D337=$D338)*($A$3:A337&lt;$A338)),$N$3:N337),'Guide &amp; Settings'!$C$41))</f>
        <v>1031.1892257719715</v>
      </c>
      <c r="I338" s="123">
        <f t="shared" si="102"/>
        <v>0.5</v>
      </c>
      <c r="J338" s="124">
        <f>IF($D338="",0,IF($F338&lt;2,0,IF($E338="Win",('Guide &amp; Settings'!$C$42/(($F338-1)*COUNTIFS($A$4:$A$1510,$A338,$E$4:$E$1510,"Win")))*SUMIFS($X$4:$X$1510,$A$4:$A$1510,$A338,$E$4:$E$1510,"Loss"),-('Guide &amp; Settings'!$C$42/($F338-1))*$X338)))</f>
        <v>-16.036824307135447</v>
      </c>
      <c r="K338" s="124">
        <f>IF($D338="",0,'Guide &amp; Settings'!$C$43*(IF($E338="Win",1,0)-$I338))</f>
        <v>-6</v>
      </c>
      <c r="L338" s="125">
        <f>IF($D338="",0,'Guide &amp; Settings'!$C$44*IF($F338&gt;=3,$F338,0))</f>
        <v>0</v>
      </c>
      <c r="M338" s="124">
        <f t="shared" si="103"/>
        <v>-22.036824307135447</v>
      </c>
      <c r="N338" s="122">
        <f t="shared" si="104"/>
        <v>1009.152401464836</v>
      </c>
      <c r="O338" s="121" t="str">
        <f t="shared" si="105"/>
        <v>OK</v>
      </c>
      <c r="P338">
        <f t="shared" si="106"/>
        <v>1030.3895946906482</v>
      </c>
      <c r="Q338">
        <f t="shared" si="107"/>
        <v>0.50115075959798272</v>
      </c>
      <c r="R338">
        <f t="shared" si="108"/>
        <v>0.5</v>
      </c>
      <c r="S338">
        <f t="shared" si="109"/>
        <v>1</v>
      </c>
      <c r="T338" s="89">
        <f t="shared" si="110"/>
        <v>0</v>
      </c>
      <c r="U338" s="126">
        <f>IF($D338="",0,IFERROR(LOOKUP(2,1/(($D$3:D337=$D338)*($C$3:C337=$C338)*($A$3:A337&lt;$A338)),$AB$3:AB337),1000))</f>
        <v>1000</v>
      </c>
      <c r="V338" s="126">
        <f t="shared" si="111"/>
        <v>1031.1892257719715</v>
      </c>
      <c r="W338">
        <f t="shared" si="112"/>
        <v>1030.3895946906482</v>
      </c>
      <c r="X338">
        <f t="shared" si="113"/>
        <v>0.50115075959798272</v>
      </c>
      <c r="Y338">
        <f t="shared" si="114"/>
        <v>1000</v>
      </c>
      <c r="Z338">
        <f t="shared" si="115"/>
        <v>0.5</v>
      </c>
      <c r="AA338">
        <f>IF($D338="",0,IF($F338&lt;2,0,IF($E338="Win",('Guide &amp; Settings'!$C$42/(($F338-1)*COUNTIFS($A$4:$A$1510,$A338,$E$4:$E$1510,"Win")))*SUMIFS($Z$4:$Z$1510,$A$4:$A$1510,$A338,$E$4:$E$1510,"Loss"),-('Guide &amp; Settings'!$C$42/($F338-1))*$Z338)))</f>
        <v>-16</v>
      </c>
      <c r="AB338" s="126">
        <f t="shared" si="116"/>
        <v>984</v>
      </c>
      <c r="AC338" s="126">
        <f>IF($D338="","",IF($AD338=0,0,IF(COUNTIFS($D$4:$D338,$D338,$B$4:$B338,$B338)&gt;1,0,IF($B338&lt;'Guide &amp; Settings'!$C$50,0,IF(($B338-$AD338)/7-'Guide &amp; Settings'!$C$48&gt;=0,(INT(($B338-$AD338)/7-'Guide &amp; Settings'!$C$48)+1)*'Guide &amp; Settings'!$C$49,0)))))</f>
        <v>0</v>
      </c>
      <c r="AD338" s="142">
        <f t="shared" si="117"/>
        <v>46188</v>
      </c>
      <c r="AE338">
        <f t="shared" si="118"/>
        <v>1</v>
      </c>
      <c r="AF338">
        <f t="shared" si="119"/>
        <v>0</v>
      </c>
    </row>
    <row r="339" spans="1:32" x14ac:dyDescent="0.2">
      <c r="A339" s="117">
        <v>145</v>
      </c>
      <c r="B339" s="118">
        <v>46214</v>
      </c>
      <c r="C339" s="119" t="s">
        <v>9</v>
      </c>
      <c r="D339" s="119" t="s">
        <v>20</v>
      </c>
      <c r="E339" s="117" t="s">
        <v>371</v>
      </c>
      <c r="F339" s="120">
        <f t="shared" si="100"/>
        <v>2</v>
      </c>
      <c r="G339" s="121" t="str">
        <f t="shared" si="101"/>
        <v>Aaron</v>
      </c>
      <c r="H339" s="122">
        <f>IF($D339="",0,IFERROR(LOOKUP(2,1/(($D$3:D338=$D339)*($A$3:A338&lt;$A339)),$N$3:N338),'Guide &amp; Settings'!$C$41))</f>
        <v>1044.4098183576693</v>
      </c>
      <c r="I339" s="123">
        <f t="shared" si="102"/>
        <v>0.3125</v>
      </c>
      <c r="J339" s="124">
        <f>IF($D339="",0,IF($F339&lt;2,0,IF($E339="Win",('Guide &amp; Settings'!$C$42/(($F339-1)*COUNTIFS($A$4:$A$1510,$A339,$E$4:$E$1510,"Win")))*SUMIFS($X$4:$X$1510,$A$4:$A$1510,$A339,$E$4:$E$1510,"Loss"),-('Guide &amp; Settings'!$C$42/($F339-1))*$X339)))</f>
        <v>-12.049589302538285</v>
      </c>
      <c r="K339" s="124">
        <f>IF($D339="",0,'Guide &amp; Settings'!$C$43*(IF($E339="Win",1,0)-$I339))</f>
        <v>-3.75</v>
      </c>
      <c r="L339" s="125">
        <f>IF($D339="",0,'Guide &amp; Settings'!$C$44*IF($F339&gt;=3,$F339,0))</f>
        <v>0</v>
      </c>
      <c r="M339" s="124">
        <f t="shared" si="103"/>
        <v>-15.799589302538285</v>
      </c>
      <c r="N339" s="122">
        <f t="shared" si="104"/>
        <v>1028.610229055131</v>
      </c>
      <c r="O339" s="121" t="str">
        <f t="shared" si="105"/>
        <v>OK</v>
      </c>
      <c r="P339">
        <f t="shared" si="106"/>
        <v>1104.3782877366191</v>
      </c>
      <c r="Q339">
        <f t="shared" si="107"/>
        <v>0.41454537141812642</v>
      </c>
      <c r="R339">
        <f t="shared" si="108"/>
        <v>0.27272727272727271</v>
      </c>
      <c r="S339">
        <f t="shared" si="109"/>
        <v>0.87272727272727268</v>
      </c>
      <c r="T339" s="89">
        <f t="shared" si="110"/>
        <v>9</v>
      </c>
      <c r="U339" s="126">
        <f>IF($D339="",0,IFERROR(LOOKUP(2,1/(($D$3:D338=$D339)*($C$3:C338=$C339)*($A$3:A338&lt;$A339)),$AB$3:AB338),1000))</f>
        <v>948.96790333240949</v>
      </c>
      <c r="V339" s="126">
        <f t="shared" si="111"/>
        <v>983.05430155571651</v>
      </c>
      <c r="W339">
        <f t="shared" si="112"/>
        <v>1070.6461398626948</v>
      </c>
      <c r="X339">
        <f t="shared" si="113"/>
        <v>0.37654966570432141</v>
      </c>
      <c r="Y339">
        <f t="shared" si="114"/>
        <v>1014.4258934061545</v>
      </c>
      <c r="Z339">
        <f t="shared" si="115"/>
        <v>0.40689736548174865</v>
      </c>
      <c r="AA339">
        <f>IF($D339="",0,IF($F339&lt;2,0,IF($E339="Win",('Guide &amp; Settings'!$C$42/(($F339-1)*COUNTIFS($A$4:$A$1510,$A339,$E$4:$E$1510,"Win")))*SUMIFS($Z$4:$Z$1510,$A$4:$A$1510,$A339,$E$4:$E$1510,"Loss"),-('Guide &amp; Settings'!$C$42/($F339-1))*$Z339)))</f>
        <v>-13.020715695415957</v>
      </c>
      <c r="AB339" s="126">
        <f t="shared" si="116"/>
        <v>935.94718763699359</v>
      </c>
      <c r="AC339" s="126">
        <f>IF($D339="","",IF($AD339=0,0,IF(COUNTIFS($D$4:$D339,$D339,$B$4:$B339,$B339)&gt;1,0,IF($B339&lt;'Guide &amp; Settings'!$C$50,0,IF(($B339-$AD339)/7-'Guide &amp; Settings'!$C$48&gt;=0,(INT(($B339-$AD339)/7-'Guide &amp; Settings'!$C$48)+1)*'Guide &amp; Settings'!$C$49,0)))))</f>
        <v>0</v>
      </c>
      <c r="AD339" s="142">
        <f t="shared" si="117"/>
        <v>46213</v>
      </c>
      <c r="AE339">
        <f t="shared" si="118"/>
        <v>1</v>
      </c>
      <c r="AF339">
        <f t="shared" si="119"/>
        <v>0</v>
      </c>
    </row>
    <row r="340" spans="1:32" x14ac:dyDescent="0.2">
      <c r="A340" s="117">
        <v>145</v>
      </c>
      <c r="B340" s="118">
        <v>46214</v>
      </c>
      <c r="C340" s="119" t="s">
        <v>9</v>
      </c>
      <c r="D340" s="119" t="s">
        <v>15</v>
      </c>
      <c r="E340" s="117" t="s">
        <v>370</v>
      </c>
      <c r="F340" s="120">
        <f t="shared" si="100"/>
        <v>2</v>
      </c>
      <c r="G340" s="121" t="str">
        <f t="shared" si="101"/>
        <v>Aaron</v>
      </c>
      <c r="H340" s="122">
        <f>IF($D340="",0,IFERROR(LOOKUP(2,1/(($D$3:D339=$D340)*($A$3:A339&lt;$A340)),$N$3:N339),'Guide &amp; Settings'!$C$41))</f>
        <v>1104.3782877366191</v>
      </c>
      <c r="I340" s="123">
        <f t="shared" si="102"/>
        <v>0.6875</v>
      </c>
      <c r="J340" s="124">
        <f>IF($D340="",0,IF($F340&lt;2,0,IF($E340="Win",('Guide &amp; Settings'!$C$42/(($F340-1)*COUNTIFS($A$4:$A$1510,$A340,$E$4:$E$1510,"Win")))*SUMIFS($X$4:$X$1510,$A$4:$A$1510,$A340,$E$4:$E$1510,"Loss"),-('Guide &amp; Settings'!$C$42/($F340-1))*$X340)))</f>
        <v>12.049589302538285</v>
      </c>
      <c r="K340" s="124">
        <f>IF($D340="",0,'Guide &amp; Settings'!$C$43*(IF($E340="Win",1,0)-$I340))</f>
        <v>3.75</v>
      </c>
      <c r="L340" s="125">
        <f>IF($D340="",0,'Guide &amp; Settings'!$C$44*IF($F340&gt;=3,$F340,0))</f>
        <v>0</v>
      </c>
      <c r="M340" s="124">
        <f t="shared" si="103"/>
        <v>15.799589302538285</v>
      </c>
      <c r="N340" s="122">
        <f t="shared" si="104"/>
        <v>1120.1778770391575</v>
      </c>
      <c r="O340" s="121" t="str">
        <f t="shared" si="105"/>
        <v>OK</v>
      </c>
      <c r="P340">
        <f t="shared" si="106"/>
        <v>1104.3782877366191</v>
      </c>
      <c r="Q340">
        <f t="shared" si="107"/>
        <v>0.5</v>
      </c>
      <c r="R340">
        <f t="shared" si="108"/>
        <v>0.6</v>
      </c>
      <c r="S340">
        <f t="shared" si="109"/>
        <v>0.87272727272727268</v>
      </c>
      <c r="T340" s="89">
        <f t="shared" si="110"/>
        <v>3</v>
      </c>
      <c r="U340" s="126">
        <f>IF($D340="",0,IFERROR(LOOKUP(2,1/(($D$3:D339=$D340)*($C$3:C339=$C340)*($A$3:A339&lt;$A340)),$AB$3:AB339),1000))</f>
        <v>1014.4258934061545</v>
      </c>
      <c r="V340" s="126">
        <f t="shared" si="111"/>
        <v>1070.6461398626948</v>
      </c>
      <c r="W340">
        <f t="shared" si="112"/>
        <v>1070.6461398626948</v>
      </c>
      <c r="X340">
        <f t="shared" si="113"/>
        <v>0.5</v>
      </c>
      <c r="Y340">
        <f t="shared" si="114"/>
        <v>1014.4258934061545</v>
      </c>
      <c r="Z340">
        <f t="shared" si="115"/>
        <v>0.5</v>
      </c>
      <c r="AA340">
        <f>IF($D340="",0,IF($F340&lt;2,0,IF($E340="Win",('Guide &amp; Settings'!$C$42/(($F340-1)*COUNTIFS($A$4:$A$1510,$A340,$E$4:$E$1510,"Win")))*SUMIFS($Z$4:$Z$1510,$A$4:$A$1510,$A340,$E$4:$E$1510,"Loss"),-('Guide &amp; Settings'!$C$42/($F340-1))*$Z340)))</f>
        <v>13.020715695415957</v>
      </c>
      <c r="AB340" s="126">
        <f t="shared" si="116"/>
        <v>1027.4466091015704</v>
      </c>
      <c r="AC340" s="126">
        <f>IF($D340="","",IF($AD340=0,0,IF(COUNTIFS($D$4:$D340,$D340,$B$4:$B340,$B340)&gt;1,0,IF($B340&lt;'Guide &amp; Settings'!$C$50,0,IF(($B340-$AD340)/7-'Guide &amp; Settings'!$C$48&gt;=0,(INT(($B340-$AD340)/7-'Guide &amp; Settings'!$C$48)+1)*'Guide &amp; Settings'!$C$49,0)))))</f>
        <v>0</v>
      </c>
      <c r="AD340" s="142">
        <f t="shared" si="117"/>
        <v>46213</v>
      </c>
      <c r="AE340">
        <f t="shared" si="118"/>
        <v>1</v>
      </c>
      <c r="AF340">
        <f t="shared" si="119"/>
        <v>0</v>
      </c>
    </row>
    <row r="341" spans="1:32" x14ac:dyDescent="0.2">
      <c r="A341" s="117">
        <v>146</v>
      </c>
      <c r="B341" s="118">
        <v>46214</v>
      </c>
      <c r="C341" s="119" t="s">
        <v>9</v>
      </c>
      <c r="D341" s="119" t="s">
        <v>20</v>
      </c>
      <c r="E341" s="117" t="s">
        <v>370</v>
      </c>
      <c r="F341" s="120">
        <f t="shared" si="100"/>
        <v>2</v>
      </c>
      <c r="G341" s="121" t="str">
        <f t="shared" si="101"/>
        <v>Shawn</v>
      </c>
      <c r="H341" s="122">
        <f>IF($D341="",0,IFERROR(LOOKUP(2,1/(($D$3:D340=$D341)*($A$3:A340&lt;$A341)),$N$3:N340),'Guide &amp; Settings'!$C$41))</f>
        <v>1028.610229055131</v>
      </c>
      <c r="I341" s="123">
        <f t="shared" si="102"/>
        <v>0.27272727272727276</v>
      </c>
      <c r="J341" s="124">
        <f>IF($D341="",0,IF($F341&lt;2,0,IF($E341="Win",('Guide &amp; Settings'!$C$42/(($F341-1)*COUNTIFS($A$4:$A$1510,$A341,$E$4:$E$1510,"Win")))*SUMIFS($X$4:$X$1510,$A$4:$A$1510,$A341,$E$4:$E$1510,"Loss"),-('Guide &amp; Settings'!$C$42/($F341-1))*$X341)))</f>
        <v>20.991623938014126</v>
      </c>
      <c r="K341" s="124">
        <f>IF($D341="",0,'Guide &amp; Settings'!$C$43*(IF($E341="Win",1,0)-$I341))</f>
        <v>8.7272727272727266</v>
      </c>
      <c r="L341" s="125">
        <f>IF($D341="",0,'Guide &amp; Settings'!$C$44*IF($F341&gt;=3,$F341,0))</f>
        <v>0</v>
      </c>
      <c r="M341" s="124">
        <f t="shared" si="103"/>
        <v>29.718896665286852</v>
      </c>
      <c r="N341" s="122">
        <f t="shared" si="104"/>
        <v>1058.3291257204178</v>
      </c>
      <c r="O341" s="121" t="str">
        <f t="shared" si="105"/>
        <v>OK</v>
      </c>
      <c r="P341">
        <f t="shared" si="106"/>
        <v>1028.610229055131</v>
      </c>
      <c r="Q341">
        <f t="shared" si="107"/>
        <v>0.5</v>
      </c>
      <c r="R341">
        <f t="shared" si="108"/>
        <v>0.25</v>
      </c>
      <c r="S341">
        <f t="shared" si="109"/>
        <v>0.91666666666666663</v>
      </c>
      <c r="T341" s="89">
        <f t="shared" si="110"/>
        <v>10</v>
      </c>
      <c r="U341" s="126">
        <f>IF($D341="",0,IFERROR(LOOKUP(2,1/(($D$3:D340=$D341)*($C$3:C340=$C341)*($A$3:A340&lt;$A341)),$AB$3:AB340),1000))</f>
        <v>935.94718763699359</v>
      </c>
      <c r="V341" s="126">
        <f t="shared" si="111"/>
        <v>966.83486810970612</v>
      </c>
      <c r="W341">
        <f t="shared" si="112"/>
        <v>966.83486810970612</v>
      </c>
      <c r="X341">
        <f t="shared" si="113"/>
        <v>0.5</v>
      </c>
      <c r="Y341">
        <f t="shared" si="114"/>
        <v>935.94718763699359</v>
      </c>
      <c r="Z341">
        <f t="shared" si="115"/>
        <v>0.5</v>
      </c>
      <c r="AA341">
        <f>IF($D341="",0,IF($F341&lt;2,0,IF($E341="Win",('Guide &amp; Settings'!$C$42/(($F341-1)*COUNTIFS($A$4:$A$1510,$A341,$E$4:$E$1510,"Win")))*SUMIFS($Z$4:$Z$1510,$A$4:$A$1510,$A341,$E$4:$E$1510,"Loss"),-('Guide &amp; Settings'!$C$42/($F341-1))*$Z341)))</f>
        <v>20.118916733741237</v>
      </c>
      <c r="AB341" s="126">
        <f t="shared" si="116"/>
        <v>956.06610437073482</v>
      </c>
      <c r="AC341" s="126">
        <f>IF($D341="","",IF($AD341=0,0,IF(COUNTIFS($D$4:$D341,$D341,$B$4:$B341,$B341)&gt;1,0,IF($B341&lt;'Guide &amp; Settings'!$C$50,0,IF(($B341-$AD341)/7-'Guide &amp; Settings'!$C$48&gt;=0,(INT(($B341-$AD341)/7-'Guide &amp; Settings'!$C$48)+1)*'Guide &amp; Settings'!$C$49,0)))))</f>
        <v>0</v>
      </c>
      <c r="AD341" s="142">
        <f t="shared" si="117"/>
        <v>46213</v>
      </c>
      <c r="AE341">
        <f t="shared" si="118"/>
        <v>1</v>
      </c>
      <c r="AF341">
        <f t="shared" si="119"/>
        <v>0</v>
      </c>
    </row>
    <row r="342" spans="1:32" x14ac:dyDescent="0.2">
      <c r="A342" s="117">
        <v>146</v>
      </c>
      <c r="B342" s="118">
        <v>46214</v>
      </c>
      <c r="C342" s="119" t="s">
        <v>9</v>
      </c>
      <c r="D342" s="119" t="s">
        <v>15</v>
      </c>
      <c r="E342" s="117" t="s">
        <v>371</v>
      </c>
      <c r="F342" s="120">
        <f t="shared" si="100"/>
        <v>2</v>
      </c>
      <c r="G342" s="121" t="str">
        <f t="shared" si="101"/>
        <v>Shawn</v>
      </c>
      <c r="H342" s="122">
        <f>IF($D342="",0,IFERROR(LOOKUP(2,1/(($D$3:D341=$D342)*($A$3:A341&lt;$A342)),$N$3:N341),'Guide &amp; Settings'!$C$41))</f>
        <v>1120.1778770391575</v>
      </c>
      <c r="I342" s="123">
        <f t="shared" si="102"/>
        <v>0.72727272727272729</v>
      </c>
      <c r="J342" s="124">
        <f>IF($D342="",0,IF($F342&lt;2,0,IF($E342="Win",('Guide &amp; Settings'!$C$42/(($F342-1)*COUNTIFS($A$4:$A$1510,$A342,$E$4:$E$1510,"Win")))*SUMIFS($X$4:$X$1510,$A$4:$A$1510,$A342,$E$4:$E$1510,"Loss"),-('Guide &amp; Settings'!$C$42/($F342-1))*$X342)))</f>
        <v>-20.991623938014126</v>
      </c>
      <c r="K342" s="124">
        <f>IF($D342="",0,'Guide &amp; Settings'!$C$43*(IF($E342="Win",1,0)-$I342))</f>
        <v>-8.7272727272727266</v>
      </c>
      <c r="L342" s="125">
        <f>IF($D342="",0,'Guide &amp; Settings'!$C$44*IF($F342&gt;=3,$F342,0))</f>
        <v>0</v>
      </c>
      <c r="M342" s="124">
        <f t="shared" si="103"/>
        <v>-29.718896665286852</v>
      </c>
      <c r="N342" s="122">
        <f t="shared" si="104"/>
        <v>1090.4589803738706</v>
      </c>
      <c r="O342" s="121" t="str">
        <f t="shared" si="105"/>
        <v>OK</v>
      </c>
      <c r="P342">
        <f t="shared" si="106"/>
        <v>1028.610229055131</v>
      </c>
      <c r="Q342">
        <f t="shared" si="107"/>
        <v>0.62880782223528886</v>
      </c>
      <c r="R342">
        <f t="shared" si="108"/>
        <v>0.66666666666666663</v>
      </c>
      <c r="S342">
        <f t="shared" si="109"/>
        <v>0.91666666666666663</v>
      </c>
      <c r="T342" s="89">
        <f t="shared" si="110"/>
        <v>4</v>
      </c>
      <c r="U342" s="126">
        <f>IF($D342="",0,IFERROR(LOOKUP(2,1/(($D$3:D341=$D342)*($C$3:C341=$C342)*($A$3:A341&lt;$A342)),$AB$3:AB341),1000))</f>
        <v>1027.4466091015704</v>
      </c>
      <c r="V342" s="126">
        <f t="shared" si="111"/>
        <v>1078.9639801780077</v>
      </c>
      <c r="W342">
        <f t="shared" si="112"/>
        <v>966.83486810970612</v>
      </c>
      <c r="X342">
        <f t="shared" si="113"/>
        <v>0.65598824806294143</v>
      </c>
      <c r="Y342">
        <f t="shared" si="114"/>
        <v>935.94718763699359</v>
      </c>
      <c r="Z342">
        <f t="shared" si="115"/>
        <v>0.62871614792941366</v>
      </c>
      <c r="AA342">
        <f>IF($D342="",0,IF($F342&lt;2,0,IF($E342="Win",('Guide &amp; Settings'!$C$42/(($F342-1)*COUNTIFS($A$4:$A$1510,$A342,$E$4:$E$1510,"Win")))*SUMIFS($Z$4:$Z$1510,$A$4:$A$1510,$A342,$E$4:$E$1510,"Loss"),-('Guide &amp; Settings'!$C$42/($F342-1))*$Z342)))</f>
        <v>-20.118916733741237</v>
      </c>
      <c r="AB342" s="126">
        <f t="shared" si="116"/>
        <v>1007.3276923678292</v>
      </c>
      <c r="AC342" s="126">
        <f>IF($D342="","",IF($AD342=0,0,IF(COUNTIFS($D$4:$D342,$D342,$B$4:$B342,$B342)&gt;1,0,IF($B342&lt;'Guide &amp; Settings'!$C$50,0,IF(($B342-$AD342)/7-'Guide &amp; Settings'!$C$48&gt;=0,(INT(($B342-$AD342)/7-'Guide &amp; Settings'!$C$48)+1)*'Guide &amp; Settings'!$C$49,0)))))</f>
        <v>0</v>
      </c>
      <c r="AD342" s="142">
        <f t="shared" si="117"/>
        <v>46213</v>
      </c>
      <c r="AE342">
        <f t="shared" si="118"/>
        <v>1</v>
      </c>
      <c r="AF342">
        <f t="shared" si="119"/>
        <v>0</v>
      </c>
    </row>
    <row r="343" spans="1:32" x14ac:dyDescent="0.2">
      <c r="A343" s="117">
        <v>147</v>
      </c>
      <c r="B343" s="118">
        <v>46214</v>
      </c>
      <c r="C343" s="119" t="s">
        <v>9</v>
      </c>
      <c r="D343" s="119" t="s">
        <v>20</v>
      </c>
      <c r="E343" s="117" t="s">
        <v>370</v>
      </c>
      <c r="F343" s="120">
        <f t="shared" si="100"/>
        <v>2</v>
      </c>
      <c r="G343" s="121" t="str">
        <f t="shared" si="101"/>
        <v>Shawn</v>
      </c>
      <c r="H343" s="122">
        <f>IF($D343="",0,IFERROR(LOOKUP(2,1/(($D$3:D342=$D343)*($A$3:A342&lt;$A343)),$N$3:N342),'Guide &amp; Settings'!$C$41))</f>
        <v>1058.3291257204178</v>
      </c>
      <c r="I343" s="123">
        <f t="shared" si="102"/>
        <v>0.35000000000000003</v>
      </c>
      <c r="J343" s="124">
        <f>IF($D343="",0,IF($F343&lt;2,0,IF($E343="Win",('Guide &amp; Settings'!$C$42/(($F343-1)*COUNTIFS($A$4:$A$1510,$A343,$E$4:$E$1510,"Win")))*SUMIFS($X$4:$X$1510,$A$4:$A$1510,$A343,$E$4:$E$1510,"Loss"),-('Guide &amp; Settings'!$C$42/($F343-1))*$X343)))</f>
        <v>18.774836156082625</v>
      </c>
      <c r="K343" s="124">
        <f>IF($D343="",0,'Guide &amp; Settings'!$C$43*(IF($E343="Win",1,0)-$I343))</f>
        <v>7.7999999999999989</v>
      </c>
      <c r="L343" s="125">
        <f>IF($D343="",0,'Guide &amp; Settings'!$C$44*IF($F343&gt;=3,$F343,0))</f>
        <v>0</v>
      </c>
      <c r="M343" s="124">
        <f t="shared" si="103"/>
        <v>26.574836156082625</v>
      </c>
      <c r="N343" s="122">
        <f t="shared" si="104"/>
        <v>1084.9039618765005</v>
      </c>
      <c r="O343" s="121" t="str">
        <f t="shared" si="105"/>
        <v>OK</v>
      </c>
      <c r="P343">
        <f t="shared" si="106"/>
        <v>1058.3291257204178</v>
      </c>
      <c r="Q343">
        <f t="shared" si="107"/>
        <v>0.5</v>
      </c>
      <c r="R343">
        <f t="shared" si="108"/>
        <v>0.30769230769230771</v>
      </c>
      <c r="S343">
        <f t="shared" si="109"/>
        <v>0.87912087912087911</v>
      </c>
      <c r="T343" s="89">
        <f t="shared" si="110"/>
        <v>11</v>
      </c>
      <c r="U343" s="126">
        <f>IF($D343="",0,IFERROR(LOOKUP(2,1/(($D$3:D342=$D343)*($C$3:C342=$C343)*($A$3:A342&lt;$A343)),$AB$3:AB342),1000))</f>
        <v>956.06610437073482</v>
      </c>
      <c r="V343" s="126">
        <f t="shared" si="111"/>
        <v>988.02329854251082</v>
      </c>
      <c r="W343">
        <f t="shared" si="112"/>
        <v>988.02329854251082</v>
      </c>
      <c r="X343">
        <f t="shared" si="113"/>
        <v>0.5</v>
      </c>
      <c r="Y343">
        <f t="shared" si="114"/>
        <v>956.06610437073482</v>
      </c>
      <c r="Z343">
        <f t="shared" si="115"/>
        <v>0.5</v>
      </c>
      <c r="AA343">
        <f>IF($D343="",0,IF($F343&lt;2,0,IF($E343="Win",('Guide &amp; Settings'!$C$42/(($F343-1)*COUNTIFS($A$4:$A$1510,$A343,$E$4:$E$1510,"Win")))*SUMIFS($Z$4:$Z$1510,$A$4:$A$1510,$A343,$E$4:$E$1510,"Loss"),-('Guide &amp; Settings'!$C$42/($F343-1))*$Z343)))</f>
        <v>18.343701434380272</v>
      </c>
      <c r="AB343" s="126">
        <f t="shared" si="116"/>
        <v>974.40980580511507</v>
      </c>
      <c r="AC343" s="126">
        <f>IF($D343="","",IF($AD343=0,0,IF(COUNTIFS($D$4:$D343,$D343,$B$4:$B343,$B343)&gt;1,0,IF($B343&lt;'Guide &amp; Settings'!$C$50,0,IF(($B343-$AD343)/7-'Guide &amp; Settings'!$C$48&gt;=0,(INT(($B343-$AD343)/7-'Guide &amp; Settings'!$C$48)+1)*'Guide &amp; Settings'!$C$49,0)))))</f>
        <v>0</v>
      </c>
      <c r="AD343" s="142">
        <f t="shared" si="117"/>
        <v>46213</v>
      </c>
      <c r="AE343">
        <f t="shared" si="118"/>
        <v>1</v>
      </c>
      <c r="AF343">
        <f t="shared" si="119"/>
        <v>0</v>
      </c>
    </row>
    <row r="344" spans="1:32" x14ac:dyDescent="0.2">
      <c r="A344" s="117">
        <v>147</v>
      </c>
      <c r="B344" s="118">
        <v>46214</v>
      </c>
      <c r="C344" s="119" t="s">
        <v>9</v>
      </c>
      <c r="D344" s="119" t="s">
        <v>15</v>
      </c>
      <c r="E344" s="117" t="s">
        <v>371</v>
      </c>
      <c r="F344" s="120">
        <f t="shared" si="100"/>
        <v>2</v>
      </c>
      <c r="G344" s="121" t="str">
        <f t="shared" si="101"/>
        <v>Shawn</v>
      </c>
      <c r="H344" s="122">
        <f>IF($D344="",0,IFERROR(LOOKUP(2,1/(($D$3:D343=$D344)*($A$3:A343&lt;$A344)),$N$3:N343),'Guide &amp; Settings'!$C$41))</f>
        <v>1090.4589803738706</v>
      </c>
      <c r="I344" s="123">
        <f t="shared" si="102"/>
        <v>0.65</v>
      </c>
      <c r="J344" s="124">
        <f>IF($D344="",0,IF($F344&lt;2,0,IF($E344="Win",('Guide &amp; Settings'!$C$42/(($F344-1)*COUNTIFS($A$4:$A$1510,$A344,$E$4:$E$1510,"Win")))*SUMIFS($X$4:$X$1510,$A$4:$A$1510,$A344,$E$4:$E$1510,"Loss"),-('Guide &amp; Settings'!$C$42/($F344-1))*$X344)))</f>
        <v>-18.774836156082625</v>
      </c>
      <c r="K344" s="124">
        <f>IF($D344="",0,'Guide &amp; Settings'!$C$43*(IF($E344="Win",1,0)-$I344))</f>
        <v>-7.8000000000000007</v>
      </c>
      <c r="L344" s="125">
        <f>IF($D344="",0,'Guide &amp; Settings'!$C$44*IF($F344&gt;=3,$F344,0))</f>
        <v>0</v>
      </c>
      <c r="M344" s="124">
        <f t="shared" si="103"/>
        <v>-26.574836156082625</v>
      </c>
      <c r="N344" s="122">
        <f t="shared" si="104"/>
        <v>1063.8841442177879</v>
      </c>
      <c r="O344" s="121" t="str">
        <f t="shared" si="105"/>
        <v>OK</v>
      </c>
      <c r="P344">
        <f t="shared" si="106"/>
        <v>1058.3291257204178</v>
      </c>
      <c r="Q344">
        <f t="shared" si="107"/>
        <v>0.54610721592713507</v>
      </c>
      <c r="R344">
        <f t="shared" si="108"/>
        <v>0.5714285714285714</v>
      </c>
      <c r="S344">
        <f t="shared" si="109"/>
        <v>0.87912087912087911</v>
      </c>
      <c r="T344" s="89">
        <f t="shared" si="110"/>
        <v>5</v>
      </c>
      <c r="U344" s="126">
        <f>IF($D344="",0,IFERROR(LOOKUP(2,1/(($D$3:D343=$D344)*($C$3:C343=$C344)*($A$3:A343&lt;$A344)),$AB$3:AB343),1000))</f>
        <v>1007.3276923678292</v>
      </c>
      <c r="V344" s="126">
        <f t="shared" si="111"/>
        <v>1048.89333637085</v>
      </c>
      <c r="W344">
        <f t="shared" si="112"/>
        <v>988.02329854251082</v>
      </c>
      <c r="X344">
        <f t="shared" si="113"/>
        <v>0.58671362987758202</v>
      </c>
      <c r="Y344">
        <f t="shared" si="114"/>
        <v>956.06610437073482</v>
      </c>
      <c r="Z344">
        <f t="shared" si="115"/>
        <v>0.57324066982438349</v>
      </c>
      <c r="AA344">
        <f>IF($D344="",0,IF($F344&lt;2,0,IF($E344="Win",('Guide &amp; Settings'!$C$42/(($F344-1)*COUNTIFS($A$4:$A$1510,$A344,$E$4:$E$1510,"Win")))*SUMIFS($Z$4:$Z$1510,$A$4:$A$1510,$A344,$E$4:$E$1510,"Loss"),-('Guide &amp; Settings'!$C$42/($F344-1))*$Z344)))</f>
        <v>-18.343701434380272</v>
      </c>
      <c r="AB344" s="126">
        <f t="shared" si="116"/>
        <v>988.98399093344892</v>
      </c>
      <c r="AC344" s="126">
        <f>IF($D344="","",IF($AD344=0,0,IF(COUNTIFS($D$4:$D344,$D344,$B$4:$B344,$B344)&gt;1,0,IF($B344&lt;'Guide &amp; Settings'!$C$50,0,IF(($B344-$AD344)/7-'Guide &amp; Settings'!$C$48&gt;=0,(INT(($B344-$AD344)/7-'Guide &amp; Settings'!$C$48)+1)*'Guide &amp; Settings'!$C$49,0)))))</f>
        <v>0</v>
      </c>
      <c r="AD344" s="142">
        <f t="shared" si="117"/>
        <v>46213</v>
      </c>
      <c r="AE344">
        <f t="shared" si="118"/>
        <v>1</v>
      </c>
      <c r="AF344">
        <f t="shared" si="119"/>
        <v>0</v>
      </c>
    </row>
    <row r="345" spans="1:32" x14ac:dyDescent="0.2">
      <c r="A345" s="117">
        <v>148</v>
      </c>
      <c r="B345" s="118">
        <v>46214</v>
      </c>
      <c r="C345" s="119" t="s">
        <v>9</v>
      </c>
      <c r="D345" s="119" t="s">
        <v>20</v>
      </c>
      <c r="E345" s="117" t="s">
        <v>370</v>
      </c>
      <c r="F345" s="120">
        <f t="shared" si="100"/>
        <v>2</v>
      </c>
      <c r="G345" s="121" t="str">
        <f t="shared" si="101"/>
        <v>Shawn</v>
      </c>
      <c r="H345" s="122">
        <f>IF($D345="",0,IFERROR(LOOKUP(2,1/(($D$3:D344=$D345)*($A$3:A344&lt;$A345)),$N$3:N344),'Guide &amp; Settings'!$C$41))</f>
        <v>1084.9039618765005</v>
      </c>
      <c r="I345" s="123">
        <f t="shared" si="102"/>
        <v>0.41666666666666663</v>
      </c>
      <c r="J345" s="124">
        <f>IF($D345="",0,IF($F345&lt;2,0,IF($E345="Win",('Guide &amp; Settings'!$C$42/(($F345-1)*COUNTIFS($A$4:$A$1510,$A345,$E$4:$E$1510,"Win")))*SUMIFS($X$4:$X$1510,$A$4:$A$1510,$A345,$E$4:$E$1510,"Loss"),-('Guide &amp; Settings'!$C$42/($F345-1))*$X345)))</f>
        <v>16.741886834074226</v>
      </c>
      <c r="K345" s="124">
        <f>IF($D345="",0,'Guide &amp; Settings'!$C$43*(IF($E345="Win",1,0)-$I345))</f>
        <v>7</v>
      </c>
      <c r="L345" s="125">
        <f>IF($D345="",0,'Guide &amp; Settings'!$C$44*IF($F345&gt;=3,$F345,0))</f>
        <v>0</v>
      </c>
      <c r="M345" s="124">
        <f t="shared" si="103"/>
        <v>23.741886834074226</v>
      </c>
      <c r="N345" s="122">
        <f t="shared" si="104"/>
        <v>1108.6458487105747</v>
      </c>
      <c r="O345" s="121" t="str">
        <f t="shared" si="105"/>
        <v>OK</v>
      </c>
      <c r="P345">
        <f t="shared" si="106"/>
        <v>1084.9039618765005</v>
      </c>
      <c r="Q345">
        <f t="shared" si="107"/>
        <v>0.5</v>
      </c>
      <c r="R345">
        <f t="shared" si="108"/>
        <v>0.35714285714285715</v>
      </c>
      <c r="S345">
        <f t="shared" si="109"/>
        <v>0.85714285714285721</v>
      </c>
      <c r="T345" s="89">
        <f t="shared" si="110"/>
        <v>12</v>
      </c>
      <c r="U345" s="126">
        <f>IF($D345="",0,IFERROR(LOOKUP(2,1/(($D$3:D344=$D345)*($C$3:C344=$C345)*($A$3:A344&lt;$A345)),$AB$3:AB344),1000))</f>
        <v>974.40980580511507</v>
      </c>
      <c r="V345" s="126">
        <f t="shared" si="111"/>
        <v>1006.9080870025814</v>
      </c>
      <c r="W345">
        <f t="shared" si="112"/>
        <v>1006.9080870025814</v>
      </c>
      <c r="X345">
        <f t="shared" si="113"/>
        <v>0.5</v>
      </c>
      <c r="Y345">
        <f t="shared" si="114"/>
        <v>974.40980580511507</v>
      </c>
      <c r="Z345">
        <f t="shared" si="115"/>
        <v>0.5</v>
      </c>
      <c r="AA345">
        <f>IF($D345="",0,IF($F345&lt;2,0,IF($E345="Win",('Guide &amp; Settings'!$C$42/(($F345-1)*COUNTIFS($A$4:$A$1510,$A345,$E$4:$E$1510,"Win")))*SUMIFS($Z$4:$Z$1510,$A$4:$A$1510,$A345,$E$4:$E$1510,"Loss"),-('Guide &amp; Settings'!$C$42/($F345-1))*$Z345)))</f>
        <v>16.670772638566724</v>
      </c>
      <c r="AB345" s="126">
        <f t="shared" si="116"/>
        <v>991.08057844368182</v>
      </c>
      <c r="AC345" s="126">
        <f>IF($D345="","",IF($AD345=0,0,IF(COUNTIFS($D$4:$D345,$D345,$B$4:$B345,$B345)&gt;1,0,IF($B345&lt;'Guide &amp; Settings'!$C$50,0,IF(($B345-$AD345)/7-'Guide &amp; Settings'!$C$48&gt;=0,(INT(($B345-$AD345)/7-'Guide &amp; Settings'!$C$48)+1)*'Guide &amp; Settings'!$C$49,0)))))</f>
        <v>0</v>
      </c>
      <c r="AD345" s="142">
        <f t="shared" si="117"/>
        <v>46213</v>
      </c>
      <c r="AE345">
        <f t="shared" si="118"/>
        <v>1</v>
      </c>
      <c r="AF345">
        <f t="shared" si="119"/>
        <v>0</v>
      </c>
    </row>
    <row r="346" spans="1:32" x14ac:dyDescent="0.2">
      <c r="A346" s="117">
        <v>148</v>
      </c>
      <c r="B346" s="118">
        <v>46214</v>
      </c>
      <c r="C346" s="119" t="s">
        <v>9</v>
      </c>
      <c r="D346" s="119" t="s">
        <v>15</v>
      </c>
      <c r="E346" s="117" t="s">
        <v>371</v>
      </c>
      <c r="F346" s="120">
        <f t="shared" si="100"/>
        <v>2</v>
      </c>
      <c r="G346" s="121" t="str">
        <f t="shared" si="101"/>
        <v>Shawn</v>
      </c>
      <c r="H346" s="122">
        <f>IF($D346="",0,IFERROR(LOOKUP(2,1/(($D$3:D345=$D346)*($A$3:A345&lt;$A346)),$N$3:N345),'Guide &amp; Settings'!$C$41))</f>
        <v>1063.8841442177879</v>
      </c>
      <c r="I346" s="123">
        <f t="shared" si="102"/>
        <v>0.58333333333333326</v>
      </c>
      <c r="J346" s="124">
        <f>IF($D346="",0,IF($F346&lt;2,0,IF($E346="Win",('Guide &amp; Settings'!$C$42/(($F346-1)*COUNTIFS($A$4:$A$1510,$A346,$E$4:$E$1510,"Win")))*SUMIFS($X$4:$X$1510,$A$4:$A$1510,$A346,$E$4:$E$1510,"Loss"),-('Guide &amp; Settings'!$C$42/($F346-1))*$X346)))</f>
        <v>-16.741886834074226</v>
      </c>
      <c r="K346" s="124">
        <f>IF($D346="",0,'Guide &amp; Settings'!$C$43*(IF($E346="Win",1,0)-$I346))</f>
        <v>-6.9999999999999991</v>
      </c>
      <c r="L346" s="125">
        <f>IF($D346="",0,'Guide &amp; Settings'!$C$44*IF($F346&gt;=3,$F346,0))</f>
        <v>0</v>
      </c>
      <c r="M346" s="124">
        <f t="shared" si="103"/>
        <v>-23.741886834074226</v>
      </c>
      <c r="N346" s="122">
        <f t="shared" si="104"/>
        <v>1040.1422573837137</v>
      </c>
      <c r="O346" s="121" t="str">
        <f t="shared" si="105"/>
        <v>OK</v>
      </c>
      <c r="P346">
        <f t="shared" si="106"/>
        <v>1084.9039618765005</v>
      </c>
      <c r="Q346">
        <f t="shared" si="107"/>
        <v>0.46978690413015844</v>
      </c>
      <c r="R346">
        <f t="shared" si="108"/>
        <v>0.5</v>
      </c>
      <c r="S346">
        <f t="shared" si="109"/>
        <v>0.85714285714285721</v>
      </c>
      <c r="T346" s="89">
        <f t="shared" si="110"/>
        <v>6</v>
      </c>
      <c r="U346" s="126">
        <f>IF($D346="",0,IFERROR(LOOKUP(2,1/(($D$3:D345=$D346)*($C$3:C345=$C346)*($A$3:A345&lt;$A346)),$AB$3:AB345),1000))</f>
        <v>988.98399093344892</v>
      </c>
      <c r="V346" s="126">
        <f t="shared" si="111"/>
        <v>1023.0295151536029</v>
      </c>
      <c r="W346">
        <f t="shared" si="112"/>
        <v>1006.9080870025814</v>
      </c>
      <c r="X346">
        <f t="shared" si="113"/>
        <v>0.52318396356481955</v>
      </c>
      <c r="Y346">
        <f t="shared" si="114"/>
        <v>974.40980580511507</v>
      </c>
      <c r="Z346">
        <f t="shared" si="115"/>
        <v>0.52096164495521013</v>
      </c>
      <c r="AA346">
        <f>IF($D346="",0,IF($F346&lt;2,0,IF($E346="Win",('Guide &amp; Settings'!$C$42/(($F346-1)*COUNTIFS($A$4:$A$1510,$A346,$E$4:$E$1510,"Win")))*SUMIFS($Z$4:$Z$1510,$A$4:$A$1510,$A346,$E$4:$E$1510,"Loss"),-('Guide &amp; Settings'!$C$42/($F346-1))*$Z346)))</f>
        <v>-16.670772638566724</v>
      </c>
      <c r="AB346" s="126">
        <f t="shared" si="116"/>
        <v>972.31321829488218</v>
      </c>
      <c r="AC346" s="126">
        <f>IF($D346="","",IF($AD346=0,0,IF(COUNTIFS($D$4:$D346,$D346,$B$4:$B346,$B346)&gt;1,0,IF($B346&lt;'Guide &amp; Settings'!$C$50,0,IF(($B346-$AD346)/7-'Guide &amp; Settings'!$C$48&gt;=0,(INT(($B346-$AD346)/7-'Guide &amp; Settings'!$C$48)+1)*'Guide &amp; Settings'!$C$49,0)))))</f>
        <v>0</v>
      </c>
      <c r="AD346" s="142">
        <f t="shared" si="117"/>
        <v>46213</v>
      </c>
      <c r="AE346">
        <f t="shared" si="118"/>
        <v>1</v>
      </c>
      <c r="AF346">
        <f t="shared" si="119"/>
        <v>0</v>
      </c>
    </row>
    <row r="347" spans="1:32" x14ac:dyDescent="0.2">
      <c r="A347" s="117">
        <v>149</v>
      </c>
      <c r="B347" s="118">
        <v>46215</v>
      </c>
      <c r="C347" s="119" t="s">
        <v>52</v>
      </c>
      <c r="D347" s="119" t="s">
        <v>23</v>
      </c>
      <c r="E347" s="117" t="s">
        <v>370</v>
      </c>
      <c r="F347" s="120">
        <f t="shared" si="100"/>
        <v>2</v>
      </c>
      <c r="G347" s="121" t="str">
        <f t="shared" si="101"/>
        <v>Dean B</v>
      </c>
      <c r="H347" s="122">
        <f>IF($D347="",0,IFERROR(LOOKUP(2,1/(($D$3:D346=$D347)*($A$3:A346&lt;$A347)),$N$3:N346),'Guide &amp; Settings'!$C$41))</f>
        <v>1168.3002777514087</v>
      </c>
      <c r="I347" s="123">
        <f t="shared" si="102"/>
        <v>0.5</v>
      </c>
      <c r="J347" s="124">
        <f>IF($D347="",0,IF($F347&lt;2,0,IF($E347="Win",('Guide &amp; Settings'!$C$42/(($F347-1)*COUNTIFS($A$4:$A$1510,$A347,$E$4:$E$1510,"Win")))*SUMIFS($X$4:$X$1510,$A$4:$A$1510,$A347,$E$4:$E$1510,"Loss"),-('Guide &amp; Settings'!$C$42/($F347-1))*$X347)))</f>
        <v>11.093744991582909</v>
      </c>
      <c r="K347" s="124">
        <f>IF($D347="",0,'Guide &amp; Settings'!$C$43*(IF($E347="Win",1,0)-$I347))</f>
        <v>6</v>
      </c>
      <c r="L347" s="125">
        <f>IF($D347="",0,'Guide &amp; Settings'!$C$44*IF($F347&gt;=3,$F347,0))</f>
        <v>0</v>
      </c>
      <c r="M347" s="124">
        <f t="shared" si="103"/>
        <v>17.093744991582909</v>
      </c>
      <c r="N347" s="122">
        <f t="shared" si="104"/>
        <v>1185.3940227429916</v>
      </c>
      <c r="O347" s="121" t="str">
        <f t="shared" si="105"/>
        <v>OK</v>
      </c>
      <c r="P347">
        <f t="shared" si="106"/>
        <v>1168.3002777514087</v>
      </c>
      <c r="Q347">
        <f t="shared" si="107"/>
        <v>0.5</v>
      </c>
      <c r="R347">
        <f t="shared" si="108"/>
        <v>0.5</v>
      </c>
      <c r="S347">
        <f t="shared" si="109"/>
        <v>1</v>
      </c>
      <c r="T347" s="89">
        <f t="shared" si="110"/>
        <v>0</v>
      </c>
      <c r="U347" s="126">
        <f>IF($D347="",0,IFERROR(LOOKUP(2,1/(($D$3:D346=$D347)*($C$3:C346=$C347)*($A$3:A346&lt;$A347)),$AB$3:AB346),1000))</f>
        <v>1000</v>
      </c>
      <c r="V347" s="126">
        <f t="shared" si="111"/>
        <v>1168.3002777514087</v>
      </c>
      <c r="W347">
        <f t="shared" si="112"/>
        <v>1168.3002777514087</v>
      </c>
      <c r="X347">
        <f t="shared" si="113"/>
        <v>0.5</v>
      </c>
      <c r="Y347">
        <f t="shared" si="114"/>
        <v>1000</v>
      </c>
      <c r="Z347">
        <f t="shared" si="115"/>
        <v>0.5</v>
      </c>
      <c r="AA347">
        <f>IF($D347="",0,IF($F347&lt;2,0,IF($E347="Win",('Guide &amp; Settings'!$C$42/(($F347-1)*COUNTIFS($A$4:$A$1510,$A347,$E$4:$E$1510,"Win")))*SUMIFS($Z$4:$Z$1510,$A$4:$A$1510,$A347,$E$4:$E$1510,"Loss"),-('Guide &amp; Settings'!$C$42/($F347-1))*$Z347)))</f>
        <v>16</v>
      </c>
      <c r="AB347" s="126">
        <f t="shared" si="116"/>
        <v>1016</v>
      </c>
      <c r="AC347" s="126">
        <f>IF($D347="","",IF($AD347=0,0,IF(COUNTIFS($D$4:$D347,$D347,$B$4:$B347,$B347)&gt;1,0,IF($B347&lt;'Guide &amp; Settings'!$C$50,0,IF(($B347-$AD347)/7-'Guide &amp; Settings'!$C$48&gt;=0,(INT(($B347-$AD347)/7-'Guide &amp; Settings'!$C$48)+1)*'Guide &amp; Settings'!$C$49,0)))))</f>
        <v>0</v>
      </c>
      <c r="AD347" s="142">
        <f t="shared" si="117"/>
        <v>46189</v>
      </c>
      <c r="AE347">
        <f t="shared" si="118"/>
        <v>1</v>
      </c>
      <c r="AF347">
        <f t="shared" si="119"/>
        <v>0</v>
      </c>
    </row>
    <row r="348" spans="1:32" x14ac:dyDescent="0.2">
      <c r="A348" s="117">
        <v>149</v>
      </c>
      <c r="B348" s="118">
        <v>46215</v>
      </c>
      <c r="C348" s="119" t="s">
        <v>52</v>
      </c>
      <c r="D348" s="119" t="s">
        <v>22</v>
      </c>
      <c r="E348" s="117" t="s">
        <v>371</v>
      </c>
      <c r="F348" s="120">
        <f t="shared" si="100"/>
        <v>2</v>
      </c>
      <c r="G348" s="121" t="str">
        <f t="shared" si="101"/>
        <v>Dean B</v>
      </c>
      <c r="H348" s="122">
        <f>IF($D348="",0,IFERROR(LOOKUP(2,1/(($D$3:D347=$D348)*($A$3:A347&lt;$A348)),$N$3:N347),'Guide &amp; Settings'!$C$41))</f>
        <v>1058.2210518223603</v>
      </c>
      <c r="I348" s="123">
        <f t="shared" si="102"/>
        <v>0.5</v>
      </c>
      <c r="J348" s="124">
        <f>IF($D348="",0,IF($F348&lt;2,0,IF($E348="Win",('Guide &amp; Settings'!$C$42/(($F348-1)*COUNTIFS($A$4:$A$1510,$A348,$E$4:$E$1510,"Win")))*SUMIFS($X$4:$X$1510,$A$4:$A$1510,$A348,$E$4:$E$1510,"Loss"),-('Guide &amp; Settings'!$C$42/($F348-1))*$X348)))</f>
        <v>-11.093744991582909</v>
      </c>
      <c r="K348" s="124">
        <f>IF($D348="",0,'Guide &amp; Settings'!$C$43*(IF($E348="Win",1,0)-$I348))</f>
        <v>-6</v>
      </c>
      <c r="L348" s="125">
        <f>IF($D348="",0,'Guide &amp; Settings'!$C$44*IF($F348&gt;=3,$F348,0))</f>
        <v>0</v>
      </c>
      <c r="M348" s="124">
        <f t="shared" si="103"/>
        <v>-17.093744991582909</v>
      </c>
      <c r="N348" s="122">
        <f t="shared" si="104"/>
        <v>1041.1273068307773</v>
      </c>
      <c r="O348" s="121" t="str">
        <f t="shared" si="105"/>
        <v>OK</v>
      </c>
      <c r="P348">
        <f t="shared" si="106"/>
        <v>1168.3002777514087</v>
      </c>
      <c r="Q348">
        <f t="shared" si="107"/>
        <v>0.34667953098696591</v>
      </c>
      <c r="R348">
        <f t="shared" si="108"/>
        <v>0.5</v>
      </c>
      <c r="S348">
        <f t="shared" si="109"/>
        <v>1</v>
      </c>
      <c r="T348" s="89">
        <f t="shared" si="110"/>
        <v>0</v>
      </c>
      <c r="U348" s="126">
        <f>IF($D348="",0,IFERROR(LOOKUP(2,1/(($D$3:D347=$D348)*($C$3:C347=$C348)*($A$3:A347&lt;$A348)),$AB$3:AB347),1000))</f>
        <v>1000</v>
      </c>
      <c r="V348" s="126">
        <f t="shared" si="111"/>
        <v>1058.2210518223603</v>
      </c>
      <c r="W348">
        <f t="shared" si="112"/>
        <v>1168.3002777514087</v>
      </c>
      <c r="X348">
        <f t="shared" si="113"/>
        <v>0.34667953098696591</v>
      </c>
      <c r="Y348">
        <f t="shared" si="114"/>
        <v>1000</v>
      </c>
      <c r="Z348">
        <f t="shared" si="115"/>
        <v>0.5</v>
      </c>
      <c r="AA348">
        <f>IF($D348="",0,IF($F348&lt;2,0,IF($E348="Win",('Guide &amp; Settings'!$C$42/(($F348-1)*COUNTIFS($A$4:$A$1510,$A348,$E$4:$E$1510,"Win")))*SUMIFS($Z$4:$Z$1510,$A$4:$A$1510,$A348,$E$4:$E$1510,"Loss"),-('Guide &amp; Settings'!$C$42/($F348-1))*$Z348)))</f>
        <v>-16</v>
      </c>
      <c r="AB348" s="126">
        <f t="shared" si="116"/>
        <v>984</v>
      </c>
      <c r="AC348" s="126">
        <f>IF($D348="","",IF($AD348=0,0,IF(COUNTIFS($D$4:$D348,$D348,$B$4:$B348,$B348)&gt;1,0,IF($B348&lt;'Guide &amp; Settings'!$C$50,0,IF(($B348-$AD348)/7-'Guide &amp; Settings'!$C$48&gt;=0,(INT(($B348-$AD348)/7-'Guide &amp; Settings'!$C$48)+1)*'Guide &amp; Settings'!$C$49,0)))))</f>
        <v>0</v>
      </c>
      <c r="AD348" s="142">
        <f t="shared" si="117"/>
        <v>46208</v>
      </c>
      <c r="AE348">
        <f t="shared" si="118"/>
        <v>1</v>
      </c>
      <c r="AF348">
        <f t="shared" si="119"/>
        <v>0</v>
      </c>
    </row>
    <row r="349" spans="1:32" x14ac:dyDescent="0.2">
      <c r="A349" s="117">
        <v>150</v>
      </c>
      <c r="B349" s="118">
        <v>46215</v>
      </c>
      <c r="C349" s="119" t="s">
        <v>52</v>
      </c>
      <c r="D349" s="119" t="s">
        <v>23</v>
      </c>
      <c r="E349" s="117" t="s">
        <v>370</v>
      </c>
      <c r="F349" s="120">
        <f t="shared" si="100"/>
        <v>2</v>
      </c>
      <c r="G349" s="121" t="str">
        <f t="shared" si="101"/>
        <v>Dean B</v>
      </c>
      <c r="H349" s="122">
        <f>IF($D349="",0,IFERROR(LOOKUP(2,1/(($D$3:D348=$D349)*($A$3:A348&lt;$A349)),$N$3:N348),'Guide &amp; Settings'!$C$41))</f>
        <v>1185.3940227429916</v>
      </c>
      <c r="I349" s="123">
        <f t="shared" si="102"/>
        <v>0.66666666666666663</v>
      </c>
      <c r="J349" s="124">
        <f>IF($D349="",0,IF($F349&lt;2,0,IF($E349="Win",('Guide &amp; Settings'!$C$42/(($F349-1)*COUNTIFS($A$4:$A$1510,$A349,$E$4:$E$1510,"Win")))*SUMIFS($X$4:$X$1510,$A$4:$A$1510,$A349,$E$4:$E$1510,"Loss"),-('Guide &amp; Settings'!$C$42/($F349-1))*$X349)))</f>
        <v>10.45716342746128</v>
      </c>
      <c r="K349" s="124">
        <f>IF($D349="",0,'Guide &amp; Settings'!$C$43*(IF($E349="Win",1,0)-$I349))</f>
        <v>4</v>
      </c>
      <c r="L349" s="125">
        <f>IF($D349="",0,'Guide &amp; Settings'!$C$44*IF($F349&gt;=3,$F349,0))</f>
        <v>0</v>
      </c>
      <c r="M349" s="124">
        <f t="shared" si="103"/>
        <v>14.45716342746128</v>
      </c>
      <c r="N349" s="122">
        <f t="shared" si="104"/>
        <v>1199.8511861704528</v>
      </c>
      <c r="O349" s="121" t="str">
        <f t="shared" si="105"/>
        <v>OK</v>
      </c>
      <c r="P349">
        <f t="shared" si="106"/>
        <v>1185.3940227429916</v>
      </c>
      <c r="Q349">
        <f t="shared" si="107"/>
        <v>0.5</v>
      </c>
      <c r="R349">
        <f t="shared" si="108"/>
        <v>0.66666666666666663</v>
      </c>
      <c r="S349">
        <f t="shared" si="109"/>
        <v>1</v>
      </c>
      <c r="T349" s="89">
        <f t="shared" si="110"/>
        <v>1</v>
      </c>
      <c r="U349" s="126">
        <f>IF($D349="",0,IFERROR(LOOKUP(2,1/(($D$3:D348=$D349)*($C$3:C348=$C349)*($A$3:A348&lt;$A349)),$AB$3:AB348),1000))</f>
        <v>1016</v>
      </c>
      <c r="V349" s="126">
        <f t="shared" si="111"/>
        <v>1157.1616856191597</v>
      </c>
      <c r="W349">
        <f t="shared" si="112"/>
        <v>1157.1616856191597</v>
      </c>
      <c r="X349">
        <f t="shared" si="113"/>
        <v>0.5</v>
      </c>
      <c r="Y349">
        <f t="shared" si="114"/>
        <v>1016</v>
      </c>
      <c r="Z349">
        <f t="shared" si="115"/>
        <v>0.5</v>
      </c>
      <c r="AA349">
        <f>IF($D349="",0,IF($F349&lt;2,0,IF($E349="Win",('Guide &amp; Settings'!$C$42/(($F349-1)*COUNTIFS($A$4:$A$1510,$A349,$E$4:$E$1510,"Win")))*SUMIFS($Z$4:$Z$1510,$A$4:$A$1510,$A349,$E$4:$E$1510,"Loss"),-('Guide &amp; Settings'!$C$42/($F349-1))*$Z349)))</f>
        <v>14.530498471024522</v>
      </c>
      <c r="AB349" s="126">
        <f t="shared" si="116"/>
        <v>1030.5304984710244</v>
      </c>
      <c r="AC349" s="126">
        <f>IF($D349="","",IF($AD349=0,0,IF(COUNTIFS($D$4:$D349,$D349,$B$4:$B349,$B349)&gt;1,0,IF($B349&lt;'Guide &amp; Settings'!$C$50,0,IF(($B349-$AD349)/7-'Guide &amp; Settings'!$C$48&gt;=0,(INT(($B349-$AD349)/7-'Guide &amp; Settings'!$C$48)+1)*'Guide &amp; Settings'!$C$49,0)))))</f>
        <v>0</v>
      </c>
      <c r="AD349" s="142">
        <f t="shared" si="117"/>
        <v>46189</v>
      </c>
      <c r="AE349">
        <f t="shared" si="118"/>
        <v>1</v>
      </c>
      <c r="AF349">
        <f t="shared" si="119"/>
        <v>0</v>
      </c>
    </row>
    <row r="350" spans="1:32" x14ac:dyDescent="0.2">
      <c r="A350" s="117">
        <v>150</v>
      </c>
      <c r="B350" s="118">
        <v>46215</v>
      </c>
      <c r="C350" s="119" t="s">
        <v>52</v>
      </c>
      <c r="D350" s="119" t="s">
        <v>22</v>
      </c>
      <c r="E350" s="117" t="s">
        <v>371</v>
      </c>
      <c r="F350" s="120">
        <f t="shared" si="100"/>
        <v>2</v>
      </c>
      <c r="G350" s="121" t="str">
        <f t="shared" si="101"/>
        <v>Dean B</v>
      </c>
      <c r="H350" s="122">
        <f>IF($D350="",0,IFERROR(LOOKUP(2,1/(($D$3:D349=$D350)*($A$3:A349&lt;$A350)),$N$3:N349),'Guide &amp; Settings'!$C$41))</f>
        <v>1041.1273068307773</v>
      </c>
      <c r="I350" s="123">
        <f t="shared" si="102"/>
        <v>0.33333333333333331</v>
      </c>
      <c r="J350" s="124">
        <f>IF($D350="",0,IF($F350&lt;2,0,IF($E350="Win",('Guide &amp; Settings'!$C$42/(($F350-1)*COUNTIFS($A$4:$A$1510,$A350,$E$4:$E$1510,"Win")))*SUMIFS($X$4:$X$1510,$A$4:$A$1510,$A350,$E$4:$E$1510,"Loss"),-('Guide &amp; Settings'!$C$42/($F350-1))*$X350)))</f>
        <v>-10.45716342746128</v>
      </c>
      <c r="K350" s="124">
        <f>IF($D350="",0,'Guide &amp; Settings'!$C$43*(IF($E350="Win",1,0)-$I350))</f>
        <v>-4</v>
      </c>
      <c r="L350" s="125">
        <f>IF($D350="",0,'Guide &amp; Settings'!$C$44*IF($F350&gt;=3,$F350,0))</f>
        <v>0</v>
      </c>
      <c r="M350" s="124">
        <f t="shared" si="103"/>
        <v>-14.45716342746128</v>
      </c>
      <c r="N350" s="122">
        <f t="shared" si="104"/>
        <v>1026.6701434033162</v>
      </c>
      <c r="O350" s="121" t="str">
        <f t="shared" si="105"/>
        <v>OK</v>
      </c>
      <c r="P350">
        <f t="shared" si="106"/>
        <v>1185.3940227429916</v>
      </c>
      <c r="Q350">
        <f t="shared" si="107"/>
        <v>0.30354655150629406</v>
      </c>
      <c r="R350">
        <f t="shared" si="108"/>
        <v>0.33333333333333331</v>
      </c>
      <c r="S350">
        <f t="shared" si="109"/>
        <v>1</v>
      </c>
      <c r="T350" s="89">
        <f t="shared" si="110"/>
        <v>1</v>
      </c>
      <c r="U350" s="126">
        <f>IF($D350="",0,IFERROR(LOOKUP(2,1/(($D$3:D349=$D350)*($C$3:C349=$C350)*($A$3:A349&lt;$A350)),$AB$3:AB349),1000))</f>
        <v>984</v>
      </c>
      <c r="V350" s="126">
        <f t="shared" si="111"/>
        <v>1031.6060890256479</v>
      </c>
      <c r="W350">
        <f t="shared" si="112"/>
        <v>1157.1616856191597</v>
      </c>
      <c r="X350">
        <f t="shared" si="113"/>
        <v>0.326786357108165</v>
      </c>
      <c r="Y350">
        <f t="shared" si="114"/>
        <v>1016</v>
      </c>
      <c r="Z350">
        <f t="shared" si="115"/>
        <v>0.45407807721951632</v>
      </c>
      <c r="AA350">
        <f>IF($D350="",0,IF($F350&lt;2,0,IF($E350="Win",('Guide &amp; Settings'!$C$42/(($F350-1)*COUNTIFS($A$4:$A$1510,$A350,$E$4:$E$1510,"Win")))*SUMIFS($Z$4:$Z$1510,$A$4:$A$1510,$A350,$E$4:$E$1510,"Loss"),-('Guide &amp; Settings'!$C$42/($F350-1))*$Z350)))</f>
        <v>-14.530498471024522</v>
      </c>
      <c r="AB350" s="126">
        <f t="shared" si="116"/>
        <v>969.46950152897546</v>
      </c>
      <c r="AC350" s="126">
        <f>IF($D350="","",IF($AD350=0,0,IF(COUNTIFS($D$4:$D350,$D350,$B$4:$B350,$B350)&gt;1,0,IF($B350&lt;'Guide &amp; Settings'!$C$50,0,IF(($B350-$AD350)/7-'Guide &amp; Settings'!$C$48&gt;=0,(INT(($B350-$AD350)/7-'Guide &amp; Settings'!$C$48)+1)*'Guide &amp; Settings'!$C$49,0)))))</f>
        <v>0</v>
      </c>
      <c r="AD350" s="142">
        <f t="shared" si="117"/>
        <v>46208</v>
      </c>
      <c r="AE350">
        <f t="shared" si="118"/>
        <v>1</v>
      </c>
      <c r="AF350">
        <f t="shared" si="119"/>
        <v>0</v>
      </c>
    </row>
    <row r="351" spans="1:32" x14ac:dyDescent="0.2">
      <c r="A351" s="117">
        <v>151</v>
      </c>
      <c r="B351" s="118">
        <v>46215</v>
      </c>
      <c r="C351" s="119" t="s">
        <v>52</v>
      </c>
      <c r="D351" s="119" t="s">
        <v>23</v>
      </c>
      <c r="E351" s="117" t="s">
        <v>370</v>
      </c>
      <c r="F351" s="120">
        <f t="shared" si="100"/>
        <v>2</v>
      </c>
      <c r="G351" s="121" t="str">
        <f t="shared" si="101"/>
        <v>Dean B</v>
      </c>
      <c r="H351" s="122">
        <f>IF($D351="",0,IFERROR(LOOKUP(2,1/(($D$3:D350=$D351)*($A$3:A350&lt;$A351)),$N$3:N350),'Guide &amp; Settings'!$C$41))</f>
        <v>1199.8511861704528</v>
      </c>
      <c r="I351" s="123">
        <f t="shared" si="102"/>
        <v>0.6</v>
      </c>
      <c r="J351" s="124">
        <f>IF($D351="",0,IF($F351&lt;2,0,IF($E351="Win",('Guide &amp; Settings'!$C$42/(($F351-1)*COUNTIFS($A$4:$A$1510,$A351,$E$4:$E$1510,"Win")))*SUMIFS($X$4:$X$1510,$A$4:$A$1510,$A351,$E$4:$E$1510,"Loss"),-('Guide &amp; Settings'!$C$42/($F351-1))*$X351)))</f>
        <v>14.33272806694888</v>
      </c>
      <c r="K351" s="124">
        <f>IF($D351="",0,'Guide &amp; Settings'!$C$43*(IF($E351="Win",1,0)-$I351))</f>
        <v>4.8000000000000007</v>
      </c>
      <c r="L351" s="125">
        <f>IF($D351="",0,'Guide &amp; Settings'!$C$44*IF($F351&gt;=3,$F351,0))</f>
        <v>0</v>
      </c>
      <c r="M351" s="124">
        <f t="shared" si="103"/>
        <v>19.132728066948879</v>
      </c>
      <c r="N351" s="122">
        <f t="shared" si="104"/>
        <v>1218.9839142374017</v>
      </c>
      <c r="O351" s="121" t="str">
        <f t="shared" si="105"/>
        <v>OK</v>
      </c>
      <c r="P351">
        <f t="shared" si="106"/>
        <v>1199.8511861704528</v>
      </c>
      <c r="Q351">
        <f t="shared" si="107"/>
        <v>0.5</v>
      </c>
      <c r="R351">
        <f t="shared" si="108"/>
        <v>0.75</v>
      </c>
      <c r="S351">
        <f t="shared" si="109"/>
        <v>1.25</v>
      </c>
      <c r="T351" s="89">
        <f t="shared" si="110"/>
        <v>2</v>
      </c>
      <c r="U351" s="126">
        <f>IF($D351="",0,IFERROR(LOOKUP(2,1/(($D$3:D350=$D351)*($C$3:C350=$C351)*($A$3:A350&lt;$A351)),$AB$3:AB350),1000))</f>
        <v>1030.5304984710244</v>
      </c>
      <c r="V351" s="126">
        <f t="shared" si="111"/>
        <v>1151.473846827759</v>
      </c>
      <c r="W351">
        <f t="shared" si="112"/>
        <v>1151.473846827759</v>
      </c>
      <c r="X351">
        <f t="shared" si="113"/>
        <v>0.5</v>
      </c>
      <c r="Y351">
        <f t="shared" si="114"/>
        <v>1030.5304984710244</v>
      </c>
      <c r="Z351">
        <f t="shared" si="115"/>
        <v>0.5</v>
      </c>
      <c r="AA351">
        <f>IF($D351="",0,IF($F351&lt;2,0,IF($E351="Win",('Guide &amp; Settings'!$C$42/(($F351-1)*COUNTIFS($A$4:$A$1510,$A351,$E$4:$E$1510,"Win")))*SUMIFS($Z$4:$Z$1510,$A$4:$A$1510,$A351,$E$4:$E$1510,"Loss"),-('Guide &amp; Settings'!$C$42/($F351-1))*$Z351)))</f>
        <v>14.597626351593979</v>
      </c>
      <c r="AB351" s="126">
        <f t="shared" si="116"/>
        <v>1045.1281248226185</v>
      </c>
      <c r="AC351" s="126">
        <f>IF($D351="","",IF($AD351=0,0,IF(COUNTIFS($D$4:$D351,$D351,$B$4:$B351,$B351)&gt;1,0,IF($B351&lt;'Guide &amp; Settings'!$C$50,0,IF(($B351-$AD351)/7-'Guide &amp; Settings'!$C$48&gt;=0,(INT(($B351-$AD351)/7-'Guide &amp; Settings'!$C$48)+1)*'Guide &amp; Settings'!$C$49,0)))))</f>
        <v>0</v>
      </c>
      <c r="AD351" s="142">
        <f t="shared" si="117"/>
        <v>46189</v>
      </c>
      <c r="AE351">
        <f t="shared" si="118"/>
        <v>1</v>
      </c>
      <c r="AF351">
        <f t="shared" si="119"/>
        <v>0</v>
      </c>
    </row>
    <row r="352" spans="1:32" x14ac:dyDescent="0.2">
      <c r="A352" s="117">
        <v>151</v>
      </c>
      <c r="B352" s="118">
        <v>46215</v>
      </c>
      <c r="C352" s="119" t="s">
        <v>52</v>
      </c>
      <c r="D352" s="119" t="s">
        <v>19</v>
      </c>
      <c r="E352" s="117" t="s">
        <v>371</v>
      </c>
      <c r="F352" s="120">
        <f t="shared" si="100"/>
        <v>2</v>
      </c>
      <c r="G352" s="121" t="str">
        <f t="shared" si="101"/>
        <v>Dean B</v>
      </c>
      <c r="H352" s="122">
        <f>IF($D352="",0,IFERROR(LOOKUP(2,1/(($D$3:D351=$D352)*($A$3:A351&lt;$A352)),$N$3:N351),'Guide &amp; Settings'!$C$41))</f>
        <v>1115.1375937966061</v>
      </c>
      <c r="I352" s="123">
        <f t="shared" si="102"/>
        <v>0.4</v>
      </c>
      <c r="J352" s="124">
        <f>IF($D352="",0,IF($F352&lt;2,0,IF($E352="Win",('Guide &amp; Settings'!$C$42/(($F352-1)*COUNTIFS($A$4:$A$1510,$A352,$E$4:$E$1510,"Win")))*SUMIFS($X$4:$X$1510,$A$4:$A$1510,$A352,$E$4:$E$1510,"Loss"),-('Guide &amp; Settings'!$C$42/($F352-1))*$X352)))</f>
        <v>-14.33272806694888</v>
      </c>
      <c r="K352" s="124">
        <f>IF($D352="",0,'Guide &amp; Settings'!$C$43*(IF($E352="Win",1,0)-$I352))</f>
        <v>-4.8000000000000007</v>
      </c>
      <c r="L352" s="125">
        <f>IF($D352="",0,'Guide &amp; Settings'!$C$44*IF($F352&gt;=3,$F352,0))</f>
        <v>0</v>
      </c>
      <c r="M352" s="124">
        <f t="shared" si="103"/>
        <v>-19.132728066948879</v>
      </c>
      <c r="N352" s="122">
        <f t="shared" si="104"/>
        <v>1096.0048657296572</v>
      </c>
      <c r="O352" s="121" t="str">
        <f t="shared" si="105"/>
        <v>OK</v>
      </c>
      <c r="P352">
        <f t="shared" si="106"/>
        <v>1199.8511861704528</v>
      </c>
      <c r="Q352">
        <f t="shared" si="107"/>
        <v>0.38044717339732004</v>
      </c>
      <c r="R352">
        <f t="shared" si="108"/>
        <v>0.5</v>
      </c>
      <c r="S352">
        <f t="shared" si="109"/>
        <v>1.25</v>
      </c>
      <c r="T352" s="89">
        <f t="shared" si="110"/>
        <v>0</v>
      </c>
      <c r="U352" s="126">
        <f>IF($D352="",0,IFERROR(LOOKUP(2,1/(($D$3:D351=$D352)*($C$3:C351=$C352)*($A$3:A351&lt;$A352)),$AB$3:AB351),1000))</f>
        <v>1000</v>
      </c>
      <c r="V352" s="126">
        <f t="shared" si="111"/>
        <v>1115.1375937966061</v>
      </c>
      <c r="W352">
        <f t="shared" si="112"/>
        <v>1151.473846827759</v>
      </c>
      <c r="X352">
        <f t="shared" si="113"/>
        <v>0.44789775209215249</v>
      </c>
      <c r="Y352">
        <f t="shared" si="114"/>
        <v>1030.5304984710244</v>
      </c>
      <c r="Z352">
        <f t="shared" si="115"/>
        <v>0.45617582348731184</v>
      </c>
      <c r="AA352">
        <f>IF($D352="",0,IF($F352&lt;2,0,IF($E352="Win",('Guide &amp; Settings'!$C$42/(($F352-1)*COUNTIFS($A$4:$A$1510,$A352,$E$4:$E$1510,"Win")))*SUMIFS($Z$4:$Z$1510,$A$4:$A$1510,$A352,$E$4:$E$1510,"Loss"),-('Guide &amp; Settings'!$C$42/($F352-1))*$Z352)))</f>
        <v>-14.597626351593979</v>
      </c>
      <c r="AB352" s="126">
        <f t="shared" si="116"/>
        <v>985.40237364840607</v>
      </c>
      <c r="AC352" s="126">
        <f>IF($D352="","",IF($AD352=0,0,IF(COUNTIFS($D$4:$D352,$D352,$B$4:$B352,$B352)&gt;1,0,IF($B352&lt;'Guide &amp; Settings'!$C$50,0,IF(($B352-$AD352)/7-'Guide &amp; Settings'!$C$48&gt;=0,(INT(($B352-$AD352)/7-'Guide &amp; Settings'!$C$48)+1)*'Guide &amp; Settings'!$C$49,0)))))</f>
        <v>0</v>
      </c>
      <c r="AD352" s="142">
        <f t="shared" si="117"/>
        <v>46199</v>
      </c>
      <c r="AE352">
        <f t="shared" si="118"/>
        <v>1</v>
      </c>
      <c r="AF352">
        <f t="shared" si="119"/>
        <v>0</v>
      </c>
    </row>
    <row r="353" spans="1:32" x14ac:dyDescent="0.2">
      <c r="A353" s="117">
        <v>152</v>
      </c>
      <c r="B353" s="118">
        <v>46215</v>
      </c>
      <c r="C353" s="119" t="s">
        <v>52</v>
      </c>
      <c r="D353" s="119" t="s">
        <v>23</v>
      </c>
      <c r="E353" s="117" t="s">
        <v>370</v>
      </c>
      <c r="F353" s="120">
        <f t="shared" si="100"/>
        <v>2</v>
      </c>
      <c r="G353" s="121" t="str">
        <f t="shared" si="101"/>
        <v>Dean B</v>
      </c>
      <c r="H353" s="122">
        <f>IF($D353="",0,IFERROR(LOOKUP(2,1/(($D$3:D352=$D353)*($A$3:A352&lt;$A353)),$N$3:N352),'Guide &amp; Settings'!$C$41))</f>
        <v>1218.9839142374017</v>
      </c>
      <c r="I353" s="123">
        <f t="shared" si="102"/>
        <v>0.70588235294117652</v>
      </c>
      <c r="J353" s="124">
        <f>IF($D353="",0,IF($F353&lt;2,0,IF($E353="Win",('Guide &amp; Settings'!$C$42/(($F353-1)*COUNTIFS($A$4:$A$1510,$A353,$E$4:$E$1510,"Win")))*SUMIFS($X$4:$X$1510,$A$4:$A$1510,$A353,$E$4:$E$1510,"Loss"),-('Guide &amp; Settings'!$C$42/($F353-1))*$X353)))</f>
        <v>12.545322770423793</v>
      </c>
      <c r="K353" s="124">
        <f>IF($D353="",0,'Guide &amp; Settings'!$C$43*(IF($E353="Win",1,0)-$I353))</f>
        <v>3.5294117647058818</v>
      </c>
      <c r="L353" s="125">
        <f>IF($D353="",0,'Guide &amp; Settings'!$C$44*IF($F353&gt;=3,$F353,0))</f>
        <v>0</v>
      </c>
      <c r="M353" s="124">
        <f t="shared" si="103"/>
        <v>16.074734535129675</v>
      </c>
      <c r="N353" s="122">
        <f t="shared" si="104"/>
        <v>1235.0586487725313</v>
      </c>
      <c r="O353" s="121" t="str">
        <f t="shared" si="105"/>
        <v>OK</v>
      </c>
      <c r="P353">
        <f t="shared" si="106"/>
        <v>1218.9839142374017</v>
      </c>
      <c r="Q353">
        <f t="shared" si="107"/>
        <v>0.5</v>
      </c>
      <c r="R353">
        <f t="shared" si="108"/>
        <v>0.8</v>
      </c>
      <c r="S353">
        <f t="shared" si="109"/>
        <v>1.1333333333333333</v>
      </c>
      <c r="T353" s="89">
        <f t="shared" si="110"/>
        <v>3</v>
      </c>
      <c r="U353" s="126">
        <f>IF($D353="",0,IFERROR(LOOKUP(2,1/(($D$3:D352=$D353)*($C$3:C352=$C353)*($A$3:A352&lt;$A353)),$AB$3:AB352),1000))</f>
        <v>1045.1281248226185</v>
      </c>
      <c r="V353" s="126">
        <f t="shared" si="111"/>
        <v>1153.7879932068581</v>
      </c>
      <c r="W353">
        <f t="shared" si="112"/>
        <v>1153.7879932068581</v>
      </c>
      <c r="X353">
        <f t="shared" si="113"/>
        <v>0.5</v>
      </c>
      <c r="Y353">
        <f t="shared" si="114"/>
        <v>1045.1281248226185</v>
      </c>
      <c r="Z353">
        <f t="shared" si="115"/>
        <v>0.5</v>
      </c>
      <c r="AA353">
        <f>IF($D353="",0,IF($F353&lt;2,0,IF($E353="Win",('Guide &amp; Settings'!$C$42/(($F353-1)*COUNTIFS($A$4:$A$1510,$A353,$E$4:$E$1510,"Win")))*SUMIFS($Z$4:$Z$1510,$A$4:$A$1510,$A353,$E$4:$E$1510,"Loss"),-('Guide &amp; Settings'!$C$42/($F353-1))*$Z353)))</f>
        <v>13.276304268747595</v>
      </c>
      <c r="AB353" s="126">
        <f t="shared" si="116"/>
        <v>1058.4044290913662</v>
      </c>
      <c r="AC353" s="126">
        <f>IF($D353="","",IF($AD353=0,0,IF(COUNTIFS($D$4:$D353,$D353,$B$4:$B353,$B353)&gt;1,0,IF($B353&lt;'Guide &amp; Settings'!$C$50,0,IF(($B353-$AD353)/7-'Guide &amp; Settings'!$C$48&gt;=0,(INT(($B353-$AD353)/7-'Guide &amp; Settings'!$C$48)+1)*'Guide &amp; Settings'!$C$49,0)))))</f>
        <v>0</v>
      </c>
      <c r="AD353" s="142">
        <f t="shared" si="117"/>
        <v>46189</v>
      </c>
      <c r="AE353">
        <f t="shared" si="118"/>
        <v>1</v>
      </c>
      <c r="AF353">
        <f t="shared" si="119"/>
        <v>0</v>
      </c>
    </row>
    <row r="354" spans="1:32" x14ac:dyDescent="0.2">
      <c r="A354" s="117">
        <v>152</v>
      </c>
      <c r="B354" s="118">
        <v>46215</v>
      </c>
      <c r="C354" s="119" t="s">
        <v>52</v>
      </c>
      <c r="D354" s="119" t="s">
        <v>19</v>
      </c>
      <c r="E354" s="117" t="s">
        <v>371</v>
      </c>
      <c r="F354" s="120">
        <f t="shared" si="100"/>
        <v>2</v>
      </c>
      <c r="G354" s="121" t="str">
        <f t="shared" si="101"/>
        <v>Dean B</v>
      </c>
      <c r="H354" s="122">
        <f>IF($D354="",0,IFERROR(LOOKUP(2,1/(($D$3:D353=$D354)*($A$3:A353&lt;$A354)),$N$3:N353),'Guide &amp; Settings'!$C$41))</f>
        <v>1096.0048657296572</v>
      </c>
      <c r="I354" s="123">
        <f t="shared" si="102"/>
        <v>0.29411764705882354</v>
      </c>
      <c r="J354" s="124">
        <f>IF($D354="",0,IF($F354&lt;2,0,IF($E354="Win",('Guide &amp; Settings'!$C$42/(($F354-1)*COUNTIFS($A$4:$A$1510,$A354,$E$4:$E$1510,"Win")))*SUMIFS($X$4:$X$1510,$A$4:$A$1510,$A354,$E$4:$E$1510,"Loss"),-('Guide &amp; Settings'!$C$42/($F354-1))*$X354)))</f>
        <v>-12.545322770423793</v>
      </c>
      <c r="K354" s="124">
        <f>IF($D354="",0,'Guide &amp; Settings'!$C$43*(IF($E354="Win",1,0)-$I354))</f>
        <v>-3.5294117647058822</v>
      </c>
      <c r="L354" s="125">
        <f>IF($D354="",0,'Guide &amp; Settings'!$C$44*IF($F354&gt;=3,$F354,0))</f>
        <v>0</v>
      </c>
      <c r="M354" s="124">
        <f t="shared" si="103"/>
        <v>-16.074734535129675</v>
      </c>
      <c r="N354" s="122">
        <f t="shared" si="104"/>
        <v>1079.9301311945276</v>
      </c>
      <c r="O354" s="121" t="str">
        <f t="shared" si="105"/>
        <v>OK</v>
      </c>
      <c r="P354">
        <f t="shared" si="106"/>
        <v>1218.9839142374017</v>
      </c>
      <c r="Q354">
        <f t="shared" si="107"/>
        <v>0.33005765400735798</v>
      </c>
      <c r="R354">
        <f t="shared" si="108"/>
        <v>0.33333333333333331</v>
      </c>
      <c r="S354">
        <f t="shared" si="109"/>
        <v>1.1333333333333333</v>
      </c>
      <c r="T354" s="89">
        <f t="shared" si="110"/>
        <v>1</v>
      </c>
      <c r="U354" s="126">
        <f>IF($D354="",0,IFERROR(LOOKUP(2,1/(($D$3:D353=$D354)*($C$3:C353=$C354)*($A$3:A353&lt;$A354)),$AB$3:AB353),1000))</f>
        <v>985.40237364840607</v>
      </c>
      <c r="V354" s="126">
        <f t="shared" si="111"/>
        <v>1077.5711170494487</v>
      </c>
      <c r="W354">
        <f t="shared" si="112"/>
        <v>1153.7879932068581</v>
      </c>
      <c r="X354">
        <f t="shared" si="113"/>
        <v>0.39204133657574353</v>
      </c>
      <c r="Y354">
        <f t="shared" si="114"/>
        <v>1045.1281248226185</v>
      </c>
      <c r="Z354">
        <f t="shared" si="115"/>
        <v>0.41488450839836233</v>
      </c>
      <c r="AA354">
        <f>IF($D354="",0,IF($F354&lt;2,0,IF($E354="Win",('Guide &amp; Settings'!$C$42/(($F354-1)*COUNTIFS($A$4:$A$1510,$A354,$E$4:$E$1510,"Win")))*SUMIFS($Z$4:$Z$1510,$A$4:$A$1510,$A354,$E$4:$E$1510,"Loss"),-('Guide &amp; Settings'!$C$42/($F354-1))*$Z354)))</f>
        <v>-13.276304268747595</v>
      </c>
      <c r="AB354" s="126">
        <f t="shared" si="116"/>
        <v>972.12606937965847</v>
      </c>
      <c r="AC354" s="126">
        <f>IF($D354="","",IF($AD354=0,0,IF(COUNTIFS($D$4:$D354,$D354,$B$4:$B354,$B354)&gt;1,0,IF($B354&lt;'Guide &amp; Settings'!$C$50,0,IF(($B354-$AD354)/7-'Guide &amp; Settings'!$C$48&gt;=0,(INT(($B354-$AD354)/7-'Guide &amp; Settings'!$C$48)+1)*'Guide &amp; Settings'!$C$49,0)))))</f>
        <v>0</v>
      </c>
      <c r="AD354" s="142">
        <f t="shared" si="117"/>
        <v>46199</v>
      </c>
      <c r="AE354">
        <f t="shared" si="118"/>
        <v>1</v>
      </c>
      <c r="AF354">
        <f t="shared" si="119"/>
        <v>0</v>
      </c>
    </row>
    <row r="355" spans="1:32" x14ac:dyDescent="0.2">
      <c r="A355" s="117">
        <v>153</v>
      </c>
      <c r="B355" s="118">
        <v>46215</v>
      </c>
      <c r="C355" s="119" t="s">
        <v>53</v>
      </c>
      <c r="D355" s="119" t="s">
        <v>19</v>
      </c>
      <c r="E355" s="117" t="s">
        <v>370</v>
      </c>
      <c r="F355" s="120">
        <f t="shared" si="100"/>
        <v>2</v>
      </c>
      <c r="G355" s="121" t="str">
        <f t="shared" si="101"/>
        <v>Josh</v>
      </c>
      <c r="H355" s="122">
        <f>IF($D355="",0,IFERROR(LOOKUP(2,1/(($D$3:D354=$D355)*($A$3:A354&lt;$A355)),$N$3:N354),'Guide &amp; Settings'!$C$41))</f>
        <v>1079.9301311945276</v>
      </c>
      <c r="I355" s="123">
        <f t="shared" si="102"/>
        <v>0.5</v>
      </c>
      <c r="J355" s="124">
        <f>IF($D355="",0,IF($F355&lt;2,0,IF($E355="Win",('Guide &amp; Settings'!$C$42/(($F355-1)*COUNTIFS($A$4:$A$1510,$A355,$E$4:$E$1510,"Win")))*SUMIFS($X$4:$X$1510,$A$4:$A$1510,$A355,$E$4:$E$1510,"Loss"),-('Guide &amp; Settings'!$C$42/($F355-1))*$X355)))</f>
        <v>13.566320318161942</v>
      </c>
      <c r="K355" s="124">
        <f>IF($D355="",0,'Guide &amp; Settings'!$C$43*(IF($E355="Win",1,0)-$I355))</f>
        <v>6</v>
      </c>
      <c r="L355" s="125">
        <f>IF($D355="",0,'Guide &amp; Settings'!$C$44*IF($F355&gt;=3,$F355,0))</f>
        <v>0</v>
      </c>
      <c r="M355" s="124">
        <f t="shared" si="103"/>
        <v>19.566320318161942</v>
      </c>
      <c r="N355" s="122">
        <f t="shared" si="104"/>
        <v>1099.4964515126894</v>
      </c>
      <c r="O355" s="121" t="str">
        <f t="shared" si="105"/>
        <v>OK</v>
      </c>
      <c r="P355">
        <f t="shared" si="106"/>
        <v>1079.9301311945276</v>
      </c>
      <c r="Q355">
        <f t="shared" si="107"/>
        <v>0.5</v>
      </c>
      <c r="R355">
        <f t="shared" si="108"/>
        <v>0.5</v>
      </c>
      <c r="S355">
        <f t="shared" si="109"/>
        <v>1</v>
      </c>
      <c r="T355" s="89">
        <f t="shared" si="110"/>
        <v>0</v>
      </c>
      <c r="U355" s="126">
        <f>IF($D355="",0,IFERROR(LOOKUP(2,1/(($D$3:D354=$D355)*($C$3:C354=$C355)*($A$3:A354&lt;$A355)),$AB$3:AB354),1000))</f>
        <v>1000</v>
      </c>
      <c r="V355" s="126">
        <f t="shared" si="111"/>
        <v>1079.9301311945276</v>
      </c>
      <c r="W355">
        <f t="shared" si="112"/>
        <v>1079.9301311945276</v>
      </c>
      <c r="X355">
        <f t="shared" si="113"/>
        <v>0.5</v>
      </c>
      <c r="Y355">
        <f t="shared" si="114"/>
        <v>1000</v>
      </c>
      <c r="Z355">
        <f t="shared" si="115"/>
        <v>0.5</v>
      </c>
      <c r="AA355">
        <f>IF($D355="",0,IF($F355&lt;2,0,IF($E355="Win",('Guide &amp; Settings'!$C$42/(($F355-1)*COUNTIFS($A$4:$A$1510,$A355,$E$4:$E$1510,"Win")))*SUMIFS($Z$4:$Z$1510,$A$4:$A$1510,$A355,$E$4:$E$1510,"Loss"),-('Guide &amp; Settings'!$C$42/($F355-1))*$Z355)))</f>
        <v>16</v>
      </c>
      <c r="AB355" s="126">
        <f t="shared" si="116"/>
        <v>1016</v>
      </c>
      <c r="AC355" s="126">
        <f>IF($D355="","",IF($AD355=0,0,IF(COUNTIFS($D$4:$D355,$D355,$B$4:$B355,$B355)&gt;1,0,IF($B355&lt;'Guide &amp; Settings'!$C$50,0,IF(($B355-$AD355)/7-'Guide &amp; Settings'!$C$48&gt;=0,(INT(($B355-$AD355)/7-'Guide &amp; Settings'!$C$48)+1)*'Guide &amp; Settings'!$C$49,0)))))</f>
        <v>0</v>
      </c>
      <c r="AD355" s="142">
        <f t="shared" si="117"/>
        <v>46199</v>
      </c>
      <c r="AE355">
        <f t="shared" si="118"/>
        <v>1</v>
      </c>
      <c r="AF355">
        <f t="shared" si="119"/>
        <v>0</v>
      </c>
    </row>
    <row r="356" spans="1:32" x14ac:dyDescent="0.2">
      <c r="A356" s="117">
        <v>153</v>
      </c>
      <c r="B356" s="118">
        <v>46215</v>
      </c>
      <c r="C356" s="119" t="s">
        <v>53</v>
      </c>
      <c r="D356" s="119" t="s">
        <v>22</v>
      </c>
      <c r="E356" s="117" t="s">
        <v>371</v>
      </c>
      <c r="F356" s="120">
        <f t="shared" si="100"/>
        <v>2</v>
      </c>
      <c r="G356" s="121" t="str">
        <f t="shared" si="101"/>
        <v>Josh</v>
      </c>
      <c r="H356" s="122">
        <f>IF($D356="",0,IFERROR(LOOKUP(2,1/(($D$3:D355=$D356)*($A$3:A355&lt;$A356)),$N$3:N355),'Guide &amp; Settings'!$C$41))</f>
        <v>1026.6701434033162</v>
      </c>
      <c r="I356" s="123">
        <f t="shared" si="102"/>
        <v>0.5</v>
      </c>
      <c r="J356" s="124">
        <f>IF($D356="",0,IF($F356&lt;2,0,IF($E356="Win",('Guide &amp; Settings'!$C$42/(($F356-1)*COUNTIFS($A$4:$A$1510,$A356,$E$4:$E$1510,"Win")))*SUMIFS($X$4:$X$1510,$A$4:$A$1510,$A356,$E$4:$E$1510,"Loss"),-('Guide &amp; Settings'!$C$42/($F356-1))*$X356)))</f>
        <v>-13.566320318161942</v>
      </c>
      <c r="K356" s="124">
        <f>IF($D356="",0,'Guide &amp; Settings'!$C$43*(IF($E356="Win",1,0)-$I356))</f>
        <v>-6</v>
      </c>
      <c r="L356" s="125">
        <f>IF($D356="",0,'Guide &amp; Settings'!$C$44*IF($F356&gt;=3,$F356,0))</f>
        <v>0</v>
      </c>
      <c r="M356" s="124">
        <f t="shared" si="103"/>
        <v>-19.566320318161942</v>
      </c>
      <c r="N356" s="122">
        <f t="shared" si="104"/>
        <v>1007.1038230851542</v>
      </c>
      <c r="O356" s="121" t="str">
        <f t="shared" si="105"/>
        <v>OK</v>
      </c>
      <c r="P356">
        <f t="shared" si="106"/>
        <v>1079.9301311945276</v>
      </c>
      <c r="Q356">
        <f t="shared" si="107"/>
        <v>0.4239475099425607</v>
      </c>
      <c r="R356">
        <f t="shared" si="108"/>
        <v>0.5</v>
      </c>
      <c r="S356">
        <f t="shared" si="109"/>
        <v>1</v>
      </c>
      <c r="T356" s="89">
        <f t="shared" si="110"/>
        <v>0</v>
      </c>
      <c r="U356" s="126">
        <f>IF($D356="",0,IFERROR(LOOKUP(2,1/(($D$3:D355=$D356)*($C$3:C355=$C356)*($A$3:A355&lt;$A356)),$AB$3:AB355),1000))</f>
        <v>1000</v>
      </c>
      <c r="V356" s="126">
        <f t="shared" si="111"/>
        <v>1026.6701434033162</v>
      </c>
      <c r="W356">
        <f t="shared" si="112"/>
        <v>1079.9301311945276</v>
      </c>
      <c r="X356">
        <f t="shared" si="113"/>
        <v>0.4239475099425607</v>
      </c>
      <c r="Y356">
        <f t="shared" si="114"/>
        <v>1000</v>
      </c>
      <c r="Z356">
        <f t="shared" si="115"/>
        <v>0.5</v>
      </c>
      <c r="AA356">
        <f>IF($D356="",0,IF($F356&lt;2,0,IF($E356="Win",('Guide &amp; Settings'!$C$42/(($F356-1)*COUNTIFS($A$4:$A$1510,$A356,$E$4:$E$1510,"Win")))*SUMIFS($Z$4:$Z$1510,$A$4:$A$1510,$A356,$E$4:$E$1510,"Loss"),-('Guide &amp; Settings'!$C$42/($F356-1))*$Z356)))</f>
        <v>-16</v>
      </c>
      <c r="AB356" s="126">
        <f t="shared" si="116"/>
        <v>984</v>
      </c>
      <c r="AC356" s="126">
        <f>IF($D356="","",IF($AD356=0,0,IF(COUNTIFS($D$4:$D356,$D356,$B$4:$B356,$B356)&gt;1,0,IF($B356&lt;'Guide &amp; Settings'!$C$50,0,IF(($B356-$AD356)/7-'Guide &amp; Settings'!$C$48&gt;=0,(INT(($B356-$AD356)/7-'Guide &amp; Settings'!$C$48)+1)*'Guide &amp; Settings'!$C$49,0)))))</f>
        <v>0</v>
      </c>
      <c r="AD356" s="142">
        <f t="shared" si="117"/>
        <v>46208</v>
      </c>
      <c r="AE356">
        <f t="shared" si="118"/>
        <v>1</v>
      </c>
      <c r="AF356">
        <f t="shared" si="119"/>
        <v>0</v>
      </c>
    </row>
    <row r="357" spans="1:32" x14ac:dyDescent="0.2">
      <c r="A357" s="117">
        <v>154</v>
      </c>
      <c r="B357" s="118">
        <v>46215</v>
      </c>
      <c r="C357" s="119" t="s">
        <v>55</v>
      </c>
      <c r="D357" s="119" t="s">
        <v>22</v>
      </c>
      <c r="E357" s="117" t="s">
        <v>370</v>
      </c>
      <c r="F357" s="120">
        <f t="shared" si="100"/>
        <v>3</v>
      </c>
      <c r="G357" s="121" t="str">
        <f t="shared" si="101"/>
        <v>Daniel (Ferret)</v>
      </c>
      <c r="H357" s="122">
        <f>IF($D357="",0,IFERROR(LOOKUP(2,1/(($D$3:D356=$D357)*($A$3:A356&lt;$A357)),$N$3:N356),'Guide &amp; Settings'!$C$41))</f>
        <v>1007.1038230851542</v>
      </c>
      <c r="I357" s="123">
        <f t="shared" si="102"/>
        <v>0.33333333333333331</v>
      </c>
      <c r="J357" s="124">
        <f>IF($D357="",0,IF($F357&lt;2,0,IF($E357="Win",('Guide &amp; Settings'!$C$42/(($F357-1)*COUNTIFS($A$4:$A$1510,$A357,$E$4:$E$1510,"Win")))*SUMIFS($X$4:$X$1510,$A$4:$A$1510,$A357,$E$4:$E$1510,"Loss"),-('Guide &amp; Settings'!$C$42/($F357-1))*$X357)))</f>
        <v>22.684782470651278</v>
      </c>
      <c r="K357" s="124">
        <f>IF($D357="",0,'Guide &amp; Settings'!$C$43*(IF($E357="Win",1,0)-$I357))</f>
        <v>8</v>
      </c>
      <c r="L357" s="125">
        <f>IF($D357="",0,'Guide &amp; Settings'!$C$44*IF($F357&gt;=3,$F357,0))</f>
        <v>3</v>
      </c>
      <c r="M357" s="124">
        <f t="shared" si="103"/>
        <v>33.684782470651278</v>
      </c>
      <c r="N357" s="122">
        <f t="shared" si="104"/>
        <v>1040.7886055558056</v>
      </c>
      <c r="O357" s="121" t="str">
        <f t="shared" si="105"/>
        <v>OK</v>
      </c>
      <c r="P357">
        <f t="shared" si="106"/>
        <v>1007.1038230851542</v>
      </c>
      <c r="Q357">
        <f t="shared" si="107"/>
        <v>0.5</v>
      </c>
      <c r="R357">
        <f t="shared" si="108"/>
        <v>0.5</v>
      </c>
      <c r="S357">
        <f t="shared" si="109"/>
        <v>1.5</v>
      </c>
      <c r="T357" s="89">
        <f t="shared" si="110"/>
        <v>0</v>
      </c>
      <c r="U357" s="126">
        <f>IF($D357="",0,IFERROR(LOOKUP(2,1/(($D$3:D356=$D357)*($C$3:C356=$C357)*($A$3:A356&lt;$A357)),$AB$3:AB356),1000))</f>
        <v>1000</v>
      </c>
      <c r="V357" s="126">
        <f t="shared" si="111"/>
        <v>1007.1038230851542</v>
      </c>
      <c r="W357">
        <f t="shared" si="112"/>
        <v>1007.1038230851542</v>
      </c>
      <c r="X357">
        <f t="shared" si="113"/>
        <v>0.5</v>
      </c>
      <c r="Y357">
        <f t="shared" si="114"/>
        <v>1000</v>
      </c>
      <c r="Z357">
        <f t="shared" si="115"/>
        <v>0.5</v>
      </c>
      <c r="AA357">
        <f>IF($D357="",0,IF($F357&lt;2,0,IF($E357="Win",('Guide &amp; Settings'!$C$42/(($F357-1)*COUNTIFS($A$4:$A$1510,$A357,$E$4:$E$1510,"Win")))*SUMIFS($Z$4:$Z$1510,$A$4:$A$1510,$A357,$E$4:$E$1510,"Loss"),-('Guide &amp; Settings'!$C$42/($F357-1))*$Z357)))</f>
        <v>16</v>
      </c>
      <c r="AB357" s="126">
        <f t="shared" si="116"/>
        <v>1016</v>
      </c>
      <c r="AC357" s="126">
        <f>IF($D357="","",IF($AD357=0,0,IF(COUNTIFS($D$4:$D357,$D357,$B$4:$B357,$B357)&gt;1,0,IF($B357&lt;'Guide &amp; Settings'!$C$50,0,IF(($B357-$AD357)/7-'Guide &amp; Settings'!$C$48&gt;=0,(INT(($B357-$AD357)/7-'Guide &amp; Settings'!$C$48)+1)*'Guide &amp; Settings'!$C$49,0)))))</f>
        <v>0</v>
      </c>
      <c r="AD357" s="142">
        <f t="shared" si="117"/>
        <v>46208</v>
      </c>
      <c r="AE357">
        <f t="shared" si="118"/>
        <v>1</v>
      </c>
      <c r="AF357">
        <f t="shared" si="119"/>
        <v>0</v>
      </c>
    </row>
    <row r="358" spans="1:32" x14ac:dyDescent="0.2">
      <c r="A358" s="117">
        <v>154</v>
      </c>
      <c r="B358" s="118">
        <v>46215</v>
      </c>
      <c r="C358" s="119" t="s">
        <v>55</v>
      </c>
      <c r="D358" s="119" t="s">
        <v>19</v>
      </c>
      <c r="E358" s="117" t="s">
        <v>371</v>
      </c>
      <c r="F358" s="120">
        <f t="shared" si="100"/>
        <v>3</v>
      </c>
      <c r="G358" s="121" t="str">
        <f t="shared" si="101"/>
        <v>Daniel (Ferret)</v>
      </c>
      <c r="H358" s="122">
        <f>IF($D358="",0,IFERROR(LOOKUP(2,1/(($D$3:D357=$D358)*($A$3:A357&lt;$A358)),$N$3:N357),'Guide &amp; Settings'!$C$41))</f>
        <v>1099.4964515126894</v>
      </c>
      <c r="I358" s="123">
        <f t="shared" si="102"/>
        <v>0.33333333333333331</v>
      </c>
      <c r="J358" s="124">
        <f>IF($D358="",0,IF($F358&lt;2,0,IF($E358="Win",('Guide &amp; Settings'!$C$42/(($F358-1)*COUNTIFS($A$4:$A$1510,$A358,$E$4:$E$1510,"Win")))*SUMIFS($X$4:$X$1510,$A$4:$A$1510,$A358,$E$4:$E$1510,"Loss"),-('Guide &amp; Settings'!$C$42/($F358-1))*$X358)))</f>
        <v>-10.078649480179312</v>
      </c>
      <c r="K358" s="124">
        <f>IF($D358="",0,'Guide &amp; Settings'!$C$43*(IF($E358="Win",1,0)-$I358))</f>
        <v>-4</v>
      </c>
      <c r="L358" s="125">
        <f>IF($D358="",0,'Guide &amp; Settings'!$C$44*IF($F358&gt;=3,$F358,0))</f>
        <v>3</v>
      </c>
      <c r="M358" s="124">
        <f t="shared" si="103"/>
        <v>-11.078649480179312</v>
      </c>
      <c r="N358" s="122">
        <f t="shared" si="104"/>
        <v>1088.4178020325101</v>
      </c>
      <c r="O358" s="121" t="str">
        <f t="shared" si="105"/>
        <v>OK</v>
      </c>
      <c r="P358">
        <f t="shared" si="106"/>
        <v>1007.1038230851542</v>
      </c>
      <c r="Q358">
        <f t="shared" si="107"/>
        <v>0.62991559251120699</v>
      </c>
      <c r="R358">
        <f t="shared" si="108"/>
        <v>0.5</v>
      </c>
      <c r="S358">
        <f t="shared" si="109"/>
        <v>1.5</v>
      </c>
      <c r="T358" s="89">
        <f t="shared" si="110"/>
        <v>0</v>
      </c>
      <c r="U358" s="126">
        <f>IF($D358="",0,IFERROR(LOOKUP(2,1/(($D$3:D357=$D358)*($C$3:C357=$C358)*($A$3:A357&lt;$A358)),$AB$3:AB357),1000))</f>
        <v>1000</v>
      </c>
      <c r="V358" s="126">
        <f t="shared" si="111"/>
        <v>1099.4964515126894</v>
      </c>
      <c r="W358">
        <f t="shared" si="112"/>
        <v>1007.1038230851542</v>
      </c>
      <c r="X358">
        <f t="shared" si="113"/>
        <v>0.62991559251120699</v>
      </c>
      <c r="Y358">
        <f t="shared" si="114"/>
        <v>1000</v>
      </c>
      <c r="Z358">
        <f t="shared" si="115"/>
        <v>0.5</v>
      </c>
      <c r="AA358">
        <f>IF($D358="",0,IF($F358&lt;2,0,IF($E358="Win",('Guide &amp; Settings'!$C$42/(($F358-1)*COUNTIFS($A$4:$A$1510,$A358,$E$4:$E$1510,"Win")))*SUMIFS($Z$4:$Z$1510,$A$4:$A$1510,$A358,$E$4:$E$1510,"Loss"),-('Guide &amp; Settings'!$C$42/($F358-1))*$Z358)))</f>
        <v>-8</v>
      </c>
      <c r="AB358" s="126">
        <f t="shared" si="116"/>
        <v>992</v>
      </c>
      <c r="AC358" s="126">
        <f>IF($D358="","",IF($AD358=0,0,IF(COUNTIFS($D$4:$D358,$D358,$B$4:$B358,$B358)&gt;1,0,IF($B358&lt;'Guide &amp; Settings'!$C$50,0,IF(($B358-$AD358)/7-'Guide &amp; Settings'!$C$48&gt;=0,(INT(($B358-$AD358)/7-'Guide &amp; Settings'!$C$48)+1)*'Guide &amp; Settings'!$C$49,0)))))</f>
        <v>0</v>
      </c>
      <c r="AD358" s="142">
        <f t="shared" si="117"/>
        <v>46199</v>
      </c>
      <c r="AE358">
        <f t="shared" si="118"/>
        <v>1</v>
      </c>
      <c r="AF358">
        <f t="shared" si="119"/>
        <v>0</v>
      </c>
    </row>
    <row r="359" spans="1:32" x14ac:dyDescent="0.2">
      <c r="A359" s="117">
        <v>154</v>
      </c>
      <c r="B359" s="118">
        <v>46215</v>
      </c>
      <c r="C359" s="119" t="s">
        <v>55</v>
      </c>
      <c r="D359" s="119" t="s">
        <v>23</v>
      </c>
      <c r="E359" s="117" t="s">
        <v>371</v>
      </c>
      <c r="F359" s="120">
        <f t="shared" si="100"/>
        <v>3</v>
      </c>
      <c r="G359" s="121" t="str">
        <f t="shared" si="101"/>
        <v>Daniel (Ferret)</v>
      </c>
      <c r="H359" s="122">
        <f>IF($D359="",0,IFERROR(LOOKUP(2,1/(($D$3:D358=$D359)*($A$3:A358&lt;$A359)),$N$3:N358),'Guide &amp; Settings'!$C$41))</f>
        <v>1235.0586487725313</v>
      </c>
      <c r="I359" s="123">
        <f t="shared" si="102"/>
        <v>0.33333333333333331</v>
      </c>
      <c r="J359" s="124">
        <f>IF($D359="",0,IF($F359&lt;2,0,IF($E359="Win",('Guide &amp; Settings'!$C$42/(($F359-1)*COUNTIFS($A$4:$A$1510,$A359,$E$4:$E$1510,"Win")))*SUMIFS($X$4:$X$1510,$A$4:$A$1510,$A359,$E$4:$E$1510,"Loss"),-('Guide &amp; Settings'!$C$42/($F359-1))*$X359)))</f>
        <v>-12.606132990471968</v>
      </c>
      <c r="K359" s="124">
        <f>IF($D359="",0,'Guide &amp; Settings'!$C$43*(IF($E359="Win",1,0)-$I359))</f>
        <v>-4</v>
      </c>
      <c r="L359" s="125">
        <f>IF($D359="",0,'Guide &amp; Settings'!$C$44*IF($F359&gt;=3,$F359,0))</f>
        <v>3</v>
      </c>
      <c r="M359" s="124">
        <f t="shared" si="103"/>
        <v>-13.60613299047197</v>
      </c>
      <c r="N359" s="122">
        <f t="shared" si="104"/>
        <v>1221.4525157820594</v>
      </c>
      <c r="O359" s="121" t="str">
        <f t="shared" si="105"/>
        <v>OK</v>
      </c>
      <c r="P359">
        <f t="shared" si="106"/>
        <v>1007.1038230851542</v>
      </c>
      <c r="Q359">
        <f t="shared" si="107"/>
        <v>0.78788331190449801</v>
      </c>
      <c r="R359">
        <f t="shared" si="108"/>
        <v>0.5</v>
      </c>
      <c r="S359">
        <f t="shared" si="109"/>
        <v>1.5</v>
      </c>
      <c r="T359" s="89">
        <f t="shared" si="110"/>
        <v>0</v>
      </c>
      <c r="U359" s="126">
        <f>IF($D359="",0,IFERROR(LOOKUP(2,1/(($D$3:D358=$D359)*($C$3:C358=$C359)*($A$3:A358&lt;$A359)),$AB$3:AB358),1000))</f>
        <v>1000</v>
      </c>
      <c r="V359" s="126">
        <f t="shared" si="111"/>
        <v>1235.0586487725313</v>
      </c>
      <c r="W359">
        <f t="shared" si="112"/>
        <v>1007.1038230851542</v>
      </c>
      <c r="X359">
        <f t="shared" si="113"/>
        <v>0.78788331190449801</v>
      </c>
      <c r="Y359">
        <f t="shared" si="114"/>
        <v>1000</v>
      </c>
      <c r="Z359">
        <f t="shared" si="115"/>
        <v>0.5</v>
      </c>
      <c r="AA359">
        <f>IF($D359="",0,IF($F359&lt;2,0,IF($E359="Win",('Guide &amp; Settings'!$C$42/(($F359-1)*COUNTIFS($A$4:$A$1510,$A359,$E$4:$E$1510,"Win")))*SUMIFS($Z$4:$Z$1510,$A$4:$A$1510,$A359,$E$4:$E$1510,"Loss"),-('Guide &amp; Settings'!$C$42/($F359-1))*$Z359)))</f>
        <v>-8</v>
      </c>
      <c r="AB359" s="126">
        <f t="shared" si="116"/>
        <v>992</v>
      </c>
      <c r="AC359" s="126">
        <f>IF($D359="","",IF($AD359=0,0,IF(COUNTIFS($D$4:$D359,$D359,$B$4:$B359,$B359)&gt;1,0,IF($B359&lt;'Guide &amp; Settings'!$C$50,0,IF(($B359-$AD359)/7-'Guide &amp; Settings'!$C$48&gt;=0,(INT(($B359-$AD359)/7-'Guide &amp; Settings'!$C$48)+1)*'Guide &amp; Settings'!$C$49,0)))))</f>
        <v>0</v>
      </c>
      <c r="AD359" s="142">
        <f t="shared" si="117"/>
        <v>46189</v>
      </c>
      <c r="AE359">
        <f t="shared" si="118"/>
        <v>1</v>
      </c>
      <c r="AF359">
        <f t="shared" si="119"/>
        <v>0</v>
      </c>
    </row>
    <row r="360" spans="1:32" x14ac:dyDescent="0.2">
      <c r="A360" s="117">
        <v>155</v>
      </c>
      <c r="B360" s="118">
        <v>46215</v>
      </c>
      <c r="C360" s="119" t="s">
        <v>37</v>
      </c>
      <c r="D360" s="119" t="s">
        <v>22</v>
      </c>
      <c r="E360" s="117" t="s">
        <v>370</v>
      </c>
      <c r="F360" s="120">
        <f t="shared" si="100"/>
        <v>2</v>
      </c>
      <c r="G360" s="121" t="str">
        <f t="shared" si="101"/>
        <v>Daniel (Ferret)</v>
      </c>
      <c r="H360" s="122">
        <f>IF($D360="",0,IFERROR(LOOKUP(2,1/(($D$3:D359=$D360)*($A$3:A359&lt;$A360)),$N$3:N359),'Guide &amp; Settings'!$C$41))</f>
        <v>1040.7886055558056</v>
      </c>
      <c r="I360" s="123">
        <f t="shared" si="102"/>
        <v>0.5</v>
      </c>
      <c r="J360" s="124">
        <f>IF($D360="",0,IF($F360&lt;2,0,IF($E360="Win",('Guide &amp; Settings'!$C$42/(($F360-1)*COUNTIFS($A$4:$A$1510,$A360,$E$4:$E$1510,"Win")))*SUMIFS($X$4:$X$1510,$A$4:$A$1510,$A360,$E$4:$E$1510,"Loss"),-('Guide &amp; Settings'!$C$42/($F360-1))*$X360)))</f>
        <v>19.068053260965804</v>
      </c>
      <c r="K360" s="124">
        <f>IF($D360="",0,'Guide &amp; Settings'!$C$43*(IF($E360="Win",1,0)-$I360))</f>
        <v>6</v>
      </c>
      <c r="L360" s="125">
        <f>IF($D360="",0,'Guide &amp; Settings'!$C$44*IF($F360&gt;=3,$F360,0))</f>
        <v>0</v>
      </c>
      <c r="M360" s="124">
        <f t="shared" si="103"/>
        <v>25.068053260965804</v>
      </c>
      <c r="N360" s="122">
        <f t="shared" si="104"/>
        <v>1065.8566588167714</v>
      </c>
      <c r="O360" s="121" t="str">
        <f t="shared" si="105"/>
        <v>OK</v>
      </c>
      <c r="P360">
        <f t="shared" si="106"/>
        <v>1040.7886055558056</v>
      </c>
      <c r="Q360">
        <f t="shared" si="107"/>
        <v>0.5</v>
      </c>
      <c r="R360">
        <f t="shared" si="108"/>
        <v>0.5</v>
      </c>
      <c r="S360">
        <f t="shared" si="109"/>
        <v>1</v>
      </c>
      <c r="T360" s="89">
        <f t="shared" si="110"/>
        <v>4</v>
      </c>
      <c r="U360" s="126">
        <f>IF($D360="",0,IFERROR(LOOKUP(2,1/(($D$3:D359=$D360)*($C$3:C359=$C360)*($A$3:A359&lt;$A360)),$AB$3:AB359),1000))</f>
        <v>996.17609348029987</v>
      </c>
      <c r="V360" s="126">
        <f t="shared" si="111"/>
        <v>1020.9608224111364</v>
      </c>
      <c r="W360">
        <f t="shared" si="112"/>
        <v>1020.9608224111364</v>
      </c>
      <c r="X360">
        <f t="shared" si="113"/>
        <v>0.5</v>
      </c>
      <c r="Y360">
        <f t="shared" si="114"/>
        <v>996.17609348029987</v>
      </c>
      <c r="Z360">
        <f t="shared" si="115"/>
        <v>0.5</v>
      </c>
      <c r="AA360">
        <f>IF($D360="",0,IF($F360&lt;2,0,IF($E360="Win",('Guide &amp; Settings'!$C$42/(($F360-1)*COUNTIFS($A$4:$A$1510,$A360,$E$4:$E$1510,"Win")))*SUMIFS($Z$4:$Z$1510,$A$4:$A$1510,$A360,$E$4:$E$1510,"Loss"),-('Guide &amp; Settings'!$C$42/($F360-1))*$Z360)))</f>
        <v>16.176090292870843</v>
      </c>
      <c r="AB360" s="126">
        <f t="shared" si="116"/>
        <v>1012.3521837731707</v>
      </c>
      <c r="AC360" s="126">
        <f>IF($D360="","",IF($AD360=0,0,IF(COUNTIFS($D$4:$D360,$D360,$B$4:$B360,$B360)&gt;1,0,IF($B360&lt;'Guide &amp; Settings'!$C$50,0,IF(($B360-$AD360)/7-'Guide &amp; Settings'!$C$48&gt;=0,(INT(($B360-$AD360)/7-'Guide &amp; Settings'!$C$48)+1)*'Guide &amp; Settings'!$C$49,0)))))</f>
        <v>0</v>
      </c>
      <c r="AD360" s="142">
        <f t="shared" si="117"/>
        <v>46208</v>
      </c>
      <c r="AE360">
        <f t="shared" si="118"/>
        <v>1</v>
      </c>
      <c r="AF360">
        <f t="shared" si="119"/>
        <v>0</v>
      </c>
    </row>
    <row r="361" spans="1:32" x14ac:dyDescent="0.2">
      <c r="A361" s="117">
        <v>155</v>
      </c>
      <c r="B361" s="118">
        <v>46215</v>
      </c>
      <c r="C361" s="119" t="s">
        <v>37</v>
      </c>
      <c r="D361" s="119" t="s">
        <v>19</v>
      </c>
      <c r="E361" s="117" t="s">
        <v>371</v>
      </c>
      <c r="F361" s="120">
        <f t="shared" si="100"/>
        <v>2</v>
      </c>
      <c r="G361" s="121" t="str">
        <f t="shared" si="101"/>
        <v>Daniel (Ferret)</v>
      </c>
      <c r="H361" s="122">
        <f>IF($D361="",0,IFERROR(LOOKUP(2,1/(($D$3:D360=$D361)*($A$3:A360&lt;$A361)),$N$3:N360),'Guide &amp; Settings'!$C$41))</f>
        <v>1088.4178020325101</v>
      </c>
      <c r="I361" s="123">
        <f t="shared" si="102"/>
        <v>0.5</v>
      </c>
      <c r="J361" s="124">
        <f>IF($D361="",0,IF($F361&lt;2,0,IF($E361="Win",('Guide &amp; Settings'!$C$42/(($F361-1)*COUNTIFS($A$4:$A$1510,$A361,$E$4:$E$1510,"Win")))*SUMIFS($X$4:$X$1510,$A$4:$A$1510,$A361,$E$4:$E$1510,"Loss"),-('Guide &amp; Settings'!$C$42/($F361-1))*$X361)))</f>
        <v>-19.068053260965804</v>
      </c>
      <c r="K361" s="124">
        <f>IF($D361="",0,'Guide &amp; Settings'!$C$43*(IF($E361="Win",1,0)-$I361))</f>
        <v>-6</v>
      </c>
      <c r="L361" s="125">
        <f>IF($D361="",0,'Guide &amp; Settings'!$C$44*IF($F361&gt;=3,$F361,0))</f>
        <v>0</v>
      </c>
      <c r="M361" s="124">
        <f t="shared" si="103"/>
        <v>-25.068053260965804</v>
      </c>
      <c r="N361" s="122">
        <f t="shared" si="104"/>
        <v>1063.3497487715442</v>
      </c>
      <c r="O361" s="121" t="str">
        <f t="shared" si="105"/>
        <v>OK</v>
      </c>
      <c r="P361">
        <f t="shared" si="106"/>
        <v>1040.7886055558056</v>
      </c>
      <c r="Q361">
        <f t="shared" si="107"/>
        <v>0.56811774326929354</v>
      </c>
      <c r="R361">
        <f t="shared" si="108"/>
        <v>0.5</v>
      </c>
      <c r="S361">
        <f t="shared" si="109"/>
        <v>1</v>
      </c>
      <c r="T361" s="89">
        <f t="shared" si="110"/>
        <v>0</v>
      </c>
      <c r="U361" s="126">
        <f>IF($D361="",0,IFERROR(LOOKUP(2,1/(($D$3:D360=$D361)*($C$3:C360=$C361)*($A$3:A360&lt;$A361)),$AB$3:AB360),1000))</f>
        <v>1000</v>
      </c>
      <c r="V361" s="126">
        <f t="shared" si="111"/>
        <v>1088.4178020325101</v>
      </c>
      <c r="W361">
        <f t="shared" si="112"/>
        <v>1020.9608224111364</v>
      </c>
      <c r="X361">
        <f t="shared" si="113"/>
        <v>0.59587666440518139</v>
      </c>
      <c r="Y361">
        <f t="shared" si="114"/>
        <v>996.17609348029987</v>
      </c>
      <c r="Z361">
        <f t="shared" si="115"/>
        <v>0.50550282165221383</v>
      </c>
      <c r="AA361">
        <f>IF($D361="",0,IF($F361&lt;2,0,IF($E361="Win",('Guide &amp; Settings'!$C$42/(($F361-1)*COUNTIFS($A$4:$A$1510,$A361,$E$4:$E$1510,"Win")))*SUMIFS($Z$4:$Z$1510,$A$4:$A$1510,$A361,$E$4:$E$1510,"Loss"),-('Guide &amp; Settings'!$C$42/($F361-1))*$Z361)))</f>
        <v>-16.176090292870843</v>
      </c>
      <c r="AB361" s="126">
        <f t="shared" si="116"/>
        <v>983.82390970712913</v>
      </c>
      <c r="AC361" s="126">
        <f>IF($D361="","",IF($AD361=0,0,IF(COUNTIFS($D$4:$D361,$D361,$B$4:$B361,$B361)&gt;1,0,IF($B361&lt;'Guide &amp; Settings'!$C$50,0,IF(($B361-$AD361)/7-'Guide &amp; Settings'!$C$48&gt;=0,(INT(($B361-$AD361)/7-'Guide &amp; Settings'!$C$48)+1)*'Guide &amp; Settings'!$C$49,0)))))</f>
        <v>0</v>
      </c>
      <c r="AD361" s="142">
        <f t="shared" si="117"/>
        <v>46199</v>
      </c>
      <c r="AE361">
        <f t="shared" si="118"/>
        <v>1</v>
      </c>
      <c r="AF361">
        <f t="shared" si="119"/>
        <v>0</v>
      </c>
    </row>
    <row r="362" spans="1:32" x14ac:dyDescent="0.2">
      <c r="A362" s="117">
        <v>156</v>
      </c>
      <c r="B362" s="118">
        <v>46215</v>
      </c>
      <c r="C362" s="119" t="s">
        <v>37</v>
      </c>
      <c r="D362" s="119" t="s">
        <v>22</v>
      </c>
      <c r="E362" s="117" t="s">
        <v>371</v>
      </c>
      <c r="F362" s="120">
        <f t="shared" si="100"/>
        <v>2</v>
      </c>
      <c r="G362" s="121" t="str">
        <f t="shared" si="101"/>
        <v>Dean B</v>
      </c>
      <c r="H362" s="122">
        <f>IF($D362="",0,IFERROR(LOOKUP(2,1/(($D$3:D361=$D362)*($A$3:A361&lt;$A362)),$N$3:N361),'Guide &amp; Settings'!$C$41))</f>
        <v>1065.8566588167714</v>
      </c>
      <c r="I362" s="123">
        <f t="shared" si="102"/>
        <v>0.53333333333333333</v>
      </c>
      <c r="J362" s="124">
        <f>IF($D362="",0,IF($F362&lt;2,0,IF($E362="Win",('Guide &amp; Settings'!$C$42/(($F362-1)*COUNTIFS($A$4:$A$1510,$A362,$E$4:$E$1510,"Win")))*SUMIFS($X$4:$X$1510,$A$4:$A$1510,$A362,$E$4:$E$1510,"Loss"),-('Guide &amp; Settings'!$C$42/($F362-1))*$X362)))</f>
        <v>-13.850420542993927</v>
      </c>
      <c r="K362" s="124">
        <f>IF($D362="",0,'Guide &amp; Settings'!$C$43*(IF($E362="Win",1,0)-$I362))</f>
        <v>-6.4</v>
      </c>
      <c r="L362" s="125">
        <f>IF($D362="",0,'Guide &amp; Settings'!$C$44*IF($F362&gt;=3,$F362,0))</f>
        <v>0</v>
      </c>
      <c r="M362" s="124">
        <f t="shared" si="103"/>
        <v>-20.250420542993929</v>
      </c>
      <c r="N362" s="122">
        <f t="shared" si="104"/>
        <v>1045.6062382737775</v>
      </c>
      <c r="O362" s="121" t="str">
        <f t="shared" si="105"/>
        <v>OK</v>
      </c>
      <c r="P362">
        <f t="shared" si="106"/>
        <v>1221.4525157820594</v>
      </c>
      <c r="Q362">
        <f t="shared" si="107"/>
        <v>0.28993870639454328</v>
      </c>
      <c r="R362">
        <f t="shared" si="108"/>
        <v>0.5714285714285714</v>
      </c>
      <c r="S362">
        <f t="shared" si="109"/>
        <v>1.0714285714285714</v>
      </c>
      <c r="T362" s="89">
        <f t="shared" si="110"/>
        <v>5</v>
      </c>
      <c r="U362" s="126">
        <f>IF($D362="",0,IFERROR(LOOKUP(2,1/(($D$3:D361=$D362)*($C$3:C361=$C362)*($A$3:A361&lt;$A362)),$AB$3:AB361),1000))</f>
        <v>1012.3521837731707</v>
      </c>
      <c r="V362" s="126">
        <f t="shared" si="111"/>
        <v>1039.104421294971</v>
      </c>
      <c r="W362">
        <f t="shared" si="112"/>
        <v>1086.0658638170485</v>
      </c>
      <c r="X362">
        <f t="shared" si="113"/>
        <v>0.43282564196856022</v>
      </c>
      <c r="Y362">
        <f t="shared" si="114"/>
        <v>1001.4492063389166</v>
      </c>
      <c r="Z362">
        <f t="shared" si="115"/>
        <v>0.51568549720647594</v>
      </c>
      <c r="AA362">
        <f>IF($D362="",0,IF($F362&lt;2,0,IF($E362="Win",('Guide &amp; Settings'!$C$42/(($F362-1)*COUNTIFS($A$4:$A$1510,$A362,$E$4:$E$1510,"Win")))*SUMIFS($Z$4:$Z$1510,$A$4:$A$1510,$A362,$E$4:$E$1510,"Loss"),-('Guide &amp; Settings'!$C$42/($F362-1))*$Z362)))</f>
        <v>-16.50193591060723</v>
      </c>
      <c r="AB362" s="126">
        <f t="shared" si="116"/>
        <v>995.85024786256349</v>
      </c>
      <c r="AC362" s="126">
        <f>IF($D362="","",IF($AD362=0,0,IF(COUNTIFS($D$4:$D362,$D362,$B$4:$B362,$B362)&gt;1,0,IF($B362&lt;'Guide &amp; Settings'!$C$50,0,IF(($B362-$AD362)/7-'Guide &amp; Settings'!$C$48&gt;=0,(INT(($B362-$AD362)/7-'Guide &amp; Settings'!$C$48)+1)*'Guide &amp; Settings'!$C$49,0)))))</f>
        <v>0</v>
      </c>
      <c r="AD362" s="142">
        <f t="shared" si="117"/>
        <v>46208</v>
      </c>
      <c r="AE362">
        <f t="shared" si="118"/>
        <v>1</v>
      </c>
      <c r="AF362">
        <f t="shared" si="119"/>
        <v>0</v>
      </c>
    </row>
    <row r="363" spans="1:32" x14ac:dyDescent="0.2">
      <c r="A363" s="117">
        <v>156</v>
      </c>
      <c r="B363" s="118">
        <v>46215</v>
      </c>
      <c r="C363" s="119" t="s">
        <v>37</v>
      </c>
      <c r="D363" s="119" t="s">
        <v>23</v>
      </c>
      <c r="E363" s="117" t="s">
        <v>370</v>
      </c>
      <c r="F363" s="120">
        <f t="shared" si="100"/>
        <v>2</v>
      </c>
      <c r="G363" s="121" t="str">
        <f t="shared" si="101"/>
        <v>Dean B</v>
      </c>
      <c r="H363" s="122">
        <f>IF($D363="",0,IFERROR(LOOKUP(2,1/(($D$3:D362=$D363)*($A$3:A362&lt;$A363)),$N$3:N362),'Guide &amp; Settings'!$C$41))</f>
        <v>1221.4525157820594</v>
      </c>
      <c r="I363" s="123">
        <f t="shared" si="102"/>
        <v>0.46666666666666667</v>
      </c>
      <c r="J363" s="124">
        <f>IF($D363="",0,IF($F363&lt;2,0,IF($E363="Win",('Guide &amp; Settings'!$C$42/(($F363-1)*COUNTIFS($A$4:$A$1510,$A363,$E$4:$E$1510,"Win")))*SUMIFS($X$4:$X$1510,$A$4:$A$1510,$A363,$E$4:$E$1510,"Loss"),-('Guide &amp; Settings'!$C$42/($F363-1))*$X363)))</f>
        <v>13.850420542993927</v>
      </c>
      <c r="K363" s="124">
        <f>IF($D363="",0,'Guide &amp; Settings'!$C$43*(IF($E363="Win",1,0)-$I363))</f>
        <v>6.4</v>
      </c>
      <c r="L363" s="125">
        <f>IF($D363="",0,'Guide &amp; Settings'!$C$44*IF($F363&gt;=3,$F363,0))</f>
        <v>0</v>
      </c>
      <c r="M363" s="124">
        <f t="shared" si="103"/>
        <v>20.250420542993929</v>
      </c>
      <c r="N363" s="122">
        <f t="shared" si="104"/>
        <v>1241.7029363250533</v>
      </c>
      <c r="O363" s="121" t="str">
        <f t="shared" si="105"/>
        <v>OK</v>
      </c>
      <c r="P363">
        <f t="shared" si="106"/>
        <v>1221.4525157820594</v>
      </c>
      <c r="Q363">
        <f t="shared" si="107"/>
        <v>0.5</v>
      </c>
      <c r="R363">
        <f t="shared" si="108"/>
        <v>0.5</v>
      </c>
      <c r="S363">
        <f t="shared" si="109"/>
        <v>1.0714285714285714</v>
      </c>
      <c r="T363" s="89">
        <f t="shared" si="110"/>
        <v>8</v>
      </c>
      <c r="U363" s="126">
        <f>IF($D363="",0,IFERROR(LOOKUP(2,1/(($D$3:D362=$D363)*($C$3:C362=$C363)*($A$3:A362&lt;$A363)),$AB$3:AB362),1000))</f>
        <v>1001.4492063389166</v>
      </c>
      <c r="V363" s="126">
        <f t="shared" si="111"/>
        <v>1086.0658638170485</v>
      </c>
      <c r="W363">
        <f t="shared" si="112"/>
        <v>1086.0658638170485</v>
      </c>
      <c r="X363">
        <f t="shared" si="113"/>
        <v>0.5</v>
      </c>
      <c r="Y363">
        <f t="shared" si="114"/>
        <v>1001.4492063389166</v>
      </c>
      <c r="Z363">
        <f t="shared" si="115"/>
        <v>0.5</v>
      </c>
      <c r="AA363">
        <f>IF($D363="",0,IF($F363&lt;2,0,IF($E363="Win",('Guide &amp; Settings'!$C$42/(($F363-1)*COUNTIFS($A$4:$A$1510,$A363,$E$4:$E$1510,"Win")))*SUMIFS($Z$4:$Z$1510,$A$4:$A$1510,$A363,$E$4:$E$1510,"Loss"),-('Guide &amp; Settings'!$C$42/($F363-1))*$Z363)))</f>
        <v>16.50193591060723</v>
      </c>
      <c r="AB363" s="126">
        <f t="shared" si="116"/>
        <v>1017.9511422495239</v>
      </c>
      <c r="AC363" s="126">
        <f>IF($D363="","",IF($AD363=0,0,IF(COUNTIFS($D$4:$D363,$D363,$B$4:$B363,$B363)&gt;1,0,IF($B363&lt;'Guide &amp; Settings'!$C$50,0,IF(($B363-$AD363)/7-'Guide &amp; Settings'!$C$48&gt;=0,(INT(($B363-$AD363)/7-'Guide &amp; Settings'!$C$48)+1)*'Guide &amp; Settings'!$C$49,0)))))</f>
        <v>0</v>
      </c>
      <c r="AD363" s="142">
        <f t="shared" si="117"/>
        <v>46189</v>
      </c>
      <c r="AE363">
        <f t="shared" si="118"/>
        <v>1</v>
      </c>
      <c r="AF363">
        <f t="shared" si="119"/>
        <v>0</v>
      </c>
    </row>
    <row r="364" spans="1:32" x14ac:dyDescent="0.2">
      <c r="A364" s="117">
        <v>157</v>
      </c>
      <c r="B364" s="118">
        <v>46215</v>
      </c>
      <c r="C364" s="119" t="s">
        <v>33</v>
      </c>
      <c r="D364" s="119" t="s">
        <v>20</v>
      </c>
      <c r="E364" s="117" t="s">
        <v>370</v>
      </c>
      <c r="F364" s="120">
        <f t="shared" si="100"/>
        <v>2</v>
      </c>
      <c r="G364" s="121" t="str">
        <f t="shared" si="101"/>
        <v>Shawn</v>
      </c>
      <c r="H364" s="122">
        <f>IF($D364="",0,IFERROR(LOOKUP(2,1/(($D$3:D363=$D364)*($A$3:A363&lt;$A364)),$N$3:N363),'Guide &amp; Settings'!$C$41))</f>
        <v>1108.6458487105747</v>
      </c>
      <c r="I364" s="123">
        <f t="shared" si="102"/>
        <v>0.75</v>
      </c>
      <c r="J364" s="124">
        <f>IF($D364="",0,IF($F364&lt;2,0,IF($E364="Win",('Guide &amp; Settings'!$C$42/(($F364-1)*COUNTIFS($A$4:$A$1510,$A364,$E$4:$E$1510,"Win")))*SUMIFS($X$4:$X$1510,$A$4:$A$1510,$A364,$E$4:$E$1510,"Loss"),-('Guide &amp; Settings'!$C$42/($F364-1))*$X364)))</f>
        <v>13.153565088766701</v>
      </c>
      <c r="K364" s="124">
        <f>IF($D364="",0,'Guide &amp; Settings'!$C$43*(IF($E364="Win",1,0)-$I364))</f>
        <v>3</v>
      </c>
      <c r="L364" s="125">
        <f>IF($D364="",0,'Guide &amp; Settings'!$C$44*IF($F364&gt;=3,$F364,0))</f>
        <v>0</v>
      </c>
      <c r="M364" s="124">
        <f t="shared" si="103"/>
        <v>16.153565088766701</v>
      </c>
      <c r="N364" s="122">
        <f t="shared" si="104"/>
        <v>1124.7994137993414</v>
      </c>
      <c r="O364" s="121" t="str">
        <f t="shared" si="105"/>
        <v>OK</v>
      </c>
      <c r="P364">
        <f t="shared" si="106"/>
        <v>1108.6458487105747</v>
      </c>
      <c r="Q364">
        <f t="shared" si="107"/>
        <v>0.5</v>
      </c>
      <c r="R364">
        <f t="shared" si="108"/>
        <v>0.75</v>
      </c>
      <c r="S364">
        <f t="shared" si="109"/>
        <v>1</v>
      </c>
      <c r="T364" s="89">
        <f t="shared" si="110"/>
        <v>2</v>
      </c>
      <c r="U364" s="126">
        <f>IF($D364="",0,IFERROR(LOOKUP(2,1/(($D$3:D363=$D364)*($C$3:C363=$C364)*($A$3:A363&lt;$A364)),$AB$3:AB363),1000))</f>
        <v>1030.5304984710244</v>
      </c>
      <c r="V364" s="126">
        <f t="shared" si="111"/>
        <v>1086.3271772135604</v>
      </c>
      <c r="W364">
        <f t="shared" si="112"/>
        <v>1086.3271772135604</v>
      </c>
      <c r="X364">
        <f t="shared" si="113"/>
        <v>0.5</v>
      </c>
      <c r="Y364">
        <f t="shared" si="114"/>
        <v>1030.5304984710244</v>
      </c>
      <c r="Z364">
        <f t="shared" si="115"/>
        <v>0.5</v>
      </c>
      <c r="AA364">
        <f>IF($D364="",0,IF($F364&lt;2,0,IF($E364="Win",('Guide &amp; Settings'!$C$42/(($F364-1)*COUNTIFS($A$4:$A$1510,$A364,$E$4:$E$1510,"Win")))*SUMIFS($Z$4:$Z$1510,$A$4:$A$1510,$A364,$E$4:$E$1510,"Loss"),-('Guide &amp; Settings'!$C$42/($F364-1))*$Z364)))</f>
        <v>13.21663516258643</v>
      </c>
      <c r="AB364" s="126">
        <f t="shared" si="116"/>
        <v>1043.7471336336109</v>
      </c>
      <c r="AC364" s="126">
        <f>IF($D364="","",IF($AD364=0,0,IF(COUNTIFS($D$4:$D364,$D364,$B$4:$B364,$B364)&gt;1,0,IF($B364&lt;'Guide &amp; Settings'!$C$50,0,IF(($B364-$AD364)/7-'Guide &amp; Settings'!$C$48&gt;=0,(INT(($B364-$AD364)/7-'Guide &amp; Settings'!$C$48)+1)*'Guide &amp; Settings'!$C$49,0)))))</f>
        <v>0</v>
      </c>
      <c r="AD364" s="142">
        <f t="shared" si="117"/>
        <v>46214</v>
      </c>
      <c r="AE364">
        <f t="shared" si="118"/>
        <v>1</v>
      </c>
      <c r="AF364">
        <f t="shared" si="119"/>
        <v>0</v>
      </c>
    </row>
    <row r="365" spans="1:32" x14ac:dyDescent="0.2">
      <c r="A365" s="117">
        <v>157</v>
      </c>
      <c r="B365" s="118">
        <v>46215</v>
      </c>
      <c r="C365" s="119" t="s">
        <v>33</v>
      </c>
      <c r="D365" s="119" t="s">
        <v>22</v>
      </c>
      <c r="E365" s="117" t="s">
        <v>371</v>
      </c>
      <c r="F365" s="120">
        <f t="shared" si="100"/>
        <v>2</v>
      </c>
      <c r="G365" s="121" t="str">
        <f t="shared" si="101"/>
        <v>Shawn</v>
      </c>
      <c r="H365" s="122">
        <f>IF($D365="",0,IFERROR(LOOKUP(2,1/(($D$3:D364=$D365)*($A$3:A364&lt;$A365)),$N$3:N364),'Guide &amp; Settings'!$C$41))</f>
        <v>1045.6062382737775</v>
      </c>
      <c r="I365" s="123">
        <f t="shared" si="102"/>
        <v>0.25</v>
      </c>
      <c r="J365" s="124">
        <f>IF($D365="",0,IF($F365&lt;2,0,IF($E365="Win",('Guide &amp; Settings'!$C$42/(($F365-1)*COUNTIFS($A$4:$A$1510,$A365,$E$4:$E$1510,"Win")))*SUMIFS($X$4:$X$1510,$A$4:$A$1510,$A365,$E$4:$E$1510,"Loss"),-('Guide &amp; Settings'!$C$42/($F365-1))*$X365)))</f>
        <v>-13.153565088766701</v>
      </c>
      <c r="K365" s="124">
        <f>IF($D365="",0,'Guide &amp; Settings'!$C$43*(IF($E365="Win",1,0)-$I365))</f>
        <v>-3</v>
      </c>
      <c r="L365" s="125">
        <f>IF($D365="",0,'Guide &amp; Settings'!$C$44*IF($F365&gt;=3,$F365,0))</f>
        <v>0</v>
      </c>
      <c r="M365" s="124">
        <f t="shared" si="103"/>
        <v>-16.153565088766701</v>
      </c>
      <c r="N365" s="122">
        <f t="shared" si="104"/>
        <v>1029.4526731850108</v>
      </c>
      <c r="O365" s="121" t="str">
        <f t="shared" si="105"/>
        <v>OK</v>
      </c>
      <c r="P365">
        <f t="shared" si="106"/>
        <v>1108.6458487105747</v>
      </c>
      <c r="Q365">
        <f t="shared" si="107"/>
        <v>0.4102613279501669</v>
      </c>
      <c r="R365">
        <f t="shared" si="108"/>
        <v>0.25</v>
      </c>
      <c r="S365">
        <f t="shared" si="109"/>
        <v>1</v>
      </c>
      <c r="T365" s="89">
        <f t="shared" si="110"/>
        <v>2</v>
      </c>
      <c r="U365" s="126">
        <f>IF($D365="",0,IFERROR(LOOKUP(2,1/(($D$3:D364=$D365)*($C$3:C364=$C365)*($A$3:A364&lt;$A365)),$AB$3:AB364),1000))</f>
        <v>969.46950152897546</v>
      </c>
      <c r="V365" s="126">
        <f t="shared" si="111"/>
        <v>1023.8528849181198</v>
      </c>
      <c r="W365">
        <f t="shared" si="112"/>
        <v>1086.3271772135604</v>
      </c>
      <c r="X365">
        <f t="shared" si="113"/>
        <v>0.41104890902395941</v>
      </c>
      <c r="Y365">
        <f t="shared" si="114"/>
        <v>1030.5304984710244</v>
      </c>
      <c r="Z365">
        <f t="shared" si="115"/>
        <v>0.41301984883082593</v>
      </c>
      <c r="AA365">
        <f>IF($D365="",0,IF($F365&lt;2,0,IF($E365="Win",('Guide &amp; Settings'!$C$42/(($F365-1)*COUNTIFS($A$4:$A$1510,$A365,$E$4:$E$1510,"Win")))*SUMIFS($Z$4:$Z$1510,$A$4:$A$1510,$A365,$E$4:$E$1510,"Loss"),-('Guide &amp; Settings'!$C$42/($F365-1))*$Z365)))</f>
        <v>-13.21663516258643</v>
      </c>
      <c r="AB365" s="126">
        <f t="shared" si="116"/>
        <v>956.25286636638907</v>
      </c>
      <c r="AC365" s="126">
        <f>IF($D365="","",IF($AD365=0,0,IF(COUNTIFS($D$4:$D365,$D365,$B$4:$B365,$B365)&gt;1,0,IF($B365&lt;'Guide &amp; Settings'!$C$50,0,IF(($B365-$AD365)/7-'Guide &amp; Settings'!$C$48&gt;=0,(INT(($B365-$AD365)/7-'Guide &amp; Settings'!$C$48)+1)*'Guide &amp; Settings'!$C$49,0)))))</f>
        <v>0</v>
      </c>
      <c r="AD365" s="142">
        <f t="shared" si="117"/>
        <v>46208</v>
      </c>
      <c r="AE365">
        <f t="shared" si="118"/>
        <v>1</v>
      </c>
      <c r="AF365">
        <f t="shared" si="119"/>
        <v>0</v>
      </c>
    </row>
    <row r="366" spans="1:32" x14ac:dyDescent="0.2">
      <c r="A366" s="117">
        <v>158</v>
      </c>
      <c r="B366" s="118">
        <v>46215</v>
      </c>
      <c r="C366" s="119" t="s">
        <v>33</v>
      </c>
      <c r="D366" s="119" t="s">
        <v>21</v>
      </c>
      <c r="E366" s="117" t="s">
        <v>371</v>
      </c>
      <c r="F366" s="120">
        <f t="shared" si="100"/>
        <v>2</v>
      </c>
      <c r="G366" s="121" t="str">
        <f t="shared" si="101"/>
        <v>Chase</v>
      </c>
      <c r="H366" s="122">
        <f>IF($D366="",0,IFERROR(LOOKUP(2,1/(($D$3:D365=$D366)*($A$3:A365&lt;$A366)),$N$3:N365),'Guide &amp; Settings'!$C$41))</f>
        <v>1085.4901250893295</v>
      </c>
      <c r="I366" s="123">
        <f t="shared" si="102"/>
        <v>0.5</v>
      </c>
      <c r="J366" s="124">
        <f>IF($D366="",0,IF($F366&lt;2,0,IF($E366="Win",('Guide &amp; Settings'!$C$42/(($F366-1)*COUNTIFS($A$4:$A$1510,$A366,$E$4:$E$1510,"Win")))*SUMIFS($X$4:$X$1510,$A$4:$A$1510,$A366,$E$4:$E$1510,"Loss"),-('Guide &amp; Settings'!$C$42/($F366-1))*$X366)))</f>
        <v>-19.123417652209287</v>
      </c>
      <c r="K366" s="124">
        <f>IF($D366="",0,'Guide &amp; Settings'!$C$43*(IF($E366="Win",1,0)-$I366))</f>
        <v>-6</v>
      </c>
      <c r="L366" s="125">
        <f>IF($D366="",0,'Guide &amp; Settings'!$C$44*IF($F366&gt;=3,$F366,0))</f>
        <v>0</v>
      </c>
      <c r="M366" s="124">
        <f t="shared" si="103"/>
        <v>-25.123417652209287</v>
      </c>
      <c r="N366" s="122">
        <f t="shared" si="104"/>
        <v>1060.3667074371201</v>
      </c>
      <c r="O366" s="121" t="str">
        <f t="shared" si="105"/>
        <v>OK</v>
      </c>
      <c r="P366">
        <f t="shared" si="106"/>
        <v>1016.7841648959289</v>
      </c>
      <c r="Q366">
        <f t="shared" si="107"/>
        <v>0.59760680163154023</v>
      </c>
      <c r="R366">
        <f t="shared" si="108"/>
        <v>0.5</v>
      </c>
      <c r="S366">
        <f t="shared" si="109"/>
        <v>1</v>
      </c>
      <c r="T366" s="89">
        <f t="shared" si="110"/>
        <v>0</v>
      </c>
      <c r="U366" s="126">
        <f>IF($D366="",0,IFERROR(LOOKUP(2,1/(($D$3:D365=$D366)*($C$3:C365=$C366)*($A$3:A365&lt;$A366)),$AB$3:AB365),1000))</f>
        <v>1000</v>
      </c>
      <c r="V366" s="126">
        <f t="shared" si="111"/>
        <v>1085.4901250893295</v>
      </c>
      <c r="W366">
        <f t="shared" si="112"/>
        <v>1016.7841648959289</v>
      </c>
      <c r="X366">
        <f t="shared" si="113"/>
        <v>0.59760680163154023</v>
      </c>
      <c r="Y366">
        <f t="shared" si="114"/>
        <v>1000</v>
      </c>
      <c r="Z366">
        <f t="shared" si="115"/>
        <v>0.5</v>
      </c>
      <c r="AA366">
        <f>IF($D366="",0,IF($F366&lt;2,0,IF($E366="Win",('Guide &amp; Settings'!$C$42/(($F366-1)*COUNTIFS($A$4:$A$1510,$A366,$E$4:$E$1510,"Win")))*SUMIFS($Z$4:$Z$1510,$A$4:$A$1510,$A366,$E$4:$E$1510,"Loss"),-('Guide &amp; Settings'!$C$42/($F366-1))*$Z366)))</f>
        <v>-16</v>
      </c>
      <c r="AB366" s="126">
        <f t="shared" si="116"/>
        <v>984</v>
      </c>
      <c r="AC366" s="126">
        <f>IF($D366="","",IF($AD366=0,0,IF(COUNTIFS($D$4:$D366,$D366,$B$4:$B366,$B366)&gt;1,0,IF($B366&lt;'Guide &amp; Settings'!$C$50,0,IF(($B366-$AD366)/7-'Guide &amp; Settings'!$C$48&gt;=0,(INT(($B366-$AD366)/7-'Guide &amp; Settings'!$C$48)+1)*'Guide &amp; Settings'!$C$49,0)))))</f>
        <v>0</v>
      </c>
      <c r="AD366" s="142">
        <f t="shared" si="117"/>
        <v>46188</v>
      </c>
      <c r="AE366">
        <f t="shared" si="118"/>
        <v>1</v>
      </c>
      <c r="AF366">
        <f t="shared" si="119"/>
        <v>0</v>
      </c>
    </row>
    <row r="367" spans="1:32" x14ac:dyDescent="0.2">
      <c r="A367" s="117">
        <v>158</v>
      </c>
      <c r="B367" s="118">
        <v>46215</v>
      </c>
      <c r="C367" s="119" t="s">
        <v>33</v>
      </c>
      <c r="D367" s="119" t="s">
        <v>17</v>
      </c>
      <c r="E367" s="117" t="s">
        <v>370</v>
      </c>
      <c r="F367" s="120">
        <f t="shared" si="100"/>
        <v>2</v>
      </c>
      <c r="G367" s="121" t="str">
        <f t="shared" si="101"/>
        <v>Chase</v>
      </c>
      <c r="H367" s="122">
        <f>IF($D367="",0,IFERROR(LOOKUP(2,1/(($D$3:D366=$D367)*($A$3:A366&lt;$A367)),$N$3:N366),'Guide &amp; Settings'!$C$41))</f>
        <v>1016.7841648959289</v>
      </c>
      <c r="I367" s="123">
        <f t="shared" si="102"/>
        <v>0.5</v>
      </c>
      <c r="J367" s="124">
        <f>IF($D367="",0,IF($F367&lt;2,0,IF($E367="Win",('Guide &amp; Settings'!$C$42/(($F367-1)*COUNTIFS($A$4:$A$1510,$A367,$E$4:$E$1510,"Win")))*SUMIFS($X$4:$X$1510,$A$4:$A$1510,$A367,$E$4:$E$1510,"Loss"),-('Guide &amp; Settings'!$C$42/($F367-1))*$X367)))</f>
        <v>19.123417652209287</v>
      </c>
      <c r="K367" s="124">
        <f>IF($D367="",0,'Guide &amp; Settings'!$C$43*(IF($E367="Win",1,0)-$I367))</f>
        <v>6</v>
      </c>
      <c r="L367" s="125">
        <f>IF($D367="",0,'Guide &amp; Settings'!$C$44*IF($F367&gt;=3,$F367,0))</f>
        <v>0</v>
      </c>
      <c r="M367" s="124">
        <f t="shared" si="103"/>
        <v>25.123417652209287</v>
      </c>
      <c r="N367" s="122">
        <f t="shared" si="104"/>
        <v>1041.9075825481382</v>
      </c>
      <c r="O367" s="121" t="str">
        <f t="shared" si="105"/>
        <v>OK</v>
      </c>
      <c r="P367">
        <f t="shared" si="106"/>
        <v>1016.7841648959289</v>
      </c>
      <c r="Q367">
        <f t="shared" si="107"/>
        <v>0.5</v>
      </c>
      <c r="R367">
        <f t="shared" si="108"/>
        <v>0.5</v>
      </c>
      <c r="S367">
        <f t="shared" si="109"/>
        <v>1</v>
      </c>
      <c r="T367" s="89">
        <f t="shared" si="110"/>
        <v>0</v>
      </c>
      <c r="U367" s="126">
        <f>IF($D367="",0,IFERROR(LOOKUP(2,1/(($D$3:D366=$D367)*($C$3:C366=$C367)*($A$3:A366&lt;$A367)),$AB$3:AB366),1000))</f>
        <v>1000</v>
      </c>
      <c r="V367" s="126">
        <f t="shared" si="111"/>
        <v>1016.7841648959289</v>
      </c>
      <c r="W367">
        <f t="shared" si="112"/>
        <v>1016.7841648959289</v>
      </c>
      <c r="X367">
        <f t="shared" si="113"/>
        <v>0.5</v>
      </c>
      <c r="Y367">
        <f t="shared" si="114"/>
        <v>1000</v>
      </c>
      <c r="Z367">
        <f t="shared" si="115"/>
        <v>0.5</v>
      </c>
      <c r="AA367">
        <f>IF($D367="",0,IF($F367&lt;2,0,IF($E367="Win",('Guide &amp; Settings'!$C$42/(($F367-1)*COUNTIFS($A$4:$A$1510,$A367,$E$4:$E$1510,"Win")))*SUMIFS($Z$4:$Z$1510,$A$4:$A$1510,$A367,$E$4:$E$1510,"Loss"),-('Guide &amp; Settings'!$C$42/($F367-1))*$Z367)))</f>
        <v>16</v>
      </c>
      <c r="AB367" s="126">
        <f t="shared" si="116"/>
        <v>1016</v>
      </c>
      <c r="AC367" s="126">
        <f>IF($D367="","",IF($AD367=0,0,IF(COUNTIFS($D$4:$D367,$D367,$B$4:$B367,$B367)&gt;1,0,IF($B367&lt;'Guide &amp; Settings'!$C$50,0,IF(($B367-$AD367)/7-'Guide &amp; Settings'!$C$48&gt;=0,(INT(($B367-$AD367)/7-'Guide &amp; Settings'!$C$48)+1)*'Guide &amp; Settings'!$C$49,0)))))</f>
        <v>0</v>
      </c>
      <c r="AD367" s="142">
        <f t="shared" si="117"/>
        <v>46188</v>
      </c>
      <c r="AE367">
        <f t="shared" si="118"/>
        <v>1</v>
      </c>
      <c r="AF367">
        <f t="shared" si="119"/>
        <v>0</v>
      </c>
    </row>
    <row r="368" spans="1:32" x14ac:dyDescent="0.2">
      <c r="A368" s="117">
        <v>159</v>
      </c>
      <c r="B368" s="118">
        <v>46217</v>
      </c>
      <c r="C368" s="119" t="s">
        <v>50</v>
      </c>
      <c r="D368" s="119" t="s">
        <v>20</v>
      </c>
      <c r="E368" s="117" t="s">
        <v>370</v>
      </c>
      <c r="F368" s="120">
        <f t="shared" si="100"/>
        <v>2</v>
      </c>
      <c r="G368" s="121" t="str">
        <f t="shared" si="101"/>
        <v>Shawn</v>
      </c>
      <c r="H368" s="122">
        <f>IF($D368="",0,IFERROR(LOOKUP(2,1/(($D$3:D367=$D368)*($A$3:A367&lt;$A368)),$N$3:N367),'Guide &amp; Settings'!$C$41))</f>
        <v>1124.7994137993414</v>
      </c>
      <c r="I368" s="123">
        <f t="shared" si="102"/>
        <v>0.56000000000000005</v>
      </c>
      <c r="J368" s="124">
        <f>IF($D368="",0,IF($F368&lt;2,0,IF($E368="Win",('Guide &amp; Settings'!$C$42/(($F368-1)*COUNTIFS($A$4:$A$1510,$A368,$E$4:$E$1510,"Win")))*SUMIFS($X$4:$X$1510,$A$4:$A$1510,$A368,$E$4:$E$1510,"Loss"),-('Guide &amp; Settings'!$C$42/($F368-1))*$X368)))</f>
        <v>16.143599770738579</v>
      </c>
      <c r="K368" s="124">
        <f>IF($D368="",0,'Guide &amp; Settings'!$C$43*(IF($E368="Win",1,0)-$I368))</f>
        <v>5.2799999999999994</v>
      </c>
      <c r="L368" s="125">
        <f>IF($D368="",0,'Guide &amp; Settings'!$C$44*IF($F368&gt;=3,$F368,0))</f>
        <v>0</v>
      </c>
      <c r="M368" s="124">
        <f t="shared" si="103"/>
        <v>21.423599770738576</v>
      </c>
      <c r="N368" s="122">
        <f t="shared" si="104"/>
        <v>1146.22301357008</v>
      </c>
      <c r="O368" s="121" t="str">
        <f t="shared" si="105"/>
        <v>OK</v>
      </c>
      <c r="P368">
        <f t="shared" si="106"/>
        <v>1124.7994137993414</v>
      </c>
      <c r="Q368">
        <f t="shared" si="107"/>
        <v>0.5</v>
      </c>
      <c r="R368">
        <f t="shared" si="108"/>
        <v>0.63636363636363635</v>
      </c>
      <c r="S368">
        <f t="shared" si="109"/>
        <v>1.1363636363636362</v>
      </c>
      <c r="T368" s="89">
        <f t="shared" si="110"/>
        <v>9</v>
      </c>
      <c r="U368" s="126">
        <f>IF($D368="",0,IFERROR(LOOKUP(2,1/(($D$3:D367=$D368)*($C$3:C367=$C368)*($A$3:A367&lt;$A368)),$AB$3:AB367),1000))</f>
        <v>1023.5480887963037</v>
      </c>
      <c r="V368" s="126">
        <f t="shared" si="111"/>
        <v>1059.7092762973884</v>
      </c>
      <c r="W368">
        <f t="shared" si="112"/>
        <v>1059.7092762973884</v>
      </c>
      <c r="X368">
        <f t="shared" si="113"/>
        <v>0.5</v>
      </c>
      <c r="Y368">
        <f t="shared" si="114"/>
        <v>1023.5480887963037</v>
      </c>
      <c r="Z368">
        <f t="shared" si="115"/>
        <v>0.5</v>
      </c>
      <c r="AA368">
        <f>IF($D368="",0,IF($F368&lt;2,0,IF($E368="Win",('Guide &amp; Settings'!$C$42/(($F368-1)*COUNTIFS($A$4:$A$1510,$A368,$E$4:$E$1510,"Win")))*SUMIFS($Z$4:$Z$1510,$A$4:$A$1510,$A368,$E$4:$E$1510,"Loss"),-('Guide &amp; Settings'!$C$42/($F368-1))*$Z368)))</f>
        <v>14.917227904974506</v>
      </c>
      <c r="AB368" s="126">
        <f t="shared" si="116"/>
        <v>1038.4653167012782</v>
      </c>
      <c r="AC368" s="126">
        <f>IF($D368="","",IF($AD368=0,0,IF(COUNTIFS($D$4:$D368,$D368,$B$4:$B368,$B368)&gt;1,0,IF($B368&lt;'Guide &amp; Settings'!$C$50,0,IF(($B368-$AD368)/7-'Guide &amp; Settings'!$C$48&gt;=0,(INT(($B368-$AD368)/7-'Guide &amp; Settings'!$C$48)+1)*'Guide &amp; Settings'!$C$49,0)))))</f>
        <v>0</v>
      </c>
      <c r="AD368" s="142">
        <f t="shared" si="117"/>
        <v>46215</v>
      </c>
      <c r="AE368">
        <f t="shared" si="118"/>
        <v>1</v>
      </c>
      <c r="AF368">
        <f t="shared" si="119"/>
        <v>0</v>
      </c>
    </row>
    <row r="369" spans="1:32" x14ac:dyDescent="0.2">
      <c r="A369" s="117">
        <v>159</v>
      </c>
      <c r="B369" s="118">
        <v>46217</v>
      </c>
      <c r="C369" s="119" t="s">
        <v>50</v>
      </c>
      <c r="D369" s="119" t="s">
        <v>25</v>
      </c>
      <c r="E369" s="117" t="s">
        <v>371</v>
      </c>
      <c r="F369" s="120">
        <f t="shared" si="100"/>
        <v>2</v>
      </c>
      <c r="G369" s="121" t="str">
        <f t="shared" si="101"/>
        <v>Shawn</v>
      </c>
      <c r="H369" s="122">
        <f>IF($D369="",0,IFERROR(LOOKUP(2,1/(($D$3:D368=$D369)*($A$3:A368&lt;$A369)),$N$3:N368),'Guide &amp; Settings'!$C$41))</f>
        <v>1062.8275894279936</v>
      </c>
      <c r="I369" s="123">
        <f t="shared" si="102"/>
        <v>0.44000000000000006</v>
      </c>
      <c r="J369" s="124">
        <f>IF($D369="",0,IF($F369&lt;2,0,IF($E369="Win",('Guide &amp; Settings'!$C$42/(($F369-1)*COUNTIFS($A$4:$A$1510,$A369,$E$4:$E$1510,"Win")))*SUMIFS($X$4:$X$1510,$A$4:$A$1510,$A369,$E$4:$E$1510,"Loss"),-('Guide &amp; Settings'!$C$42/($F369-1))*$X369)))</f>
        <v>-16.143599770738579</v>
      </c>
      <c r="K369" s="124">
        <f>IF($D369="",0,'Guide &amp; Settings'!$C$43*(IF($E369="Win",1,0)-$I369))</f>
        <v>-5.2800000000000011</v>
      </c>
      <c r="L369" s="125">
        <f>IF($D369="",0,'Guide &amp; Settings'!$C$44*IF($F369&gt;=3,$F369,0))</f>
        <v>0</v>
      </c>
      <c r="M369" s="124">
        <f t="shared" si="103"/>
        <v>-21.42359977073858</v>
      </c>
      <c r="N369" s="122">
        <f t="shared" si="104"/>
        <v>1041.4039896572551</v>
      </c>
      <c r="O369" s="121" t="str">
        <f t="shared" si="105"/>
        <v>OK</v>
      </c>
      <c r="P369">
        <f t="shared" si="106"/>
        <v>1124.7994137993414</v>
      </c>
      <c r="Q369">
        <f t="shared" si="107"/>
        <v>0.41174931238275209</v>
      </c>
      <c r="R369">
        <f t="shared" si="108"/>
        <v>0.5</v>
      </c>
      <c r="S369">
        <f t="shared" si="109"/>
        <v>1.1363636363636362</v>
      </c>
      <c r="T369" s="89">
        <f t="shared" si="110"/>
        <v>0</v>
      </c>
      <c r="U369" s="126">
        <f>IF($D369="",0,IFERROR(LOOKUP(2,1/(($D$3:D368=$D369)*($C$3:C368=$C369)*($A$3:A368&lt;$A369)),$AB$3:AB368),1000))</f>
        <v>1000</v>
      </c>
      <c r="V369" s="126">
        <f t="shared" si="111"/>
        <v>1062.8275894279936</v>
      </c>
      <c r="W369">
        <f t="shared" si="112"/>
        <v>1059.7092762973884</v>
      </c>
      <c r="X369">
        <f t="shared" si="113"/>
        <v>0.50448749283558059</v>
      </c>
      <c r="Y369">
        <f t="shared" si="114"/>
        <v>1023.5480887963037</v>
      </c>
      <c r="Z369">
        <f t="shared" si="115"/>
        <v>0.46616337203045333</v>
      </c>
      <c r="AA369">
        <f>IF($D369="",0,IF($F369&lt;2,0,IF($E369="Win",('Guide &amp; Settings'!$C$42/(($F369-1)*COUNTIFS($A$4:$A$1510,$A369,$E$4:$E$1510,"Win")))*SUMIFS($Z$4:$Z$1510,$A$4:$A$1510,$A369,$E$4:$E$1510,"Loss"),-('Guide &amp; Settings'!$C$42/($F369-1))*$Z369)))</f>
        <v>-14.917227904974506</v>
      </c>
      <c r="AB369" s="126">
        <f t="shared" si="116"/>
        <v>985.08277209502546</v>
      </c>
      <c r="AC369" s="126">
        <f>IF($D369="","",IF($AD369=0,0,IF(COUNTIFS($D$4:$D369,$D369,$B$4:$B369,$B369)&gt;1,0,IF($B369&lt;'Guide &amp; Settings'!$C$50,0,IF(($B369-$AD369)/7-'Guide &amp; Settings'!$C$48&gt;=0,(INT(($B369-$AD369)/7-'Guide &amp; Settings'!$C$48)+1)*'Guide &amp; Settings'!$C$49,0)))))</f>
        <v>0</v>
      </c>
      <c r="AD369" s="142">
        <f t="shared" si="117"/>
        <v>46209</v>
      </c>
      <c r="AE369">
        <f t="shared" si="118"/>
        <v>1</v>
      </c>
      <c r="AF369">
        <f t="shared" si="119"/>
        <v>0</v>
      </c>
    </row>
    <row r="370" spans="1:32" x14ac:dyDescent="0.2">
      <c r="A370" s="117">
        <v>160</v>
      </c>
      <c r="B370" s="118">
        <v>46217</v>
      </c>
      <c r="C370" s="119" t="s">
        <v>50</v>
      </c>
      <c r="D370" s="119" t="s">
        <v>20</v>
      </c>
      <c r="E370" s="117" t="s">
        <v>371</v>
      </c>
      <c r="F370" s="120">
        <f t="shared" si="100"/>
        <v>3</v>
      </c>
      <c r="G370" s="121" t="str">
        <f t="shared" si="101"/>
        <v>Oscar</v>
      </c>
      <c r="H370" s="122">
        <f>IF($D370="",0,IFERROR(LOOKUP(2,1/(($D$3:D369=$D370)*($A$3:A369&lt;$A370)),$N$3:N369),'Guide &amp; Settings'!$C$41))</f>
        <v>1146.22301357008</v>
      </c>
      <c r="I370" s="123">
        <f t="shared" si="102"/>
        <v>0.51282051282051277</v>
      </c>
      <c r="J370" s="124">
        <f>IF($D370="",0,IF($F370&lt;2,0,IF($E370="Win",('Guide &amp; Settings'!$C$42/(($F370-1)*COUNTIFS($A$4:$A$1510,$A370,$E$4:$E$1510,"Win")))*SUMIFS($X$4:$X$1510,$A$4:$A$1510,$A370,$E$4:$E$1510,"Loss"),-('Guide &amp; Settings'!$C$42/($F370-1))*$X370)))</f>
        <v>-8.9707391839336115</v>
      </c>
      <c r="K370" s="124">
        <f>IF($D370="",0,'Guide &amp; Settings'!$C$43*(IF($E370="Win",1,0)-$I370))</f>
        <v>-6.1538461538461533</v>
      </c>
      <c r="L370" s="125">
        <f>IF($D370="",0,'Guide &amp; Settings'!$C$44*IF($F370&gt;=3,$F370,0))</f>
        <v>3</v>
      </c>
      <c r="M370" s="124">
        <f t="shared" si="103"/>
        <v>-12.124585337779765</v>
      </c>
      <c r="N370" s="122">
        <f t="shared" si="104"/>
        <v>1134.0984282323002</v>
      </c>
      <c r="O370" s="121" t="str">
        <f t="shared" si="105"/>
        <v>OK</v>
      </c>
      <c r="P370">
        <f t="shared" si="106"/>
        <v>1041.4039896572551</v>
      </c>
      <c r="Q370">
        <f t="shared" si="107"/>
        <v>0.64643077100064228</v>
      </c>
      <c r="R370">
        <f t="shared" si="108"/>
        <v>0.66666666666666663</v>
      </c>
      <c r="S370">
        <f t="shared" si="109"/>
        <v>1.3</v>
      </c>
      <c r="T370" s="89">
        <f t="shared" si="110"/>
        <v>10</v>
      </c>
      <c r="U370" s="126">
        <f>IF($D370="",0,IFERROR(LOOKUP(2,1/(($D$3:D369=$D370)*($C$3:C369=$C370)*($A$3:A369&lt;$A370)),$AB$3:AB369),1000))</f>
        <v>1038.4653167012782</v>
      </c>
      <c r="V370" s="126">
        <f t="shared" si="111"/>
        <v>1074.3845489908788</v>
      </c>
      <c r="W370">
        <f t="shared" si="112"/>
        <v>1032.0171200635502</v>
      </c>
      <c r="X370">
        <f t="shared" si="113"/>
        <v>0.56067119899585072</v>
      </c>
      <c r="Y370">
        <f t="shared" si="114"/>
        <v>985.08277209502546</v>
      </c>
      <c r="Z370">
        <f t="shared" si="115"/>
        <v>0.57622477367854108</v>
      </c>
      <c r="AA370">
        <f>IF($D370="",0,IF($F370&lt;2,0,IF($E370="Win",('Guide &amp; Settings'!$C$42/(($F370-1)*COUNTIFS($A$4:$A$1510,$A370,$E$4:$E$1510,"Win")))*SUMIFS($Z$4:$Z$1510,$A$4:$A$1510,$A370,$E$4:$E$1510,"Loss"),-('Guide &amp; Settings'!$C$42/($F370-1))*$Z370)))</f>
        <v>-9.2195963788566573</v>
      </c>
      <c r="AB370" s="126">
        <f t="shared" si="116"/>
        <v>1029.2457203224214</v>
      </c>
      <c r="AC370" s="126">
        <f>IF($D370="","",IF($AD370=0,0,IF(COUNTIFS($D$4:$D370,$D370,$B$4:$B370,$B370)&gt;1,0,IF($B370&lt;'Guide &amp; Settings'!$C$50,0,IF(($B370-$AD370)/7-'Guide &amp; Settings'!$C$48&gt;=0,(INT(($B370-$AD370)/7-'Guide &amp; Settings'!$C$48)+1)*'Guide &amp; Settings'!$C$49,0)))))</f>
        <v>0</v>
      </c>
      <c r="AD370" s="142">
        <f t="shared" si="117"/>
        <v>46215</v>
      </c>
      <c r="AE370">
        <f t="shared" si="118"/>
        <v>1</v>
      </c>
      <c r="AF370">
        <f t="shared" si="119"/>
        <v>0</v>
      </c>
    </row>
    <row r="371" spans="1:32" x14ac:dyDescent="0.2">
      <c r="A371" s="117">
        <v>160</v>
      </c>
      <c r="B371" s="118">
        <v>46217</v>
      </c>
      <c r="C371" s="119" t="s">
        <v>50</v>
      </c>
      <c r="D371" s="119" t="s">
        <v>25</v>
      </c>
      <c r="E371" s="117" t="s">
        <v>370</v>
      </c>
      <c r="F371" s="120">
        <f t="shared" si="100"/>
        <v>3</v>
      </c>
      <c r="G371" s="121" t="str">
        <f t="shared" si="101"/>
        <v>Oscar</v>
      </c>
      <c r="H371" s="122">
        <f>IF($D371="",0,IFERROR(LOOKUP(2,1/(($D$3:D370=$D371)*($A$3:A370&lt;$A371)),$N$3:N370),'Guide &amp; Settings'!$C$41))</f>
        <v>1041.4039896572551</v>
      </c>
      <c r="I371" s="123">
        <f t="shared" si="102"/>
        <v>0.25641025641025639</v>
      </c>
      <c r="J371" s="124">
        <f>IF($D371="",0,IF($F371&lt;2,0,IF($E371="Win",('Guide &amp; Settings'!$C$42/(($F371-1)*COUNTIFS($A$4:$A$1510,$A371,$E$4:$E$1510,"Win")))*SUMIFS($X$4:$X$1510,$A$4:$A$1510,$A371,$E$4:$E$1510,"Loss"),-('Guide &amp; Settings'!$C$42/($F371-1))*$X371)))</f>
        <v>15.763438242330921</v>
      </c>
      <c r="K371" s="124">
        <f>IF($D371="",0,'Guide &amp; Settings'!$C$43*(IF($E371="Win",1,0)-$I371))</f>
        <v>8.9230769230769234</v>
      </c>
      <c r="L371" s="125">
        <f>IF($D371="",0,'Guide &amp; Settings'!$C$44*IF($F371&gt;=3,$F371,0))</f>
        <v>3</v>
      </c>
      <c r="M371" s="124">
        <f t="shared" si="103"/>
        <v>27.686515165407844</v>
      </c>
      <c r="N371" s="122">
        <f t="shared" si="104"/>
        <v>1069.090504822663</v>
      </c>
      <c r="O371" s="121" t="str">
        <f t="shared" si="105"/>
        <v>OK</v>
      </c>
      <c r="P371">
        <f t="shared" si="106"/>
        <v>1041.4039896572551</v>
      </c>
      <c r="Q371">
        <f t="shared" si="107"/>
        <v>0.5</v>
      </c>
      <c r="R371">
        <f t="shared" si="108"/>
        <v>0.33333333333333331</v>
      </c>
      <c r="S371">
        <f t="shared" si="109"/>
        <v>1.3</v>
      </c>
      <c r="T371" s="89">
        <f t="shared" si="110"/>
        <v>1</v>
      </c>
      <c r="U371" s="126">
        <f>IF($D371="",0,IFERROR(LOOKUP(2,1/(($D$3:D370=$D371)*($C$3:C370=$C371)*($A$3:A370&lt;$A371)),$AB$3:AB370),1000))</f>
        <v>985.08277209502546</v>
      </c>
      <c r="V371" s="126">
        <f t="shared" si="111"/>
        <v>1032.0171200635502</v>
      </c>
      <c r="W371">
        <f t="shared" si="112"/>
        <v>1032.0171200635502</v>
      </c>
      <c r="X371">
        <f t="shared" si="113"/>
        <v>0.5</v>
      </c>
      <c r="Y371">
        <f t="shared" si="114"/>
        <v>985.08277209502546</v>
      </c>
      <c r="Z371">
        <f t="shared" si="115"/>
        <v>0.5</v>
      </c>
      <c r="AA371">
        <f>IF($D371="",0,IF($F371&lt;2,0,IF($E371="Win",('Guide &amp; Settings'!$C$42/(($F371-1)*COUNTIFS($A$4:$A$1510,$A371,$E$4:$E$1510,"Win")))*SUMIFS($Z$4:$Z$1510,$A$4:$A$1510,$A371,$E$4:$E$1510,"Loss"),-('Guide &amp; Settings'!$C$42/($F371-1))*$Z371)))</f>
        <v>16.363530717872781</v>
      </c>
      <c r="AB371" s="126">
        <f t="shared" si="116"/>
        <v>1001.4463028128982</v>
      </c>
      <c r="AC371" s="126">
        <f>IF($D371="","",IF($AD371=0,0,IF(COUNTIFS($D$4:$D371,$D371,$B$4:$B371,$B371)&gt;1,0,IF($B371&lt;'Guide &amp; Settings'!$C$50,0,IF(($B371-$AD371)/7-'Guide &amp; Settings'!$C$48&gt;=0,(INT(($B371-$AD371)/7-'Guide &amp; Settings'!$C$48)+1)*'Guide &amp; Settings'!$C$49,0)))))</f>
        <v>0</v>
      </c>
      <c r="AD371" s="142">
        <f t="shared" si="117"/>
        <v>46209</v>
      </c>
      <c r="AE371">
        <f t="shared" si="118"/>
        <v>1</v>
      </c>
      <c r="AF371">
        <f t="shared" si="119"/>
        <v>0</v>
      </c>
    </row>
    <row r="372" spans="1:32" x14ac:dyDescent="0.2">
      <c r="A372" s="117">
        <v>160</v>
      </c>
      <c r="B372" s="118">
        <v>46217</v>
      </c>
      <c r="C372" s="119" t="s">
        <v>50</v>
      </c>
      <c r="D372" s="119" t="s">
        <v>22</v>
      </c>
      <c r="E372" s="117" t="s">
        <v>371</v>
      </c>
      <c r="F372" s="120">
        <f t="shared" si="100"/>
        <v>3</v>
      </c>
      <c r="G372" s="121" t="str">
        <f t="shared" si="101"/>
        <v>Oscar</v>
      </c>
      <c r="H372" s="122">
        <f>IF($D372="",0,IFERROR(LOOKUP(2,1/(($D$3:D371=$D372)*($A$3:A371&lt;$A372)),$N$3:N371),'Guide &amp; Settings'!$C$41))</f>
        <v>1029.4526731850108</v>
      </c>
      <c r="I372" s="123">
        <f t="shared" si="102"/>
        <v>0.23076923076923075</v>
      </c>
      <c r="J372" s="124">
        <f>IF($D372="",0,IF($F372&lt;2,0,IF($E372="Win",('Guide &amp; Settings'!$C$42/(($F372-1)*COUNTIFS($A$4:$A$1510,$A372,$E$4:$E$1510,"Win")))*SUMIFS($X$4:$X$1510,$A$4:$A$1510,$A372,$E$4:$E$1510,"Loss"),-('Guide &amp; Settings'!$C$42/($F372-1))*$X372)))</f>
        <v>-6.792699058397309</v>
      </c>
      <c r="K372" s="124">
        <f>IF($D372="",0,'Guide &amp; Settings'!$C$43*(IF($E372="Win",1,0)-$I372))</f>
        <v>-2.7692307692307692</v>
      </c>
      <c r="L372" s="125">
        <f>IF($D372="",0,'Guide &amp; Settings'!$C$44*IF($F372&gt;=3,$F372,0))</f>
        <v>3</v>
      </c>
      <c r="M372" s="124">
        <f t="shared" si="103"/>
        <v>-6.5619298276280773</v>
      </c>
      <c r="N372" s="122">
        <f t="shared" si="104"/>
        <v>1022.8907433573827</v>
      </c>
      <c r="O372" s="121" t="str">
        <f t="shared" si="105"/>
        <v>OK</v>
      </c>
      <c r="P372">
        <f t="shared" si="106"/>
        <v>1041.4039896572551</v>
      </c>
      <c r="Q372">
        <f t="shared" si="107"/>
        <v>0.48280745362249106</v>
      </c>
      <c r="R372">
        <f t="shared" si="108"/>
        <v>0.3</v>
      </c>
      <c r="S372">
        <f t="shared" si="109"/>
        <v>1.3</v>
      </c>
      <c r="T372" s="89">
        <f t="shared" si="110"/>
        <v>8</v>
      </c>
      <c r="U372" s="126">
        <f>IF($D372="",0,IFERROR(LOOKUP(2,1/(($D$3:D371=$D372)*($C$3:C371=$C372)*($A$3:A371&lt;$A372)),$AB$3:AB371),1000))</f>
        <v>947.76142264977557</v>
      </c>
      <c r="V372" s="126">
        <f t="shared" si="111"/>
        <v>979.18113439409683</v>
      </c>
      <c r="W372">
        <f t="shared" si="112"/>
        <v>1032.0171200635502</v>
      </c>
      <c r="X372">
        <f t="shared" si="113"/>
        <v>0.42454369114983181</v>
      </c>
      <c r="Y372">
        <f t="shared" si="114"/>
        <v>985.08277209502546</v>
      </c>
      <c r="Z372">
        <f t="shared" si="115"/>
        <v>0.44649589618850766</v>
      </c>
      <c r="AA372">
        <f>IF($D372="",0,IF($F372&lt;2,0,IF($E372="Win",('Guide &amp; Settings'!$C$42/(($F372-1)*COUNTIFS($A$4:$A$1510,$A372,$E$4:$E$1510,"Win")))*SUMIFS($Z$4:$Z$1510,$A$4:$A$1510,$A372,$E$4:$E$1510,"Loss"),-('Guide &amp; Settings'!$C$42/($F372-1))*$Z372)))</f>
        <v>-7.1439343390161225</v>
      </c>
      <c r="AB372" s="126">
        <f t="shared" si="116"/>
        <v>940.61748831075943</v>
      </c>
      <c r="AC372" s="126">
        <f>IF($D372="","",IF($AD372=0,0,IF(COUNTIFS($D$4:$D372,$D372,$B$4:$B372,$B372)&gt;1,0,IF($B372&lt;'Guide &amp; Settings'!$C$50,0,IF(($B372-$AD372)/7-'Guide &amp; Settings'!$C$48&gt;=0,(INT(($B372-$AD372)/7-'Guide &amp; Settings'!$C$48)+1)*'Guide &amp; Settings'!$C$49,0)))))</f>
        <v>0</v>
      </c>
      <c r="AD372" s="142">
        <f t="shared" si="117"/>
        <v>46215</v>
      </c>
      <c r="AE372">
        <f t="shared" si="118"/>
        <v>1</v>
      </c>
      <c r="AF372">
        <f t="shared" si="119"/>
        <v>0</v>
      </c>
    </row>
    <row r="373" spans="1:32" x14ac:dyDescent="0.2">
      <c r="A373" s="117">
        <v>161</v>
      </c>
      <c r="B373" s="118">
        <v>46219</v>
      </c>
      <c r="C373" s="119" t="s">
        <v>50</v>
      </c>
      <c r="D373" s="119" t="s">
        <v>20</v>
      </c>
      <c r="E373" s="117" t="s">
        <v>370</v>
      </c>
      <c r="F373" s="120">
        <f t="shared" si="100"/>
        <v>4</v>
      </c>
      <c r="G373" s="121" t="str">
        <f t="shared" si="101"/>
        <v>Shawn</v>
      </c>
      <c r="H373" s="122">
        <f>IF($D373="",0,IFERROR(LOOKUP(2,1/(($D$3:D372=$D373)*($A$3:A372&lt;$A373)),$N$3:N372),'Guide &amp; Settings'!$C$41))</f>
        <v>1134.0984282323002</v>
      </c>
      <c r="I373" s="123">
        <f t="shared" si="102"/>
        <v>0.2513089005235602</v>
      </c>
      <c r="J373" s="124">
        <f>IF($D373="",0,IF($F373&lt;2,0,IF($E373="Win",('Guide &amp; Settings'!$C$42/(($F373-1)*COUNTIFS($A$4:$A$1510,$A373,$E$4:$E$1510,"Win")))*SUMIFS($X$4:$X$1510,$A$4:$A$1510,$A373,$E$4:$E$1510,"Loss"),-('Guide &amp; Settings'!$C$42/($F373-1))*$X373)))</f>
        <v>15.573080389097964</v>
      </c>
      <c r="K373" s="124">
        <f>IF($D373="",0,'Guide &amp; Settings'!$C$43*(IF($E373="Win",1,0)-$I373))</f>
        <v>8.9842931937172779</v>
      </c>
      <c r="L373" s="125">
        <f>IF($D373="",0,'Guide &amp; Settings'!$C$44*IF($F373&gt;=3,$F373,0))</f>
        <v>4</v>
      </c>
      <c r="M373" s="124">
        <f t="shared" si="103"/>
        <v>28.557373582815242</v>
      </c>
      <c r="N373" s="122">
        <f t="shared" si="104"/>
        <v>1162.6558018151154</v>
      </c>
      <c r="O373" s="121" t="str">
        <f t="shared" si="105"/>
        <v>OK</v>
      </c>
      <c r="P373">
        <f t="shared" si="106"/>
        <v>1134.0984282323002</v>
      </c>
      <c r="Q373">
        <f t="shared" si="107"/>
        <v>0.5</v>
      </c>
      <c r="R373">
        <f t="shared" si="108"/>
        <v>0.61538461538461542</v>
      </c>
      <c r="S373">
        <f t="shared" si="109"/>
        <v>2.4487179487179489</v>
      </c>
      <c r="T373" s="89">
        <f t="shared" si="110"/>
        <v>11</v>
      </c>
      <c r="U373" s="126">
        <f>IF($D373="",0,IFERROR(LOOKUP(2,1/(($D$3:D372=$D373)*($C$3:C372=$C373)*($A$3:A372&lt;$A373)),$AB$3:AB372),1000))</f>
        <v>1029.2457203224214</v>
      </c>
      <c r="V373" s="126">
        <f t="shared" si="111"/>
        <v>1062.0121915442587</v>
      </c>
      <c r="W373">
        <f t="shared" si="112"/>
        <v>1062.0121915442587</v>
      </c>
      <c r="X373">
        <f t="shared" si="113"/>
        <v>0.5</v>
      </c>
      <c r="Y373">
        <f t="shared" si="114"/>
        <v>1029.2457203224214</v>
      </c>
      <c r="Z373">
        <f t="shared" si="115"/>
        <v>0.5</v>
      </c>
      <c r="AA373">
        <f>IF($D373="",0,IF($F373&lt;2,0,IF($E373="Win",('Guide &amp; Settings'!$C$42/(($F373-1)*COUNTIFS($A$4:$A$1510,$A373,$E$4:$E$1510,"Win")))*SUMIFS($Z$4:$Z$1510,$A$4:$A$1510,$A373,$E$4:$E$1510,"Loss"),-('Guide &amp; Settings'!$C$42/($F373-1))*$Z373)))</f>
        <v>15.533136242754461</v>
      </c>
      <c r="AB373" s="126">
        <f t="shared" si="116"/>
        <v>1044.7788565651758</v>
      </c>
      <c r="AC373" s="126">
        <f>IF($D373="","",IF($AD373=0,0,IF(COUNTIFS($D$4:$D373,$D373,$B$4:$B373,$B373)&gt;1,0,IF($B373&lt;'Guide &amp; Settings'!$C$50,0,IF(($B373-$AD373)/7-'Guide &amp; Settings'!$C$48&gt;=0,(INT(($B373-$AD373)/7-'Guide &amp; Settings'!$C$48)+1)*'Guide &amp; Settings'!$C$49,0)))))</f>
        <v>0</v>
      </c>
      <c r="AD373" s="142">
        <f t="shared" si="117"/>
        <v>46217</v>
      </c>
      <c r="AE373">
        <f t="shared" si="118"/>
        <v>1</v>
      </c>
      <c r="AF373">
        <f t="shared" si="119"/>
        <v>0</v>
      </c>
    </row>
    <row r="374" spans="1:32" x14ac:dyDescent="0.2">
      <c r="A374" s="117">
        <v>161</v>
      </c>
      <c r="B374" s="118">
        <v>46219</v>
      </c>
      <c r="C374" s="119" t="s">
        <v>50</v>
      </c>
      <c r="D374" s="119" t="s">
        <v>21</v>
      </c>
      <c r="E374" s="117" t="s">
        <v>371</v>
      </c>
      <c r="F374" s="120">
        <f t="shared" si="100"/>
        <v>4</v>
      </c>
      <c r="G374" s="121" t="str">
        <f t="shared" si="101"/>
        <v>Shawn</v>
      </c>
      <c r="H374" s="122">
        <f>IF($D374="",0,IFERROR(LOOKUP(2,1/(($D$3:D373=$D374)*($A$3:A373&lt;$A374)),$N$3:N373),'Guide &amp; Settings'!$C$41))</f>
        <v>1060.3667074371201</v>
      </c>
      <c r="I374" s="123">
        <f t="shared" si="102"/>
        <v>0.20418848167539266</v>
      </c>
      <c r="J374" s="124">
        <f>IF($D374="",0,IF($F374&lt;2,0,IF($E374="Win",('Guide &amp; Settings'!$C$42/(($F374-1)*COUNTIFS($A$4:$A$1510,$A374,$E$4:$E$1510,"Win")))*SUMIFS($X$4:$X$1510,$A$4:$A$1510,$A374,$E$4:$E$1510,"Loss"),-('Guide &amp; Settings'!$C$42/($F374-1))*$X374)))</f>
        <v>-5.3080744076840478</v>
      </c>
      <c r="K374" s="124">
        <f>IF($D374="",0,'Guide &amp; Settings'!$C$43*(IF($E374="Win",1,0)-$I374))</f>
        <v>-2.4502617801047117</v>
      </c>
      <c r="L374" s="125">
        <f>IF($D374="",0,'Guide &amp; Settings'!$C$44*IF($F374&gt;=3,$F374,0))</f>
        <v>4</v>
      </c>
      <c r="M374" s="124">
        <f t="shared" si="103"/>
        <v>-3.7583361877887596</v>
      </c>
      <c r="N374" s="122">
        <f t="shared" si="104"/>
        <v>1056.6083712493314</v>
      </c>
      <c r="O374" s="121" t="str">
        <f t="shared" si="105"/>
        <v>OK</v>
      </c>
      <c r="P374">
        <f t="shared" si="106"/>
        <v>1134.0984282323002</v>
      </c>
      <c r="Q374">
        <f t="shared" si="107"/>
        <v>0.3954562444342769</v>
      </c>
      <c r="R374">
        <f t="shared" si="108"/>
        <v>0.5</v>
      </c>
      <c r="S374">
        <f t="shared" si="109"/>
        <v>2.4487179487179489</v>
      </c>
      <c r="T374" s="89">
        <f t="shared" si="110"/>
        <v>0</v>
      </c>
      <c r="U374" s="126">
        <f>IF($D374="",0,IFERROR(LOOKUP(2,1/(($D$3:D373=$D374)*($C$3:C373=$C374)*($A$3:A373&lt;$A374)),$AB$3:AB373),1000))</f>
        <v>1000</v>
      </c>
      <c r="V374" s="126">
        <f t="shared" si="111"/>
        <v>1060.3667074371201</v>
      </c>
      <c r="W374">
        <f t="shared" si="112"/>
        <v>1062.0121915442587</v>
      </c>
      <c r="X374">
        <f t="shared" si="113"/>
        <v>0.49763197572037954</v>
      </c>
      <c r="Y374">
        <f t="shared" si="114"/>
        <v>1029.2457203224214</v>
      </c>
      <c r="Z374">
        <f t="shared" si="115"/>
        <v>0.45801115033651074</v>
      </c>
      <c r="AA374">
        <f>IF($D374="",0,IF($F374&lt;2,0,IF($E374="Win",('Guide &amp; Settings'!$C$42/(($F374-1)*COUNTIFS($A$4:$A$1510,$A374,$E$4:$E$1510,"Win")))*SUMIFS($Z$4:$Z$1510,$A$4:$A$1510,$A374,$E$4:$E$1510,"Loss"),-('Guide &amp; Settings'!$C$42/($F374-1))*$Z374)))</f>
        <v>-4.8854522702561143</v>
      </c>
      <c r="AB374" s="126">
        <f t="shared" si="116"/>
        <v>995.11454772974389</v>
      </c>
      <c r="AC374" s="126">
        <f>IF($D374="","",IF($AD374=0,0,IF(COUNTIFS($D$4:$D374,$D374,$B$4:$B374,$B374)&gt;1,0,IF($B374&lt;'Guide &amp; Settings'!$C$50,0,IF(($B374-$AD374)/7-'Guide &amp; Settings'!$C$48&gt;=0,(INT(($B374-$AD374)/7-'Guide &amp; Settings'!$C$48)+1)*'Guide &amp; Settings'!$C$49,0)))))</f>
        <v>0</v>
      </c>
      <c r="AD374" s="142">
        <f t="shared" si="117"/>
        <v>46215</v>
      </c>
      <c r="AE374">
        <f t="shared" si="118"/>
        <v>1</v>
      </c>
      <c r="AF374">
        <f t="shared" si="119"/>
        <v>0</v>
      </c>
    </row>
    <row r="375" spans="1:32" x14ac:dyDescent="0.2">
      <c r="A375" s="117">
        <v>161</v>
      </c>
      <c r="B375" s="118">
        <v>46219</v>
      </c>
      <c r="C375" s="119" t="s">
        <v>50</v>
      </c>
      <c r="D375" s="119" t="s">
        <v>25</v>
      </c>
      <c r="E375" s="117" t="s">
        <v>371</v>
      </c>
      <c r="F375" s="120">
        <f t="shared" si="100"/>
        <v>4</v>
      </c>
      <c r="G375" s="121" t="str">
        <f t="shared" si="101"/>
        <v>Shawn</v>
      </c>
      <c r="H375" s="122">
        <f>IF($D375="",0,IFERROR(LOOKUP(2,1/(($D$3:D374=$D375)*($A$3:A374&lt;$A375)),$N$3:N374),'Guide &amp; Settings'!$C$41))</f>
        <v>1069.090504822663</v>
      </c>
      <c r="I375" s="123">
        <f t="shared" si="102"/>
        <v>0.20418848167539266</v>
      </c>
      <c r="J375" s="124">
        <f>IF($D375="",0,IF($F375&lt;2,0,IF($E375="Win",('Guide &amp; Settings'!$C$42/(($F375-1)*COUNTIFS($A$4:$A$1510,$A375,$E$4:$E$1510,"Win")))*SUMIFS($X$4:$X$1510,$A$4:$A$1510,$A375,$E$4:$E$1510,"Loss"),-('Guide &amp; Settings'!$C$42/($F375-1))*$X375)))</f>
        <v>-5.1453882076938235</v>
      </c>
      <c r="K375" s="124">
        <f>IF($D375="",0,'Guide &amp; Settings'!$C$43*(IF($E375="Win",1,0)-$I375))</f>
        <v>-2.4502617801047117</v>
      </c>
      <c r="L375" s="125">
        <f>IF($D375="",0,'Guide &amp; Settings'!$C$44*IF($F375&gt;=3,$F375,0))</f>
        <v>4</v>
      </c>
      <c r="M375" s="124">
        <f t="shared" si="103"/>
        <v>-3.5956499877985353</v>
      </c>
      <c r="N375" s="122">
        <f t="shared" si="104"/>
        <v>1065.4948548348646</v>
      </c>
      <c r="O375" s="121" t="str">
        <f t="shared" si="105"/>
        <v>OK</v>
      </c>
      <c r="P375">
        <f t="shared" si="106"/>
        <v>1134.0984282323002</v>
      </c>
      <c r="Q375">
        <f t="shared" si="107"/>
        <v>0.40752275673166133</v>
      </c>
      <c r="R375">
        <f t="shared" si="108"/>
        <v>0.5</v>
      </c>
      <c r="S375">
        <f t="shared" si="109"/>
        <v>2.4487179487179489</v>
      </c>
      <c r="T375" s="89">
        <f t="shared" si="110"/>
        <v>2</v>
      </c>
      <c r="U375" s="126">
        <f>IF($D375="",0,IFERROR(LOOKUP(2,1/(($D$3:D374=$D375)*($C$3:C374=$C375)*($A$3:A374&lt;$A375)),$AB$3:AB374),1000))</f>
        <v>1001.4463028128982</v>
      </c>
      <c r="V375" s="126">
        <f t="shared" si="111"/>
        <v>1049.7635899627303</v>
      </c>
      <c r="W375">
        <f t="shared" si="112"/>
        <v>1062.0121915442587</v>
      </c>
      <c r="X375">
        <f t="shared" si="113"/>
        <v>0.48238014447129596</v>
      </c>
      <c r="Y375">
        <f t="shared" si="114"/>
        <v>1029.2457203224214</v>
      </c>
      <c r="Z375">
        <f t="shared" si="115"/>
        <v>0.46007857965014648</v>
      </c>
      <c r="AA375">
        <f>IF($D375="",0,IF($F375&lt;2,0,IF($E375="Win",('Guide &amp; Settings'!$C$42/(($F375-1)*COUNTIFS($A$4:$A$1510,$A375,$E$4:$E$1510,"Win")))*SUMIFS($Z$4:$Z$1510,$A$4:$A$1510,$A375,$E$4:$E$1510,"Loss"),-('Guide &amp; Settings'!$C$42/($F375-1))*$Z375)))</f>
        <v>-4.9075048496015619</v>
      </c>
      <c r="AB375" s="126">
        <f t="shared" si="116"/>
        <v>996.5387979632967</v>
      </c>
      <c r="AC375" s="126">
        <f>IF($D375="","",IF($AD375=0,0,IF(COUNTIFS($D$4:$D375,$D375,$B$4:$B375,$B375)&gt;1,0,IF($B375&lt;'Guide &amp; Settings'!$C$50,0,IF(($B375-$AD375)/7-'Guide &amp; Settings'!$C$48&gt;=0,(INT(($B375-$AD375)/7-'Guide &amp; Settings'!$C$48)+1)*'Guide &amp; Settings'!$C$49,0)))))</f>
        <v>0</v>
      </c>
      <c r="AD375" s="142">
        <f t="shared" si="117"/>
        <v>46217</v>
      </c>
      <c r="AE375">
        <f t="shared" si="118"/>
        <v>1</v>
      </c>
      <c r="AF375">
        <f t="shared" si="119"/>
        <v>0</v>
      </c>
    </row>
    <row r="376" spans="1:32" x14ac:dyDescent="0.2">
      <c r="A376" s="117">
        <v>161</v>
      </c>
      <c r="B376" s="118">
        <v>46219</v>
      </c>
      <c r="C376" s="119" t="s">
        <v>50</v>
      </c>
      <c r="D376" s="119" t="s">
        <v>17</v>
      </c>
      <c r="E376" s="117" t="s">
        <v>371</v>
      </c>
      <c r="F376" s="120">
        <f t="shared" si="100"/>
        <v>4</v>
      </c>
      <c r="G376" s="121" t="str">
        <f t="shared" si="101"/>
        <v>Shawn</v>
      </c>
      <c r="H376" s="122">
        <f>IF($D376="",0,IFERROR(LOOKUP(2,1/(($D$3:D375=$D376)*($A$3:A375&lt;$A376)),$N$3:N375),'Guide &amp; Settings'!$C$41))</f>
        <v>1041.9075825481382</v>
      </c>
      <c r="I376" s="123">
        <f t="shared" si="102"/>
        <v>0.34031413612565442</v>
      </c>
      <c r="J376" s="124">
        <f>IF($D376="",0,IF($F376&lt;2,0,IF($E376="Win",('Guide &amp; Settings'!$C$42/(($F376-1)*COUNTIFS($A$4:$A$1510,$A376,$E$4:$E$1510,"Win")))*SUMIFS($X$4:$X$1510,$A$4:$A$1510,$A376,$E$4:$E$1510,"Loss"),-('Guide &amp; Settings'!$C$42/($F376-1))*$X376)))</f>
        <v>-5.1196177737200932</v>
      </c>
      <c r="K376" s="124">
        <f>IF($D376="",0,'Guide &amp; Settings'!$C$43*(IF($E376="Win",1,0)-$I376))</f>
        <v>-4.0837696335078526</v>
      </c>
      <c r="L376" s="125">
        <f>IF($D376="",0,'Guide &amp; Settings'!$C$44*IF($F376&gt;=3,$F376,0))</f>
        <v>4</v>
      </c>
      <c r="M376" s="124">
        <f t="shared" si="103"/>
        <v>-5.2033874072279467</v>
      </c>
      <c r="N376" s="122">
        <f t="shared" si="104"/>
        <v>1036.7041951409103</v>
      </c>
      <c r="O376" s="121" t="str">
        <f t="shared" si="105"/>
        <v>OK</v>
      </c>
      <c r="P376">
        <f t="shared" si="106"/>
        <v>1134.0984282323002</v>
      </c>
      <c r="Q376">
        <f t="shared" si="107"/>
        <v>0.37035523224378758</v>
      </c>
      <c r="R376">
        <f t="shared" si="108"/>
        <v>0.83333333333333337</v>
      </c>
      <c r="S376">
        <f t="shared" si="109"/>
        <v>2.4487179487179489</v>
      </c>
      <c r="T376" s="89">
        <f t="shared" si="110"/>
        <v>4</v>
      </c>
      <c r="U376" s="126">
        <f>IF($D376="",0,IFERROR(LOOKUP(2,1/(($D$3:D375=$D376)*($C$3:C375=$C376)*($A$3:A375&lt;$A376)),$AB$3:AB375),1000))</f>
        <v>1055.8009426289977</v>
      </c>
      <c r="V376" s="126">
        <f t="shared" si="111"/>
        <v>1048.0824092507423</v>
      </c>
      <c r="W376">
        <f t="shared" si="112"/>
        <v>1062.0121915442587</v>
      </c>
      <c r="X376">
        <f t="shared" si="113"/>
        <v>0.47996416628625876</v>
      </c>
      <c r="Y376">
        <f t="shared" si="114"/>
        <v>1029.2457203224214</v>
      </c>
      <c r="Z376">
        <f t="shared" si="115"/>
        <v>0.53814179277157359</v>
      </c>
      <c r="AA376">
        <f>IF($D376="",0,IF($F376&lt;2,0,IF($E376="Win",('Guide &amp; Settings'!$C$42/(($F376-1)*COUNTIFS($A$4:$A$1510,$A376,$E$4:$E$1510,"Win")))*SUMIFS($Z$4:$Z$1510,$A$4:$A$1510,$A376,$E$4:$E$1510,"Loss"),-('Guide &amp; Settings'!$C$42/($F376-1))*$Z376)))</f>
        <v>-5.7401791228967847</v>
      </c>
      <c r="AB376" s="126">
        <f t="shared" si="116"/>
        <v>1050.060763506101</v>
      </c>
      <c r="AC376" s="126">
        <f>IF($D376="","",IF($AD376=0,0,IF(COUNTIFS($D$4:$D376,$D376,$B$4:$B376,$B376)&gt;1,0,IF($B376&lt;'Guide &amp; Settings'!$C$50,0,IF(($B376-$AD376)/7-'Guide &amp; Settings'!$C$48&gt;=0,(INT(($B376-$AD376)/7-'Guide &amp; Settings'!$C$48)+1)*'Guide &amp; Settings'!$C$49,0)))))</f>
        <v>0</v>
      </c>
      <c r="AD376" s="142">
        <f t="shared" si="117"/>
        <v>46215</v>
      </c>
      <c r="AE376">
        <f t="shared" si="118"/>
        <v>1</v>
      </c>
      <c r="AF376">
        <f t="shared" si="119"/>
        <v>0</v>
      </c>
    </row>
    <row r="377" spans="1:32" x14ac:dyDescent="0.2">
      <c r="A377" s="117">
        <v>162</v>
      </c>
      <c r="B377" s="118">
        <v>46219</v>
      </c>
      <c r="C377" s="119" t="s">
        <v>45</v>
      </c>
      <c r="D377" s="119" t="s">
        <v>20</v>
      </c>
      <c r="E377" s="117" t="s">
        <v>371</v>
      </c>
      <c r="F377" s="120">
        <f t="shared" si="100"/>
        <v>4</v>
      </c>
      <c r="G377" s="121" t="str">
        <f t="shared" si="101"/>
        <v>Chase</v>
      </c>
      <c r="H377" s="122">
        <f>IF($D377="",0,IFERROR(LOOKUP(2,1/(($D$3:D376=$D377)*($A$3:A376&lt;$A377)),$N$3:N376),'Guide &amp; Settings'!$C$41))</f>
        <v>1162.6558018151154</v>
      </c>
      <c r="I377" s="123">
        <f t="shared" si="102"/>
        <v>6.25E-2</v>
      </c>
      <c r="J377" s="124">
        <f>IF($D377="",0,IF($F377&lt;2,0,IF($E377="Win",('Guide &amp; Settings'!$C$42/(($F377-1)*COUNTIFS($A$4:$A$1510,$A377,$E$4:$E$1510,"Win")))*SUMIFS($X$4:$X$1510,$A$4:$A$1510,$A377,$E$4:$E$1510,"Loss"),-('Guide &amp; Settings'!$C$42/($F377-1))*$X377)))</f>
        <v>-4.9663797407526005</v>
      </c>
      <c r="K377" s="124">
        <f>IF($D377="",0,'Guide &amp; Settings'!$C$43*(IF($E377="Win",1,0)-$I377))</f>
        <v>-0.75</v>
      </c>
      <c r="L377" s="125">
        <f>IF($D377="",0,'Guide &amp; Settings'!$C$44*IF($F377&gt;=3,$F377,0))</f>
        <v>4</v>
      </c>
      <c r="M377" s="124">
        <f t="shared" si="103"/>
        <v>-1.7163797407526005</v>
      </c>
      <c r="N377" s="122">
        <f t="shared" si="104"/>
        <v>1160.9394220743627</v>
      </c>
      <c r="O377" s="121" t="str">
        <f t="shared" si="105"/>
        <v>OK</v>
      </c>
      <c r="P377">
        <f t="shared" si="106"/>
        <v>1036.7041951409103</v>
      </c>
      <c r="Q377">
        <f t="shared" si="107"/>
        <v>0.67371495376484947</v>
      </c>
      <c r="R377">
        <f t="shared" si="108"/>
        <v>0.1111111111111111</v>
      </c>
      <c r="S377">
        <f t="shared" si="109"/>
        <v>1.7777777777777777</v>
      </c>
      <c r="T377" s="89">
        <f t="shared" si="110"/>
        <v>7</v>
      </c>
      <c r="U377" s="126">
        <f>IF($D377="",0,IFERROR(LOOKUP(2,1/(($D$3:D376=$D377)*($C$3:C376=$C377)*($A$3:A376&lt;$A377)),$AB$3:AB376),1000))</f>
        <v>905.69410378055966</v>
      </c>
      <c r="V377" s="126">
        <f t="shared" si="111"/>
        <v>1012.7614779616245</v>
      </c>
      <c r="W377">
        <f t="shared" si="112"/>
        <v>1036.7041951409103</v>
      </c>
      <c r="X377">
        <f t="shared" si="113"/>
        <v>0.46559810069555635</v>
      </c>
      <c r="Y377">
        <f t="shared" si="114"/>
        <v>1000</v>
      </c>
      <c r="Z377">
        <f t="shared" si="115"/>
        <v>0.3675205773029252</v>
      </c>
      <c r="AA377">
        <f>IF($D377="",0,IF($F377&lt;2,0,IF($E377="Win",('Guide &amp; Settings'!$C$42/(($F377-1)*COUNTIFS($A$4:$A$1510,$A377,$E$4:$E$1510,"Win")))*SUMIFS($Z$4:$Z$1510,$A$4:$A$1510,$A377,$E$4:$E$1510,"Loss"),-('Guide &amp; Settings'!$C$42/($F377-1))*$Z377)))</f>
        <v>-3.9202194912312018</v>
      </c>
      <c r="AB377" s="126">
        <f t="shared" si="116"/>
        <v>901.77388428932841</v>
      </c>
      <c r="AC377" s="126">
        <f>IF($D377="","",IF($AD377=0,0,IF(COUNTIFS($D$4:$D377,$D377,$B$4:$B377,$B377)&gt;1,0,IF($B377&lt;'Guide &amp; Settings'!$C$50,0,IF(($B377-$AD377)/7-'Guide &amp; Settings'!$C$48&gt;=0,(INT(($B377-$AD377)/7-'Guide &amp; Settings'!$C$48)+1)*'Guide &amp; Settings'!$C$49,0)))))</f>
        <v>0</v>
      </c>
      <c r="AD377" s="142">
        <f t="shared" si="117"/>
        <v>46217</v>
      </c>
      <c r="AE377">
        <f t="shared" si="118"/>
        <v>1</v>
      </c>
      <c r="AF377">
        <f t="shared" si="119"/>
        <v>0</v>
      </c>
    </row>
    <row r="378" spans="1:32" x14ac:dyDescent="0.2">
      <c r="A378" s="117">
        <v>162</v>
      </c>
      <c r="B378" s="118">
        <v>46219</v>
      </c>
      <c r="C378" s="119" t="s">
        <v>45</v>
      </c>
      <c r="D378" s="119" t="s">
        <v>21</v>
      </c>
      <c r="E378" s="117" t="s">
        <v>371</v>
      </c>
      <c r="F378" s="120">
        <f t="shared" si="100"/>
        <v>4</v>
      </c>
      <c r="G378" s="121" t="str">
        <f t="shared" si="101"/>
        <v>Chase</v>
      </c>
      <c r="H378" s="122">
        <f>IF($D378="",0,IFERROR(LOOKUP(2,1/(($D$3:D377=$D378)*($A$3:A377&lt;$A378)),$N$3:N377),'Guide &amp; Settings'!$C$41))</f>
        <v>1056.6083712493314</v>
      </c>
      <c r="I378" s="123">
        <f t="shared" si="102"/>
        <v>0.28125</v>
      </c>
      <c r="J378" s="124">
        <f>IF($D378="",0,IF($F378&lt;2,0,IF($E378="Win",('Guide &amp; Settings'!$C$42/(($F378-1)*COUNTIFS($A$4:$A$1510,$A378,$E$4:$E$1510,"Win")))*SUMIFS($X$4:$X$1510,$A$4:$A$1510,$A378,$E$4:$E$1510,"Loss"),-('Guide &amp; Settings'!$C$42/($F378-1))*$X378)))</f>
        <v>-5.6385399040644728</v>
      </c>
      <c r="K378" s="124">
        <f>IF($D378="",0,'Guide &amp; Settings'!$C$43*(IF($E378="Win",1,0)-$I378))</f>
        <v>-3.375</v>
      </c>
      <c r="L378" s="125">
        <f>IF($D378="",0,'Guide &amp; Settings'!$C$44*IF($F378&gt;=3,$F378,0))</f>
        <v>4</v>
      </c>
      <c r="M378" s="124">
        <f t="shared" si="103"/>
        <v>-5.0135399040644728</v>
      </c>
      <c r="N378" s="122">
        <f t="shared" si="104"/>
        <v>1051.594831345267</v>
      </c>
      <c r="O378" s="121" t="str">
        <f t="shared" si="105"/>
        <v>OK</v>
      </c>
      <c r="P378">
        <f t="shared" si="106"/>
        <v>1036.7041951409103</v>
      </c>
      <c r="Q378">
        <f t="shared" si="107"/>
        <v>0.52861311600604433</v>
      </c>
      <c r="R378">
        <f t="shared" si="108"/>
        <v>0.5</v>
      </c>
      <c r="S378">
        <f t="shared" si="109"/>
        <v>1.7777777777777777</v>
      </c>
      <c r="T378" s="89">
        <f t="shared" si="110"/>
        <v>0</v>
      </c>
      <c r="U378" s="126">
        <f>IF($D378="",0,IFERROR(LOOKUP(2,1/(($D$3:D377=$D378)*($C$3:C377=$C378)*($A$3:A377&lt;$A378)),$AB$3:AB377),1000))</f>
        <v>1000</v>
      </c>
      <c r="V378" s="126">
        <f t="shared" si="111"/>
        <v>1056.6083712493314</v>
      </c>
      <c r="W378">
        <f t="shared" si="112"/>
        <v>1036.7041951409103</v>
      </c>
      <c r="X378">
        <f t="shared" si="113"/>
        <v>0.52861311600604433</v>
      </c>
      <c r="Y378">
        <f t="shared" si="114"/>
        <v>1000</v>
      </c>
      <c r="Z378">
        <f t="shared" si="115"/>
        <v>0.5</v>
      </c>
      <c r="AA378">
        <f>IF($D378="",0,IF($F378&lt;2,0,IF($E378="Win",('Guide &amp; Settings'!$C$42/(($F378-1)*COUNTIFS($A$4:$A$1510,$A378,$E$4:$E$1510,"Win")))*SUMIFS($Z$4:$Z$1510,$A$4:$A$1510,$A378,$E$4:$E$1510,"Loss"),-('Guide &amp; Settings'!$C$42/($F378-1))*$Z378)))</f>
        <v>-5.333333333333333</v>
      </c>
      <c r="AB378" s="126">
        <f t="shared" si="116"/>
        <v>994.66666666666663</v>
      </c>
      <c r="AC378" s="126">
        <f>IF($D378="","",IF($AD378=0,0,IF(COUNTIFS($D$4:$D378,$D378,$B$4:$B378,$B378)&gt;1,0,IF($B378&lt;'Guide &amp; Settings'!$C$50,0,IF(($B378-$AD378)/7-'Guide &amp; Settings'!$C$48&gt;=0,(INT(($B378-$AD378)/7-'Guide &amp; Settings'!$C$48)+1)*'Guide &amp; Settings'!$C$49,0)))))</f>
        <v>0</v>
      </c>
      <c r="AD378" s="142">
        <f t="shared" si="117"/>
        <v>46215</v>
      </c>
      <c r="AE378">
        <f t="shared" si="118"/>
        <v>1</v>
      </c>
      <c r="AF378">
        <f t="shared" si="119"/>
        <v>0</v>
      </c>
    </row>
    <row r="379" spans="1:32" x14ac:dyDescent="0.2">
      <c r="A379" s="117">
        <v>162</v>
      </c>
      <c r="B379" s="118">
        <v>46219</v>
      </c>
      <c r="C379" s="119" t="s">
        <v>45</v>
      </c>
      <c r="D379" s="119" t="s">
        <v>25</v>
      </c>
      <c r="E379" s="117" t="s">
        <v>371</v>
      </c>
      <c r="F379" s="120">
        <f t="shared" si="100"/>
        <v>4</v>
      </c>
      <c r="G379" s="121" t="str">
        <f t="shared" si="101"/>
        <v>Chase</v>
      </c>
      <c r="H379" s="122">
        <f>IF($D379="",0,IFERROR(LOOKUP(2,1/(($D$3:D378=$D379)*($A$3:A378&lt;$A379)),$N$3:N378),'Guide &amp; Settings'!$C$41))</f>
        <v>1065.4948548348646</v>
      </c>
      <c r="I379" s="123">
        <f t="shared" si="102"/>
        <v>0.375</v>
      </c>
      <c r="J379" s="124">
        <f>IF($D379="",0,IF($F379&lt;2,0,IF($E379="Win",('Guide &amp; Settings'!$C$42/(($F379-1)*COUNTIFS($A$4:$A$1510,$A379,$E$4:$E$1510,"Win")))*SUMIFS($X$4:$X$1510,$A$4:$A$1510,$A379,$E$4:$E$1510,"Loss"),-('Guide &amp; Settings'!$C$42/($F379-1))*$X379)))</f>
        <v>-5.5545729103074581</v>
      </c>
      <c r="K379" s="124">
        <f>IF($D379="",0,'Guide &amp; Settings'!$C$43*(IF($E379="Win",1,0)-$I379))</f>
        <v>-4.5</v>
      </c>
      <c r="L379" s="125">
        <f>IF($D379="",0,'Guide &amp; Settings'!$C$44*IF($F379&gt;=3,$F379,0))</f>
        <v>4</v>
      </c>
      <c r="M379" s="124">
        <f t="shared" si="103"/>
        <v>-6.0545729103074581</v>
      </c>
      <c r="N379" s="122">
        <f t="shared" si="104"/>
        <v>1059.440281924557</v>
      </c>
      <c r="O379" s="121" t="str">
        <f t="shared" si="105"/>
        <v>OK</v>
      </c>
      <c r="P379">
        <f t="shared" si="106"/>
        <v>1036.7041951409103</v>
      </c>
      <c r="Q379">
        <f t="shared" si="107"/>
        <v>0.54133851203114947</v>
      </c>
      <c r="R379">
        <f t="shared" si="108"/>
        <v>0.66666666666666663</v>
      </c>
      <c r="S379">
        <f t="shared" si="109"/>
        <v>1.7777777777777777</v>
      </c>
      <c r="T379" s="89">
        <f t="shared" si="110"/>
        <v>7</v>
      </c>
      <c r="U379" s="126">
        <f>IF($D379="",0,IFERROR(LOOKUP(2,1/(($D$3:D378=$D379)*($C$3:C378=$C379)*($A$3:A378&lt;$A379)),$AB$3:AB378),1000))</f>
        <v>1040.8607146992172</v>
      </c>
      <c r="V379" s="126">
        <f t="shared" si="111"/>
        <v>1051.1249397557369</v>
      </c>
      <c r="W379">
        <f t="shared" si="112"/>
        <v>1036.7041951409103</v>
      </c>
      <c r="X379">
        <f t="shared" si="113"/>
        <v>0.52074121034132426</v>
      </c>
      <c r="Y379">
        <f t="shared" si="114"/>
        <v>1000</v>
      </c>
      <c r="Z379">
        <f t="shared" si="115"/>
        <v>0.5585336780408241</v>
      </c>
      <c r="AA379">
        <f>IF($D379="",0,IF($F379&lt;2,0,IF($E379="Win",('Guide &amp; Settings'!$C$42/(($F379-1)*COUNTIFS($A$4:$A$1510,$A379,$E$4:$E$1510,"Win")))*SUMIFS($Z$4:$Z$1510,$A$4:$A$1510,$A379,$E$4:$E$1510,"Loss"),-('Guide &amp; Settings'!$C$42/($F379-1))*$Z379)))</f>
        <v>-5.9576925657687898</v>
      </c>
      <c r="AB379" s="126">
        <f t="shared" si="116"/>
        <v>1034.9030221334483</v>
      </c>
      <c r="AC379" s="126">
        <f>IF($D379="","",IF($AD379=0,0,IF(COUNTIFS($D$4:$D379,$D379,$B$4:$B379,$B379)&gt;1,0,IF($B379&lt;'Guide &amp; Settings'!$C$50,0,IF(($B379-$AD379)/7-'Guide &amp; Settings'!$C$48&gt;=0,(INT(($B379-$AD379)/7-'Guide &amp; Settings'!$C$48)+1)*'Guide &amp; Settings'!$C$49,0)))))</f>
        <v>0</v>
      </c>
      <c r="AD379" s="142">
        <f t="shared" si="117"/>
        <v>46217</v>
      </c>
      <c r="AE379">
        <f t="shared" si="118"/>
        <v>1</v>
      </c>
      <c r="AF379">
        <f t="shared" si="119"/>
        <v>0</v>
      </c>
    </row>
    <row r="380" spans="1:32" x14ac:dyDescent="0.2">
      <c r="A380" s="117">
        <v>162</v>
      </c>
      <c r="B380" s="118">
        <v>46219</v>
      </c>
      <c r="C380" s="119" t="s">
        <v>45</v>
      </c>
      <c r="D380" s="119" t="s">
        <v>17</v>
      </c>
      <c r="E380" s="117" t="s">
        <v>370</v>
      </c>
      <c r="F380" s="120">
        <f t="shared" si="100"/>
        <v>4</v>
      </c>
      <c r="G380" s="121" t="str">
        <f t="shared" si="101"/>
        <v>Chase</v>
      </c>
      <c r="H380" s="122">
        <f>IF($D380="",0,IFERROR(LOOKUP(2,1/(($D$3:D379=$D380)*($A$3:A379&lt;$A380)),$N$3:N379),'Guide &amp; Settings'!$C$41))</f>
        <v>1036.7041951409103</v>
      </c>
      <c r="I380" s="123">
        <f t="shared" si="102"/>
        <v>0.28125</v>
      </c>
      <c r="J380" s="124">
        <f>IF($D380="",0,IF($F380&lt;2,0,IF($E380="Win",('Guide &amp; Settings'!$C$42/(($F380-1)*COUNTIFS($A$4:$A$1510,$A380,$E$4:$E$1510,"Win")))*SUMIFS($X$4:$X$1510,$A$4:$A$1510,$A380,$E$4:$E$1510,"Loss"),-('Guide &amp; Settings'!$C$42/($F380-1))*$X380)))</f>
        <v>16.15949255512453</v>
      </c>
      <c r="K380" s="124">
        <f>IF($D380="",0,'Guide &amp; Settings'!$C$43*(IF($E380="Win",1,0)-$I380))</f>
        <v>8.625</v>
      </c>
      <c r="L380" s="125">
        <f>IF($D380="",0,'Guide &amp; Settings'!$C$44*IF($F380&gt;=3,$F380,0))</f>
        <v>4</v>
      </c>
      <c r="M380" s="124">
        <f t="shared" si="103"/>
        <v>28.78449255512453</v>
      </c>
      <c r="N380" s="122">
        <f t="shared" si="104"/>
        <v>1065.488687696035</v>
      </c>
      <c r="O380" s="121" t="str">
        <f t="shared" si="105"/>
        <v>OK</v>
      </c>
      <c r="P380">
        <f t="shared" si="106"/>
        <v>1036.7041951409103</v>
      </c>
      <c r="Q380">
        <f t="shared" si="107"/>
        <v>0.5</v>
      </c>
      <c r="R380">
        <f t="shared" si="108"/>
        <v>0.5</v>
      </c>
      <c r="S380">
        <f t="shared" si="109"/>
        <v>1.7777777777777777</v>
      </c>
      <c r="T380" s="89">
        <f t="shared" si="110"/>
        <v>0</v>
      </c>
      <c r="U380" s="126">
        <f>IF($D380="",0,IFERROR(LOOKUP(2,1/(($D$3:D379=$D380)*($C$3:C379=$C380)*($A$3:A379&lt;$A380)),$AB$3:AB379),1000))</f>
        <v>1000</v>
      </c>
      <c r="V380" s="126">
        <f t="shared" si="111"/>
        <v>1036.7041951409103</v>
      </c>
      <c r="W380">
        <f t="shared" si="112"/>
        <v>1036.7041951409103</v>
      </c>
      <c r="X380">
        <f t="shared" si="113"/>
        <v>0.5</v>
      </c>
      <c r="Y380">
        <f t="shared" si="114"/>
        <v>1000</v>
      </c>
      <c r="Z380">
        <f t="shared" si="115"/>
        <v>0.5</v>
      </c>
      <c r="AA380">
        <f>IF($D380="",0,IF($F380&lt;2,0,IF($E380="Win",('Guide &amp; Settings'!$C$42/(($F380-1)*COUNTIFS($A$4:$A$1510,$A380,$E$4:$E$1510,"Win")))*SUMIFS($Z$4:$Z$1510,$A$4:$A$1510,$A380,$E$4:$E$1510,"Loss"),-('Guide &amp; Settings'!$C$42/($F380-1))*$Z380)))</f>
        <v>15.211245390333326</v>
      </c>
      <c r="AB380" s="126">
        <f t="shared" si="116"/>
        <v>1015.2112453903334</v>
      </c>
      <c r="AC380" s="126">
        <f>IF($D380="","",IF($AD380=0,0,IF(COUNTIFS($D$4:$D380,$D380,$B$4:$B380,$B380)&gt;1,0,IF($B380&lt;'Guide &amp; Settings'!$C$50,0,IF(($B380-$AD380)/7-'Guide &amp; Settings'!$C$48&gt;=0,(INT(($B380-$AD380)/7-'Guide &amp; Settings'!$C$48)+1)*'Guide &amp; Settings'!$C$49,0)))))</f>
        <v>0</v>
      </c>
      <c r="AD380" s="142">
        <f t="shared" si="117"/>
        <v>46215</v>
      </c>
      <c r="AE380">
        <f t="shared" si="118"/>
        <v>1</v>
      </c>
      <c r="AF380">
        <f t="shared" si="119"/>
        <v>0</v>
      </c>
    </row>
    <row r="381" spans="1:32" x14ac:dyDescent="0.2">
      <c r="A381" s="117">
        <v>163</v>
      </c>
      <c r="B381" s="118">
        <v>46220</v>
      </c>
      <c r="C381" s="119" t="s">
        <v>47</v>
      </c>
      <c r="D381" s="119" t="s">
        <v>15</v>
      </c>
      <c r="E381" s="117" t="s">
        <v>371</v>
      </c>
      <c r="F381" s="120">
        <f t="shared" si="100"/>
        <v>2</v>
      </c>
      <c r="G381" s="121" t="str">
        <f t="shared" si="101"/>
        <v>Daniel (Ferret)</v>
      </c>
      <c r="H381" s="122">
        <f>IF($D381="",0,IFERROR(LOOKUP(2,1/(($D$3:D380=$D381)*($A$3:A380&lt;$A381)),$N$3:N380),'Guide &amp; Settings'!$C$41))</f>
        <v>1040.1422573837137</v>
      </c>
      <c r="I381" s="123">
        <f t="shared" si="102"/>
        <v>0.4</v>
      </c>
      <c r="J381" s="124">
        <f>IF($D381="",0,IF($F381&lt;2,0,IF($E381="Win",('Guide &amp; Settings'!$C$42/(($F381-1)*COUNTIFS($A$4:$A$1510,$A381,$E$4:$E$1510,"Win")))*SUMIFS($X$4:$X$1510,$A$4:$A$1510,$A381,$E$4:$E$1510,"Loss"),-('Guide &amp; Settings'!$C$42/($F381-1))*$X381)))</f>
        <v>-16.156557631819943</v>
      </c>
      <c r="K381" s="124">
        <f>IF($D381="",0,'Guide &amp; Settings'!$C$43*(IF($E381="Win",1,0)-$I381))</f>
        <v>-4.8000000000000007</v>
      </c>
      <c r="L381" s="125">
        <f>IF($D381="",0,'Guide &amp; Settings'!$C$44*IF($F381&gt;=3,$F381,0))</f>
        <v>0</v>
      </c>
      <c r="M381" s="124">
        <f t="shared" si="103"/>
        <v>-20.956557631819944</v>
      </c>
      <c r="N381" s="122">
        <f t="shared" si="104"/>
        <v>1019.1856997518938</v>
      </c>
      <c r="O381" s="121" t="str">
        <f t="shared" si="105"/>
        <v>OK</v>
      </c>
      <c r="P381">
        <f t="shared" si="106"/>
        <v>1022.8907433573827</v>
      </c>
      <c r="Q381">
        <f t="shared" si="107"/>
        <v>0.52480654086200085</v>
      </c>
      <c r="R381">
        <f t="shared" si="108"/>
        <v>0.5</v>
      </c>
      <c r="S381">
        <f t="shared" si="109"/>
        <v>1.25</v>
      </c>
      <c r="T381" s="89">
        <f t="shared" si="110"/>
        <v>2</v>
      </c>
      <c r="U381" s="126">
        <f>IF($D381="",0,IFERROR(LOOKUP(2,1/(($D$3:D380=$D381)*($C$3:C380=$C381)*($A$3:A380&lt;$A381)),$AB$3:AB380),1000))</f>
        <v>1000.0339081301692</v>
      </c>
      <c r="V381" s="126">
        <f t="shared" si="111"/>
        <v>1028.682729025558</v>
      </c>
      <c r="W381">
        <f t="shared" si="112"/>
        <v>1025.2830147428385</v>
      </c>
      <c r="X381">
        <f t="shared" si="113"/>
        <v>0.50489242599437323</v>
      </c>
      <c r="Y381">
        <f t="shared" si="114"/>
        <v>1031.2636932064779</v>
      </c>
      <c r="Z381">
        <f t="shared" si="115"/>
        <v>0.45517737770046623</v>
      </c>
      <c r="AA381">
        <f>IF($D381="",0,IF($F381&lt;2,0,IF($E381="Win",('Guide &amp; Settings'!$C$42/(($F381-1)*COUNTIFS($A$4:$A$1510,$A381,$E$4:$E$1510,"Win")))*SUMIFS($Z$4:$Z$1510,$A$4:$A$1510,$A381,$E$4:$E$1510,"Loss"),-('Guide &amp; Settings'!$C$42/($F381-1))*$Z381)))</f>
        <v>-14.56567608641492</v>
      </c>
      <c r="AB381" s="126">
        <f t="shared" si="116"/>
        <v>985.46823204375426</v>
      </c>
      <c r="AC381" s="126">
        <f>IF($D381="","",IF($AD381=0,0,IF(COUNTIFS($D$4:$D381,$D381,$B$4:$B381,$B381)&gt;1,0,IF($B381&lt;'Guide &amp; Settings'!$C$50,0,IF(($B381-$AD381)/7-'Guide &amp; Settings'!$C$48&gt;=0,(INT(($B381-$AD381)/7-'Guide &amp; Settings'!$C$48)+1)*'Guide &amp; Settings'!$C$49,0)))))</f>
        <v>0</v>
      </c>
      <c r="AD381" s="142">
        <f t="shared" si="117"/>
        <v>46214</v>
      </c>
      <c r="AE381">
        <f t="shared" si="118"/>
        <v>1</v>
      </c>
      <c r="AF381">
        <f t="shared" si="119"/>
        <v>0</v>
      </c>
    </row>
    <row r="382" spans="1:32" x14ac:dyDescent="0.2">
      <c r="A382" s="117">
        <v>163</v>
      </c>
      <c r="B382" s="118">
        <v>46220</v>
      </c>
      <c r="C382" s="119" t="s">
        <v>47</v>
      </c>
      <c r="D382" s="119" t="s">
        <v>22</v>
      </c>
      <c r="E382" s="117" t="s">
        <v>370</v>
      </c>
      <c r="F382" s="120">
        <f t="shared" si="100"/>
        <v>2</v>
      </c>
      <c r="G382" s="121" t="str">
        <f t="shared" si="101"/>
        <v>Daniel (Ferret)</v>
      </c>
      <c r="H382" s="122">
        <f>IF($D382="",0,IFERROR(LOOKUP(2,1/(($D$3:D381=$D382)*($A$3:A381&lt;$A382)),$N$3:N381),'Guide &amp; Settings'!$C$41))</f>
        <v>1022.8907433573827</v>
      </c>
      <c r="I382" s="123">
        <f t="shared" si="102"/>
        <v>0.6</v>
      </c>
      <c r="J382" s="124">
        <f>IF($D382="",0,IF($F382&lt;2,0,IF($E382="Win",('Guide &amp; Settings'!$C$42/(($F382-1)*COUNTIFS($A$4:$A$1510,$A382,$E$4:$E$1510,"Win")))*SUMIFS($X$4:$X$1510,$A$4:$A$1510,$A382,$E$4:$E$1510,"Loss"),-('Guide &amp; Settings'!$C$42/($F382-1))*$X382)))</f>
        <v>16.156557631819943</v>
      </c>
      <c r="K382" s="124">
        <f>IF($D382="",0,'Guide &amp; Settings'!$C$43*(IF($E382="Win",1,0)-$I382))</f>
        <v>4.8000000000000007</v>
      </c>
      <c r="L382" s="125">
        <f>IF($D382="",0,'Guide &amp; Settings'!$C$44*IF($F382&gt;=3,$F382,0))</f>
        <v>0</v>
      </c>
      <c r="M382" s="124">
        <f t="shared" si="103"/>
        <v>20.956557631819944</v>
      </c>
      <c r="N382" s="122">
        <f t="shared" si="104"/>
        <v>1043.8473009892027</v>
      </c>
      <c r="O382" s="121" t="str">
        <f t="shared" si="105"/>
        <v>OK</v>
      </c>
      <c r="P382">
        <f t="shared" si="106"/>
        <v>1022.8907433573827</v>
      </c>
      <c r="Q382">
        <f t="shared" si="107"/>
        <v>0.5</v>
      </c>
      <c r="R382">
        <f t="shared" si="108"/>
        <v>0.75</v>
      </c>
      <c r="S382">
        <f t="shared" si="109"/>
        <v>1.25</v>
      </c>
      <c r="T382" s="89">
        <f t="shared" si="110"/>
        <v>2</v>
      </c>
      <c r="U382" s="126">
        <f>IF($D382="",0,IFERROR(LOOKUP(2,1/(($D$3:D381=$D382)*($C$3:C381=$C382)*($A$3:A381&lt;$A382)),$AB$3:AB381),1000))</f>
        <v>1031.2636932064779</v>
      </c>
      <c r="V382" s="126">
        <f t="shared" si="111"/>
        <v>1025.2830147428385</v>
      </c>
      <c r="W382">
        <f t="shared" si="112"/>
        <v>1025.2830147428385</v>
      </c>
      <c r="X382">
        <f t="shared" si="113"/>
        <v>0.5</v>
      </c>
      <c r="Y382">
        <f t="shared" si="114"/>
        <v>1031.2636932064779</v>
      </c>
      <c r="Z382">
        <f t="shared" si="115"/>
        <v>0.5</v>
      </c>
      <c r="AA382">
        <f>IF($D382="",0,IF($F382&lt;2,0,IF($E382="Win",('Guide &amp; Settings'!$C$42/(($F382-1)*COUNTIFS($A$4:$A$1510,$A382,$E$4:$E$1510,"Win")))*SUMIFS($Z$4:$Z$1510,$A$4:$A$1510,$A382,$E$4:$E$1510,"Loss"),-('Guide &amp; Settings'!$C$42/($F382-1))*$Z382)))</f>
        <v>14.56567608641492</v>
      </c>
      <c r="AB382" s="126">
        <f t="shared" si="116"/>
        <v>1045.8293692928928</v>
      </c>
      <c r="AC382" s="126">
        <f>IF($D382="","",IF($AD382=0,0,IF(COUNTIFS($D$4:$D382,$D382,$B$4:$B382,$B382)&gt;1,0,IF($B382&lt;'Guide &amp; Settings'!$C$50,0,IF(($B382-$AD382)/7-'Guide &amp; Settings'!$C$48&gt;=0,(INT(($B382-$AD382)/7-'Guide &amp; Settings'!$C$48)+1)*'Guide &amp; Settings'!$C$49,0)))))</f>
        <v>0</v>
      </c>
      <c r="AD382" s="142">
        <f t="shared" si="117"/>
        <v>46217</v>
      </c>
      <c r="AE382">
        <f t="shared" si="118"/>
        <v>1</v>
      </c>
      <c r="AF382">
        <f t="shared" si="119"/>
        <v>0</v>
      </c>
    </row>
    <row r="383" spans="1:32" x14ac:dyDescent="0.2">
      <c r="A383" s="117">
        <v>164</v>
      </c>
      <c r="B383" s="118">
        <v>46220</v>
      </c>
      <c r="C383" s="119" t="s">
        <v>47</v>
      </c>
      <c r="D383" s="119" t="s">
        <v>15</v>
      </c>
      <c r="E383" s="117" t="s">
        <v>371</v>
      </c>
      <c r="F383" s="120">
        <f t="shared" si="100"/>
        <v>2</v>
      </c>
      <c r="G383" s="121" t="str">
        <f t="shared" si="101"/>
        <v>Daniel (Ferret)</v>
      </c>
      <c r="H383" s="122">
        <f>IF($D383="",0,IFERROR(LOOKUP(2,1/(($D$3:D382=$D383)*($A$3:A382&lt;$A383)),$N$3:N382),'Guide &amp; Settings'!$C$41))</f>
        <v>1019.1856997518938</v>
      </c>
      <c r="I383" s="123">
        <f t="shared" si="102"/>
        <v>0.33333333333333331</v>
      </c>
      <c r="J383" s="124">
        <f>IF($D383="",0,IF($F383&lt;2,0,IF($E383="Win",('Guide &amp; Settings'!$C$42/(($F383-1)*COUNTIFS($A$4:$A$1510,$A383,$E$4:$E$1510,"Win")))*SUMIFS($X$4:$X$1510,$A$4:$A$1510,$A383,$E$4:$E$1510,"Loss"),-('Guide &amp; Settings'!$C$42/($F383-1))*$X383)))</f>
        <v>-14.254753622713281</v>
      </c>
      <c r="K383" s="124">
        <f>IF($D383="",0,'Guide &amp; Settings'!$C$43*(IF($E383="Win",1,0)-$I383))</f>
        <v>-4</v>
      </c>
      <c r="L383" s="125">
        <f>IF($D383="",0,'Guide &amp; Settings'!$C$44*IF($F383&gt;=3,$F383,0))</f>
        <v>0</v>
      </c>
      <c r="M383" s="124">
        <f t="shared" si="103"/>
        <v>-18.254753622713281</v>
      </c>
      <c r="N383" s="122">
        <f t="shared" si="104"/>
        <v>1000.9309461291805</v>
      </c>
      <c r="O383" s="121" t="str">
        <f t="shared" si="105"/>
        <v>OK</v>
      </c>
      <c r="P383">
        <f t="shared" si="106"/>
        <v>1043.8473009892027</v>
      </c>
      <c r="Q383">
        <f t="shared" si="107"/>
        <v>0.46456858896260539</v>
      </c>
      <c r="R383">
        <f t="shared" si="108"/>
        <v>0.4</v>
      </c>
      <c r="S383">
        <f t="shared" si="109"/>
        <v>1.2000000000000002</v>
      </c>
      <c r="T383" s="89">
        <f t="shared" si="110"/>
        <v>3</v>
      </c>
      <c r="U383" s="126">
        <f>IF($D383="",0,IFERROR(LOOKUP(2,1/(($D$3:D382=$D383)*($C$3:C382=$C383)*($A$3:A382&lt;$A383)),$AB$3:AB382),1000))</f>
        <v>985.46823204375426</v>
      </c>
      <c r="V383" s="126">
        <f t="shared" si="111"/>
        <v>1006.5416493613416</v>
      </c>
      <c r="W383">
        <f t="shared" si="112"/>
        <v>1044.5905766030864</v>
      </c>
      <c r="X383">
        <f t="shared" si="113"/>
        <v>0.44546105070979003</v>
      </c>
      <c r="Y383">
        <f t="shared" si="114"/>
        <v>1045.8293692928928</v>
      </c>
      <c r="Z383">
        <f t="shared" si="115"/>
        <v>0.41399688950151686</v>
      </c>
      <c r="AA383">
        <f>IF($D383="",0,IF($F383&lt;2,0,IF($E383="Win",('Guide &amp; Settings'!$C$42/(($F383-1)*COUNTIFS($A$4:$A$1510,$A383,$E$4:$E$1510,"Win")))*SUMIFS($Z$4:$Z$1510,$A$4:$A$1510,$A383,$E$4:$E$1510,"Loss"),-('Guide &amp; Settings'!$C$42/($F383-1))*$Z383)))</f>
        <v>-13.24790046404854</v>
      </c>
      <c r="AB383" s="126">
        <f t="shared" si="116"/>
        <v>972.22033157970577</v>
      </c>
      <c r="AC383" s="126">
        <f>IF($D383="","",IF($AD383=0,0,IF(COUNTIFS($D$4:$D383,$D383,$B$4:$B383,$B383)&gt;1,0,IF($B383&lt;'Guide &amp; Settings'!$C$50,0,IF(($B383-$AD383)/7-'Guide &amp; Settings'!$C$48&gt;=0,(INT(($B383-$AD383)/7-'Guide &amp; Settings'!$C$48)+1)*'Guide &amp; Settings'!$C$49,0)))))</f>
        <v>0</v>
      </c>
      <c r="AD383" s="142">
        <f t="shared" si="117"/>
        <v>46214</v>
      </c>
      <c r="AE383">
        <f t="shared" si="118"/>
        <v>1</v>
      </c>
      <c r="AF383">
        <f t="shared" si="119"/>
        <v>0</v>
      </c>
    </row>
    <row r="384" spans="1:32" x14ac:dyDescent="0.2">
      <c r="A384" s="117">
        <v>164</v>
      </c>
      <c r="B384" s="118">
        <v>46220</v>
      </c>
      <c r="C384" s="119" t="s">
        <v>47</v>
      </c>
      <c r="D384" s="119" t="s">
        <v>22</v>
      </c>
      <c r="E384" s="117" t="s">
        <v>370</v>
      </c>
      <c r="F384" s="120">
        <f t="shared" si="100"/>
        <v>2</v>
      </c>
      <c r="G384" s="121" t="str">
        <f t="shared" si="101"/>
        <v>Daniel (Ferret)</v>
      </c>
      <c r="H384" s="122">
        <f>IF($D384="",0,IFERROR(LOOKUP(2,1/(($D$3:D383=$D384)*($A$3:A383&lt;$A384)),$N$3:N383),'Guide &amp; Settings'!$C$41))</f>
        <v>1043.8473009892027</v>
      </c>
      <c r="I384" s="123">
        <f t="shared" si="102"/>
        <v>0.66666666666666663</v>
      </c>
      <c r="J384" s="124">
        <f>IF($D384="",0,IF($F384&lt;2,0,IF($E384="Win",('Guide &amp; Settings'!$C$42/(($F384-1)*COUNTIFS($A$4:$A$1510,$A384,$E$4:$E$1510,"Win")))*SUMIFS($X$4:$X$1510,$A$4:$A$1510,$A384,$E$4:$E$1510,"Loss"),-('Guide &amp; Settings'!$C$42/($F384-1))*$X384)))</f>
        <v>14.254753622713281</v>
      </c>
      <c r="K384" s="124">
        <f>IF($D384="",0,'Guide &amp; Settings'!$C$43*(IF($E384="Win",1,0)-$I384))</f>
        <v>4</v>
      </c>
      <c r="L384" s="125">
        <f>IF($D384="",0,'Guide &amp; Settings'!$C$44*IF($F384&gt;=3,$F384,0))</f>
        <v>0</v>
      </c>
      <c r="M384" s="124">
        <f t="shared" si="103"/>
        <v>18.254753622713281</v>
      </c>
      <c r="N384" s="122">
        <f t="shared" si="104"/>
        <v>1062.1020546119159</v>
      </c>
      <c r="O384" s="121" t="str">
        <f t="shared" si="105"/>
        <v>OK</v>
      </c>
      <c r="P384">
        <f t="shared" si="106"/>
        <v>1043.8473009892027</v>
      </c>
      <c r="Q384">
        <f t="shared" si="107"/>
        <v>0.5</v>
      </c>
      <c r="R384">
        <f t="shared" si="108"/>
        <v>0.8</v>
      </c>
      <c r="S384">
        <f t="shared" si="109"/>
        <v>1.2000000000000002</v>
      </c>
      <c r="T384" s="89">
        <f t="shared" si="110"/>
        <v>3</v>
      </c>
      <c r="U384" s="126">
        <f>IF($D384="",0,IFERROR(LOOKUP(2,1/(($D$3:D383=$D384)*($C$3:C383=$C384)*($A$3:A383&lt;$A384)),$AB$3:AB383),1000))</f>
        <v>1045.8293692928928</v>
      </c>
      <c r="V384" s="126">
        <f t="shared" si="111"/>
        <v>1044.5905766030864</v>
      </c>
      <c r="W384">
        <f t="shared" si="112"/>
        <v>1044.5905766030864</v>
      </c>
      <c r="X384">
        <f t="shared" si="113"/>
        <v>0.5</v>
      </c>
      <c r="Y384">
        <f t="shared" si="114"/>
        <v>1045.8293692928928</v>
      </c>
      <c r="Z384">
        <f t="shared" si="115"/>
        <v>0.5</v>
      </c>
      <c r="AA384">
        <f>IF($D384="",0,IF($F384&lt;2,0,IF($E384="Win",('Guide &amp; Settings'!$C$42/(($F384-1)*COUNTIFS($A$4:$A$1510,$A384,$E$4:$E$1510,"Win")))*SUMIFS($Z$4:$Z$1510,$A$4:$A$1510,$A384,$E$4:$E$1510,"Loss"),-('Guide &amp; Settings'!$C$42/($F384-1))*$Z384)))</f>
        <v>13.24790046404854</v>
      </c>
      <c r="AB384" s="126">
        <f t="shared" si="116"/>
        <v>1059.0772697569414</v>
      </c>
      <c r="AC384" s="126">
        <f>IF($D384="","",IF($AD384=0,0,IF(COUNTIFS($D$4:$D384,$D384,$B$4:$B384,$B384)&gt;1,0,IF($B384&lt;'Guide &amp; Settings'!$C$50,0,IF(($B384-$AD384)/7-'Guide &amp; Settings'!$C$48&gt;=0,(INT(($B384-$AD384)/7-'Guide &amp; Settings'!$C$48)+1)*'Guide &amp; Settings'!$C$49,0)))))</f>
        <v>0</v>
      </c>
      <c r="AD384" s="142">
        <f t="shared" si="117"/>
        <v>46217</v>
      </c>
      <c r="AE384">
        <f t="shared" si="118"/>
        <v>1</v>
      </c>
      <c r="AF384">
        <f t="shared" si="119"/>
        <v>0</v>
      </c>
    </row>
    <row r="385" spans="1:32" x14ac:dyDescent="0.2">
      <c r="A385" s="117">
        <v>165</v>
      </c>
      <c r="B385" s="118">
        <v>46220</v>
      </c>
      <c r="C385" s="119" t="s">
        <v>47</v>
      </c>
      <c r="D385" s="119" t="s">
        <v>15</v>
      </c>
      <c r="E385" s="117" t="s">
        <v>371</v>
      </c>
      <c r="F385" s="120">
        <f t="shared" si="100"/>
        <v>2</v>
      </c>
      <c r="G385" s="121" t="str">
        <f t="shared" si="101"/>
        <v>Daniel (Ferret)</v>
      </c>
      <c r="H385" s="122">
        <f>IF($D385="",0,IFERROR(LOOKUP(2,1/(($D$3:D384=$D385)*($A$3:A384&lt;$A385)),$N$3:N384),'Guide &amp; Settings'!$C$41))</f>
        <v>1000.9309461291805</v>
      </c>
      <c r="I385" s="123">
        <f t="shared" si="102"/>
        <v>0.2857142857142857</v>
      </c>
      <c r="J385" s="124">
        <f>IF($D385="",0,IF($F385&lt;2,0,IF($E385="Win",('Guide &amp; Settings'!$C$42/(($F385-1)*COUNTIFS($A$4:$A$1510,$A385,$E$4:$E$1510,"Win")))*SUMIFS($X$4:$X$1510,$A$4:$A$1510,$A385,$E$4:$E$1510,"Loss"),-('Guide &amp; Settings'!$C$42/($F385-1))*$X385)))</f>
        <v>-12.705044655057188</v>
      </c>
      <c r="K385" s="124">
        <f>IF($D385="",0,'Guide &amp; Settings'!$C$43*(IF($E385="Win",1,0)-$I385))</f>
        <v>-3.4285714285714284</v>
      </c>
      <c r="L385" s="125">
        <f>IF($D385="",0,'Guide &amp; Settings'!$C$44*IF($F385&gt;=3,$F385,0))</f>
        <v>0</v>
      </c>
      <c r="M385" s="124">
        <f t="shared" si="103"/>
        <v>-16.133616083628617</v>
      </c>
      <c r="N385" s="122">
        <f t="shared" si="104"/>
        <v>984.79733004555192</v>
      </c>
      <c r="O385" s="121" t="str">
        <f t="shared" si="105"/>
        <v>OK</v>
      </c>
      <c r="P385">
        <f t="shared" si="106"/>
        <v>1062.1020546119159</v>
      </c>
      <c r="Q385">
        <f t="shared" si="107"/>
        <v>0.41286618950684068</v>
      </c>
      <c r="R385">
        <f t="shared" si="108"/>
        <v>0.33333333333333331</v>
      </c>
      <c r="S385">
        <f t="shared" si="109"/>
        <v>1.1666666666666667</v>
      </c>
      <c r="T385" s="89">
        <f t="shared" si="110"/>
        <v>4</v>
      </c>
      <c r="U385" s="126">
        <f>IF($D385="",0,IFERROR(LOOKUP(2,1/(($D$3:D384=$D385)*($C$3:C384=$C385)*($A$3:A384&lt;$A385)),$AB$3:AB384),1000))</f>
        <v>972.22033157970577</v>
      </c>
      <c r="V385" s="126">
        <f t="shared" si="111"/>
        <v>988.17067299608061</v>
      </c>
      <c r="W385">
        <f t="shared" si="112"/>
        <v>1060.7577057874828</v>
      </c>
      <c r="X385">
        <f t="shared" si="113"/>
        <v>0.39703264547053713</v>
      </c>
      <c r="Y385">
        <f t="shared" si="114"/>
        <v>1059.0772697569414</v>
      </c>
      <c r="Z385">
        <f t="shared" si="115"/>
        <v>0.37754331784001749</v>
      </c>
      <c r="AA385">
        <f>IF($D385="",0,IF($F385&lt;2,0,IF($E385="Win",('Guide &amp; Settings'!$C$42/(($F385-1)*COUNTIFS($A$4:$A$1510,$A385,$E$4:$E$1510,"Win")))*SUMIFS($Z$4:$Z$1510,$A$4:$A$1510,$A385,$E$4:$E$1510,"Loss"),-('Guide &amp; Settings'!$C$42/($F385-1))*$Z385)))</f>
        <v>-12.08138617088056</v>
      </c>
      <c r="AB385" s="126">
        <f t="shared" si="116"/>
        <v>960.13894540882518</v>
      </c>
      <c r="AC385" s="126">
        <f>IF($D385="","",IF($AD385=0,0,IF(COUNTIFS($D$4:$D385,$D385,$B$4:$B385,$B385)&gt;1,0,IF($B385&lt;'Guide &amp; Settings'!$C$50,0,IF(($B385-$AD385)/7-'Guide &amp; Settings'!$C$48&gt;=0,(INT(($B385-$AD385)/7-'Guide &amp; Settings'!$C$48)+1)*'Guide &amp; Settings'!$C$49,0)))))</f>
        <v>0</v>
      </c>
      <c r="AD385" s="142">
        <f t="shared" si="117"/>
        <v>46214</v>
      </c>
      <c r="AE385">
        <f t="shared" si="118"/>
        <v>1</v>
      </c>
      <c r="AF385">
        <f t="shared" si="119"/>
        <v>0</v>
      </c>
    </row>
    <row r="386" spans="1:32" x14ac:dyDescent="0.2">
      <c r="A386" s="117">
        <v>165</v>
      </c>
      <c r="B386" s="118">
        <v>46220</v>
      </c>
      <c r="C386" s="119" t="s">
        <v>47</v>
      </c>
      <c r="D386" s="119" t="s">
        <v>22</v>
      </c>
      <c r="E386" s="117" t="s">
        <v>370</v>
      </c>
      <c r="F386" s="120">
        <f t="shared" si="100"/>
        <v>2</v>
      </c>
      <c r="G386" s="121" t="str">
        <f t="shared" si="101"/>
        <v>Daniel (Ferret)</v>
      </c>
      <c r="H386" s="122">
        <f>IF($D386="",0,IFERROR(LOOKUP(2,1/(($D$3:D385=$D386)*($A$3:A385&lt;$A386)),$N$3:N385),'Guide &amp; Settings'!$C$41))</f>
        <v>1062.1020546119159</v>
      </c>
      <c r="I386" s="123">
        <f t="shared" si="102"/>
        <v>0.7142857142857143</v>
      </c>
      <c r="J386" s="124">
        <f>IF($D386="",0,IF($F386&lt;2,0,IF($E386="Win",('Guide &amp; Settings'!$C$42/(($F386-1)*COUNTIFS($A$4:$A$1510,$A386,$E$4:$E$1510,"Win")))*SUMIFS($X$4:$X$1510,$A$4:$A$1510,$A386,$E$4:$E$1510,"Loss"),-('Guide &amp; Settings'!$C$42/($F386-1))*$X386)))</f>
        <v>12.705044655057188</v>
      </c>
      <c r="K386" s="124">
        <f>IF($D386="",0,'Guide &amp; Settings'!$C$43*(IF($E386="Win",1,0)-$I386))</f>
        <v>3.4285714285714284</v>
      </c>
      <c r="L386" s="125">
        <f>IF($D386="",0,'Guide &amp; Settings'!$C$44*IF($F386&gt;=3,$F386,0))</f>
        <v>0</v>
      </c>
      <c r="M386" s="124">
        <f t="shared" si="103"/>
        <v>16.133616083628617</v>
      </c>
      <c r="N386" s="122">
        <f t="shared" si="104"/>
        <v>1078.2356706955445</v>
      </c>
      <c r="O386" s="121" t="str">
        <f t="shared" si="105"/>
        <v>OK</v>
      </c>
      <c r="P386">
        <f t="shared" si="106"/>
        <v>1062.1020546119159</v>
      </c>
      <c r="Q386">
        <f t="shared" si="107"/>
        <v>0.5</v>
      </c>
      <c r="R386">
        <f t="shared" si="108"/>
        <v>0.83333333333333337</v>
      </c>
      <c r="S386">
        <f t="shared" si="109"/>
        <v>1.1666666666666667</v>
      </c>
      <c r="T386" s="89">
        <f t="shared" si="110"/>
        <v>4</v>
      </c>
      <c r="U386" s="126">
        <f>IF($D386="",0,IFERROR(LOOKUP(2,1/(($D$3:D385=$D386)*($C$3:C385=$C386)*($A$3:A385&lt;$A386)),$AB$3:AB385),1000))</f>
        <v>1059.0772697569414</v>
      </c>
      <c r="V386" s="126">
        <f t="shared" si="111"/>
        <v>1060.7577057874828</v>
      </c>
      <c r="W386">
        <f t="shared" si="112"/>
        <v>1060.7577057874828</v>
      </c>
      <c r="X386">
        <f t="shared" si="113"/>
        <v>0.5</v>
      </c>
      <c r="Y386">
        <f t="shared" si="114"/>
        <v>1059.0772697569414</v>
      </c>
      <c r="Z386">
        <f t="shared" si="115"/>
        <v>0.5</v>
      </c>
      <c r="AA386">
        <f>IF($D386="",0,IF($F386&lt;2,0,IF($E386="Win",('Guide &amp; Settings'!$C$42/(($F386-1)*COUNTIFS($A$4:$A$1510,$A386,$E$4:$E$1510,"Win")))*SUMIFS($Z$4:$Z$1510,$A$4:$A$1510,$A386,$E$4:$E$1510,"Loss"),-('Guide &amp; Settings'!$C$42/($F386-1))*$Z386)))</f>
        <v>12.08138617088056</v>
      </c>
      <c r="AB386" s="126">
        <f t="shared" si="116"/>
        <v>1071.1586559278219</v>
      </c>
      <c r="AC386" s="126">
        <f>IF($D386="","",IF($AD386=0,0,IF(COUNTIFS($D$4:$D386,$D386,$B$4:$B386,$B386)&gt;1,0,IF($B386&lt;'Guide &amp; Settings'!$C$50,0,IF(($B386-$AD386)/7-'Guide &amp; Settings'!$C$48&gt;=0,(INT(($B386-$AD386)/7-'Guide &amp; Settings'!$C$48)+1)*'Guide &amp; Settings'!$C$49,0)))))</f>
        <v>0</v>
      </c>
      <c r="AD386" s="142">
        <f t="shared" si="117"/>
        <v>46217</v>
      </c>
      <c r="AE386">
        <f t="shared" si="118"/>
        <v>1</v>
      </c>
      <c r="AF386">
        <f t="shared" si="119"/>
        <v>0</v>
      </c>
    </row>
    <row r="387" spans="1:32" x14ac:dyDescent="0.2">
      <c r="A387" s="117">
        <v>166</v>
      </c>
      <c r="B387" s="118">
        <v>46220</v>
      </c>
      <c r="C387" s="119" t="s">
        <v>45</v>
      </c>
      <c r="D387" s="119" t="s">
        <v>20</v>
      </c>
      <c r="E387" s="117" t="s">
        <v>371</v>
      </c>
      <c r="F387" s="120">
        <f t="shared" si="100"/>
        <v>2</v>
      </c>
      <c r="G387" s="121" t="str">
        <f t="shared" si="101"/>
        <v>Oscar</v>
      </c>
      <c r="H387" s="122">
        <f>IF($D387="",0,IFERROR(LOOKUP(2,1/(($D$3:D386=$D387)*($A$3:A386&lt;$A387)),$N$3:N386),'Guide &amp; Settings'!$C$41))</f>
        <v>1160.9394220743627</v>
      </c>
      <c r="I387" s="123">
        <f t="shared" si="102"/>
        <v>0.14285714285714288</v>
      </c>
      <c r="J387" s="124">
        <f>IF($D387="",0,IF($F387&lt;2,0,IF($E387="Win",('Guide &amp; Settings'!$C$42/(($F387-1)*COUNTIFS($A$4:$A$1510,$A387,$E$4:$E$1510,"Win")))*SUMIFS($X$4:$X$1510,$A$4:$A$1510,$A387,$E$4:$E$1510,"Loss"),-('Guide &amp; Settings'!$C$42/($F387-1))*$X387)))</f>
        <v>-14.034928760634347</v>
      </c>
      <c r="K387" s="124">
        <f>IF($D387="",0,'Guide &amp; Settings'!$C$43*(IF($E387="Win",1,0)-$I387))</f>
        <v>-1.7142857142857144</v>
      </c>
      <c r="L387" s="125">
        <f>IF($D387="",0,'Guide &amp; Settings'!$C$44*IF($F387&gt;=3,$F387,0))</f>
        <v>0</v>
      </c>
      <c r="M387" s="124">
        <f t="shared" si="103"/>
        <v>-15.749214474920063</v>
      </c>
      <c r="N387" s="122">
        <f t="shared" si="104"/>
        <v>1145.1902075994426</v>
      </c>
      <c r="O387" s="121" t="str">
        <f t="shared" si="105"/>
        <v>OK</v>
      </c>
      <c r="P387">
        <f t="shared" si="106"/>
        <v>1059.440281924557</v>
      </c>
      <c r="Q387">
        <f t="shared" si="107"/>
        <v>0.64205072329864155</v>
      </c>
      <c r="R387">
        <f t="shared" si="108"/>
        <v>0.1</v>
      </c>
      <c r="S387">
        <f t="shared" si="109"/>
        <v>0.7</v>
      </c>
      <c r="T387" s="89">
        <f t="shared" si="110"/>
        <v>8</v>
      </c>
      <c r="U387" s="126">
        <f>IF($D387="",0,IFERROR(LOOKUP(2,1/(($D$3:D386=$D387)*($C$3:C386=$C387)*($A$3:A386&lt;$A387)),$AB$3:AB386),1000))</f>
        <v>901.77388428932841</v>
      </c>
      <c r="V387" s="126">
        <f t="shared" si="111"/>
        <v>1001.4529372835724</v>
      </c>
      <c r="W387">
        <f t="shared" si="112"/>
        <v>1044.3404297454131</v>
      </c>
      <c r="X387">
        <f t="shared" si="113"/>
        <v>0.43859152376982335</v>
      </c>
      <c r="Y387">
        <f t="shared" si="114"/>
        <v>1034.9030221334483</v>
      </c>
      <c r="Z387">
        <f t="shared" si="115"/>
        <v>0.31726857030059052</v>
      </c>
      <c r="AA387">
        <f>IF($D387="",0,IF($F387&lt;2,0,IF($E387="Win",('Guide &amp; Settings'!$C$42/(($F387-1)*COUNTIFS($A$4:$A$1510,$A387,$E$4:$E$1510,"Win")))*SUMIFS($Z$4:$Z$1510,$A$4:$A$1510,$A387,$E$4:$E$1510,"Loss"),-('Guide &amp; Settings'!$C$42/($F387-1))*$Z387)))</f>
        <v>-10.152594249618897</v>
      </c>
      <c r="AB387" s="126">
        <f t="shared" si="116"/>
        <v>891.62129003970949</v>
      </c>
      <c r="AC387" s="126">
        <f>IF($D387="","",IF($AD387=0,0,IF(COUNTIFS($D$4:$D387,$D387,$B$4:$B387,$B387)&gt;1,0,IF($B387&lt;'Guide &amp; Settings'!$C$50,0,IF(($B387-$AD387)/7-'Guide &amp; Settings'!$C$48&gt;=0,(INT(($B387-$AD387)/7-'Guide &amp; Settings'!$C$48)+1)*'Guide &amp; Settings'!$C$49,0)))))</f>
        <v>0</v>
      </c>
      <c r="AD387" s="142">
        <f t="shared" si="117"/>
        <v>46219</v>
      </c>
      <c r="AE387">
        <f t="shared" si="118"/>
        <v>1</v>
      </c>
      <c r="AF387">
        <f t="shared" si="119"/>
        <v>0</v>
      </c>
    </row>
    <row r="388" spans="1:32" x14ac:dyDescent="0.2">
      <c r="A388" s="117">
        <v>166</v>
      </c>
      <c r="B388" s="118">
        <v>46220</v>
      </c>
      <c r="C388" s="119" t="s">
        <v>45</v>
      </c>
      <c r="D388" s="119" t="s">
        <v>25</v>
      </c>
      <c r="E388" s="117" t="s">
        <v>370</v>
      </c>
      <c r="F388" s="120">
        <f t="shared" ref="F388:F451" si="120">IF($D388="",0,COUNTIF($A$4:$A$1510,$A388))</f>
        <v>2</v>
      </c>
      <c r="G388" s="121" t="str">
        <f t="shared" ref="G388:G451" si="121">IF($D388="","",IFERROR(LOOKUP(2,1/(($A$4:$A$1510=$A388)*($E$4:$E$1510="Win")),$D$4:$D$1510),"(no winner)"))</f>
        <v>Oscar</v>
      </c>
      <c r="H388" s="122">
        <f>IF($D388="",0,IFERROR(LOOKUP(2,1/(($D$3:D387=$D388)*($A$3:A387&lt;$A388)),$N$3:N387),'Guide &amp; Settings'!$C$41))</f>
        <v>1059.440281924557</v>
      </c>
      <c r="I388" s="123">
        <f t="shared" ref="I388:I451" si="122">IF($D388="",0,IF($S388=0,0,$R388/$S388))</f>
        <v>0.85714285714285721</v>
      </c>
      <c r="J388" s="124">
        <f>IF($D388="",0,IF($F388&lt;2,0,IF($E388="Win",('Guide &amp; Settings'!$C$42/(($F388-1)*COUNTIFS($A$4:$A$1510,$A388,$E$4:$E$1510,"Win")))*SUMIFS($X$4:$X$1510,$A$4:$A$1510,$A388,$E$4:$E$1510,"Loss"),-('Guide &amp; Settings'!$C$42/($F388-1))*$X388)))</f>
        <v>14.034928760634347</v>
      </c>
      <c r="K388" s="124">
        <f>IF($D388="",0,'Guide &amp; Settings'!$C$43*(IF($E388="Win",1,0)-$I388))</f>
        <v>1.7142857142857135</v>
      </c>
      <c r="L388" s="125">
        <f>IF($D388="",0,'Guide &amp; Settings'!$C$44*IF($F388&gt;=3,$F388,0))</f>
        <v>0</v>
      </c>
      <c r="M388" s="124">
        <f t="shared" ref="M388:M451" si="123">IF($D388="",0,$J388+$K388+$L388)</f>
        <v>15.749214474920061</v>
      </c>
      <c r="N388" s="122">
        <f t="shared" ref="N388:N451" si="124">IF($D388="",0,$H388+$M388)</f>
        <v>1075.1894963994771</v>
      </c>
      <c r="O388" s="121" t="str">
        <f t="shared" ref="O388:O451" si="125">IF($D388="","",IF($AE388=0,"need a winner",IF($F388-$AE388=0,"need a loser",IF(MOD($AF388,2)=1,"duplicate player",IF(MOD(INT($AF388/2),2)=1,"mixed sports",IF($AF388&gt;=4,"mixed dates",IF($AE388&gt;1,IF($F388&gt;=4,"OK (team)","check winners"),"OK")))))))</f>
        <v>OK</v>
      </c>
      <c r="P388">
        <f t="shared" ref="P388:P451" si="126">IF($D388="",0,IFERROR(SUMIFS($H$4:$H$1510,$A$4:$A$1510,$A388,$E$4:$E$1510,"Win")/COUNTIFS($A$4:$A$1510,$A388,$E$4:$E$1510,"Win"),0))</f>
        <v>1059.440281924557</v>
      </c>
      <c r="Q388">
        <f t="shared" ref="Q388:Q451" si="127">IF($D388="",0,1/(1+10^(($P388-$H388)/400)))</f>
        <v>0.5</v>
      </c>
      <c r="R388">
        <f t="shared" ref="R388:R451" si="128">IF($D388="",0,(COUNTIFS($D$4:$D$1510,$D388,$C$4:$C$1510,$C388,$E$4:$E$1510,"Win",$A$4:$A$1510,"&lt;"&amp;$A388)+1)/(COUNTIFS($D$4:$D$1510,$D388,$C$4:$C$1510,$C388,$A$4:$A$1510,"&lt;"&amp;$A388)+2))</f>
        <v>0.6</v>
      </c>
      <c r="S388">
        <f t="shared" ref="S388:S451" si="129">IF($D388="",0,SUMIFS($R$4:$R$1510,$A$4:$A$1510,$A388))</f>
        <v>0.7</v>
      </c>
      <c r="T388" s="89">
        <f t="shared" ref="T388:T451" si="130">IF($D388="",0,COUNTIFS($D$4:$D$1510,$D388,$C$4:$C$1510,$C388,$A$4:$A$1510,"&lt;"&amp;$A388))</f>
        <v>8</v>
      </c>
      <c r="U388" s="126">
        <f>IF($D388="",0,IFERROR(LOOKUP(2,1/(($D$3:D387=$D388)*($C$3:C387=$C388)*($A$3:A387&lt;$A388)),$AB$3:AB387),1000))</f>
        <v>1034.9030221334483</v>
      </c>
      <c r="V388" s="126">
        <f t="shared" ref="V388:V451" si="131">IF($D388="",0,$U388*($T388/($T388+5))+$H388*(1-$T388/($T388+5)))</f>
        <v>1044.3404297454131</v>
      </c>
      <c r="W388">
        <f t="shared" ref="W388:W451" si="132">IF($D388="",0,IFERROR(SUMIFS($V$4:$V$1510,$A$4:$A$1510,$A388,$E$4:$E$1510,"Win")/COUNTIFS($A$4:$A$1510,$A388,$E$4:$E$1510,"Win"),0))</f>
        <v>1044.3404297454131</v>
      </c>
      <c r="X388">
        <f t="shared" ref="X388:X451" si="133">IF($D388="",0,1/(1+10^(($W388-$V388)/400)))</f>
        <v>0.5</v>
      </c>
      <c r="Y388">
        <f t="shared" ref="Y388:Y451" si="134">IF($D388="",0,IFERROR(SUMIFS($U$4:$U$1510,$A$4:$A$1510,$A388,$E$4:$E$1510,"Win")/COUNTIFS($A$4:$A$1510,$A388,$E$4:$E$1510,"Win"),0))</f>
        <v>1034.9030221334483</v>
      </c>
      <c r="Z388">
        <f t="shared" ref="Z388:Z451" si="135">IF($D388="",0,1/(1+10^(($Y388-$U388)/400)))</f>
        <v>0.5</v>
      </c>
      <c r="AA388">
        <f>IF($D388="",0,IF($F388&lt;2,0,IF($E388="Win",('Guide &amp; Settings'!$C$42/(($F388-1)*COUNTIFS($A$4:$A$1510,$A388,$E$4:$E$1510,"Win")))*SUMIFS($Z$4:$Z$1510,$A$4:$A$1510,$A388,$E$4:$E$1510,"Loss"),-('Guide &amp; Settings'!$C$42/($F388-1))*$Z388)))</f>
        <v>10.152594249618897</v>
      </c>
      <c r="AB388" s="126">
        <f t="shared" ref="AB388:AB451" si="136">IF($D388="",0,$U388+$AA388)</f>
        <v>1045.0556163830672</v>
      </c>
      <c r="AC388" s="126">
        <f>IF($D388="","",IF($AD388=0,0,IF(COUNTIFS($D$4:$D388,$D388,$B$4:$B388,$B388)&gt;1,0,IF($B388&lt;'Guide &amp; Settings'!$C$50,0,IF(($B388-$AD388)/7-'Guide &amp; Settings'!$C$48&gt;=0,(INT(($B388-$AD388)/7-'Guide &amp; Settings'!$C$48)+1)*'Guide &amp; Settings'!$C$49,0)))))</f>
        <v>0</v>
      </c>
      <c r="AD388" s="142">
        <f t="shared" ref="AD388:AD451" si="137">IF($D388="",0,SUMPRODUCT(MAX(($D$4:$D$1510=$D388)*($B$4:$B$1510&lt;$B388)*$B$4:$B$1510)))</f>
        <v>46219</v>
      </c>
      <c r="AE388">
        <f t="shared" ref="AE388:AE451" si="138">IF($D388="",0,COUNTIFS($A$4:$A$1510,$A388,$E$4:$E$1510,"Win"))</f>
        <v>1</v>
      </c>
      <c r="AF388">
        <f t="shared" ref="AF388:AF451" si="139">IF($D388="",0,(COUNTIFS($A$4:$A$1510,$A388,$D$4:$D$1510,$D388)&gt;1)*1+(COUNTIFS($A$4:$A$1510,$A388,$C$4:$C$1510,"&lt;&gt;"&amp;$C388)&gt;0)*2+(COUNTIFS($A$4:$A$1510,$A388,$B$4:$B$1510,"&lt;&gt;"&amp;$B388)&gt;0)*4)</f>
        <v>0</v>
      </c>
    </row>
    <row r="389" spans="1:32" x14ac:dyDescent="0.2">
      <c r="A389" s="117">
        <v>167</v>
      </c>
      <c r="B389" s="118">
        <v>46220</v>
      </c>
      <c r="C389" s="119" t="s">
        <v>45</v>
      </c>
      <c r="D389" s="119" t="s">
        <v>20</v>
      </c>
      <c r="E389" s="117" t="s">
        <v>371</v>
      </c>
      <c r="F389" s="120">
        <f t="shared" si="120"/>
        <v>2</v>
      </c>
      <c r="G389" s="121" t="str">
        <f t="shared" si="121"/>
        <v>Oscar</v>
      </c>
      <c r="H389" s="122">
        <f>IF($D389="",0,IFERROR(LOOKUP(2,1/(($D$3:D388=$D389)*($A$3:A388&lt;$A389)),$N$3:N388),'Guide &amp; Settings'!$C$41))</f>
        <v>1145.1902075994426</v>
      </c>
      <c r="I389" s="123">
        <f t="shared" si="122"/>
        <v>0.125</v>
      </c>
      <c r="J389" s="124">
        <f>IF($D389="",0,IF($F389&lt;2,0,IF($E389="Win",('Guide &amp; Settings'!$C$42/(($F389-1)*COUNTIFS($A$4:$A$1510,$A389,$E$4:$E$1510,"Win")))*SUMIFS($X$4:$X$1510,$A$4:$A$1510,$A389,$E$4:$E$1510,"Loss"),-('Guide &amp; Settings'!$C$42/($F389-1))*$X389)))</f>
        <v>-12.658811113554188</v>
      </c>
      <c r="K389" s="124">
        <f>IF($D389="",0,'Guide &amp; Settings'!$C$43*(IF($E389="Win",1,0)-$I389))</f>
        <v>-1.5</v>
      </c>
      <c r="L389" s="125">
        <f>IF($D389="",0,'Guide &amp; Settings'!$C$44*IF($F389&gt;=3,$F389,0))</f>
        <v>0</v>
      </c>
      <c r="M389" s="124">
        <f t="shared" si="123"/>
        <v>-14.158811113554188</v>
      </c>
      <c r="N389" s="122">
        <f t="shared" si="124"/>
        <v>1131.0313964858883</v>
      </c>
      <c r="O389" s="121" t="str">
        <f t="shared" si="125"/>
        <v>OK</v>
      </c>
      <c r="P389">
        <f t="shared" si="126"/>
        <v>1075.1894963994771</v>
      </c>
      <c r="Q389">
        <f t="shared" si="127"/>
        <v>0.59939777976033271</v>
      </c>
      <c r="R389">
        <f t="shared" si="128"/>
        <v>9.0909090909090912E-2</v>
      </c>
      <c r="S389">
        <f t="shared" si="129"/>
        <v>0.72727272727272729</v>
      </c>
      <c r="T389" s="89">
        <f t="shared" si="130"/>
        <v>9</v>
      </c>
      <c r="U389" s="126">
        <f>IF($D389="",0,IFERROR(LOOKUP(2,1/(($D$3:D388=$D389)*($C$3:C388=$C389)*($A$3:A388&lt;$A389)),$AB$3:AB388),1000))</f>
        <v>891.62129003970949</v>
      </c>
      <c r="V389" s="126">
        <f t="shared" si="131"/>
        <v>982.18161773961424</v>
      </c>
      <c r="W389">
        <f t="shared" si="132"/>
        <v>1055.8177163889279</v>
      </c>
      <c r="X389">
        <f t="shared" si="133"/>
        <v>0.39558784729856838</v>
      </c>
      <c r="Y389">
        <f t="shared" si="134"/>
        <v>1045.0556163830672</v>
      </c>
      <c r="Z389">
        <f t="shared" si="135"/>
        <v>0.2925070322808917</v>
      </c>
      <c r="AA389">
        <f>IF($D389="",0,IF($F389&lt;2,0,IF($E389="Win",('Guide &amp; Settings'!$C$42/(($F389-1)*COUNTIFS($A$4:$A$1510,$A389,$E$4:$E$1510,"Win")))*SUMIFS($Z$4:$Z$1510,$A$4:$A$1510,$A389,$E$4:$E$1510,"Loss"),-('Guide &amp; Settings'!$C$42/($F389-1))*$Z389)))</f>
        <v>-9.3602250329885344</v>
      </c>
      <c r="AB389" s="126">
        <f t="shared" si="136"/>
        <v>882.26106500672097</v>
      </c>
      <c r="AC389" s="126">
        <f>IF($D389="","",IF($AD389=0,0,IF(COUNTIFS($D$4:$D389,$D389,$B$4:$B389,$B389)&gt;1,0,IF($B389&lt;'Guide &amp; Settings'!$C$50,0,IF(($B389-$AD389)/7-'Guide &amp; Settings'!$C$48&gt;=0,(INT(($B389-$AD389)/7-'Guide &amp; Settings'!$C$48)+1)*'Guide &amp; Settings'!$C$49,0)))))</f>
        <v>0</v>
      </c>
      <c r="AD389" s="142">
        <f t="shared" si="137"/>
        <v>46219</v>
      </c>
      <c r="AE389">
        <f t="shared" si="138"/>
        <v>1</v>
      </c>
      <c r="AF389">
        <f t="shared" si="139"/>
        <v>0</v>
      </c>
    </row>
    <row r="390" spans="1:32" x14ac:dyDescent="0.2">
      <c r="A390" s="117">
        <v>167</v>
      </c>
      <c r="B390" s="118">
        <v>46220</v>
      </c>
      <c r="C390" s="119" t="s">
        <v>45</v>
      </c>
      <c r="D390" s="119" t="s">
        <v>25</v>
      </c>
      <c r="E390" s="117" t="s">
        <v>370</v>
      </c>
      <c r="F390" s="120">
        <f t="shared" si="120"/>
        <v>2</v>
      </c>
      <c r="G390" s="121" t="str">
        <f t="shared" si="121"/>
        <v>Oscar</v>
      </c>
      <c r="H390" s="122">
        <f>IF($D390="",0,IFERROR(LOOKUP(2,1/(($D$3:D389=$D390)*($A$3:A389&lt;$A390)),$N$3:N389),'Guide &amp; Settings'!$C$41))</f>
        <v>1075.1894963994771</v>
      </c>
      <c r="I390" s="123">
        <f t="shared" si="122"/>
        <v>0.875</v>
      </c>
      <c r="J390" s="124">
        <f>IF($D390="",0,IF($F390&lt;2,0,IF($E390="Win",('Guide &amp; Settings'!$C$42/(($F390-1)*COUNTIFS($A$4:$A$1510,$A390,$E$4:$E$1510,"Win")))*SUMIFS($X$4:$X$1510,$A$4:$A$1510,$A390,$E$4:$E$1510,"Loss"),-('Guide &amp; Settings'!$C$42/($F390-1))*$X390)))</f>
        <v>12.658811113554188</v>
      </c>
      <c r="K390" s="124">
        <f>IF($D390="",0,'Guide &amp; Settings'!$C$43*(IF($E390="Win",1,0)-$I390))</f>
        <v>1.5</v>
      </c>
      <c r="L390" s="125">
        <f>IF($D390="",0,'Guide &amp; Settings'!$C$44*IF($F390&gt;=3,$F390,0))</f>
        <v>0</v>
      </c>
      <c r="M390" s="124">
        <f t="shared" si="123"/>
        <v>14.158811113554188</v>
      </c>
      <c r="N390" s="122">
        <f t="shared" si="124"/>
        <v>1089.3483075130314</v>
      </c>
      <c r="O390" s="121" t="str">
        <f t="shared" si="125"/>
        <v>OK</v>
      </c>
      <c r="P390">
        <f t="shared" si="126"/>
        <v>1075.1894963994771</v>
      </c>
      <c r="Q390">
        <f t="shared" si="127"/>
        <v>0.5</v>
      </c>
      <c r="R390">
        <f t="shared" si="128"/>
        <v>0.63636363636363635</v>
      </c>
      <c r="S390">
        <f t="shared" si="129"/>
        <v>0.72727272727272729</v>
      </c>
      <c r="T390" s="89">
        <f t="shared" si="130"/>
        <v>9</v>
      </c>
      <c r="U390" s="126">
        <f>IF($D390="",0,IFERROR(LOOKUP(2,1/(($D$3:D389=$D390)*($C$3:C389=$C390)*($A$3:A389&lt;$A390)),$AB$3:AB389),1000))</f>
        <v>1045.0556163830672</v>
      </c>
      <c r="V390" s="126">
        <f t="shared" si="131"/>
        <v>1055.8177163889279</v>
      </c>
      <c r="W390">
        <f t="shared" si="132"/>
        <v>1055.8177163889279</v>
      </c>
      <c r="X390">
        <f t="shared" si="133"/>
        <v>0.5</v>
      </c>
      <c r="Y390">
        <f t="shared" si="134"/>
        <v>1045.0556163830672</v>
      </c>
      <c r="Z390">
        <f t="shared" si="135"/>
        <v>0.5</v>
      </c>
      <c r="AA390">
        <f>IF($D390="",0,IF($F390&lt;2,0,IF($E390="Win",('Guide &amp; Settings'!$C$42/(($F390-1)*COUNTIFS($A$4:$A$1510,$A390,$E$4:$E$1510,"Win")))*SUMIFS($Z$4:$Z$1510,$A$4:$A$1510,$A390,$E$4:$E$1510,"Loss"),-('Guide &amp; Settings'!$C$42/($F390-1))*$Z390)))</f>
        <v>9.3602250329885344</v>
      </c>
      <c r="AB390" s="126">
        <f t="shared" si="136"/>
        <v>1054.4158414160559</v>
      </c>
      <c r="AC390" s="126">
        <f>IF($D390="","",IF($AD390=0,0,IF(COUNTIFS($D$4:$D390,$D390,$B$4:$B390,$B390)&gt;1,0,IF($B390&lt;'Guide &amp; Settings'!$C$50,0,IF(($B390-$AD390)/7-'Guide &amp; Settings'!$C$48&gt;=0,(INT(($B390-$AD390)/7-'Guide &amp; Settings'!$C$48)+1)*'Guide &amp; Settings'!$C$49,0)))))</f>
        <v>0</v>
      </c>
      <c r="AD390" s="142">
        <f t="shared" si="137"/>
        <v>46219</v>
      </c>
      <c r="AE390">
        <f t="shared" si="138"/>
        <v>1</v>
      </c>
      <c r="AF390">
        <f t="shared" si="139"/>
        <v>0</v>
      </c>
    </row>
    <row r="391" spans="1:32" x14ac:dyDescent="0.2">
      <c r="A391" s="117">
        <v>168</v>
      </c>
      <c r="B391" s="118">
        <v>46220</v>
      </c>
      <c r="C391" s="119" t="s">
        <v>45</v>
      </c>
      <c r="D391" s="119" t="s">
        <v>20</v>
      </c>
      <c r="E391" s="117" t="s">
        <v>371</v>
      </c>
      <c r="F391" s="120">
        <f t="shared" si="120"/>
        <v>2</v>
      </c>
      <c r="G391" s="121" t="str">
        <f t="shared" si="121"/>
        <v>Oscar</v>
      </c>
      <c r="H391" s="122">
        <f>IF($D391="",0,IFERROR(LOOKUP(2,1/(($D$3:D390=$D391)*($A$3:A390&lt;$A391)),$N$3:N390),'Guide &amp; Settings'!$C$41))</f>
        <v>1131.0313964858883</v>
      </c>
      <c r="I391" s="123">
        <f t="shared" si="122"/>
        <v>0.1111111111111111</v>
      </c>
      <c r="J391" s="124">
        <f>IF($D391="",0,IF($F391&lt;2,0,IF($E391="Win",('Guide &amp; Settings'!$C$42/(($F391-1)*COUNTIFS($A$4:$A$1510,$A391,$E$4:$E$1510,"Win")))*SUMIFS($X$4:$X$1510,$A$4:$A$1510,$A391,$E$4:$E$1510,"Loss"),-('Guide &amp; Settings'!$C$42/($F391-1))*$X391)))</f>
        <v>-11.480792427058683</v>
      </c>
      <c r="K391" s="124">
        <f>IF($D391="",0,'Guide &amp; Settings'!$C$43*(IF($E391="Win",1,0)-$I391))</f>
        <v>-1.3333333333333333</v>
      </c>
      <c r="L391" s="125">
        <f>IF($D391="",0,'Guide &amp; Settings'!$C$44*IF($F391&gt;=3,$F391,0))</f>
        <v>0</v>
      </c>
      <c r="M391" s="124">
        <f t="shared" si="123"/>
        <v>-12.814125760392017</v>
      </c>
      <c r="N391" s="122">
        <f t="shared" si="124"/>
        <v>1118.2172707254963</v>
      </c>
      <c r="O391" s="121" t="str">
        <f t="shared" si="125"/>
        <v>OK</v>
      </c>
      <c r="P391">
        <f t="shared" si="126"/>
        <v>1089.3483075130314</v>
      </c>
      <c r="Q391">
        <f t="shared" si="127"/>
        <v>0.55970062474241644</v>
      </c>
      <c r="R391">
        <f t="shared" si="128"/>
        <v>8.3333333333333329E-2</v>
      </c>
      <c r="S391">
        <f t="shared" si="129"/>
        <v>0.75</v>
      </c>
      <c r="T391" s="89">
        <f t="shared" si="130"/>
        <v>10</v>
      </c>
      <c r="U391" s="126">
        <f>IF($D391="",0,IFERROR(LOOKUP(2,1/(($D$3:D390=$D391)*($C$3:C390=$C391)*($A$3:A390&lt;$A391)),$AB$3:AB390),1000))</f>
        <v>882.26106500672097</v>
      </c>
      <c r="V391" s="126">
        <f t="shared" si="131"/>
        <v>965.18450883311016</v>
      </c>
      <c r="W391">
        <f t="shared" si="132"/>
        <v>1066.0599967817143</v>
      </c>
      <c r="X391">
        <f t="shared" si="133"/>
        <v>0.35877476334558384</v>
      </c>
      <c r="Y391">
        <f t="shared" si="134"/>
        <v>1054.4158414160559</v>
      </c>
      <c r="Z391">
        <f t="shared" si="135"/>
        <v>0.27071409982842148</v>
      </c>
      <c r="AA391">
        <f>IF($D391="",0,IF($F391&lt;2,0,IF($E391="Win",('Guide &amp; Settings'!$C$42/(($F391-1)*COUNTIFS($A$4:$A$1510,$A391,$E$4:$E$1510,"Win")))*SUMIFS($Z$4:$Z$1510,$A$4:$A$1510,$A391,$E$4:$E$1510,"Loss"),-('Guide &amp; Settings'!$C$42/($F391-1))*$Z391)))</f>
        <v>-8.6628511945094875</v>
      </c>
      <c r="AB391" s="126">
        <f t="shared" si="136"/>
        <v>873.5982138122115</v>
      </c>
      <c r="AC391" s="126">
        <f>IF($D391="","",IF($AD391=0,0,IF(COUNTIFS($D$4:$D391,$D391,$B$4:$B391,$B391)&gt;1,0,IF($B391&lt;'Guide &amp; Settings'!$C$50,0,IF(($B391-$AD391)/7-'Guide &amp; Settings'!$C$48&gt;=0,(INT(($B391-$AD391)/7-'Guide &amp; Settings'!$C$48)+1)*'Guide &amp; Settings'!$C$49,0)))))</f>
        <v>0</v>
      </c>
      <c r="AD391" s="142">
        <f t="shared" si="137"/>
        <v>46219</v>
      </c>
      <c r="AE391">
        <f t="shared" si="138"/>
        <v>1</v>
      </c>
      <c r="AF391">
        <f t="shared" si="139"/>
        <v>0</v>
      </c>
    </row>
    <row r="392" spans="1:32" x14ac:dyDescent="0.2">
      <c r="A392" s="117">
        <v>168</v>
      </c>
      <c r="B392" s="118">
        <v>46220</v>
      </c>
      <c r="C392" s="119" t="s">
        <v>45</v>
      </c>
      <c r="D392" s="119" t="s">
        <v>25</v>
      </c>
      <c r="E392" s="117" t="s">
        <v>370</v>
      </c>
      <c r="F392" s="120">
        <f t="shared" si="120"/>
        <v>2</v>
      </c>
      <c r="G392" s="121" t="str">
        <f t="shared" si="121"/>
        <v>Oscar</v>
      </c>
      <c r="H392" s="122">
        <f>IF($D392="",0,IFERROR(LOOKUP(2,1/(($D$3:D391=$D392)*($A$3:A391&lt;$A392)),$N$3:N391),'Guide &amp; Settings'!$C$41))</f>
        <v>1089.3483075130314</v>
      </c>
      <c r="I392" s="123">
        <f t="shared" si="122"/>
        <v>0.88888888888888884</v>
      </c>
      <c r="J392" s="124">
        <f>IF($D392="",0,IF($F392&lt;2,0,IF($E392="Win",('Guide &amp; Settings'!$C$42/(($F392-1)*COUNTIFS($A$4:$A$1510,$A392,$E$4:$E$1510,"Win")))*SUMIFS($X$4:$X$1510,$A$4:$A$1510,$A392,$E$4:$E$1510,"Loss"),-('Guide &amp; Settings'!$C$42/($F392-1))*$X392)))</f>
        <v>11.480792427058683</v>
      </c>
      <c r="K392" s="124">
        <f>IF($D392="",0,'Guide &amp; Settings'!$C$43*(IF($E392="Win",1,0)-$I392))</f>
        <v>1.3333333333333339</v>
      </c>
      <c r="L392" s="125">
        <f>IF($D392="",0,'Guide &amp; Settings'!$C$44*IF($F392&gt;=3,$F392,0))</f>
        <v>0</v>
      </c>
      <c r="M392" s="124">
        <f t="shared" si="123"/>
        <v>12.814125760392017</v>
      </c>
      <c r="N392" s="122">
        <f t="shared" si="124"/>
        <v>1102.1624332734234</v>
      </c>
      <c r="O392" s="121" t="str">
        <f t="shared" si="125"/>
        <v>OK</v>
      </c>
      <c r="P392">
        <f t="shared" si="126"/>
        <v>1089.3483075130314</v>
      </c>
      <c r="Q392">
        <f t="shared" si="127"/>
        <v>0.5</v>
      </c>
      <c r="R392">
        <f t="shared" si="128"/>
        <v>0.66666666666666663</v>
      </c>
      <c r="S392">
        <f t="shared" si="129"/>
        <v>0.75</v>
      </c>
      <c r="T392" s="89">
        <f t="shared" si="130"/>
        <v>10</v>
      </c>
      <c r="U392" s="126">
        <f>IF($D392="",0,IFERROR(LOOKUP(2,1/(($D$3:D391=$D392)*($C$3:C391=$C392)*($A$3:A391&lt;$A392)),$AB$3:AB391),1000))</f>
        <v>1054.4158414160559</v>
      </c>
      <c r="V392" s="126">
        <f t="shared" si="131"/>
        <v>1066.0599967817143</v>
      </c>
      <c r="W392">
        <f t="shared" si="132"/>
        <v>1066.0599967817143</v>
      </c>
      <c r="X392">
        <f t="shared" si="133"/>
        <v>0.5</v>
      </c>
      <c r="Y392">
        <f t="shared" si="134"/>
        <v>1054.4158414160559</v>
      </c>
      <c r="Z392">
        <f t="shared" si="135"/>
        <v>0.5</v>
      </c>
      <c r="AA392">
        <f>IF($D392="",0,IF($F392&lt;2,0,IF($E392="Win",('Guide &amp; Settings'!$C$42/(($F392-1)*COUNTIFS($A$4:$A$1510,$A392,$E$4:$E$1510,"Win")))*SUMIFS($Z$4:$Z$1510,$A$4:$A$1510,$A392,$E$4:$E$1510,"Loss"),-('Guide &amp; Settings'!$C$42/($F392-1))*$Z392)))</f>
        <v>8.6628511945094875</v>
      </c>
      <c r="AB392" s="126">
        <f t="shared" si="136"/>
        <v>1063.0786926105654</v>
      </c>
      <c r="AC392" s="126">
        <f>IF($D392="","",IF($AD392=0,0,IF(COUNTIFS($D$4:$D392,$D392,$B$4:$B392,$B392)&gt;1,0,IF($B392&lt;'Guide &amp; Settings'!$C$50,0,IF(($B392-$AD392)/7-'Guide &amp; Settings'!$C$48&gt;=0,(INT(($B392-$AD392)/7-'Guide &amp; Settings'!$C$48)+1)*'Guide &amp; Settings'!$C$49,0)))))</f>
        <v>0</v>
      </c>
      <c r="AD392" s="142">
        <f t="shared" si="137"/>
        <v>46219</v>
      </c>
      <c r="AE392">
        <f t="shared" si="138"/>
        <v>1</v>
      </c>
      <c r="AF392">
        <f t="shared" si="139"/>
        <v>0</v>
      </c>
    </row>
    <row r="393" spans="1:32" x14ac:dyDescent="0.2">
      <c r="A393" s="117">
        <v>169</v>
      </c>
      <c r="B393" s="118">
        <v>46220</v>
      </c>
      <c r="C393" s="119" t="s">
        <v>50</v>
      </c>
      <c r="D393" s="119" t="s">
        <v>20</v>
      </c>
      <c r="E393" s="117" t="s">
        <v>370</v>
      </c>
      <c r="F393" s="120">
        <f t="shared" si="120"/>
        <v>3</v>
      </c>
      <c r="G393" s="121" t="str">
        <f t="shared" si="121"/>
        <v>Shawn</v>
      </c>
      <c r="H393" s="122">
        <f>IF($D393="",0,IFERROR(LOOKUP(2,1/(($D$3:D392=$D393)*($A$3:A392&lt;$A393)),$N$3:N392),'Guide &amp; Settings'!$C$41))</f>
        <v>1118.2172707254963</v>
      </c>
      <c r="I393" s="123">
        <f t="shared" si="122"/>
        <v>0.36585365853658541</v>
      </c>
      <c r="J393" s="124">
        <f>IF($D393="",0,IF($F393&lt;2,0,IF($E393="Win",('Guide &amp; Settings'!$C$42/(($F393-1)*COUNTIFS($A$4:$A$1510,$A393,$E$4:$E$1510,"Win")))*SUMIFS($X$4:$X$1510,$A$4:$A$1510,$A393,$E$4:$E$1510,"Loss"),-('Guide &amp; Settings'!$C$42/($F393-1))*$X393)))</f>
        <v>15.713867607351752</v>
      </c>
      <c r="K393" s="124">
        <f>IF($D393="",0,'Guide &amp; Settings'!$C$43*(IF($E393="Win",1,0)-$I393))</f>
        <v>7.6097560975609744</v>
      </c>
      <c r="L393" s="125">
        <f>IF($D393="",0,'Guide &amp; Settings'!$C$44*IF($F393&gt;=3,$F393,0))</f>
        <v>3</v>
      </c>
      <c r="M393" s="124">
        <f t="shared" si="123"/>
        <v>26.323623704912727</v>
      </c>
      <c r="N393" s="122">
        <f t="shared" si="124"/>
        <v>1144.540894430409</v>
      </c>
      <c r="O393" s="121" t="str">
        <f t="shared" si="125"/>
        <v>OK</v>
      </c>
      <c r="P393">
        <f t="shared" si="126"/>
        <v>1118.2172707254963</v>
      </c>
      <c r="Q393">
        <f t="shared" si="127"/>
        <v>0.5</v>
      </c>
      <c r="R393">
        <f t="shared" si="128"/>
        <v>0.6428571428571429</v>
      </c>
      <c r="S393">
        <f t="shared" si="129"/>
        <v>1.7571428571428571</v>
      </c>
      <c r="T393" s="89">
        <f t="shared" si="130"/>
        <v>12</v>
      </c>
      <c r="U393" s="126">
        <f>IF($D393="",0,IFERROR(LOOKUP(2,1/(($D$3:D392=$D393)*($C$3:C392=$C393)*($A$3:A392&lt;$A393)),$AB$3:AB392),1000))</f>
        <v>1044.7788565651758</v>
      </c>
      <c r="V393" s="126">
        <f t="shared" si="131"/>
        <v>1066.3783901417407</v>
      </c>
      <c r="W393">
        <f t="shared" si="132"/>
        <v>1066.3783901417407</v>
      </c>
      <c r="X393">
        <f t="shared" si="133"/>
        <v>0.5</v>
      </c>
      <c r="Y393">
        <f t="shared" si="134"/>
        <v>1044.7788565651758</v>
      </c>
      <c r="Z393">
        <f t="shared" si="135"/>
        <v>0.5</v>
      </c>
      <c r="AA393">
        <f>IF($D393="",0,IF($F393&lt;2,0,IF($E393="Win",('Guide &amp; Settings'!$C$42/(($F393-1)*COUNTIFS($A$4:$A$1510,$A393,$E$4:$E$1510,"Win")))*SUMIFS($Z$4:$Z$1510,$A$4:$A$1510,$A393,$E$4:$E$1510,"Loss"),-('Guide &amp; Settings'!$C$42/($F393-1))*$Z393)))</f>
        <v>15.017925900090386</v>
      </c>
      <c r="AB393" s="126">
        <f t="shared" si="136"/>
        <v>1059.7967824652662</v>
      </c>
      <c r="AC393" s="126">
        <f>IF($D393="","",IF($AD393=0,0,IF(COUNTIFS($D$4:$D393,$D393,$B$4:$B393,$B393)&gt;1,0,IF($B393&lt;'Guide &amp; Settings'!$C$50,0,IF(($B393-$AD393)/7-'Guide &amp; Settings'!$C$48&gt;=0,(INT(($B393-$AD393)/7-'Guide &amp; Settings'!$C$48)+1)*'Guide &amp; Settings'!$C$49,0)))))</f>
        <v>0</v>
      </c>
      <c r="AD393" s="142">
        <f t="shared" si="137"/>
        <v>46219</v>
      </c>
      <c r="AE393">
        <f t="shared" si="138"/>
        <v>1</v>
      </c>
      <c r="AF393">
        <f t="shared" si="139"/>
        <v>0</v>
      </c>
    </row>
    <row r="394" spans="1:32" x14ac:dyDescent="0.2">
      <c r="A394" s="117">
        <v>169</v>
      </c>
      <c r="B394" s="118">
        <v>46220</v>
      </c>
      <c r="C394" s="119" t="s">
        <v>50</v>
      </c>
      <c r="D394" s="119" t="s">
        <v>25</v>
      </c>
      <c r="E394" s="117" t="s">
        <v>371</v>
      </c>
      <c r="F394" s="120">
        <f t="shared" si="120"/>
        <v>3</v>
      </c>
      <c r="G394" s="121" t="str">
        <f t="shared" si="121"/>
        <v>Shawn</v>
      </c>
      <c r="H394" s="122">
        <f>IF($D394="",0,IFERROR(LOOKUP(2,1/(($D$3:D393=$D394)*($A$3:A393&lt;$A394)),$N$3:N393),'Guide &amp; Settings'!$C$41))</f>
        <v>1102.1624332734234</v>
      </c>
      <c r="I394" s="123">
        <f t="shared" si="122"/>
        <v>0.22764227642276424</v>
      </c>
      <c r="J394" s="124">
        <f>IF($D394="",0,IF($F394&lt;2,0,IF($E394="Win",('Guide &amp; Settings'!$C$42/(($F394-1)*COUNTIFS($A$4:$A$1510,$A394,$E$4:$E$1510,"Win")))*SUMIFS($X$4:$X$1510,$A$4:$A$1510,$A394,$E$4:$E$1510,"Loss"),-('Guide &amp; Settings'!$C$42/($F394-1))*$X394)))</f>
        <v>-7.9119338199279889</v>
      </c>
      <c r="K394" s="124">
        <f>IF($D394="",0,'Guide &amp; Settings'!$C$43*(IF($E394="Win",1,0)-$I394))</f>
        <v>-2.7317073170731709</v>
      </c>
      <c r="L394" s="125">
        <f>IF($D394="",0,'Guide &amp; Settings'!$C$44*IF($F394&gt;=3,$F394,0))</f>
        <v>3</v>
      </c>
      <c r="M394" s="124">
        <f t="shared" si="123"/>
        <v>-7.6436411370011594</v>
      </c>
      <c r="N394" s="122">
        <f t="shared" si="124"/>
        <v>1094.5187921364222</v>
      </c>
      <c r="O394" s="121" t="str">
        <f t="shared" si="125"/>
        <v>OK</v>
      </c>
      <c r="P394">
        <f t="shared" si="126"/>
        <v>1118.2172707254963</v>
      </c>
      <c r="Q394">
        <f t="shared" si="127"/>
        <v>0.47691166296632609</v>
      </c>
      <c r="R394">
        <f t="shared" si="128"/>
        <v>0.4</v>
      </c>
      <c r="S394">
        <f t="shared" si="129"/>
        <v>1.7571428571428571</v>
      </c>
      <c r="T394" s="89">
        <f t="shared" si="130"/>
        <v>3</v>
      </c>
      <c r="U394" s="126">
        <f>IF($D394="",0,IFERROR(LOOKUP(2,1/(($D$3:D393=$D394)*($C$3:C393=$C394)*($A$3:A393&lt;$A394)),$AB$3:AB393),1000))</f>
        <v>996.5387979632967</v>
      </c>
      <c r="V394" s="126">
        <f t="shared" si="131"/>
        <v>1062.5535700321259</v>
      </c>
      <c r="W394">
        <f t="shared" si="132"/>
        <v>1066.3783901417407</v>
      </c>
      <c r="X394">
        <f t="shared" si="133"/>
        <v>0.49449586374549931</v>
      </c>
      <c r="Y394">
        <f t="shared" si="134"/>
        <v>1044.7788565651758</v>
      </c>
      <c r="Z394">
        <f t="shared" si="135"/>
        <v>0.43101967918203049</v>
      </c>
      <c r="AA394">
        <f>IF($D394="",0,IF($F394&lt;2,0,IF($E394="Win",('Guide &amp; Settings'!$C$42/(($F394-1)*COUNTIFS($A$4:$A$1510,$A394,$E$4:$E$1510,"Win")))*SUMIFS($Z$4:$Z$1510,$A$4:$A$1510,$A394,$E$4:$E$1510,"Loss"),-('Guide &amp; Settings'!$C$42/($F394-1))*$Z394)))</f>
        <v>-6.8963148669124879</v>
      </c>
      <c r="AB394" s="126">
        <f t="shared" si="136"/>
        <v>989.64248309638424</v>
      </c>
      <c r="AC394" s="126">
        <f>IF($D394="","",IF($AD394=0,0,IF(COUNTIFS($D$4:$D394,$D394,$B$4:$B394,$B394)&gt;1,0,IF($B394&lt;'Guide &amp; Settings'!$C$50,0,IF(($B394-$AD394)/7-'Guide &amp; Settings'!$C$48&gt;=0,(INT(($B394-$AD394)/7-'Guide &amp; Settings'!$C$48)+1)*'Guide &amp; Settings'!$C$49,0)))))</f>
        <v>0</v>
      </c>
      <c r="AD394" s="142">
        <f t="shared" si="137"/>
        <v>46219</v>
      </c>
      <c r="AE394">
        <f t="shared" si="138"/>
        <v>1</v>
      </c>
      <c r="AF394">
        <f t="shared" si="139"/>
        <v>0</v>
      </c>
    </row>
    <row r="395" spans="1:32" x14ac:dyDescent="0.2">
      <c r="A395" s="117">
        <v>169</v>
      </c>
      <c r="B395" s="118">
        <v>46220</v>
      </c>
      <c r="C395" s="119" t="s">
        <v>50</v>
      </c>
      <c r="D395" s="119" t="s">
        <v>17</v>
      </c>
      <c r="E395" s="117" t="s">
        <v>371</v>
      </c>
      <c r="F395" s="120">
        <f t="shared" si="120"/>
        <v>3</v>
      </c>
      <c r="G395" s="121" t="str">
        <f t="shared" si="121"/>
        <v>Shawn</v>
      </c>
      <c r="H395" s="122">
        <f>IF($D395="",0,IFERROR(LOOKUP(2,1/(($D$3:D394=$D395)*($A$3:A394&lt;$A395)),$N$3:N394),'Guide &amp; Settings'!$C$41))</f>
        <v>1065.488687696035</v>
      </c>
      <c r="I395" s="123">
        <f t="shared" si="122"/>
        <v>0.4065040650406504</v>
      </c>
      <c r="J395" s="124">
        <f>IF($D395="",0,IF($F395&lt;2,0,IF($E395="Win",('Guide &amp; Settings'!$C$42/(($F395-1)*COUNTIFS($A$4:$A$1510,$A395,$E$4:$E$1510,"Win")))*SUMIFS($X$4:$X$1510,$A$4:$A$1510,$A395,$E$4:$E$1510,"Loss"),-('Guide &amp; Settings'!$C$42/($F395-1))*$X395)))</f>
        <v>-7.8019337874237618</v>
      </c>
      <c r="K395" s="124">
        <f>IF($D395="",0,'Guide &amp; Settings'!$C$43*(IF($E395="Win",1,0)-$I395))</f>
        <v>-4.8780487804878048</v>
      </c>
      <c r="L395" s="125">
        <f>IF($D395="",0,'Guide &amp; Settings'!$C$44*IF($F395&gt;=3,$F395,0))</f>
        <v>3</v>
      </c>
      <c r="M395" s="124">
        <f t="shared" si="123"/>
        <v>-9.6799825679115656</v>
      </c>
      <c r="N395" s="122">
        <f t="shared" si="124"/>
        <v>1055.8087051281234</v>
      </c>
      <c r="O395" s="121" t="str">
        <f t="shared" si="125"/>
        <v>OK</v>
      </c>
      <c r="P395">
        <f t="shared" si="126"/>
        <v>1118.2172707254963</v>
      </c>
      <c r="Q395">
        <f t="shared" si="127"/>
        <v>0.42469474286059783</v>
      </c>
      <c r="R395">
        <f t="shared" si="128"/>
        <v>0.7142857142857143</v>
      </c>
      <c r="S395">
        <f t="shared" si="129"/>
        <v>1.7571428571428571</v>
      </c>
      <c r="T395" s="89">
        <f t="shared" si="130"/>
        <v>5</v>
      </c>
      <c r="U395" s="126">
        <f>IF($D395="",0,IFERROR(LOOKUP(2,1/(($D$3:D394=$D395)*($C$3:C394=$C395)*($A$3:A394&lt;$A395)),$AB$3:AB394),1000))</f>
        <v>1050.060763506101</v>
      </c>
      <c r="V395" s="126">
        <f t="shared" si="131"/>
        <v>1057.774725601068</v>
      </c>
      <c r="W395">
        <f t="shared" si="132"/>
        <v>1066.3783901417407</v>
      </c>
      <c r="X395">
        <f t="shared" si="133"/>
        <v>0.48762086171398511</v>
      </c>
      <c r="Y395">
        <f t="shared" si="134"/>
        <v>1044.7788565651758</v>
      </c>
      <c r="Z395">
        <f t="shared" si="135"/>
        <v>0.50760068957361859</v>
      </c>
      <c r="AA395">
        <f>IF($D395="",0,IF($F395&lt;2,0,IF($E395="Win",('Guide &amp; Settings'!$C$42/(($F395-1)*COUNTIFS($A$4:$A$1510,$A395,$E$4:$E$1510,"Win")))*SUMIFS($Z$4:$Z$1510,$A$4:$A$1510,$A395,$E$4:$E$1510,"Loss"),-('Guide &amp; Settings'!$C$42/($F395-1))*$Z395)))</f>
        <v>-8.1216110331778975</v>
      </c>
      <c r="AB395" s="126">
        <f t="shared" si="136"/>
        <v>1041.9391524729231</v>
      </c>
      <c r="AC395" s="126">
        <f>IF($D395="","",IF($AD395=0,0,IF(COUNTIFS($D$4:$D395,$D395,$B$4:$B395,$B395)&gt;1,0,IF($B395&lt;'Guide &amp; Settings'!$C$50,0,IF(($B395-$AD395)/7-'Guide &amp; Settings'!$C$48&gt;=0,(INT(($B395-$AD395)/7-'Guide &amp; Settings'!$C$48)+1)*'Guide &amp; Settings'!$C$49,0)))))</f>
        <v>0</v>
      </c>
      <c r="AD395" s="142">
        <f t="shared" si="137"/>
        <v>46219</v>
      </c>
      <c r="AE395">
        <f t="shared" si="138"/>
        <v>1</v>
      </c>
      <c r="AF395">
        <f t="shared" si="139"/>
        <v>0</v>
      </c>
    </row>
    <row r="396" spans="1:32" x14ac:dyDescent="0.2">
      <c r="A396" s="117">
        <v>170</v>
      </c>
      <c r="B396" s="118">
        <v>46220</v>
      </c>
      <c r="C396" s="119" t="s">
        <v>50</v>
      </c>
      <c r="D396" s="119" t="s">
        <v>20</v>
      </c>
      <c r="E396" s="117" t="s">
        <v>371</v>
      </c>
      <c r="F396" s="120">
        <f t="shared" si="120"/>
        <v>3</v>
      </c>
      <c r="G396" s="121" t="str">
        <f t="shared" si="121"/>
        <v>Oscar</v>
      </c>
      <c r="H396" s="122">
        <f>IF($D396="",0,IFERROR(LOOKUP(2,1/(($D$3:D395=$D396)*($A$3:A395&lt;$A396)),$N$3:N395),'Guide &amp; Settings'!$C$41))</f>
        <v>1144.540894430409</v>
      </c>
      <c r="I396" s="123">
        <f t="shared" si="122"/>
        <v>0.4102564102564103</v>
      </c>
      <c r="J396" s="124">
        <f>IF($D396="",0,IF($F396&lt;2,0,IF($E396="Win",('Guide &amp; Settings'!$C$42/(($F396-1)*COUNTIFS($A$4:$A$1510,$A396,$E$4:$E$1510,"Win")))*SUMIFS($X$4:$X$1510,$A$4:$A$1510,$A396,$E$4:$E$1510,"Loss"),-('Guide &amp; Settings'!$C$42/($F396-1))*$X396)))</f>
        <v>-8.8129832332525559</v>
      </c>
      <c r="K396" s="124">
        <f>IF($D396="",0,'Guide &amp; Settings'!$C$43*(IF($E396="Win",1,0)-$I396))</f>
        <v>-4.9230769230769234</v>
      </c>
      <c r="L396" s="125">
        <f>IF($D396="",0,'Guide &amp; Settings'!$C$44*IF($F396&gt;=3,$F396,0))</f>
        <v>3</v>
      </c>
      <c r="M396" s="124">
        <f t="shared" si="123"/>
        <v>-10.736060156329479</v>
      </c>
      <c r="N396" s="122">
        <f t="shared" si="124"/>
        <v>1133.8048342740794</v>
      </c>
      <c r="O396" s="121" t="str">
        <f t="shared" si="125"/>
        <v>OK</v>
      </c>
      <c r="P396">
        <f t="shared" si="126"/>
        <v>1094.5187921364222</v>
      </c>
      <c r="Q396">
        <f t="shared" si="127"/>
        <v>0.57149427511698137</v>
      </c>
      <c r="R396">
        <f t="shared" si="128"/>
        <v>0.66666666666666663</v>
      </c>
      <c r="S396">
        <f t="shared" si="129"/>
        <v>1.6249999999999998</v>
      </c>
      <c r="T396" s="89">
        <f t="shared" si="130"/>
        <v>13</v>
      </c>
      <c r="U396" s="126">
        <f>IF($D396="",0,IFERROR(LOOKUP(2,1/(($D$3:D395=$D396)*($C$3:C395=$C396)*($A$3:A395&lt;$A396)),$AB$3:AB395),1000))</f>
        <v>1059.7967824652662</v>
      </c>
      <c r="V396" s="126">
        <f t="shared" si="131"/>
        <v>1083.3368135666947</v>
      </c>
      <c r="W396">
        <f t="shared" si="132"/>
        <v>1047.9070992297386</v>
      </c>
      <c r="X396">
        <f t="shared" si="133"/>
        <v>0.55081145207828475</v>
      </c>
      <c r="Y396">
        <f t="shared" si="134"/>
        <v>989.64248309638424</v>
      </c>
      <c r="Z396">
        <f t="shared" si="135"/>
        <v>0.59961005715538529</v>
      </c>
      <c r="AA396">
        <f>IF($D396="",0,IF($F396&lt;2,0,IF($E396="Win",('Guide &amp; Settings'!$C$42/(($F396-1)*COUNTIFS($A$4:$A$1510,$A396,$E$4:$E$1510,"Win")))*SUMIFS($Z$4:$Z$1510,$A$4:$A$1510,$A396,$E$4:$E$1510,"Loss"),-('Guide &amp; Settings'!$C$42/($F396-1))*$Z396)))</f>
        <v>-9.5937609144861646</v>
      </c>
      <c r="AB396" s="126">
        <f t="shared" si="136"/>
        <v>1050.20302155078</v>
      </c>
      <c r="AC396" s="126">
        <f>IF($D396="","",IF($AD396=0,0,IF(COUNTIFS($D$4:$D396,$D396,$B$4:$B396,$B396)&gt;1,0,IF($B396&lt;'Guide &amp; Settings'!$C$50,0,IF(($B396-$AD396)/7-'Guide &amp; Settings'!$C$48&gt;=0,(INT(($B396-$AD396)/7-'Guide &amp; Settings'!$C$48)+1)*'Guide &amp; Settings'!$C$49,0)))))</f>
        <v>0</v>
      </c>
      <c r="AD396" s="142">
        <f t="shared" si="137"/>
        <v>46219</v>
      </c>
      <c r="AE396">
        <f t="shared" si="138"/>
        <v>1</v>
      </c>
      <c r="AF396">
        <f t="shared" si="139"/>
        <v>0</v>
      </c>
    </row>
    <row r="397" spans="1:32" x14ac:dyDescent="0.2">
      <c r="A397" s="117">
        <v>170</v>
      </c>
      <c r="B397" s="118">
        <v>46220</v>
      </c>
      <c r="C397" s="119" t="s">
        <v>50</v>
      </c>
      <c r="D397" s="119" t="s">
        <v>17</v>
      </c>
      <c r="E397" s="117" t="s">
        <v>371</v>
      </c>
      <c r="F397" s="120">
        <f t="shared" si="120"/>
        <v>3</v>
      </c>
      <c r="G397" s="121" t="str">
        <f t="shared" si="121"/>
        <v>Oscar</v>
      </c>
      <c r="H397" s="122">
        <f>IF($D397="",0,IFERROR(LOOKUP(2,1/(($D$3:D396=$D397)*($A$3:A396&lt;$A397)),$N$3:N396),'Guide &amp; Settings'!$C$41))</f>
        <v>1055.8087051281234</v>
      </c>
      <c r="I397" s="123">
        <f t="shared" si="122"/>
        <v>0.38461538461538469</v>
      </c>
      <c r="J397" s="124">
        <f>IF($D397="",0,IF($F397&lt;2,0,IF($E397="Win",('Guide &amp; Settings'!$C$42/(($F397-1)*COUNTIFS($A$4:$A$1510,$A397,$E$4:$E$1510,"Win")))*SUMIFS($X$4:$X$1510,$A$4:$A$1510,$A397,$E$4:$E$1510,"Loss"),-('Guide &amp; Settings'!$C$42/($F397-1))*$X397)))</f>
        <v>-8.0077457869736595</v>
      </c>
      <c r="K397" s="124">
        <f>IF($D397="",0,'Guide &amp; Settings'!$C$43*(IF($E397="Win",1,0)-$I397))</f>
        <v>-4.6153846153846168</v>
      </c>
      <c r="L397" s="125">
        <f>IF($D397="",0,'Guide &amp; Settings'!$C$44*IF($F397&gt;=3,$F397,0))</f>
        <v>3</v>
      </c>
      <c r="M397" s="124">
        <f t="shared" si="123"/>
        <v>-9.6231304023582762</v>
      </c>
      <c r="N397" s="122">
        <f t="shared" si="124"/>
        <v>1046.185574725765</v>
      </c>
      <c r="O397" s="121" t="str">
        <f t="shared" si="125"/>
        <v>OK</v>
      </c>
      <c r="P397">
        <f t="shared" si="126"/>
        <v>1094.5187921364222</v>
      </c>
      <c r="Q397">
        <f t="shared" si="127"/>
        <v>0.44452108232819787</v>
      </c>
      <c r="R397">
        <f t="shared" si="128"/>
        <v>0.625</v>
      </c>
      <c r="S397">
        <f t="shared" si="129"/>
        <v>1.6249999999999998</v>
      </c>
      <c r="T397" s="89">
        <f t="shared" si="130"/>
        <v>6</v>
      </c>
      <c r="U397" s="126">
        <f>IF($D397="",0,IFERROR(LOOKUP(2,1/(($D$3:D396=$D397)*($C$3:C396=$C397)*($A$3:A396&lt;$A397)),$AB$3:AB396),1000))</f>
        <v>1041.9391524729231</v>
      </c>
      <c r="V397" s="126">
        <f t="shared" si="131"/>
        <v>1048.2434945889231</v>
      </c>
      <c r="W397">
        <f t="shared" si="132"/>
        <v>1047.9070992297386</v>
      </c>
      <c r="X397">
        <f t="shared" si="133"/>
        <v>0.50048411168585372</v>
      </c>
      <c r="Y397">
        <f t="shared" si="134"/>
        <v>989.64248309638424</v>
      </c>
      <c r="Z397">
        <f t="shared" si="135"/>
        <v>0.57469766946550527</v>
      </c>
      <c r="AA397">
        <f>IF($D397="",0,IF($F397&lt;2,0,IF($E397="Win",('Guide &amp; Settings'!$C$42/(($F397-1)*COUNTIFS($A$4:$A$1510,$A397,$E$4:$E$1510,"Win")))*SUMIFS($Z$4:$Z$1510,$A$4:$A$1510,$A397,$E$4:$E$1510,"Loss"),-('Guide &amp; Settings'!$C$42/($F397-1))*$Z397)))</f>
        <v>-9.1951627114480843</v>
      </c>
      <c r="AB397" s="126">
        <f t="shared" si="136"/>
        <v>1032.7439897614749</v>
      </c>
      <c r="AC397" s="126">
        <f>IF($D397="","",IF($AD397=0,0,IF(COUNTIFS($D$4:$D397,$D397,$B$4:$B397,$B397)&gt;1,0,IF($B397&lt;'Guide &amp; Settings'!$C$50,0,IF(($B397-$AD397)/7-'Guide &amp; Settings'!$C$48&gt;=0,(INT(($B397-$AD397)/7-'Guide &amp; Settings'!$C$48)+1)*'Guide &amp; Settings'!$C$49,0)))))</f>
        <v>0</v>
      </c>
      <c r="AD397" s="142">
        <f t="shared" si="137"/>
        <v>46219</v>
      </c>
      <c r="AE397">
        <f t="shared" si="138"/>
        <v>1</v>
      </c>
      <c r="AF397">
        <f t="shared" si="139"/>
        <v>0</v>
      </c>
    </row>
    <row r="398" spans="1:32" x14ac:dyDescent="0.2">
      <c r="A398" s="117">
        <v>170</v>
      </c>
      <c r="B398" s="118">
        <v>46220</v>
      </c>
      <c r="C398" s="119" t="s">
        <v>50</v>
      </c>
      <c r="D398" s="119" t="s">
        <v>25</v>
      </c>
      <c r="E398" s="117" t="s">
        <v>370</v>
      </c>
      <c r="F398" s="120">
        <f t="shared" si="120"/>
        <v>3</v>
      </c>
      <c r="G398" s="121" t="str">
        <f t="shared" si="121"/>
        <v>Oscar</v>
      </c>
      <c r="H398" s="122">
        <f>IF($D398="",0,IFERROR(LOOKUP(2,1/(($D$3:D397=$D398)*($A$3:A397&lt;$A398)),$N$3:N397),'Guide &amp; Settings'!$C$41))</f>
        <v>1094.5187921364222</v>
      </c>
      <c r="I398" s="123">
        <f t="shared" si="122"/>
        <v>0.20512820512820515</v>
      </c>
      <c r="J398" s="124">
        <f>IF($D398="",0,IF($F398&lt;2,0,IF($E398="Win",('Guide &amp; Settings'!$C$42/(($F398-1)*COUNTIFS($A$4:$A$1510,$A398,$E$4:$E$1510,"Win")))*SUMIFS($X$4:$X$1510,$A$4:$A$1510,$A398,$E$4:$E$1510,"Loss"),-('Guide &amp; Settings'!$C$42/($F398-1))*$X398)))</f>
        <v>16.820729020226217</v>
      </c>
      <c r="K398" s="124">
        <f>IF($D398="",0,'Guide &amp; Settings'!$C$43*(IF($E398="Win",1,0)-$I398))</f>
        <v>9.5384615384615383</v>
      </c>
      <c r="L398" s="125">
        <f>IF($D398="",0,'Guide &amp; Settings'!$C$44*IF($F398&gt;=3,$F398,0))</f>
        <v>3</v>
      </c>
      <c r="M398" s="124">
        <f t="shared" si="123"/>
        <v>29.359190558687757</v>
      </c>
      <c r="N398" s="122">
        <f t="shared" si="124"/>
        <v>1123.8779826951099</v>
      </c>
      <c r="O398" s="121" t="str">
        <f t="shared" si="125"/>
        <v>OK</v>
      </c>
      <c r="P398">
        <f t="shared" si="126"/>
        <v>1094.5187921364222</v>
      </c>
      <c r="Q398">
        <f t="shared" si="127"/>
        <v>0.5</v>
      </c>
      <c r="R398">
        <f t="shared" si="128"/>
        <v>0.33333333333333331</v>
      </c>
      <c r="S398">
        <f t="shared" si="129"/>
        <v>1.6249999999999998</v>
      </c>
      <c r="T398" s="89">
        <f t="shared" si="130"/>
        <v>4</v>
      </c>
      <c r="U398" s="126">
        <f>IF($D398="",0,IFERROR(LOOKUP(2,1/(($D$3:D397=$D398)*($C$3:C397=$C398)*($A$3:A397&lt;$A398)),$AB$3:AB397),1000))</f>
        <v>989.64248309638424</v>
      </c>
      <c r="V398" s="126">
        <f t="shared" si="131"/>
        <v>1047.9070992297386</v>
      </c>
      <c r="W398">
        <f t="shared" si="132"/>
        <v>1047.9070992297386</v>
      </c>
      <c r="X398">
        <f t="shared" si="133"/>
        <v>0.5</v>
      </c>
      <c r="Y398">
        <f t="shared" si="134"/>
        <v>989.64248309638424</v>
      </c>
      <c r="Z398">
        <f t="shared" si="135"/>
        <v>0.5</v>
      </c>
      <c r="AA398">
        <f>IF($D398="",0,IF($F398&lt;2,0,IF($E398="Win",('Guide &amp; Settings'!$C$42/(($F398-1)*COUNTIFS($A$4:$A$1510,$A398,$E$4:$E$1510,"Win")))*SUMIFS($Z$4:$Z$1510,$A$4:$A$1510,$A398,$E$4:$E$1510,"Loss"),-('Guide &amp; Settings'!$C$42/($F398-1))*$Z398)))</f>
        <v>18.788923625934249</v>
      </c>
      <c r="AB398" s="126">
        <f t="shared" si="136"/>
        <v>1008.4314067223185</v>
      </c>
      <c r="AC398" s="126">
        <f>IF($D398="","",IF($AD398=0,0,IF(COUNTIFS($D$4:$D398,$D398,$B$4:$B398,$B398)&gt;1,0,IF($B398&lt;'Guide &amp; Settings'!$C$50,0,IF(($B398-$AD398)/7-'Guide &amp; Settings'!$C$48&gt;=0,(INT(($B398-$AD398)/7-'Guide &amp; Settings'!$C$48)+1)*'Guide &amp; Settings'!$C$49,0)))))</f>
        <v>0</v>
      </c>
      <c r="AD398" s="142">
        <f t="shared" si="137"/>
        <v>46219</v>
      </c>
      <c r="AE398">
        <f t="shared" si="138"/>
        <v>1</v>
      </c>
      <c r="AF398">
        <f t="shared" si="139"/>
        <v>0</v>
      </c>
    </row>
    <row r="399" spans="1:32" x14ac:dyDescent="0.2">
      <c r="A399" s="117">
        <v>171</v>
      </c>
      <c r="B399" s="118">
        <v>46220</v>
      </c>
      <c r="C399" s="119" t="s">
        <v>50</v>
      </c>
      <c r="D399" s="119" t="s">
        <v>20</v>
      </c>
      <c r="E399" s="117" t="s">
        <v>370</v>
      </c>
      <c r="F399" s="120">
        <f t="shared" si="120"/>
        <v>3</v>
      </c>
      <c r="G399" s="121" t="str">
        <f t="shared" si="121"/>
        <v>Shawn</v>
      </c>
      <c r="H399" s="122">
        <f>IF($D399="",0,IFERROR(LOOKUP(2,1/(($D$3:D398=$D399)*($A$3:A398&lt;$A399)),$N$3:N398),'Guide &amp; Settings'!$C$41))</f>
        <v>1133.8048342740794</v>
      </c>
      <c r="I399" s="123">
        <f t="shared" si="122"/>
        <v>0.38840937114673241</v>
      </c>
      <c r="J399" s="124">
        <f>IF($D399="",0,IF($F399&lt;2,0,IF($E399="Win",('Guide &amp; Settings'!$C$42/(($F399-1)*COUNTIFS($A$4:$A$1510,$A399,$E$4:$E$1510,"Win")))*SUMIFS($X$4:$X$1510,$A$4:$A$1510,$A399,$E$4:$E$1510,"Loss"),-('Guide &amp; Settings'!$C$42/($F399-1))*$X399)))</f>
        <v>15.083565175366616</v>
      </c>
      <c r="K399" s="124">
        <f>IF($D399="",0,'Guide &amp; Settings'!$C$43*(IF($E399="Win",1,0)-$I399))</f>
        <v>7.3390875462392104</v>
      </c>
      <c r="L399" s="125">
        <f>IF($D399="",0,'Guide &amp; Settings'!$C$44*IF($F399&gt;=3,$F399,0))</f>
        <v>3</v>
      </c>
      <c r="M399" s="124">
        <f t="shared" si="123"/>
        <v>25.422652721605825</v>
      </c>
      <c r="N399" s="122">
        <f t="shared" si="124"/>
        <v>1159.2274869956852</v>
      </c>
      <c r="O399" s="121" t="str">
        <f t="shared" si="125"/>
        <v>OK</v>
      </c>
      <c r="P399">
        <f t="shared" si="126"/>
        <v>1133.8048342740794</v>
      </c>
      <c r="Q399">
        <f t="shared" si="127"/>
        <v>0.5</v>
      </c>
      <c r="R399">
        <f t="shared" si="128"/>
        <v>0.625</v>
      </c>
      <c r="S399">
        <f t="shared" si="129"/>
        <v>1.6091269841269842</v>
      </c>
      <c r="T399" s="89">
        <f t="shared" si="130"/>
        <v>14</v>
      </c>
      <c r="U399" s="126">
        <f>IF($D399="",0,IFERROR(LOOKUP(2,1/(($D$3:D398=$D399)*($C$3:C398=$C399)*($A$3:A398&lt;$A399)),$AB$3:AB398),1000))</f>
        <v>1050.20302155078</v>
      </c>
      <c r="V399" s="126">
        <f t="shared" si="131"/>
        <v>1072.2034985832274</v>
      </c>
      <c r="W399">
        <f t="shared" si="132"/>
        <v>1072.2034985832274</v>
      </c>
      <c r="X399">
        <f t="shared" si="133"/>
        <v>0.5</v>
      </c>
      <c r="Y399">
        <f t="shared" si="134"/>
        <v>1050.20302155078</v>
      </c>
      <c r="Z399">
        <f t="shared" si="135"/>
        <v>0.5</v>
      </c>
      <c r="AA399">
        <f>IF($D399="",0,IF($F399&lt;2,0,IF($E399="Win",('Guide &amp; Settings'!$C$42/(($F399-1)*COUNTIFS($A$4:$A$1510,$A399,$E$4:$E$1510,"Win")))*SUMIFS($Z$4:$Z$1510,$A$4:$A$1510,$A399,$E$4:$E$1510,"Loss"),-('Guide &amp; Settings'!$C$42/($F399-1))*$Z399)))</f>
        <v>14.641109719130117</v>
      </c>
      <c r="AB399" s="126">
        <f t="shared" si="136"/>
        <v>1064.8441312699101</v>
      </c>
      <c r="AC399" s="126">
        <f>IF($D399="","",IF($AD399=0,0,IF(COUNTIFS($D$4:$D399,$D399,$B$4:$B399,$B399)&gt;1,0,IF($B399&lt;'Guide &amp; Settings'!$C$50,0,IF(($B399-$AD399)/7-'Guide &amp; Settings'!$C$48&gt;=0,(INT(($B399-$AD399)/7-'Guide &amp; Settings'!$C$48)+1)*'Guide &amp; Settings'!$C$49,0)))))</f>
        <v>0</v>
      </c>
      <c r="AD399" s="142">
        <f t="shared" si="137"/>
        <v>46219</v>
      </c>
      <c r="AE399">
        <f t="shared" si="138"/>
        <v>1</v>
      </c>
      <c r="AF399">
        <f t="shared" si="139"/>
        <v>0</v>
      </c>
    </row>
    <row r="400" spans="1:32" x14ac:dyDescent="0.2">
      <c r="A400" s="117">
        <v>171</v>
      </c>
      <c r="B400" s="118">
        <v>46220</v>
      </c>
      <c r="C400" s="119" t="s">
        <v>50</v>
      </c>
      <c r="D400" s="119" t="s">
        <v>17</v>
      </c>
      <c r="E400" s="117" t="s">
        <v>371</v>
      </c>
      <c r="F400" s="120">
        <f t="shared" si="120"/>
        <v>3</v>
      </c>
      <c r="G400" s="121" t="str">
        <f t="shared" si="121"/>
        <v>Shawn</v>
      </c>
      <c r="H400" s="122">
        <f>IF($D400="",0,IFERROR(LOOKUP(2,1/(($D$3:D399=$D400)*($A$3:A399&lt;$A400)),$N$3:N399),'Guide &amp; Settings'!$C$41))</f>
        <v>1046.185574725765</v>
      </c>
      <c r="I400" s="123">
        <f t="shared" si="122"/>
        <v>0.34525277435265106</v>
      </c>
      <c r="J400" s="124">
        <f>IF($D400="",0,IF($F400&lt;2,0,IF($E400="Win",('Guide &amp; Settings'!$C$42/(($F400-1)*COUNTIFS($A$4:$A$1510,$A400,$E$4:$E$1510,"Win")))*SUMIFS($X$4:$X$1510,$A$4:$A$1510,$A400,$E$4:$E$1510,"Loss"),-('Guide &amp; Settings'!$C$42/($F400-1))*$X400)))</f>
        <v>-7.2228299614394285</v>
      </c>
      <c r="K400" s="124">
        <f>IF($D400="",0,'Guide &amp; Settings'!$C$43*(IF($E400="Win",1,0)-$I400))</f>
        <v>-4.1430332922318129</v>
      </c>
      <c r="L400" s="125">
        <f>IF($D400="",0,'Guide &amp; Settings'!$C$44*IF($F400&gt;=3,$F400,0))</f>
        <v>3</v>
      </c>
      <c r="M400" s="124">
        <f t="shared" si="123"/>
        <v>-8.3658632536712414</v>
      </c>
      <c r="N400" s="122">
        <f t="shared" si="124"/>
        <v>1037.8197114720938</v>
      </c>
      <c r="O400" s="121" t="str">
        <f t="shared" si="125"/>
        <v>OK</v>
      </c>
      <c r="P400">
        <f t="shared" si="126"/>
        <v>1133.8048342740794</v>
      </c>
      <c r="Q400">
        <f t="shared" si="127"/>
        <v>0.3765126097098252</v>
      </c>
      <c r="R400">
        <f t="shared" si="128"/>
        <v>0.55555555555555558</v>
      </c>
      <c r="S400">
        <f t="shared" si="129"/>
        <v>1.6091269841269842</v>
      </c>
      <c r="T400" s="89">
        <f t="shared" si="130"/>
        <v>7</v>
      </c>
      <c r="U400" s="126">
        <f>IF($D400="",0,IFERROR(LOOKUP(2,1/(($D$3:D399=$D400)*($C$3:C399=$C400)*($A$3:A399&lt;$A400)),$AB$3:AB399),1000))</f>
        <v>1032.7439897614749</v>
      </c>
      <c r="V400" s="126">
        <f t="shared" si="131"/>
        <v>1038.3446501632625</v>
      </c>
      <c r="W400">
        <f t="shared" si="132"/>
        <v>1072.2034985832274</v>
      </c>
      <c r="X400">
        <f t="shared" si="133"/>
        <v>0.45142687258996428</v>
      </c>
      <c r="Y400">
        <f t="shared" si="134"/>
        <v>1050.20302155078</v>
      </c>
      <c r="Z400">
        <f t="shared" si="135"/>
        <v>0.47489556102871749</v>
      </c>
      <c r="AA400">
        <f>IF($D400="",0,IF($F400&lt;2,0,IF($E400="Win",('Guide &amp; Settings'!$C$42/(($F400-1)*COUNTIFS($A$4:$A$1510,$A400,$E$4:$E$1510,"Win")))*SUMIFS($Z$4:$Z$1510,$A$4:$A$1510,$A400,$E$4:$E$1510,"Loss"),-('Guide &amp; Settings'!$C$42/($F400-1))*$Z400)))</f>
        <v>-7.5983289764594799</v>
      </c>
      <c r="AB400" s="126">
        <f t="shared" si="136"/>
        <v>1025.1456607850155</v>
      </c>
      <c r="AC400" s="126">
        <f>IF($D400="","",IF($AD400=0,0,IF(COUNTIFS($D$4:$D400,$D400,$B$4:$B400,$B400)&gt;1,0,IF($B400&lt;'Guide &amp; Settings'!$C$50,0,IF(($B400-$AD400)/7-'Guide &amp; Settings'!$C$48&gt;=0,(INT(($B400-$AD400)/7-'Guide &amp; Settings'!$C$48)+1)*'Guide &amp; Settings'!$C$49,0)))))</f>
        <v>0</v>
      </c>
      <c r="AD400" s="142">
        <f t="shared" si="137"/>
        <v>46219</v>
      </c>
      <c r="AE400">
        <f t="shared" si="138"/>
        <v>1</v>
      </c>
      <c r="AF400">
        <f t="shared" si="139"/>
        <v>0</v>
      </c>
    </row>
    <row r="401" spans="1:32" x14ac:dyDescent="0.2">
      <c r="A401" s="117">
        <v>171</v>
      </c>
      <c r="B401" s="118">
        <v>46220</v>
      </c>
      <c r="C401" s="119" t="s">
        <v>50</v>
      </c>
      <c r="D401" s="119" t="s">
        <v>25</v>
      </c>
      <c r="E401" s="117" t="s">
        <v>371</v>
      </c>
      <c r="F401" s="120">
        <f t="shared" si="120"/>
        <v>3</v>
      </c>
      <c r="G401" s="121" t="str">
        <f t="shared" si="121"/>
        <v>Shawn</v>
      </c>
      <c r="H401" s="122">
        <f>IF($D401="",0,IFERROR(LOOKUP(2,1/(($D$3:D400=$D401)*($A$3:A400&lt;$A401)),$N$3:N400),'Guide &amp; Settings'!$C$41))</f>
        <v>1123.8779826951099</v>
      </c>
      <c r="I401" s="123">
        <f t="shared" si="122"/>
        <v>0.26633785450061648</v>
      </c>
      <c r="J401" s="124">
        <f>IF($D401="",0,IF($F401&lt;2,0,IF($E401="Win",('Guide &amp; Settings'!$C$42/(($F401-1)*COUNTIFS($A$4:$A$1510,$A401,$E$4:$E$1510,"Win")))*SUMIFS($X$4:$X$1510,$A$4:$A$1510,$A401,$E$4:$E$1510,"Loss"),-('Guide &amp; Settings'!$C$42/($F401-1))*$X401)))</f>
        <v>-7.860735213927188</v>
      </c>
      <c r="K401" s="124">
        <f>IF($D401="",0,'Guide &amp; Settings'!$C$43*(IF($E401="Win",1,0)-$I401))</f>
        <v>-3.1960542540073975</v>
      </c>
      <c r="L401" s="125">
        <f>IF($D401="",0,'Guide &amp; Settings'!$C$44*IF($F401&gt;=3,$F401,0))</f>
        <v>3</v>
      </c>
      <c r="M401" s="124">
        <f t="shared" si="123"/>
        <v>-8.0567894679345855</v>
      </c>
      <c r="N401" s="122">
        <f t="shared" si="124"/>
        <v>1115.8211932271754</v>
      </c>
      <c r="O401" s="121" t="str">
        <f t="shared" si="125"/>
        <v>OK</v>
      </c>
      <c r="P401">
        <f t="shared" si="126"/>
        <v>1133.8048342740794</v>
      </c>
      <c r="Q401">
        <f t="shared" si="127"/>
        <v>0.48571799835054991</v>
      </c>
      <c r="R401">
        <f t="shared" si="128"/>
        <v>0.42857142857142855</v>
      </c>
      <c r="S401">
        <f t="shared" si="129"/>
        <v>1.6091269841269842</v>
      </c>
      <c r="T401" s="89">
        <f t="shared" si="130"/>
        <v>5</v>
      </c>
      <c r="U401" s="126">
        <f>IF($D401="",0,IFERROR(LOOKUP(2,1/(($D$3:D400=$D401)*($C$3:C400=$C401)*($A$3:A400&lt;$A401)),$AB$3:AB400),1000))</f>
        <v>1008.4314067223185</v>
      </c>
      <c r="V401" s="126">
        <f t="shared" si="131"/>
        <v>1066.1546947087143</v>
      </c>
      <c r="W401">
        <f t="shared" si="132"/>
        <v>1072.2034985832274</v>
      </c>
      <c r="X401">
        <f t="shared" si="133"/>
        <v>0.49129595087044925</v>
      </c>
      <c r="Y401">
        <f t="shared" si="134"/>
        <v>1050.20302155078</v>
      </c>
      <c r="Z401">
        <f t="shared" si="135"/>
        <v>0.44017379641691479</v>
      </c>
      <c r="AA401">
        <f>IF($D401="",0,IF($F401&lt;2,0,IF($E401="Win",('Guide &amp; Settings'!$C$42/(($F401-1)*COUNTIFS($A$4:$A$1510,$A401,$E$4:$E$1510,"Win")))*SUMIFS($Z$4:$Z$1510,$A$4:$A$1510,$A401,$E$4:$E$1510,"Loss"),-('Guide &amp; Settings'!$C$42/($F401-1))*$Z401)))</f>
        <v>-7.0427807426706366</v>
      </c>
      <c r="AB401" s="126">
        <f t="shared" si="136"/>
        <v>1001.3886259796478</v>
      </c>
      <c r="AC401" s="126">
        <f>IF($D401="","",IF($AD401=0,0,IF(COUNTIFS($D$4:$D401,$D401,$B$4:$B401,$B401)&gt;1,0,IF($B401&lt;'Guide &amp; Settings'!$C$50,0,IF(($B401-$AD401)/7-'Guide &amp; Settings'!$C$48&gt;=0,(INT(($B401-$AD401)/7-'Guide &amp; Settings'!$C$48)+1)*'Guide &amp; Settings'!$C$49,0)))))</f>
        <v>0</v>
      </c>
      <c r="AD401" s="142">
        <f t="shared" si="137"/>
        <v>46219</v>
      </c>
      <c r="AE401">
        <f t="shared" si="138"/>
        <v>1</v>
      </c>
      <c r="AF401">
        <f t="shared" si="139"/>
        <v>0</v>
      </c>
    </row>
    <row r="402" spans="1:32" x14ac:dyDescent="0.2">
      <c r="A402" s="117">
        <v>172</v>
      </c>
      <c r="B402" s="118">
        <v>46222</v>
      </c>
      <c r="C402" s="119" t="s">
        <v>47</v>
      </c>
      <c r="D402" s="119" t="s">
        <v>15</v>
      </c>
      <c r="E402" s="117" t="s">
        <v>370</v>
      </c>
      <c r="F402" s="120">
        <f t="shared" si="120"/>
        <v>2</v>
      </c>
      <c r="G402" s="121" t="str">
        <f t="shared" si="121"/>
        <v>Aaron</v>
      </c>
      <c r="H402" s="122">
        <f>IF($D402="",0,IFERROR(LOOKUP(2,1/(($D$3:D401=$D402)*($A$3:A401&lt;$A402)),$N$3:N401),'Guide &amp; Settings'!$C$41))</f>
        <v>984.79733004555192</v>
      </c>
      <c r="I402" s="123">
        <f t="shared" si="122"/>
        <v>0.25</v>
      </c>
      <c r="J402" s="124">
        <f>IF($D402="",0,IF($F402&lt;2,0,IF($E402="Win",('Guide &amp; Settings'!$C$42/(($F402-1)*COUNTIFS($A$4:$A$1510,$A402,$E$4:$E$1510,"Win")))*SUMIFS($X$4:$X$1510,$A$4:$A$1510,$A402,$E$4:$E$1510,"Loss"),-('Guide &amp; Settings'!$C$42/($F402-1))*$X402)))</f>
        <v>20.576504151466757</v>
      </c>
      <c r="K402" s="124">
        <f>IF($D402="",0,'Guide &amp; Settings'!$C$43*(IF($E402="Win",1,0)-$I402))</f>
        <v>9</v>
      </c>
      <c r="L402" s="125">
        <f>IF($D402="",0,'Guide &amp; Settings'!$C$44*IF($F402&gt;=3,$F402,0))</f>
        <v>0</v>
      </c>
      <c r="M402" s="124">
        <f t="shared" si="123"/>
        <v>29.576504151466757</v>
      </c>
      <c r="N402" s="122">
        <f t="shared" si="124"/>
        <v>1014.3738341970187</v>
      </c>
      <c r="O402" s="121" t="str">
        <f t="shared" si="125"/>
        <v>OK</v>
      </c>
      <c r="P402">
        <f t="shared" si="126"/>
        <v>984.79733004555192</v>
      </c>
      <c r="Q402">
        <f t="shared" si="127"/>
        <v>0.5</v>
      </c>
      <c r="R402">
        <f t="shared" si="128"/>
        <v>0.2857142857142857</v>
      </c>
      <c r="S402">
        <f t="shared" si="129"/>
        <v>1.1428571428571428</v>
      </c>
      <c r="T402" s="89">
        <f t="shared" si="130"/>
        <v>5</v>
      </c>
      <c r="U402" s="126">
        <f>IF($D402="",0,IFERROR(LOOKUP(2,1/(($D$3:D401=$D402)*($C$3:C401=$C402)*($A$3:A401&lt;$A402)),$AB$3:AB401),1000))</f>
        <v>960.13894540882518</v>
      </c>
      <c r="V402" s="126">
        <f t="shared" si="131"/>
        <v>972.4681377271886</v>
      </c>
      <c r="W402">
        <f t="shared" si="132"/>
        <v>972.4681377271886</v>
      </c>
      <c r="X402">
        <f t="shared" si="133"/>
        <v>0.5</v>
      </c>
      <c r="Y402">
        <f t="shared" si="134"/>
        <v>960.13894540882518</v>
      </c>
      <c r="Z402">
        <f t="shared" si="135"/>
        <v>0.5</v>
      </c>
      <c r="AA402">
        <f>IF($D402="",0,IF($F402&lt;2,0,IF($E402="Win",('Guide &amp; Settings'!$C$42/(($F402-1)*COUNTIFS($A$4:$A$1510,$A402,$E$4:$E$1510,"Win")))*SUMIFS($Z$4:$Z$1510,$A$4:$A$1510,$A402,$E$4:$E$1510,"Loss"),-('Guide &amp; Settings'!$C$42/($F402-1))*$Z402)))</f>
        <v>20.945460817970009</v>
      </c>
      <c r="AB402" s="126">
        <f t="shared" si="136"/>
        <v>981.08440622679518</v>
      </c>
      <c r="AC402" s="126">
        <f>IF($D402="","",IF($AD402=0,0,IF(COUNTIFS($D$4:$D402,$D402,$B$4:$B402,$B402)&gt;1,0,IF($B402&lt;'Guide &amp; Settings'!$C$50,0,IF(($B402-$AD402)/7-'Guide &amp; Settings'!$C$48&gt;=0,(INT(($B402-$AD402)/7-'Guide &amp; Settings'!$C$48)+1)*'Guide &amp; Settings'!$C$49,0)))))</f>
        <v>0</v>
      </c>
      <c r="AD402" s="142">
        <f t="shared" si="137"/>
        <v>46220</v>
      </c>
      <c r="AE402">
        <f t="shared" si="138"/>
        <v>1</v>
      </c>
      <c r="AF402">
        <f t="shared" si="139"/>
        <v>0</v>
      </c>
    </row>
    <row r="403" spans="1:32" x14ac:dyDescent="0.2">
      <c r="A403" s="117">
        <v>172</v>
      </c>
      <c r="B403" s="118">
        <v>46222</v>
      </c>
      <c r="C403" s="119" t="s">
        <v>47</v>
      </c>
      <c r="D403" s="119" t="s">
        <v>22</v>
      </c>
      <c r="E403" s="117" t="s">
        <v>371</v>
      </c>
      <c r="F403" s="120">
        <f t="shared" si="120"/>
        <v>2</v>
      </c>
      <c r="G403" s="121" t="str">
        <f t="shared" si="121"/>
        <v>Aaron</v>
      </c>
      <c r="H403" s="122">
        <f>IF($D403="",0,IFERROR(LOOKUP(2,1/(($D$3:D402=$D403)*($A$3:A402&lt;$A403)),$N$3:N402),'Guide &amp; Settings'!$C$41))</f>
        <v>1078.2356706955445</v>
      </c>
      <c r="I403" s="123">
        <f t="shared" si="122"/>
        <v>0.75</v>
      </c>
      <c r="J403" s="124">
        <f>IF($D403="",0,IF($F403&lt;2,0,IF($E403="Win",('Guide &amp; Settings'!$C$42/(($F403-1)*COUNTIFS($A$4:$A$1510,$A403,$E$4:$E$1510,"Win")))*SUMIFS($X$4:$X$1510,$A$4:$A$1510,$A403,$E$4:$E$1510,"Loss"),-('Guide &amp; Settings'!$C$42/($F403-1))*$X403)))</f>
        <v>-20.576504151466757</v>
      </c>
      <c r="K403" s="124">
        <f>IF($D403="",0,'Guide &amp; Settings'!$C$43*(IF($E403="Win",1,0)-$I403))</f>
        <v>-9</v>
      </c>
      <c r="L403" s="125">
        <f>IF($D403="",0,'Guide &amp; Settings'!$C$44*IF($F403&gt;=3,$F403,0))</f>
        <v>0</v>
      </c>
      <c r="M403" s="124">
        <f t="shared" si="123"/>
        <v>-29.576504151466757</v>
      </c>
      <c r="N403" s="122">
        <f t="shared" si="124"/>
        <v>1048.6591665440778</v>
      </c>
      <c r="O403" s="121" t="str">
        <f t="shared" si="125"/>
        <v>OK</v>
      </c>
      <c r="P403">
        <f t="shared" si="126"/>
        <v>984.79733004555192</v>
      </c>
      <c r="Q403">
        <f t="shared" si="127"/>
        <v>0.63131779332375149</v>
      </c>
      <c r="R403">
        <f t="shared" si="128"/>
        <v>0.8571428571428571</v>
      </c>
      <c r="S403">
        <f t="shared" si="129"/>
        <v>1.1428571428571428</v>
      </c>
      <c r="T403" s="89">
        <f t="shared" si="130"/>
        <v>5</v>
      </c>
      <c r="U403" s="126">
        <f>IF($D403="",0,IFERROR(LOOKUP(2,1/(($D$3:D402=$D403)*($C$3:C402=$C403)*($A$3:A402&lt;$A403)),$AB$3:AB402),1000))</f>
        <v>1071.1586559278219</v>
      </c>
      <c r="V403" s="126">
        <f t="shared" si="131"/>
        <v>1074.6971633116832</v>
      </c>
      <c r="W403">
        <f t="shared" si="132"/>
        <v>972.4681377271886</v>
      </c>
      <c r="X403">
        <f t="shared" si="133"/>
        <v>0.64301575473333616</v>
      </c>
      <c r="Y403">
        <f t="shared" si="134"/>
        <v>960.13894540882518</v>
      </c>
      <c r="Z403">
        <f t="shared" si="135"/>
        <v>0.65454565056156278</v>
      </c>
      <c r="AA403">
        <f>IF($D403="",0,IF($F403&lt;2,0,IF($E403="Win",('Guide &amp; Settings'!$C$42/(($F403-1)*COUNTIFS($A$4:$A$1510,$A403,$E$4:$E$1510,"Win")))*SUMIFS($Z$4:$Z$1510,$A$4:$A$1510,$A403,$E$4:$E$1510,"Loss"),-('Guide &amp; Settings'!$C$42/($F403-1))*$Z403)))</f>
        <v>-20.945460817970009</v>
      </c>
      <c r="AB403" s="126">
        <f t="shared" si="136"/>
        <v>1050.2131951098518</v>
      </c>
      <c r="AC403" s="126">
        <f>IF($D403="","",IF($AD403=0,0,IF(COUNTIFS($D$4:$D403,$D403,$B$4:$B403,$B403)&gt;1,0,IF($B403&lt;'Guide &amp; Settings'!$C$50,0,IF(($B403-$AD403)/7-'Guide &amp; Settings'!$C$48&gt;=0,(INT(($B403-$AD403)/7-'Guide &amp; Settings'!$C$48)+1)*'Guide &amp; Settings'!$C$49,0)))))</f>
        <v>0</v>
      </c>
      <c r="AD403" s="142">
        <f t="shared" si="137"/>
        <v>46220</v>
      </c>
      <c r="AE403">
        <f t="shared" si="138"/>
        <v>1</v>
      </c>
      <c r="AF403">
        <f t="shared" si="139"/>
        <v>0</v>
      </c>
    </row>
    <row r="404" spans="1:32" x14ac:dyDescent="0.2">
      <c r="A404" s="117">
        <v>173</v>
      </c>
      <c r="B404" s="118">
        <v>46222</v>
      </c>
      <c r="C404" s="119" t="s">
        <v>47</v>
      </c>
      <c r="D404" s="119" t="s">
        <v>15</v>
      </c>
      <c r="E404" s="117" t="s">
        <v>371</v>
      </c>
      <c r="F404" s="120">
        <f t="shared" si="120"/>
        <v>2</v>
      </c>
      <c r="G404" s="121" t="str">
        <f t="shared" si="121"/>
        <v>Daniel (Ferret)</v>
      </c>
      <c r="H404" s="122">
        <f>IF($D404="",0,IFERROR(LOOKUP(2,1/(($D$3:D403=$D404)*($A$3:A403&lt;$A404)),$N$3:N403),'Guide &amp; Settings'!$C$41))</f>
        <v>1014.3738341970187</v>
      </c>
      <c r="I404" s="123">
        <f t="shared" si="122"/>
        <v>0.33333333333333331</v>
      </c>
      <c r="J404" s="124">
        <f>IF($D404="",0,IF($F404&lt;2,0,IF($E404="Win",('Guide &amp; Settings'!$C$42/(($F404-1)*COUNTIFS($A$4:$A$1510,$A404,$E$4:$E$1510,"Win")))*SUMIFS($X$4:$X$1510,$A$4:$A$1510,$A404,$E$4:$E$1510,"Loss"),-('Guide &amp; Settings'!$C$42/($F404-1))*$X404)))</f>
        <v>-13.564931777619758</v>
      </c>
      <c r="K404" s="124">
        <f>IF($D404="",0,'Guide &amp; Settings'!$C$43*(IF($E404="Win",1,0)-$I404))</f>
        <v>-4</v>
      </c>
      <c r="L404" s="125">
        <f>IF($D404="",0,'Guide &amp; Settings'!$C$44*IF($F404&gt;=3,$F404,0))</f>
        <v>0</v>
      </c>
      <c r="M404" s="124">
        <f t="shared" si="123"/>
        <v>-17.564931777619758</v>
      </c>
      <c r="N404" s="122">
        <f t="shared" si="124"/>
        <v>996.80890241939892</v>
      </c>
      <c r="O404" s="121" t="str">
        <f t="shared" si="125"/>
        <v>OK</v>
      </c>
      <c r="P404">
        <f t="shared" si="126"/>
        <v>1048.6591665440778</v>
      </c>
      <c r="Q404">
        <f t="shared" si="127"/>
        <v>0.45081897797067627</v>
      </c>
      <c r="R404">
        <f t="shared" si="128"/>
        <v>0.375</v>
      </c>
      <c r="S404">
        <f t="shared" si="129"/>
        <v>1.125</v>
      </c>
      <c r="T404" s="89">
        <f t="shared" si="130"/>
        <v>6</v>
      </c>
      <c r="U404" s="126">
        <f>IF($D404="",0,IFERROR(LOOKUP(2,1/(($D$3:D403=$D404)*($C$3:C403=$C404)*($A$3:A403&lt;$A404)),$AB$3:AB403),1000))</f>
        <v>981.08440622679518</v>
      </c>
      <c r="V404" s="126">
        <f t="shared" si="131"/>
        <v>996.21596439507857</v>
      </c>
      <c r="W404">
        <f t="shared" si="132"/>
        <v>1049.5068184890454</v>
      </c>
      <c r="X404">
        <f t="shared" si="133"/>
        <v>0.42390411805061745</v>
      </c>
      <c r="Y404">
        <f t="shared" si="134"/>
        <v>1050.2131951098518</v>
      </c>
      <c r="Z404">
        <f t="shared" si="135"/>
        <v>0.40180802718927966</v>
      </c>
      <c r="AA404">
        <f>IF($D404="",0,IF($F404&lt;2,0,IF($E404="Win",('Guide &amp; Settings'!$C$42/(($F404-1)*COUNTIFS($A$4:$A$1510,$A404,$E$4:$E$1510,"Win")))*SUMIFS($Z$4:$Z$1510,$A$4:$A$1510,$A404,$E$4:$E$1510,"Loss"),-('Guide &amp; Settings'!$C$42/($F404-1))*$Z404)))</f>
        <v>-12.857856870056949</v>
      </c>
      <c r="AB404" s="126">
        <f t="shared" si="136"/>
        <v>968.22654935673825</v>
      </c>
      <c r="AC404" s="126">
        <f>IF($D404="","",IF($AD404=0,0,IF(COUNTIFS($D$4:$D404,$D404,$B$4:$B404,$B404)&gt;1,0,IF($B404&lt;'Guide &amp; Settings'!$C$50,0,IF(($B404-$AD404)/7-'Guide &amp; Settings'!$C$48&gt;=0,(INT(($B404-$AD404)/7-'Guide &amp; Settings'!$C$48)+1)*'Guide &amp; Settings'!$C$49,0)))))</f>
        <v>0</v>
      </c>
      <c r="AD404" s="142">
        <f t="shared" si="137"/>
        <v>46220</v>
      </c>
      <c r="AE404">
        <f t="shared" si="138"/>
        <v>1</v>
      </c>
      <c r="AF404">
        <f t="shared" si="139"/>
        <v>0</v>
      </c>
    </row>
    <row r="405" spans="1:32" x14ac:dyDescent="0.2">
      <c r="A405" s="117">
        <v>173</v>
      </c>
      <c r="B405" s="118">
        <v>46222</v>
      </c>
      <c r="C405" s="119" t="s">
        <v>47</v>
      </c>
      <c r="D405" s="119" t="s">
        <v>22</v>
      </c>
      <c r="E405" s="117" t="s">
        <v>370</v>
      </c>
      <c r="F405" s="120">
        <f t="shared" si="120"/>
        <v>2</v>
      </c>
      <c r="G405" s="121" t="str">
        <f t="shared" si="121"/>
        <v>Daniel (Ferret)</v>
      </c>
      <c r="H405" s="122">
        <f>IF($D405="",0,IFERROR(LOOKUP(2,1/(($D$3:D404=$D405)*($A$3:A404&lt;$A405)),$N$3:N404),'Guide &amp; Settings'!$C$41))</f>
        <v>1048.6591665440778</v>
      </c>
      <c r="I405" s="123">
        <f t="shared" si="122"/>
        <v>0.66666666666666663</v>
      </c>
      <c r="J405" s="124">
        <f>IF($D405="",0,IF($F405&lt;2,0,IF($E405="Win",('Guide &amp; Settings'!$C$42/(($F405-1)*COUNTIFS($A$4:$A$1510,$A405,$E$4:$E$1510,"Win")))*SUMIFS($X$4:$X$1510,$A$4:$A$1510,$A405,$E$4:$E$1510,"Loss"),-('Guide &amp; Settings'!$C$42/($F405-1))*$X405)))</f>
        <v>13.564931777619758</v>
      </c>
      <c r="K405" s="124">
        <f>IF($D405="",0,'Guide &amp; Settings'!$C$43*(IF($E405="Win",1,0)-$I405))</f>
        <v>4</v>
      </c>
      <c r="L405" s="125">
        <f>IF($D405="",0,'Guide &amp; Settings'!$C$44*IF($F405&gt;=3,$F405,0))</f>
        <v>0</v>
      </c>
      <c r="M405" s="124">
        <f t="shared" si="123"/>
        <v>17.564931777619758</v>
      </c>
      <c r="N405" s="122">
        <f t="shared" si="124"/>
        <v>1066.2240983216975</v>
      </c>
      <c r="O405" s="121" t="str">
        <f t="shared" si="125"/>
        <v>OK</v>
      </c>
      <c r="P405">
        <f t="shared" si="126"/>
        <v>1048.6591665440778</v>
      </c>
      <c r="Q405">
        <f t="shared" si="127"/>
        <v>0.5</v>
      </c>
      <c r="R405">
        <f t="shared" si="128"/>
        <v>0.75</v>
      </c>
      <c r="S405">
        <f t="shared" si="129"/>
        <v>1.125</v>
      </c>
      <c r="T405" s="89">
        <f t="shared" si="130"/>
        <v>6</v>
      </c>
      <c r="U405" s="126">
        <f>IF($D405="",0,IFERROR(LOOKUP(2,1/(($D$3:D404=$D405)*($C$3:C404=$C405)*($A$3:A404&lt;$A405)),$AB$3:AB404),1000))</f>
        <v>1050.2131951098518</v>
      </c>
      <c r="V405" s="126">
        <f t="shared" si="131"/>
        <v>1049.5068184890454</v>
      </c>
      <c r="W405">
        <f t="shared" si="132"/>
        <v>1049.5068184890454</v>
      </c>
      <c r="X405">
        <f t="shared" si="133"/>
        <v>0.5</v>
      </c>
      <c r="Y405">
        <f t="shared" si="134"/>
        <v>1050.2131951098518</v>
      </c>
      <c r="Z405">
        <f t="shared" si="135"/>
        <v>0.5</v>
      </c>
      <c r="AA405">
        <f>IF($D405="",0,IF($F405&lt;2,0,IF($E405="Win",('Guide &amp; Settings'!$C$42/(($F405-1)*COUNTIFS($A$4:$A$1510,$A405,$E$4:$E$1510,"Win")))*SUMIFS($Z$4:$Z$1510,$A$4:$A$1510,$A405,$E$4:$E$1510,"Loss"),-('Guide &amp; Settings'!$C$42/($F405-1))*$Z405)))</f>
        <v>12.857856870056949</v>
      </c>
      <c r="AB405" s="126">
        <f t="shared" si="136"/>
        <v>1063.0710519799088</v>
      </c>
      <c r="AC405" s="126">
        <f>IF($D405="","",IF($AD405=0,0,IF(COUNTIFS($D$4:$D405,$D405,$B$4:$B405,$B405)&gt;1,0,IF($B405&lt;'Guide &amp; Settings'!$C$50,0,IF(($B405-$AD405)/7-'Guide &amp; Settings'!$C$48&gt;=0,(INT(($B405-$AD405)/7-'Guide &amp; Settings'!$C$48)+1)*'Guide &amp; Settings'!$C$49,0)))))</f>
        <v>0</v>
      </c>
      <c r="AD405" s="142">
        <f t="shared" si="137"/>
        <v>46220</v>
      </c>
      <c r="AE405">
        <f t="shared" si="138"/>
        <v>1</v>
      </c>
      <c r="AF405">
        <f t="shared" si="139"/>
        <v>0</v>
      </c>
    </row>
    <row r="406" spans="1:32" x14ac:dyDescent="0.2">
      <c r="A406" s="117">
        <v>174</v>
      </c>
      <c r="B406" s="118">
        <v>46222</v>
      </c>
      <c r="C406" s="119" t="s">
        <v>47</v>
      </c>
      <c r="D406" s="119" t="s">
        <v>15</v>
      </c>
      <c r="E406" s="117" t="s">
        <v>371</v>
      </c>
      <c r="F406" s="120">
        <f t="shared" si="120"/>
        <v>2</v>
      </c>
      <c r="G406" s="121" t="str">
        <f t="shared" si="121"/>
        <v>Daniel (Ferret)</v>
      </c>
      <c r="H406" s="122">
        <f>IF($D406="",0,IFERROR(LOOKUP(2,1/(($D$3:D405=$D406)*($A$3:A405&lt;$A406)),$N$3:N405),'Guide &amp; Settings'!$C$41))</f>
        <v>996.80890241939892</v>
      </c>
      <c r="I406" s="123">
        <f t="shared" si="122"/>
        <v>0.3</v>
      </c>
      <c r="J406" s="124">
        <f>IF($D406="",0,IF($F406&lt;2,0,IF($E406="Win",('Guide &amp; Settings'!$C$42/(($F406-1)*COUNTIFS($A$4:$A$1510,$A406,$E$4:$E$1510,"Win")))*SUMIFS($X$4:$X$1510,$A$4:$A$1510,$A406,$E$4:$E$1510,"Loss"),-('Guide &amp; Settings'!$C$42/($F406-1))*$X406)))</f>
        <v>-12.194489875947143</v>
      </c>
      <c r="K406" s="124">
        <f>IF($D406="",0,'Guide &amp; Settings'!$C$43*(IF($E406="Win",1,0)-$I406))</f>
        <v>-3.5999999999999996</v>
      </c>
      <c r="L406" s="125">
        <f>IF($D406="",0,'Guide &amp; Settings'!$C$44*IF($F406&gt;=3,$F406,0))</f>
        <v>0</v>
      </c>
      <c r="M406" s="124">
        <f t="shared" si="123"/>
        <v>-15.794489875947143</v>
      </c>
      <c r="N406" s="122">
        <f t="shared" si="124"/>
        <v>981.01441254345173</v>
      </c>
      <c r="O406" s="121" t="str">
        <f t="shared" si="125"/>
        <v>OK</v>
      </c>
      <c r="P406">
        <f t="shared" si="126"/>
        <v>1066.2240983216975</v>
      </c>
      <c r="Q406">
        <f t="shared" si="127"/>
        <v>0.40141181471511106</v>
      </c>
      <c r="R406">
        <f t="shared" si="128"/>
        <v>0.33333333333333331</v>
      </c>
      <c r="S406">
        <f t="shared" si="129"/>
        <v>1.1111111111111112</v>
      </c>
      <c r="T406" s="89">
        <f t="shared" si="130"/>
        <v>7</v>
      </c>
      <c r="U406" s="126">
        <f>IF($D406="",0,IFERROR(LOOKUP(2,1/(($D$3:D405=$D406)*($C$3:C405=$C406)*($A$3:A405&lt;$A406)),$AB$3:AB405),1000))</f>
        <v>968.22654935673825</v>
      </c>
      <c r="V406" s="126">
        <f t="shared" si="131"/>
        <v>980.13586313284691</v>
      </c>
      <c r="W406">
        <f t="shared" si="132"/>
        <v>1064.3848212889875</v>
      </c>
      <c r="X406">
        <f t="shared" si="133"/>
        <v>0.38107780862334822</v>
      </c>
      <c r="Y406">
        <f t="shared" si="134"/>
        <v>1063.0710519799088</v>
      </c>
      <c r="Z406">
        <f t="shared" si="135"/>
        <v>0.36680017254272279</v>
      </c>
      <c r="AA406">
        <f>IF($D406="",0,IF($F406&lt;2,0,IF($E406="Win",('Guide &amp; Settings'!$C$42/(($F406-1)*COUNTIFS($A$4:$A$1510,$A406,$E$4:$E$1510,"Win")))*SUMIFS($Z$4:$Z$1510,$A$4:$A$1510,$A406,$E$4:$E$1510,"Loss"),-('Guide &amp; Settings'!$C$42/($F406-1))*$Z406)))</f>
        <v>-11.737605521367129</v>
      </c>
      <c r="AB406" s="126">
        <f t="shared" si="136"/>
        <v>956.48894383537117</v>
      </c>
      <c r="AC406" s="126">
        <f>IF($D406="","",IF($AD406=0,0,IF(COUNTIFS($D$4:$D406,$D406,$B$4:$B406,$B406)&gt;1,0,IF($B406&lt;'Guide &amp; Settings'!$C$50,0,IF(($B406-$AD406)/7-'Guide &amp; Settings'!$C$48&gt;=0,(INT(($B406-$AD406)/7-'Guide &amp; Settings'!$C$48)+1)*'Guide &amp; Settings'!$C$49,0)))))</f>
        <v>0</v>
      </c>
      <c r="AD406" s="142">
        <f t="shared" si="137"/>
        <v>46220</v>
      </c>
      <c r="AE406">
        <f t="shared" si="138"/>
        <v>1</v>
      </c>
      <c r="AF406">
        <f t="shared" si="139"/>
        <v>0</v>
      </c>
    </row>
    <row r="407" spans="1:32" x14ac:dyDescent="0.2">
      <c r="A407" s="117">
        <v>174</v>
      </c>
      <c r="B407" s="118">
        <v>46222</v>
      </c>
      <c r="C407" s="119" t="s">
        <v>47</v>
      </c>
      <c r="D407" s="119" t="s">
        <v>22</v>
      </c>
      <c r="E407" s="117" t="s">
        <v>370</v>
      </c>
      <c r="F407" s="120">
        <f t="shared" si="120"/>
        <v>2</v>
      </c>
      <c r="G407" s="121" t="str">
        <f t="shared" si="121"/>
        <v>Daniel (Ferret)</v>
      </c>
      <c r="H407" s="122">
        <f>IF($D407="",0,IFERROR(LOOKUP(2,1/(($D$3:D406=$D407)*($A$3:A406&lt;$A407)),$N$3:N406),'Guide &amp; Settings'!$C$41))</f>
        <v>1066.2240983216975</v>
      </c>
      <c r="I407" s="123">
        <f t="shared" si="122"/>
        <v>0.7</v>
      </c>
      <c r="J407" s="124">
        <f>IF($D407="",0,IF($F407&lt;2,0,IF($E407="Win",('Guide &amp; Settings'!$C$42/(($F407-1)*COUNTIFS($A$4:$A$1510,$A407,$E$4:$E$1510,"Win")))*SUMIFS($X$4:$X$1510,$A$4:$A$1510,$A407,$E$4:$E$1510,"Loss"),-('Guide &amp; Settings'!$C$42/($F407-1))*$X407)))</f>
        <v>12.194489875947143</v>
      </c>
      <c r="K407" s="124">
        <f>IF($D407="",0,'Guide &amp; Settings'!$C$43*(IF($E407="Win",1,0)-$I407))</f>
        <v>3.6000000000000005</v>
      </c>
      <c r="L407" s="125">
        <f>IF($D407="",0,'Guide &amp; Settings'!$C$44*IF($F407&gt;=3,$F407,0))</f>
        <v>0</v>
      </c>
      <c r="M407" s="124">
        <f t="shared" si="123"/>
        <v>15.794489875947143</v>
      </c>
      <c r="N407" s="122">
        <f t="shared" si="124"/>
        <v>1082.0185881976447</v>
      </c>
      <c r="O407" s="121" t="str">
        <f t="shared" si="125"/>
        <v>OK</v>
      </c>
      <c r="P407">
        <f t="shared" si="126"/>
        <v>1066.2240983216975</v>
      </c>
      <c r="Q407">
        <f t="shared" si="127"/>
        <v>0.5</v>
      </c>
      <c r="R407">
        <f t="shared" si="128"/>
        <v>0.77777777777777779</v>
      </c>
      <c r="S407">
        <f t="shared" si="129"/>
        <v>1.1111111111111112</v>
      </c>
      <c r="T407" s="89">
        <f t="shared" si="130"/>
        <v>7</v>
      </c>
      <c r="U407" s="126">
        <f>IF($D407="",0,IFERROR(LOOKUP(2,1/(($D$3:D406=$D407)*($C$3:C406=$C407)*($A$3:A406&lt;$A407)),$AB$3:AB406),1000))</f>
        <v>1063.0710519799088</v>
      </c>
      <c r="V407" s="126">
        <f t="shared" si="131"/>
        <v>1064.3848212889875</v>
      </c>
      <c r="W407">
        <f t="shared" si="132"/>
        <v>1064.3848212889875</v>
      </c>
      <c r="X407">
        <f t="shared" si="133"/>
        <v>0.5</v>
      </c>
      <c r="Y407">
        <f t="shared" si="134"/>
        <v>1063.0710519799088</v>
      </c>
      <c r="Z407">
        <f t="shared" si="135"/>
        <v>0.5</v>
      </c>
      <c r="AA407">
        <f>IF($D407="",0,IF($F407&lt;2,0,IF($E407="Win",('Guide &amp; Settings'!$C$42/(($F407-1)*COUNTIFS($A$4:$A$1510,$A407,$E$4:$E$1510,"Win")))*SUMIFS($Z$4:$Z$1510,$A$4:$A$1510,$A407,$E$4:$E$1510,"Loss"),-('Guide &amp; Settings'!$C$42/($F407-1))*$Z407)))</f>
        <v>11.737605521367129</v>
      </c>
      <c r="AB407" s="126">
        <f t="shared" si="136"/>
        <v>1074.808657501276</v>
      </c>
      <c r="AC407" s="126">
        <f>IF($D407="","",IF($AD407=0,0,IF(COUNTIFS($D$4:$D407,$D407,$B$4:$B407,$B407)&gt;1,0,IF($B407&lt;'Guide &amp; Settings'!$C$50,0,IF(($B407-$AD407)/7-'Guide &amp; Settings'!$C$48&gt;=0,(INT(($B407-$AD407)/7-'Guide &amp; Settings'!$C$48)+1)*'Guide &amp; Settings'!$C$49,0)))))</f>
        <v>0</v>
      </c>
      <c r="AD407" s="142">
        <f t="shared" si="137"/>
        <v>46220</v>
      </c>
      <c r="AE407">
        <f t="shared" si="138"/>
        <v>1</v>
      </c>
      <c r="AF407">
        <f t="shared" si="139"/>
        <v>0</v>
      </c>
    </row>
    <row r="408" spans="1:32" x14ac:dyDescent="0.2">
      <c r="A408" s="117">
        <v>175</v>
      </c>
      <c r="B408" s="118">
        <v>46222</v>
      </c>
      <c r="C408" s="119" t="s">
        <v>47</v>
      </c>
      <c r="D408" s="119" t="s">
        <v>15</v>
      </c>
      <c r="E408" s="117" t="s">
        <v>370</v>
      </c>
      <c r="F408" s="120">
        <f t="shared" si="120"/>
        <v>2</v>
      </c>
      <c r="G408" s="121" t="str">
        <f t="shared" si="121"/>
        <v>Aaron</v>
      </c>
      <c r="H408" s="122">
        <f>IF($D408="",0,IFERROR(LOOKUP(2,1/(($D$3:D407=$D408)*($A$3:A407&lt;$A408)),$N$3:N407),'Guide &amp; Settings'!$C$41))</f>
        <v>981.01441254345173</v>
      </c>
      <c r="I408" s="123">
        <f t="shared" si="122"/>
        <v>0.27272727272727271</v>
      </c>
      <c r="J408" s="124">
        <f>IF($D408="",0,IF($F408&lt;2,0,IF($E408="Win",('Guide &amp; Settings'!$C$42/(($F408-1)*COUNTIFS($A$4:$A$1510,$A408,$E$4:$E$1510,"Win")))*SUMIFS($X$4:$X$1510,$A$4:$A$1510,$A408,$E$4:$E$1510,"Loss"),-('Guide &amp; Settings'!$C$42/($F408-1))*$X408)))</f>
        <v>20.972110448155245</v>
      </c>
      <c r="K408" s="124">
        <f>IF($D408="",0,'Guide &amp; Settings'!$C$43*(IF($E408="Win",1,0)-$I408))</f>
        <v>8.7272727272727266</v>
      </c>
      <c r="L408" s="125">
        <f>IF($D408="",0,'Guide &amp; Settings'!$C$44*IF($F408&gt;=3,$F408,0))</f>
        <v>0</v>
      </c>
      <c r="M408" s="124">
        <f t="shared" si="123"/>
        <v>29.699383175427972</v>
      </c>
      <c r="N408" s="122">
        <f t="shared" si="124"/>
        <v>1010.7137957188797</v>
      </c>
      <c r="O408" s="121" t="str">
        <f t="shared" si="125"/>
        <v>OK</v>
      </c>
      <c r="P408">
        <f t="shared" si="126"/>
        <v>981.01441254345173</v>
      </c>
      <c r="Q408">
        <f t="shared" si="127"/>
        <v>0.5</v>
      </c>
      <c r="R408">
        <f t="shared" si="128"/>
        <v>0.3</v>
      </c>
      <c r="S408">
        <f t="shared" si="129"/>
        <v>1.1000000000000001</v>
      </c>
      <c r="T408" s="89">
        <f t="shared" si="130"/>
        <v>8</v>
      </c>
      <c r="U408" s="126">
        <f>IF($D408="",0,IFERROR(LOOKUP(2,1/(($D$3:D407=$D408)*($C$3:C407=$C408)*($A$3:A407&lt;$A408)),$AB$3:AB407),1000))</f>
        <v>956.48894383537117</v>
      </c>
      <c r="V408" s="126">
        <f t="shared" si="131"/>
        <v>965.92181641540219</v>
      </c>
      <c r="W408">
        <f t="shared" si="132"/>
        <v>965.92181641540219</v>
      </c>
      <c r="X408">
        <f t="shared" si="133"/>
        <v>0.5</v>
      </c>
      <c r="Y408">
        <f t="shared" si="134"/>
        <v>956.48894383537117</v>
      </c>
      <c r="Z408">
        <f t="shared" si="135"/>
        <v>0.5</v>
      </c>
      <c r="AA408">
        <f>IF($D408="",0,IF($F408&lt;2,0,IF($E408="Win",('Guide &amp; Settings'!$C$42/(($F408-1)*COUNTIFS($A$4:$A$1510,$A408,$E$4:$E$1510,"Win")))*SUMIFS($Z$4:$Z$1510,$A$4:$A$1510,$A408,$E$4:$E$1510,"Loss"),-('Guide &amp; Settings'!$C$42/($F408-1))*$Z408)))</f>
        <v>21.247514753906565</v>
      </c>
      <c r="AB408" s="126">
        <f t="shared" si="136"/>
        <v>977.73645858927773</v>
      </c>
      <c r="AC408" s="126">
        <f>IF($D408="","",IF($AD408=0,0,IF(COUNTIFS($D$4:$D408,$D408,$B$4:$B408,$B408)&gt;1,0,IF($B408&lt;'Guide &amp; Settings'!$C$50,0,IF(($B408-$AD408)/7-'Guide &amp; Settings'!$C$48&gt;=0,(INT(($B408-$AD408)/7-'Guide &amp; Settings'!$C$48)+1)*'Guide &amp; Settings'!$C$49,0)))))</f>
        <v>0</v>
      </c>
      <c r="AD408" s="142">
        <f t="shared" si="137"/>
        <v>46220</v>
      </c>
      <c r="AE408">
        <f t="shared" si="138"/>
        <v>1</v>
      </c>
      <c r="AF408">
        <f t="shared" si="139"/>
        <v>0</v>
      </c>
    </row>
    <row r="409" spans="1:32" x14ac:dyDescent="0.2">
      <c r="A409" s="117">
        <v>175</v>
      </c>
      <c r="B409" s="118">
        <v>46222</v>
      </c>
      <c r="C409" s="119" t="s">
        <v>47</v>
      </c>
      <c r="D409" s="119" t="s">
        <v>22</v>
      </c>
      <c r="E409" s="117" t="s">
        <v>371</v>
      </c>
      <c r="F409" s="120">
        <f t="shared" si="120"/>
        <v>2</v>
      </c>
      <c r="G409" s="121" t="str">
        <f t="shared" si="121"/>
        <v>Aaron</v>
      </c>
      <c r="H409" s="122">
        <f>IF($D409="",0,IFERROR(LOOKUP(2,1/(($D$3:D408=$D409)*($A$3:A408&lt;$A409)),$N$3:N408),'Guide &amp; Settings'!$C$41))</f>
        <v>1082.0185881976447</v>
      </c>
      <c r="I409" s="123">
        <f t="shared" si="122"/>
        <v>0.72727272727272729</v>
      </c>
      <c r="J409" s="124">
        <f>IF($D409="",0,IF($F409&lt;2,0,IF($E409="Win",('Guide &amp; Settings'!$C$42/(($F409-1)*COUNTIFS($A$4:$A$1510,$A409,$E$4:$E$1510,"Win")))*SUMIFS($X$4:$X$1510,$A$4:$A$1510,$A409,$E$4:$E$1510,"Loss"),-('Guide &amp; Settings'!$C$42/($F409-1))*$X409)))</f>
        <v>-20.972110448155245</v>
      </c>
      <c r="K409" s="124">
        <f>IF($D409="",0,'Guide &amp; Settings'!$C$43*(IF($E409="Win",1,0)-$I409))</f>
        <v>-8.7272727272727266</v>
      </c>
      <c r="L409" s="125">
        <f>IF($D409="",0,'Guide &amp; Settings'!$C$44*IF($F409&gt;=3,$F409,0))</f>
        <v>0</v>
      </c>
      <c r="M409" s="124">
        <f t="shared" si="123"/>
        <v>-29.699383175427972</v>
      </c>
      <c r="N409" s="122">
        <f t="shared" si="124"/>
        <v>1052.3192050222167</v>
      </c>
      <c r="O409" s="121" t="str">
        <f t="shared" si="125"/>
        <v>OK</v>
      </c>
      <c r="P409">
        <f t="shared" si="126"/>
        <v>981.01441254345173</v>
      </c>
      <c r="Q409">
        <f t="shared" si="127"/>
        <v>0.64139564065870613</v>
      </c>
      <c r="R409">
        <f t="shared" si="128"/>
        <v>0.8</v>
      </c>
      <c r="S409">
        <f t="shared" si="129"/>
        <v>1.1000000000000001</v>
      </c>
      <c r="T409" s="89">
        <f t="shared" si="130"/>
        <v>8</v>
      </c>
      <c r="U409" s="126">
        <f>IF($D409="",0,IFERROR(LOOKUP(2,1/(($D$3:D408=$D409)*($C$3:C408=$C409)*($A$3:A408&lt;$A409)),$AB$3:AB408),1000))</f>
        <v>1074.808657501276</v>
      </c>
      <c r="V409" s="126">
        <f t="shared" si="131"/>
        <v>1077.5817077691102</v>
      </c>
      <c r="W409">
        <f t="shared" si="132"/>
        <v>965.92181641540219</v>
      </c>
      <c r="X409">
        <f t="shared" si="133"/>
        <v>0.65537845150485141</v>
      </c>
      <c r="Y409">
        <f t="shared" si="134"/>
        <v>956.48894383537117</v>
      </c>
      <c r="Z409">
        <f t="shared" si="135"/>
        <v>0.66398483605958014</v>
      </c>
      <c r="AA409">
        <f>IF($D409="",0,IF($F409&lt;2,0,IF($E409="Win",('Guide &amp; Settings'!$C$42/(($F409-1)*COUNTIFS($A$4:$A$1510,$A409,$E$4:$E$1510,"Win")))*SUMIFS($Z$4:$Z$1510,$A$4:$A$1510,$A409,$E$4:$E$1510,"Loss"),-('Guide &amp; Settings'!$C$42/($F409-1))*$Z409)))</f>
        <v>-21.247514753906565</v>
      </c>
      <c r="AB409" s="126">
        <f t="shared" si="136"/>
        <v>1053.5611427473693</v>
      </c>
      <c r="AC409" s="126">
        <f>IF($D409="","",IF($AD409=0,0,IF(COUNTIFS($D$4:$D409,$D409,$B$4:$B409,$B409)&gt;1,0,IF($B409&lt;'Guide &amp; Settings'!$C$50,0,IF(($B409-$AD409)/7-'Guide &amp; Settings'!$C$48&gt;=0,(INT(($B409-$AD409)/7-'Guide &amp; Settings'!$C$48)+1)*'Guide &amp; Settings'!$C$49,0)))))</f>
        <v>0</v>
      </c>
      <c r="AD409" s="142">
        <f t="shared" si="137"/>
        <v>46220</v>
      </c>
      <c r="AE409">
        <f t="shared" si="138"/>
        <v>1</v>
      </c>
      <c r="AF409">
        <f t="shared" si="139"/>
        <v>0</v>
      </c>
    </row>
    <row r="410" spans="1:32" x14ac:dyDescent="0.2">
      <c r="A410" s="117">
        <v>176</v>
      </c>
      <c r="B410" s="118">
        <v>46222</v>
      </c>
      <c r="C410" s="119" t="s">
        <v>37</v>
      </c>
      <c r="D410" s="119" t="s">
        <v>27</v>
      </c>
      <c r="E410" s="117" t="s">
        <v>370</v>
      </c>
      <c r="F410" s="120">
        <f t="shared" si="120"/>
        <v>2</v>
      </c>
      <c r="G410" s="121" t="str">
        <f t="shared" si="121"/>
        <v>Dylan A</v>
      </c>
      <c r="H410" s="122">
        <f>IF($D410="",0,IFERROR(LOOKUP(2,1/(($D$3:D409=$D410)*($A$3:A409&lt;$A410)),$N$3:N409),'Guide &amp; Settings'!$C$41))</f>
        <v>1052.4264189977837</v>
      </c>
      <c r="I410" s="123">
        <f t="shared" si="122"/>
        <v>0.5</v>
      </c>
      <c r="J410" s="124">
        <f>IF($D410="",0,IF($F410&lt;2,0,IF($E410="Win",('Guide &amp; Settings'!$C$42/(($F410-1)*COUNTIFS($A$4:$A$1510,$A410,$E$4:$E$1510,"Win")))*SUMIFS($X$4:$X$1510,$A$4:$A$1510,$A410,$E$4:$E$1510,"Loss"),-('Guide &amp; Settings'!$C$42/($F410-1))*$X410)))</f>
        <v>14.017399522975493</v>
      </c>
      <c r="K410" s="124">
        <f>IF($D410="",0,'Guide &amp; Settings'!$C$43*(IF($E410="Win",1,0)-$I410))</f>
        <v>6</v>
      </c>
      <c r="L410" s="125">
        <f>IF($D410="",0,'Guide &amp; Settings'!$C$44*IF($F410&gt;=3,$F410,0))</f>
        <v>0</v>
      </c>
      <c r="M410" s="124">
        <f t="shared" si="123"/>
        <v>20.017399522975495</v>
      </c>
      <c r="N410" s="122">
        <f t="shared" si="124"/>
        <v>1072.4438185207591</v>
      </c>
      <c r="O410" s="121" t="str">
        <f t="shared" si="125"/>
        <v>OK</v>
      </c>
      <c r="P410">
        <f t="shared" si="126"/>
        <v>1052.4264189977837</v>
      </c>
      <c r="Q410">
        <f t="shared" si="127"/>
        <v>0.5</v>
      </c>
      <c r="R410">
        <f t="shared" si="128"/>
        <v>0.5</v>
      </c>
      <c r="S410">
        <f t="shared" si="129"/>
        <v>1</v>
      </c>
      <c r="T410" s="89">
        <f t="shared" si="130"/>
        <v>0</v>
      </c>
      <c r="U410" s="126">
        <f>IF($D410="",0,IFERROR(LOOKUP(2,1/(($D$3:D409=$D410)*($C$3:C409=$C410)*($A$3:A409&lt;$A410)),$AB$3:AB409),1000))</f>
        <v>1000</v>
      </c>
      <c r="V410" s="126">
        <f t="shared" si="131"/>
        <v>1052.4264189977837</v>
      </c>
      <c r="W410">
        <f t="shared" si="132"/>
        <v>1052.4264189977837</v>
      </c>
      <c r="X410">
        <f t="shared" si="133"/>
        <v>0.5</v>
      </c>
      <c r="Y410">
        <f t="shared" si="134"/>
        <v>1000</v>
      </c>
      <c r="Z410">
        <f t="shared" si="135"/>
        <v>0.5</v>
      </c>
      <c r="AA410">
        <f>IF($D410="",0,IF($F410&lt;2,0,IF($E410="Win",('Guide &amp; Settings'!$C$42/(($F410-1)*COUNTIFS($A$4:$A$1510,$A410,$E$4:$E$1510,"Win")))*SUMIFS($Z$4:$Z$1510,$A$4:$A$1510,$A410,$E$4:$E$1510,"Loss"),-('Guide &amp; Settings'!$C$42/($F410-1))*$Z410)))</f>
        <v>16</v>
      </c>
      <c r="AB410" s="126">
        <f t="shared" si="136"/>
        <v>1016</v>
      </c>
      <c r="AC410" s="126">
        <f>IF($D410="","",IF($AD410=0,0,IF(COUNTIFS($D$4:$D410,$D410,$B$4:$B410,$B410)&gt;1,0,IF($B410&lt;'Guide &amp; Settings'!$C$50,0,IF(($B410-$AD410)/7-'Guide &amp; Settings'!$C$48&gt;=0,(INT(($B410-$AD410)/7-'Guide &amp; Settings'!$C$48)+1)*'Guide &amp; Settings'!$C$49,0)))))</f>
        <v>0</v>
      </c>
      <c r="AD410" s="142">
        <f t="shared" si="137"/>
        <v>46214</v>
      </c>
      <c r="AE410">
        <f t="shared" si="138"/>
        <v>1</v>
      </c>
      <c r="AF410">
        <f t="shared" si="139"/>
        <v>0</v>
      </c>
    </row>
    <row r="411" spans="1:32" x14ac:dyDescent="0.2">
      <c r="A411" s="117">
        <v>176</v>
      </c>
      <c r="B411" s="118">
        <v>46222</v>
      </c>
      <c r="C411" s="119" t="s">
        <v>37</v>
      </c>
      <c r="D411" s="119" t="s">
        <v>26</v>
      </c>
      <c r="E411" s="117" t="s">
        <v>371</v>
      </c>
      <c r="F411" s="120">
        <f t="shared" si="120"/>
        <v>2</v>
      </c>
      <c r="G411" s="121" t="str">
        <f t="shared" si="121"/>
        <v>Dylan A</v>
      </c>
      <c r="H411" s="122">
        <f>IF($D411="",0,IFERROR(LOOKUP(2,1/(($D$3:D410=$D411)*($A$3:A410&lt;$A411)),$N$3:N410),'Guide &amp; Settings'!$C$41))</f>
        <v>1009.152401464836</v>
      </c>
      <c r="I411" s="123">
        <f t="shared" si="122"/>
        <v>0.5</v>
      </c>
      <c r="J411" s="124">
        <f>IF($D411="",0,IF($F411&lt;2,0,IF($E411="Win",('Guide &amp; Settings'!$C$42/(($F411-1)*COUNTIFS($A$4:$A$1510,$A411,$E$4:$E$1510,"Win")))*SUMIFS($X$4:$X$1510,$A$4:$A$1510,$A411,$E$4:$E$1510,"Loss"),-('Guide &amp; Settings'!$C$42/($F411-1))*$X411)))</f>
        <v>-14.017399522975493</v>
      </c>
      <c r="K411" s="124">
        <f>IF($D411="",0,'Guide &amp; Settings'!$C$43*(IF($E411="Win",1,0)-$I411))</f>
        <v>-6</v>
      </c>
      <c r="L411" s="125">
        <f>IF($D411="",0,'Guide &amp; Settings'!$C$44*IF($F411&gt;=3,$F411,0))</f>
        <v>0</v>
      </c>
      <c r="M411" s="124">
        <f t="shared" si="123"/>
        <v>-20.017399522975495</v>
      </c>
      <c r="N411" s="122">
        <f t="shared" si="124"/>
        <v>989.13500194186054</v>
      </c>
      <c r="O411" s="121" t="str">
        <f t="shared" si="125"/>
        <v>OK</v>
      </c>
      <c r="P411">
        <f t="shared" si="126"/>
        <v>1052.4264189977837</v>
      </c>
      <c r="Q411">
        <f t="shared" si="127"/>
        <v>0.43804373509298417</v>
      </c>
      <c r="R411">
        <f t="shared" si="128"/>
        <v>0.5</v>
      </c>
      <c r="S411">
        <f t="shared" si="129"/>
        <v>1</v>
      </c>
      <c r="T411" s="89">
        <f t="shared" si="130"/>
        <v>0</v>
      </c>
      <c r="U411" s="126">
        <f>IF($D411="",0,IFERROR(LOOKUP(2,1/(($D$3:D410=$D411)*($C$3:C410=$C411)*($A$3:A410&lt;$A411)),$AB$3:AB410),1000))</f>
        <v>1000</v>
      </c>
      <c r="V411" s="126">
        <f t="shared" si="131"/>
        <v>1009.152401464836</v>
      </c>
      <c r="W411">
        <f t="shared" si="132"/>
        <v>1052.4264189977837</v>
      </c>
      <c r="X411">
        <f t="shared" si="133"/>
        <v>0.43804373509298417</v>
      </c>
      <c r="Y411">
        <f t="shared" si="134"/>
        <v>1000</v>
      </c>
      <c r="Z411">
        <f t="shared" si="135"/>
        <v>0.5</v>
      </c>
      <c r="AA411">
        <f>IF($D411="",0,IF($F411&lt;2,0,IF($E411="Win",('Guide &amp; Settings'!$C$42/(($F411-1)*COUNTIFS($A$4:$A$1510,$A411,$E$4:$E$1510,"Win")))*SUMIFS($Z$4:$Z$1510,$A$4:$A$1510,$A411,$E$4:$E$1510,"Loss"),-('Guide &amp; Settings'!$C$42/($F411-1))*$Z411)))</f>
        <v>-16</v>
      </c>
      <c r="AB411" s="126">
        <f t="shared" si="136"/>
        <v>984</v>
      </c>
      <c r="AC411" s="126">
        <f>IF($D411="","",IF($AD411=0,0,IF(COUNTIFS($D$4:$D411,$D411,$B$4:$B411,$B411)&gt;1,0,IF($B411&lt;'Guide &amp; Settings'!$C$50,0,IF(($B411-$AD411)/7-'Guide &amp; Settings'!$C$48&gt;=0,(INT(($B411-$AD411)/7-'Guide &amp; Settings'!$C$48)+1)*'Guide &amp; Settings'!$C$49,0)))))</f>
        <v>0</v>
      </c>
      <c r="AD411" s="142">
        <f t="shared" si="137"/>
        <v>46214</v>
      </c>
      <c r="AE411">
        <f t="shared" si="138"/>
        <v>1</v>
      </c>
      <c r="AF411">
        <f t="shared" si="139"/>
        <v>0</v>
      </c>
    </row>
    <row r="412" spans="1:32" x14ac:dyDescent="0.2">
      <c r="A412" s="117">
        <v>177</v>
      </c>
      <c r="B412" s="118">
        <v>46222</v>
      </c>
      <c r="C412" s="119" t="s">
        <v>37</v>
      </c>
      <c r="D412" s="119" t="s">
        <v>26</v>
      </c>
      <c r="E412" s="117" t="s">
        <v>370</v>
      </c>
      <c r="F412" s="120">
        <f t="shared" si="120"/>
        <v>2</v>
      </c>
      <c r="G412" s="121" t="str">
        <f t="shared" si="121"/>
        <v>Dean M</v>
      </c>
      <c r="H412" s="122">
        <f>IF($D412="",0,IFERROR(LOOKUP(2,1/(($D$3:D411=$D412)*($A$3:A411&lt;$A412)),$N$3:N411),'Guide &amp; Settings'!$C$41))</f>
        <v>989.13500194186054</v>
      </c>
      <c r="I412" s="123">
        <f t="shared" si="122"/>
        <v>0.33333333333333331</v>
      </c>
      <c r="J412" s="124">
        <f>IF($D412="",0,IF($F412&lt;2,0,IF($E412="Win",('Guide &amp; Settings'!$C$42/(($F412-1)*COUNTIFS($A$4:$A$1510,$A412,$E$4:$E$1510,"Win")))*SUMIFS($X$4:$X$1510,$A$4:$A$1510,$A412,$E$4:$E$1510,"Loss"),-('Guide &amp; Settings'!$C$42/($F412-1))*$X412)))</f>
        <v>19.390539163131706</v>
      </c>
      <c r="K412" s="124">
        <f>IF($D412="",0,'Guide &amp; Settings'!$C$43*(IF($E412="Win",1,0)-$I412))</f>
        <v>8</v>
      </c>
      <c r="L412" s="125">
        <f>IF($D412="",0,'Guide &amp; Settings'!$C$44*IF($F412&gt;=3,$F412,0))</f>
        <v>0</v>
      </c>
      <c r="M412" s="124">
        <f t="shared" si="123"/>
        <v>27.390539163131706</v>
      </c>
      <c r="N412" s="122">
        <f t="shared" si="124"/>
        <v>1016.5255411049923</v>
      </c>
      <c r="O412" s="121" t="str">
        <f t="shared" si="125"/>
        <v>OK</v>
      </c>
      <c r="P412">
        <f t="shared" si="126"/>
        <v>989.13500194186054</v>
      </c>
      <c r="Q412">
        <f t="shared" si="127"/>
        <v>0.5</v>
      </c>
      <c r="R412">
        <f t="shared" si="128"/>
        <v>0.33333333333333331</v>
      </c>
      <c r="S412">
        <f t="shared" si="129"/>
        <v>1</v>
      </c>
      <c r="T412" s="89">
        <f t="shared" si="130"/>
        <v>1</v>
      </c>
      <c r="U412" s="126">
        <f>IF($D412="",0,IFERROR(LOOKUP(2,1/(($D$3:D411=$D412)*($C$3:C411=$C412)*($A$3:A411&lt;$A412)),$AB$3:AB411),1000))</f>
        <v>984</v>
      </c>
      <c r="V412" s="126">
        <f t="shared" si="131"/>
        <v>988.27916828488378</v>
      </c>
      <c r="W412">
        <f t="shared" si="132"/>
        <v>988.27916828488378</v>
      </c>
      <c r="X412">
        <f t="shared" si="133"/>
        <v>0.5</v>
      </c>
      <c r="Y412">
        <f t="shared" si="134"/>
        <v>984</v>
      </c>
      <c r="Z412">
        <f t="shared" si="135"/>
        <v>0.5</v>
      </c>
      <c r="AA412">
        <f>IF($D412="",0,IF($F412&lt;2,0,IF($E412="Win",('Guide &amp; Settings'!$C$42/(($F412-1)*COUNTIFS($A$4:$A$1510,$A412,$E$4:$E$1510,"Win")))*SUMIFS($Z$4:$Z$1510,$A$4:$A$1510,$A412,$E$4:$E$1510,"Loss"),-('Guide &amp; Settings'!$C$42/($F412-1))*$Z412)))</f>
        <v>17.469501528975478</v>
      </c>
      <c r="AB412" s="126">
        <f t="shared" si="136"/>
        <v>1001.4695015289755</v>
      </c>
      <c r="AC412" s="126">
        <f>IF($D412="","",IF($AD412=0,0,IF(COUNTIFS($D$4:$D412,$D412,$B$4:$B412,$B412)&gt;1,0,IF($B412&lt;'Guide &amp; Settings'!$C$50,0,IF(($B412-$AD412)/7-'Guide &amp; Settings'!$C$48&gt;=0,(INT(($B412-$AD412)/7-'Guide &amp; Settings'!$C$48)+1)*'Guide &amp; Settings'!$C$49,0)))))</f>
        <v>0</v>
      </c>
      <c r="AD412" s="142">
        <f t="shared" si="137"/>
        <v>46214</v>
      </c>
      <c r="AE412">
        <f t="shared" si="138"/>
        <v>1</v>
      </c>
      <c r="AF412">
        <f t="shared" si="139"/>
        <v>0</v>
      </c>
    </row>
    <row r="413" spans="1:32" x14ac:dyDescent="0.2">
      <c r="A413" s="117">
        <v>177</v>
      </c>
      <c r="B413" s="118">
        <v>46222</v>
      </c>
      <c r="C413" s="119" t="s">
        <v>37</v>
      </c>
      <c r="D413" s="119" t="s">
        <v>27</v>
      </c>
      <c r="E413" s="117" t="s">
        <v>371</v>
      </c>
      <c r="F413" s="120">
        <f t="shared" si="120"/>
        <v>2</v>
      </c>
      <c r="G413" s="121" t="str">
        <f t="shared" si="121"/>
        <v>Dean M</v>
      </c>
      <c r="H413" s="122">
        <f>IF($D413="",0,IFERROR(LOOKUP(2,1/(($D$3:D412=$D413)*($A$3:A412&lt;$A413)),$N$3:N412),'Guide &amp; Settings'!$C$41))</f>
        <v>1072.4438185207591</v>
      </c>
      <c r="I413" s="123">
        <f t="shared" si="122"/>
        <v>0.66666666666666663</v>
      </c>
      <c r="J413" s="124">
        <f>IF($D413="",0,IF($F413&lt;2,0,IF($E413="Win",('Guide &amp; Settings'!$C$42/(($F413-1)*COUNTIFS($A$4:$A$1510,$A413,$E$4:$E$1510,"Win")))*SUMIFS($X$4:$X$1510,$A$4:$A$1510,$A413,$E$4:$E$1510,"Loss"),-('Guide &amp; Settings'!$C$42/($F413-1))*$X413)))</f>
        <v>-19.390539163131706</v>
      </c>
      <c r="K413" s="124">
        <f>IF($D413="",0,'Guide &amp; Settings'!$C$43*(IF($E413="Win",1,0)-$I413))</f>
        <v>-8</v>
      </c>
      <c r="L413" s="125">
        <f>IF($D413="",0,'Guide &amp; Settings'!$C$44*IF($F413&gt;=3,$F413,0))</f>
        <v>0</v>
      </c>
      <c r="M413" s="124">
        <f t="shared" si="123"/>
        <v>-27.390539163131706</v>
      </c>
      <c r="N413" s="122">
        <f t="shared" si="124"/>
        <v>1045.0532793576274</v>
      </c>
      <c r="O413" s="121" t="str">
        <f t="shared" si="125"/>
        <v>OK</v>
      </c>
      <c r="P413">
        <f t="shared" si="126"/>
        <v>989.13500194186054</v>
      </c>
      <c r="Q413">
        <f t="shared" si="127"/>
        <v>0.61764493755980077</v>
      </c>
      <c r="R413">
        <f t="shared" si="128"/>
        <v>0.66666666666666663</v>
      </c>
      <c r="S413">
        <f t="shared" si="129"/>
        <v>1</v>
      </c>
      <c r="T413" s="89">
        <f t="shared" si="130"/>
        <v>1</v>
      </c>
      <c r="U413" s="126">
        <f>IF($D413="",0,IFERROR(LOOKUP(2,1/(($D$3:D412=$D413)*($C$3:C412=$C413)*($A$3:A412&lt;$A413)),$AB$3:AB412),1000))</f>
        <v>1016</v>
      </c>
      <c r="V413" s="126">
        <f t="shared" si="131"/>
        <v>1063.0365154339659</v>
      </c>
      <c r="W413">
        <f t="shared" si="132"/>
        <v>988.27916828488378</v>
      </c>
      <c r="X413">
        <f t="shared" si="133"/>
        <v>0.60595434884786581</v>
      </c>
      <c r="Y413">
        <f t="shared" si="134"/>
        <v>984</v>
      </c>
      <c r="Z413">
        <f t="shared" si="135"/>
        <v>0.54592192278048368</v>
      </c>
      <c r="AA413">
        <f>IF($D413="",0,IF($F413&lt;2,0,IF($E413="Win",('Guide &amp; Settings'!$C$42/(($F413-1)*COUNTIFS($A$4:$A$1510,$A413,$E$4:$E$1510,"Win")))*SUMIFS($Z$4:$Z$1510,$A$4:$A$1510,$A413,$E$4:$E$1510,"Loss"),-('Guide &amp; Settings'!$C$42/($F413-1))*$Z413)))</f>
        <v>-17.469501528975478</v>
      </c>
      <c r="AB413" s="126">
        <f t="shared" si="136"/>
        <v>998.53049847102454</v>
      </c>
      <c r="AC413" s="126">
        <f>IF($D413="","",IF($AD413=0,0,IF(COUNTIFS($D$4:$D413,$D413,$B$4:$B413,$B413)&gt;1,0,IF($B413&lt;'Guide &amp; Settings'!$C$50,0,IF(($B413-$AD413)/7-'Guide &amp; Settings'!$C$48&gt;=0,(INT(($B413-$AD413)/7-'Guide &amp; Settings'!$C$48)+1)*'Guide &amp; Settings'!$C$49,0)))))</f>
        <v>0</v>
      </c>
      <c r="AD413" s="142">
        <f t="shared" si="137"/>
        <v>46214</v>
      </c>
      <c r="AE413">
        <f t="shared" si="138"/>
        <v>1</v>
      </c>
      <c r="AF413">
        <f t="shared" si="139"/>
        <v>0</v>
      </c>
    </row>
    <row r="414" spans="1:32" x14ac:dyDescent="0.2">
      <c r="A414" s="117">
        <v>178</v>
      </c>
      <c r="B414" s="118">
        <v>46222</v>
      </c>
      <c r="C414" s="119" t="s">
        <v>37</v>
      </c>
      <c r="D414" s="119" t="s">
        <v>27</v>
      </c>
      <c r="E414" s="117" t="s">
        <v>370</v>
      </c>
      <c r="F414" s="120">
        <f t="shared" si="120"/>
        <v>2</v>
      </c>
      <c r="G414" s="121" t="str">
        <f t="shared" si="121"/>
        <v>Dylan A</v>
      </c>
      <c r="H414" s="122">
        <f>IF($D414="",0,IFERROR(LOOKUP(2,1/(($D$3:D413=$D414)*($A$3:A413&lt;$A414)),$N$3:N413),'Guide &amp; Settings'!$C$41))</f>
        <v>1045.0532793576274</v>
      </c>
      <c r="I414" s="123">
        <f t="shared" si="122"/>
        <v>0.5</v>
      </c>
      <c r="J414" s="124">
        <f>IF($D414="",0,IF($F414&lt;2,0,IF($E414="Win",('Guide &amp; Settings'!$C$42/(($F414-1)*COUNTIFS($A$4:$A$1510,$A414,$E$4:$E$1510,"Win")))*SUMIFS($X$4:$X$1510,$A$4:$A$1510,$A414,$E$4:$E$1510,"Loss"),-('Guide &amp; Settings'!$C$42/($F414-1))*$X414)))</f>
        <v>15.101223959677791</v>
      </c>
      <c r="K414" s="124">
        <f>IF($D414="",0,'Guide &amp; Settings'!$C$43*(IF($E414="Win",1,0)-$I414))</f>
        <v>6</v>
      </c>
      <c r="L414" s="125">
        <f>IF($D414="",0,'Guide &amp; Settings'!$C$44*IF($F414&gt;=3,$F414,0))</f>
        <v>0</v>
      </c>
      <c r="M414" s="124">
        <f t="shared" si="123"/>
        <v>21.101223959677789</v>
      </c>
      <c r="N414" s="122">
        <f t="shared" si="124"/>
        <v>1066.1545033173052</v>
      </c>
      <c r="O414" s="121" t="str">
        <f t="shared" si="125"/>
        <v>OK</v>
      </c>
      <c r="P414">
        <f t="shared" si="126"/>
        <v>1045.0532793576274</v>
      </c>
      <c r="Q414">
        <f t="shared" si="127"/>
        <v>0.5</v>
      </c>
      <c r="R414">
        <f t="shared" si="128"/>
        <v>0.5</v>
      </c>
      <c r="S414">
        <f t="shared" si="129"/>
        <v>1</v>
      </c>
      <c r="T414" s="89">
        <f t="shared" si="130"/>
        <v>2</v>
      </c>
      <c r="U414" s="126">
        <f>IF($D414="",0,IFERROR(LOOKUP(2,1/(($D$3:D413=$D414)*($C$3:C413=$C414)*($A$3:A413&lt;$A414)),$AB$3:AB413),1000))</f>
        <v>998.53049847102454</v>
      </c>
      <c r="V414" s="126">
        <f t="shared" si="131"/>
        <v>1031.7610562471696</v>
      </c>
      <c r="W414">
        <f t="shared" si="132"/>
        <v>1031.7610562471696</v>
      </c>
      <c r="X414">
        <f t="shared" si="133"/>
        <v>0.5</v>
      </c>
      <c r="Y414">
        <f t="shared" si="134"/>
        <v>998.53049847102454</v>
      </c>
      <c r="Z414">
        <f t="shared" si="135"/>
        <v>0.5</v>
      </c>
      <c r="AA414">
        <f>IF($D414="",0,IF($F414&lt;2,0,IF($E414="Win",('Guide &amp; Settings'!$C$42/(($F414-1)*COUNTIFS($A$4:$A$1510,$A414,$E$4:$E$1510,"Win")))*SUMIFS($Z$4:$Z$1510,$A$4:$A$1510,$A414,$E$4:$E$1510,"Loss"),-('Guide &amp; Settings'!$C$42/($F414-1))*$Z414)))</f>
        <v>16.135342864367114</v>
      </c>
      <c r="AB414" s="126">
        <f t="shared" si="136"/>
        <v>1014.6658413353916</v>
      </c>
      <c r="AC414" s="126">
        <f>IF($D414="","",IF($AD414=0,0,IF(COUNTIFS($D$4:$D414,$D414,$B$4:$B414,$B414)&gt;1,0,IF($B414&lt;'Guide &amp; Settings'!$C$50,0,IF(($B414-$AD414)/7-'Guide &amp; Settings'!$C$48&gt;=0,(INT(($B414-$AD414)/7-'Guide &amp; Settings'!$C$48)+1)*'Guide &amp; Settings'!$C$49,0)))))</f>
        <v>0</v>
      </c>
      <c r="AD414" s="142">
        <f t="shared" si="137"/>
        <v>46214</v>
      </c>
      <c r="AE414">
        <f t="shared" si="138"/>
        <v>1</v>
      </c>
      <c r="AF414">
        <f t="shared" si="139"/>
        <v>0</v>
      </c>
    </row>
    <row r="415" spans="1:32" x14ac:dyDescent="0.2">
      <c r="A415" s="117">
        <v>178</v>
      </c>
      <c r="B415" s="118">
        <v>46222</v>
      </c>
      <c r="C415" s="119" t="s">
        <v>37</v>
      </c>
      <c r="D415" s="119" t="s">
        <v>26</v>
      </c>
      <c r="E415" s="117" t="s">
        <v>371</v>
      </c>
      <c r="F415" s="120">
        <f t="shared" si="120"/>
        <v>2</v>
      </c>
      <c r="G415" s="121" t="str">
        <f t="shared" si="121"/>
        <v>Dylan A</v>
      </c>
      <c r="H415" s="122">
        <f>IF($D415="",0,IFERROR(LOOKUP(2,1/(($D$3:D414=$D415)*($A$3:A414&lt;$A415)),$N$3:N414),'Guide &amp; Settings'!$C$41))</f>
        <v>1016.5255411049923</v>
      </c>
      <c r="I415" s="123">
        <f t="shared" si="122"/>
        <v>0.5</v>
      </c>
      <c r="J415" s="124">
        <f>IF($D415="",0,IF($F415&lt;2,0,IF($E415="Win",('Guide &amp; Settings'!$C$42/(($F415-1)*COUNTIFS($A$4:$A$1510,$A415,$E$4:$E$1510,"Win")))*SUMIFS($X$4:$X$1510,$A$4:$A$1510,$A415,$E$4:$E$1510,"Loss"),-('Guide &amp; Settings'!$C$42/($F415-1))*$X415)))</f>
        <v>-15.101223959677791</v>
      </c>
      <c r="K415" s="124">
        <f>IF($D415="",0,'Guide &amp; Settings'!$C$43*(IF($E415="Win",1,0)-$I415))</f>
        <v>-6</v>
      </c>
      <c r="L415" s="125">
        <f>IF($D415="",0,'Guide &amp; Settings'!$C$44*IF($F415&gt;=3,$F415,0))</f>
        <v>0</v>
      </c>
      <c r="M415" s="124">
        <f t="shared" si="123"/>
        <v>-21.101223959677789</v>
      </c>
      <c r="N415" s="122">
        <f t="shared" si="124"/>
        <v>995.42431714531449</v>
      </c>
      <c r="O415" s="121" t="str">
        <f t="shared" si="125"/>
        <v>OK</v>
      </c>
      <c r="P415">
        <f t="shared" si="126"/>
        <v>1045.0532793576274</v>
      </c>
      <c r="Q415">
        <f t="shared" si="127"/>
        <v>0.45903729940532523</v>
      </c>
      <c r="R415">
        <f t="shared" si="128"/>
        <v>0.5</v>
      </c>
      <c r="S415">
        <f t="shared" si="129"/>
        <v>1</v>
      </c>
      <c r="T415" s="89">
        <f t="shared" si="130"/>
        <v>2</v>
      </c>
      <c r="U415" s="126">
        <f>IF($D415="",0,IFERROR(LOOKUP(2,1/(($D$3:D414=$D415)*($C$3:C414=$C415)*($A$3:A414&lt;$A415)),$AB$3:AB414),1000))</f>
        <v>1001.4695015289755</v>
      </c>
      <c r="V415" s="126">
        <f t="shared" si="131"/>
        <v>1012.2238155118446</v>
      </c>
      <c r="W415">
        <f t="shared" si="132"/>
        <v>1031.7610562471696</v>
      </c>
      <c r="X415">
        <f t="shared" si="133"/>
        <v>0.47191324873993096</v>
      </c>
      <c r="Y415">
        <f t="shared" si="134"/>
        <v>998.53049847102454</v>
      </c>
      <c r="Z415">
        <f t="shared" si="135"/>
        <v>0.50422946451147233</v>
      </c>
      <c r="AA415">
        <f>IF($D415="",0,IF($F415&lt;2,0,IF($E415="Win",('Guide &amp; Settings'!$C$42/(($F415-1)*COUNTIFS($A$4:$A$1510,$A415,$E$4:$E$1510,"Win")))*SUMIFS($Z$4:$Z$1510,$A$4:$A$1510,$A415,$E$4:$E$1510,"Loss"),-('Guide &amp; Settings'!$C$42/($F415-1))*$Z415)))</f>
        <v>-16.135342864367114</v>
      </c>
      <c r="AB415" s="126">
        <f t="shared" si="136"/>
        <v>985.33415866460837</v>
      </c>
      <c r="AC415" s="126">
        <f>IF($D415="","",IF($AD415=0,0,IF(COUNTIFS($D$4:$D415,$D415,$B$4:$B415,$B415)&gt;1,0,IF($B415&lt;'Guide &amp; Settings'!$C$50,0,IF(($B415-$AD415)/7-'Guide &amp; Settings'!$C$48&gt;=0,(INT(($B415-$AD415)/7-'Guide &amp; Settings'!$C$48)+1)*'Guide &amp; Settings'!$C$49,0)))))</f>
        <v>0</v>
      </c>
      <c r="AD415" s="142">
        <f t="shared" si="137"/>
        <v>46214</v>
      </c>
      <c r="AE415">
        <f t="shared" si="138"/>
        <v>1</v>
      </c>
      <c r="AF415">
        <f t="shared" si="139"/>
        <v>0</v>
      </c>
    </row>
    <row r="416" spans="1:32" x14ac:dyDescent="0.2">
      <c r="A416" s="117">
        <v>179</v>
      </c>
      <c r="B416" s="118">
        <v>46222</v>
      </c>
      <c r="C416" s="119" t="s">
        <v>37</v>
      </c>
      <c r="D416" s="119" t="s">
        <v>27</v>
      </c>
      <c r="E416" s="117" t="s">
        <v>370</v>
      </c>
      <c r="F416" s="120">
        <f t="shared" si="120"/>
        <v>2</v>
      </c>
      <c r="G416" s="121" t="str">
        <f t="shared" si="121"/>
        <v>Dylan A</v>
      </c>
      <c r="H416" s="122">
        <f>IF($D416="",0,IFERROR(LOOKUP(2,1/(($D$3:D415=$D416)*($A$3:A415&lt;$A416)),$N$3:N415),'Guide &amp; Settings'!$C$41))</f>
        <v>1066.1545033173052</v>
      </c>
      <c r="I416" s="123">
        <f t="shared" si="122"/>
        <v>0.64285714285714279</v>
      </c>
      <c r="J416" s="124">
        <f>IF($D416="",0,IF($F416&lt;2,0,IF($E416="Win",('Guide &amp; Settings'!$C$42/(($F416-1)*COUNTIFS($A$4:$A$1510,$A416,$E$4:$E$1510,"Win")))*SUMIFS($X$4:$X$1510,$A$4:$A$1510,$A416,$E$4:$E$1510,"Loss"),-('Guide &amp; Settings'!$C$42/($F416-1))*$X416)))</f>
        <v>9.9428743719729074</v>
      </c>
      <c r="K416" s="124">
        <f>IF($D416="",0,'Guide &amp; Settings'!$C$43*(IF($E416="Win",1,0)-$I416))</f>
        <v>4.2857142857142865</v>
      </c>
      <c r="L416" s="125">
        <f>IF($D416="",0,'Guide &amp; Settings'!$C$44*IF($F416&gt;=3,$F416,0))</f>
        <v>0</v>
      </c>
      <c r="M416" s="124">
        <f t="shared" si="123"/>
        <v>14.228588657687194</v>
      </c>
      <c r="N416" s="122">
        <f t="shared" si="124"/>
        <v>1080.3830919749923</v>
      </c>
      <c r="O416" s="121" t="str">
        <f t="shared" si="125"/>
        <v>OK</v>
      </c>
      <c r="P416">
        <f t="shared" si="126"/>
        <v>1066.1545033173052</v>
      </c>
      <c r="Q416">
        <f t="shared" si="127"/>
        <v>0.5</v>
      </c>
      <c r="R416">
        <f t="shared" si="128"/>
        <v>0.6</v>
      </c>
      <c r="S416">
        <f t="shared" si="129"/>
        <v>0.93333333333333335</v>
      </c>
      <c r="T416" s="89">
        <f t="shared" si="130"/>
        <v>3</v>
      </c>
      <c r="U416" s="126">
        <f>IF($D416="",0,IFERROR(LOOKUP(2,1/(($D$3:D415=$D416)*($C$3:C415=$C416)*($A$3:A415&lt;$A416)),$AB$3:AB415),1000))</f>
        <v>1014.6658413353916</v>
      </c>
      <c r="V416" s="126">
        <f t="shared" si="131"/>
        <v>1046.8462550740876</v>
      </c>
      <c r="W416">
        <f t="shared" si="132"/>
        <v>1046.8462550740876</v>
      </c>
      <c r="X416">
        <f t="shared" si="133"/>
        <v>0.5</v>
      </c>
      <c r="Y416">
        <f t="shared" si="134"/>
        <v>1014.6658413353916</v>
      </c>
      <c r="Z416">
        <f t="shared" si="135"/>
        <v>0.5</v>
      </c>
      <c r="AA416">
        <f>IF($D416="",0,IF($F416&lt;2,0,IF($E416="Win",('Guide &amp; Settings'!$C$42/(($F416-1)*COUNTIFS($A$4:$A$1510,$A416,$E$4:$E$1510,"Win")))*SUMIFS($Z$4:$Z$1510,$A$4:$A$1510,$A416,$E$4:$E$1510,"Loss"),-('Guide &amp; Settings'!$C$42/($F416-1))*$Z416)))</f>
        <v>14.62803865836684</v>
      </c>
      <c r="AB416" s="126">
        <f t="shared" si="136"/>
        <v>1029.2938799937585</v>
      </c>
      <c r="AC416" s="126">
        <f>IF($D416="","",IF($AD416=0,0,IF(COUNTIFS($D$4:$D416,$D416,$B$4:$B416,$B416)&gt;1,0,IF($B416&lt;'Guide &amp; Settings'!$C$50,0,IF(($B416-$AD416)/7-'Guide &amp; Settings'!$C$48&gt;=0,(INT(($B416-$AD416)/7-'Guide &amp; Settings'!$C$48)+1)*'Guide &amp; Settings'!$C$49,0)))))</f>
        <v>0</v>
      </c>
      <c r="AD416" s="142">
        <f t="shared" si="137"/>
        <v>46214</v>
      </c>
      <c r="AE416">
        <f t="shared" si="138"/>
        <v>1</v>
      </c>
      <c r="AF416">
        <f t="shared" si="139"/>
        <v>0</v>
      </c>
    </row>
    <row r="417" spans="1:32" x14ac:dyDescent="0.2">
      <c r="A417" s="117">
        <v>179</v>
      </c>
      <c r="B417" s="118">
        <v>46222</v>
      </c>
      <c r="C417" s="119" t="s">
        <v>37</v>
      </c>
      <c r="D417" s="119" t="s">
        <v>24</v>
      </c>
      <c r="E417" s="117" t="s">
        <v>371</v>
      </c>
      <c r="F417" s="120">
        <f t="shared" si="120"/>
        <v>2</v>
      </c>
      <c r="G417" s="121" t="str">
        <f t="shared" si="121"/>
        <v>Dylan A</v>
      </c>
      <c r="H417" s="122">
        <f>IF($D417="",0,IFERROR(LOOKUP(2,1/(($D$3:D416=$D417)*($A$3:A416&lt;$A417)),$N$3:N416),'Guide &amp; Settings'!$C$41))</f>
        <v>893.15761519837804</v>
      </c>
      <c r="I417" s="123">
        <f t="shared" si="122"/>
        <v>0.3571428571428571</v>
      </c>
      <c r="J417" s="124">
        <f>IF($D417="",0,IF($F417&lt;2,0,IF($E417="Win",('Guide &amp; Settings'!$C$42/(($F417-1)*COUNTIFS($A$4:$A$1510,$A417,$E$4:$E$1510,"Win")))*SUMIFS($X$4:$X$1510,$A$4:$A$1510,$A417,$E$4:$E$1510,"Loss"),-('Guide &amp; Settings'!$C$42/($F417-1))*$X417)))</f>
        <v>-9.9428743719729074</v>
      </c>
      <c r="K417" s="124">
        <f>IF($D417="",0,'Guide &amp; Settings'!$C$43*(IF($E417="Win",1,0)-$I417))</f>
        <v>-4.2857142857142847</v>
      </c>
      <c r="L417" s="125">
        <f>IF($D417="",0,'Guide &amp; Settings'!$C$44*IF($F417&gt;=3,$F417,0))</f>
        <v>0</v>
      </c>
      <c r="M417" s="124">
        <f t="shared" si="123"/>
        <v>-14.228588657687192</v>
      </c>
      <c r="N417" s="122">
        <f t="shared" si="124"/>
        <v>878.92902654069087</v>
      </c>
      <c r="O417" s="121" t="str">
        <f t="shared" si="125"/>
        <v>OK</v>
      </c>
      <c r="P417">
        <f t="shared" si="126"/>
        <v>1066.1545033173052</v>
      </c>
      <c r="Q417">
        <f t="shared" si="127"/>
        <v>0.26975811543034756</v>
      </c>
      <c r="R417">
        <f t="shared" si="128"/>
        <v>0.33333333333333331</v>
      </c>
      <c r="S417">
        <f t="shared" si="129"/>
        <v>0.93333333333333335</v>
      </c>
      <c r="T417" s="89">
        <f t="shared" si="130"/>
        <v>1</v>
      </c>
      <c r="U417" s="126">
        <f>IF($D417="",0,IFERROR(LOOKUP(2,1/(($D$3:D416=$D417)*($C$3:C416=$C417)*($A$3:A416&lt;$A417)),$AB$3:AB416),1000))</f>
        <v>984.80073939960539</v>
      </c>
      <c r="V417" s="126">
        <f t="shared" si="131"/>
        <v>908.43146923191591</v>
      </c>
      <c r="W417">
        <f t="shared" si="132"/>
        <v>1046.8462550740876</v>
      </c>
      <c r="X417">
        <f t="shared" si="133"/>
        <v>0.31071482412415335</v>
      </c>
      <c r="Y417">
        <f t="shared" si="134"/>
        <v>1014.6658413353916</v>
      </c>
      <c r="Z417">
        <f t="shared" si="135"/>
        <v>0.45712620807396376</v>
      </c>
      <c r="AA417">
        <f>IF($D417="",0,IF($F417&lt;2,0,IF($E417="Win",('Guide &amp; Settings'!$C$42/(($F417-1)*COUNTIFS($A$4:$A$1510,$A417,$E$4:$E$1510,"Win")))*SUMIFS($Z$4:$Z$1510,$A$4:$A$1510,$A417,$E$4:$E$1510,"Loss"),-('Guide &amp; Settings'!$C$42/($F417-1))*$Z417)))</f>
        <v>-14.62803865836684</v>
      </c>
      <c r="AB417" s="126">
        <f t="shared" si="136"/>
        <v>970.1727007412386</v>
      </c>
      <c r="AC417" s="126">
        <f>IF($D417="","",IF($AD417=0,0,IF(COUNTIFS($D$4:$D417,$D417,$B$4:$B417,$B417)&gt;1,0,IF($B417&lt;'Guide &amp; Settings'!$C$50,0,IF(($B417-$AD417)/7-'Guide &amp; Settings'!$C$48&gt;=0,(INT(($B417-$AD417)/7-'Guide &amp; Settings'!$C$48)+1)*'Guide &amp; Settings'!$C$49,0)))))</f>
        <v>10</v>
      </c>
      <c r="AD417" s="142">
        <f t="shared" si="137"/>
        <v>46188</v>
      </c>
      <c r="AE417">
        <f t="shared" si="138"/>
        <v>1</v>
      </c>
      <c r="AF417">
        <f t="shared" si="139"/>
        <v>0</v>
      </c>
    </row>
    <row r="418" spans="1:32" x14ac:dyDescent="0.2">
      <c r="A418" s="117">
        <v>180</v>
      </c>
      <c r="B418" s="118">
        <v>46222</v>
      </c>
      <c r="C418" s="119" t="s">
        <v>37</v>
      </c>
      <c r="D418" s="119" t="s">
        <v>26</v>
      </c>
      <c r="E418" s="117" t="s">
        <v>370</v>
      </c>
      <c r="F418" s="120">
        <f t="shared" si="120"/>
        <v>2</v>
      </c>
      <c r="G418" s="121" t="str">
        <f t="shared" si="121"/>
        <v>Dean M</v>
      </c>
      <c r="H418" s="122">
        <f>IF($D418="",0,IFERROR(LOOKUP(2,1/(($D$3:D417=$D418)*($A$3:A417&lt;$A418)),$N$3:N417),'Guide &amp; Settings'!$C$41))</f>
        <v>995.42431714531449</v>
      </c>
      <c r="I418" s="123">
        <f t="shared" si="122"/>
        <v>0.61538461538461542</v>
      </c>
      <c r="J418" s="124">
        <f>IF($D418="",0,IF($F418&lt;2,0,IF($E418="Win",('Guide &amp; Settings'!$C$42/(($F418-1)*COUNTIFS($A$4:$A$1510,$A418,$E$4:$E$1510,"Win")))*SUMIFS($X$4:$X$1510,$A$4:$A$1510,$A418,$E$4:$E$1510,"Loss"),-('Guide &amp; Settings'!$C$42/($F418-1))*$X418)))</f>
        <v>12.090698188531308</v>
      </c>
      <c r="K418" s="124">
        <f>IF($D418="",0,'Guide &amp; Settings'!$C$43*(IF($E418="Win",1,0)-$I418))</f>
        <v>4.615384615384615</v>
      </c>
      <c r="L418" s="125">
        <f>IF($D418="",0,'Guide &amp; Settings'!$C$44*IF($F418&gt;=3,$F418,0))</f>
        <v>0</v>
      </c>
      <c r="M418" s="124">
        <f t="shared" si="123"/>
        <v>16.706082803915923</v>
      </c>
      <c r="N418" s="122">
        <f t="shared" si="124"/>
        <v>1012.1303999492304</v>
      </c>
      <c r="O418" s="121" t="str">
        <f t="shared" si="125"/>
        <v>OK</v>
      </c>
      <c r="P418">
        <f t="shared" si="126"/>
        <v>995.42431714531449</v>
      </c>
      <c r="Q418">
        <f t="shared" si="127"/>
        <v>0.5</v>
      </c>
      <c r="R418">
        <f t="shared" si="128"/>
        <v>0.4</v>
      </c>
      <c r="S418">
        <f t="shared" si="129"/>
        <v>0.65</v>
      </c>
      <c r="T418" s="89">
        <f t="shared" si="130"/>
        <v>3</v>
      </c>
      <c r="U418" s="126">
        <f>IF($D418="",0,IFERROR(LOOKUP(2,1/(($D$3:D417=$D418)*($C$3:C417=$C418)*($A$3:A417&lt;$A418)),$AB$3:AB417),1000))</f>
        <v>985.33415866460837</v>
      </c>
      <c r="V418" s="126">
        <f t="shared" si="131"/>
        <v>991.64050771504969</v>
      </c>
      <c r="W418">
        <f t="shared" si="132"/>
        <v>991.64050771504969</v>
      </c>
      <c r="X418">
        <f t="shared" si="133"/>
        <v>0.5</v>
      </c>
      <c r="Y418">
        <f t="shared" si="134"/>
        <v>985.33415866460837</v>
      </c>
      <c r="Z418">
        <f t="shared" si="135"/>
        <v>0.5</v>
      </c>
      <c r="AA418">
        <f>IF($D418="",0,IF($F418&lt;2,0,IF($E418="Win",('Guide &amp; Settings'!$C$42/(($F418-1)*COUNTIFS($A$4:$A$1510,$A418,$E$4:$E$1510,"Win")))*SUMIFS($Z$4:$Z$1510,$A$4:$A$1510,$A418,$E$4:$E$1510,"Loss"),-('Guide &amp; Settings'!$C$42/($F418-1))*$Z418)))</f>
        <v>15.302231921575254</v>
      </c>
      <c r="AB418" s="126">
        <f t="shared" si="136"/>
        <v>1000.6363905861837</v>
      </c>
      <c r="AC418" s="126">
        <f>IF($D418="","",IF($AD418=0,0,IF(COUNTIFS($D$4:$D418,$D418,$B$4:$B418,$B418)&gt;1,0,IF($B418&lt;'Guide &amp; Settings'!$C$50,0,IF(($B418-$AD418)/7-'Guide &amp; Settings'!$C$48&gt;=0,(INT(($B418-$AD418)/7-'Guide &amp; Settings'!$C$48)+1)*'Guide &amp; Settings'!$C$49,0)))))</f>
        <v>0</v>
      </c>
      <c r="AD418" s="142">
        <f t="shared" si="137"/>
        <v>46214</v>
      </c>
      <c r="AE418">
        <f t="shared" si="138"/>
        <v>1</v>
      </c>
      <c r="AF418">
        <f t="shared" si="139"/>
        <v>0</v>
      </c>
    </row>
    <row r="419" spans="1:32" x14ac:dyDescent="0.2">
      <c r="A419" s="117">
        <v>180</v>
      </c>
      <c r="B419" s="118">
        <v>46222</v>
      </c>
      <c r="C419" s="119" t="s">
        <v>37</v>
      </c>
      <c r="D419" s="119" t="s">
        <v>24</v>
      </c>
      <c r="E419" s="117" t="s">
        <v>371</v>
      </c>
      <c r="F419" s="120">
        <f t="shared" si="120"/>
        <v>2</v>
      </c>
      <c r="G419" s="121" t="str">
        <f t="shared" si="121"/>
        <v>Dean M</v>
      </c>
      <c r="H419" s="122">
        <f>IF($D419="",0,IFERROR(LOOKUP(2,1/(($D$3:D418=$D419)*($A$3:A418&lt;$A419)),$N$3:N418),'Guide &amp; Settings'!$C$41))</f>
        <v>878.92902654069087</v>
      </c>
      <c r="I419" s="123">
        <f t="shared" si="122"/>
        <v>0.38461538461538458</v>
      </c>
      <c r="J419" s="124">
        <f>IF($D419="",0,IF($F419&lt;2,0,IF($E419="Win",('Guide &amp; Settings'!$C$42/(($F419-1)*COUNTIFS($A$4:$A$1510,$A419,$E$4:$E$1510,"Win")))*SUMIFS($X$4:$X$1510,$A$4:$A$1510,$A419,$E$4:$E$1510,"Loss"),-('Guide &amp; Settings'!$C$42/($F419-1))*$X419)))</f>
        <v>-12.090698188531308</v>
      </c>
      <c r="K419" s="124">
        <f>IF($D419="",0,'Guide &amp; Settings'!$C$43*(IF($E419="Win",1,0)-$I419))</f>
        <v>-4.615384615384615</v>
      </c>
      <c r="L419" s="125">
        <f>IF($D419="",0,'Guide &amp; Settings'!$C$44*IF($F419&gt;=3,$F419,0))</f>
        <v>0</v>
      </c>
      <c r="M419" s="124">
        <f t="shared" si="123"/>
        <v>-16.706082803915923</v>
      </c>
      <c r="N419" s="122">
        <f t="shared" si="124"/>
        <v>862.22294373677494</v>
      </c>
      <c r="O419" s="121" t="str">
        <f t="shared" si="125"/>
        <v>OK</v>
      </c>
      <c r="P419">
        <f t="shared" si="126"/>
        <v>995.42431714531449</v>
      </c>
      <c r="Q419">
        <f t="shared" si="127"/>
        <v>0.33836232493395269</v>
      </c>
      <c r="R419">
        <f t="shared" si="128"/>
        <v>0.25</v>
      </c>
      <c r="S419">
        <f t="shared" si="129"/>
        <v>0.65</v>
      </c>
      <c r="T419" s="89">
        <f t="shared" si="130"/>
        <v>2</v>
      </c>
      <c r="U419" s="126">
        <f>IF($D419="",0,IFERROR(LOOKUP(2,1/(($D$3:D418=$D419)*($C$3:C418=$C419)*($A$3:A418&lt;$A419)),$AB$3:AB418),1000))</f>
        <v>970.1727007412386</v>
      </c>
      <c r="V419" s="126">
        <f t="shared" si="131"/>
        <v>904.99864774084745</v>
      </c>
      <c r="W419">
        <f t="shared" si="132"/>
        <v>991.64050771504969</v>
      </c>
      <c r="X419">
        <f t="shared" si="133"/>
        <v>0.37783431839160336</v>
      </c>
      <c r="Y419">
        <f t="shared" si="134"/>
        <v>985.33415866460837</v>
      </c>
      <c r="Z419">
        <f t="shared" si="135"/>
        <v>0.4781947475492267</v>
      </c>
      <c r="AA419">
        <f>IF($D419="",0,IF($F419&lt;2,0,IF($E419="Win",('Guide &amp; Settings'!$C$42/(($F419-1)*COUNTIFS($A$4:$A$1510,$A419,$E$4:$E$1510,"Win")))*SUMIFS($Z$4:$Z$1510,$A$4:$A$1510,$A419,$E$4:$E$1510,"Loss"),-('Guide &amp; Settings'!$C$42/($F419-1))*$Z419)))</f>
        <v>-15.302231921575254</v>
      </c>
      <c r="AB419" s="126">
        <f t="shared" si="136"/>
        <v>954.8704688196633</v>
      </c>
      <c r="AC419" s="126">
        <f>IF($D419="","",IF($AD419=0,0,IF(COUNTIFS($D$4:$D419,$D419,$B$4:$B419,$B419)&gt;1,0,IF($B419&lt;'Guide &amp; Settings'!$C$50,0,IF(($B419-$AD419)/7-'Guide &amp; Settings'!$C$48&gt;=0,(INT(($B419-$AD419)/7-'Guide &amp; Settings'!$C$48)+1)*'Guide &amp; Settings'!$C$49,0)))))</f>
        <v>0</v>
      </c>
      <c r="AD419" s="142">
        <f t="shared" si="137"/>
        <v>46188</v>
      </c>
      <c r="AE419">
        <f t="shared" si="138"/>
        <v>1</v>
      </c>
      <c r="AF419">
        <f t="shared" si="139"/>
        <v>0</v>
      </c>
    </row>
    <row r="420" spans="1:32" x14ac:dyDescent="0.2">
      <c r="A420" s="117">
        <v>181</v>
      </c>
      <c r="B420" s="118">
        <v>46229</v>
      </c>
      <c r="C420" s="119" t="s">
        <v>48</v>
      </c>
      <c r="D420" s="119" t="s">
        <v>20</v>
      </c>
      <c r="E420" s="117" t="s">
        <v>371</v>
      </c>
      <c r="F420" s="120">
        <f t="shared" si="120"/>
        <v>5</v>
      </c>
      <c r="G420" s="121" t="str">
        <f t="shared" si="121"/>
        <v>Josh</v>
      </c>
      <c r="H420" s="122">
        <f>IF($D420="",0,IFERROR(LOOKUP(2,1/(($D$3:D419=$D420)*($A$3:A419&lt;$A420)),$N$3:N419),'Guide &amp; Settings'!$C$41))</f>
        <v>1159.2274869956852</v>
      </c>
      <c r="I420" s="123">
        <f t="shared" si="122"/>
        <v>0.2</v>
      </c>
      <c r="J420" s="124">
        <f>IF($D420="",0,IF($F420&lt;2,0,IF($E420="Win",('Guide &amp; Settings'!$C$42/(($F420-1)*COUNTIFS($A$4:$A$1510,$A420,$E$4:$E$1510,"Win")))*SUMIFS($X$4:$X$1510,$A$4:$A$1510,$A420,$E$4:$E$1510,"Loss"),-('Guide &amp; Settings'!$C$42/($F420-1))*$X420)))</f>
        <v>-5.1603882264906362</v>
      </c>
      <c r="K420" s="124">
        <f>IF($D420="",0,'Guide &amp; Settings'!$C$43*(IF($E420="Win",1,0)-$I420))</f>
        <v>-2.4000000000000004</v>
      </c>
      <c r="L420" s="125">
        <f>IF($D420="",0,'Guide &amp; Settings'!$C$44*IF($F420&gt;=3,$F420,0))</f>
        <v>5</v>
      </c>
      <c r="M420" s="124">
        <f t="shared" si="123"/>
        <v>-2.5603882264906366</v>
      </c>
      <c r="N420" s="122">
        <f t="shared" si="124"/>
        <v>1156.6670987691946</v>
      </c>
      <c r="O420" s="121" t="str">
        <f t="shared" si="125"/>
        <v>OK</v>
      </c>
      <c r="P420">
        <f t="shared" si="126"/>
        <v>1063.3497487715442</v>
      </c>
      <c r="Q420">
        <f t="shared" si="127"/>
        <v>0.63458014868876367</v>
      </c>
      <c r="R420">
        <f t="shared" si="128"/>
        <v>0.5</v>
      </c>
      <c r="S420">
        <f t="shared" si="129"/>
        <v>2.5</v>
      </c>
      <c r="T420" s="89">
        <f t="shared" si="130"/>
        <v>0</v>
      </c>
      <c r="U420" s="126">
        <f>IF($D420="",0,IFERROR(LOOKUP(2,1/(($D$3:D419=$D420)*($C$3:C419=$C420)*($A$3:A419&lt;$A420)),$AB$3:AB419),1000))</f>
        <v>1000</v>
      </c>
      <c r="V420" s="126">
        <f t="shared" si="131"/>
        <v>1159.2274869956852</v>
      </c>
      <c r="W420">
        <f t="shared" si="132"/>
        <v>1055.458123976287</v>
      </c>
      <c r="X420">
        <f t="shared" si="133"/>
        <v>0.64504852831132953</v>
      </c>
      <c r="Y420">
        <f t="shared" si="134"/>
        <v>1016</v>
      </c>
      <c r="Z420">
        <f t="shared" si="135"/>
        <v>0.47699041270243769</v>
      </c>
      <c r="AA420">
        <f>IF($D420="",0,IF($F420&lt;2,0,IF($E420="Win",('Guide &amp; Settings'!$C$42/(($F420-1)*COUNTIFS($A$4:$A$1510,$A420,$E$4:$E$1510,"Win")))*SUMIFS($Z$4:$Z$1510,$A$4:$A$1510,$A420,$E$4:$E$1510,"Loss"),-('Guide &amp; Settings'!$C$42/($F420-1))*$Z420)))</f>
        <v>-3.8159233016195016</v>
      </c>
      <c r="AB420" s="126">
        <f t="shared" si="136"/>
        <v>996.18407669838052</v>
      </c>
      <c r="AC420" s="126">
        <f>IF($D420="","",IF($AD420=0,0,IF(COUNTIFS($D$4:$D420,$D420,$B$4:$B420,$B420)&gt;1,0,IF($B420&lt;'Guide &amp; Settings'!$C$50,0,IF(($B420-$AD420)/7-'Guide &amp; Settings'!$C$48&gt;=0,(INT(($B420-$AD420)/7-'Guide &amp; Settings'!$C$48)+1)*'Guide &amp; Settings'!$C$49,0)))))</f>
        <v>0</v>
      </c>
      <c r="AD420" s="142">
        <f t="shared" si="137"/>
        <v>46220</v>
      </c>
      <c r="AE420">
        <f t="shared" si="138"/>
        <v>1</v>
      </c>
      <c r="AF420">
        <f t="shared" si="139"/>
        <v>0</v>
      </c>
    </row>
    <row r="421" spans="1:32" x14ac:dyDescent="0.2">
      <c r="A421" s="117">
        <v>181</v>
      </c>
      <c r="B421" s="118">
        <v>46229</v>
      </c>
      <c r="C421" s="119" t="s">
        <v>48</v>
      </c>
      <c r="D421" s="119" t="s">
        <v>15</v>
      </c>
      <c r="E421" s="117" t="s">
        <v>371</v>
      </c>
      <c r="F421" s="120">
        <f t="shared" si="120"/>
        <v>5</v>
      </c>
      <c r="G421" s="121" t="str">
        <f t="shared" si="121"/>
        <v>Josh</v>
      </c>
      <c r="H421" s="122">
        <f>IF($D421="",0,IFERROR(LOOKUP(2,1/(($D$3:D420=$D421)*($A$3:A420&lt;$A421)),$N$3:N420),'Guide &amp; Settings'!$C$41))</f>
        <v>1010.7137957188797</v>
      </c>
      <c r="I421" s="123">
        <f t="shared" si="122"/>
        <v>0.2</v>
      </c>
      <c r="J421" s="124">
        <f>IF($D421="",0,IF($F421&lt;2,0,IF($E421="Win",('Guide &amp; Settings'!$C$42/(($F421-1)*COUNTIFS($A$4:$A$1510,$A421,$E$4:$E$1510,"Win")))*SUMIFS($X$4:$X$1510,$A$4:$A$1510,$A421,$E$4:$E$1510,"Loss"),-('Guide &amp; Settings'!$C$42/($F421-1))*$X421)))</f>
        <v>-3.4876910494092361</v>
      </c>
      <c r="K421" s="124">
        <f>IF($D421="",0,'Guide &amp; Settings'!$C$43*(IF($E421="Win",1,0)-$I421))</f>
        <v>-2.4000000000000004</v>
      </c>
      <c r="L421" s="125">
        <f>IF($D421="",0,'Guide &amp; Settings'!$C$44*IF($F421&gt;=3,$F421,0))</f>
        <v>5</v>
      </c>
      <c r="M421" s="124">
        <f t="shared" si="123"/>
        <v>-0.88769104940923604</v>
      </c>
      <c r="N421" s="122">
        <f t="shared" si="124"/>
        <v>1009.8261046694705</v>
      </c>
      <c r="O421" s="121" t="str">
        <f t="shared" si="125"/>
        <v>OK</v>
      </c>
      <c r="P421">
        <f t="shared" si="126"/>
        <v>1063.3497487715442</v>
      </c>
      <c r="Q421">
        <f t="shared" si="127"/>
        <v>0.42482502950812934</v>
      </c>
      <c r="R421">
        <f t="shared" si="128"/>
        <v>0.5</v>
      </c>
      <c r="S421">
        <f t="shared" si="129"/>
        <v>2.5</v>
      </c>
      <c r="T421" s="89">
        <f t="shared" si="130"/>
        <v>0</v>
      </c>
      <c r="U421" s="126">
        <f>IF($D421="",0,IFERROR(LOOKUP(2,1/(($D$3:D420=$D421)*($C$3:C420=$C421)*($A$3:A420&lt;$A421)),$AB$3:AB420),1000))</f>
        <v>1000</v>
      </c>
      <c r="V421" s="126">
        <f t="shared" si="131"/>
        <v>1010.7137957188797</v>
      </c>
      <c r="W421">
        <f t="shared" si="132"/>
        <v>1055.458123976287</v>
      </c>
      <c r="X421">
        <f t="shared" si="133"/>
        <v>0.43596138117615452</v>
      </c>
      <c r="Y421">
        <f t="shared" si="134"/>
        <v>1016</v>
      </c>
      <c r="Z421">
        <f t="shared" si="135"/>
        <v>0.47699041270243769</v>
      </c>
      <c r="AA421">
        <f>IF($D421="",0,IF($F421&lt;2,0,IF($E421="Win",('Guide &amp; Settings'!$C$42/(($F421-1)*COUNTIFS($A$4:$A$1510,$A421,$E$4:$E$1510,"Win")))*SUMIFS($Z$4:$Z$1510,$A$4:$A$1510,$A421,$E$4:$E$1510,"Loss"),-('Guide &amp; Settings'!$C$42/($F421-1))*$Z421)))</f>
        <v>-3.8159233016195016</v>
      </c>
      <c r="AB421" s="126">
        <f t="shared" si="136"/>
        <v>996.18407669838052</v>
      </c>
      <c r="AC421" s="126">
        <f>IF($D421="","",IF($AD421=0,0,IF(COUNTIFS($D$4:$D421,$D421,$B$4:$B421,$B421)&gt;1,0,IF($B421&lt;'Guide &amp; Settings'!$C$50,0,IF(($B421-$AD421)/7-'Guide &amp; Settings'!$C$48&gt;=0,(INT(($B421-$AD421)/7-'Guide &amp; Settings'!$C$48)+1)*'Guide &amp; Settings'!$C$49,0)))))</f>
        <v>0</v>
      </c>
      <c r="AD421" s="142">
        <f t="shared" si="137"/>
        <v>46222</v>
      </c>
      <c r="AE421">
        <f t="shared" si="138"/>
        <v>1</v>
      </c>
      <c r="AF421">
        <f t="shared" si="139"/>
        <v>0</v>
      </c>
    </row>
    <row r="422" spans="1:32" x14ac:dyDescent="0.2">
      <c r="A422" s="117">
        <v>181</v>
      </c>
      <c r="B422" s="118">
        <v>46229</v>
      </c>
      <c r="C422" s="119" t="s">
        <v>48</v>
      </c>
      <c r="D422" s="119" t="s">
        <v>22</v>
      </c>
      <c r="E422" s="117" t="s">
        <v>371</v>
      </c>
      <c r="F422" s="120">
        <f t="shared" si="120"/>
        <v>5</v>
      </c>
      <c r="G422" s="121" t="str">
        <f t="shared" si="121"/>
        <v>Josh</v>
      </c>
      <c r="H422" s="122">
        <f>IF($D422="",0,IFERROR(LOOKUP(2,1/(($D$3:D421=$D422)*($A$3:A421&lt;$A422)),$N$3:N421),'Guide &amp; Settings'!$C$41))</f>
        <v>1052.3192050222167</v>
      </c>
      <c r="I422" s="123">
        <f t="shared" si="122"/>
        <v>0.13333333333333333</v>
      </c>
      <c r="J422" s="124">
        <f>IF($D422="",0,IF($F422&lt;2,0,IF($E422="Win",('Guide &amp; Settings'!$C$42/(($F422-1)*COUNTIFS($A$4:$A$1510,$A422,$E$4:$E$1510,"Win")))*SUMIFS($X$4:$X$1510,$A$4:$A$1510,$A422,$E$4:$E$1510,"Loss"),-('Guide &amp; Settings'!$C$42/($F422-1))*$X422)))</f>
        <v>-3.8481930554200767</v>
      </c>
      <c r="K422" s="124">
        <f>IF($D422="",0,'Guide &amp; Settings'!$C$43*(IF($E422="Win",1,0)-$I422))</f>
        <v>-1.6</v>
      </c>
      <c r="L422" s="125">
        <f>IF($D422="",0,'Guide &amp; Settings'!$C$44*IF($F422&gt;=3,$F422,0))</f>
        <v>5</v>
      </c>
      <c r="M422" s="124">
        <f t="shared" si="123"/>
        <v>-0.44819305542007726</v>
      </c>
      <c r="N422" s="122">
        <f t="shared" si="124"/>
        <v>1051.8710119667967</v>
      </c>
      <c r="O422" s="121" t="str">
        <f t="shared" si="125"/>
        <v>OK</v>
      </c>
      <c r="P422">
        <f t="shared" si="126"/>
        <v>1063.3497487715442</v>
      </c>
      <c r="Q422">
        <f t="shared" si="127"/>
        <v>0.48413110290050126</v>
      </c>
      <c r="R422">
        <f t="shared" si="128"/>
        <v>0.33333333333333331</v>
      </c>
      <c r="S422">
        <f t="shared" si="129"/>
        <v>2.5</v>
      </c>
      <c r="T422" s="89">
        <f t="shared" si="130"/>
        <v>1</v>
      </c>
      <c r="U422" s="126">
        <f>IF($D422="",0,IFERROR(LOOKUP(2,1/(($D$3:D421=$D422)*($C$3:C421=$C422)*($A$3:A421&lt;$A422)),$AB$3:AB421),1000))</f>
        <v>992</v>
      </c>
      <c r="V422" s="126">
        <f t="shared" si="131"/>
        <v>1042.2660041851807</v>
      </c>
      <c r="W422">
        <f t="shared" si="132"/>
        <v>1055.458123976287</v>
      </c>
      <c r="X422">
        <f t="shared" si="133"/>
        <v>0.48102413192750959</v>
      </c>
      <c r="Y422">
        <f t="shared" si="134"/>
        <v>1016</v>
      </c>
      <c r="Z422">
        <f t="shared" si="135"/>
        <v>0.46551605527316847</v>
      </c>
      <c r="AA422">
        <f>IF($D422="",0,IF($F422&lt;2,0,IF($E422="Win",('Guide &amp; Settings'!$C$42/(($F422-1)*COUNTIFS($A$4:$A$1510,$A422,$E$4:$E$1510,"Win")))*SUMIFS($Z$4:$Z$1510,$A$4:$A$1510,$A422,$E$4:$E$1510,"Loss"),-('Guide &amp; Settings'!$C$42/($F422-1))*$Z422)))</f>
        <v>-3.7241284421853478</v>
      </c>
      <c r="AB422" s="126">
        <f t="shared" si="136"/>
        <v>988.27587155781464</v>
      </c>
      <c r="AC422" s="126">
        <f>IF($D422="","",IF($AD422=0,0,IF(COUNTIFS($D$4:$D422,$D422,$B$4:$B422,$B422)&gt;1,0,IF($B422&lt;'Guide &amp; Settings'!$C$50,0,IF(($B422-$AD422)/7-'Guide &amp; Settings'!$C$48&gt;=0,(INT(($B422-$AD422)/7-'Guide &amp; Settings'!$C$48)+1)*'Guide &amp; Settings'!$C$49,0)))))</f>
        <v>0</v>
      </c>
      <c r="AD422" s="142">
        <f t="shared" si="137"/>
        <v>46222</v>
      </c>
      <c r="AE422">
        <f t="shared" si="138"/>
        <v>1</v>
      </c>
      <c r="AF422">
        <f t="shared" si="139"/>
        <v>0</v>
      </c>
    </row>
    <row r="423" spans="1:32" x14ac:dyDescent="0.2">
      <c r="A423" s="117">
        <v>181</v>
      </c>
      <c r="B423" s="118">
        <v>46229</v>
      </c>
      <c r="C423" s="119" t="s">
        <v>48</v>
      </c>
      <c r="D423" s="119" t="s">
        <v>21</v>
      </c>
      <c r="E423" s="117" t="s">
        <v>371</v>
      </c>
      <c r="F423" s="120">
        <f t="shared" si="120"/>
        <v>5</v>
      </c>
      <c r="G423" s="121" t="str">
        <f t="shared" si="121"/>
        <v>Josh</v>
      </c>
      <c r="H423" s="122">
        <f>IF($D423="",0,IFERROR(LOOKUP(2,1/(($D$3:D422=$D423)*($A$3:A422&lt;$A423)),$N$3:N422),'Guide &amp; Settings'!$C$41))</f>
        <v>1051.594831345267</v>
      </c>
      <c r="I423" s="123">
        <f t="shared" si="122"/>
        <v>0.2</v>
      </c>
      <c r="J423" s="124">
        <f>IF($D423="",0,IF($F423&lt;2,0,IF($E423="Win",('Guide &amp; Settings'!$C$42/(($F423-1)*COUNTIFS($A$4:$A$1510,$A423,$E$4:$E$1510,"Win")))*SUMIFS($X$4:$X$1510,$A$4:$A$1510,$A423,$E$4:$E$1510,"Loss"),-('Guide &amp; Settings'!$C$42/($F423-1))*$X423)))</f>
        <v>-3.9555240329096013</v>
      </c>
      <c r="K423" s="124">
        <f>IF($D423="",0,'Guide &amp; Settings'!$C$43*(IF($E423="Win",1,0)-$I423))</f>
        <v>-2.4000000000000004</v>
      </c>
      <c r="L423" s="125">
        <f>IF($D423="",0,'Guide &amp; Settings'!$C$44*IF($F423&gt;=3,$F423,0))</f>
        <v>5</v>
      </c>
      <c r="M423" s="124">
        <f t="shared" si="123"/>
        <v>-1.3555240329096012</v>
      </c>
      <c r="N423" s="122">
        <f t="shared" si="124"/>
        <v>1050.2393073123574</v>
      </c>
      <c r="O423" s="121" t="str">
        <f t="shared" si="125"/>
        <v>OK</v>
      </c>
      <c r="P423">
        <f t="shared" si="126"/>
        <v>1063.3497487715442</v>
      </c>
      <c r="Q423">
        <f t="shared" si="127"/>
        <v>0.48308976585082891</v>
      </c>
      <c r="R423">
        <f t="shared" si="128"/>
        <v>0.5</v>
      </c>
      <c r="S423">
        <f t="shared" si="129"/>
        <v>2.5</v>
      </c>
      <c r="T423" s="89">
        <f t="shared" si="130"/>
        <v>0</v>
      </c>
      <c r="U423" s="126">
        <f>IF($D423="",0,IFERROR(LOOKUP(2,1/(($D$3:D422=$D423)*($C$3:C422=$C423)*($A$3:A422&lt;$A423)),$AB$3:AB422),1000))</f>
        <v>1000</v>
      </c>
      <c r="V423" s="126">
        <f t="shared" si="131"/>
        <v>1051.594831345267</v>
      </c>
      <c r="W423">
        <f t="shared" si="132"/>
        <v>1055.458123976287</v>
      </c>
      <c r="X423">
        <f t="shared" si="133"/>
        <v>0.49444050411370016</v>
      </c>
      <c r="Y423">
        <f t="shared" si="134"/>
        <v>1016</v>
      </c>
      <c r="Z423">
        <f t="shared" si="135"/>
        <v>0.47699041270243769</v>
      </c>
      <c r="AA423">
        <f>IF($D423="",0,IF($F423&lt;2,0,IF($E423="Win",('Guide &amp; Settings'!$C$42/(($F423-1)*COUNTIFS($A$4:$A$1510,$A423,$E$4:$E$1510,"Win")))*SUMIFS($Z$4:$Z$1510,$A$4:$A$1510,$A423,$E$4:$E$1510,"Loss"),-('Guide &amp; Settings'!$C$42/($F423-1))*$Z423)))</f>
        <v>-3.8159233016195016</v>
      </c>
      <c r="AB423" s="126">
        <f t="shared" si="136"/>
        <v>996.18407669838052</v>
      </c>
      <c r="AC423" s="126">
        <f>IF($D423="","",IF($AD423=0,0,IF(COUNTIFS($D$4:$D423,$D423,$B$4:$B423,$B423)&gt;1,0,IF($B423&lt;'Guide &amp; Settings'!$C$50,0,IF(($B423-$AD423)/7-'Guide &amp; Settings'!$C$48&gt;=0,(INT(($B423-$AD423)/7-'Guide &amp; Settings'!$C$48)+1)*'Guide &amp; Settings'!$C$49,0)))))</f>
        <v>0</v>
      </c>
      <c r="AD423" s="142">
        <f t="shared" si="137"/>
        <v>46219</v>
      </c>
      <c r="AE423">
        <f t="shared" si="138"/>
        <v>1</v>
      </c>
      <c r="AF423">
        <f t="shared" si="139"/>
        <v>0</v>
      </c>
    </row>
    <row r="424" spans="1:32" x14ac:dyDescent="0.2">
      <c r="A424" s="117">
        <v>181</v>
      </c>
      <c r="B424" s="118">
        <v>46229</v>
      </c>
      <c r="C424" s="119" t="s">
        <v>48</v>
      </c>
      <c r="D424" s="119" t="s">
        <v>19</v>
      </c>
      <c r="E424" s="117" t="s">
        <v>370</v>
      </c>
      <c r="F424" s="120">
        <f t="shared" si="120"/>
        <v>5</v>
      </c>
      <c r="G424" s="121" t="str">
        <f t="shared" si="121"/>
        <v>Josh</v>
      </c>
      <c r="H424" s="122">
        <f>IF($D424="",0,IFERROR(LOOKUP(2,1/(($D$3:D423=$D424)*($A$3:A423&lt;$A424)),$N$3:N423),'Guide &amp; Settings'!$C$41))</f>
        <v>1063.3497487715442</v>
      </c>
      <c r="I424" s="123">
        <f t="shared" si="122"/>
        <v>0.26666666666666666</v>
      </c>
      <c r="J424" s="124">
        <f>IF($D424="",0,IF($F424&lt;2,0,IF($E424="Win",('Guide &amp; Settings'!$C$42/(($F424-1)*COUNTIFS($A$4:$A$1510,$A424,$E$4:$E$1510,"Win")))*SUMIFS($X$4:$X$1510,$A$4:$A$1510,$A424,$E$4:$E$1510,"Loss"),-('Guide &amp; Settings'!$C$42/($F424-1))*$X424)))</f>
        <v>16.451796364229551</v>
      </c>
      <c r="K424" s="124">
        <f>IF($D424="",0,'Guide &amp; Settings'!$C$43*(IF($E424="Win",1,0)-$I424))</f>
        <v>8.8000000000000007</v>
      </c>
      <c r="L424" s="125">
        <f>IF($D424="",0,'Guide &amp; Settings'!$C$44*IF($F424&gt;=3,$F424,0))</f>
        <v>5</v>
      </c>
      <c r="M424" s="124">
        <f t="shared" si="123"/>
        <v>30.251796364229552</v>
      </c>
      <c r="N424" s="122">
        <f t="shared" si="124"/>
        <v>1093.6015451357737</v>
      </c>
      <c r="O424" s="121" t="str">
        <f t="shared" si="125"/>
        <v>OK</v>
      </c>
      <c r="P424">
        <f t="shared" si="126"/>
        <v>1063.3497487715442</v>
      </c>
      <c r="Q424">
        <f t="shared" si="127"/>
        <v>0.5</v>
      </c>
      <c r="R424">
        <f t="shared" si="128"/>
        <v>0.66666666666666663</v>
      </c>
      <c r="S424">
        <f t="shared" si="129"/>
        <v>2.5</v>
      </c>
      <c r="T424" s="89">
        <f t="shared" si="130"/>
        <v>1</v>
      </c>
      <c r="U424" s="126">
        <f>IF($D424="",0,IFERROR(LOOKUP(2,1/(($D$3:D423=$D424)*($C$3:C423=$C424)*($A$3:A423&lt;$A424)),$AB$3:AB423),1000))</f>
        <v>1016</v>
      </c>
      <c r="V424" s="126">
        <f t="shared" si="131"/>
        <v>1055.458123976287</v>
      </c>
      <c r="W424">
        <f t="shared" si="132"/>
        <v>1055.458123976287</v>
      </c>
      <c r="X424">
        <f t="shared" si="133"/>
        <v>0.5</v>
      </c>
      <c r="Y424">
        <f t="shared" si="134"/>
        <v>1016</v>
      </c>
      <c r="Z424">
        <f t="shared" si="135"/>
        <v>0.5</v>
      </c>
      <c r="AA424">
        <f>IF($D424="",0,IF($F424&lt;2,0,IF($E424="Win",('Guide &amp; Settings'!$C$42/(($F424-1)*COUNTIFS($A$4:$A$1510,$A424,$E$4:$E$1510,"Win")))*SUMIFS($Z$4:$Z$1510,$A$4:$A$1510,$A424,$E$4:$E$1510,"Loss"),-('Guide &amp; Settings'!$C$42/($F424-1))*$Z424)))</f>
        <v>15.171898347043854</v>
      </c>
      <c r="AB424" s="126">
        <f t="shared" si="136"/>
        <v>1031.1718983470439</v>
      </c>
      <c r="AC424" s="126">
        <f>IF($D424="","",IF($AD424=0,0,IF(COUNTIFS($D$4:$D424,$D424,$B$4:$B424,$B424)&gt;1,0,IF($B424&lt;'Guide &amp; Settings'!$C$50,0,IF(($B424-$AD424)/7-'Guide &amp; Settings'!$C$48&gt;=0,(INT(($B424-$AD424)/7-'Guide &amp; Settings'!$C$48)+1)*'Guide &amp; Settings'!$C$49,0)))))</f>
        <v>0</v>
      </c>
      <c r="AD424" s="142">
        <f t="shared" si="137"/>
        <v>46215</v>
      </c>
      <c r="AE424">
        <f t="shared" si="138"/>
        <v>1</v>
      </c>
      <c r="AF424">
        <f t="shared" si="139"/>
        <v>0</v>
      </c>
    </row>
    <row r="425" spans="1:32" x14ac:dyDescent="0.2">
      <c r="A425" s="117">
        <v>182</v>
      </c>
      <c r="B425" s="118">
        <v>46236</v>
      </c>
      <c r="C425" s="119" t="s">
        <v>50</v>
      </c>
      <c r="D425" s="119" t="s">
        <v>20</v>
      </c>
      <c r="E425" s="117" t="s">
        <v>371</v>
      </c>
      <c r="F425" s="120">
        <f t="shared" si="120"/>
        <v>2</v>
      </c>
      <c r="G425" s="121" t="str">
        <f t="shared" si="121"/>
        <v>Daniel (Ferret)</v>
      </c>
      <c r="H425" s="122">
        <f>IF($D425="",0,IFERROR(LOOKUP(2,1/(($D$3:D424=$D425)*($A$3:A424&lt;$A425)),$N$3:N424),'Guide &amp; Settings'!$C$41))</f>
        <v>1156.6670987691946</v>
      </c>
      <c r="I425" s="123">
        <f t="shared" si="122"/>
        <v>0.70348837209302328</v>
      </c>
      <c r="J425" s="124">
        <f>IF($D425="",0,IF($F425&lt;2,0,IF($E425="Win",('Guide &amp; Settings'!$C$42/(($F425-1)*COUNTIFS($A$4:$A$1510,$A425,$E$4:$E$1510,"Win")))*SUMIFS($X$4:$X$1510,$A$4:$A$1510,$A425,$E$4:$E$1510,"Loss"),-('Guide &amp; Settings'!$C$42/($F425-1))*$X425)))</f>
        <v>-20.796264060003011</v>
      </c>
      <c r="K425" s="124">
        <f>IF($D425="",0,'Guide &amp; Settings'!$C$43*(IF($E425="Win",1,0)-$I425))</f>
        <v>-8.4418604651162799</v>
      </c>
      <c r="L425" s="125">
        <f>IF($D425="",0,'Guide &amp; Settings'!$C$44*IF($F425&gt;=3,$F425,0))</f>
        <v>0</v>
      </c>
      <c r="M425" s="124">
        <f t="shared" si="123"/>
        <v>-29.238124525119289</v>
      </c>
      <c r="N425" s="122">
        <f t="shared" si="124"/>
        <v>1127.4289742440753</v>
      </c>
      <c r="O425" s="121" t="str">
        <f t="shared" si="125"/>
        <v>OK</v>
      </c>
      <c r="P425">
        <f t="shared" si="126"/>
        <v>1051.8710119667967</v>
      </c>
      <c r="Q425">
        <f t="shared" si="127"/>
        <v>0.64640059238723124</v>
      </c>
      <c r="R425">
        <f t="shared" si="128"/>
        <v>0.6470588235294118</v>
      </c>
      <c r="S425">
        <f t="shared" si="129"/>
        <v>0.9197860962566845</v>
      </c>
      <c r="T425" s="89">
        <f t="shared" si="130"/>
        <v>15</v>
      </c>
      <c r="U425" s="126">
        <f>IF($D425="",0,IFERROR(LOOKUP(2,1/(($D$3:D424=$D425)*($C$3:C424=$C425)*($A$3:A424&lt;$A425)),$AB$3:AB424),1000))</f>
        <v>1064.8441312699101</v>
      </c>
      <c r="V425" s="126">
        <f t="shared" si="131"/>
        <v>1087.7998731447312</v>
      </c>
      <c r="W425">
        <f t="shared" si="132"/>
        <v>980.35088961648694</v>
      </c>
      <c r="X425">
        <f t="shared" si="133"/>
        <v>0.6498832518750941</v>
      </c>
      <c r="Y425">
        <f t="shared" si="134"/>
        <v>940.61748831075943</v>
      </c>
      <c r="Z425">
        <f t="shared" si="135"/>
        <v>0.67152842486897035</v>
      </c>
      <c r="AA425">
        <f>IF($D425="",0,IF($F425&lt;2,0,IF($E425="Win",('Guide &amp; Settings'!$C$42/(($F425-1)*COUNTIFS($A$4:$A$1510,$A425,$E$4:$E$1510,"Win")))*SUMIFS($Z$4:$Z$1510,$A$4:$A$1510,$A425,$E$4:$E$1510,"Loss"),-('Guide &amp; Settings'!$C$42/($F425-1))*$Z425)))</f>
        <v>-21.488909595807051</v>
      </c>
      <c r="AB425" s="126">
        <f t="shared" si="136"/>
        <v>1043.3552216741032</v>
      </c>
      <c r="AC425" s="126">
        <f>IF($D425="","",IF($AD425=0,0,IF(COUNTIFS($D$4:$D425,$D425,$B$4:$B425,$B425)&gt;1,0,IF($B425&lt;'Guide &amp; Settings'!$C$50,0,IF(($B425-$AD425)/7-'Guide &amp; Settings'!$C$48&gt;=0,(INT(($B425-$AD425)/7-'Guide &amp; Settings'!$C$48)+1)*'Guide &amp; Settings'!$C$49,0)))))</f>
        <v>0</v>
      </c>
      <c r="AD425" s="142">
        <f t="shared" si="137"/>
        <v>46229</v>
      </c>
      <c r="AE425">
        <f t="shared" si="138"/>
        <v>1</v>
      </c>
      <c r="AF425">
        <f t="shared" si="139"/>
        <v>0</v>
      </c>
    </row>
    <row r="426" spans="1:32" x14ac:dyDescent="0.2">
      <c r="A426" s="117">
        <v>182</v>
      </c>
      <c r="B426" s="118">
        <v>46236</v>
      </c>
      <c r="C426" s="119" t="s">
        <v>50</v>
      </c>
      <c r="D426" s="119" t="s">
        <v>22</v>
      </c>
      <c r="E426" s="117" t="s">
        <v>370</v>
      </c>
      <c r="F426" s="120">
        <f t="shared" si="120"/>
        <v>2</v>
      </c>
      <c r="G426" s="121" t="str">
        <f t="shared" si="121"/>
        <v>Daniel (Ferret)</v>
      </c>
      <c r="H426" s="122">
        <f>IF($D426="",0,IFERROR(LOOKUP(2,1/(($D$3:D425=$D426)*($A$3:A425&lt;$A426)),$N$3:N425),'Guide &amp; Settings'!$C$41))</f>
        <v>1051.8710119667967</v>
      </c>
      <c r="I426" s="123">
        <f t="shared" si="122"/>
        <v>0.29651162790697672</v>
      </c>
      <c r="J426" s="124">
        <f>IF($D426="",0,IF($F426&lt;2,0,IF($E426="Win",('Guide &amp; Settings'!$C$42/(($F426-1)*COUNTIFS($A$4:$A$1510,$A426,$E$4:$E$1510,"Win")))*SUMIFS($X$4:$X$1510,$A$4:$A$1510,$A426,$E$4:$E$1510,"Loss"),-('Guide &amp; Settings'!$C$42/($F426-1))*$X426)))</f>
        <v>20.796264060003011</v>
      </c>
      <c r="K426" s="124">
        <f>IF($D426="",0,'Guide &amp; Settings'!$C$43*(IF($E426="Win",1,0)-$I426))</f>
        <v>8.4418604651162799</v>
      </c>
      <c r="L426" s="125">
        <f>IF($D426="",0,'Guide &amp; Settings'!$C$44*IF($F426&gt;=3,$F426,0))</f>
        <v>0</v>
      </c>
      <c r="M426" s="124">
        <f t="shared" si="123"/>
        <v>29.238124525119289</v>
      </c>
      <c r="N426" s="122">
        <f t="shared" si="124"/>
        <v>1081.1091364919159</v>
      </c>
      <c r="O426" s="121" t="str">
        <f t="shared" si="125"/>
        <v>OK</v>
      </c>
      <c r="P426">
        <f t="shared" si="126"/>
        <v>1051.8710119667967</v>
      </c>
      <c r="Q426">
        <f t="shared" si="127"/>
        <v>0.5</v>
      </c>
      <c r="R426">
        <f t="shared" si="128"/>
        <v>0.27272727272727271</v>
      </c>
      <c r="S426">
        <f t="shared" si="129"/>
        <v>0.9197860962566845</v>
      </c>
      <c r="T426" s="89">
        <f t="shared" si="130"/>
        <v>9</v>
      </c>
      <c r="U426" s="126">
        <f>IF($D426="",0,IFERROR(LOOKUP(2,1/(($D$3:D425=$D426)*($C$3:C425=$C426)*($A$3:A425&lt;$A426)),$AB$3:AB425),1000))</f>
        <v>940.61748831075943</v>
      </c>
      <c r="V426" s="126">
        <f t="shared" si="131"/>
        <v>980.35088961648694</v>
      </c>
      <c r="W426">
        <f t="shared" si="132"/>
        <v>980.35088961648694</v>
      </c>
      <c r="X426">
        <f t="shared" si="133"/>
        <v>0.5</v>
      </c>
      <c r="Y426">
        <f t="shared" si="134"/>
        <v>940.61748831075943</v>
      </c>
      <c r="Z426">
        <f t="shared" si="135"/>
        <v>0.5</v>
      </c>
      <c r="AA426">
        <f>IF($D426="",0,IF($F426&lt;2,0,IF($E426="Win",('Guide &amp; Settings'!$C$42/(($F426-1)*COUNTIFS($A$4:$A$1510,$A426,$E$4:$E$1510,"Win")))*SUMIFS($Z$4:$Z$1510,$A$4:$A$1510,$A426,$E$4:$E$1510,"Loss"),-('Guide &amp; Settings'!$C$42/($F426-1))*$Z426)))</f>
        <v>21.488909595807051</v>
      </c>
      <c r="AB426" s="126">
        <f t="shared" si="136"/>
        <v>962.10639790656649</v>
      </c>
      <c r="AC426" s="126">
        <f>IF($D426="","",IF($AD426=0,0,IF(COUNTIFS($D$4:$D426,$D426,$B$4:$B426,$B426)&gt;1,0,IF($B426&lt;'Guide &amp; Settings'!$C$50,0,IF(($B426-$AD426)/7-'Guide &amp; Settings'!$C$48&gt;=0,(INT(($B426-$AD426)/7-'Guide &amp; Settings'!$C$48)+1)*'Guide &amp; Settings'!$C$49,0)))))</f>
        <v>0</v>
      </c>
      <c r="AD426" s="142">
        <f t="shared" si="137"/>
        <v>46229</v>
      </c>
      <c r="AE426">
        <f t="shared" si="138"/>
        <v>1</v>
      </c>
      <c r="AF426">
        <f t="shared" si="139"/>
        <v>0</v>
      </c>
    </row>
    <row r="427" spans="1:32" x14ac:dyDescent="0.2">
      <c r="A427" s="117">
        <v>183</v>
      </c>
      <c r="B427" s="118">
        <v>46236</v>
      </c>
      <c r="C427" s="119" t="s">
        <v>50</v>
      </c>
      <c r="D427" s="119" t="s">
        <v>20</v>
      </c>
      <c r="E427" s="117" t="s">
        <v>370</v>
      </c>
      <c r="F427" s="120">
        <f t="shared" si="120"/>
        <v>2</v>
      </c>
      <c r="G427" s="121" t="str">
        <f t="shared" si="121"/>
        <v>Shawn</v>
      </c>
      <c r="H427" s="122">
        <f>IF($D427="",0,IFERROR(LOOKUP(2,1/(($D$3:D426=$D427)*($A$3:A426&lt;$A427)),$N$3:N426),'Guide &amp; Settings'!$C$41))</f>
        <v>1127.4289742440753</v>
      </c>
      <c r="I427" s="123">
        <f t="shared" si="122"/>
        <v>0.6470588235294118</v>
      </c>
      <c r="J427" s="124">
        <f>IF($D427="",0,IF($F427&lt;2,0,IF($E427="Win",('Guide &amp; Settings'!$C$42/(($F427-1)*COUNTIFS($A$4:$A$1510,$A427,$E$4:$E$1510,"Win")))*SUMIFS($X$4:$X$1510,$A$4:$A$1510,$A427,$E$4:$E$1510,"Loss"),-('Guide &amp; Settings'!$C$42/($F427-1))*$X427)))</f>
        <v>13.192624201856169</v>
      </c>
      <c r="K427" s="124">
        <f>IF($D427="",0,'Guide &amp; Settings'!$C$43*(IF($E427="Win",1,0)-$I427))</f>
        <v>4.235294117647058</v>
      </c>
      <c r="L427" s="125">
        <f>IF($D427="",0,'Guide &amp; Settings'!$C$44*IF($F427&gt;=3,$F427,0))</f>
        <v>0</v>
      </c>
      <c r="M427" s="124">
        <f t="shared" si="123"/>
        <v>17.427918319503227</v>
      </c>
      <c r="N427" s="122">
        <f t="shared" si="124"/>
        <v>1144.8568925635786</v>
      </c>
      <c r="O427" s="121" t="str">
        <f t="shared" si="125"/>
        <v>OK</v>
      </c>
      <c r="P427">
        <f t="shared" si="126"/>
        <v>1127.4289742440753</v>
      </c>
      <c r="Q427">
        <f t="shared" si="127"/>
        <v>0.5</v>
      </c>
      <c r="R427">
        <f t="shared" si="128"/>
        <v>0.61111111111111116</v>
      </c>
      <c r="S427">
        <f t="shared" si="129"/>
        <v>0.94444444444444442</v>
      </c>
      <c r="T427" s="89">
        <f t="shared" si="130"/>
        <v>16</v>
      </c>
      <c r="U427" s="126">
        <f>IF($D427="",0,IFERROR(LOOKUP(2,1/(($D$3:D426=$D427)*($C$3:C426=$C427)*($A$3:A426&lt;$A427)),$AB$3:AB426),1000))</f>
        <v>1043.3552216741032</v>
      </c>
      <c r="V427" s="126">
        <f t="shared" si="131"/>
        <v>1063.3727818098109</v>
      </c>
      <c r="W427">
        <f t="shared" si="132"/>
        <v>1063.3727818098109</v>
      </c>
      <c r="X427">
        <f t="shared" si="133"/>
        <v>0.5</v>
      </c>
      <c r="Y427">
        <f t="shared" si="134"/>
        <v>1043.3552216741032</v>
      </c>
      <c r="Z427">
        <f t="shared" si="135"/>
        <v>0.5</v>
      </c>
      <c r="AA427">
        <f>IF($D427="",0,IF($F427&lt;2,0,IF($E427="Win",('Guide &amp; Settings'!$C$42/(($F427-1)*COUNTIFS($A$4:$A$1510,$A427,$E$4:$E$1510,"Win")))*SUMIFS($Z$4:$Z$1510,$A$4:$A$1510,$A427,$E$4:$E$1510,"Loss"),-('Guide &amp; Settings'!$C$42/($F427-1))*$Z427)))</f>
        <v>12.325100395087055</v>
      </c>
      <c r="AB427" s="126">
        <f t="shared" si="136"/>
        <v>1055.6803220691902</v>
      </c>
      <c r="AC427" s="126">
        <f>IF($D427="","",IF($AD427=0,0,IF(COUNTIFS($D$4:$D427,$D427,$B$4:$B427,$B427)&gt;1,0,IF($B427&lt;'Guide &amp; Settings'!$C$50,0,IF(($B427-$AD427)/7-'Guide &amp; Settings'!$C$48&gt;=0,(INT(($B427-$AD427)/7-'Guide &amp; Settings'!$C$48)+1)*'Guide &amp; Settings'!$C$49,0)))))</f>
        <v>0</v>
      </c>
      <c r="AD427" s="142">
        <f t="shared" si="137"/>
        <v>46229</v>
      </c>
      <c r="AE427">
        <f t="shared" si="138"/>
        <v>1</v>
      </c>
      <c r="AF427">
        <f t="shared" si="139"/>
        <v>0</v>
      </c>
    </row>
    <row r="428" spans="1:32" x14ac:dyDescent="0.2">
      <c r="A428" s="117">
        <v>183</v>
      </c>
      <c r="B428" s="118">
        <v>46236</v>
      </c>
      <c r="C428" s="119" t="s">
        <v>50</v>
      </c>
      <c r="D428" s="119" t="s">
        <v>22</v>
      </c>
      <c r="E428" s="117" t="s">
        <v>371</v>
      </c>
      <c r="F428" s="120">
        <f t="shared" si="120"/>
        <v>2</v>
      </c>
      <c r="G428" s="121" t="str">
        <f t="shared" si="121"/>
        <v>Shawn</v>
      </c>
      <c r="H428" s="122">
        <f>IF($D428="",0,IFERROR(LOOKUP(2,1/(($D$3:D427=$D428)*($A$3:A427&lt;$A428)),$N$3:N427),'Guide &amp; Settings'!$C$41))</f>
        <v>1081.1091364919159</v>
      </c>
      <c r="I428" s="123">
        <f t="shared" si="122"/>
        <v>0.3529411764705882</v>
      </c>
      <c r="J428" s="124">
        <f>IF($D428="",0,IF($F428&lt;2,0,IF($E428="Win",('Guide &amp; Settings'!$C$42/(($F428-1)*COUNTIFS($A$4:$A$1510,$A428,$E$4:$E$1510,"Win")))*SUMIFS($X$4:$X$1510,$A$4:$A$1510,$A428,$E$4:$E$1510,"Loss"),-('Guide &amp; Settings'!$C$42/($F428-1))*$X428)))</f>
        <v>-13.192624201856169</v>
      </c>
      <c r="K428" s="124">
        <f>IF($D428="",0,'Guide &amp; Settings'!$C$43*(IF($E428="Win",1,0)-$I428))</f>
        <v>-4.235294117647058</v>
      </c>
      <c r="L428" s="125">
        <f>IF($D428="",0,'Guide &amp; Settings'!$C$44*IF($F428&gt;=3,$F428,0))</f>
        <v>0</v>
      </c>
      <c r="M428" s="124">
        <f t="shared" si="123"/>
        <v>-17.427918319503227</v>
      </c>
      <c r="N428" s="122">
        <f t="shared" si="124"/>
        <v>1063.6812181724126</v>
      </c>
      <c r="O428" s="121" t="str">
        <f t="shared" si="125"/>
        <v>OK</v>
      </c>
      <c r="P428">
        <f t="shared" si="126"/>
        <v>1127.4289742440753</v>
      </c>
      <c r="Q428">
        <f t="shared" si="127"/>
        <v>0.43373254346684686</v>
      </c>
      <c r="R428">
        <f t="shared" si="128"/>
        <v>0.33333333333333331</v>
      </c>
      <c r="S428">
        <f t="shared" si="129"/>
        <v>0.94444444444444442</v>
      </c>
      <c r="T428" s="89">
        <f t="shared" si="130"/>
        <v>10</v>
      </c>
      <c r="U428" s="126">
        <f>IF($D428="",0,IFERROR(LOOKUP(2,1/(($D$3:D427=$D428)*($C$3:C427=$C428)*($A$3:A427&lt;$A428)),$AB$3:AB427),1000))</f>
        <v>962.10639790656649</v>
      </c>
      <c r="V428" s="126">
        <f t="shared" si="131"/>
        <v>1001.7739774350164</v>
      </c>
      <c r="W428">
        <f t="shared" si="132"/>
        <v>1063.3727818098109</v>
      </c>
      <c r="X428">
        <f t="shared" si="133"/>
        <v>0.4122695063080053</v>
      </c>
      <c r="Y428">
        <f t="shared" si="134"/>
        <v>1043.3552216741032</v>
      </c>
      <c r="Z428">
        <f t="shared" si="135"/>
        <v>0.38515938734647048</v>
      </c>
      <c r="AA428">
        <f>IF($D428="",0,IF($F428&lt;2,0,IF($E428="Win",('Guide &amp; Settings'!$C$42/(($F428-1)*COUNTIFS($A$4:$A$1510,$A428,$E$4:$E$1510,"Win")))*SUMIFS($Z$4:$Z$1510,$A$4:$A$1510,$A428,$E$4:$E$1510,"Loss"),-('Guide &amp; Settings'!$C$42/($F428-1))*$Z428)))</f>
        <v>-12.325100395087055</v>
      </c>
      <c r="AB428" s="126">
        <f t="shared" si="136"/>
        <v>949.78129751147947</v>
      </c>
      <c r="AC428" s="126">
        <f>IF($D428="","",IF($AD428=0,0,IF(COUNTIFS($D$4:$D428,$D428,$B$4:$B428,$B428)&gt;1,0,IF($B428&lt;'Guide &amp; Settings'!$C$50,0,IF(($B428-$AD428)/7-'Guide &amp; Settings'!$C$48&gt;=0,(INT(($B428-$AD428)/7-'Guide &amp; Settings'!$C$48)+1)*'Guide &amp; Settings'!$C$49,0)))))</f>
        <v>0</v>
      </c>
      <c r="AD428" s="142">
        <f t="shared" si="137"/>
        <v>46229</v>
      </c>
      <c r="AE428">
        <f t="shared" si="138"/>
        <v>1</v>
      </c>
      <c r="AF428">
        <f t="shared" si="139"/>
        <v>0</v>
      </c>
    </row>
    <row r="429" spans="1:32" x14ac:dyDescent="0.2">
      <c r="A429" s="117">
        <v>184</v>
      </c>
      <c r="B429" s="118">
        <v>46236</v>
      </c>
      <c r="C429" s="119" t="s">
        <v>50</v>
      </c>
      <c r="D429" s="119" t="s">
        <v>20</v>
      </c>
      <c r="E429" s="117" t="s">
        <v>370</v>
      </c>
      <c r="F429" s="120">
        <f t="shared" si="120"/>
        <v>2</v>
      </c>
      <c r="G429" s="121" t="str">
        <f t="shared" si="121"/>
        <v>Shawn</v>
      </c>
      <c r="H429" s="122">
        <f>IF($D429="",0,IFERROR(LOOKUP(2,1/(($D$3:D428=$D429)*($A$3:A428&lt;$A429)),$N$3:N428),'Guide &amp; Settings'!$C$41))</f>
        <v>1144.8568925635786</v>
      </c>
      <c r="I429" s="123">
        <f t="shared" si="122"/>
        <v>0.67241379310344829</v>
      </c>
      <c r="J429" s="124">
        <f>IF($D429="",0,IF($F429&lt;2,0,IF($E429="Win",('Guide &amp; Settings'!$C$42/(($F429-1)*COUNTIFS($A$4:$A$1510,$A429,$E$4:$E$1510,"Win")))*SUMIFS($X$4:$X$1510,$A$4:$A$1510,$A429,$E$4:$E$1510,"Loss"),-('Guide &amp; Settings'!$C$42/($F429-1))*$X429)))</f>
        <v>11.92095930797189</v>
      </c>
      <c r="K429" s="124">
        <f>IF($D429="",0,'Guide &amp; Settings'!$C$43*(IF($E429="Win",1,0)-$I429))</f>
        <v>3.9310344827586206</v>
      </c>
      <c r="L429" s="125">
        <f>IF($D429="",0,'Guide &amp; Settings'!$C$44*IF($F429&gt;=3,$F429,0))</f>
        <v>0</v>
      </c>
      <c r="M429" s="124">
        <f t="shared" si="123"/>
        <v>15.851993790730511</v>
      </c>
      <c r="N429" s="122">
        <f t="shared" si="124"/>
        <v>1160.7088863543092</v>
      </c>
      <c r="O429" s="121" t="str">
        <f t="shared" si="125"/>
        <v>OK</v>
      </c>
      <c r="P429">
        <f t="shared" si="126"/>
        <v>1144.8568925635786</v>
      </c>
      <c r="Q429">
        <f t="shared" si="127"/>
        <v>0.5</v>
      </c>
      <c r="R429">
        <f t="shared" si="128"/>
        <v>0.63157894736842102</v>
      </c>
      <c r="S429">
        <f t="shared" si="129"/>
        <v>0.93927125506072873</v>
      </c>
      <c r="T429" s="89">
        <f t="shared" si="130"/>
        <v>17</v>
      </c>
      <c r="U429" s="126">
        <f>IF($D429="",0,IFERROR(LOOKUP(2,1/(($D$3:D428=$D429)*($C$3:C428=$C429)*($A$3:A428&lt;$A429)),$AB$3:AB428),1000))</f>
        <v>1055.6803220691902</v>
      </c>
      <c r="V429" s="126">
        <f t="shared" si="131"/>
        <v>1075.9477244542784</v>
      </c>
      <c r="W429">
        <f t="shared" si="132"/>
        <v>1075.9477244542784</v>
      </c>
      <c r="X429">
        <f t="shared" si="133"/>
        <v>0.5</v>
      </c>
      <c r="Y429">
        <f t="shared" si="134"/>
        <v>1055.6803220691902</v>
      </c>
      <c r="Z429">
        <f t="shared" si="135"/>
        <v>0.5</v>
      </c>
      <c r="AA429">
        <f>IF($D429="",0,IF($F429&lt;2,0,IF($E429="Win",('Guide &amp; Settings'!$C$42/(($F429-1)*COUNTIFS($A$4:$A$1510,$A429,$E$4:$E$1510,"Win")))*SUMIFS($Z$4:$Z$1510,$A$4:$A$1510,$A429,$E$4:$E$1510,"Loss"),-('Guide &amp; Settings'!$C$42/($F429-1))*$Z429)))</f>
        <v>11.268786702963324</v>
      </c>
      <c r="AB429" s="126">
        <f t="shared" si="136"/>
        <v>1066.9491087721535</v>
      </c>
      <c r="AC429" s="126">
        <f>IF($D429="","",IF($AD429=0,0,IF(COUNTIFS($D$4:$D429,$D429,$B$4:$B429,$B429)&gt;1,0,IF($B429&lt;'Guide &amp; Settings'!$C$50,0,IF(($B429-$AD429)/7-'Guide &amp; Settings'!$C$48&gt;=0,(INT(($B429-$AD429)/7-'Guide &amp; Settings'!$C$48)+1)*'Guide &amp; Settings'!$C$49,0)))))</f>
        <v>0</v>
      </c>
      <c r="AD429" s="142">
        <f t="shared" si="137"/>
        <v>46229</v>
      </c>
      <c r="AE429">
        <f t="shared" si="138"/>
        <v>1</v>
      </c>
      <c r="AF429">
        <f t="shared" si="139"/>
        <v>0</v>
      </c>
    </row>
    <row r="430" spans="1:32" x14ac:dyDescent="0.2">
      <c r="A430" s="117">
        <v>184</v>
      </c>
      <c r="B430" s="118">
        <v>46236</v>
      </c>
      <c r="C430" s="119" t="s">
        <v>50</v>
      </c>
      <c r="D430" s="119" t="s">
        <v>22</v>
      </c>
      <c r="E430" s="117" t="s">
        <v>371</v>
      </c>
      <c r="F430" s="120">
        <f t="shared" si="120"/>
        <v>2</v>
      </c>
      <c r="G430" s="121" t="str">
        <f t="shared" si="121"/>
        <v>Shawn</v>
      </c>
      <c r="H430" s="122">
        <f>IF($D430="",0,IFERROR(LOOKUP(2,1/(($D$3:D429=$D430)*($A$3:A429&lt;$A430)),$N$3:N429),'Guide &amp; Settings'!$C$41))</f>
        <v>1063.6812181724126</v>
      </c>
      <c r="I430" s="123">
        <f t="shared" si="122"/>
        <v>0.32758620689655177</v>
      </c>
      <c r="J430" s="124">
        <f>IF($D430="",0,IF($F430&lt;2,0,IF($E430="Win",('Guide &amp; Settings'!$C$42/(($F430-1)*COUNTIFS($A$4:$A$1510,$A430,$E$4:$E$1510,"Win")))*SUMIFS($X$4:$X$1510,$A$4:$A$1510,$A430,$E$4:$E$1510,"Loss"),-('Guide &amp; Settings'!$C$42/($F430-1))*$X430)))</f>
        <v>-11.92095930797189</v>
      </c>
      <c r="K430" s="124">
        <f>IF($D430="",0,'Guide &amp; Settings'!$C$43*(IF($E430="Win",1,0)-$I430))</f>
        <v>-3.931034482758621</v>
      </c>
      <c r="L430" s="125">
        <f>IF($D430="",0,'Guide &amp; Settings'!$C$44*IF($F430&gt;=3,$F430,0))</f>
        <v>0</v>
      </c>
      <c r="M430" s="124">
        <f t="shared" si="123"/>
        <v>-15.851993790730511</v>
      </c>
      <c r="N430" s="122">
        <f t="shared" si="124"/>
        <v>1047.829224381682</v>
      </c>
      <c r="O430" s="121" t="str">
        <f t="shared" si="125"/>
        <v>OK</v>
      </c>
      <c r="P430">
        <f t="shared" si="126"/>
        <v>1144.8568925635786</v>
      </c>
      <c r="Q430">
        <f t="shared" si="127"/>
        <v>0.38525910920285283</v>
      </c>
      <c r="R430">
        <f t="shared" si="128"/>
        <v>0.30769230769230771</v>
      </c>
      <c r="S430">
        <f t="shared" si="129"/>
        <v>0.93927125506072873</v>
      </c>
      <c r="T430" s="89">
        <f t="shared" si="130"/>
        <v>11</v>
      </c>
      <c r="U430" s="126">
        <f>IF($D430="",0,IFERROR(LOOKUP(2,1/(($D$3:D429=$D430)*($C$3:C429=$C430)*($A$3:A429&lt;$A430)),$AB$3:AB429),1000))</f>
        <v>949.78129751147947</v>
      </c>
      <c r="V430" s="126">
        <f t="shared" si="131"/>
        <v>985.37502271802111</v>
      </c>
      <c r="W430">
        <f t="shared" si="132"/>
        <v>1075.9477244542784</v>
      </c>
      <c r="X430">
        <f t="shared" si="133"/>
        <v>0.37252997837412155</v>
      </c>
      <c r="Y430">
        <f t="shared" si="134"/>
        <v>1055.6803220691902</v>
      </c>
      <c r="Z430">
        <f t="shared" si="135"/>
        <v>0.35214958446760386</v>
      </c>
      <c r="AA430">
        <f>IF($D430="",0,IF($F430&lt;2,0,IF($E430="Win",('Guide &amp; Settings'!$C$42/(($F430-1)*COUNTIFS($A$4:$A$1510,$A430,$E$4:$E$1510,"Win")))*SUMIFS($Z$4:$Z$1510,$A$4:$A$1510,$A430,$E$4:$E$1510,"Loss"),-('Guide &amp; Settings'!$C$42/($F430-1))*$Z430)))</f>
        <v>-11.268786702963324</v>
      </c>
      <c r="AB430" s="126">
        <f t="shared" si="136"/>
        <v>938.51251080851614</v>
      </c>
      <c r="AC430" s="126">
        <f>IF($D430="","",IF($AD430=0,0,IF(COUNTIFS($D$4:$D430,$D430,$B$4:$B430,$B430)&gt;1,0,IF($B430&lt;'Guide &amp; Settings'!$C$50,0,IF(($B430-$AD430)/7-'Guide &amp; Settings'!$C$48&gt;=0,(INT(($B430-$AD430)/7-'Guide &amp; Settings'!$C$48)+1)*'Guide &amp; Settings'!$C$49,0)))))</f>
        <v>0</v>
      </c>
      <c r="AD430" s="142">
        <f t="shared" si="137"/>
        <v>46229</v>
      </c>
      <c r="AE430">
        <f t="shared" si="138"/>
        <v>1</v>
      </c>
      <c r="AF430">
        <f t="shared" si="139"/>
        <v>0</v>
      </c>
    </row>
    <row r="431" spans="1:32" x14ac:dyDescent="0.2">
      <c r="A431" s="117">
        <v>185</v>
      </c>
      <c r="B431" s="118">
        <v>46236</v>
      </c>
      <c r="C431" s="119" t="s">
        <v>50</v>
      </c>
      <c r="D431" s="119" t="s">
        <v>20</v>
      </c>
      <c r="E431" s="117" t="s">
        <v>371</v>
      </c>
      <c r="F431" s="120">
        <f t="shared" si="120"/>
        <v>2</v>
      </c>
      <c r="G431" s="121" t="str">
        <f t="shared" si="121"/>
        <v>Daniel (Ferret)</v>
      </c>
      <c r="H431" s="122">
        <f>IF($D431="",0,IFERROR(LOOKUP(2,1/(($D$3:D430=$D431)*($A$3:A430&lt;$A431)),$N$3:N430),'Guide &amp; Settings'!$C$41))</f>
        <v>1160.7088863543092</v>
      </c>
      <c r="I431" s="123">
        <f t="shared" si="122"/>
        <v>0.69465648854961837</v>
      </c>
      <c r="J431" s="124">
        <f>IF($D431="",0,IF($F431&lt;2,0,IF($E431="Win",('Guide &amp; Settings'!$C$42/(($F431-1)*COUNTIFS($A$4:$A$1510,$A431,$E$4:$E$1510,"Win")))*SUMIFS($X$4:$X$1510,$A$4:$A$1510,$A431,$E$4:$E$1510,"Loss"),-('Guide &amp; Settings'!$C$42/($F431-1))*$X431)))</f>
        <v>-21.179493164801716</v>
      </c>
      <c r="K431" s="124">
        <f>IF($D431="",0,'Guide &amp; Settings'!$C$43*(IF($E431="Win",1,0)-$I431))</f>
        <v>-8.3358778625954209</v>
      </c>
      <c r="L431" s="125">
        <f>IF($D431="",0,'Guide &amp; Settings'!$C$44*IF($F431&gt;=3,$F431,0))</f>
        <v>0</v>
      </c>
      <c r="M431" s="124">
        <f t="shared" si="123"/>
        <v>-29.515371027397137</v>
      </c>
      <c r="N431" s="122">
        <f t="shared" si="124"/>
        <v>1131.1935153269121</v>
      </c>
      <c r="O431" s="121" t="str">
        <f t="shared" si="125"/>
        <v>OK</v>
      </c>
      <c r="P431">
        <f t="shared" si="126"/>
        <v>1047.829224381682</v>
      </c>
      <c r="Q431">
        <f t="shared" si="127"/>
        <v>0.65696258987621703</v>
      </c>
      <c r="R431">
        <f t="shared" si="128"/>
        <v>0.65</v>
      </c>
      <c r="S431">
        <f t="shared" si="129"/>
        <v>0.93571428571428572</v>
      </c>
      <c r="T431" s="89">
        <f t="shared" si="130"/>
        <v>18</v>
      </c>
      <c r="U431" s="126">
        <f>IF($D431="",0,IFERROR(LOOKUP(2,1/(($D$3:D430=$D431)*($C$3:C430=$C431)*($A$3:A430&lt;$A431)),$AB$3:AB430),1000))</f>
        <v>1066.9491087721535</v>
      </c>
      <c r="V431" s="126">
        <f t="shared" si="131"/>
        <v>1087.3316691161003</v>
      </c>
      <c r="W431">
        <f t="shared" si="132"/>
        <v>970.66448538885902</v>
      </c>
      <c r="X431">
        <f t="shared" si="133"/>
        <v>0.66185916140005363</v>
      </c>
      <c r="Y431">
        <f t="shared" si="134"/>
        <v>938.51251080851614</v>
      </c>
      <c r="Z431">
        <f t="shared" si="135"/>
        <v>0.67685162265536269</v>
      </c>
      <c r="AA431">
        <f>IF($D431="",0,IF($F431&lt;2,0,IF($E431="Win",('Guide &amp; Settings'!$C$42/(($F431-1)*COUNTIFS($A$4:$A$1510,$A431,$E$4:$E$1510,"Win")))*SUMIFS($Z$4:$Z$1510,$A$4:$A$1510,$A431,$E$4:$E$1510,"Loss"),-('Guide &amp; Settings'!$C$42/($F431-1))*$Z431)))</f>
        <v>-21.659251924971606</v>
      </c>
      <c r="AB431" s="126">
        <f t="shared" si="136"/>
        <v>1045.2898568471819</v>
      </c>
      <c r="AC431" s="126">
        <f>IF($D431="","",IF($AD431=0,0,IF(COUNTIFS($D$4:$D431,$D431,$B$4:$B431,$B431)&gt;1,0,IF($B431&lt;'Guide &amp; Settings'!$C$50,0,IF(($B431-$AD431)/7-'Guide &amp; Settings'!$C$48&gt;=0,(INT(($B431-$AD431)/7-'Guide &amp; Settings'!$C$48)+1)*'Guide &amp; Settings'!$C$49,0)))))</f>
        <v>0</v>
      </c>
      <c r="AD431" s="142">
        <f t="shared" si="137"/>
        <v>46229</v>
      </c>
      <c r="AE431">
        <f t="shared" si="138"/>
        <v>1</v>
      </c>
      <c r="AF431">
        <f t="shared" si="139"/>
        <v>0</v>
      </c>
    </row>
    <row r="432" spans="1:32" x14ac:dyDescent="0.2">
      <c r="A432" s="117">
        <v>185</v>
      </c>
      <c r="B432" s="118">
        <v>46236</v>
      </c>
      <c r="C432" s="119" t="s">
        <v>50</v>
      </c>
      <c r="D432" s="119" t="s">
        <v>22</v>
      </c>
      <c r="E432" s="117" t="s">
        <v>370</v>
      </c>
      <c r="F432" s="120">
        <f t="shared" si="120"/>
        <v>2</v>
      </c>
      <c r="G432" s="121" t="str">
        <f t="shared" si="121"/>
        <v>Daniel (Ferret)</v>
      </c>
      <c r="H432" s="122">
        <f>IF($D432="",0,IFERROR(LOOKUP(2,1/(($D$3:D431=$D432)*($A$3:A431&lt;$A432)),$N$3:N431),'Guide &amp; Settings'!$C$41))</f>
        <v>1047.829224381682</v>
      </c>
      <c r="I432" s="123">
        <f t="shared" si="122"/>
        <v>0.30534351145038163</v>
      </c>
      <c r="J432" s="124">
        <f>IF($D432="",0,IF($F432&lt;2,0,IF($E432="Win",('Guide &amp; Settings'!$C$42/(($F432-1)*COUNTIFS($A$4:$A$1510,$A432,$E$4:$E$1510,"Win")))*SUMIFS($X$4:$X$1510,$A$4:$A$1510,$A432,$E$4:$E$1510,"Loss"),-('Guide &amp; Settings'!$C$42/($F432-1))*$X432)))</f>
        <v>21.179493164801716</v>
      </c>
      <c r="K432" s="124">
        <f>IF($D432="",0,'Guide &amp; Settings'!$C$43*(IF($E432="Win",1,0)-$I432))</f>
        <v>8.3358778625954209</v>
      </c>
      <c r="L432" s="125">
        <f>IF($D432="",0,'Guide &amp; Settings'!$C$44*IF($F432&gt;=3,$F432,0))</f>
        <v>0</v>
      </c>
      <c r="M432" s="124">
        <f t="shared" si="123"/>
        <v>29.515371027397137</v>
      </c>
      <c r="N432" s="122">
        <f t="shared" si="124"/>
        <v>1077.3445954090791</v>
      </c>
      <c r="O432" s="121" t="str">
        <f t="shared" si="125"/>
        <v>OK</v>
      </c>
      <c r="P432">
        <f t="shared" si="126"/>
        <v>1047.829224381682</v>
      </c>
      <c r="Q432">
        <f t="shared" si="127"/>
        <v>0.5</v>
      </c>
      <c r="R432">
        <f t="shared" si="128"/>
        <v>0.2857142857142857</v>
      </c>
      <c r="S432">
        <f t="shared" si="129"/>
        <v>0.93571428571428572</v>
      </c>
      <c r="T432" s="89">
        <f t="shared" si="130"/>
        <v>12</v>
      </c>
      <c r="U432" s="126">
        <f>IF($D432="",0,IFERROR(LOOKUP(2,1/(($D$3:D431=$D432)*($C$3:C431=$C432)*($A$3:A431&lt;$A432)),$AB$3:AB431),1000))</f>
        <v>938.51251080851614</v>
      </c>
      <c r="V432" s="126">
        <f t="shared" si="131"/>
        <v>970.66448538885902</v>
      </c>
      <c r="W432">
        <f t="shared" si="132"/>
        <v>970.66448538885902</v>
      </c>
      <c r="X432">
        <f t="shared" si="133"/>
        <v>0.5</v>
      </c>
      <c r="Y432">
        <f t="shared" si="134"/>
        <v>938.51251080851614</v>
      </c>
      <c r="Z432">
        <f t="shared" si="135"/>
        <v>0.5</v>
      </c>
      <c r="AA432">
        <f>IF($D432="",0,IF($F432&lt;2,0,IF($E432="Win",('Guide &amp; Settings'!$C$42/(($F432-1)*COUNTIFS($A$4:$A$1510,$A432,$E$4:$E$1510,"Win")))*SUMIFS($Z$4:$Z$1510,$A$4:$A$1510,$A432,$E$4:$E$1510,"Loss"),-('Guide &amp; Settings'!$C$42/($F432-1))*$Z432)))</f>
        <v>21.659251924971606</v>
      </c>
      <c r="AB432" s="126">
        <f t="shared" si="136"/>
        <v>960.17176273348775</v>
      </c>
      <c r="AC432" s="126">
        <f>IF($D432="","",IF($AD432=0,0,IF(COUNTIFS($D$4:$D432,$D432,$B$4:$B432,$B432)&gt;1,0,IF($B432&lt;'Guide &amp; Settings'!$C$50,0,IF(($B432-$AD432)/7-'Guide &amp; Settings'!$C$48&gt;=0,(INT(($B432-$AD432)/7-'Guide &amp; Settings'!$C$48)+1)*'Guide &amp; Settings'!$C$49,0)))))</f>
        <v>0</v>
      </c>
      <c r="AD432" s="142">
        <f t="shared" si="137"/>
        <v>46229</v>
      </c>
      <c r="AE432">
        <f t="shared" si="138"/>
        <v>1</v>
      </c>
      <c r="AF432">
        <f t="shared" si="139"/>
        <v>0</v>
      </c>
    </row>
    <row r="433" spans="1:32" x14ac:dyDescent="0.2">
      <c r="A433" s="117">
        <v>186</v>
      </c>
      <c r="B433" s="118">
        <v>46236</v>
      </c>
      <c r="C433" s="119" t="s">
        <v>50</v>
      </c>
      <c r="D433" s="119" t="s">
        <v>20</v>
      </c>
      <c r="E433" s="117" t="s">
        <v>371</v>
      </c>
      <c r="F433" s="120">
        <f t="shared" si="120"/>
        <v>2</v>
      </c>
      <c r="G433" s="121" t="str">
        <f t="shared" si="121"/>
        <v>Daniel (Ferret)</v>
      </c>
      <c r="H433" s="122">
        <f>IF($D433="",0,IFERROR(LOOKUP(2,1/(($D$3:D432=$D433)*($A$3:A432&lt;$A433)),$N$3:N432),'Guide &amp; Settings'!$C$41))</f>
        <v>1131.1935153269121</v>
      </c>
      <c r="I433" s="123">
        <f t="shared" si="122"/>
        <v>0.65</v>
      </c>
      <c r="J433" s="124">
        <f>IF($D433="",0,IF($F433&lt;2,0,IF($E433="Win",('Guide &amp; Settings'!$C$42/(($F433-1)*COUNTIFS($A$4:$A$1510,$A433,$E$4:$E$1510,"Win")))*SUMIFS($X$4:$X$1510,$A$4:$A$1510,$A433,$E$4:$E$1510,"Loss"),-('Guide &amp; Settings'!$C$42/($F433-1))*$X433)))</f>
        <v>-19.201334087911338</v>
      </c>
      <c r="K433" s="124">
        <f>IF($D433="",0,'Guide &amp; Settings'!$C$43*(IF($E433="Win",1,0)-$I433))</f>
        <v>-7.8000000000000007</v>
      </c>
      <c r="L433" s="125">
        <f>IF($D433="",0,'Guide &amp; Settings'!$C$44*IF($F433&gt;=3,$F433,0))</f>
        <v>0</v>
      </c>
      <c r="M433" s="124">
        <f t="shared" si="123"/>
        <v>-27.001334087911339</v>
      </c>
      <c r="N433" s="122">
        <f t="shared" si="124"/>
        <v>1104.1921812390008</v>
      </c>
      <c r="O433" s="121" t="str">
        <f t="shared" si="125"/>
        <v>OK</v>
      </c>
      <c r="P433">
        <f t="shared" si="126"/>
        <v>1077.3445954090791</v>
      </c>
      <c r="Q433">
        <f t="shared" si="127"/>
        <v>0.57688020865762069</v>
      </c>
      <c r="R433">
        <f t="shared" si="128"/>
        <v>0.61904761904761907</v>
      </c>
      <c r="S433">
        <f t="shared" si="129"/>
        <v>0.95238095238095233</v>
      </c>
      <c r="T433" s="89">
        <f t="shared" si="130"/>
        <v>19</v>
      </c>
      <c r="U433" s="126">
        <f>IF($D433="",0,IFERROR(LOOKUP(2,1/(($D$3:D432=$D433)*($C$3:C432=$C433)*($A$3:A432&lt;$A433)),$AB$3:AB432),1000))</f>
        <v>1045.2898568471819</v>
      </c>
      <c r="V433" s="126">
        <f t="shared" si="131"/>
        <v>1063.1864523637923</v>
      </c>
      <c r="W433">
        <f t="shared" si="132"/>
        <v>992.71977181004092</v>
      </c>
      <c r="X433">
        <f t="shared" si="133"/>
        <v>0.60004169024722931</v>
      </c>
      <c r="Y433">
        <f t="shared" si="134"/>
        <v>960.17176273348775</v>
      </c>
      <c r="Z433">
        <f t="shared" si="135"/>
        <v>0.62010151745294084</v>
      </c>
      <c r="AA433">
        <f>IF($D433="",0,IF($F433&lt;2,0,IF($E433="Win",('Guide &amp; Settings'!$C$42/(($F433-1)*COUNTIFS($A$4:$A$1510,$A433,$E$4:$E$1510,"Win")))*SUMIFS($Z$4:$Z$1510,$A$4:$A$1510,$A433,$E$4:$E$1510,"Loss"),-('Guide &amp; Settings'!$C$42/($F433-1))*$Z433)))</f>
        <v>-19.843248558494107</v>
      </c>
      <c r="AB433" s="126">
        <f t="shared" si="136"/>
        <v>1025.4466082886879</v>
      </c>
      <c r="AC433" s="126">
        <f>IF($D433="","",IF($AD433=0,0,IF(COUNTIFS($D$4:$D433,$D433,$B$4:$B433,$B433)&gt;1,0,IF($B433&lt;'Guide &amp; Settings'!$C$50,0,IF(($B433-$AD433)/7-'Guide &amp; Settings'!$C$48&gt;=0,(INT(($B433-$AD433)/7-'Guide &amp; Settings'!$C$48)+1)*'Guide &amp; Settings'!$C$49,0)))))</f>
        <v>0</v>
      </c>
      <c r="AD433" s="142">
        <f t="shared" si="137"/>
        <v>46229</v>
      </c>
      <c r="AE433">
        <f t="shared" si="138"/>
        <v>1</v>
      </c>
      <c r="AF433">
        <f t="shared" si="139"/>
        <v>0</v>
      </c>
    </row>
    <row r="434" spans="1:32" x14ac:dyDescent="0.2">
      <c r="A434" s="117">
        <v>186</v>
      </c>
      <c r="B434" s="118">
        <v>46236</v>
      </c>
      <c r="C434" s="119" t="s">
        <v>50</v>
      </c>
      <c r="D434" s="119" t="s">
        <v>22</v>
      </c>
      <c r="E434" s="117" t="s">
        <v>370</v>
      </c>
      <c r="F434" s="120">
        <f t="shared" si="120"/>
        <v>2</v>
      </c>
      <c r="G434" s="121" t="str">
        <f t="shared" si="121"/>
        <v>Daniel (Ferret)</v>
      </c>
      <c r="H434" s="122">
        <f>IF($D434="",0,IFERROR(LOOKUP(2,1/(($D$3:D433=$D434)*($A$3:A433&lt;$A434)),$N$3:N433),'Guide &amp; Settings'!$C$41))</f>
        <v>1077.3445954090791</v>
      </c>
      <c r="I434" s="123">
        <f t="shared" si="122"/>
        <v>0.35</v>
      </c>
      <c r="J434" s="124">
        <f>IF($D434="",0,IF($F434&lt;2,0,IF($E434="Win",('Guide &amp; Settings'!$C$42/(($F434-1)*COUNTIFS($A$4:$A$1510,$A434,$E$4:$E$1510,"Win")))*SUMIFS($X$4:$X$1510,$A$4:$A$1510,$A434,$E$4:$E$1510,"Loss"),-('Guide &amp; Settings'!$C$42/($F434-1))*$X434)))</f>
        <v>19.201334087911338</v>
      </c>
      <c r="K434" s="124">
        <f>IF($D434="",0,'Guide &amp; Settings'!$C$43*(IF($E434="Win",1,0)-$I434))</f>
        <v>7.8000000000000007</v>
      </c>
      <c r="L434" s="125">
        <f>IF($D434="",0,'Guide &amp; Settings'!$C$44*IF($F434&gt;=3,$F434,0))</f>
        <v>0</v>
      </c>
      <c r="M434" s="124">
        <f t="shared" si="123"/>
        <v>27.001334087911339</v>
      </c>
      <c r="N434" s="122">
        <f t="shared" si="124"/>
        <v>1104.3459294969905</v>
      </c>
      <c r="O434" s="121" t="str">
        <f t="shared" si="125"/>
        <v>OK</v>
      </c>
      <c r="P434">
        <f t="shared" si="126"/>
        <v>1077.3445954090791</v>
      </c>
      <c r="Q434">
        <f t="shared" si="127"/>
        <v>0.5</v>
      </c>
      <c r="R434">
        <f t="shared" si="128"/>
        <v>0.33333333333333331</v>
      </c>
      <c r="S434">
        <f t="shared" si="129"/>
        <v>0.95238095238095233</v>
      </c>
      <c r="T434" s="89">
        <f t="shared" si="130"/>
        <v>13</v>
      </c>
      <c r="U434" s="126">
        <f>IF($D434="",0,IFERROR(LOOKUP(2,1/(($D$3:D433=$D434)*($C$3:C433=$C434)*($A$3:A433&lt;$A434)),$AB$3:AB433),1000))</f>
        <v>960.17176273348775</v>
      </c>
      <c r="V434" s="126">
        <f t="shared" si="131"/>
        <v>992.71977181004092</v>
      </c>
      <c r="W434">
        <f t="shared" si="132"/>
        <v>992.71977181004092</v>
      </c>
      <c r="X434">
        <f t="shared" si="133"/>
        <v>0.5</v>
      </c>
      <c r="Y434">
        <f t="shared" si="134"/>
        <v>960.17176273348775</v>
      </c>
      <c r="Z434">
        <f t="shared" si="135"/>
        <v>0.5</v>
      </c>
      <c r="AA434">
        <f>IF($D434="",0,IF($F434&lt;2,0,IF($E434="Win",('Guide &amp; Settings'!$C$42/(($F434-1)*COUNTIFS($A$4:$A$1510,$A434,$E$4:$E$1510,"Win")))*SUMIFS($Z$4:$Z$1510,$A$4:$A$1510,$A434,$E$4:$E$1510,"Loss"),-('Guide &amp; Settings'!$C$42/($F434-1))*$Z434)))</f>
        <v>19.843248558494107</v>
      </c>
      <c r="AB434" s="126">
        <f t="shared" si="136"/>
        <v>980.01501129198186</v>
      </c>
      <c r="AC434" s="126">
        <f>IF($D434="","",IF($AD434=0,0,IF(COUNTIFS($D$4:$D434,$D434,$B$4:$B434,$B434)&gt;1,0,IF($B434&lt;'Guide &amp; Settings'!$C$50,0,IF(($B434-$AD434)/7-'Guide &amp; Settings'!$C$48&gt;=0,(INT(($B434-$AD434)/7-'Guide &amp; Settings'!$C$48)+1)*'Guide &amp; Settings'!$C$49,0)))))</f>
        <v>0</v>
      </c>
      <c r="AD434" s="142">
        <f t="shared" si="137"/>
        <v>46229</v>
      </c>
      <c r="AE434">
        <f t="shared" si="138"/>
        <v>1</v>
      </c>
      <c r="AF434">
        <f t="shared" si="139"/>
        <v>0</v>
      </c>
    </row>
    <row r="435" spans="1:32" x14ac:dyDescent="0.2">
      <c r="A435" s="117">
        <v>187</v>
      </c>
      <c r="B435" s="118">
        <v>46241</v>
      </c>
      <c r="C435" s="119" t="s">
        <v>50</v>
      </c>
      <c r="D435" s="119" t="s">
        <v>20</v>
      </c>
      <c r="E435" s="117" t="s">
        <v>370</v>
      </c>
      <c r="F435" s="120">
        <f t="shared" si="120"/>
        <v>2</v>
      </c>
      <c r="G435" s="121" t="str">
        <f t="shared" si="121"/>
        <v>Shawn</v>
      </c>
      <c r="H435" s="122">
        <f>IF($D435="",0,IFERROR(LOOKUP(2,1/(($D$3:D434=$D435)*($A$3:A434&lt;$A435)),$N$3:N434),'Guide &amp; Settings'!$C$41))</f>
        <v>1104.1921812390008</v>
      </c>
      <c r="I435" s="123">
        <f t="shared" si="122"/>
        <v>0.61176470588235299</v>
      </c>
      <c r="J435" s="124">
        <f>IF($D435="",0,IF($F435&lt;2,0,IF($E435="Win",('Guide &amp; Settings'!$C$42/(($F435-1)*COUNTIFS($A$4:$A$1510,$A435,$E$4:$E$1510,"Win")))*SUMIFS($X$4:$X$1510,$A$4:$A$1510,$A435,$E$4:$E$1510,"Loss"),-('Guide &amp; Settings'!$C$42/($F435-1))*$X435)))</f>
        <v>16.561954414941418</v>
      </c>
      <c r="K435" s="124">
        <f>IF($D435="",0,'Guide &amp; Settings'!$C$43*(IF($E435="Win",1,0)-$I435))</f>
        <v>4.6588235294117641</v>
      </c>
      <c r="L435" s="125">
        <f>IF($D435="",0,'Guide &amp; Settings'!$C$44*IF($F435&gt;=3,$F435,0))</f>
        <v>0</v>
      </c>
      <c r="M435" s="124">
        <f t="shared" si="123"/>
        <v>21.220777944353181</v>
      </c>
      <c r="N435" s="122">
        <f t="shared" si="124"/>
        <v>1125.4129591833539</v>
      </c>
      <c r="O435" s="121" t="str">
        <f t="shared" si="125"/>
        <v>OK</v>
      </c>
      <c r="P435">
        <f t="shared" si="126"/>
        <v>1104.1921812390008</v>
      </c>
      <c r="Q435">
        <f t="shared" si="127"/>
        <v>0.5</v>
      </c>
      <c r="R435">
        <f t="shared" si="128"/>
        <v>0.59090909090909094</v>
      </c>
      <c r="S435">
        <f t="shared" si="129"/>
        <v>0.96590909090909094</v>
      </c>
      <c r="T435" s="89">
        <f t="shared" si="130"/>
        <v>20</v>
      </c>
      <c r="U435" s="126">
        <f>IF($D435="",0,IFERROR(LOOKUP(2,1/(($D$3:D434=$D435)*($C$3:C434=$C435)*($A$3:A434&lt;$A435)),$AB$3:AB434),1000))</f>
        <v>1025.4466082886879</v>
      </c>
      <c r="V435" s="126">
        <f t="shared" si="131"/>
        <v>1041.1957228787505</v>
      </c>
      <c r="W435">
        <f t="shared" si="132"/>
        <v>1041.1957228787505</v>
      </c>
      <c r="X435">
        <f t="shared" si="133"/>
        <v>0.5</v>
      </c>
      <c r="Y435">
        <f t="shared" si="134"/>
        <v>1025.4466082886879</v>
      </c>
      <c r="Z435">
        <f t="shared" si="135"/>
        <v>0.5</v>
      </c>
      <c r="AA435">
        <f>IF($D435="",0,IF($F435&lt;2,0,IF($E435="Win",('Guide &amp; Settings'!$C$42/(($F435-1)*COUNTIFS($A$4:$A$1510,$A435,$E$4:$E$1510,"Win")))*SUMIFS($Z$4:$Z$1510,$A$4:$A$1510,$A435,$E$4:$E$1510,"Loss"),-('Guide &amp; Settings'!$C$42/($F435-1))*$Z435)))</f>
        <v>14.893856316260326</v>
      </c>
      <c r="AB435" s="126">
        <f t="shared" si="136"/>
        <v>1040.3404646049482</v>
      </c>
      <c r="AC435" s="126">
        <f>IF($D435="","",IF($AD435=0,0,IF(COUNTIFS($D$4:$D435,$D435,$B$4:$B435,$B435)&gt;1,0,IF($B435&lt;'Guide &amp; Settings'!$C$50,0,IF(($B435-$AD435)/7-'Guide &amp; Settings'!$C$48&gt;=0,(INT(($B435-$AD435)/7-'Guide &amp; Settings'!$C$48)+1)*'Guide &amp; Settings'!$C$49,0)))))</f>
        <v>0</v>
      </c>
      <c r="AD435" s="142">
        <f t="shared" si="137"/>
        <v>46236</v>
      </c>
      <c r="AE435">
        <f t="shared" si="138"/>
        <v>1</v>
      </c>
      <c r="AF435">
        <f t="shared" si="139"/>
        <v>0</v>
      </c>
    </row>
    <row r="436" spans="1:32" x14ac:dyDescent="0.2">
      <c r="A436" s="117">
        <v>187</v>
      </c>
      <c r="B436" s="118">
        <v>46241</v>
      </c>
      <c r="C436" s="119" t="s">
        <v>50</v>
      </c>
      <c r="D436" s="119" t="s">
        <v>25</v>
      </c>
      <c r="E436" s="117" t="s">
        <v>371</v>
      </c>
      <c r="F436" s="120">
        <f t="shared" si="120"/>
        <v>2</v>
      </c>
      <c r="G436" s="121" t="str">
        <f t="shared" si="121"/>
        <v>Shawn</v>
      </c>
      <c r="H436" s="122">
        <f>IF($D436="",0,IFERROR(LOOKUP(2,1/(($D$3:D435=$D436)*($A$3:A435&lt;$A436)),$N$3:N435),'Guide &amp; Settings'!$C$41))</f>
        <v>1115.8211932271754</v>
      </c>
      <c r="I436" s="123">
        <f t="shared" si="122"/>
        <v>0.38823529411764707</v>
      </c>
      <c r="J436" s="124">
        <f>IF($D436="",0,IF($F436&lt;2,0,IF($E436="Win",('Guide &amp; Settings'!$C$42/(($F436-1)*COUNTIFS($A$4:$A$1510,$A436,$E$4:$E$1510,"Win")))*SUMIFS($X$4:$X$1510,$A$4:$A$1510,$A436,$E$4:$E$1510,"Loss"),-('Guide &amp; Settings'!$C$42/($F436-1))*$X436)))</f>
        <v>-16.561954414941418</v>
      </c>
      <c r="K436" s="124">
        <f>IF($D436="",0,'Guide &amp; Settings'!$C$43*(IF($E436="Win",1,0)-$I436))</f>
        <v>-4.658823529411765</v>
      </c>
      <c r="L436" s="125">
        <f>IF($D436="",0,'Guide &amp; Settings'!$C$44*IF($F436&gt;=3,$F436,0))</f>
        <v>0</v>
      </c>
      <c r="M436" s="124">
        <f t="shared" si="123"/>
        <v>-21.220777944353184</v>
      </c>
      <c r="N436" s="122">
        <f t="shared" si="124"/>
        <v>1094.6004152828223</v>
      </c>
      <c r="O436" s="121" t="str">
        <f t="shared" si="125"/>
        <v>OK</v>
      </c>
      <c r="P436">
        <f t="shared" si="126"/>
        <v>1104.1921812390008</v>
      </c>
      <c r="Q436">
        <f t="shared" si="127"/>
        <v>0.51672924670067555</v>
      </c>
      <c r="R436">
        <f t="shared" si="128"/>
        <v>0.375</v>
      </c>
      <c r="S436">
        <f t="shared" si="129"/>
        <v>0.96590909090909094</v>
      </c>
      <c r="T436" s="89">
        <f t="shared" si="130"/>
        <v>6</v>
      </c>
      <c r="U436" s="126">
        <f>IF($D436="",0,IFERROR(LOOKUP(2,1/(($D$3:D435=$D436)*($C$3:C435=$C436)*($A$3:A435&lt;$A436)),$AB$3:AB435),1000))</f>
        <v>1001.3886259796478</v>
      </c>
      <c r="V436" s="126">
        <f t="shared" si="131"/>
        <v>1053.4034292739786</v>
      </c>
      <c r="W436">
        <f t="shared" si="132"/>
        <v>1041.1957228787505</v>
      </c>
      <c r="X436">
        <f t="shared" si="133"/>
        <v>0.51756107546691932</v>
      </c>
      <c r="Y436">
        <f t="shared" si="134"/>
        <v>1025.4466082886879</v>
      </c>
      <c r="Z436">
        <f t="shared" si="135"/>
        <v>0.46543300988313518</v>
      </c>
      <c r="AA436">
        <f>IF($D436="",0,IF($F436&lt;2,0,IF($E436="Win",('Guide &amp; Settings'!$C$42/(($F436-1)*COUNTIFS($A$4:$A$1510,$A436,$E$4:$E$1510,"Win")))*SUMIFS($Z$4:$Z$1510,$A$4:$A$1510,$A436,$E$4:$E$1510,"Loss"),-('Guide &amp; Settings'!$C$42/($F436-1))*$Z436)))</f>
        <v>-14.893856316260326</v>
      </c>
      <c r="AB436" s="126">
        <f t="shared" si="136"/>
        <v>986.4947696633875</v>
      </c>
      <c r="AC436" s="126">
        <f>IF($D436="","",IF($AD436=0,0,IF(COUNTIFS($D$4:$D436,$D436,$B$4:$B436,$B436)&gt;1,0,IF($B436&lt;'Guide &amp; Settings'!$C$50,0,IF(($B436-$AD436)/7-'Guide &amp; Settings'!$C$48&gt;=0,(INT(($B436-$AD436)/7-'Guide &amp; Settings'!$C$48)+1)*'Guide &amp; Settings'!$C$49,0)))))</f>
        <v>0</v>
      </c>
      <c r="AD436" s="142">
        <f t="shared" si="137"/>
        <v>46220</v>
      </c>
      <c r="AE436">
        <f t="shared" si="138"/>
        <v>1</v>
      </c>
      <c r="AF436">
        <f t="shared" si="139"/>
        <v>0</v>
      </c>
    </row>
    <row r="437" spans="1:32" x14ac:dyDescent="0.2">
      <c r="A437" s="117">
        <v>188</v>
      </c>
      <c r="B437" s="118">
        <v>46241</v>
      </c>
      <c r="C437" s="119" t="s">
        <v>50</v>
      </c>
      <c r="D437" s="119" t="s">
        <v>20</v>
      </c>
      <c r="E437" s="117" t="s">
        <v>370</v>
      </c>
      <c r="F437" s="120">
        <f t="shared" si="120"/>
        <v>3</v>
      </c>
      <c r="G437" s="121" t="str">
        <f t="shared" si="121"/>
        <v>Shawn</v>
      </c>
      <c r="H437" s="122">
        <f>IF($D437="",0,IFERROR(LOOKUP(2,1/(($D$3:D436=$D437)*($A$3:A436&lt;$A437)),$N$3:N436),'Guide &amp; Settings'!$C$41))</f>
        <v>1125.4129591833539</v>
      </c>
      <c r="I437" s="123">
        <f t="shared" si="122"/>
        <v>0.46217331499312247</v>
      </c>
      <c r="J437" s="124">
        <f>IF($D437="",0,IF($F437&lt;2,0,IF($E437="Win",('Guide &amp; Settings'!$C$42/(($F437-1)*COUNTIFS($A$4:$A$1510,$A437,$E$4:$E$1510,"Win")))*SUMIFS($X$4:$X$1510,$A$4:$A$1510,$A437,$E$4:$E$1510,"Loss"),-('Guide &amp; Settings'!$C$42/($F437-1))*$X437)))</f>
        <v>14.414634341066805</v>
      </c>
      <c r="K437" s="124">
        <f>IF($D437="",0,'Guide &amp; Settings'!$C$43*(IF($E437="Win",1,0)-$I437))</f>
        <v>6.453920220082531</v>
      </c>
      <c r="L437" s="125">
        <f>IF($D437="",0,'Guide &amp; Settings'!$C$44*IF($F437&gt;=3,$F437,0))</f>
        <v>3</v>
      </c>
      <c r="M437" s="124">
        <f t="shared" si="123"/>
        <v>23.868554561149335</v>
      </c>
      <c r="N437" s="122">
        <f t="shared" si="124"/>
        <v>1149.2815137445032</v>
      </c>
      <c r="O437" s="121" t="str">
        <f t="shared" si="125"/>
        <v>OK</v>
      </c>
      <c r="P437">
        <f t="shared" si="126"/>
        <v>1125.4129591833539</v>
      </c>
      <c r="Q437">
        <f t="shared" si="127"/>
        <v>0.5</v>
      </c>
      <c r="R437">
        <f t="shared" si="128"/>
        <v>0.60869565217391308</v>
      </c>
      <c r="S437">
        <f t="shared" si="129"/>
        <v>1.3170289855072463</v>
      </c>
      <c r="T437" s="89">
        <f t="shared" si="130"/>
        <v>21</v>
      </c>
      <c r="U437" s="126">
        <f>IF($D437="",0,IFERROR(LOOKUP(2,1/(($D$3:D436=$D437)*($C$3:C436=$C437)*($A$3:A436&lt;$A437)),$AB$3:AB436),1000))</f>
        <v>1040.3404646049482</v>
      </c>
      <c r="V437" s="126">
        <f t="shared" si="131"/>
        <v>1056.7005597161801</v>
      </c>
      <c r="W437">
        <f t="shared" si="132"/>
        <v>1056.7005597161801</v>
      </c>
      <c r="X437">
        <f t="shared" si="133"/>
        <v>0.5</v>
      </c>
      <c r="Y437">
        <f t="shared" si="134"/>
        <v>1040.3404646049482</v>
      </c>
      <c r="Z437">
        <f t="shared" si="135"/>
        <v>0.5</v>
      </c>
      <c r="AA437">
        <f>IF($D437="",0,IF($F437&lt;2,0,IF($E437="Win",('Guide &amp; Settings'!$C$42/(($F437-1)*COUNTIFS($A$4:$A$1510,$A437,$E$4:$E$1510,"Win")))*SUMIFS($Z$4:$Z$1510,$A$4:$A$1510,$A437,$E$4:$E$1510,"Loss"),-('Guide &amp; Settings'!$C$42/($F437-1))*$Z437)))</f>
        <v>13.394736753343278</v>
      </c>
      <c r="AB437" s="126">
        <f t="shared" si="136"/>
        <v>1053.7352013582915</v>
      </c>
      <c r="AC437" s="126">
        <f>IF($D437="","",IF($AD437=0,0,IF(COUNTIFS($D$4:$D437,$D437,$B$4:$B437,$B437)&gt;1,0,IF($B437&lt;'Guide &amp; Settings'!$C$50,0,IF(($B437-$AD437)/7-'Guide &amp; Settings'!$C$48&gt;=0,(INT(($B437-$AD437)/7-'Guide &amp; Settings'!$C$48)+1)*'Guide &amp; Settings'!$C$49,0)))))</f>
        <v>0</v>
      </c>
      <c r="AD437" s="142">
        <f t="shared" si="137"/>
        <v>46236</v>
      </c>
      <c r="AE437">
        <f t="shared" si="138"/>
        <v>1</v>
      </c>
      <c r="AF437">
        <f t="shared" si="139"/>
        <v>0</v>
      </c>
    </row>
    <row r="438" spans="1:32" x14ac:dyDescent="0.2">
      <c r="A438" s="117">
        <v>188</v>
      </c>
      <c r="B438" s="118">
        <v>46241</v>
      </c>
      <c r="C438" s="119" t="s">
        <v>50</v>
      </c>
      <c r="D438" s="119" t="s">
        <v>22</v>
      </c>
      <c r="E438" s="117" t="s">
        <v>371</v>
      </c>
      <c r="F438" s="120">
        <f t="shared" si="120"/>
        <v>3</v>
      </c>
      <c r="G438" s="121" t="str">
        <f t="shared" si="121"/>
        <v>Shawn</v>
      </c>
      <c r="H438" s="122">
        <f>IF($D438="",0,IFERROR(LOOKUP(2,1/(($D$3:D437=$D438)*($A$3:A437&lt;$A438)),$N$3:N437),'Guide &amp; Settings'!$C$41))</f>
        <v>1104.3459294969905</v>
      </c>
      <c r="I438" s="123">
        <f t="shared" si="122"/>
        <v>0.28473177441540576</v>
      </c>
      <c r="J438" s="124">
        <f>IF($D438="",0,IF($F438&lt;2,0,IF($E438="Win",('Guide &amp; Settings'!$C$42/(($F438-1)*COUNTIFS($A$4:$A$1510,$A438,$E$4:$E$1510,"Win")))*SUMIFS($X$4:$X$1510,$A$4:$A$1510,$A438,$E$4:$E$1510,"Loss"),-('Guide &amp; Settings'!$C$42/($F438-1))*$X438)))</f>
        <v>-6.9929947440660873</v>
      </c>
      <c r="K438" s="124">
        <f>IF($D438="",0,'Guide &amp; Settings'!$C$43*(IF($E438="Win",1,0)-$I438))</f>
        <v>-3.4167812929848691</v>
      </c>
      <c r="L438" s="125">
        <f>IF($D438="",0,'Guide &amp; Settings'!$C$44*IF($F438&gt;=3,$F438,0))</f>
        <v>3</v>
      </c>
      <c r="M438" s="124">
        <f t="shared" si="123"/>
        <v>-7.4097760370509569</v>
      </c>
      <c r="N438" s="122">
        <f t="shared" si="124"/>
        <v>1096.9361534599395</v>
      </c>
      <c r="O438" s="121" t="str">
        <f t="shared" si="125"/>
        <v>OK</v>
      </c>
      <c r="P438">
        <f t="shared" si="126"/>
        <v>1125.4129591833539</v>
      </c>
      <c r="Q438">
        <f t="shared" si="127"/>
        <v>0.46971920920103316</v>
      </c>
      <c r="R438">
        <f t="shared" si="128"/>
        <v>0.375</v>
      </c>
      <c r="S438">
        <f t="shared" si="129"/>
        <v>1.3170289855072463</v>
      </c>
      <c r="T438" s="89">
        <f t="shared" si="130"/>
        <v>14</v>
      </c>
      <c r="U438" s="126">
        <f>IF($D438="",0,IFERROR(LOOKUP(2,1/(($D$3:D437=$D438)*($C$3:C437=$C438)*($A$3:A437&lt;$A438)),$AB$3:AB437),1000))</f>
        <v>980.01501129198186</v>
      </c>
      <c r="V438" s="126">
        <f t="shared" si="131"/>
        <v>1012.7336739775105</v>
      </c>
      <c r="W438">
        <f t="shared" si="132"/>
        <v>1056.7005597161801</v>
      </c>
      <c r="X438">
        <f t="shared" si="133"/>
        <v>0.43706217150413046</v>
      </c>
      <c r="Y438">
        <f t="shared" si="134"/>
        <v>1040.3404646049482</v>
      </c>
      <c r="Z438">
        <f t="shared" si="135"/>
        <v>0.41404672434762696</v>
      </c>
      <c r="AA438">
        <f>IF($D438="",0,IF($F438&lt;2,0,IF($E438="Win",('Guide &amp; Settings'!$C$42/(($F438-1)*COUNTIFS($A$4:$A$1510,$A438,$E$4:$E$1510,"Win")))*SUMIFS($Z$4:$Z$1510,$A$4:$A$1510,$A438,$E$4:$E$1510,"Loss"),-('Guide &amp; Settings'!$C$42/($F438-1))*$Z438)))</f>
        <v>-6.6247475895620314</v>
      </c>
      <c r="AB438" s="126">
        <f t="shared" si="136"/>
        <v>973.39026370241982</v>
      </c>
      <c r="AC438" s="126">
        <f>IF($D438="","",IF($AD438=0,0,IF(COUNTIFS($D$4:$D438,$D438,$B$4:$B438,$B438)&gt;1,0,IF($B438&lt;'Guide &amp; Settings'!$C$50,0,IF(($B438-$AD438)/7-'Guide &amp; Settings'!$C$48&gt;=0,(INT(($B438-$AD438)/7-'Guide &amp; Settings'!$C$48)+1)*'Guide &amp; Settings'!$C$49,0)))))</f>
        <v>0</v>
      </c>
      <c r="AD438" s="142">
        <f t="shared" si="137"/>
        <v>46236</v>
      </c>
      <c r="AE438">
        <f t="shared" si="138"/>
        <v>1</v>
      </c>
      <c r="AF438">
        <f t="shared" si="139"/>
        <v>0</v>
      </c>
    </row>
    <row r="439" spans="1:32" x14ac:dyDescent="0.2">
      <c r="A439" s="117">
        <v>188</v>
      </c>
      <c r="B439" s="118">
        <v>46241</v>
      </c>
      <c r="C439" s="119" t="s">
        <v>50</v>
      </c>
      <c r="D439" s="119" t="s">
        <v>25</v>
      </c>
      <c r="E439" s="117" t="s">
        <v>371</v>
      </c>
      <c r="F439" s="120">
        <f t="shared" si="120"/>
        <v>3</v>
      </c>
      <c r="G439" s="121" t="str">
        <f t="shared" si="121"/>
        <v>Shawn</v>
      </c>
      <c r="H439" s="122">
        <f>IF($D439="",0,IFERROR(LOOKUP(2,1/(($D$3:D438=$D439)*($A$3:A438&lt;$A439)),$N$3:N438),'Guide &amp; Settings'!$C$41))</f>
        <v>1094.6004152828223</v>
      </c>
      <c r="I439" s="123">
        <f t="shared" si="122"/>
        <v>0.25309491059147182</v>
      </c>
      <c r="J439" s="124">
        <f>IF($D439="",0,IF($F439&lt;2,0,IF($E439="Win",('Guide &amp; Settings'!$C$42/(($F439-1)*COUNTIFS($A$4:$A$1510,$A439,$E$4:$E$1510,"Win")))*SUMIFS($X$4:$X$1510,$A$4:$A$1510,$A439,$E$4:$E$1510,"Loss"),-('Guide &amp; Settings'!$C$42/($F439-1))*$X439)))</f>
        <v>-7.4216395970007172</v>
      </c>
      <c r="K439" s="124">
        <f>IF($D439="",0,'Guide &amp; Settings'!$C$43*(IF($E439="Win",1,0)-$I439))</f>
        <v>-3.0371389270976619</v>
      </c>
      <c r="L439" s="125">
        <f>IF($D439="",0,'Guide &amp; Settings'!$C$44*IF($F439&gt;=3,$F439,0))</f>
        <v>3</v>
      </c>
      <c r="M439" s="124">
        <f t="shared" si="123"/>
        <v>-7.4587785240983795</v>
      </c>
      <c r="N439" s="122">
        <f t="shared" si="124"/>
        <v>1087.141636758724</v>
      </c>
      <c r="O439" s="121" t="str">
        <f t="shared" si="125"/>
        <v>OK</v>
      </c>
      <c r="P439">
        <f t="shared" si="126"/>
        <v>1125.4129591833539</v>
      </c>
      <c r="Q439">
        <f t="shared" si="127"/>
        <v>0.45577307441929471</v>
      </c>
      <c r="R439">
        <f t="shared" si="128"/>
        <v>0.33333333333333331</v>
      </c>
      <c r="S439">
        <f t="shared" si="129"/>
        <v>1.3170289855072463</v>
      </c>
      <c r="T439" s="89">
        <f t="shared" si="130"/>
        <v>7</v>
      </c>
      <c r="U439" s="126">
        <f>IF($D439="",0,IFERROR(LOOKUP(2,1/(($D$3:D438=$D439)*($C$3:C438=$C439)*($A$3:A438&lt;$A439)),$AB$3:AB438),1000))</f>
        <v>986.4947696633875</v>
      </c>
      <c r="V439" s="126">
        <f t="shared" si="131"/>
        <v>1031.5387886714852</v>
      </c>
      <c r="W439">
        <f t="shared" si="132"/>
        <v>1056.7005597161801</v>
      </c>
      <c r="X439">
        <f t="shared" si="133"/>
        <v>0.46385247481254482</v>
      </c>
      <c r="Y439">
        <f t="shared" si="134"/>
        <v>1040.3404646049482</v>
      </c>
      <c r="Z439">
        <f t="shared" si="135"/>
        <v>0.42312432273632783</v>
      </c>
      <c r="AA439">
        <f>IF($D439="",0,IF($F439&lt;2,0,IF($E439="Win",('Guide &amp; Settings'!$C$42/(($F439-1)*COUNTIFS($A$4:$A$1510,$A439,$E$4:$E$1510,"Win")))*SUMIFS($Z$4:$Z$1510,$A$4:$A$1510,$A439,$E$4:$E$1510,"Loss"),-('Guide &amp; Settings'!$C$42/($F439-1))*$Z439)))</f>
        <v>-6.7699891637812453</v>
      </c>
      <c r="AB439" s="126">
        <f t="shared" si="136"/>
        <v>979.72478049960625</v>
      </c>
      <c r="AC439" s="126">
        <f>IF($D439="","",IF($AD439=0,0,IF(COUNTIFS($D$4:$D439,$D439,$B$4:$B439,$B439)&gt;1,0,IF($B439&lt;'Guide &amp; Settings'!$C$50,0,IF(($B439-$AD439)/7-'Guide &amp; Settings'!$C$48&gt;=0,(INT(($B439-$AD439)/7-'Guide &amp; Settings'!$C$48)+1)*'Guide &amp; Settings'!$C$49,0)))))</f>
        <v>0</v>
      </c>
      <c r="AD439" s="142">
        <f t="shared" si="137"/>
        <v>46220</v>
      </c>
      <c r="AE439">
        <f t="shared" si="138"/>
        <v>1</v>
      </c>
      <c r="AF439">
        <f t="shared" si="139"/>
        <v>0</v>
      </c>
    </row>
    <row r="440" spans="1:32" x14ac:dyDescent="0.2">
      <c r="A440" s="117">
        <v>189</v>
      </c>
      <c r="B440" s="118">
        <v>46241</v>
      </c>
      <c r="C440" s="119" t="s">
        <v>50</v>
      </c>
      <c r="D440" s="119" t="s">
        <v>20</v>
      </c>
      <c r="E440" s="117" t="s">
        <v>371</v>
      </c>
      <c r="F440" s="120">
        <f t="shared" si="120"/>
        <v>3</v>
      </c>
      <c r="G440" s="121" t="str">
        <f t="shared" si="121"/>
        <v>Daniel (Ferret)</v>
      </c>
      <c r="H440" s="122">
        <f>IF($D440="",0,IFERROR(LOOKUP(2,1/(($D$3:D439=$D440)*($A$3:A439&lt;$A440)),$N$3:N439),'Guide &amp; Settings'!$C$41))</f>
        <v>1149.2815137445032</v>
      </c>
      <c r="I440" s="123">
        <f t="shared" si="122"/>
        <v>0.48906789413118523</v>
      </c>
      <c r="J440" s="124">
        <f>IF($D440="",0,IF($F440&lt;2,0,IF($E440="Win",('Guide &amp; Settings'!$C$42/(($F440-1)*COUNTIFS($A$4:$A$1510,$A440,$E$4:$E$1510,"Win")))*SUMIFS($X$4:$X$1510,$A$4:$A$1510,$A440,$E$4:$E$1510,"Loss"),-('Guide &amp; Settings'!$C$42/($F440-1))*$X440)))</f>
        <v>-9.5272663189957054</v>
      </c>
      <c r="K440" s="124">
        <f>IF($D440="",0,'Guide &amp; Settings'!$C$43*(IF($E440="Win",1,0)-$I440))</f>
        <v>-5.8688147295742228</v>
      </c>
      <c r="L440" s="125">
        <f>IF($D440="",0,'Guide &amp; Settings'!$C$44*IF($F440&gt;=3,$F440,0))</f>
        <v>3</v>
      </c>
      <c r="M440" s="124">
        <f t="shared" si="123"/>
        <v>-12.396081048569929</v>
      </c>
      <c r="N440" s="122">
        <f t="shared" si="124"/>
        <v>1136.8854326959333</v>
      </c>
      <c r="O440" s="121" t="str">
        <f t="shared" si="125"/>
        <v>OK</v>
      </c>
      <c r="P440">
        <f t="shared" si="126"/>
        <v>1096.9361534599395</v>
      </c>
      <c r="Q440">
        <f t="shared" si="127"/>
        <v>0.57476617594879886</v>
      </c>
      <c r="R440">
        <f t="shared" si="128"/>
        <v>0.625</v>
      </c>
      <c r="S440">
        <f t="shared" si="129"/>
        <v>1.2779411764705884</v>
      </c>
      <c r="T440" s="89">
        <f t="shared" si="130"/>
        <v>22</v>
      </c>
      <c r="U440" s="126">
        <f>IF($D440="",0,IFERROR(LOOKUP(2,1/(($D$3:D439=$D440)*($C$3:C439=$C440)*($A$3:A439&lt;$A440)),$AB$3:AB439),1000))</f>
        <v>1053.7352013582915</v>
      </c>
      <c r="V440" s="126">
        <f t="shared" si="131"/>
        <v>1071.4289629112936</v>
      </c>
      <c r="W440">
        <f t="shared" si="132"/>
        <v>1004.2767361417998</v>
      </c>
      <c r="X440">
        <f t="shared" si="133"/>
        <v>0.59545414493723159</v>
      </c>
      <c r="Y440">
        <f t="shared" si="134"/>
        <v>973.39026370241982</v>
      </c>
      <c r="Z440">
        <f t="shared" si="135"/>
        <v>0.61360770357947914</v>
      </c>
      <c r="AA440">
        <f>IF($D440="",0,IF($F440&lt;2,0,IF($E440="Win",('Guide &amp; Settings'!$C$42/(($F440-1)*COUNTIFS($A$4:$A$1510,$A440,$E$4:$E$1510,"Win")))*SUMIFS($Z$4:$Z$1510,$A$4:$A$1510,$A440,$E$4:$E$1510,"Loss"),-('Guide &amp; Settings'!$C$42/($F440-1))*$Z440)))</f>
        <v>-9.8177232572716662</v>
      </c>
      <c r="AB440" s="126">
        <f t="shared" si="136"/>
        <v>1043.9174781010199</v>
      </c>
      <c r="AC440" s="126">
        <f>IF($D440="","",IF($AD440=0,0,IF(COUNTIFS($D$4:$D440,$D440,$B$4:$B440,$B440)&gt;1,0,IF($B440&lt;'Guide &amp; Settings'!$C$50,0,IF(($B440-$AD440)/7-'Guide &amp; Settings'!$C$48&gt;=0,(INT(($B440-$AD440)/7-'Guide &amp; Settings'!$C$48)+1)*'Guide &amp; Settings'!$C$49,0)))))</f>
        <v>0</v>
      </c>
      <c r="AD440" s="142">
        <f t="shared" si="137"/>
        <v>46236</v>
      </c>
      <c r="AE440">
        <f t="shared" si="138"/>
        <v>1</v>
      </c>
      <c r="AF440">
        <f t="shared" si="139"/>
        <v>0</v>
      </c>
    </row>
    <row r="441" spans="1:32" x14ac:dyDescent="0.2">
      <c r="A441" s="117">
        <v>189</v>
      </c>
      <c r="B441" s="118">
        <v>46241</v>
      </c>
      <c r="C441" s="119" t="s">
        <v>50</v>
      </c>
      <c r="D441" s="119" t="s">
        <v>22</v>
      </c>
      <c r="E441" s="117" t="s">
        <v>370</v>
      </c>
      <c r="F441" s="120">
        <f t="shared" si="120"/>
        <v>3</v>
      </c>
      <c r="G441" s="121" t="str">
        <f t="shared" si="121"/>
        <v>Daniel (Ferret)</v>
      </c>
      <c r="H441" s="122">
        <f>IF($D441="",0,IFERROR(LOOKUP(2,1/(($D$3:D440=$D441)*($A$3:A440&lt;$A441)),$N$3:N440),'Guide &amp; Settings'!$C$41))</f>
        <v>1096.9361534599395</v>
      </c>
      <c r="I441" s="123">
        <f t="shared" si="122"/>
        <v>0.27617951668584578</v>
      </c>
      <c r="J441" s="124">
        <f>IF($D441="",0,IF($F441&lt;2,0,IF($E441="Win",('Guide &amp; Settings'!$C$42/(($F441-1)*COUNTIFS($A$4:$A$1510,$A441,$E$4:$E$1510,"Win")))*SUMIFS($X$4:$X$1510,$A$4:$A$1510,$A441,$E$4:$E$1510,"Loss"),-('Guide &amp; Settings'!$C$42/($F441-1))*$X441)))</f>
        <v>17.912931511773273</v>
      </c>
      <c r="K441" s="124">
        <f>IF($D441="",0,'Guide &amp; Settings'!$C$43*(IF($E441="Win",1,0)-$I441))</f>
        <v>8.6858457997698508</v>
      </c>
      <c r="L441" s="125">
        <f>IF($D441="",0,'Guide &amp; Settings'!$C$44*IF($F441&gt;=3,$F441,0))</f>
        <v>3</v>
      </c>
      <c r="M441" s="124">
        <f t="shared" si="123"/>
        <v>29.598777311543124</v>
      </c>
      <c r="N441" s="122">
        <f t="shared" si="124"/>
        <v>1126.5349307714825</v>
      </c>
      <c r="O441" s="121" t="str">
        <f t="shared" si="125"/>
        <v>OK</v>
      </c>
      <c r="P441">
        <f t="shared" si="126"/>
        <v>1096.9361534599395</v>
      </c>
      <c r="Q441">
        <f t="shared" si="127"/>
        <v>0.5</v>
      </c>
      <c r="R441">
        <f t="shared" si="128"/>
        <v>0.35294117647058826</v>
      </c>
      <c r="S441">
        <f t="shared" si="129"/>
        <v>1.2779411764705884</v>
      </c>
      <c r="T441" s="89">
        <f t="shared" si="130"/>
        <v>15</v>
      </c>
      <c r="U441" s="126">
        <f>IF($D441="",0,IFERROR(LOOKUP(2,1/(($D$3:D440=$D441)*($C$3:C440=$C441)*($A$3:A440&lt;$A441)),$AB$3:AB440),1000))</f>
        <v>973.39026370241982</v>
      </c>
      <c r="V441" s="126">
        <f t="shared" si="131"/>
        <v>1004.2767361417998</v>
      </c>
      <c r="W441">
        <f t="shared" si="132"/>
        <v>1004.2767361417998</v>
      </c>
      <c r="X441">
        <f t="shared" si="133"/>
        <v>0.5</v>
      </c>
      <c r="Y441">
        <f t="shared" si="134"/>
        <v>973.39026370241982</v>
      </c>
      <c r="Z441">
        <f t="shared" si="135"/>
        <v>0.5</v>
      </c>
      <c r="AA441">
        <f>IF($D441="",0,IF($F441&lt;2,0,IF($E441="Win",('Guide &amp; Settings'!$C$42/(($F441-1)*COUNTIFS($A$4:$A$1510,$A441,$E$4:$E$1510,"Win")))*SUMIFS($Z$4:$Z$1510,$A$4:$A$1510,$A441,$E$4:$E$1510,"Loss"),-('Guide &amp; Settings'!$C$42/($F441-1))*$Z441)))</f>
        <v>17.963564737232602</v>
      </c>
      <c r="AB441" s="126">
        <f t="shared" si="136"/>
        <v>991.35382843965237</v>
      </c>
      <c r="AC441" s="126">
        <f>IF($D441="","",IF($AD441=0,0,IF(COUNTIFS($D$4:$D441,$D441,$B$4:$B441,$B441)&gt;1,0,IF($B441&lt;'Guide &amp; Settings'!$C$50,0,IF(($B441-$AD441)/7-'Guide &amp; Settings'!$C$48&gt;=0,(INT(($B441-$AD441)/7-'Guide &amp; Settings'!$C$48)+1)*'Guide &amp; Settings'!$C$49,0)))))</f>
        <v>0</v>
      </c>
      <c r="AD441" s="142">
        <f t="shared" si="137"/>
        <v>46236</v>
      </c>
      <c r="AE441">
        <f t="shared" si="138"/>
        <v>1</v>
      </c>
      <c r="AF441">
        <f t="shared" si="139"/>
        <v>0</v>
      </c>
    </row>
    <row r="442" spans="1:32" x14ac:dyDescent="0.2">
      <c r="A442" s="117">
        <v>189</v>
      </c>
      <c r="B442" s="118">
        <v>46241</v>
      </c>
      <c r="C442" s="119" t="s">
        <v>50</v>
      </c>
      <c r="D442" s="119" t="s">
        <v>25</v>
      </c>
      <c r="E442" s="117" t="s">
        <v>371</v>
      </c>
      <c r="F442" s="120">
        <f t="shared" si="120"/>
        <v>3</v>
      </c>
      <c r="G442" s="121" t="str">
        <f t="shared" si="121"/>
        <v>Daniel (Ferret)</v>
      </c>
      <c r="H442" s="122">
        <f>IF($D442="",0,IFERROR(LOOKUP(2,1/(($D$3:D441=$D442)*($A$3:A441&lt;$A442)),$N$3:N441),'Guide &amp; Settings'!$C$41))</f>
        <v>1087.141636758724</v>
      </c>
      <c r="I442" s="123">
        <f t="shared" si="122"/>
        <v>0.2347525891829689</v>
      </c>
      <c r="J442" s="124">
        <f>IF($D442="",0,IF($F442&lt;2,0,IF($E442="Win",('Guide &amp; Settings'!$C$42/(($F442-1)*COUNTIFS($A$4:$A$1510,$A442,$E$4:$E$1510,"Win")))*SUMIFS($X$4:$X$1510,$A$4:$A$1510,$A442,$E$4:$E$1510,"Loss"),-('Guide &amp; Settings'!$C$42/($F442-1))*$X442)))</f>
        <v>-8.3856651927775676</v>
      </c>
      <c r="K442" s="124">
        <f>IF($D442="",0,'Guide &amp; Settings'!$C$43*(IF($E442="Win",1,0)-$I442))</f>
        <v>-2.8170310701956267</v>
      </c>
      <c r="L442" s="125">
        <f>IF($D442="",0,'Guide &amp; Settings'!$C$44*IF($F442&gt;=3,$F442,0))</f>
        <v>3</v>
      </c>
      <c r="M442" s="124">
        <f t="shared" si="123"/>
        <v>-8.2026962629731948</v>
      </c>
      <c r="N442" s="122">
        <f t="shared" si="124"/>
        <v>1078.9389404957508</v>
      </c>
      <c r="O442" s="121" t="str">
        <f t="shared" si="125"/>
        <v>OK</v>
      </c>
      <c r="P442">
        <f t="shared" si="126"/>
        <v>1096.9361534599395</v>
      </c>
      <c r="Q442">
        <f t="shared" si="127"/>
        <v>0.48590829022500398</v>
      </c>
      <c r="R442">
        <f t="shared" si="128"/>
        <v>0.3</v>
      </c>
      <c r="S442">
        <f t="shared" si="129"/>
        <v>1.2779411764705884</v>
      </c>
      <c r="T442" s="89">
        <f t="shared" si="130"/>
        <v>8</v>
      </c>
      <c r="U442" s="126">
        <f>IF($D442="",0,IFERROR(LOOKUP(2,1/(($D$3:D441=$D442)*($C$3:C441=$C442)*($A$3:A441&lt;$A442)),$AB$3:AB441),1000))</f>
        <v>979.72478049960625</v>
      </c>
      <c r="V442" s="126">
        <f t="shared" si="131"/>
        <v>1021.0389559838823</v>
      </c>
      <c r="W442">
        <f t="shared" si="132"/>
        <v>1004.2767361417998</v>
      </c>
      <c r="X442">
        <f t="shared" si="133"/>
        <v>0.52410407454859798</v>
      </c>
      <c r="Y442">
        <f t="shared" si="134"/>
        <v>973.39026370241982</v>
      </c>
      <c r="Z442">
        <f t="shared" si="135"/>
        <v>0.5091150924975586</v>
      </c>
      <c r="AA442">
        <f>IF($D442="",0,IF($F442&lt;2,0,IF($E442="Win",('Guide &amp; Settings'!$C$42/(($F442-1)*COUNTIFS($A$4:$A$1510,$A442,$E$4:$E$1510,"Win")))*SUMIFS($Z$4:$Z$1510,$A$4:$A$1510,$A442,$E$4:$E$1510,"Loss"),-('Guide &amp; Settings'!$C$42/($F442-1))*$Z442)))</f>
        <v>-8.1458414799609375</v>
      </c>
      <c r="AB442" s="126">
        <f t="shared" si="136"/>
        <v>971.5789390196453</v>
      </c>
      <c r="AC442" s="126">
        <f>IF($D442="","",IF($AD442=0,0,IF(COUNTIFS($D$4:$D442,$D442,$B$4:$B442,$B442)&gt;1,0,IF($B442&lt;'Guide &amp; Settings'!$C$50,0,IF(($B442-$AD442)/7-'Guide &amp; Settings'!$C$48&gt;=0,(INT(($B442-$AD442)/7-'Guide &amp; Settings'!$C$48)+1)*'Guide &amp; Settings'!$C$49,0)))))</f>
        <v>0</v>
      </c>
      <c r="AD442" s="142">
        <f t="shared" si="137"/>
        <v>46220</v>
      </c>
      <c r="AE442">
        <f t="shared" si="138"/>
        <v>1</v>
      </c>
      <c r="AF442">
        <f t="shared" si="139"/>
        <v>0</v>
      </c>
    </row>
    <row r="443" spans="1:32" x14ac:dyDescent="0.2">
      <c r="A443" s="117">
        <v>190</v>
      </c>
      <c r="B443" s="118">
        <v>46241</v>
      </c>
      <c r="C443" s="119" t="s">
        <v>50</v>
      </c>
      <c r="D443" s="119" t="s">
        <v>20</v>
      </c>
      <c r="E443" s="117" t="s">
        <v>371</v>
      </c>
      <c r="F443" s="120">
        <f t="shared" si="120"/>
        <v>3</v>
      </c>
      <c r="G443" s="121" t="str">
        <f t="shared" si="121"/>
        <v>Daniel (Ferret)</v>
      </c>
      <c r="H443" s="122">
        <f>IF($D443="",0,IFERROR(LOOKUP(2,1/(($D$3:D442=$D443)*($A$3:A442&lt;$A443)),$N$3:N442),'Guide &amp; Settings'!$C$41))</f>
        <v>1136.8854326959333</v>
      </c>
      <c r="I443" s="123">
        <f t="shared" si="122"/>
        <v>0.47558046437149715</v>
      </c>
      <c r="J443" s="124">
        <f>IF($D443="",0,IF($F443&lt;2,0,IF($E443="Win",('Guide &amp; Settings'!$C$42/(($F443-1)*COUNTIFS($A$4:$A$1510,$A443,$E$4:$E$1510,"Win")))*SUMIFS($X$4:$X$1510,$A$4:$A$1510,$A443,$E$4:$E$1510,"Loss"),-('Guide &amp; Settings'!$C$42/($F443-1))*$X443)))</f>
        <v>-8.848274345441153</v>
      </c>
      <c r="K443" s="124">
        <f>IF($D443="",0,'Guide &amp; Settings'!$C$43*(IF($E443="Win",1,0)-$I443))</f>
        <v>-5.7069655724579658</v>
      </c>
      <c r="L443" s="125">
        <f>IF($D443="",0,'Guide &amp; Settings'!$C$44*IF($F443&gt;=3,$F443,0))</f>
        <v>3</v>
      </c>
      <c r="M443" s="124">
        <f t="shared" si="123"/>
        <v>-11.555239917899119</v>
      </c>
      <c r="N443" s="122">
        <f t="shared" si="124"/>
        <v>1125.3301927780342</v>
      </c>
      <c r="O443" s="121" t="str">
        <f t="shared" si="125"/>
        <v>OK</v>
      </c>
      <c r="P443">
        <f t="shared" si="126"/>
        <v>1126.5349307714825</v>
      </c>
      <c r="Q443">
        <f t="shared" si="127"/>
        <v>0.51489116454597339</v>
      </c>
      <c r="R443">
        <f t="shared" si="128"/>
        <v>0.6</v>
      </c>
      <c r="S443">
        <f t="shared" si="129"/>
        <v>1.2616161616161616</v>
      </c>
      <c r="T443" s="89">
        <f t="shared" si="130"/>
        <v>23</v>
      </c>
      <c r="U443" s="126">
        <f>IF($D443="",0,IFERROR(LOOKUP(2,1/(($D$3:D442=$D443)*($C$3:C442=$C443)*($A$3:A442&lt;$A443)),$AB$3:AB442),1000))</f>
        <v>1043.9174781010199</v>
      </c>
      <c r="V443" s="126">
        <f t="shared" si="131"/>
        <v>1060.5188985643972</v>
      </c>
      <c r="W443">
        <f t="shared" si="132"/>
        <v>1023.5398051853263</v>
      </c>
      <c r="X443">
        <f t="shared" si="133"/>
        <v>0.55301714659007206</v>
      </c>
      <c r="Y443">
        <f t="shared" si="134"/>
        <v>991.35382843965237</v>
      </c>
      <c r="Z443">
        <f t="shared" si="135"/>
        <v>0.57507326649450119</v>
      </c>
      <c r="AA443">
        <f>IF($D443="",0,IF($F443&lt;2,0,IF($E443="Win",('Guide &amp; Settings'!$C$42/(($F443-1)*COUNTIFS($A$4:$A$1510,$A443,$E$4:$E$1510,"Win")))*SUMIFS($Z$4:$Z$1510,$A$4:$A$1510,$A443,$E$4:$E$1510,"Loss"),-('Guide &amp; Settings'!$C$42/($F443-1))*$Z443)))</f>
        <v>-9.201172263912019</v>
      </c>
      <c r="AB443" s="126">
        <f t="shared" si="136"/>
        <v>1034.7163058371079</v>
      </c>
      <c r="AC443" s="126">
        <f>IF($D443="","",IF($AD443=0,0,IF(COUNTIFS($D$4:$D443,$D443,$B$4:$B443,$B443)&gt;1,0,IF($B443&lt;'Guide &amp; Settings'!$C$50,0,IF(($B443-$AD443)/7-'Guide &amp; Settings'!$C$48&gt;=0,(INT(($B443-$AD443)/7-'Guide &amp; Settings'!$C$48)+1)*'Guide &amp; Settings'!$C$49,0)))))</f>
        <v>0</v>
      </c>
      <c r="AD443" s="142">
        <f t="shared" si="137"/>
        <v>46236</v>
      </c>
      <c r="AE443">
        <f t="shared" si="138"/>
        <v>1</v>
      </c>
      <c r="AF443">
        <f t="shared" si="139"/>
        <v>0</v>
      </c>
    </row>
    <row r="444" spans="1:32" x14ac:dyDescent="0.2">
      <c r="A444" s="117">
        <v>190</v>
      </c>
      <c r="B444" s="118">
        <v>46241</v>
      </c>
      <c r="C444" s="119" t="s">
        <v>50</v>
      </c>
      <c r="D444" s="119" t="s">
        <v>22</v>
      </c>
      <c r="E444" s="117" t="s">
        <v>370</v>
      </c>
      <c r="F444" s="120">
        <f t="shared" si="120"/>
        <v>3</v>
      </c>
      <c r="G444" s="121" t="str">
        <f t="shared" si="121"/>
        <v>Daniel (Ferret)</v>
      </c>
      <c r="H444" s="122">
        <f>IF($D444="",0,IFERROR(LOOKUP(2,1/(($D$3:D443=$D444)*($A$3:A443&lt;$A444)),$N$3:N443),'Guide &amp; Settings'!$C$41))</f>
        <v>1126.5349307714825</v>
      </c>
      <c r="I444" s="123">
        <f t="shared" si="122"/>
        <v>0.30824659727782228</v>
      </c>
      <c r="J444" s="124">
        <f>IF($D444="",0,IF($F444&lt;2,0,IF($E444="Win",('Guide &amp; Settings'!$C$42/(($F444-1)*COUNTIFS($A$4:$A$1510,$A444,$E$4:$E$1510,"Win")))*SUMIFS($X$4:$X$1510,$A$4:$A$1510,$A444,$E$4:$E$1510,"Loss"),-('Guide &amp; Settings'!$C$42/($F444-1))*$X444)))</f>
        <v>16.534868591460111</v>
      </c>
      <c r="K444" s="124">
        <f>IF($D444="",0,'Guide &amp; Settings'!$C$43*(IF($E444="Win",1,0)-$I444))</f>
        <v>8.301040832666132</v>
      </c>
      <c r="L444" s="125">
        <f>IF($D444="",0,'Guide &amp; Settings'!$C$44*IF($F444&gt;=3,$F444,0))</f>
        <v>3</v>
      </c>
      <c r="M444" s="124">
        <f t="shared" si="123"/>
        <v>27.835909424126243</v>
      </c>
      <c r="N444" s="122">
        <f t="shared" si="124"/>
        <v>1154.3708401956087</v>
      </c>
      <c r="O444" s="121" t="str">
        <f t="shared" si="125"/>
        <v>OK</v>
      </c>
      <c r="P444">
        <f t="shared" si="126"/>
        <v>1126.5349307714825</v>
      </c>
      <c r="Q444">
        <f t="shared" si="127"/>
        <v>0.5</v>
      </c>
      <c r="R444">
        <f t="shared" si="128"/>
        <v>0.3888888888888889</v>
      </c>
      <c r="S444">
        <f t="shared" si="129"/>
        <v>1.2616161616161616</v>
      </c>
      <c r="T444" s="89">
        <f t="shared" si="130"/>
        <v>16</v>
      </c>
      <c r="U444" s="126">
        <f>IF($D444="",0,IFERROR(LOOKUP(2,1/(($D$3:D443=$D444)*($C$3:C443=$C444)*($A$3:A443&lt;$A444)),$AB$3:AB443),1000))</f>
        <v>991.35382843965237</v>
      </c>
      <c r="V444" s="126">
        <f t="shared" si="131"/>
        <v>1023.5398051853263</v>
      </c>
      <c r="W444">
        <f t="shared" si="132"/>
        <v>1023.5398051853263</v>
      </c>
      <c r="X444">
        <f t="shared" si="133"/>
        <v>0.5</v>
      </c>
      <c r="Y444">
        <f t="shared" si="134"/>
        <v>991.35382843965237</v>
      </c>
      <c r="Z444">
        <f t="shared" si="135"/>
        <v>0.5</v>
      </c>
      <c r="AA444">
        <f>IF($D444="",0,IF($F444&lt;2,0,IF($E444="Win",('Guide &amp; Settings'!$C$42/(($F444-1)*COUNTIFS($A$4:$A$1510,$A444,$E$4:$E$1510,"Win")))*SUMIFS($Z$4:$Z$1510,$A$4:$A$1510,$A444,$E$4:$E$1510,"Loss"),-('Guide &amp; Settings'!$C$42/($F444-1))*$Z444)))</f>
        <v>16.746329657886164</v>
      </c>
      <c r="AB444" s="126">
        <f t="shared" si="136"/>
        <v>1008.1001580975385</v>
      </c>
      <c r="AC444" s="126">
        <f>IF($D444="","",IF($AD444=0,0,IF(COUNTIFS($D$4:$D444,$D444,$B$4:$B444,$B444)&gt;1,0,IF($B444&lt;'Guide &amp; Settings'!$C$50,0,IF(($B444-$AD444)/7-'Guide &amp; Settings'!$C$48&gt;=0,(INT(($B444-$AD444)/7-'Guide &amp; Settings'!$C$48)+1)*'Guide &amp; Settings'!$C$49,0)))))</f>
        <v>0</v>
      </c>
      <c r="AD444" s="142">
        <f t="shared" si="137"/>
        <v>46236</v>
      </c>
      <c r="AE444">
        <f t="shared" si="138"/>
        <v>1</v>
      </c>
      <c r="AF444">
        <f t="shared" si="139"/>
        <v>0</v>
      </c>
    </row>
    <row r="445" spans="1:32" x14ac:dyDescent="0.2">
      <c r="A445" s="117">
        <v>190</v>
      </c>
      <c r="B445" s="118">
        <v>46241</v>
      </c>
      <c r="C445" s="119" t="s">
        <v>50</v>
      </c>
      <c r="D445" s="119" t="s">
        <v>25</v>
      </c>
      <c r="E445" s="117" t="s">
        <v>371</v>
      </c>
      <c r="F445" s="120">
        <f t="shared" si="120"/>
        <v>3</v>
      </c>
      <c r="G445" s="121" t="str">
        <f t="shared" si="121"/>
        <v>Daniel (Ferret)</v>
      </c>
      <c r="H445" s="122">
        <f>IF($D445="",0,IFERROR(LOOKUP(2,1/(($D$3:D444=$D445)*($A$3:A444&lt;$A445)),$N$3:N444),'Guide &amp; Settings'!$C$41))</f>
        <v>1078.9389404957508</v>
      </c>
      <c r="I445" s="123">
        <f t="shared" si="122"/>
        <v>0.21617293835068052</v>
      </c>
      <c r="J445" s="124">
        <f>IF($D445="",0,IF($F445&lt;2,0,IF($E445="Win",('Guide &amp; Settings'!$C$42/(($F445-1)*COUNTIFS($A$4:$A$1510,$A445,$E$4:$E$1510,"Win")))*SUMIFS($X$4:$X$1510,$A$4:$A$1510,$A445,$E$4:$E$1510,"Loss"),-('Guide &amp; Settings'!$C$42/($F445-1))*$X445)))</f>
        <v>-7.6865942460189576</v>
      </c>
      <c r="K445" s="124">
        <f>IF($D445="",0,'Guide &amp; Settings'!$C$43*(IF($E445="Win",1,0)-$I445))</f>
        <v>-2.5940752602081663</v>
      </c>
      <c r="L445" s="125">
        <f>IF($D445="",0,'Guide &amp; Settings'!$C$44*IF($F445&gt;=3,$F445,0))</f>
        <v>3</v>
      </c>
      <c r="M445" s="124">
        <f t="shared" si="123"/>
        <v>-7.2806695062271238</v>
      </c>
      <c r="N445" s="122">
        <f t="shared" si="124"/>
        <v>1071.6582709895238</v>
      </c>
      <c r="O445" s="121" t="str">
        <f t="shared" si="125"/>
        <v>OK</v>
      </c>
      <c r="P445">
        <f t="shared" si="126"/>
        <v>1126.5349307714825</v>
      </c>
      <c r="Q445">
        <f t="shared" si="127"/>
        <v>0.43192915796349823</v>
      </c>
      <c r="R445">
        <f t="shared" si="128"/>
        <v>0.27272727272727271</v>
      </c>
      <c r="S445">
        <f t="shared" si="129"/>
        <v>1.2616161616161616</v>
      </c>
      <c r="T445" s="89">
        <f t="shared" si="130"/>
        <v>9</v>
      </c>
      <c r="U445" s="126">
        <f>IF($D445="",0,IFERROR(LOOKUP(2,1/(($D$3:D444=$D445)*($C$3:C444=$C445)*($A$3:A444&lt;$A445)),$AB$3:AB444),1000))</f>
        <v>971.5789390196453</v>
      </c>
      <c r="V445" s="126">
        <f t="shared" si="131"/>
        <v>1009.9217966896829</v>
      </c>
      <c r="W445">
        <f t="shared" si="132"/>
        <v>1023.5398051853263</v>
      </c>
      <c r="X445">
        <f t="shared" si="133"/>
        <v>0.48041214037618485</v>
      </c>
      <c r="Y445">
        <f t="shared" si="134"/>
        <v>991.35382843965237</v>
      </c>
      <c r="Z445">
        <f t="shared" si="135"/>
        <v>0.47157233712338398</v>
      </c>
      <c r="AA445">
        <f>IF($D445="",0,IF($F445&lt;2,0,IF($E445="Win",('Guide &amp; Settings'!$C$42/(($F445-1)*COUNTIFS($A$4:$A$1510,$A445,$E$4:$E$1510,"Win")))*SUMIFS($Z$4:$Z$1510,$A$4:$A$1510,$A445,$E$4:$E$1510,"Loss"),-('Guide &amp; Settings'!$C$42/($F445-1))*$Z445)))</f>
        <v>-7.5451573939741436</v>
      </c>
      <c r="AB445" s="126">
        <f t="shared" si="136"/>
        <v>964.03378162567117</v>
      </c>
      <c r="AC445" s="126">
        <f>IF($D445="","",IF($AD445=0,0,IF(COUNTIFS($D$4:$D445,$D445,$B$4:$B445,$B445)&gt;1,0,IF($B445&lt;'Guide &amp; Settings'!$C$50,0,IF(($B445-$AD445)/7-'Guide &amp; Settings'!$C$48&gt;=0,(INT(($B445-$AD445)/7-'Guide &amp; Settings'!$C$48)+1)*'Guide &amp; Settings'!$C$49,0)))))</f>
        <v>0</v>
      </c>
      <c r="AD445" s="142">
        <f t="shared" si="137"/>
        <v>46220</v>
      </c>
      <c r="AE445">
        <f t="shared" si="138"/>
        <v>1</v>
      </c>
      <c r="AF445">
        <f t="shared" si="139"/>
        <v>0</v>
      </c>
    </row>
    <row r="446" spans="1:32" x14ac:dyDescent="0.2">
      <c r="A446" s="117">
        <v>191</v>
      </c>
      <c r="B446" s="118">
        <v>46243</v>
      </c>
      <c r="C446" s="119" t="s">
        <v>50</v>
      </c>
      <c r="D446" s="119" t="s">
        <v>20</v>
      </c>
      <c r="E446" s="117" t="s">
        <v>370</v>
      </c>
      <c r="F446" s="120">
        <f t="shared" si="120"/>
        <v>2</v>
      </c>
      <c r="G446" s="121" t="str">
        <f t="shared" si="121"/>
        <v>Shawn</v>
      </c>
      <c r="H446" s="122">
        <f>IF($D446="",0,IFERROR(LOOKUP(2,1/(($D$3:D445=$D446)*($A$3:A445&lt;$A446)),$N$3:N445),'Guide &amp; Settings'!$C$41))</f>
        <v>1125.3301927780342</v>
      </c>
      <c r="I446" s="123">
        <f t="shared" si="122"/>
        <v>0.69767441860465118</v>
      </c>
      <c r="J446" s="124">
        <f>IF($D446="",0,IF($F446&lt;2,0,IF($E446="Win",('Guide &amp; Settings'!$C$42/(($F446-1)*COUNTIFS($A$4:$A$1510,$A446,$E$4:$E$1510,"Win")))*SUMIFS($X$4:$X$1510,$A$4:$A$1510,$A446,$E$4:$E$1510,"Loss"),-('Guide &amp; Settings'!$C$42/($F446-1))*$X446)))</f>
        <v>13.69375086895811</v>
      </c>
      <c r="K446" s="124">
        <f>IF($D446="",0,'Guide &amp; Settings'!$C$43*(IF($E446="Win",1,0)-$I446))</f>
        <v>3.6279069767441858</v>
      </c>
      <c r="L446" s="125">
        <f>IF($D446="",0,'Guide &amp; Settings'!$C$44*IF($F446&gt;=3,$F446,0))</f>
        <v>0</v>
      </c>
      <c r="M446" s="124">
        <f t="shared" si="123"/>
        <v>17.321657845702298</v>
      </c>
      <c r="N446" s="122">
        <f t="shared" si="124"/>
        <v>1142.6518506237364</v>
      </c>
      <c r="O446" s="121" t="str">
        <f t="shared" si="125"/>
        <v>OK</v>
      </c>
      <c r="P446">
        <f t="shared" si="126"/>
        <v>1125.3301927780342</v>
      </c>
      <c r="Q446">
        <f t="shared" si="127"/>
        <v>0.5</v>
      </c>
      <c r="R446">
        <f t="shared" si="128"/>
        <v>0.57692307692307687</v>
      </c>
      <c r="S446">
        <f t="shared" si="129"/>
        <v>0.82692307692307687</v>
      </c>
      <c r="T446" s="89">
        <f t="shared" si="130"/>
        <v>24</v>
      </c>
      <c r="U446" s="126">
        <f>IF($D446="",0,IFERROR(LOOKUP(2,1/(($D$3:D445=$D446)*($C$3:C445=$C446)*($A$3:A445&lt;$A446)),$AB$3:AB445),1000))</f>
        <v>1034.7163058371079</v>
      </c>
      <c r="V446" s="126">
        <f t="shared" si="131"/>
        <v>1050.33938979244</v>
      </c>
      <c r="W446">
        <f t="shared" si="132"/>
        <v>1050.33938979244</v>
      </c>
      <c r="X446">
        <f t="shared" si="133"/>
        <v>0.5</v>
      </c>
      <c r="Y446">
        <f t="shared" si="134"/>
        <v>1034.7163058371079</v>
      </c>
      <c r="Z446">
        <f t="shared" si="135"/>
        <v>0.5</v>
      </c>
      <c r="AA446">
        <f>IF($D446="",0,IF($F446&lt;2,0,IF($E446="Win",('Guide &amp; Settings'!$C$42/(($F446-1)*COUNTIFS($A$4:$A$1510,$A446,$E$4:$E$1510,"Win")))*SUMIFS($Z$4:$Z$1510,$A$4:$A$1510,$A446,$E$4:$E$1510,"Loss"),-('Guide &amp; Settings'!$C$42/($F446-1))*$Z446)))</f>
        <v>12.789125061784798</v>
      </c>
      <c r="AB446" s="126">
        <f t="shared" si="136"/>
        <v>1047.5054308988927</v>
      </c>
      <c r="AC446" s="126">
        <f>IF($D446="","",IF($AD446=0,0,IF(COUNTIFS($D$4:$D446,$D446,$B$4:$B446,$B446)&gt;1,0,IF($B446&lt;'Guide &amp; Settings'!$C$50,0,IF(($B446-$AD446)/7-'Guide &amp; Settings'!$C$48&gt;=0,(INT(($B446-$AD446)/7-'Guide &amp; Settings'!$C$48)+1)*'Guide &amp; Settings'!$C$49,0)))))</f>
        <v>0</v>
      </c>
      <c r="AD446" s="142">
        <f t="shared" si="137"/>
        <v>46241</v>
      </c>
      <c r="AE446">
        <f t="shared" si="138"/>
        <v>1</v>
      </c>
      <c r="AF446">
        <f t="shared" si="139"/>
        <v>0</v>
      </c>
    </row>
    <row r="447" spans="1:32" x14ac:dyDescent="0.2">
      <c r="A447" s="117">
        <v>191</v>
      </c>
      <c r="B447" s="118">
        <v>46243</v>
      </c>
      <c r="C447" s="119" t="s">
        <v>50</v>
      </c>
      <c r="D447" s="119" t="s">
        <v>25</v>
      </c>
      <c r="E447" s="117" t="s">
        <v>371</v>
      </c>
      <c r="F447" s="120">
        <f t="shared" si="120"/>
        <v>2</v>
      </c>
      <c r="G447" s="121" t="str">
        <f t="shared" si="121"/>
        <v>Shawn</v>
      </c>
      <c r="H447" s="122">
        <f>IF($D447="",0,IFERROR(LOOKUP(2,1/(($D$3:D446=$D447)*($A$3:A446&lt;$A447)),$N$3:N446),'Guide &amp; Settings'!$C$41))</f>
        <v>1071.6582709895238</v>
      </c>
      <c r="I447" s="123">
        <f t="shared" si="122"/>
        <v>0.30232558139534887</v>
      </c>
      <c r="J447" s="124">
        <f>IF($D447="",0,IF($F447&lt;2,0,IF($E447="Win",('Guide &amp; Settings'!$C$42/(($F447-1)*COUNTIFS($A$4:$A$1510,$A447,$E$4:$E$1510,"Win")))*SUMIFS($X$4:$X$1510,$A$4:$A$1510,$A447,$E$4:$E$1510,"Loss"),-('Guide &amp; Settings'!$C$42/($F447-1))*$X447)))</f>
        <v>-13.69375086895811</v>
      </c>
      <c r="K447" s="124">
        <f>IF($D447="",0,'Guide &amp; Settings'!$C$43*(IF($E447="Win",1,0)-$I447))</f>
        <v>-3.6279069767441863</v>
      </c>
      <c r="L447" s="125">
        <f>IF($D447="",0,'Guide &amp; Settings'!$C$44*IF($F447&gt;=3,$F447,0))</f>
        <v>0</v>
      </c>
      <c r="M447" s="124">
        <f t="shared" si="123"/>
        <v>-17.321657845702298</v>
      </c>
      <c r="N447" s="122">
        <f t="shared" si="124"/>
        <v>1054.3366131438215</v>
      </c>
      <c r="O447" s="121" t="str">
        <f t="shared" si="125"/>
        <v>OK</v>
      </c>
      <c r="P447">
        <f t="shared" si="126"/>
        <v>1125.3301927780342</v>
      </c>
      <c r="Q447">
        <f t="shared" si="127"/>
        <v>0.42336850941071563</v>
      </c>
      <c r="R447">
        <f t="shared" si="128"/>
        <v>0.25</v>
      </c>
      <c r="S447">
        <f t="shared" si="129"/>
        <v>0.82692307692307687</v>
      </c>
      <c r="T447" s="89">
        <f t="shared" si="130"/>
        <v>10</v>
      </c>
      <c r="U447" s="126">
        <f>IF($D447="",0,IFERROR(LOOKUP(2,1/(($D$3:D446=$D447)*($C$3:C446=$C447)*($A$3:A446&lt;$A447)),$AB$3:AB446),1000))</f>
        <v>964.03378162567117</v>
      </c>
      <c r="V447" s="126">
        <f t="shared" si="131"/>
        <v>999.90861141362211</v>
      </c>
      <c r="W447">
        <f t="shared" si="132"/>
        <v>1050.33938979244</v>
      </c>
      <c r="X447">
        <f t="shared" si="133"/>
        <v>0.42792971465494095</v>
      </c>
      <c r="Y447">
        <f t="shared" si="134"/>
        <v>1034.7163058371079</v>
      </c>
      <c r="Z447">
        <f t="shared" si="135"/>
        <v>0.39966015818077494</v>
      </c>
      <c r="AA447">
        <f>IF($D447="",0,IF($F447&lt;2,0,IF($E447="Win",('Guide &amp; Settings'!$C$42/(($F447-1)*COUNTIFS($A$4:$A$1510,$A447,$E$4:$E$1510,"Win")))*SUMIFS($Z$4:$Z$1510,$A$4:$A$1510,$A447,$E$4:$E$1510,"Loss"),-('Guide &amp; Settings'!$C$42/($F447-1))*$Z447)))</f>
        <v>-12.789125061784798</v>
      </c>
      <c r="AB447" s="126">
        <f t="shared" si="136"/>
        <v>951.24465656388634</v>
      </c>
      <c r="AC447" s="126">
        <f>IF($D447="","",IF($AD447=0,0,IF(COUNTIFS($D$4:$D447,$D447,$B$4:$B447,$B447)&gt;1,0,IF($B447&lt;'Guide &amp; Settings'!$C$50,0,IF(($B447-$AD447)/7-'Guide &amp; Settings'!$C$48&gt;=0,(INT(($B447-$AD447)/7-'Guide &amp; Settings'!$C$48)+1)*'Guide &amp; Settings'!$C$49,0)))))</f>
        <v>0</v>
      </c>
      <c r="AD447" s="142">
        <f t="shared" si="137"/>
        <v>46241</v>
      </c>
      <c r="AE447">
        <f t="shared" si="138"/>
        <v>1</v>
      </c>
      <c r="AF447">
        <f t="shared" si="139"/>
        <v>0</v>
      </c>
    </row>
    <row r="448" spans="1:32" x14ac:dyDescent="0.2">
      <c r="A448" s="117">
        <v>192</v>
      </c>
      <c r="B448" s="118">
        <v>46247</v>
      </c>
      <c r="C448" s="119" t="s">
        <v>45</v>
      </c>
      <c r="D448" s="119" t="s">
        <v>19</v>
      </c>
      <c r="E448" s="117" t="s">
        <v>370</v>
      </c>
      <c r="F448" s="120">
        <f t="shared" si="120"/>
        <v>2</v>
      </c>
      <c r="G448" s="121" t="str">
        <f t="shared" si="121"/>
        <v>Josh</v>
      </c>
      <c r="H448" s="122">
        <f>IF($D448="",0,IFERROR(LOOKUP(2,1/(($D$3:D447=$D448)*($A$3:A447&lt;$A448)),$N$3:N447),'Guide &amp; Settings'!$C$41))</f>
        <v>1093.6015451357737</v>
      </c>
      <c r="I448" s="123">
        <f t="shared" si="122"/>
        <v>0.8666666666666667</v>
      </c>
      <c r="J448" s="124">
        <f>IF($D448="",0,IF($F448&lt;2,0,IF($E448="Win",('Guide &amp; Settings'!$C$42/(($F448-1)*COUNTIFS($A$4:$A$1510,$A448,$E$4:$E$1510,"Win")))*SUMIFS($X$4:$X$1510,$A$4:$A$1510,$A448,$E$4:$E$1510,"Loss"),-('Guide &amp; Settings'!$C$42/($F448-1))*$X448)))</f>
        <v>10.041403260518985</v>
      </c>
      <c r="K448" s="124">
        <f>IF($D448="",0,'Guide &amp; Settings'!$C$43*(IF($E448="Win",1,0)-$I448))</f>
        <v>1.5999999999999996</v>
      </c>
      <c r="L448" s="125">
        <f>IF($D448="",0,'Guide &amp; Settings'!$C$44*IF($F448&gt;=3,$F448,0))</f>
        <v>0</v>
      </c>
      <c r="M448" s="124">
        <f t="shared" si="123"/>
        <v>11.641403260518985</v>
      </c>
      <c r="N448" s="122">
        <f t="shared" si="124"/>
        <v>1105.2429483962926</v>
      </c>
      <c r="O448" s="121" t="str">
        <f t="shared" si="125"/>
        <v>OK</v>
      </c>
      <c r="P448">
        <f t="shared" si="126"/>
        <v>1093.6015451357737</v>
      </c>
      <c r="Q448">
        <f t="shared" si="127"/>
        <v>0.5</v>
      </c>
      <c r="R448">
        <f t="shared" si="128"/>
        <v>0.5</v>
      </c>
      <c r="S448">
        <f t="shared" si="129"/>
        <v>0.57692307692307687</v>
      </c>
      <c r="T448" s="89">
        <f t="shared" si="130"/>
        <v>0</v>
      </c>
      <c r="U448" s="126">
        <f>IF($D448="",0,IFERROR(LOOKUP(2,1/(($D$3:D447=$D448)*($C$3:C447=$C448)*($A$3:A447&lt;$A448)),$AB$3:AB447),1000))</f>
        <v>1000</v>
      </c>
      <c r="V448" s="126">
        <f t="shared" si="131"/>
        <v>1093.6015451357737</v>
      </c>
      <c r="W448">
        <f t="shared" si="132"/>
        <v>1093.6015451357737</v>
      </c>
      <c r="X448">
        <f t="shared" si="133"/>
        <v>0.5</v>
      </c>
      <c r="Y448">
        <f t="shared" si="134"/>
        <v>1000</v>
      </c>
      <c r="Z448">
        <f t="shared" si="135"/>
        <v>0.5</v>
      </c>
      <c r="AA448">
        <f>IF($D448="",0,IF($F448&lt;2,0,IF($E448="Win",('Guide &amp; Settings'!$C$42/(($F448-1)*COUNTIFS($A$4:$A$1510,$A448,$E$4:$E$1510,"Win")))*SUMIFS($Z$4:$Z$1510,$A$4:$A$1510,$A448,$E$4:$E$1510,"Loss"),-('Guide &amp; Settings'!$C$42/($F448-1))*$Z448)))</f>
        <v>10.422900611837333</v>
      </c>
      <c r="AB448" s="126">
        <f t="shared" si="136"/>
        <v>1010.4229006118373</v>
      </c>
      <c r="AC448" s="126">
        <f>IF($D448="","",IF($AD448=0,0,IF(COUNTIFS($D$4:$D448,$D448,$B$4:$B448,$B448)&gt;1,0,IF($B448&lt;'Guide &amp; Settings'!$C$50,0,IF(($B448-$AD448)/7-'Guide &amp; Settings'!$C$48&gt;=0,(INT(($B448-$AD448)/7-'Guide &amp; Settings'!$C$48)+1)*'Guide &amp; Settings'!$C$49,0)))))</f>
        <v>0</v>
      </c>
      <c r="AD448" s="142">
        <f t="shared" si="137"/>
        <v>46229</v>
      </c>
      <c r="AE448">
        <f t="shared" si="138"/>
        <v>1</v>
      </c>
      <c r="AF448">
        <f t="shared" si="139"/>
        <v>0</v>
      </c>
    </row>
    <row r="449" spans="1:32" x14ac:dyDescent="0.2">
      <c r="A449" s="117">
        <v>192</v>
      </c>
      <c r="B449" s="118">
        <v>46247</v>
      </c>
      <c r="C449" s="119" t="s">
        <v>45</v>
      </c>
      <c r="D449" s="119" t="s">
        <v>20</v>
      </c>
      <c r="E449" s="117" t="s">
        <v>371</v>
      </c>
      <c r="F449" s="120">
        <f t="shared" si="120"/>
        <v>2</v>
      </c>
      <c r="G449" s="121" t="str">
        <f t="shared" si="121"/>
        <v>Josh</v>
      </c>
      <c r="H449" s="122">
        <f>IF($D449="",0,IFERROR(LOOKUP(2,1/(($D$3:D448=$D449)*($A$3:A448&lt;$A449)),$N$3:N448),'Guide &amp; Settings'!$C$41))</f>
        <v>1142.6518506237364</v>
      </c>
      <c r="I449" s="123">
        <f t="shared" si="122"/>
        <v>0.13333333333333336</v>
      </c>
      <c r="J449" s="124">
        <f>IF($D449="",0,IF($F449&lt;2,0,IF($E449="Win",('Guide &amp; Settings'!$C$42/(($F449-1)*COUNTIFS($A$4:$A$1510,$A449,$E$4:$E$1510,"Win")))*SUMIFS($X$4:$X$1510,$A$4:$A$1510,$A449,$E$4:$E$1510,"Loss"),-('Guide &amp; Settings'!$C$42/($F449-1))*$X449)))</f>
        <v>-10.041403260518985</v>
      </c>
      <c r="K449" s="124">
        <f>IF($D449="",0,'Guide &amp; Settings'!$C$43*(IF($E449="Win",1,0)-$I449))</f>
        <v>-1.6000000000000003</v>
      </c>
      <c r="L449" s="125">
        <f>IF($D449="",0,'Guide &amp; Settings'!$C$44*IF($F449&gt;=3,$F449,0))</f>
        <v>0</v>
      </c>
      <c r="M449" s="124">
        <f t="shared" si="123"/>
        <v>-11.641403260518985</v>
      </c>
      <c r="N449" s="122">
        <f t="shared" si="124"/>
        <v>1131.0104473632175</v>
      </c>
      <c r="O449" s="121" t="str">
        <f t="shared" si="125"/>
        <v>OK</v>
      </c>
      <c r="P449">
        <f t="shared" si="126"/>
        <v>1093.6015451357737</v>
      </c>
      <c r="Q449">
        <f t="shared" si="127"/>
        <v>0.57012379646789102</v>
      </c>
      <c r="R449">
        <f t="shared" si="128"/>
        <v>7.6923076923076927E-2</v>
      </c>
      <c r="S449">
        <f t="shared" si="129"/>
        <v>0.57692307692307687</v>
      </c>
      <c r="T449" s="89">
        <f t="shared" si="130"/>
        <v>11</v>
      </c>
      <c r="U449" s="126">
        <f>IF($D449="",0,IFERROR(LOOKUP(2,1/(($D$3:D448=$D449)*($C$3:C448=$C449)*($A$3:A448&lt;$A449)),$AB$3:AB448),1000))</f>
        <v>873.5982138122115</v>
      </c>
      <c r="V449" s="126">
        <f t="shared" si="131"/>
        <v>957.67747531581301</v>
      </c>
      <c r="W449">
        <f t="shared" si="132"/>
        <v>1093.6015451357737</v>
      </c>
      <c r="X449">
        <f t="shared" si="133"/>
        <v>0.31379385189121828</v>
      </c>
      <c r="Y449">
        <f t="shared" si="134"/>
        <v>1000</v>
      </c>
      <c r="Z449">
        <f t="shared" si="135"/>
        <v>0.32571564411991666</v>
      </c>
      <c r="AA449">
        <f>IF($D449="",0,IF($F449&lt;2,0,IF($E449="Win",('Guide &amp; Settings'!$C$42/(($F449-1)*COUNTIFS($A$4:$A$1510,$A449,$E$4:$E$1510,"Win")))*SUMIFS($Z$4:$Z$1510,$A$4:$A$1510,$A449,$E$4:$E$1510,"Loss"),-('Guide &amp; Settings'!$C$42/($F449-1))*$Z449)))</f>
        <v>-10.422900611837333</v>
      </c>
      <c r="AB449" s="126">
        <f t="shared" si="136"/>
        <v>863.17531320037415</v>
      </c>
      <c r="AC449" s="126">
        <f>IF($D449="","",IF($AD449=0,0,IF(COUNTIFS($D$4:$D449,$D449,$B$4:$B449,$B449)&gt;1,0,IF($B449&lt;'Guide &amp; Settings'!$C$50,0,IF(($B449-$AD449)/7-'Guide &amp; Settings'!$C$48&gt;=0,(INT(($B449-$AD449)/7-'Guide &amp; Settings'!$C$48)+1)*'Guide &amp; Settings'!$C$49,0)))))</f>
        <v>0</v>
      </c>
      <c r="AD449" s="142">
        <f t="shared" si="137"/>
        <v>46243</v>
      </c>
      <c r="AE449">
        <f t="shared" si="138"/>
        <v>1</v>
      </c>
      <c r="AF449">
        <f t="shared" si="139"/>
        <v>0</v>
      </c>
    </row>
    <row r="450" spans="1:32" x14ac:dyDescent="0.2">
      <c r="A450" s="117">
        <v>193</v>
      </c>
      <c r="B450" s="118">
        <v>46247</v>
      </c>
      <c r="C450" s="119" t="s">
        <v>37</v>
      </c>
      <c r="D450" s="119" t="s">
        <v>20</v>
      </c>
      <c r="E450" s="117" t="s">
        <v>370</v>
      </c>
      <c r="F450" s="120">
        <f t="shared" si="120"/>
        <v>2</v>
      </c>
      <c r="G450" s="121" t="str">
        <f t="shared" si="121"/>
        <v>Shawn</v>
      </c>
      <c r="H450" s="122">
        <f>IF($D450="",0,IFERROR(LOOKUP(2,1/(($D$3:D449=$D450)*($A$3:A449&lt;$A450)),$N$3:N449),'Guide &amp; Settings'!$C$41))</f>
        <v>1131.0104473632175</v>
      </c>
      <c r="I450" s="123">
        <f t="shared" si="122"/>
        <v>0.60000000000000009</v>
      </c>
      <c r="J450" s="124">
        <f>IF($D450="",0,IF($F450&lt;2,0,IF($E450="Win",('Guide &amp; Settings'!$C$42/(($F450-1)*COUNTIFS($A$4:$A$1510,$A450,$E$4:$E$1510,"Win")))*SUMIFS($X$4:$X$1510,$A$4:$A$1510,$A450,$E$4:$E$1510,"Loss"),-('Guide &amp; Settings'!$C$42/($F450-1))*$X450)))</f>
        <v>13.893732241868555</v>
      </c>
      <c r="K450" s="124">
        <f>IF($D450="",0,'Guide &amp; Settings'!$C$43*(IF($E450="Win",1,0)-$I450))</f>
        <v>4.7999999999999989</v>
      </c>
      <c r="L450" s="125">
        <f>IF($D450="",0,'Guide &amp; Settings'!$C$44*IF($F450&gt;=3,$F450,0))</f>
        <v>0</v>
      </c>
      <c r="M450" s="124">
        <f t="shared" si="123"/>
        <v>18.693732241868553</v>
      </c>
      <c r="N450" s="122">
        <f t="shared" si="124"/>
        <v>1149.704179605086</v>
      </c>
      <c r="O450" s="121" t="str">
        <f t="shared" si="125"/>
        <v>OK</v>
      </c>
      <c r="P450">
        <f t="shared" si="126"/>
        <v>1131.0104473632175</v>
      </c>
      <c r="Q450">
        <f t="shared" si="127"/>
        <v>0.5</v>
      </c>
      <c r="R450">
        <f t="shared" si="128"/>
        <v>0.5</v>
      </c>
      <c r="S450">
        <f t="shared" si="129"/>
        <v>0.83333333333333326</v>
      </c>
      <c r="T450" s="89">
        <f t="shared" si="130"/>
        <v>0</v>
      </c>
      <c r="U450" s="126">
        <f>IF($D450="",0,IFERROR(LOOKUP(2,1/(($D$3:D449=$D450)*($C$3:C449=$C450)*($A$3:A449&lt;$A450)),$AB$3:AB449),1000))</f>
        <v>1000</v>
      </c>
      <c r="V450" s="126">
        <f t="shared" si="131"/>
        <v>1131.0104473632175</v>
      </c>
      <c r="W450">
        <f t="shared" si="132"/>
        <v>1131.0104473632175</v>
      </c>
      <c r="X450">
        <f t="shared" si="133"/>
        <v>0.5</v>
      </c>
      <c r="Y450">
        <f t="shared" si="134"/>
        <v>1000</v>
      </c>
      <c r="Z450">
        <f t="shared" si="135"/>
        <v>0.5</v>
      </c>
      <c r="AA450">
        <f>IF($D450="",0,IF($F450&lt;2,0,IF($E450="Win",('Guide &amp; Settings'!$C$42/(($F450-1)*COUNTIFS($A$4:$A$1510,$A450,$E$4:$E$1510,"Win")))*SUMIFS($Z$4:$Z$1510,$A$4:$A$1510,$A450,$E$4:$E$1510,"Loss"),-('Guide &amp; Settings'!$C$42/($F450-1))*$Z450)))</f>
        <v>15.255601311734626</v>
      </c>
      <c r="AB450" s="126">
        <f t="shared" si="136"/>
        <v>1015.2556013117346</v>
      </c>
      <c r="AC450" s="126">
        <f>IF($D450="","",IF($AD450=0,0,IF(COUNTIFS($D$4:$D450,$D450,$B$4:$B450,$B450)&gt;1,0,IF($B450&lt;'Guide &amp; Settings'!$C$50,0,IF(($B450-$AD450)/7-'Guide &amp; Settings'!$C$48&gt;=0,(INT(($B450-$AD450)/7-'Guide &amp; Settings'!$C$48)+1)*'Guide &amp; Settings'!$C$49,0)))))</f>
        <v>0</v>
      </c>
      <c r="AD450" s="142">
        <f t="shared" si="137"/>
        <v>46243</v>
      </c>
      <c r="AE450">
        <f t="shared" si="138"/>
        <v>1</v>
      </c>
      <c r="AF450">
        <f t="shared" si="139"/>
        <v>0</v>
      </c>
    </row>
    <row r="451" spans="1:32" x14ac:dyDescent="0.2">
      <c r="A451" s="117">
        <v>193</v>
      </c>
      <c r="B451" s="118">
        <v>46247</v>
      </c>
      <c r="C451" s="119" t="s">
        <v>37</v>
      </c>
      <c r="D451" s="119" t="s">
        <v>19</v>
      </c>
      <c r="E451" s="117" t="s">
        <v>371</v>
      </c>
      <c r="F451" s="120">
        <f t="shared" si="120"/>
        <v>2</v>
      </c>
      <c r="G451" s="121" t="str">
        <f t="shared" si="121"/>
        <v>Shawn</v>
      </c>
      <c r="H451" s="122">
        <f>IF($D451="",0,IFERROR(LOOKUP(2,1/(($D$3:D450=$D451)*($A$3:A450&lt;$A451)),$N$3:N450),'Guide &amp; Settings'!$C$41))</f>
        <v>1105.2429483962926</v>
      </c>
      <c r="I451" s="123">
        <f t="shared" si="122"/>
        <v>0.4</v>
      </c>
      <c r="J451" s="124">
        <f>IF($D451="",0,IF($F451&lt;2,0,IF($E451="Win",('Guide &amp; Settings'!$C$42/(($F451-1)*COUNTIFS($A$4:$A$1510,$A451,$E$4:$E$1510,"Win")))*SUMIFS($X$4:$X$1510,$A$4:$A$1510,$A451,$E$4:$E$1510,"Loss"),-('Guide &amp; Settings'!$C$42/($F451-1))*$X451)))</f>
        <v>-13.893732241868555</v>
      </c>
      <c r="K451" s="124">
        <f>IF($D451="",0,'Guide &amp; Settings'!$C$43*(IF($E451="Win",1,0)-$I451))</f>
        <v>-4.8000000000000007</v>
      </c>
      <c r="L451" s="125">
        <f>IF($D451="",0,'Guide &amp; Settings'!$C$44*IF($F451&gt;=3,$F451,0))</f>
        <v>0</v>
      </c>
      <c r="M451" s="124">
        <f t="shared" si="123"/>
        <v>-18.693732241868556</v>
      </c>
      <c r="N451" s="122">
        <f t="shared" si="124"/>
        <v>1086.5492161544241</v>
      </c>
      <c r="O451" s="121" t="str">
        <f t="shared" si="125"/>
        <v>OK</v>
      </c>
      <c r="P451">
        <f t="shared" si="126"/>
        <v>1131.0104473632175</v>
      </c>
      <c r="Q451">
        <f t="shared" si="127"/>
        <v>0.46298542849225255</v>
      </c>
      <c r="R451">
        <f t="shared" si="128"/>
        <v>0.33333333333333331</v>
      </c>
      <c r="S451">
        <f t="shared" si="129"/>
        <v>0.83333333333333326</v>
      </c>
      <c r="T451" s="89">
        <f t="shared" si="130"/>
        <v>1</v>
      </c>
      <c r="U451" s="126">
        <f>IF($D451="",0,IFERROR(LOOKUP(2,1/(($D$3:D450=$D451)*($C$3:C450=$C451)*($A$3:A450&lt;$A451)),$AB$3:AB450),1000))</f>
        <v>983.82390970712913</v>
      </c>
      <c r="V451" s="126">
        <f t="shared" si="131"/>
        <v>1085.0064419480987</v>
      </c>
      <c r="W451">
        <f t="shared" si="132"/>
        <v>1131.0104473632175</v>
      </c>
      <c r="X451">
        <f t="shared" si="133"/>
        <v>0.43417913255839236</v>
      </c>
      <c r="Y451">
        <f t="shared" si="134"/>
        <v>1000</v>
      </c>
      <c r="Z451">
        <f t="shared" si="135"/>
        <v>0.47673754099170706</v>
      </c>
      <c r="AA451">
        <f>IF($D451="",0,IF($F451&lt;2,0,IF($E451="Win",('Guide &amp; Settings'!$C$42/(($F451-1)*COUNTIFS($A$4:$A$1510,$A451,$E$4:$E$1510,"Win")))*SUMIFS($Z$4:$Z$1510,$A$4:$A$1510,$A451,$E$4:$E$1510,"Loss"),-('Guide &amp; Settings'!$C$42/($F451-1))*$Z451)))</f>
        <v>-15.255601311734626</v>
      </c>
      <c r="AB451" s="126">
        <f t="shared" si="136"/>
        <v>968.56830839539452</v>
      </c>
      <c r="AC451" s="126">
        <f>IF($D451="","",IF($AD451=0,0,IF(COUNTIFS($D$4:$D451,$D451,$B$4:$B451,$B451)&gt;1,0,IF($B451&lt;'Guide &amp; Settings'!$C$50,0,IF(($B451-$AD451)/7-'Guide &amp; Settings'!$C$48&gt;=0,(INT(($B451-$AD451)/7-'Guide &amp; Settings'!$C$48)+1)*'Guide &amp; Settings'!$C$49,0)))))</f>
        <v>0</v>
      </c>
      <c r="AD451" s="142">
        <f t="shared" si="137"/>
        <v>46229</v>
      </c>
      <c r="AE451">
        <f t="shared" si="138"/>
        <v>1</v>
      </c>
      <c r="AF451">
        <f t="shared" si="139"/>
        <v>0</v>
      </c>
    </row>
    <row r="452" spans="1:32" x14ac:dyDescent="0.2">
      <c r="A452" s="117">
        <v>194</v>
      </c>
      <c r="B452" s="118">
        <v>46247</v>
      </c>
      <c r="C452" s="119" t="s">
        <v>52</v>
      </c>
      <c r="D452" s="119" t="s">
        <v>20</v>
      </c>
      <c r="E452" s="117" t="s">
        <v>371</v>
      </c>
      <c r="F452" s="120">
        <f t="shared" ref="F452:F515" si="140">IF($D452="",0,COUNTIF($A$4:$A$1510,$A452))</f>
        <v>2</v>
      </c>
      <c r="G452" s="121" t="str">
        <f t="shared" ref="G452:G515" si="141">IF($D452="","",IFERROR(LOOKUP(2,1/(($A$4:$A$1510=$A452)*($E$4:$E$1510="Win")),$D$4:$D$1510),"(no winner)"))</f>
        <v>Josh</v>
      </c>
      <c r="H452" s="122">
        <f>IF($D452="",0,IFERROR(LOOKUP(2,1/(($D$3:D451=$D452)*($A$3:A451&lt;$A452)),$N$3:N451),'Guide &amp; Settings'!$C$41))</f>
        <v>1149.704179605086</v>
      </c>
      <c r="I452" s="123">
        <f t="shared" ref="I452:I515" si="142">IF($D452="",0,IF($S452=0,0,$R452/$S452))</f>
        <v>0.66666666666666663</v>
      </c>
      <c r="J452" s="124">
        <f>IF($D452="",0,IF($F452&lt;2,0,IF($E452="Win",('Guide &amp; Settings'!$C$42/(($F452-1)*COUNTIFS($A$4:$A$1510,$A452,$E$4:$E$1510,"Win")))*SUMIFS($X$4:$X$1510,$A$4:$A$1510,$A452,$E$4:$E$1510,"Loss"),-('Guide &amp; Settings'!$C$42/($F452-1))*$X452)))</f>
        <v>-20.305264166853533</v>
      </c>
      <c r="K452" s="124">
        <f>IF($D452="",0,'Guide &amp; Settings'!$C$43*(IF($E452="Win",1,0)-$I452))</f>
        <v>-8</v>
      </c>
      <c r="L452" s="125">
        <f>IF($D452="",0,'Guide &amp; Settings'!$C$44*IF($F452&gt;=3,$F452,0))</f>
        <v>0</v>
      </c>
      <c r="M452" s="124">
        <f t="shared" ref="M452:M515" si="143">IF($D452="",0,$J452+$K452+$L452)</f>
        <v>-28.305264166853533</v>
      </c>
      <c r="N452" s="122">
        <f t="shared" ref="N452:N515" si="144">IF($D452="",0,$H452+$M452)</f>
        <v>1121.3989154382325</v>
      </c>
      <c r="O452" s="121" t="str">
        <f t="shared" ref="O452:O515" si="145">IF($D452="","",IF($AE452=0,"need a winner",IF($F452-$AE452=0,"need a loser",IF(MOD($AF452,2)=1,"duplicate player",IF(MOD(INT($AF452/2),2)=1,"mixed sports",IF($AF452&gt;=4,"mixed dates",IF($AE452&gt;1,IF($F452&gt;=4,"OK (team)","check winners"),"OK")))))))</f>
        <v>OK</v>
      </c>
      <c r="P452">
        <f t="shared" ref="P452:P515" si="146">IF($D452="",0,IFERROR(SUMIFS($H$4:$H$1510,$A$4:$A$1510,$A452,$E$4:$E$1510,"Win")/COUNTIFS($A$4:$A$1510,$A452,$E$4:$E$1510,"Win"),0))</f>
        <v>1086.5492161544241</v>
      </c>
      <c r="Q452">
        <f t="shared" ref="Q452:Q515" si="147">IF($D452="",0,1/(1+10^(($P452-$H452)/400)))</f>
        <v>0.58989932138700929</v>
      </c>
      <c r="R452">
        <f t="shared" ref="R452:R515" si="148">IF($D452="",0,(COUNTIFS($D$4:$D$1510,$D452,$C$4:$C$1510,$C452,$E$4:$E$1510,"Win",$A$4:$A$1510,"&lt;"&amp;$A452)+1)/(COUNTIFS($D$4:$D$1510,$D452,$C$4:$C$1510,$C452,$A$4:$A$1510,"&lt;"&amp;$A452)+2))</f>
        <v>0.5</v>
      </c>
      <c r="S452">
        <f t="shared" ref="S452:S515" si="149">IF($D452="",0,SUMIFS($R$4:$R$1510,$A$4:$A$1510,$A452))</f>
        <v>0.75</v>
      </c>
      <c r="T452" s="89">
        <f t="shared" ref="T452:T515" si="150">IF($D452="",0,COUNTIFS($D$4:$D$1510,$D452,$C$4:$C$1510,$C452,$A$4:$A$1510,"&lt;"&amp;$A452))</f>
        <v>0</v>
      </c>
      <c r="U452" s="126">
        <f>IF($D452="",0,IFERROR(LOOKUP(2,1/(($D$3:D451=$D452)*($C$3:C451=$C452)*($A$3:A451&lt;$A452)),$AB$3:AB451),1000))</f>
        <v>1000</v>
      </c>
      <c r="V452" s="126">
        <f t="shared" ref="V452:V515" si="151">IF($D452="",0,$U452*($T452/($T452+5))+$H452*(1-$T452/($T452+5)))</f>
        <v>1149.704179605086</v>
      </c>
      <c r="W452">
        <f t="shared" ref="W452:W515" si="152">IF($D452="",0,IFERROR(SUMIFS($V$4:$V$1510,$A$4:$A$1510,$A452,$E$4:$E$1510,"Win")/COUNTIFS($A$4:$A$1510,$A452,$E$4:$E$1510,"Win"),0))</f>
        <v>1053.8568885044911</v>
      </c>
      <c r="X452">
        <f t="shared" ref="X452:X515" si="153">IF($D452="",0,1/(1+10^(($W452-$V452)/400)))</f>
        <v>0.63453950521417291</v>
      </c>
      <c r="Y452">
        <f t="shared" ref="Y452:Y515" si="154">IF($D452="",0,IFERROR(SUMIFS($U$4:$U$1510,$A$4:$A$1510,$A452,$E$4:$E$1510,"Win")/COUNTIFS($A$4:$A$1510,$A452,$E$4:$E$1510,"Win"),0))</f>
        <v>972.12606937965847</v>
      </c>
      <c r="Z452">
        <f t="shared" ref="Z452:Z515" si="155">IF($D452="",0,1/(1+10^(($Y452-$U452)/400)))</f>
        <v>0.54002796791278629</v>
      </c>
      <c r="AA452">
        <f>IF($D452="",0,IF($F452&lt;2,0,IF($E452="Win",('Guide &amp; Settings'!$C$42/(($F452-1)*COUNTIFS($A$4:$A$1510,$A452,$E$4:$E$1510,"Win")))*SUMIFS($Z$4:$Z$1510,$A$4:$A$1510,$A452,$E$4:$E$1510,"Loss"),-('Guide &amp; Settings'!$C$42/($F452-1))*$Z452)))</f>
        <v>-17.280894973209161</v>
      </c>
      <c r="AB452" s="126">
        <f t="shared" ref="AB452:AB515" si="156">IF($D452="",0,$U452+$AA452)</f>
        <v>982.71910502679088</v>
      </c>
      <c r="AC452" s="126">
        <f>IF($D452="","",IF($AD452=0,0,IF(COUNTIFS($D$4:$D452,$D452,$B$4:$B452,$B452)&gt;1,0,IF($B452&lt;'Guide &amp; Settings'!$C$50,0,IF(($B452-$AD452)/7-'Guide &amp; Settings'!$C$48&gt;=0,(INT(($B452-$AD452)/7-'Guide &amp; Settings'!$C$48)+1)*'Guide &amp; Settings'!$C$49,0)))))</f>
        <v>0</v>
      </c>
      <c r="AD452" s="142">
        <f t="shared" ref="AD452:AD515" si="157">IF($D452="",0,SUMPRODUCT(MAX(($D$4:$D$1510=$D452)*($B$4:$B$1510&lt;$B452)*$B$4:$B$1510)))</f>
        <v>46243</v>
      </c>
      <c r="AE452">
        <f t="shared" ref="AE452:AE515" si="158">IF($D452="",0,COUNTIFS($A$4:$A$1510,$A452,$E$4:$E$1510,"Win"))</f>
        <v>1</v>
      </c>
      <c r="AF452">
        <f t="shared" ref="AF452:AF515" si="159">IF($D452="",0,(COUNTIFS($A$4:$A$1510,$A452,$D$4:$D$1510,$D452)&gt;1)*1+(COUNTIFS($A$4:$A$1510,$A452,$C$4:$C$1510,"&lt;&gt;"&amp;$C452)&gt;0)*2+(COUNTIFS($A$4:$A$1510,$A452,$B$4:$B$1510,"&lt;&gt;"&amp;$B452)&gt;0)*4)</f>
        <v>0</v>
      </c>
    </row>
    <row r="453" spans="1:32" x14ac:dyDescent="0.2">
      <c r="A453" s="117">
        <v>194</v>
      </c>
      <c r="B453" s="118">
        <v>46247</v>
      </c>
      <c r="C453" s="119" t="s">
        <v>52</v>
      </c>
      <c r="D453" s="119" t="s">
        <v>19</v>
      </c>
      <c r="E453" s="117" t="s">
        <v>370</v>
      </c>
      <c r="F453" s="120">
        <f t="shared" si="140"/>
        <v>2</v>
      </c>
      <c r="G453" s="121" t="str">
        <f t="shared" si="141"/>
        <v>Josh</v>
      </c>
      <c r="H453" s="122">
        <f>IF($D453="",0,IFERROR(LOOKUP(2,1/(($D$3:D452=$D453)*($A$3:A452&lt;$A453)),$N$3:N452),'Guide &amp; Settings'!$C$41))</f>
        <v>1086.5492161544241</v>
      </c>
      <c r="I453" s="123">
        <f t="shared" si="142"/>
        <v>0.33333333333333331</v>
      </c>
      <c r="J453" s="124">
        <f>IF($D453="",0,IF($F453&lt;2,0,IF($E453="Win",('Guide &amp; Settings'!$C$42/(($F453-1)*COUNTIFS($A$4:$A$1510,$A453,$E$4:$E$1510,"Win")))*SUMIFS($X$4:$X$1510,$A$4:$A$1510,$A453,$E$4:$E$1510,"Loss"),-('Guide &amp; Settings'!$C$42/($F453-1))*$X453)))</f>
        <v>20.305264166853533</v>
      </c>
      <c r="K453" s="124">
        <f>IF($D453="",0,'Guide &amp; Settings'!$C$43*(IF($E453="Win",1,0)-$I453))</f>
        <v>8</v>
      </c>
      <c r="L453" s="125">
        <f>IF($D453="",0,'Guide &amp; Settings'!$C$44*IF($F453&gt;=3,$F453,0))</f>
        <v>0</v>
      </c>
      <c r="M453" s="124">
        <f t="shared" si="143"/>
        <v>28.305264166853533</v>
      </c>
      <c r="N453" s="122">
        <f t="shared" si="144"/>
        <v>1114.8544803212776</v>
      </c>
      <c r="O453" s="121" t="str">
        <f t="shared" si="145"/>
        <v>OK</v>
      </c>
      <c r="P453">
        <f t="shared" si="146"/>
        <v>1086.5492161544241</v>
      </c>
      <c r="Q453">
        <f t="shared" si="147"/>
        <v>0.5</v>
      </c>
      <c r="R453">
        <f t="shared" si="148"/>
        <v>0.25</v>
      </c>
      <c r="S453">
        <f t="shared" si="149"/>
        <v>0.75</v>
      </c>
      <c r="T453" s="89">
        <f t="shared" si="150"/>
        <v>2</v>
      </c>
      <c r="U453" s="126">
        <f>IF($D453="",0,IFERROR(LOOKUP(2,1/(($D$3:D452=$D453)*($C$3:C452=$C453)*($A$3:A452&lt;$A453)),$AB$3:AB452),1000))</f>
        <v>972.12606937965847</v>
      </c>
      <c r="V453" s="126">
        <f t="shared" si="151"/>
        <v>1053.8568885044911</v>
      </c>
      <c r="W453">
        <f t="shared" si="152"/>
        <v>1053.8568885044911</v>
      </c>
      <c r="X453">
        <f t="shared" si="153"/>
        <v>0.5</v>
      </c>
      <c r="Y453">
        <f t="shared" si="154"/>
        <v>972.12606937965847</v>
      </c>
      <c r="Z453">
        <f t="shared" si="155"/>
        <v>0.5</v>
      </c>
      <c r="AA453">
        <f>IF($D453="",0,IF($F453&lt;2,0,IF($E453="Win",('Guide &amp; Settings'!$C$42/(($F453-1)*COUNTIFS($A$4:$A$1510,$A453,$E$4:$E$1510,"Win")))*SUMIFS($Z$4:$Z$1510,$A$4:$A$1510,$A453,$E$4:$E$1510,"Loss"),-('Guide &amp; Settings'!$C$42/($F453-1))*$Z453)))</f>
        <v>17.280894973209161</v>
      </c>
      <c r="AB453" s="126">
        <f t="shared" si="156"/>
        <v>989.40696435286759</v>
      </c>
      <c r="AC453" s="126">
        <f>IF($D453="","",IF($AD453=0,0,IF(COUNTIFS($D$4:$D453,$D453,$B$4:$B453,$B453)&gt;1,0,IF($B453&lt;'Guide &amp; Settings'!$C$50,0,IF(($B453-$AD453)/7-'Guide &amp; Settings'!$C$48&gt;=0,(INT(($B453-$AD453)/7-'Guide &amp; Settings'!$C$48)+1)*'Guide &amp; Settings'!$C$49,0)))))</f>
        <v>0</v>
      </c>
      <c r="AD453" s="142">
        <f t="shared" si="157"/>
        <v>46229</v>
      </c>
      <c r="AE453">
        <f t="shared" si="158"/>
        <v>1</v>
      </c>
      <c r="AF453">
        <f t="shared" si="159"/>
        <v>0</v>
      </c>
    </row>
    <row r="454" spans="1:32" x14ac:dyDescent="0.2">
      <c r="A454" s="117">
        <v>195</v>
      </c>
      <c r="B454" s="118">
        <v>46247</v>
      </c>
      <c r="C454" s="119" t="s">
        <v>52</v>
      </c>
      <c r="D454" s="119" t="s">
        <v>20</v>
      </c>
      <c r="E454" s="117" t="s">
        <v>370</v>
      </c>
      <c r="F454" s="120">
        <f t="shared" si="140"/>
        <v>2</v>
      </c>
      <c r="G454" s="121" t="str">
        <f t="shared" si="141"/>
        <v>Shawn</v>
      </c>
      <c r="H454" s="122">
        <f>IF($D454="",0,IFERROR(LOOKUP(2,1/(($D$3:D453=$D454)*($A$3:A453&lt;$A454)),$N$3:N453),'Guide &amp; Settings'!$C$41))</f>
        <v>1121.3989154382325</v>
      </c>
      <c r="I454" s="123">
        <f t="shared" si="142"/>
        <v>0.45454545454545447</v>
      </c>
      <c r="J454" s="124">
        <f>IF($D454="",0,IF($F454&lt;2,0,IF($E454="Win",('Guide &amp; Settings'!$C$42/(($F454-1)*COUNTIFS($A$4:$A$1510,$A454,$E$4:$E$1510,"Win")))*SUMIFS($X$4:$X$1510,$A$4:$A$1510,$A454,$E$4:$E$1510,"Loss"),-('Guide &amp; Settings'!$C$42/($F454-1))*$X454)))</f>
        <v>14.600210450598139</v>
      </c>
      <c r="K454" s="124">
        <f>IF($D454="",0,'Guide &amp; Settings'!$C$43*(IF($E454="Win",1,0)-$I454))</f>
        <v>6.5454545454545467</v>
      </c>
      <c r="L454" s="125">
        <f>IF($D454="",0,'Guide &amp; Settings'!$C$44*IF($F454&gt;=3,$F454,0))</f>
        <v>0</v>
      </c>
      <c r="M454" s="124">
        <f t="shared" si="143"/>
        <v>21.145664996052687</v>
      </c>
      <c r="N454" s="122">
        <f t="shared" si="144"/>
        <v>1142.5445804342853</v>
      </c>
      <c r="O454" s="121" t="str">
        <f t="shared" si="145"/>
        <v>OK</v>
      </c>
      <c r="P454">
        <f t="shared" si="146"/>
        <v>1121.3989154382325</v>
      </c>
      <c r="Q454">
        <f t="shared" si="147"/>
        <v>0.5</v>
      </c>
      <c r="R454">
        <f t="shared" si="148"/>
        <v>0.33333333333333331</v>
      </c>
      <c r="S454">
        <f t="shared" si="149"/>
        <v>0.73333333333333339</v>
      </c>
      <c r="T454" s="89">
        <f t="shared" si="150"/>
        <v>1</v>
      </c>
      <c r="U454" s="126">
        <f>IF($D454="",0,IFERROR(LOOKUP(2,1/(($D$3:D453=$D454)*($C$3:C453=$C454)*($A$3:A453&lt;$A454)),$AB$3:AB453),1000))</f>
        <v>982.71910502679088</v>
      </c>
      <c r="V454" s="126">
        <f t="shared" si="151"/>
        <v>1098.2856137029924</v>
      </c>
      <c r="W454">
        <f t="shared" si="152"/>
        <v>1098.2856137029924</v>
      </c>
      <c r="X454">
        <f t="shared" si="153"/>
        <v>0.5</v>
      </c>
      <c r="Y454">
        <f t="shared" si="154"/>
        <v>982.71910502679088</v>
      </c>
      <c r="Z454">
        <f t="shared" si="155"/>
        <v>0.5</v>
      </c>
      <c r="AA454">
        <f>IF($D454="",0,IF($F454&lt;2,0,IF($E454="Win",('Guide &amp; Settings'!$C$42/(($F454-1)*COUNTIFS($A$4:$A$1510,$A454,$E$4:$E$1510,"Win")))*SUMIFS($Z$4:$Z$1510,$A$4:$A$1510,$A454,$E$4:$E$1510,"Loss"),-('Guide &amp; Settings'!$C$42/($F454-1))*$Z454)))</f>
        <v>16.307949269690322</v>
      </c>
      <c r="AB454" s="126">
        <f t="shared" si="156"/>
        <v>999.0270542964812</v>
      </c>
      <c r="AC454" s="126">
        <f>IF($D454="","",IF($AD454=0,0,IF(COUNTIFS($D$4:$D454,$D454,$B$4:$B454,$B454)&gt;1,0,IF($B454&lt;'Guide &amp; Settings'!$C$50,0,IF(($B454-$AD454)/7-'Guide &amp; Settings'!$C$48&gt;=0,(INT(($B454-$AD454)/7-'Guide &amp; Settings'!$C$48)+1)*'Guide &amp; Settings'!$C$49,0)))))</f>
        <v>0</v>
      </c>
      <c r="AD454" s="142">
        <f t="shared" si="157"/>
        <v>46243</v>
      </c>
      <c r="AE454">
        <f t="shared" si="158"/>
        <v>1</v>
      </c>
      <c r="AF454">
        <f t="shared" si="159"/>
        <v>0</v>
      </c>
    </row>
    <row r="455" spans="1:32" x14ac:dyDescent="0.2">
      <c r="A455" s="117">
        <v>195</v>
      </c>
      <c r="B455" s="118">
        <v>46247</v>
      </c>
      <c r="C455" s="119" t="s">
        <v>52</v>
      </c>
      <c r="D455" s="119" t="s">
        <v>19</v>
      </c>
      <c r="E455" s="117" t="s">
        <v>371</v>
      </c>
      <c r="F455" s="120">
        <f t="shared" si="140"/>
        <v>2</v>
      </c>
      <c r="G455" s="121" t="str">
        <f t="shared" si="141"/>
        <v>Shawn</v>
      </c>
      <c r="H455" s="122">
        <f>IF($D455="",0,IFERROR(LOOKUP(2,1/(($D$3:D454=$D455)*($A$3:A454&lt;$A455)),$N$3:N454),'Guide &amp; Settings'!$C$41))</f>
        <v>1114.8544803212776</v>
      </c>
      <c r="I455" s="123">
        <f t="shared" si="142"/>
        <v>0.54545454545454541</v>
      </c>
      <c r="J455" s="124">
        <f>IF($D455="",0,IF($F455&lt;2,0,IF($E455="Win",('Guide &amp; Settings'!$C$42/(($F455-1)*COUNTIFS($A$4:$A$1510,$A455,$E$4:$E$1510,"Win")))*SUMIFS($X$4:$X$1510,$A$4:$A$1510,$A455,$E$4:$E$1510,"Loss"),-('Guide &amp; Settings'!$C$42/($F455-1))*$X455)))</f>
        <v>-14.600210450598139</v>
      </c>
      <c r="K455" s="124">
        <f>IF($D455="",0,'Guide &amp; Settings'!$C$43*(IF($E455="Win",1,0)-$I455))</f>
        <v>-6.545454545454545</v>
      </c>
      <c r="L455" s="125">
        <f>IF($D455="",0,'Guide &amp; Settings'!$C$44*IF($F455&gt;=3,$F455,0))</f>
        <v>0</v>
      </c>
      <c r="M455" s="124">
        <f t="shared" si="143"/>
        <v>-21.145664996052684</v>
      </c>
      <c r="N455" s="122">
        <f t="shared" si="144"/>
        <v>1093.708815325225</v>
      </c>
      <c r="O455" s="121" t="str">
        <f t="shared" si="145"/>
        <v>OK</v>
      </c>
      <c r="P455">
        <f t="shared" si="146"/>
        <v>1121.3989154382325</v>
      </c>
      <c r="Q455">
        <f t="shared" si="147"/>
        <v>0.49058291451808062</v>
      </c>
      <c r="R455">
        <f t="shared" si="148"/>
        <v>0.4</v>
      </c>
      <c r="S455">
        <f t="shared" si="149"/>
        <v>0.73333333333333339</v>
      </c>
      <c r="T455" s="89">
        <f t="shared" si="150"/>
        <v>3</v>
      </c>
      <c r="U455" s="126">
        <f>IF($D455="",0,IFERROR(LOOKUP(2,1/(($D$3:D454=$D455)*($C$3:C454=$C455)*($A$3:A454&lt;$A455)),$AB$3:AB454),1000))</f>
        <v>989.40696435286759</v>
      </c>
      <c r="V455" s="126">
        <f t="shared" si="151"/>
        <v>1067.8116618331237</v>
      </c>
      <c r="W455">
        <f t="shared" si="152"/>
        <v>1098.2856137029924</v>
      </c>
      <c r="X455">
        <f t="shared" si="153"/>
        <v>0.45625657658119184</v>
      </c>
      <c r="Y455">
        <f t="shared" si="154"/>
        <v>982.71910502679088</v>
      </c>
      <c r="Z455">
        <f t="shared" si="155"/>
        <v>0.50962341467782257</v>
      </c>
      <c r="AA455">
        <f>IF($D455="",0,IF($F455&lt;2,0,IF($E455="Win",('Guide &amp; Settings'!$C$42/(($F455-1)*COUNTIFS($A$4:$A$1510,$A455,$E$4:$E$1510,"Win")))*SUMIFS($Z$4:$Z$1510,$A$4:$A$1510,$A455,$E$4:$E$1510,"Loss"),-('Guide &amp; Settings'!$C$42/($F455-1))*$Z455)))</f>
        <v>-16.307949269690322</v>
      </c>
      <c r="AB455" s="126">
        <f t="shared" si="156"/>
        <v>973.09901508317728</v>
      </c>
      <c r="AC455" s="126">
        <f>IF($D455="","",IF($AD455=0,0,IF(COUNTIFS($D$4:$D455,$D455,$B$4:$B455,$B455)&gt;1,0,IF($B455&lt;'Guide &amp; Settings'!$C$50,0,IF(($B455-$AD455)/7-'Guide &amp; Settings'!$C$48&gt;=0,(INT(($B455-$AD455)/7-'Guide &amp; Settings'!$C$48)+1)*'Guide &amp; Settings'!$C$49,0)))))</f>
        <v>0</v>
      </c>
      <c r="AD455" s="142">
        <f t="shared" si="157"/>
        <v>46229</v>
      </c>
      <c r="AE455">
        <f t="shared" si="158"/>
        <v>1</v>
      </c>
      <c r="AF455">
        <f t="shared" si="159"/>
        <v>0</v>
      </c>
    </row>
    <row r="456" spans="1:32" x14ac:dyDescent="0.2">
      <c r="A456" s="117">
        <v>196</v>
      </c>
      <c r="B456" s="118">
        <v>46247</v>
      </c>
      <c r="C456" s="119" t="s">
        <v>53</v>
      </c>
      <c r="D456" s="119" t="s">
        <v>20</v>
      </c>
      <c r="E456" s="117" t="s">
        <v>370</v>
      </c>
      <c r="F456" s="120">
        <f t="shared" si="140"/>
        <v>2</v>
      </c>
      <c r="G456" s="121" t="str">
        <f t="shared" si="141"/>
        <v>Shawn</v>
      </c>
      <c r="H456" s="122">
        <f>IF($D456="",0,IFERROR(LOOKUP(2,1/(($D$3:D455=$D456)*($A$3:A455&lt;$A456)),$N$3:N455),'Guide &amp; Settings'!$C$41))</f>
        <v>1142.5445804342853</v>
      </c>
      <c r="I456" s="123">
        <f t="shared" si="142"/>
        <v>0.4285714285714286</v>
      </c>
      <c r="J456" s="124">
        <f>IF($D456="",0,IF($F456&lt;2,0,IF($E456="Win",('Guide &amp; Settings'!$C$42/(($F456-1)*COUNTIFS($A$4:$A$1510,$A456,$E$4:$E$1510,"Win")))*SUMIFS($X$4:$X$1510,$A$4:$A$1510,$A456,$E$4:$E$1510,"Loss"),-('Guide &amp; Settings'!$C$42/($F456-1))*$X456)))</f>
        <v>13.184214633800195</v>
      </c>
      <c r="K456" s="124">
        <f>IF($D456="",0,'Guide &amp; Settings'!$C$43*(IF($E456="Win",1,0)-$I456))</f>
        <v>6.8571428571428568</v>
      </c>
      <c r="L456" s="125">
        <f>IF($D456="",0,'Guide &amp; Settings'!$C$44*IF($F456&gt;=3,$F456,0))</f>
        <v>0</v>
      </c>
      <c r="M456" s="124">
        <f t="shared" si="143"/>
        <v>20.041357490943053</v>
      </c>
      <c r="N456" s="122">
        <f t="shared" si="144"/>
        <v>1162.5859379252283</v>
      </c>
      <c r="O456" s="121" t="str">
        <f t="shared" si="145"/>
        <v>OK</v>
      </c>
      <c r="P456">
        <f t="shared" si="146"/>
        <v>1142.5445804342853</v>
      </c>
      <c r="Q456">
        <f t="shared" si="147"/>
        <v>0.5</v>
      </c>
      <c r="R456">
        <f t="shared" si="148"/>
        <v>0.5</v>
      </c>
      <c r="S456">
        <f t="shared" si="149"/>
        <v>1.1666666666666665</v>
      </c>
      <c r="T456" s="89">
        <f t="shared" si="150"/>
        <v>0</v>
      </c>
      <c r="U456" s="126">
        <f>IF($D456="",0,IFERROR(LOOKUP(2,1/(($D$3:D455=$D456)*($C$3:C455=$C456)*($A$3:A455&lt;$A456)),$AB$3:AB455),1000))</f>
        <v>1000</v>
      </c>
      <c r="V456" s="126">
        <f t="shared" si="151"/>
        <v>1142.5445804342853</v>
      </c>
      <c r="W456">
        <f t="shared" si="152"/>
        <v>1142.5445804342853</v>
      </c>
      <c r="X456">
        <f t="shared" si="153"/>
        <v>0.5</v>
      </c>
      <c r="Y456">
        <f t="shared" si="154"/>
        <v>1000</v>
      </c>
      <c r="Z456">
        <f t="shared" si="155"/>
        <v>0.5</v>
      </c>
      <c r="AA456">
        <f>IF($D456="",0,IF($F456&lt;2,0,IF($E456="Win",('Guide &amp; Settings'!$C$42/(($F456-1)*COUNTIFS($A$4:$A$1510,$A456,$E$4:$E$1510,"Win")))*SUMIFS($Z$4:$Z$1510,$A$4:$A$1510,$A456,$E$4:$E$1510,"Loss"),-('Guide &amp; Settings'!$C$42/($F456-1))*$Z456)))</f>
        <v>16.736306793521994</v>
      </c>
      <c r="AB456" s="126">
        <f t="shared" si="156"/>
        <v>1016.736306793522</v>
      </c>
      <c r="AC456" s="126">
        <f>IF($D456="","",IF($AD456=0,0,IF(COUNTIFS($D$4:$D456,$D456,$B$4:$B456,$B456)&gt;1,0,IF($B456&lt;'Guide &amp; Settings'!$C$50,0,IF(($B456-$AD456)/7-'Guide &amp; Settings'!$C$48&gt;=0,(INT(($B456-$AD456)/7-'Guide &amp; Settings'!$C$48)+1)*'Guide &amp; Settings'!$C$49,0)))))</f>
        <v>0</v>
      </c>
      <c r="AD456" s="142">
        <f t="shared" si="157"/>
        <v>46243</v>
      </c>
      <c r="AE456">
        <f t="shared" si="158"/>
        <v>1</v>
      </c>
      <c r="AF456">
        <f t="shared" si="159"/>
        <v>0</v>
      </c>
    </row>
    <row r="457" spans="1:32" x14ac:dyDescent="0.2">
      <c r="A457" s="117">
        <v>196</v>
      </c>
      <c r="B457" s="118">
        <v>46247</v>
      </c>
      <c r="C457" s="119" t="s">
        <v>53</v>
      </c>
      <c r="D457" s="119" t="s">
        <v>19</v>
      </c>
      <c r="E457" s="117" t="s">
        <v>371</v>
      </c>
      <c r="F457" s="120">
        <f t="shared" si="140"/>
        <v>2</v>
      </c>
      <c r="G457" s="121" t="str">
        <f t="shared" si="141"/>
        <v>Shawn</v>
      </c>
      <c r="H457" s="122">
        <f>IF($D457="",0,IFERROR(LOOKUP(2,1/(($D$3:D456=$D457)*($A$3:A456&lt;$A457)),$N$3:N456),'Guide &amp; Settings'!$C$41))</f>
        <v>1093.708815325225</v>
      </c>
      <c r="I457" s="123">
        <f t="shared" si="142"/>
        <v>0.57142857142857151</v>
      </c>
      <c r="J457" s="124">
        <f>IF($D457="",0,IF($F457&lt;2,0,IF($E457="Win",('Guide &amp; Settings'!$C$42/(($F457-1)*COUNTIFS($A$4:$A$1510,$A457,$E$4:$E$1510,"Win")))*SUMIFS($X$4:$X$1510,$A$4:$A$1510,$A457,$E$4:$E$1510,"Loss"),-('Guide &amp; Settings'!$C$42/($F457-1))*$X457)))</f>
        <v>-13.184214633800195</v>
      </c>
      <c r="K457" s="124">
        <f>IF($D457="",0,'Guide &amp; Settings'!$C$43*(IF($E457="Win",1,0)-$I457))</f>
        <v>-6.8571428571428577</v>
      </c>
      <c r="L457" s="125">
        <f>IF($D457="",0,'Guide &amp; Settings'!$C$44*IF($F457&gt;=3,$F457,0))</f>
        <v>0</v>
      </c>
      <c r="M457" s="124">
        <f t="shared" si="143"/>
        <v>-20.041357490943053</v>
      </c>
      <c r="N457" s="122">
        <f t="shared" si="144"/>
        <v>1073.667457834282</v>
      </c>
      <c r="O457" s="121" t="str">
        <f t="shared" si="145"/>
        <v>OK</v>
      </c>
      <c r="P457">
        <f t="shared" si="146"/>
        <v>1142.5445804342853</v>
      </c>
      <c r="Q457">
        <f t="shared" si="147"/>
        <v>0.43017890523994895</v>
      </c>
      <c r="R457">
        <f t="shared" si="148"/>
        <v>0.66666666666666663</v>
      </c>
      <c r="S457">
        <f t="shared" si="149"/>
        <v>1.1666666666666665</v>
      </c>
      <c r="T457" s="89">
        <f t="shared" si="150"/>
        <v>1</v>
      </c>
      <c r="U457" s="126">
        <f>IF($D457="",0,IFERROR(LOOKUP(2,1/(($D$3:D456=$D457)*($C$3:C456=$C457)*($A$3:A456&lt;$A457)),$AB$3:AB456),1000))</f>
        <v>1016</v>
      </c>
      <c r="V457" s="126">
        <f t="shared" si="151"/>
        <v>1080.7573461043542</v>
      </c>
      <c r="W457">
        <f t="shared" si="152"/>
        <v>1142.5445804342853</v>
      </c>
      <c r="X457">
        <f t="shared" si="153"/>
        <v>0.4120067073062561</v>
      </c>
      <c r="Y457">
        <f t="shared" si="154"/>
        <v>1000</v>
      </c>
      <c r="Z457">
        <f t="shared" si="155"/>
        <v>0.52300958729756231</v>
      </c>
      <c r="AA457">
        <f>IF($D457="",0,IF($F457&lt;2,0,IF($E457="Win",('Guide &amp; Settings'!$C$42/(($F457-1)*COUNTIFS($A$4:$A$1510,$A457,$E$4:$E$1510,"Win")))*SUMIFS($Z$4:$Z$1510,$A$4:$A$1510,$A457,$E$4:$E$1510,"Loss"),-('Guide &amp; Settings'!$C$42/($F457-1))*$Z457)))</f>
        <v>-16.736306793521994</v>
      </c>
      <c r="AB457" s="126">
        <f t="shared" si="156"/>
        <v>999.26369320647802</v>
      </c>
      <c r="AC457" s="126">
        <f>IF($D457="","",IF($AD457=0,0,IF(COUNTIFS($D$4:$D457,$D457,$B$4:$B457,$B457)&gt;1,0,IF($B457&lt;'Guide &amp; Settings'!$C$50,0,IF(($B457-$AD457)/7-'Guide &amp; Settings'!$C$48&gt;=0,(INT(($B457-$AD457)/7-'Guide &amp; Settings'!$C$48)+1)*'Guide &amp; Settings'!$C$49,0)))))</f>
        <v>0</v>
      </c>
      <c r="AD457" s="142">
        <f t="shared" si="157"/>
        <v>46229</v>
      </c>
      <c r="AE457">
        <f t="shared" si="158"/>
        <v>1</v>
      </c>
      <c r="AF457">
        <f t="shared" si="159"/>
        <v>0</v>
      </c>
    </row>
    <row r="458" spans="1:32" x14ac:dyDescent="0.2">
      <c r="A458" s="117">
        <v>197</v>
      </c>
      <c r="B458" s="118">
        <v>46247</v>
      </c>
      <c r="C458" s="119" t="s">
        <v>55</v>
      </c>
      <c r="D458" s="119" t="s">
        <v>20</v>
      </c>
      <c r="E458" s="117" t="s">
        <v>371</v>
      </c>
      <c r="F458" s="120">
        <f t="shared" si="140"/>
        <v>2</v>
      </c>
      <c r="G458" s="121" t="str">
        <f t="shared" si="141"/>
        <v>Josh</v>
      </c>
      <c r="H458" s="122">
        <f>IF($D458="",0,IFERROR(LOOKUP(2,1/(($D$3:D457=$D458)*($A$3:A457&lt;$A458)),$N$3:N457),'Guide &amp; Settings'!$C$41))</f>
        <v>1162.5859379252283</v>
      </c>
      <c r="I458" s="123">
        <f t="shared" si="142"/>
        <v>0.60000000000000009</v>
      </c>
      <c r="J458" s="124">
        <f>IF($D458="",0,IF($F458&lt;2,0,IF($E458="Win",('Guide &amp; Settings'!$C$42/(($F458-1)*COUNTIFS($A$4:$A$1510,$A458,$E$4:$E$1510,"Win")))*SUMIFS($X$4:$X$1510,$A$4:$A$1510,$A458,$E$4:$E$1510,"Loss"),-('Guide &amp; Settings'!$C$42/($F458-1))*$X458)))</f>
        <v>-20.589215701755581</v>
      </c>
      <c r="K458" s="124">
        <f>IF($D458="",0,'Guide &amp; Settings'!$C$43*(IF($E458="Win",1,0)-$I458))</f>
        <v>-7.2000000000000011</v>
      </c>
      <c r="L458" s="125">
        <f>IF($D458="",0,'Guide &amp; Settings'!$C$44*IF($F458&gt;=3,$F458,0))</f>
        <v>0</v>
      </c>
      <c r="M458" s="124">
        <f t="shared" si="143"/>
        <v>-27.78921570175558</v>
      </c>
      <c r="N458" s="122">
        <f t="shared" si="144"/>
        <v>1134.7967222234727</v>
      </c>
      <c r="O458" s="121" t="str">
        <f t="shared" si="145"/>
        <v>OK</v>
      </c>
      <c r="P458">
        <f t="shared" si="146"/>
        <v>1073.667457834282</v>
      </c>
      <c r="Q458">
        <f t="shared" si="147"/>
        <v>0.62524144383080016</v>
      </c>
      <c r="R458">
        <f t="shared" si="148"/>
        <v>0.5</v>
      </c>
      <c r="S458">
        <f t="shared" si="149"/>
        <v>0.83333333333333326</v>
      </c>
      <c r="T458" s="89">
        <f t="shared" si="150"/>
        <v>0</v>
      </c>
      <c r="U458" s="126">
        <f>IF($D458="",0,IFERROR(LOOKUP(2,1/(($D$3:D457=$D458)*($C$3:C457=$C458)*($A$3:A457&lt;$A458)),$AB$3:AB457),1000))</f>
        <v>1000</v>
      </c>
      <c r="V458" s="126">
        <f t="shared" si="151"/>
        <v>1162.5859379252283</v>
      </c>
      <c r="W458">
        <f t="shared" si="152"/>
        <v>1060.0562148619017</v>
      </c>
      <c r="X458">
        <f t="shared" si="153"/>
        <v>0.64341299067986191</v>
      </c>
      <c r="Y458">
        <f t="shared" si="154"/>
        <v>992</v>
      </c>
      <c r="Z458">
        <f t="shared" si="155"/>
        <v>0.5115108912177917</v>
      </c>
      <c r="AA458">
        <f>IF($D458="",0,IF($F458&lt;2,0,IF($E458="Win",('Guide &amp; Settings'!$C$42/(($F458-1)*COUNTIFS($A$4:$A$1510,$A458,$E$4:$E$1510,"Win")))*SUMIFS($Z$4:$Z$1510,$A$4:$A$1510,$A458,$E$4:$E$1510,"Loss"),-('Guide &amp; Settings'!$C$42/($F458-1))*$Z458)))</f>
        <v>-16.368348518969334</v>
      </c>
      <c r="AB458" s="126">
        <f t="shared" si="156"/>
        <v>983.63165148103064</v>
      </c>
      <c r="AC458" s="126">
        <f>IF($D458="","",IF($AD458=0,0,IF(COUNTIFS($D$4:$D458,$D458,$B$4:$B458,$B458)&gt;1,0,IF($B458&lt;'Guide &amp; Settings'!$C$50,0,IF(($B458-$AD458)/7-'Guide &amp; Settings'!$C$48&gt;=0,(INT(($B458-$AD458)/7-'Guide &amp; Settings'!$C$48)+1)*'Guide &amp; Settings'!$C$49,0)))))</f>
        <v>0</v>
      </c>
      <c r="AD458" s="142">
        <f t="shared" si="157"/>
        <v>46243</v>
      </c>
      <c r="AE458">
        <f t="shared" si="158"/>
        <v>1</v>
      </c>
      <c r="AF458">
        <f t="shared" si="159"/>
        <v>0</v>
      </c>
    </row>
    <row r="459" spans="1:32" x14ac:dyDescent="0.2">
      <c r="A459" s="117">
        <v>197</v>
      </c>
      <c r="B459" s="118">
        <v>46247</v>
      </c>
      <c r="C459" s="119" t="s">
        <v>55</v>
      </c>
      <c r="D459" s="119" t="s">
        <v>19</v>
      </c>
      <c r="E459" s="117" t="s">
        <v>370</v>
      </c>
      <c r="F459" s="120">
        <f t="shared" si="140"/>
        <v>2</v>
      </c>
      <c r="G459" s="121" t="str">
        <f t="shared" si="141"/>
        <v>Josh</v>
      </c>
      <c r="H459" s="122">
        <f>IF($D459="",0,IFERROR(LOOKUP(2,1/(($D$3:D458=$D459)*($A$3:A458&lt;$A459)),$N$3:N458),'Guide &amp; Settings'!$C$41))</f>
        <v>1073.667457834282</v>
      </c>
      <c r="I459" s="123">
        <f t="shared" si="142"/>
        <v>0.4</v>
      </c>
      <c r="J459" s="124">
        <f>IF($D459="",0,IF($F459&lt;2,0,IF($E459="Win",('Guide &amp; Settings'!$C$42/(($F459-1)*COUNTIFS($A$4:$A$1510,$A459,$E$4:$E$1510,"Win")))*SUMIFS($X$4:$X$1510,$A$4:$A$1510,$A459,$E$4:$E$1510,"Loss"),-('Guide &amp; Settings'!$C$42/($F459-1))*$X459)))</f>
        <v>20.589215701755581</v>
      </c>
      <c r="K459" s="124">
        <f>IF($D459="",0,'Guide &amp; Settings'!$C$43*(IF($E459="Win",1,0)-$I459))</f>
        <v>7.1999999999999993</v>
      </c>
      <c r="L459" s="125">
        <f>IF($D459="",0,'Guide &amp; Settings'!$C$44*IF($F459&gt;=3,$F459,0))</f>
        <v>0</v>
      </c>
      <c r="M459" s="124">
        <f t="shared" si="143"/>
        <v>27.78921570175558</v>
      </c>
      <c r="N459" s="122">
        <f t="shared" si="144"/>
        <v>1101.4566735360377</v>
      </c>
      <c r="O459" s="121" t="str">
        <f t="shared" si="145"/>
        <v>OK</v>
      </c>
      <c r="P459">
        <f t="shared" si="146"/>
        <v>1073.667457834282</v>
      </c>
      <c r="Q459">
        <f t="shared" si="147"/>
        <v>0.5</v>
      </c>
      <c r="R459">
        <f t="shared" si="148"/>
        <v>0.33333333333333331</v>
      </c>
      <c r="S459">
        <f t="shared" si="149"/>
        <v>0.83333333333333326</v>
      </c>
      <c r="T459" s="89">
        <f t="shared" si="150"/>
        <v>1</v>
      </c>
      <c r="U459" s="126">
        <f>IF($D459="",0,IFERROR(LOOKUP(2,1/(($D$3:D458=$D459)*($C$3:C458=$C459)*($A$3:A458&lt;$A459)),$AB$3:AB458),1000))</f>
        <v>992</v>
      </c>
      <c r="V459" s="126">
        <f t="shared" si="151"/>
        <v>1060.0562148619017</v>
      </c>
      <c r="W459">
        <f t="shared" si="152"/>
        <v>1060.0562148619017</v>
      </c>
      <c r="X459">
        <f t="shared" si="153"/>
        <v>0.5</v>
      </c>
      <c r="Y459">
        <f t="shared" si="154"/>
        <v>992</v>
      </c>
      <c r="Z459">
        <f t="shared" si="155"/>
        <v>0.5</v>
      </c>
      <c r="AA459">
        <f>IF($D459="",0,IF($F459&lt;2,0,IF($E459="Win",('Guide &amp; Settings'!$C$42/(($F459-1)*COUNTIFS($A$4:$A$1510,$A459,$E$4:$E$1510,"Win")))*SUMIFS($Z$4:$Z$1510,$A$4:$A$1510,$A459,$E$4:$E$1510,"Loss"),-('Guide &amp; Settings'!$C$42/($F459-1))*$Z459)))</f>
        <v>16.368348518969334</v>
      </c>
      <c r="AB459" s="126">
        <f t="shared" si="156"/>
        <v>1008.3683485189694</v>
      </c>
      <c r="AC459" s="126">
        <f>IF($D459="","",IF($AD459=0,0,IF(COUNTIFS($D$4:$D459,$D459,$B$4:$B459,$B459)&gt;1,0,IF($B459&lt;'Guide &amp; Settings'!$C$50,0,IF(($B459-$AD459)/7-'Guide &amp; Settings'!$C$48&gt;=0,(INT(($B459-$AD459)/7-'Guide &amp; Settings'!$C$48)+1)*'Guide &amp; Settings'!$C$49,0)))))</f>
        <v>0</v>
      </c>
      <c r="AD459" s="142">
        <f t="shared" si="157"/>
        <v>46229</v>
      </c>
      <c r="AE459">
        <f t="shared" si="158"/>
        <v>1</v>
      </c>
      <c r="AF459">
        <f t="shared" si="159"/>
        <v>0</v>
      </c>
    </row>
    <row r="460" spans="1:32" x14ac:dyDescent="0.2">
      <c r="A460" s="117">
        <v>198</v>
      </c>
      <c r="B460" s="118">
        <v>46247</v>
      </c>
      <c r="C460" s="119" t="s">
        <v>55</v>
      </c>
      <c r="D460" s="119" t="s">
        <v>20</v>
      </c>
      <c r="E460" s="117" t="s">
        <v>370</v>
      </c>
      <c r="F460" s="120">
        <f t="shared" si="140"/>
        <v>2</v>
      </c>
      <c r="G460" s="121" t="str">
        <f t="shared" si="141"/>
        <v>Shawn</v>
      </c>
      <c r="H460" s="122">
        <f>IF($D460="",0,IFERROR(LOOKUP(2,1/(($D$3:D459=$D460)*($A$3:A459&lt;$A460)),$N$3:N459),'Guide &amp; Settings'!$C$41))</f>
        <v>1134.7967222234727</v>
      </c>
      <c r="I460" s="123">
        <f t="shared" si="142"/>
        <v>0.4</v>
      </c>
      <c r="J460" s="124">
        <f>IF($D460="",0,IF($F460&lt;2,0,IF($E460="Win",('Guide &amp; Settings'!$C$42/(($F460-1)*COUNTIFS($A$4:$A$1510,$A460,$E$4:$E$1510,"Win")))*SUMIFS($X$4:$X$1510,$A$4:$A$1510,$A460,$E$4:$E$1510,"Loss"),-('Guide &amp; Settings'!$C$42/($F460-1))*$X460)))</f>
        <v>14.405358775941226</v>
      </c>
      <c r="K460" s="124">
        <f>IF($D460="",0,'Guide &amp; Settings'!$C$43*(IF($E460="Win",1,0)-$I460))</f>
        <v>7.1999999999999993</v>
      </c>
      <c r="L460" s="125">
        <f>IF($D460="",0,'Guide &amp; Settings'!$C$44*IF($F460&gt;=3,$F460,0))</f>
        <v>0</v>
      </c>
      <c r="M460" s="124">
        <f t="shared" si="143"/>
        <v>21.605358775941227</v>
      </c>
      <c r="N460" s="122">
        <f t="shared" si="144"/>
        <v>1156.402080999414</v>
      </c>
      <c r="O460" s="121" t="str">
        <f t="shared" si="145"/>
        <v>OK</v>
      </c>
      <c r="P460">
        <f t="shared" si="146"/>
        <v>1134.7967222234727</v>
      </c>
      <c r="Q460">
        <f t="shared" si="147"/>
        <v>0.5</v>
      </c>
      <c r="R460">
        <f t="shared" si="148"/>
        <v>0.33333333333333331</v>
      </c>
      <c r="S460">
        <f t="shared" si="149"/>
        <v>0.83333333333333326</v>
      </c>
      <c r="T460" s="89">
        <f t="shared" si="150"/>
        <v>1</v>
      </c>
      <c r="U460" s="126">
        <f>IF($D460="",0,IFERROR(LOOKUP(2,1/(($D$3:D459=$D460)*($C$3:C459=$C460)*($A$3:A459&lt;$A460)),$AB$3:AB459),1000))</f>
        <v>983.63165148103064</v>
      </c>
      <c r="V460" s="126">
        <f t="shared" si="151"/>
        <v>1109.6025437663991</v>
      </c>
      <c r="W460">
        <f t="shared" si="152"/>
        <v>1109.6025437663991</v>
      </c>
      <c r="X460">
        <f t="shared" si="153"/>
        <v>0.5</v>
      </c>
      <c r="Y460">
        <f t="shared" si="154"/>
        <v>983.63165148103064</v>
      </c>
      <c r="Z460">
        <f t="shared" si="155"/>
        <v>0.5</v>
      </c>
      <c r="AA460">
        <f>IF($D460="",0,IF($F460&lt;2,0,IF($E460="Win",('Guide &amp; Settings'!$C$42/(($F460-1)*COUNTIFS($A$4:$A$1510,$A460,$E$4:$E$1510,"Win")))*SUMIFS($Z$4:$Z$1510,$A$4:$A$1510,$A460,$E$4:$E$1510,"Loss"),-('Guide &amp; Settings'!$C$42/($F460-1))*$Z460)))</f>
        <v>17.137246023925336</v>
      </c>
      <c r="AB460" s="126">
        <f t="shared" si="156"/>
        <v>1000.7688975049559</v>
      </c>
      <c r="AC460" s="126">
        <f>IF($D460="","",IF($AD460=0,0,IF(COUNTIFS($D$4:$D460,$D460,$B$4:$B460,$B460)&gt;1,0,IF($B460&lt;'Guide &amp; Settings'!$C$50,0,IF(($B460-$AD460)/7-'Guide &amp; Settings'!$C$48&gt;=0,(INT(($B460-$AD460)/7-'Guide &amp; Settings'!$C$48)+1)*'Guide &amp; Settings'!$C$49,0)))))</f>
        <v>0</v>
      </c>
      <c r="AD460" s="142">
        <f t="shared" si="157"/>
        <v>46243</v>
      </c>
      <c r="AE460">
        <f t="shared" si="158"/>
        <v>1</v>
      </c>
      <c r="AF460">
        <f t="shared" si="159"/>
        <v>0</v>
      </c>
    </row>
    <row r="461" spans="1:32" x14ac:dyDescent="0.2">
      <c r="A461" s="117">
        <v>198</v>
      </c>
      <c r="B461" s="118">
        <v>46247</v>
      </c>
      <c r="C461" s="119" t="s">
        <v>55</v>
      </c>
      <c r="D461" s="119" t="s">
        <v>19</v>
      </c>
      <c r="E461" s="117" t="s">
        <v>371</v>
      </c>
      <c r="F461" s="120">
        <f t="shared" si="140"/>
        <v>2</v>
      </c>
      <c r="G461" s="121" t="str">
        <f t="shared" si="141"/>
        <v>Shawn</v>
      </c>
      <c r="H461" s="122">
        <f>IF($D461="",0,IFERROR(LOOKUP(2,1/(($D$3:D460=$D461)*($A$3:A460&lt;$A461)),$N$3:N460),'Guide &amp; Settings'!$C$41))</f>
        <v>1101.4566735360377</v>
      </c>
      <c r="I461" s="123">
        <f t="shared" si="142"/>
        <v>0.60000000000000009</v>
      </c>
      <c r="J461" s="124">
        <f>IF($D461="",0,IF($F461&lt;2,0,IF($E461="Win",('Guide &amp; Settings'!$C$42/(($F461-1)*COUNTIFS($A$4:$A$1510,$A461,$E$4:$E$1510,"Win")))*SUMIFS($X$4:$X$1510,$A$4:$A$1510,$A461,$E$4:$E$1510,"Loss"),-('Guide &amp; Settings'!$C$42/($F461-1))*$X461)))</f>
        <v>-14.405358775941226</v>
      </c>
      <c r="K461" s="124">
        <f>IF($D461="",0,'Guide &amp; Settings'!$C$43*(IF($E461="Win",1,0)-$I461))</f>
        <v>-7.2000000000000011</v>
      </c>
      <c r="L461" s="125">
        <f>IF($D461="",0,'Guide &amp; Settings'!$C$44*IF($F461&gt;=3,$F461,0))</f>
        <v>0</v>
      </c>
      <c r="M461" s="124">
        <f t="shared" si="143"/>
        <v>-21.605358775941227</v>
      </c>
      <c r="N461" s="122">
        <f t="shared" si="144"/>
        <v>1079.8513147600966</v>
      </c>
      <c r="O461" s="121" t="str">
        <f t="shared" si="145"/>
        <v>OK</v>
      </c>
      <c r="P461">
        <f t="shared" si="146"/>
        <v>1134.7967222234727</v>
      </c>
      <c r="Q461">
        <f t="shared" si="147"/>
        <v>0.45216654608960433</v>
      </c>
      <c r="R461">
        <f t="shared" si="148"/>
        <v>0.5</v>
      </c>
      <c r="S461">
        <f t="shared" si="149"/>
        <v>0.83333333333333326</v>
      </c>
      <c r="T461" s="89">
        <f t="shared" si="150"/>
        <v>2</v>
      </c>
      <c r="U461" s="126">
        <f>IF($D461="",0,IFERROR(LOOKUP(2,1/(($D$3:D460=$D461)*($C$3:C460=$C461)*($A$3:A460&lt;$A461)),$AB$3:AB460),1000))</f>
        <v>1008.3683485189694</v>
      </c>
      <c r="V461" s="126">
        <f t="shared" si="151"/>
        <v>1074.8600092454467</v>
      </c>
      <c r="W461">
        <f t="shared" si="152"/>
        <v>1109.6025437663991</v>
      </c>
      <c r="X461">
        <f t="shared" si="153"/>
        <v>0.4501674617481633</v>
      </c>
      <c r="Y461">
        <f t="shared" si="154"/>
        <v>983.63165148103064</v>
      </c>
      <c r="Z461">
        <f t="shared" si="155"/>
        <v>0.53553893824766674</v>
      </c>
      <c r="AA461">
        <f>IF($D461="",0,IF($F461&lt;2,0,IF($E461="Win",('Guide &amp; Settings'!$C$42/(($F461-1)*COUNTIFS($A$4:$A$1510,$A461,$E$4:$E$1510,"Win")))*SUMIFS($Z$4:$Z$1510,$A$4:$A$1510,$A461,$E$4:$E$1510,"Loss"),-('Guide &amp; Settings'!$C$42/($F461-1))*$Z461)))</f>
        <v>-17.137246023925336</v>
      </c>
      <c r="AB461" s="126">
        <f t="shared" si="156"/>
        <v>991.23110249504407</v>
      </c>
      <c r="AC461" s="126">
        <f>IF($D461="","",IF($AD461=0,0,IF(COUNTIFS($D$4:$D461,$D461,$B$4:$B461,$B461)&gt;1,0,IF($B461&lt;'Guide &amp; Settings'!$C$50,0,IF(($B461-$AD461)/7-'Guide &amp; Settings'!$C$48&gt;=0,(INT(($B461-$AD461)/7-'Guide &amp; Settings'!$C$48)+1)*'Guide &amp; Settings'!$C$49,0)))))</f>
        <v>0</v>
      </c>
      <c r="AD461" s="142">
        <f t="shared" si="157"/>
        <v>46229</v>
      </c>
      <c r="AE461">
        <f t="shared" si="158"/>
        <v>1</v>
      </c>
      <c r="AF461">
        <f t="shared" si="159"/>
        <v>0</v>
      </c>
    </row>
    <row r="462" spans="1:32" x14ac:dyDescent="0.2">
      <c r="A462" s="117">
        <v>199</v>
      </c>
      <c r="B462" s="118">
        <v>46247</v>
      </c>
      <c r="C462" s="119" t="s">
        <v>55</v>
      </c>
      <c r="D462" s="119" t="s">
        <v>20</v>
      </c>
      <c r="E462" s="117" t="s">
        <v>371</v>
      </c>
      <c r="F462" s="120">
        <f t="shared" si="140"/>
        <v>2</v>
      </c>
      <c r="G462" s="121" t="str">
        <f t="shared" si="141"/>
        <v>Josh</v>
      </c>
      <c r="H462" s="122">
        <f>IF($D462="",0,IFERROR(LOOKUP(2,1/(($D$3:D461=$D462)*($A$3:A461&lt;$A462)),$N$3:N461),'Guide &amp; Settings'!$C$41))</f>
        <v>1156.402080999414</v>
      </c>
      <c r="I462" s="123">
        <f t="shared" si="142"/>
        <v>0.55555555555555558</v>
      </c>
      <c r="J462" s="124">
        <f>IF($D462="",0,IF($F462&lt;2,0,IF($E462="Win",('Guide &amp; Settings'!$C$42/(($F462-1)*COUNTIFS($A$4:$A$1510,$A462,$E$4:$E$1510,"Win")))*SUMIFS($X$4:$X$1510,$A$4:$A$1510,$A462,$E$4:$E$1510,"Loss"),-('Guide &amp; Settings'!$C$42/($F462-1))*$X462)))</f>
        <v>-18.973003759458241</v>
      </c>
      <c r="K462" s="124">
        <f>IF($D462="",0,'Guide &amp; Settings'!$C$43*(IF($E462="Win",1,0)-$I462))</f>
        <v>-6.666666666666667</v>
      </c>
      <c r="L462" s="125">
        <f>IF($D462="",0,'Guide &amp; Settings'!$C$44*IF($F462&gt;=3,$F462,0))</f>
        <v>0</v>
      </c>
      <c r="M462" s="124">
        <f t="shared" si="143"/>
        <v>-25.639670426124908</v>
      </c>
      <c r="N462" s="122">
        <f t="shared" si="144"/>
        <v>1130.7624105732891</v>
      </c>
      <c r="O462" s="121" t="str">
        <f t="shared" si="145"/>
        <v>OK</v>
      </c>
      <c r="P462">
        <f t="shared" si="146"/>
        <v>1079.8513147600966</v>
      </c>
      <c r="Q462">
        <f t="shared" si="147"/>
        <v>0.60841667334863792</v>
      </c>
      <c r="R462">
        <f t="shared" si="148"/>
        <v>0.5</v>
      </c>
      <c r="S462">
        <f t="shared" si="149"/>
        <v>0.9</v>
      </c>
      <c r="T462" s="89">
        <f t="shared" si="150"/>
        <v>2</v>
      </c>
      <c r="U462" s="126">
        <f>IF($D462="",0,IFERROR(LOOKUP(2,1/(($D$3:D461=$D462)*($C$3:C461=$C462)*($A$3:A461&lt;$A462)),$AB$3:AB461),1000))</f>
        <v>1000.7688975049559</v>
      </c>
      <c r="V462" s="126">
        <f t="shared" si="151"/>
        <v>1111.9354571438546</v>
      </c>
      <c r="W462">
        <f t="shared" si="152"/>
        <v>1046.6187351607018</v>
      </c>
      <c r="X462">
        <f t="shared" si="153"/>
        <v>0.59290636748307002</v>
      </c>
      <c r="Y462">
        <f t="shared" si="154"/>
        <v>991.23110249504407</v>
      </c>
      <c r="Z462">
        <f t="shared" si="155"/>
        <v>0.5137225433999838</v>
      </c>
      <c r="AA462">
        <f>IF($D462="",0,IF($F462&lt;2,0,IF($E462="Win",('Guide &amp; Settings'!$C$42/(($F462-1)*COUNTIFS($A$4:$A$1510,$A462,$E$4:$E$1510,"Win")))*SUMIFS($Z$4:$Z$1510,$A$4:$A$1510,$A462,$E$4:$E$1510,"Loss"),-('Guide &amp; Settings'!$C$42/($F462-1))*$Z462)))</f>
        <v>-16.439121388799482</v>
      </c>
      <c r="AB462" s="126">
        <f t="shared" si="156"/>
        <v>984.32977611615649</v>
      </c>
      <c r="AC462" s="126">
        <f>IF($D462="","",IF($AD462=0,0,IF(COUNTIFS($D$4:$D462,$D462,$B$4:$B462,$B462)&gt;1,0,IF($B462&lt;'Guide &amp; Settings'!$C$50,0,IF(($B462-$AD462)/7-'Guide &amp; Settings'!$C$48&gt;=0,(INT(($B462-$AD462)/7-'Guide &amp; Settings'!$C$48)+1)*'Guide &amp; Settings'!$C$49,0)))))</f>
        <v>0</v>
      </c>
      <c r="AD462" s="142">
        <f t="shared" si="157"/>
        <v>46243</v>
      </c>
      <c r="AE462">
        <f t="shared" si="158"/>
        <v>1</v>
      </c>
      <c r="AF462">
        <f t="shared" si="159"/>
        <v>0</v>
      </c>
    </row>
    <row r="463" spans="1:32" x14ac:dyDescent="0.2">
      <c r="A463" s="117">
        <v>199</v>
      </c>
      <c r="B463" s="118">
        <v>46247</v>
      </c>
      <c r="C463" s="119" t="s">
        <v>55</v>
      </c>
      <c r="D463" s="119" t="s">
        <v>19</v>
      </c>
      <c r="E463" s="117" t="s">
        <v>370</v>
      </c>
      <c r="F463" s="120">
        <f t="shared" si="140"/>
        <v>2</v>
      </c>
      <c r="G463" s="121" t="str">
        <f t="shared" si="141"/>
        <v>Josh</v>
      </c>
      <c r="H463" s="122">
        <f>IF($D463="",0,IFERROR(LOOKUP(2,1/(($D$3:D462=$D463)*($A$3:A462&lt;$A463)),$N$3:N462),'Guide &amp; Settings'!$C$41))</f>
        <v>1079.8513147600966</v>
      </c>
      <c r="I463" s="123">
        <f t="shared" si="142"/>
        <v>0.44444444444444448</v>
      </c>
      <c r="J463" s="124">
        <f>IF($D463="",0,IF($F463&lt;2,0,IF($E463="Win",('Guide &amp; Settings'!$C$42/(($F463-1)*COUNTIFS($A$4:$A$1510,$A463,$E$4:$E$1510,"Win")))*SUMIFS($X$4:$X$1510,$A$4:$A$1510,$A463,$E$4:$E$1510,"Loss"),-('Guide &amp; Settings'!$C$42/($F463-1))*$X463)))</f>
        <v>18.973003759458241</v>
      </c>
      <c r="K463" s="124">
        <f>IF($D463="",0,'Guide &amp; Settings'!$C$43*(IF($E463="Win",1,0)-$I463))</f>
        <v>6.666666666666667</v>
      </c>
      <c r="L463" s="125">
        <f>IF($D463="",0,'Guide &amp; Settings'!$C$44*IF($F463&gt;=3,$F463,0))</f>
        <v>0</v>
      </c>
      <c r="M463" s="124">
        <f t="shared" si="143"/>
        <v>25.639670426124908</v>
      </c>
      <c r="N463" s="122">
        <f t="shared" si="144"/>
        <v>1105.4909851862215</v>
      </c>
      <c r="O463" s="121" t="str">
        <f t="shared" si="145"/>
        <v>OK</v>
      </c>
      <c r="P463">
        <f t="shared" si="146"/>
        <v>1079.8513147600966</v>
      </c>
      <c r="Q463">
        <f t="shared" si="147"/>
        <v>0.5</v>
      </c>
      <c r="R463">
        <f t="shared" si="148"/>
        <v>0.4</v>
      </c>
      <c r="S463">
        <f t="shared" si="149"/>
        <v>0.9</v>
      </c>
      <c r="T463" s="89">
        <f t="shared" si="150"/>
        <v>3</v>
      </c>
      <c r="U463" s="126">
        <f>IF($D463="",0,IFERROR(LOOKUP(2,1/(($D$3:D462=$D463)*($C$3:C462=$C463)*($A$3:A462&lt;$A463)),$AB$3:AB462),1000))</f>
        <v>991.23110249504407</v>
      </c>
      <c r="V463" s="126">
        <f t="shared" si="151"/>
        <v>1046.6187351607018</v>
      </c>
      <c r="W463">
        <f t="shared" si="152"/>
        <v>1046.6187351607018</v>
      </c>
      <c r="X463">
        <f t="shared" si="153"/>
        <v>0.5</v>
      </c>
      <c r="Y463">
        <f t="shared" si="154"/>
        <v>991.23110249504407</v>
      </c>
      <c r="Z463">
        <f t="shared" si="155"/>
        <v>0.5</v>
      </c>
      <c r="AA463">
        <f>IF($D463="",0,IF($F463&lt;2,0,IF($E463="Win",('Guide &amp; Settings'!$C$42/(($F463-1)*COUNTIFS($A$4:$A$1510,$A463,$E$4:$E$1510,"Win")))*SUMIFS($Z$4:$Z$1510,$A$4:$A$1510,$A463,$E$4:$E$1510,"Loss"),-('Guide &amp; Settings'!$C$42/($F463-1))*$Z463)))</f>
        <v>16.439121388799482</v>
      </c>
      <c r="AB463" s="126">
        <f t="shared" si="156"/>
        <v>1007.6702238838435</v>
      </c>
      <c r="AC463" s="126">
        <f>IF($D463="","",IF($AD463=0,0,IF(COUNTIFS($D$4:$D463,$D463,$B$4:$B463,$B463)&gt;1,0,IF($B463&lt;'Guide &amp; Settings'!$C$50,0,IF(($B463-$AD463)/7-'Guide &amp; Settings'!$C$48&gt;=0,(INT(($B463-$AD463)/7-'Guide &amp; Settings'!$C$48)+1)*'Guide &amp; Settings'!$C$49,0)))))</f>
        <v>0</v>
      </c>
      <c r="AD463" s="142">
        <f t="shared" si="157"/>
        <v>46229</v>
      </c>
      <c r="AE463">
        <f t="shared" si="158"/>
        <v>1</v>
      </c>
      <c r="AF463">
        <f t="shared" si="159"/>
        <v>0</v>
      </c>
    </row>
    <row r="464" spans="1:32" x14ac:dyDescent="0.2">
      <c r="A464" s="117">
        <v>200</v>
      </c>
      <c r="B464" s="118">
        <v>46247</v>
      </c>
      <c r="C464" s="119" t="s">
        <v>45</v>
      </c>
      <c r="D464" s="119" t="s">
        <v>20</v>
      </c>
      <c r="E464" s="117" t="s">
        <v>371</v>
      </c>
      <c r="F464" s="120">
        <f t="shared" si="140"/>
        <v>2</v>
      </c>
      <c r="G464" s="121" t="str">
        <f t="shared" si="141"/>
        <v>Josh</v>
      </c>
      <c r="H464" s="122">
        <f>IF($D464="",0,IFERROR(LOOKUP(2,1/(($D$3:D463=$D464)*($A$3:A463&lt;$A464)),$N$3:N463),'Guide &amp; Settings'!$C$41))</f>
        <v>1130.7624105732891</v>
      </c>
      <c r="I464" s="123">
        <f t="shared" si="142"/>
        <v>9.6774193548387094E-2</v>
      </c>
      <c r="J464" s="124">
        <f>IF($D464="",0,IF($F464&lt;2,0,IF($E464="Win",('Guide &amp; Settings'!$C$42/(($F464-1)*COUNTIFS($A$4:$A$1510,$A464,$E$4:$E$1510,"Win")))*SUMIFS($X$4:$X$1510,$A$4:$A$1510,$A464,$E$4:$E$1510,"Loss"),-('Guide &amp; Settings'!$C$42/($F464-1))*$X464)))</f>
        <v>-9.5776485408989664</v>
      </c>
      <c r="K464" s="124">
        <f>IF($D464="",0,'Guide &amp; Settings'!$C$43*(IF($E464="Win",1,0)-$I464))</f>
        <v>-1.161290322580645</v>
      </c>
      <c r="L464" s="125">
        <f>IF($D464="",0,'Guide &amp; Settings'!$C$44*IF($F464&gt;=3,$F464,0))</f>
        <v>0</v>
      </c>
      <c r="M464" s="124">
        <f t="shared" si="143"/>
        <v>-10.738938863479611</v>
      </c>
      <c r="N464" s="122">
        <f t="shared" si="144"/>
        <v>1120.0234717098094</v>
      </c>
      <c r="O464" s="121" t="str">
        <f t="shared" si="145"/>
        <v>OK</v>
      </c>
      <c r="P464">
        <f t="shared" si="146"/>
        <v>1105.4909851862215</v>
      </c>
      <c r="Q464">
        <f t="shared" si="147"/>
        <v>0.53630450210327663</v>
      </c>
      <c r="R464">
        <f t="shared" si="148"/>
        <v>7.1428571428571425E-2</v>
      </c>
      <c r="S464">
        <f t="shared" si="149"/>
        <v>0.73809523809523803</v>
      </c>
      <c r="T464" s="89">
        <f t="shared" si="150"/>
        <v>12</v>
      </c>
      <c r="U464" s="126">
        <f>IF($D464="",0,IFERROR(LOOKUP(2,1/(($D$3:D463=$D464)*($C$3:C463=$C464)*($A$3:A463&lt;$A464)),$AB$3:AB463),1000))</f>
        <v>863.17531320037415</v>
      </c>
      <c r="V464" s="126">
        <f t="shared" si="151"/>
        <v>941.87740066299625</v>
      </c>
      <c r="W464">
        <f t="shared" si="152"/>
        <v>1089.6463044238242</v>
      </c>
      <c r="X464">
        <f t="shared" si="153"/>
        <v>0.2993015169030927</v>
      </c>
      <c r="Y464">
        <f t="shared" si="154"/>
        <v>1010.4229006118373</v>
      </c>
      <c r="Z464">
        <f t="shared" si="155"/>
        <v>0.29993125281303051</v>
      </c>
      <c r="AA464">
        <f>IF($D464="",0,IF($F464&lt;2,0,IF($E464="Win",('Guide &amp; Settings'!$C$42/(($F464-1)*COUNTIFS($A$4:$A$1510,$A464,$E$4:$E$1510,"Win")))*SUMIFS($Z$4:$Z$1510,$A$4:$A$1510,$A464,$E$4:$E$1510,"Loss"),-('Guide &amp; Settings'!$C$42/($F464-1))*$Z464)))</f>
        <v>-9.5978000900169764</v>
      </c>
      <c r="AB464" s="126">
        <f t="shared" si="156"/>
        <v>853.57751311035713</v>
      </c>
      <c r="AC464" s="126">
        <f>IF($D464="","",IF($AD464=0,0,IF(COUNTIFS($D$4:$D464,$D464,$B$4:$B464,$B464)&gt;1,0,IF($B464&lt;'Guide &amp; Settings'!$C$50,0,IF(($B464-$AD464)/7-'Guide &amp; Settings'!$C$48&gt;=0,(INT(($B464-$AD464)/7-'Guide &amp; Settings'!$C$48)+1)*'Guide &amp; Settings'!$C$49,0)))))</f>
        <v>0</v>
      </c>
      <c r="AD464" s="142">
        <f t="shared" si="157"/>
        <v>46243</v>
      </c>
      <c r="AE464">
        <f t="shared" si="158"/>
        <v>1</v>
      </c>
      <c r="AF464">
        <f t="shared" si="159"/>
        <v>0</v>
      </c>
    </row>
    <row r="465" spans="1:32" x14ac:dyDescent="0.2">
      <c r="A465" s="117">
        <v>200</v>
      </c>
      <c r="B465" s="118">
        <v>46247</v>
      </c>
      <c r="C465" s="119" t="s">
        <v>45</v>
      </c>
      <c r="D465" s="119" t="s">
        <v>19</v>
      </c>
      <c r="E465" s="117" t="s">
        <v>370</v>
      </c>
      <c r="F465" s="120">
        <f t="shared" si="140"/>
        <v>2</v>
      </c>
      <c r="G465" s="121" t="str">
        <f t="shared" si="141"/>
        <v>Josh</v>
      </c>
      <c r="H465" s="122">
        <f>IF($D465="",0,IFERROR(LOOKUP(2,1/(($D$3:D464=$D465)*($A$3:A464&lt;$A465)),$N$3:N464),'Guide &amp; Settings'!$C$41))</f>
        <v>1105.4909851862215</v>
      </c>
      <c r="I465" s="123">
        <f t="shared" si="142"/>
        <v>0.90322580645161299</v>
      </c>
      <c r="J465" s="124">
        <f>IF($D465="",0,IF($F465&lt;2,0,IF($E465="Win",('Guide &amp; Settings'!$C$42/(($F465-1)*COUNTIFS($A$4:$A$1510,$A465,$E$4:$E$1510,"Win")))*SUMIFS($X$4:$X$1510,$A$4:$A$1510,$A465,$E$4:$E$1510,"Loss"),-('Guide &amp; Settings'!$C$42/($F465-1))*$X465)))</f>
        <v>9.5776485408989664</v>
      </c>
      <c r="K465" s="124">
        <f>IF($D465="",0,'Guide &amp; Settings'!$C$43*(IF($E465="Win",1,0)-$I465))</f>
        <v>1.1612903225806441</v>
      </c>
      <c r="L465" s="125">
        <f>IF($D465="",0,'Guide &amp; Settings'!$C$44*IF($F465&gt;=3,$F465,0))</f>
        <v>0</v>
      </c>
      <c r="M465" s="124">
        <f t="shared" si="143"/>
        <v>10.738938863479611</v>
      </c>
      <c r="N465" s="122">
        <f t="shared" si="144"/>
        <v>1116.2299240497011</v>
      </c>
      <c r="O465" s="121" t="str">
        <f t="shared" si="145"/>
        <v>OK</v>
      </c>
      <c r="P465">
        <f t="shared" si="146"/>
        <v>1105.4909851862215</v>
      </c>
      <c r="Q465">
        <f t="shared" si="147"/>
        <v>0.5</v>
      </c>
      <c r="R465">
        <f t="shared" si="148"/>
        <v>0.66666666666666663</v>
      </c>
      <c r="S465">
        <f t="shared" si="149"/>
        <v>0.73809523809523803</v>
      </c>
      <c r="T465" s="89">
        <f t="shared" si="150"/>
        <v>1</v>
      </c>
      <c r="U465" s="126">
        <f>IF($D465="",0,IFERROR(LOOKUP(2,1/(($D$3:D464=$D465)*($C$3:C464=$C465)*($A$3:A464&lt;$A465)),$AB$3:AB464),1000))</f>
        <v>1010.4229006118373</v>
      </c>
      <c r="V465" s="126">
        <f t="shared" si="151"/>
        <v>1089.6463044238242</v>
      </c>
      <c r="W465">
        <f t="shared" si="152"/>
        <v>1089.6463044238242</v>
      </c>
      <c r="X465">
        <f t="shared" si="153"/>
        <v>0.5</v>
      </c>
      <c r="Y465">
        <f t="shared" si="154"/>
        <v>1010.4229006118373</v>
      </c>
      <c r="Z465">
        <f t="shared" si="155"/>
        <v>0.5</v>
      </c>
      <c r="AA465">
        <f>IF($D465="",0,IF($F465&lt;2,0,IF($E465="Win",('Guide &amp; Settings'!$C$42/(($F465-1)*COUNTIFS($A$4:$A$1510,$A465,$E$4:$E$1510,"Win")))*SUMIFS($Z$4:$Z$1510,$A$4:$A$1510,$A465,$E$4:$E$1510,"Loss"),-('Guide &amp; Settings'!$C$42/($F465-1))*$Z465)))</f>
        <v>9.5978000900169764</v>
      </c>
      <c r="AB465" s="126">
        <f t="shared" si="156"/>
        <v>1020.0207007018544</v>
      </c>
      <c r="AC465" s="126">
        <f>IF($D465="","",IF($AD465=0,0,IF(COUNTIFS($D$4:$D465,$D465,$B$4:$B465,$B465)&gt;1,0,IF($B465&lt;'Guide &amp; Settings'!$C$50,0,IF(($B465-$AD465)/7-'Guide &amp; Settings'!$C$48&gt;=0,(INT(($B465-$AD465)/7-'Guide &amp; Settings'!$C$48)+1)*'Guide &amp; Settings'!$C$49,0)))))</f>
        <v>0</v>
      </c>
      <c r="AD465" s="142">
        <f t="shared" si="157"/>
        <v>46229</v>
      </c>
      <c r="AE465">
        <f t="shared" si="158"/>
        <v>1</v>
      </c>
      <c r="AF465">
        <f t="shared" si="159"/>
        <v>0</v>
      </c>
    </row>
    <row r="466" spans="1:32" x14ac:dyDescent="0.2">
      <c r="A466" s="117">
        <v>201</v>
      </c>
      <c r="B466" s="118">
        <v>46247</v>
      </c>
      <c r="C466" s="119" t="s">
        <v>45</v>
      </c>
      <c r="D466" s="119" t="s">
        <v>20</v>
      </c>
      <c r="E466" s="117" t="s">
        <v>371</v>
      </c>
      <c r="F466" s="120">
        <f t="shared" si="140"/>
        <v>2</v>
      </c>
      <c r="G466" s="121" t="str">
        <f t="shared" si="141"/>
        <v>Josh</v>
      </c>
      <c r="H466" s="122">
        <f>IF($D466="",0,IFERROR(LOOKUP(2,1/(($D$3:D465=$D466)*($A$3:A465&lt;$A466)),$N$3:N465),'Guide &amp; Settings'!$C$41))</f>
        <v>1120.0234717098094</v>
      </c>
      <c r="I466" s="123">
        <f t="shared" si="142"/>
        <v>8.1632653061224483E-2</v>
      </c>
      <c r="J466" s="124">
        <f>IF($D466="",0,IF($F466&lt;2,0,IF($E466="Win",('Guide &amp; Settings'!$C$42/(($F466-1)*COUNTIFS($A$4:$A$1510,$A466,$E$4:$E$1510,"Win")))*SUMIFS($X$4:$X$1510,$A$4:$A$1510,$A466,$E$4:$E$1510,"Loss"),-('Guide &amp; Settings'!$C$42/($F466-1))*$X466)))</f>
        <v>-9.0687808475902436</v>
      </c>
      <c r="K466" s="124">
        <f>IF($D466="",0,'Guide &amp; Settings'!$C$43*(IF($E466="Win",1,0)-$I466))</f>
        <v>-0.97959183673469385</v>
      </c>
      <c r="L466" s="125">
        <f>IF($D466="",0,'Guide &amp; Settings'!$C$44*IF($F466&gt;=3,$F466,0))</f>
        <v>0</v>
      </c>
      <c r="M466" s="124">
        <f t="shared" si="143"/>
        <v>-10.048372684324937</v>
      </c>
      <c r="N466" s="122">
        <f t="shared" si="144"/>
        <v>1109.9750990254845</v>
      </c>
      <c r="O466" s="121" t="str">
        <f t="shared" si="145"/>
        <v>OK</v>
      </c>
      <c r="P466">
        <f t="shared" si="146"/>
        <v>1116.2299240497011</v>
      </c>
      <c r="Q466">
        <f t="shared" si="147"/>
        <v>0.50545913699125922</v>
      </c>
      <c r="R466">
        <f t="shared" si="148"/>
        <v>6.6666666666666666E-2</v>
      </c>
      <c r="S466">
        <f t="shared" si="149"/>
        <v>0.81666666666666665</v>
      </c>
      <c r="T466" s="89">
        <f t="shared" si="150"/>
        <v>13</v>
      </c>
      <c r="U466" s="126">
        <f>IF($D466="",0,IFERROR(LOOKUP(2,1/(($D$3:D465=$D466)*($C$3:C465=$C466)*($A$3:A465&lt;$A466)),$AB$3:AB465),1000))</f>
        <v>853.57751311035713</v>
      </c>
      <c r="V466" s="126">
        <f t="shared" si="151"/>
        <v>927.59027938798272</v>
      </c>
      <c r="W466">
        <f t="shared" si="152"/>
        <v>1088.741574521745</v>
      </c>
      <c r="X466">
        <f t="shared" si="153"/>
        <v>0.28339940148719511</v>
      </c>
      <c r="Y466">
        <f t="shared" si="154"/>
        <v>1020.0207007018544</v>
      </c>
      <c r="Z466">
        <f t="shared" si="155"/>
        <v>0.27725395721376628</v>
      </c>
      <c r="AA466">
        <f>IF($D466="",0,IF($F466&lt;2,0,IF($E466="Win",('Guide &amp; Settings'!$C$42/(($F466-1)*COUNTIFS($A$4:$A$1510,$A466,$E$4:$E$1510,"Win")))*SUMIFS($Z$4:$Z$1510,$A$4:$A$1510,$A466,$E$4:$E$1510,"Loss"),-('Guide &amp; Settings'!$C$42/($F466-1))*$Z466)))</f>
        <v>-8.8721266308405209</v>
      </c>
      <c r="AB466" s="126">
        <f t="shared" si="156"/>
        <v>844.70538647951662</v>
      </c>
      <c r="AC466" s="126">
        <f>IF($D466="","",IF($AD466=0,0,IF(COUNTIFS($D$4:$D466,$D466,$B$4:$B466,$B466)&gt;1,0,IF($B466&lt;'Guide &amp; Settings'!$C$50,0,IF(($B466-$AD466)/7-'Guide &amp; Settings'!$C$48&gt;=0,(INT(($B466-$AD466)/7-'Guide &amp; Settings'!$C$48)+1)*'Guide &amp; Settings'!$C$49,0)))))</f>
        <v>0</v>
      </c>
      <c r="AD466" s="142">
        <f t="shared" si="157"/>
        <v>46243</v>
      </c>
      <c r="AE466">
        <f t="shared" si="158"/>
        <v>1</v>
      </c>
      <c r="AF466">
        <f t="shared" si="159"/>
        <v>0</v>
      </c>
    </row>
    <row r="467" spans="1:32" x14ac:dyDescent="0.2">
      <c r="A467" s="117">
        <v>201</v>
      </c>
      <c r="B467" s="118">
        <v>46247</v>
      </c>
      <c r="C467" s="119" t="s">
        <v>45</v>
      </c>
      <c r="D467" s="119" t="s">
        <v>19</v>
      </c>
      <c r="E467" s="117" t="s">
        <v>370</v>
      </c>
      <c r="F467" s="120">
        <f t="shared" si="140"/>
        <v>2</v>
      </c>
      <c r="G467" s="121" t="str">
        <f t="shared" si="141"/>
        <v>Josh</v>
      </c>
      <c r="H467" s="122">
        <f>IF($D467="",0,IFERROR(LOOKUP(2,1/(($D$3:D466=$D467)*($A$3:A466&lt;$A467)),$N$3:N466),'Guide &amp; Settings'!$C$41))</f>
        <v>1116.2299240497011</v>
      </c>
      <c r="I467" s="123">
        <f t="shared" si="142"/>
        <v>0.91836734693877553</v>
      </c>
      <c r="J467" s="124">
        <f>IF($D467="",0,IF($F467&lt;2,0,IF($E467="Win",('Guide &amp; Settings'!$C$42/(($F467-1)*COUNTIFS($A$4:$A$1510,$A467,$E$4:$E$1510,"Win")))*SUMIFS($X$4:$X$1510,$A$4:$A$1510,$A467,$E$4:$E$1510,"Loss"),-('Guide &amp; Settings'!$C$42/($F467-1))*$X467)))</f>
        <v>9.0687808475902436</v>
      </c>
      <c r="K467" s="124">
        <f>IF($D467="",0,'Guide &amp; Settings'!$C$43*(IF($E467="Win",1,0)-$I467))</f>
        <v>0.97959183673469363</v>
      </c>
      <c r="L467" s="125">
        <f>IF($D467="",0,'Guide &amp; Settings'!$C$44*IF($F467&gt;=3,$F467,0))</f>
        <v>0</v>
      </c>
      <c r="M467" s="124">
        <f t="shared" si="143"/>
        <v>10.048372684324937</v>
      </c>
      <c r="N467" s="122">
        <f t="shared" si="144"/>
        <v>1126.2782967340261</v>
      </c>
      <c r="O467" s="121" t="str">
        <f t="shared" si="145"/>
        <v>OK</v>
      </c>
      <c r="P467">
        <f t="shared" si="146"/>
        <v>1116.2299240497011</v>
      </c>
      <c r="Q467">
        <f t="shared" si="147"/>
        <v>0.5</v>
      </c>
      <c r="R467">
        <f t="shared" si="148"/>
        <v>0.75</v>
      </c>
      <c r="S467">
        <f t="shared" si="149"/>
        <v>0.81666666666666665</v>
      </c>
      <c r="T467" s="89">
        <f t="shared" si="150"/>
        <v>2</v>
      </c>
      <c r="U467" s="126">
        <f>IF($D467="",0,IFERROR(LOOKUP(2,1/(($D$3:D466=$D467)*($C$3:C466=$C467)*($A$3:A466&lt;$A467)),$AB$3:AB466),1000))</f>
        <v>1020.0207007018544</v>
      </c>
      <c r="V467" s="126">
        <f t="shared" si="151"/>
        <v>1088.741574521745</v>
      </c>
      <c r="W467">
        <f t="shared" si="152"/>
        <v>1088.741574521745</v>
      </c>
      <c r="X467">
        <f t="shared" si="153"/>
        <v>0.5</v>
      </c>
      <c r="Y467">
        <f t="shared" si="154"/>
        <v>1020.0207007018544</v>
      </c>
      <c r="Z467">
        <f t="shared" si="155"/>
        <v>0.5</v>
      </c>
      <c r="AA467">
        <f>IF($D467="",0,IF($F467&lt;2,0,IF($E467="Win",('Guide &amp; Settings'!$C$42/(($F467-1)*COUNTIFS($A$4:$A$1510,$A467,$E$4:$E$1510,"Win")))*SUMIFS($Z$4:$Z$1510,$A$4:$A$1510,$A467,$E$4:$E$1510,"Loss"),-('Guide &amp; Settings'!$C$42/($F467-1))*$Z467)))</f>
        <v>8.8721266308405209</v>
      </c>
      <c r="AB467" s="126">
        <f t="shared" si="156"/>
        <v>1028.8928273326949</v>
      </c>
      <c r="AC467" s="126">
        <f>IF($D467="","",IF($AD467=0,0,IF(COUNTIFS($D$4:$D467,$D467,$B$4:$B467,$B467)&gt;1,0,IF($B467&lt;'Guide &amp; Settings'!$C$50,0,IF(($B467-$AD467)/7-'Guide &amp; Settings'!$C$48&gt;=0,(INT(($B467-$AD467)/7-'Guide &amp; Settings'!$C$48)+1)*'Guide &amp; Settings'!$C$49,0)))))</f>
        <v>0</v>
      </c>
      <c r="AD467" s="142">
        <f t="shared" si="157"/>
        <v>46229</v>
      </c>
      <c r="AE467">
        <f t="shared" si="158"/>
        <v>1</v>
      </c>
      <c r="AF467">
        <f t="shared" si="159"/>
        <v>0</v>
      </c>
    </row>
    <row r="468" spans="1:32" x14ac:dyDescent="0.2">
      <c r="A468" s="117">
        <v>202</v>
      </c>
      <c r="B468" s="118">
        <v>46247</v>
      </c>
      <c r="C468" s="119" t="s">
        <v>33</v>
      </c>
      <c r="D468" s="119" t="s">
        <v>20</v>
      </c>
      <c r="E468" s="117" t="s">
        <v>370</v>
      </c>
      <c r="F468" s="120">
        <f t="shared" si="140"/>
        <v>2</v>
      </c>
      <c r="G468" s="121" t="str">
        <f t="shared" si="141"/>
        <v>Shawn</v>
      </c>
      <c r="H468" s="122">
        <f>IF($D468="",0,IFERROR(LOOKUP(2,1/(($D$3:D467=$D468)*($A$3:A467&lt;$A468)),$N$3:N467),'Guide &amp; Settings'!$C$41))</f>
        <v>1109.9750990254845</v>
      </c>
      <c r="I468" s="123">
        <f t="shared" si="142"/>
        <v>0.8</v>
      </c>
      <c r="J468" s="124">
        <f>IF($D468="",0,IF($F468&lt;2,0,IF($E468="Win",('Guide &amp; Settings'!$C$42/(($F468-1)*COUNTIFS($A$4:$A$1510,$A468,$E$4:$E$1510,"Win")))*SUMIFS($X$4:$X$1510,$A$4:$A$1510,$A468,$E$4:$E$1510,"Loss"),-('Guide &amp; Settings'!$C$42/($F468-1))*$X468)))</f>
        <v>15.766856184255511</v>
      </c>
      <c r="K468" s="124">
        <f>IF($D468="",0,'Guide &amp; Settings'!$C$43*(IF($E468="Win",1,0)-$I468))</f>
        <v>2.3999999999999995</v>
      </c>
      <c r="L468" s="125">
        <f>IF($D468="",0,'Guide &amp; Settings'!$C$44*IF($F468&gt;=3,$F468,0))</f>
        <v>0</v>
      </c>
      <c r="M468" s="124">
        <f t="shared" si="143"/>
        <v>18.166856184255511</v>
      </c>
      <c r="N468" s="122">
        <f t="shared" si="144"/>
        <v>1128.14195520974</v>
      </c>
      <c r="O468" s="121" t="str">
        <f t="shared" si="145"/>
        <v>OK</v>
      </c>
      <c r="P468">
        <f t="shared" si="146"/>
        <v>1109.9750990254845</v>
      </c>
      <c r="Q468">
        <f t="shared" si="147"/>
        <v>0.5</v>
      </c>
      <c r="R468">
        <f t="shared" si="148"/>
        <v>0.8</v>
      </c>
      <c r="S468">
        <f t="shared" si="149"/>
        <v>1</v>
      </c>
      <c r="T468" s="89">
        <f t="shared" si="150"/>
        <v>3</v>
      </c>
      <c r="U468" s="126">
        <f>IF($D468="",0,IFERROR(LOOKUP(2,1/(($D$3:D467=$D468)*($C$3:C467=$C468)*($A$3:A467&lt;$A468)),$AB$3:AB467),1000))</f>
        <v>1043.7471336336109</v>
      </c>
      <c r="V468" s="126">
        <f t="shared" si="151"/>
        <v>1085.139612003532</v>
      </c>
      <c r="W468">
        <f t="shared" si="152"/>
        <v>1085.139612003532</v>
      </c>
      <c r="X468">
        <f t="shared" si="153"/>
        <v>0.5</v>
      </c>
      <c r="Y468">
        <f t="shared" si="154"/>
        <v>1043.7471336336109</v>
      </c>
      <c r="Z468">
        <f t="shared" si="155"/>
        <v>0.5</v>
      </c>
      <c r="AA468">
        <f>IF($D468="",0,IF($F468&lt;2,0,IF($E468="Win",('Guide &amp; Settings'!$C$42/(($F468-1)*COUNTIFS($A$4:$A$1510,$A468,$E$4:$E$1510,"Win")))*SUMIFS($Z$4:$Z$1510,$A$4:$A$1510,$A468,$E$4:$E$1510,"Loss"),-('Guide &amp; Settings'!$C$42/($F468-1))*$Z468)))</f>
        <v>12.05380899538682</v>
      </c>
      <c r="AB468" s="126">
        <f t="shared" si="156"/>
        <v>1055.8009426289977</v>
      </c>
      <c r="AC468" s="126">
        <f>IF($D468="","",IF($AD468=0,0,IF(COUNTIFS($D$4:$D468,$D468,$B$4:$B468,$B468)&gt;1,0,IF($B468&lt;'Guide &amp; Settings'!$C$50,0,IF(($B468-$AD468)/7-'Guide &amp; Settings'!$C$48&gt;=0,(INT(($B468-$AD468)/7-'Guide &amp; Settings'!$C$48)+1)*'Guide &amp; Settings'!$C$49,0)))))</f>
        <v>0</v>
      </c>
      <c r="AD468" s="142">
        <f t="shared" si="157"/>
        <v>46243</v>
      </c>
      <c r="AE468">
        <f t="shared" si="158"/>
        <v>1</v>
      </c>
      <c r="AF468">
        <f t="shared" si="159"/>
        <v>0</v>
      </c>
    </row>
    <row r="469" spans="1:32" x14ac:dyDescent="0.2">
      <c r="A469" s="117">
        <v>202</v>
      </c>
      <c r="B469" s="118">
        <v>46247</v>
      </c>
      <c r="C469" s="119" t="s">
        <v>33</v>
      </c>
      <c r="D469" s="119" t="s">
        <v>22</v>
      </c>
      <c r="E469" s="117" t="s">
        <v>371</v>
      </c>
      <c r="F469" s="120">
        <f t="shared" si="140"/>
        <v>2</v>
      </c>
      <c r="G469" s="121" t="str">
        <f t="shared" si="141"/>
        <v>Shawn</v>
      </c>
      <c r="H469" s="122">
        <f>IF($D469="",0,IFERROR(LOOKUP(2,1/(($D$3:D468=$D469)*($A$3:A468&lt;$A469)),$N$3:N468),'Guide &amp; Settings'!$C$41))</f>
        <v>1154.3708401956087</v>
      </c>
      <c r="I469" s="123">
        <f t="shared" si="142"/>
        <v>0.2</v>
      </c>
      <c r="J469" s="124">
        <f>IF($D469="",0,IF($F469&lt;2,0,IF($E469="Win",('Guide &amp; Settings'!$C$42/(($F469-1)*COUNTIFS($A$4:$A$1510,$A469,$E$4:$E$1510,"Win")))*SUMIFS($X$4:$X$1510,$A$4:$A$1510,$A469,$E$4:$E$1510,"Loss"),-('Guide &amp; Settings'!$C$42/($F469-1))*$X469)))</f>
        <v>-15.766856184255511</v>
      </c>
      <c r="K469" s="124">
        <f>IF($D469="",0,'Guide &amp; Settings'!$C$43*(IF($E469="Win",1,0)-$I469))</f>
        <v>-2.4000000000000004</v>
      </c>
      <c r="L469" s="125">
        <f>IF($D469="",0,'Guide &amp; Settings'!$C$44*IF($F469&gt;=3,$F469,0))</f>
        <v>0</v>
      </c>
      <c r="M469" s="124">
        <f t="shared" si="143"/>
        <v>-18.166856184255511</v>
      </c>
      <c r="N469" s="122">
        <f t="shared" si="144"/>
        <v>1136.2039840113532</v>
      </c>
      <c r="O469" s="121" t="str">
        <f t="shared" si="145"/>
        <v>OK</v>
      </c>
      <c r="P469">
        <f t="shared" si="146"/>
        <v>1109.9750990254845</v>
      </c>
      <c r="Q469">
        <f t="shared" si="147"/>
        <v>0.5635451275035368</v>
      </c>
      <c r="R469">
        <f t="shared" si="148"/>
        <v>0.2</v>
      </c>
      <c r="S469">
        <f t="shared" si="149"/>
        <v>1</v>
      </c>
      <c r="T469" s="89">
        <f t="shared" si="150"/>
        <v>3</v>
      </c>
      <c r="U469" s="126">
        <f>IF($D469="",0,IFERROR(LOOKUP(2,1/(($D$3:D468=$D469)*($C$3:C468=$C469)*($A$3:A468&lt;$A469)),$AB$3:AB468),1000))</f>
        <v>956.25286636638907</v>
      </c>
      <c r="V469" s="126">
        <f t="shared" si="151"/>
        <v>1080.0766000096514</v>
      </c>
      <c r="W469">
        <f t="shared" si="152"/>
        <v>1085.139612003532</v>
      </c>
      <c r="X469">
        <f t="shared" si="153"/>
        <v>0.49271425575798472</v>
      </c>
      <c r="Y469">
        <f t="shared" si="154"/>
        <v>1043.7471336336109</v>
      </c>
      <c r="Z469">
        <f t="shared" si="155"/>
        <v>0.37668153110583813</v>
      </c>
      <c r="AA469">
        <f>IF($D469="",0,IF($F469&lt;2,0,IF($E469="Win",('Guide &amp; Settings'!$C$42/(($F469-1)*COUNTIFS($A$4:$A$1510,$A469,$E$4:$E$1510,"Win")))*SUMIFS($Z$4:$Z$1510,$A$4:$A$1510,$A469,$E$4:$E$1510,"Loss"),-('Guide &amp; Settings'!$C$42/($F469-1))*$Z469)))</f>
        <v>-12.05380899538682</v>
      </c>
      <c r="AB469" s="126">
        <f t="shared" si="156"/>
        <v>944.19905737100225</v>
      </c>
      <c r="AC469" s="126">
        <f>IF($D469="","",IF($AD469=0,0,IF(COUNTIFS($D$4:$D469,$D469,$B$4:$B469,$B469)&gt;1,0,IF($B469&lt;'Guide &amp; Settings'!$C$50,0,IF(($B469-$AD469)/7-'Guide &amp; Settings'!$C$48&gt;=0,(INT(($B469-$AD469)/7-'Guide &amp; Settings'!$C$48)+1)*'Guide &amp; Settings'!$C$49,0)))))</f>
        <v>0</v>
      </c>
      <c r="AD469" s="142">
        <f t="shared" si="157"/>
        <v>46241</v>
      </c>
      <c r="AE469">
        <f t="shared" si="158"/>
        <v>1</v>
      </c>
      <c r="AF469">
        <f t="shared" si="159"/>
        <v>0</v>
      </c>
    </row>
    <row r="470" spans="1:32" x14ac:dyDescent="0.2">
      <c r="A470" s="117">
        <v>203</v>
      </c>
      <c r="B470" s="118">
        <v>46249</v>
      </c>
      <c r="C470" s="119" t="s">
        <v>34</v>
      </c>
      <c r="D470" s="119" t="s">
        <v>22</v>
      </c>
      <c r="E470" s="117" t="s">
        <v>370</v>
      </c>
      <c r="F470" s="120">
        <f t="shared" si="140"/>
        <v>3</v>
      </c>
      <c r="G470" s="121" t="str">
        <f t="shared" si="141"/>
        <v>Daniel (Ferret)</v>
      </c>
      <c r="H470" s="122">
        <f>IF($D470="",0,IFERROR(LOOKUP(2,1/(($D$3:D469=$D470)*($A$3:A469&lt;$A470)),$N$3:N469),'Guide &amp; Settings'!$C$41))</f>
        <v>1136.2039840113532</v>
      </c>
      <c r="I470" s="123">
        <f t="shared" si="142"/>
        <v>0.33333333333333337</v>
      </c>
      <c r="J470" s="124">
        <f>IF($D470="",0,IF($F470&lt;2,0,IF($E470="Win",('Guide &amp; Settings'!$C$42/(($F470-1)*COUNTIFS($A$4:$A$1510,$A470,$E$4:$E$1510,"Win")))*SUMIFS($X$4:$X$1510,$A$4:$A$1510,$A470,$E$4:$E$1510,"Loss"),-('Guide &amp; Settings'!$C$42/($F470-1))*$X470)))</f>
        <v>11.649889489583117</v>
      </c>
      <c r="K470" s="124">
        <f>IF($D470="",0,'Guide &amp; Settings'!$C$43*(IF($E470="Win",1,0)-$I470))</f>
        <v>8</v>
      </c>
      <c r="L470" s="125">
        <f>IF($D470="",0,'Guide &amp; Settings'!$C$44*IF($F470&gt;=3,$F470,0))</f>
        <v>3</v>
      </c>
      <c r="M470" s="124">
        <f t="shared" si="143"/>
        <v>22.649889489583117</v>
      </c>
      <c r="N470" s="122">
        <f t="shared" si="144"/>
        <v>1158.8538735009363</v>
      </c>
      <c r="O470" s="121" t="str">
        <f t="shared" si="145"/>
        <v>OK</v>
      </c>
      <c r="P470">
        <f t="shared" si="146"/>
        <v>1136.2039840113532</v>
      </c>
      <c r="Q470">
        <f t="shared" si="147"/>
        <v>0.5</v>
      </c>
      <c r="R470">
        <f t="shared" si="148"/>
        <v>0.5</v>
      </c>
      <c r="S470">
        <f t="shared" si="149"/>
        <v>1.4999999999999998</v>
      </c>
      <c r="T470" s="89">
        <f t="shared" si="150"/>
        <v>0</v>
      </c>
      <c r="U470" s="126">
        <f>IF($D470="",0,IFERROR(LOOKUP(2,1/(($D$3:D469=$D470)*($C$3:C469=$C470)*($A$3:A469&lt;$A470)),$AB$3:AB469),1000))</f>
        <v>1000</v>
      </c>
      <c r="V470" s="126">
        <f t="shared" si="151"/>
        <v>1136.2039840113532</v>
      </c>
      <c r="W470">
        <f t="shared" si="152"/>
        <v>1136.2039840113532</v>
      </c>
      <c r="X470">
        <f t="shared" si="153"/>
        <v>0.5</v>
      </c>
      <c r="Y470">
        <f t="shared" si="154"/>
        <v>1000</v>
      </c>
      <c r="Z470">
        <f t="shared" si="155"/>
        <v>0.5</v>
      </c>
      <c r="AA470">
        <f>IF($D470="",0,IF($F470&lt;2,0,IF($E470="Win",('Guide &amp; Settings'!$C$42/(($F470-1)*COUNTIFS($A$4:$A$1510,$A470,$E$4:$E$1510,"Win")))*SUMIFS($Z$4:$Z$1510,$A$4:$A$1510,$A470,$E$4:$E$1510,"Loss"),-('Guide &amp; Settings'!$C$42/($F470-1))*$Z470)))</f>
        <v>16</v>
      </c>
      <c r="AB470" s="126">
        <f t="shared" si="156"/>
        <v>1016</v>
      </c>
      <c r="AC470" s="126">
        <f>IF($D470="","",IF($AD470=0,0,IF(COUNTIFS($D$4:$D470,$D470,$B$4:$B470,$B470)&gt;1,0,IF($B470&lt;'Guide &amp; Settings'!$C$50,0,IF(($B470-$AD470)/7-'Guide &amp; Settings'!$C$48&gt;=0,(INT(($B470-$AD470)/7-'Guide &amp; Settings'!$C$48)+1)*'Guide &amp; Settings'!$C$49,0)))))</f>
        <v>0</v>
      </c>
      <c r="AD470" s="142">
        <f t="shared" si="157"/>
        <v>46247</v>
      </c>
      <c r="AE470">
        <f t="shared" si="158"/>
        <v>1</v>
      </c>
      <c r="AF470">
        <f t="shared" si="159"/>
        <v>0</v>
      </c>
    </row>
    <row r="471" spans="1:32" x14ac:dyDescent="0.2">
      <c r="A471" s="117">
        <v>203</v>
      </c>
      <c r="B471" s="118">
        <v>46249</v>
      </c>
      <c r="C471" s="119" t="s">
        <v>34</v>
      </c>
      <c r="D471" s="119" t="s">
        <v>27</v>
      </c>
      <c r="E471" s="117" t="s">
        <v>371</v>
      </c>
      <c r="F471" s="120">
        <f t="shared" si="140"/>
        <v>3</v>
      </c>
      <c r="G471" s="121" t="str">
        <f t="shared" si="141"/>
        <v>Daniel (Ferret)</v>
      </c>
      <c r="H471" s="122">
        <f>IF($D471="",0,IFERROR(LOOKUP(2,1/(($D$3:D470=$D471)*($A$3:A470&lt;$A471)),$N$3:N470),'Guide &amp; Settings'!$C$41))</f>
        <v>1080.3830919749923</v>
      </c>
      <c r="I471" s="123">
        <f t="shared" si="142"/>
        <v>0.44444444444444448</v>
      </c>
      <c r="J471" s="124">
        <f>IF($D471="",0,IF($F471&lt;2,0,IF($E471="Win",('Guide &amp; Settings'!$C$42/(($F471-1)*COUNTIFS($A$4:$A$1510,$A471,$E$4:$E$1510,"Win")))*SUMIFS($X$4:$X$1510,$A$4:$A$1510,$A471,$E$4:$E$1510,"Loss"),-('Guide &amp; Settings'!$C$42/($F471-1))*$X471)))</f>
        <v>-6.4860682405797343</v>
      </c>
      <c r="K471" s="124">
        <f>IF($D471="",0,'Guide &amp; Settings'!$C$43*(IF($E471="Win",1,0)-$I471))</f>
        <v>-5.3333333333333339</v>
      </c>
      <c r="L471" s="125">
        <f>IF($D471="",0,'Guide &amp; Settings'!$C$44*IF($F471&gt;=3,$F471,0))</f>
        <v>3</v>
      </c>
      <c r="M471" s="124">
        <f t="shared" si="143"/>
        <v>-8.8194015739130691</v>
      </c>
      <c r="N471" s="122">
        <f t="shared" si="144"/>
        <v>1071.5636904010794</v>
      </c>
      <c r="O471" s="121" t="str">
        <f t="shared" si="145"/>
        <v>OK</v>
      </c>
      <c r="P471">
        <f t="shared" si="146"/>
        <v>1136.2039840113532</v>
      </c>
      <c r="Q471">
        <f t="shared" si="147"/>
        <v>0.4203514353369322</v>
      </c>
      <c r="R471">
        <f t="shared" si="148"/>
        <v>0.66666666666666663</v>
      </c>
      <c r="S471">
        <f t="shared" si="149"/>
        <v>1.4999999999999998</v>
      </c>
      <c r="T471" s="89">
        <f t="shared" si="150"/>
        <v>1</v>
      </c>
      <c r="U471" s="126">
        <f>IF($D471="",0,IFERROR(LOOKUP(2,1/(($D$3:D470=$D471)*($C$3:C470=$C471)*($A$3:A470&lt;$A471)),$AB$3:AB470),1000))</f>
        <v>1016</v>
      </c>
      <c r="V471" s="126">
        <f t="shared" si="151"/>
        <v>1069.6525766458269</v>
      </c>
      <c r="W471">
        <f t="shared" si="152"/>
        <v>1136.2039840113532</v>
      </c>
      <c r="X471">
        <f t="shared" si="153"/>
        <v>0.40537926503623339</v>
      </c>
      <c r="Y471">
        <f t="shared" si="154"/>
        <v>1000</v>
      </c>
      <c r="Z471">
        <f t="shared" si="155"/>
        <v>0.52300958729756231</v>
      </c>
      <c r="AA471">
        <f>IF($D471="",0,IF($F471&lt;2,0,IF($E471="Win",('Guide &amp; Settings'!$C$42/(($F471-1)*COUNTIFS($A$4:$A$1510,$A471,$E$4:$E$1510,"Win")))*SUMIFS($Z$4:$Z$1510,$A$4:$A$1510,$A471,$E$4:$E$1510,"Loss"),-('Guide &amp; Settings'!$C$42/($F471-1))*$Z471)))</f>
        <v>-8.3681533967609969</v>
      </c>
      <c r="AB471" s="126">
        <f t="shared" si="156"/>
        <v>1007.631846603239</v>
      </c>
      <c r="AC471" s="126">
        <f>IF($D471="","",IF($AD471=0,0,IF(COUNTIFS($D$4:$D471,$D471,$B$4:$B471,$B471)&gt;1,0,IF($B471&lt;'Guide &amp; Settings'!$C$50,0,IF(($B471-$AD471)/7-'Guide &amp; Settings'!$C$48&gt;=0,(INT(($B471-$AD471)/7-'Guide &amp; Settings'!$C$48)+1)*'Guide &amp; Settings'!$C$49,0)))))</f>
        <v>0</v>
      </c>
      <c r="AD471" s="142">
        <f t="shared" si="157"/>
        <v>46222</v>
      </c>
      <c r="AE471">
        <f t="shared" si="158"/>
        <v>1</v>
      </c>
      <c r="AF471">
        <f t="shared" si="159"/>
        <v>0</v>
      </c>
    </row>
    <row r="472" spans="1:32" x14ac:dyDescent="0.2">
      <c r="A472" s="117">
        <v>203</v>
      </c>
      <c r="B472" s="118">
        <v>46249</v>
      </c>
      <c r="C472" s="119" t="s">
        <v>34</v>
      </c>
      <c r="D472" s="119" t="s">
        <v>26</v>
      </c>
      <c r="E472" s="117" t="s">
        <v>371</v>
      </c>
      <c r="F472" s="120">
        <f t="shared" si="140"/>
        <v>3</v>
      </c>
      <c r="G472" s="121" t="str">
        <f t="shared" si="141"/>
        <v>Daniel (Ferret)</v>
      </c>
      <c r="H472" s="122">
        <f>IF($D472="",0,IFERROR(LOOKUP(2,1/(($D$3:D471=$D472)*($A$3:A471&lt;$A472)),$N$3:N471),'Guide &amp; Settings'!$C$41))</f>
        <v>1012.1303999492304</v>
      </c>
      <c r="I472" s="123">
        <f t="shared" si="142"/>
        <v>0.22222222222222224</v>
      </c>
      <c r="J472" s="124">
        <f>IF($D472="",0,IF($F472&lt;2,0,IF($E472="Win",('Guide &amp; Settings'!$C$42/(($F472-1)*COUNTIFS($A$4:$A$1510,$A472,$E$4:$E$1510,"Win")))*SUMIFS($X$4:$X$1510,$A$4:$A$1510,$A472,$E$4:$E$1510,"Loss"),-('Guide &amp; Settings'!$C$42/($F472-1))*$X472)))</f>
        <v>-5.1638212490033819</v>
      </c>
      <c r="K472" s="124">
        <f>IF($D472="",0,'Guide &amp; Settings'!$C$43*(IF($E472="Win",1,0)-$I472))</f>
        <v>-2.666666666666667</v>
      </c>
      <c r="L472" s="125">
        <f>IF($D472="",0,'Guide &amp; Settings'!$C$44*IF($F472&gt;=3,$F472,0))</f>
        <v>3</v>
      </c>
      <c r="M472" s="124">
        <f t="shared" si="143"/>
        <v>-4.8304879156700489</v>
      </c>
      <c r="N472" s="122">
        <f t="shared" si="144"/>
        <v>1007.2999120335604</v>
      </c>
      <c r="O472" s="121" t="str">
        <f t="shared" si="145"/>
        <v>OK</v>
      </c>
      <c r="P472">
        <f t="shared" si="146"/>
        <v>1136.2039840113532</v>
      </c>
      <c r="Q472">
        <f t="shared" si="147"/>
        <v>0.32866595088101269</v>
      </c>
      <c r="R472">
        <f t="shared" si="148"/>
        <v>0.33333333333333331</v>
      </c>
      <c r="S472">
        <f t="shared" si="149"/>
        <v>1.4999999999999998</v>
      </c>
      <c r="T472" s="89">
        <f t="shared" si="150"/>
        <v>1</v>
      </c>
      <c r="U472" s="126">
        <f>IF($D472="",0,IFERROR(LOOKUP(2,1/(($D$3:D471=$D472)*($C$3:C471=$C472)*($A$3:A471&lt;$A472)),$AB$3:AB471),1000))</f>
        <v>984</v>
      </c>
      <c r="V472" s="126">
        <f t="shared" si="151"/>
        <v>1007.441999957692</v>
      </c>
      <c r="W472">
        <f t="shared" si="152"/>
        <v>1136.2039840113532</v>
      </c>
      <c r="X472">
        <f t="shared" si="153"/>
        <v>0.32273882806271137</v>
      </c>
      <c r="Y472">
        <f t="shared" si="154"/>
        <v>1000</v>
      </c>
      <c r="Z472">
        <f t="shared" si="155"/>
        <v>0.47699041270243769</v>
      </c>
      <c r="AA472">
        <f>IF($D472="",0,IF($F472&lt;2,0,IF($E472="Win",('Guide &amp; Settings'!$C$42/(($F472-1)*COUNTIFS($A$4:$A$1510,$A472,$E$4:$E$1510,"Win")))*SUMIFS($Z$4:$Z$1510,$A$4:$A$1510,$A472,$E$4:$E$1510,"Loss"),-('Guide &amp; Settings'!$C$42/($F472-1))*$Z472)))</f>
        <v>-7.6318466032390031</v>
      </c>
      <c r="AB472" s="126">
        <f t="shared" si="156"/>
        <v>976.36815339676104</v>
      </c>
      <c r="AC472" s="126">
        <f>IF($D472="","",IF($AD472=0,0,IF(COUNTIFS($D$4:$D472,$D472,$B$4:$B472,$B472)&gt;1,0,IF($B472&lt;'Guide &amp; Settings'!$C$50,0,IF(($B472-$AD472)/7-'Guide &amp; Settings'!$C$48&gt;=0,(INT(($B472-$AD472)/7-'Guide &amp; Settings'!$C$48)+1)*'Guide &amp; Settings'!$C$49,0)))))</f>
        <v>0</v>
      </c>
      <c r="AD472" s="142">
        <f t="shared" si="157"/>
        <v>46222</v>
      </c>
      <c r="AE472">
        <f t="shared" si="158"/>
        <v>1</v>
      </c>
      <c r="AF472">
        <f t="shared" si="159"/>
        <v>0</v>
      </c>
    </row>
    <row r="473" spans="1:32" x14ac:dyDescent="0.2">
      <c r="A473" s="117">
        <v>204</v>
      </c>
      <c r="B473" s="118">
        <v>46249</v>
      </c>
      <c r="C473" s="119" t="s">
        <v>34</v>
      </c>
      <c r="D473" s="119" t="s">
        <v>22</v>
      </c>
      <c r="E473" s="117" t="s">
        <v>370</v>
      </c>
      <c r="F473" s="120">
        <f t="shared" si="140"/>
        <v>2</v>
      </c>
      <c r="G473" s="121" t="str">
        <f t="shared" si="141"/>
        <v>Daniel (Ferret)</v>
      </c>
      <c r="H473" s="122">
        <f>IF($D473="",0,IFERROR(LOOKUP(2,1/(($D$3:D472=$D473)*($A$3:A472&lt;$A473)),$N$3:N472),'Guide &amp; Settings'!$C$41))</f>
        <v>1158.8538735009363</v>
      </c>
      <c r="I473" s="123">
        <f t="shared" si="142"/>
        <v>0.57142857142857151</v>
      </c>
      <c r="J473" s="124">
        <f>IF($D473="",0,IF($F473&lt;2,0,IF($E473="Win",('Guide &amp; Settings'!$C$42/(($F473-1)*COUNTIFS($A$4:$A$1510,$A473,$E$4:$E$1510,"Win")))*SUMIFS($X$4:$X$1510,$A$4:$A$1510,$A473,$E$4:$E$1510,"Loss"),-('Guide &amp; Settings'!$C$42/($F473-1))*$X473)))</f>
        <v>12.303356553195552</v>
      </c>
      <c r="K473" s="124">
        <f>IF($D473="",0,'Guide &amp; Settings'!$C$43*(IF($E473="Win",1,0)-$I473))</f>
        <v>5.1428571428571423</v>
      </c>
      <c r="L473" s="125">
        <f>IF($D473="",0,'Guide &amp; Settings'!$C$44*IF($F473&gt;=3,$F473,0))</f>
        <v>0</v>
      </c>
      <c r="M473" s="124">
        <f t="shared" si="143"/>
        <v>17.446213696052695</v>
      </c>
      <c r="N473" s="122">
        <f t="shared" si="144"/>
        <v>1176.3000871969889</v>
      </c>
      <c r="O473" s="121" t="str">
        <f t="shared" si="145"/>
        <v>OK</v>
      </c>
      <c r="P473">
        <f t="shared" si="146"/>
        <v>1158.8538735009363</v>
      </c>
      <c r="Q473">
        <f t="shared" si="147"/>
        <v>0.5</v>
      </c>
      <c r="R473">
        <f t="shared" si="148"/>
        <v>0.66666666666666663</v>
      </c>
      <c r="S473">
        <f t="shared" si="149"/>
        <v>1.1666666666666665</v>
      </c>
      <c r="T473" s="89">
        <f t="shared" si="150"/>
        <v>1</v>
      </c>
      <c r="U473" s="126">
        <f>IF($D473="",0,IFERROR(LOOKUP(2,1/(($D$3:D472=$D473)*($C$3:C472=$C473)*($A$3:A472&lt;$A473)),$AB$3:AB472),1000))</f>
        <v>1016</v>
      </c>
      <c r="V473" s="126">
        <f t="shared" si="151"/>
        <v>1135.0448945841135</v>
      </c>
      <c r="W473">
        <f t="shared" si="152"/>
        <v>1135.0448945841135</v>
      </c>
      <c r="X473">
        <f t="shared" si="153"/>
        <v>0.5</v>
      </c>
      <c r="Y473">
        <f t="shared" si="154"/>
        <v>1016</v>
      </c>
      <c r="Z473">
        <f t="shared" si="155"/>
        <v>0.5</v>
      </c>
      <c r="AA473">
        <f>IF($D473="",0,IF($F473&lt;2,0,IF($E473="Win",('Guide &amp; Settings'!$C$42/(($F473-1)*COUNTIFS($A$4:$A$1510,$A473,$E$4:$E$1510,"Win")))*SUMIFS($Z$4:$Z$1510,$A$4:$A$1510,$A473,$E$4:$E$1510,"Loss"),-('Guide &amp; Settings'!$C$42/($F473-1))*$Z473)))</f>
        <v>15.614706795974598</v>
      </c>
      <c r="AB473" s="126">
        <f t="shared" si="156"/>
        <v>1031.6147067959746</v>
      </c>
      <c r="AC473" s="126">
        <f>IF($D473="","",IF($AD473=0,0,IF(COUNTIFS($D$4:$D473,$D473,$B$4:$B473,$B473)&gt;1,0,IF($B473&lt;'Guide &amp; Settings'!$C$50,0,IF(($B473-$AD473)/7-'Guide &amp; Settings'!$C$48&gt;=0,(INT(($B473-$AD473)/7-'Guide &amp; Settings'!$C$48)+1)*'Guide &amp; Settings'!$C$49,0)))))</f>
        <v>0</v>
      </c>
      <c r="AD473" s="142">
        <f t="shared" si="157"/>
        <v>46247</v>
      </c>
      <c r="AE473">
        <f t="shared" si="158"/>
        <v>1</v>
      </c>
      <c r="AF473">
        <f t="shared" si="159"/>
        <v>0</v>
      </c>
    </row>
    <row r="474" spans="1:32" x14ac:dyDescent="0.2">
      <c r="A474" s="117">
        <v>204</v>
      </c>
      <c r="B474" s="118">
        <v>46249</v>
      </c>
      <c r="C474" s="119" t="s">
        <v>34</v>
      </c>
      <c r="D474" s="119" t="s">
        <v>27</v>
      </c>
      <c r="E474" s="117" t="s">
        <v>371</v>
      </c>
      <c r="F474" s="120">
        <f t="shared" si="140"/>
        <v>2</v>
      </c>
      <c r="G474" s="121" t="str">
        <f t="shared" si="141"/>
        <v>Daniel (Ferret)</v>
      </c>
      <c r="H474" s="122">
        <f>IF($D474="",0,IFERROR(LOOKUP(2,1/(($D$3:D473=$D474)*($A$3:A473&lt;$A474)),$N$3:N473),'Guide &amp; Settings'!$C$41))</f>
        <v>1071.5636904010794</v>
      </c>
      <c r="I474" s="123">
        <f t="shared" si="142"/>
        <v>0.4285714285714286</v>
      </c>
      <c r="J474" s="124">
        <f>IF($D474="",0,IF($F474&lt;2,0,IF($E474="Win",('Guide &amp; Settings'!$C$42/(($F474-1)*COUNTIFS($A$4:$A$1510,$A474,$E$4:$E$1510,"Win")))*SUMIFS($X$4:$X$1510,$A$4:$A$1510,$A474,$E$4:$E$1510,"Loss"),-('Guide &amp; Settings'!$C$42/($F474-1))*$X474)))</f>
        <v>-12.303356553195552</v>
      </c>
      <c r="K474" s="124">
        <f>IF($D474="",0,'Guide &amp; Settings'!$C$43*(IF($E474="Win",1,0)-$I474))</f>
        <v>-5.1428571428571432</v>
      </c>
      <c r="L474" s="125">
        <f>IF($D474="",0,'Guide &amp; Settings'!$C$44*IF($F474&gt;=3,$F474,0))</f>
        <v>0</v>
      </c>
      <c r="M474" s="124">
        <f t="shared" si="143"/>
        <v>-17.446213696052695</v>
      </c>
      <c r="N474" s="122">
        <f t="shared" si="144"/>
        <v>1054.1174767050268</v>
      </c>
      <c r="O474" s="121" t="str">
        <f t="shared" si="145"/>
        <v>OK</v>
      </c>
      <c r="P474">
        <f t="shared" si="146"/>
        <v>1158.8538735009363</v>
      </c>
      <c r="Q474">
        <f t="shared" si="147"/>
        <v>0.37695740601711486</v>
      </c>
      <c r="R474">
        <f t="shared" si="148"/>
        <v>0.5</v>
      </c>
      <c r="S474">
        <f t="shared" si="149"/>
        <v>1.1666666666666665</v>
      </c>
      <c r="T474" s="89">
        <f t="shared" si="150"/>
        <v>2</v>
      </c>
      <c r="U474" s="126">
        <f>IF($D474="",0,IFERROR(LOOKUP(2,1/(($D$3:D473=$D474)*($C$3:C473=$C474)*($A$3:A473&lt;$A474)),$AB$3:AB473),1000))</f>
        <v>1007.631846603239</v>
      </c>
      <c r="V474" s="126">
        <f t="shared" si="151"/>
        <v>1053.2974493159822</v>
      </c>
      <c r="W474">
        <f t="shared" si="152"/>
        <v>1135.0448945841135</v>
      </c>
      <c r="X474">
        <f t="shared" si="153"/>
        <v>0.38447989228736101</v>
      </c>
      <c r="Y474">
        <f t="shared" si="154"/>
        <v>1016</v>
      </c>
      <c r="Z474">
        <f t="shared" si="155"/>
        <v>0.48795958737420619</v>
      </c>
      <c r="AA474">
        <f>IF($D474="",0,IF($F474&lt;2,0,IF($E474="Win",('Guide &amp; Settings'!$C$42/(($F474-1)*COUNTIFS($A$4:$A$1510,$A474,$E$4:$E$1510,"Win")))*SUMIFS($Z$4:$Z$1510,$A$4:$A$1510,$A474,$E$4:$E$1510,"Loss"),-('Guide &amp; Settings'!$C$42/($F474-1))*$Z474)))</f>
        <v>-15.614706795974598</v>
      </c>
      <c r="AB474" s="126">
        <f t="shared" si="156"/>
        <v>992.01713980726436</v>
      </c>
      <c r="AC474" s="126">
        <f>IF($D474="","",IF($AD474=0,0,IF(COUNTIFS($D$4:$D474,$D474,$B$4:$B474,$B474)&gt;1,0,IF($B474&lt;'Guide &amp; Settings'!$C$50,0,IF(($B474-$AD474)/7-'Guide &amp; Settings'!$C$48&gt;=0,(INT(($B474-$AD474)/7-'Guide &amp; Settings'!$C$48)+1)*'Guide &amp; Settings'!$C$49,0)))))</f>
        <v>0</v>
      </c>
      <c r="AD474" s="142">
        <f t="shared" si="157"/>
        <v>46222</v>
      </c>
      <c r="AE474">
        <f t="shared" si="158"/>
        <v>1</v>
      </c>
      <c r="AF474">
        <f t="shared" si="159"/>
        <v>0</v>
      </c>
    </row>
    <row r="475" spans="1:32" x14ac:dyDescent="0.2">
      <c r="A475" s="117">
        <v>205</v>
      </c>
      <c r="B475" s="118">
        <v>46249</v>
      </c>
      <c r="C475" s="119" t="s">
        <v>34</v>
      </c>
      <c r="D475" s="119" t="s">
        <v>22</v>
      </c>
      <c r="E475" s="117" t="s">
        <v>371</v>
      </c>
      <c r="F475" s="120">
        <f t="shared" si="140"/>
        <v>3</v>
      </c>
      <c r="G475" s="121" t="str">
        <f t="shared" si="141"/>
        <v>Dean M</v>
      </c>
      <c r="H475" s="122">
        <f>IF($D475="",0,IFERROR(LOOKUP(2,1/(($D$3:D474=$D475)*($A$3:A474&lt;$A475)),$N$3:N474),'Guide &amp; Settings'!$C$41))</f>
        <v>1176.3000871969889</v>
      </c>
      <c r="I475" s="123">
        <f t="shared" si="142"/>
        <v>0.5357142857142857</v>
      </c>
      <c r="J475" s="124">
        <f>IF($D475="",0,IF($F475&lt;2,0,IF($E475="Win",('Guide &amp; Settings'!$C$42/(($F475-1)*COUNTIFS($A$4:$A$1510,$A475,$E$4:$E$1510,"Win")))*SUMIFS($X$4:$X$1510,$A$4:$A$1510,$A475,$E$4:$E$1510,"Loss"),-('Guide &amp; Settings'!$C$42/($F475-1))*$X475)))</f>
        <v>-10.990696348080158</v>
      </c>
      <c r="K475" s="124">
        <f>IF($D475="",0,'Guide &amp; Settings'!$C$43*(IF($E475="Win",1,0)-$I475))</f>
        <v>-6.4285714285714288</v>
      </c>
      <c r="L475" s="125">
        <f>IF($D475="",0,'Guide &amp; Settings'!$C$44*IF($F475&gt;=3,$F475,0))</f>
        <v>3</v>
      </c>
      <c r="M475" s="124">
        <f t="shared" si="143"/>
        <v>-14.419267776651587</v>
      </c>
      <c r="N475" s="122">
        <f t="shared" si="144"/>
        <v>1161.8808194203373</v>
      </c>
      <c r="O475" s="121" t="str">
        <f t="shared" si="145"/>
        <v>OK</v>
      </c>
      <c r="P475">
        <f t="shared" si="146"/>
        <v>1007.2999120335604</v>
      </c>
      <c r="Q475">
        <f t="shared" si="147"/>
        <v>0.72568584699430749</v>
      </c>
      <c r="R475">
        <f t="shared" si="148"/>
        <v>0.75</v>
      </c>
      <c r="S475">
        <f t="shared" si="149"/>
        <v>1.4</v>
      </c>
      <c r="T475" s="89">
        <f t="shared" si="150"/>
        <v>2</v>
      </c>
      <c r="U475" s="126">
        <f>IF($D475="",0,IFERROR(LOOKUP(2,1/(($D$3:D474=$D475)*($C$3:C474=$C475)*($A$3:A474&lt;$A475)),$AB$3:AB474),1000))</f>
        <v>1031.6147067959746</v>
      </c>
      <c r="V475" s="126">
        <f t="shared" si="151"/>
        <v>1134.9614070824134</v>
      </c>
      <c r="W475">
        <f t="shared" si="152"/>
        <v>998.46226670876058</v>
      </c>
      <c r="X475">
        <f t="shared" si="153"/>
        <v>0.68691852175500989</v>
      </c>
      <c r="Y475">
        <f t="shared" si="154"/>
        <v>976.36815339676104</v>
      </c>
      <c r="Z475">
        <f t="shared" si="155"/>
        <v>0.5788427873924219</v>
      </c>
      <c r="AA475">
        <f>IF($D475="",0,IF($F475&lt;2,0,IF($E475="Win",('Guide &amp; Settings'!$C$42/(($F475-1)*COUNTIFS($A$4:$A$1510,$A475,$E$4:$E$1510,"Win")))*SUMIFS($Z$4:$Z$1510,$A$4:$A$1510,$A475,$E$4:$E$1510,"Loss"),-('Guide &amp; Settings'!$C$42/($F475-1))*$Z475)))</f>
        <v>-9.2614845982787504</v>
      </c>
      <c r="AB475" s="126">
        <f t="shared" si="156"/>
        <v>1022.3532221976958</v>
      </c>
      <c r="AC475" s="126">
        <f>IF($D475="","",IF($AD475=0,0,IF(COUNTIFS($D$4:$D475,$D475,$B$4:$B475,$B475)&gt;1,0,IF($B475&lt;'Guide &amp; Settings'!$C$50,0,IF(($B475-$AD475)/7-'Guide &amp; Settings'!$C$48&gt;=0,(INT(($B475-$AD475)/7-'Guide &amp; Settings'!$C$48)+1)*'Guide &amp; Settings'!$C$49,0)))))</f>
        <v>0</v>
      </c>
      <c r="AD475" s="142">
        <f t="shared" si="157"/>
        <v>46247</v>
      </c>
      <c r="AE475">
        <f t="shared" si="158"/>
        <v>1</v>
      </c>
      <c r="AF475">
        <f t="shared" si="159"/>
        <v>0</v>
      </c>
    </row>
    <row r="476" spans="1:32" x14ac:dyDescent="0.2">
      <c r="A476" s="117">
        <v>205</v>
      </c>
      <c r="B476" s="118">
        <v>46249</v>
      </c>
      <c r="C476" s="119" t="s">
        <v>34</v>
      </c>
      <c r="D476" s="119" t="s">
        <v>27</v>
      </c>
      <c r="E476" s="117" t="s">
        <v>371</v>
      </c>
      <c r="F476" s="120">
        <f t="shared" si="140"/>
        <v>3</v>
      </c>
      <c r="G476" s="121" t="str">
        <f t="shared" si="141"/>
        <v>Dean M</v>
      </c>
      <c r="H476" s="122">
        <f>IF($D476="",0,IFERROR(LOOKUP(2,1/(($D$3:D475=$D476)*($A$3:A475&lt;$A476)),$N$3:N475),'Guide &amp; Settings'!$C$41))</f>
        <v>1054.1174767050268</v>
      </c>
      <c r="I476" s="123">
        <f t="shared" si="142"/>
        <v>0.28571428571428575</v>
      </c>
      <c r="J476" s="124">
        <f>IF($D476="",0,IF($F476&lt;2,0,IF($E476="Win",('Guide &amp; Settings'!$C$42/(($F476-1)*COUNTIFS($A$4:$A$1510,$A476,$E$4:$E$1510,"Win")))*SUMIFS($X$4:$X$1510,$A$4:$A$1510,$A476,$E$4:$E$1510,"Loss"),-('Guide &amp; Settings'!$C$42/($F476-1))*$X476)))</f>
        <v>-8.7431424767931514</v>
      </c>
      <c r="K476" s="124">
        <f>IF($D476="",0,'Guide &amp; Settings'!$C$43*(IF($E476="Win",1,0)-$I476))</f>
        <v>-3.4285714285714288</v>
      </c>
      <c r="L476" s="125">
        <f>IF($D476="",0,'Guide &amp; Settings'!$C$44*IF($F476&gt;=3,$F476,0))</f>
        <v>3</v>
      </c>
      <c r="M476" s="124">
        <f t="shared" si="143"/>
        <v>-9.1717139053645802</v>
      </c>
      <c r="N476" s="122">
        <f t="shared" si="144"/>
        <v>1044.9457627996621</v>
      </c>
      <c r="O476" s="121" t="str">
        <f t="shared" si="145"/>
        <v>OK</v>
      </c>
      <c r="P476">
        <f t="shared" si="146"/>
        <v>1007.2999120335604</v>
      </c>
      <c r="Q476">
        <f t="shared" si="147"/>
        <v>0.5669710271483952</v>
      </c>
      <c r="R476">
        <f t="shared" si="148"/>
        <v>0.4</v>
      </c>
      <c r="S476">
        <f t="shared" si="149"/>
        <v>1.4</v>
      </c>
      <c r="T476" s="89">
        <f t="shared" si="150"/>
        <v>3</v>
      </c>
      <c r="U476" s="126">
        <f>IF($D476="",0,IFERROR(LOOKUP(2,1/(($D$3:D475=$D476)*($C$3:C475=$C476)*($A$3:A475&lt;$A476)),$AB$3:AB475),1000))</f>
        <v>992.01713980726436</v>
      </c>
      <c r="V476" s="126">
        <f t="shared" si="151"/>
        <v>1030.8298503683659</v>
      </c>
      <c r="W476">
        <f t="shared" si="152"/>
        <v>998.46226670876058</v>
      </c>
      <c r="X476">
        <f t="shared" si="153"/>
        <v>0.54644640479957196</v>
      </c>
      <c r="Y476">
        <f t="shared" si="154"/>
        <v>976.36815339676104</v>
      </c>
      <c r="Z476">
        <f t="shared" si="155"/>
        <v>0.52250548465707647</v>
      </c>
      <c r="AA476">
        <f>IF($D476="",0,IF($F476&lt;2,0,IF($E476="Win",('Guide &amp; Settings'!$C$42/(($F476-1)*COUNTIFS($A$4:$A$1510,$A476,$E$4:$E$1510,"Win")))*SUMIFS($Z$4:$Z$1510,$A$4:$A$1510,$A476,$E$4:$E$1510,"Loss"),-('Guide &amp; Settings'!$C$42/($F476-1))*$Z476)))</f>
        <v>-8.3600877545132235</v>
      </c>
      <c r="AB476" s="126">
        <f t="shared" si="156"/>
        <v>983.65705205275117</v>
      </c>
      <c r="AC476" s="126">
        <f>IF($D476="","",IF($AD476=0,0,IF(COUNTIFS($D$4:$D476,$D476,$B$4:$B476,$B476)&gt;1,0,IF($B476&lt;'Guide &amp; Settings'!$C$50,0,IF(($B476-$AD476)/7-'Guide &amp; Settings'!$C$48&gt;=0,(INT(($B476-$AD476)/7-'Guide &amp; Settings'!$C$48)+1)*'Guide &amp; Settings'!$C$49,0)))))</f>
        <v>0</v>
      </c>
      <c r="AD476" s="142">
        <f t="shared" si="157"/>
        <v>46222</v>
      </c>
      <c r="AE476">
        <f t="shared" si="158"/>
        <v>1</v>
      </c>
      <c r="AF476">
        <f t="shared" si="159"/>
        <v>0</v>
      </c>
    </row>
    <row r="477" spans="1:32" x14ac:dyDescent="0.2">
      <c r="A477" s="117">
        <v>205</v>
      </c>
      <c r="B477" s="118">
        <v>46249</v>
      </c>
      <c r="C477" s="119" t="s">
        <v>34</v>
      </c>
      <c r="D477" s="119" t="s">
        <v>26</v>
      </c>
      <c r="E477" s="117" t="s">
        <v>370</v>
      </c>
      <c r="F477" s="120">
        <f t="shared" si="140"/>
        <v>3</v>
      </c>
      <c r="G477" s="121" t="str">
        <f t="shared" si="141"/>
        <v>Dean M</v>
      </c>
      <c r="H477" s="122">
        <f>IF($D477="",0,IFERROR(LOOKUP(2,1/(($D$3:D476=$D477)*($A$3:A476&lt;$A477)),$N$3:N476),'Guide &amp; Settings'!$C$41))</f>
        <v>1007.2999120335604</v>
      </c>
      <c r="I477" s="123">
        <f t="shared" si="142"/>
        <v>0.17857142857142858</v>
      </c>
      <c r="J477" s="124">
        <f>IF($D477="",0,IF($F477&lt;2,0,IF($E477="Win",('Guide &amp; Settings'!$C$42/(($F477-1)*COUNTIFS($A$4:$A$1510,$A477,$E$4:$E$1510,"Win")))*SUMIFS($X$4:$X$1510,$A$4:$A$1510,$A477,$E$4:$E$1510,"Loss"),-('Guide &amp; Settings'!$C$42/($F477-1))*$X477)))</f>
        <v>19.73383882487331</v>
      </c>
      <c r="K477" s="124">
        <f>IF($D477="",0,'Guide &amp; Settings'!$C$43*(IF($E477="Win",1,0)-$I477))</f>
        <v>9.8571428571428577</v>
      </c>
      <c r="L477" s="125">
        <f>IF($D477="",0,'Guide &amp; Settings'!$C$44*IF($F477&gt;=3,$F477,0))</f>
        <v>3</v>
      </c>
      <c r="M477" s="124">
        <f t="shared" si="143"/>
        <v>32.590981682016164</v>
      </c>
      <c r="N477" s="122">
        <f t="shared" si="144"/>
        <v>1039.8908937155766</v>
      </c>
      <c r="O477" s="121" t="str">
        <f t="shared" si="145"/>
        <v>OK</v>
      </c>
      <c r="P477">
        <f t="shared" si="146"/>
        <v>1007.2999120335604</v>
      </c>
      <c r="Q477">
        <f t="shared" si="147"/>
        <v>0.5</v>
      </c>
      <c r="R477">
        <f t="shared" si="148"/>
        <v>0.25</v>
      </c>
      <c r="S477">
        <f t="shared" si="149"/>
        <v>1.4</v>
      </c>
      <c r="T477" s="89">
        <f t="shared" si="150"/>
        <v>2</v>
      </c>
      <c r="U477" s="126">
        <f>IF($D477="",0,IFERROR(LOOKUP(2,1/(($D$3:D476=$D477)*($C$3:C476=$C477)*($A$3:A476&lt;$A477)),$AB$3:AB476),1000))</f>
        <v>976.36815339676104</v>
      </c>
      <c r="V477" s="126">
        <f t="shared" si="151"/>
        <v>998.46226670876058</v>
      </c>
      <c r="W477">
        <f t="shared" si="152"/>
        <v>998.46226670876058</v>
      </c>
      <c r="X477">
        <f t="shared" si="153"/>
        <v>0.5</v>
      </c>
      <c r="Y477">
        <f t="shared" si="154"/>
        <v>976.36815339676104</v>
      </c>
      <c r="Z477">
        <f t="shared" si="155"/>
        <v>0.5</v>
      </c>
      <c r="AA477">
        <f>IF($D477="",0,IF($F477&lt;2,0,IF($E477="Win",('Guide &amp; Settings'!$C$42/(($F477-1)*COUNTIFS($A$4:$A$1510,$A477,$E$4:$E$1510,"Win")))*SUMIFS($Z$4:$Z$1510,$A$4:$A$1510,$A477,$E$4:$E$1510,"Loss"),-('Guide &amp; Settings'!$C$42/($F477-1))*$Z477)))</f>
        <v>17.621572352791972</v>
      </c>
      <c r="AB477" s="126">
        <f t="shared" si="156"/>
        <v>993.98972574955303</v>
      </c>
      <c r="AC477" s="126">
        <f>IF($D477="","",IF($AD477=0,0,IF(COUNTIFS($D$4:$D477,$D477,$B$4:$B477,$B477)&gt;1,0,IF($B477&lt;'Guide &amp; Settings'!$C$50,0,IF(($B477-$AD477)/7-'Guide &amp; Settings'!$C$48&gt;=0,(INT(($B477-$AD477)/7-'Guide &amp; Settings'!$C$48)+1)*'Guide &amp; Settings'!$C$49,0)))))</f>
        <v>0</v>
      </c>
      <c r="AD477" s="142">
        <f t="shared" si="157"/>
        <v>46222</v>
      </c>
      <c r="AE477">
        <f t="shared" si="158"/>
        <v>1</v>
      </c>
      <c r="AF477">
        <f t="shared" si="159"/>
        <v>0</v>
      </c>
    </row>
    <row r="478" spans="1:32" x14ac:dyDescent="0.2">
      <c r="A478" s="117">
        <v>206</v>
      </c>
      <c r="B478" s="118">
        <v>46249</v>
      </c>
      <c r="C478" s="119" t="s">
        <v>54</v>
      </c>
      <c r="D478" s="119" t="s">
        <v>22</v>
      </c>
      <c r="E478" s="117" t="s">
        <v>371</v>
      </c>
      <c r="F478" s="120">
        <f t="shared" si="140"/>
        <v>3</v>
      </c>
      <c r="G478" s="121" t="str">
        <f t="shared" si="141"/>
        <v>Dean M</v>
      </c>
      <c r="H478" s="122">
        <f>IF($D478="",0,IFERROR(LOOKUP(2,1/(($D$3:D477=$D478)*($A$3:A477&lt;$A478)),$N$3:N477),'Guide &amp; Settings'!$C$41))</f>
        <v>1161.8808194203373</v>
      </c>
      <c r="I478" s="123">
        <f t="shared" si="142"/>
        <v>0.33333333333333331</v>
      </c>
      <c r="J478" s="124">
        <f>IF($D478="",0,IF($F478&lt;2,0,IF($E478="Win",('Guide &amp; Settings'!$C$42/(($F478-1)*COUNTIFS($A$4:$A$1510,$A478,$E$4:$E$1510,"Win")))*SUMIFS($X$4:$X$1510,$A$4:$A$1510,$A478,$E$4:$E$1510,"Loss"),-('Guide &amp; Settings'!$C$42/($F478-1))*$X478)))</f>
        <v>-10.698913735195333</v>
      </c>
      <c r="K478" s="124">
        <f>IF($D478="",0,'Guide &amp; Settings'!$C$43*(IF($E478="Win",1,0)-$I478))</f>
        <v>-4</v>
      </c>
      <c r="L478" s="125">
        <f>IF($D478="",0,'Guide &amp; Settings'!$C$44*IF($F478&gt;=3,$F478,0))</f>
        <v>3</v>
      </c>
      <c r="M478" s="124">
        <f t="shared" si="143"/>
        <v>-11.698913735195333</v>
      </c>
      <c r="N478" s="122">
        <f t="shared" si="144"/>
        <v>1150.1819056851418</v>
      </c>
      <c r="O478" s="121" t="str">
        <f t="shared" si="145"/>
        <v>OK</v>
      </c>
      <c r="P478">
        <f t="shared" si="146"/>
        <v>1039.8908937155766</v>
      </c>
      <c r="Q478">
        <f t="shared" si="147"/>
        <v>0.66868210844970832</v>
      </c>
      <c r="R478">
        <f t="shared" si="148"/>
        <v>0.5</v>
      </c>
      <c r="S478">
        <f t="shared" si="149"/>
        <v>1.5</v>
      </c>
      <c r="T478" s="89">
        <f t="shared" si="150"/>
        <v>0</v>
      </c>
      <c r="U478" s="126">
        <f>IF($D478="",0,IFERROR(LOOKUP(2,1/(($D$3:D477=$D478)*($C$3:C477=$C478)*($A$3:A477&lt;$A478)),$AB$3:AB477),1000))</f>
        <v>1000</v>
      </c>
      <c r="V478" s="126">
        <f t="shared" si="151"/>
        <v>1161.8808194203373</v>
      </c>
      <c r="W478">
        <f t="shared" si="152"/>
        <v>1039.8908937155766</v>
      </c>
      <c r="X478">
        <f t="shared" si="153"/>
        <v>0.66868210844970832</v>
      </c>
      <c r="Y478">
        <f t="shared" si="154"/>
        <v>1000</v>
      </c>
      <c r="Z478">
        <f t="shared" si="155"/>
        <v>0.5</v>
      </c>
      <c r="AA478">
        <f>IF($D478="",0,IF($F478&lt;2,0,IF($E478="Win",('Guide &amp; Settings'!$C$42/(($F478-1)*COUNTIFS($A$4:$A$1510,$A478,$E$4:$E$1510,"Win")))*SUMIFS($Z$4:$Z$1510,$A$4:$A$1510,$A478,$E$4:$E$1510,"Loss"),-('Guide &amp; Settings'!$C$42/($F478-1))*$Z478)))</f>
        <v>-8</v>
      </c>
      <c r="AB478" s="126">
        <f t="shared" si="156"/>
        <v>992</v>
      </c>
      <c r="AC478" s="126">
        <f>IF($D478="","",IF($AD478=0,0,IF(COUNTIFS($D$4:$D478,$D478,$B$4:$B478,$B478)&gt;1,0,IF($B478&lt;'Guide &amp; Settings'!$C$50,0,IF(($B478-$AD478)/7-'Guide &amp; Settings'!$C$48&gt;=0,(INT(($B478-$AD478)/7-'Guide &amp; Settings'!$C$48)+1)*'Guide &amp; Settings'!$C$49,0)))))</f>
        <v>0</v>
      </c>
      <c r="AD478" s="142">
        <f t="shared" si="157"/>
        <v>46247</v>
      </c>
      <c r="AE478">
        <f t="shared" si="158"/>
        <v>1</v>
      </c>
      <c r="AF478">
        <f t="shared" si="159"/>
        <v>0</v>
      </c>
    </row>
    <row r="479" spans="1:32" x14ac:dyDescent="0.2">
      <c r="A479" s="117">
        <v>206</v>
      </c>
      <c r="B479" s="118">
        <v>46249</v>
      </c>
      <c r="C479" s="119" t="s">
        <v>54</v>
      </c>
      <c r="D479" s="119" t="s">
        <v>27</v>
      </c>
      <c r="E479" s="117" t="s">
        <v>371</v>
      </c>
      <c r="F479" s="120">
        <f t="shared" si="140"/>
        <v>3</v>
      </c>
      <c r="G479" s="121" t="str">
        <f t="shared" si="141"/>
        <v>Dean M</v>
      </c>
      <c r="H479" s="122">
        <f>IF($D479="",0,IFERROR(LOOKUP(2,1/(($D$3:D478=$D479)*($A$3:A478&lt;$A479)),$N$3:N478),'Guide &amp; Settings'!$C$41))</f>
        <v>1044.9457627996621</v>
      </c>
      <c r="I479" s="123">
        <f t="shared" si="142"/>
        <v>0.33333333333333331</v>
      </c>
      <c r="J479" s="124">
        <f>IF($D479="",0,IF($F479&lt;2,0,IF($E479="Win",('Guide &amp; Settings'!$C$42/(($F479-1)*COUNTIFS($A$4:$A$1510,$A479,$E$4:$E$1510,"Win")))*SUMIFS($X$4:$X$1510,$A$4:$A$1510,$A479,$E$4:$E$1510,"Loss"),-('Guide &amp; Settings'!$C$42/($F479-1))*$X479)))</f>
        <v>-8.1163844501921893</v>
      </c>
      <c r="K479" s="124">
        <f>IF($D479="",0,'Guide &amp; Settings'!$C$43*(IF($E479="Win",1,0)-$I479))</f>
        <v>-4</v>
      </c>
      <c r="L479" s="125">
        <f>IF($D479="",0,'Guide &amp; Settings'!$C$44*IF($F479&gt;=3,$F479,0))</f>
        <v>3</v>
      </c>
      <c r="M479" s="124">
        <f t="shared" si="143"/>
        <v>-9.1163844501921893</v>
      </c>
      <c r="N479" s="122">
        <f t="shared" si="144"/>
        <v>1035.8293783494698</v>
      </c>
      <c r="O479" s="121" t="str">
        <f t="shared" si="145"/>
        <v>OK</v>
      </c>
      <c r="P479">
        <f t="shared" si="146"/>
        <v>1039.8908937155766</v>
      </c>
      <c r="Q479">
        <f t="shared" si="147"/>
        <v>0.50727402813701183</v>
      </c>
      <c r="R479">
        <f t="shared" si="148"/>
        <v>0.5</v>
      </c>
      <c r="S479">
        <f t="shared" si="149"/>
        <v>1.5</v>
      </c>
      <c r="T479" s="89">
        <f t="shared" si="150"/>
        <v>0</v>
      </c>
      <c r="U479" s="126">
        <f>IF($D479="",0,IFERROR(LOOKUP(2,1/(($D$3:D478=$D479)*($C$3:C478=$C479)*($A$3:A478&lt;$A479)),$AB$3:AB478),1000))</f>
        <v>1000</v>
      </c>
      <c r="V479" s="126">
        <f t="shared" si="151"/>
        <v>1044.9457627996621</v>
      </c>
      <c r="W479">
        <f t="shared" si="152"/>
        <v>1039.8908937155766</v>
      </c>
      <c r="X479">
        <f t="shared" si="153"/>
        <v>0.50727402813701183</v>
      </c>
      <c r="Y479">
        <f t="shared" si="154"/>
        <v>1000</v>
      </c>
      <c r="Z479">
        <f t="shared" si="155"/>
        <v>0.5</v>
      </c>
      <c r="AA479">
        <f>IF($D479="",0,IF($F479&lt;2,0,IF($E479="Win",('Guide &amp; Settings'!$C$42/(($F479-1)*COUNTIFS($A$4:$A$1510,$A479,$E$4:$E$1510,"Win")))*SUMIFS($Z$4:$Z$1510,$A$4:$A$1510,$A479,$E$4:$E$1510,"Loss"),-('Guide &amp; Settings'!$C$42/($F479-1))*$Z479)))</f>
        <v>-8</v>
      </c>
      <c r="AB479" s="126">
        <f t="shared" si="156"/>
        <v>992</v>
      </c>
      <c r="AC479" s="126">
        <f>IF($D479="","",IF($AD479=0,0,IF(COUNTIFS($D$4:$D479,$D479,$B$4:$B479,$B479)&gt;1,0,IF($B479&lt;'Guide &amp; Settings'!$C$50,0,IF(($B479-$AD479)/7-'Guide &amp; Settings'!$C$48&gt;=0,(INT(($B479-$AD479)/7-'Guide &amp; Settings'!$C$48)+1)*'Guide &amp; Settings'!$C$49,0)))))</f>
        <v>0</v>
      </c>
      <c r="AD479" s="142">
        <f t="shared" si="157"/>
        <v>46222</v>
      </c>
      <c r="AE479">
        <f t="shared" si="158"/>
        <v>1</v>
      </c>
      <c r="AF479">
        <f t="shared" si="159"/>
        <v>0</v>
      </c>
    </row>
    <row r="480" spans="1:32" x14ac:dyDescent="0.2">
      <c r="A480" s="117">
        <v>206</v>
      </c>
      <c r="B480" s="118">
        <v>46249</v>
      </c>
      <c r="C480" s="119" t="s">
        <v>54</v>
      </c>
      <c r="D480" s="119" t="s">
        <v>26</v>
      </c>
      <c r="E480" s="117" t="s">
        <v>370</v>
      </c>
      <c r="F480" s="120">
        <f t="shared" si="140"/>
        <v>3</v>
      </c>
      <c r="G480" s="121" t="str">
        <f t="shared" si="141"/>
        <v>Dean M</v>
      </c>
      <c r="H480" s="122">
        <f>IF($D480="",0,IFERROR(LOOKUP(2,1/(($D$3:D479=$D480)*($A$3:A479&lt;$A480)),$N$3:N479),'Guide &amp; Settings'!$C$41))</f>
        <v>1039.8908937155766</v>
      </c>
      <c r="I480" s="123">
        <f t="shared" si="142"/>
        <v>0.33333333333333331</v>
      </c>
      <c r="J480" s="124">
        <f>IF($D480="",0,IF($F480&lt;2,0,IF($E480="Win",('Guide &amp; Settings'!$C$42/(($F480-1)*COUNTIFS($A$4:$A$1510,$A480,$E$4:$E$1510,"Win")))*SUMIFS($X$4:$X$1510,$A$4:$A$1510,$A480,$E$4:$E$1510,"Loss"),-('Guide &amp; Settings'!$C$42/($F480-1))*$X480)))</f>
        <v>18.815298185387523</v>
      </c>
      <c r="K480" s="124">
        <f>IF($D480="",0,'Guide &amp; Settings'!$C$43*(IF($E480="Win",1,0)-$I480))</f>
        <v>8</v>
      </c>
      <c r="L480" s="125">
        <f>IF($D480="",0,'Guide &amp; Settings'!$C$44*IF($F480&gt;=3,$F480,0))</f>
        <v>3</v>
      </c>
      <c r="M480" s="124">
        <f t="shared" si="143"/>
        <v>29.815298185387523</v>
      </c>
      <c r="N480" s="122">
        <f t="shared" si="144"/>
        <v>1069.7061919009641</v>
      </c>
      <c r="O480" s="121" t="str">
        <f t="shared" si="145"/>
        <v>OK</v>
      </c>
      <c r="P480">
        <f t="shared" si="146"/>
        <v>1039.8908937155766</v>
      </c>
      <c r="Q480">
        <f t="shared" si="147"/>
        <v>0.5</v>
      </c>
      <c r="R480">
        <f t="shared" si="148"/>
        <v>0.5</v>
      </c>
      <c r="S480">
        <f t="shared" si="149"/>
        <v>1.5</v>
      </c>
      <c r="T480" s="89">
        <f t="shared" si="150"/>
        <v>0</v>
      </c>
      <c r="U480" s="126">
        <f>IF($D480="",0,IFERROR(LOOKUP(2,1/(($D$3:D479=$D480)*($C$3:C479=$C480)*($A$3:A479&lt;$A480)),$AB$3:AB479),1000))</f>
        <v>1000</v>
      </c>
      <c r="V480" s="126">
        <f t="shared" si="151"/>
        <v>1039.8908937155766</v>
      </c>
      <c r="W480">
        <f t="shared" si="152"/>
        <v>1039.8908937155766</v>
      </c>
      <c r="X480">
        <f t="shared" si="153"/>
        <v>0.5</v>
      </c>
      <c r="Y480">
        <f t="shared" si="154"/>
        <v>1000</v>
      </c>
      <c r="Z480">
        <f t="shared" si="155"/>
        <v>0.5</v>
      </c>
      <c r="AA480">
        <f>IF($D480="",0,IF($F480&lt;2,0,IF($E480="Win",('Guide &amp; Settings'!$C$42/(($F480-1)*COUNTIFS($A$4:$A$1510,$A480,$E$4:$E$1510,"Win")))*SUMIFS($Z$4:$Z$1510,$A$4:$A$1510,$A480,$E$4:$E$1510,"Loss"),-('Guide &amp; Settings'!$C$42/($F480-1))*$Z480)))</f>
        <v>16</v>
      </c>
      <c r="AB480" s="126">
        <f t="shared" si="156"/>
        <v>1016</v>
      </c>
      <c r="AC480" s="126">
        <f>IF($D480="","",IF($AD480=0,0,IF(COUNTIFS($D$4:$D480,$D480,$B$4:$B480,$B480)&gt;1,0,IF($B480&lt;'Guide &amp; Settings'!$C$50,0,IF(($B480-$AD480)/7-'Guide &amp; Settings'!$C$48&gt;=0,(INT(($B480-$AD480)/7-'Guide &amp; Settings'!$C$48)+1)*'Guide &amp; Settings'!$C$49,0)))))</f>
        <v>0</v>
      </c>
      <c r="AD480" s="142">
        <f t="shared" si="157"/>
        <v>46222</v>
      </c>
      <c r="AE480">
        <f t="shared" si="158"/>
        <v>1</v>
      </c>
      <c r="AF480">
        <f t="shared" si="159"/>
        <v>0</v>
      </c>
    </row>
    <row r="481" spans="1:32" x14ac:dyDescent="0.2">
      <c r="A481" s="117">
        <v>207</v>
      </c>
      <c r="B481" s="118">
        <v>46249</v>
      </c>
      <c r="C481" s="119" t="s">
        <v>54</v>
      </c>
      <c r="D481" s="119" t="s">
        <v>22</v>
      </c>
      <c r="E481" s="117" t="s">
        <v>370</v>
      </c>
      <c r="F481" s="120">
        <f t="shared" si="140"/>
        <v>3</v>
      </c>
      <c r="G481" s="121" t="str">
        <f t="shared" si="141"/>
        <v>Daniel (Ferret)</v>
      </c>
      <c r="H481" s="122">
        <f>IF($D481="",0,IFERROR(LOOKUP(2,1/(($D$3:D480=$D481)*($A$3:A480&lt;$A481)),$N$3:N480),'Guide &amp; Settings'!$C$41))</f>
        <v>1150.1819056851418</v>
      </c>
      <c r="I481" s="123">
        <f t="shared" si="142"/>
        <v>0.25</v>
      </c>
      <c r="J481" s="124">
        <f>IF($D481="",0,IF($F481&lt;2,0,IF($E481="Win",('Guide &amp; Settings'!$C$42/(($F481-1)*COUNTIFS($A$4:$A$1510,$A481,$E$4:$E$1510,"Win")))*SUMIFS($X$4:$X$1510,$A$4:$A$1510,$A481,$E$4:$E$1510,"Loss"),-('Guide &amp; Settings'!$C$42/($F481-1))*$X481)))</f>
        <v>12.422853331984246</v>
      </c>
      <c r="K481" s="124">
        <f>IF($D481="",0,'Guide &amp; Settings'!$C$43*(IF($E481="Win",1,0)-$I481))</f>
        <v>9</v>
      </c>
      <c r="L481" s="125">
        <f>IF($D481="",0,'Guide &amp; Settings'!$C$44*IF($F481&gt;=3,$F481,0))</f>
        <v>3</v>
      </c>
      <c r="M481" s="124">
        <f t="shared" si="143"/>
        <v>24.422853331984246</v>
      </c>
      <c r="N481" s="122">
        <f t="shared" si="144"/>
        <v>1174.6047590171261</v>
      </c>
      <c r="O481" s="121" t="str">
        <f t="shared" si="145"/>
        <v>OK</v>
      </c>
      <c r="P481">
        <f t="shared" si="146"/>
        <v>1150.1819056851418</v>
      </c>
      <c r="Q481">
        <f t="shared" si="147"/>
        <v>0.5</v>
      </c>
      <c r="R481">
        <f t="shared" si="148"/>
        <v>0.33333333333333331</v>
      </c>
      <c r="S481">
        <f t="shared" si="149"/>
        <v>1.3333333333333333</v>
      </c>
      <c r="T481" s="89">
        <f t="shared" si="150"/>
        <v>1</v>
      </c>
      <c r="U481" s="126">
        <f>IF($D481="",0,IFERROR(LOOKUP(2,1/(($D$3:D480=$D481)*($C$3:C480=$C481)*($A$3:A480&lt;$A481)),$AB$3:AB480),1000))</f>
        <v>992</v>
      </c>
      <c r="V481" s="126">
        <f t="shared" si="151"/>
        <v>1123.8182547376182</v>
      </c>
      <c r="W481">
        <f t="shared" si="152"/>
        <v>1123.8182547376182</v>
      </c>
      <c r="X481">
        <f t="shared" si="153"/>
        <v>0.5</v>
      </c>
      <c r="Y481">
        <f t="shared" si="154"/>
        <v>992</v>
      </c>
      <c r="Z481">
        <f t="shared" si="155"/>
        <v>0.5</v>
      </c>
      <c r="AA481">
        <f>IF($D481="",0,IF($F481&lt;2,0,IF($E481="Win",('Guide &amp; Settings'!$C$42/(($F481-1)*COUNTIFS($A$4:$A$1510,$A481,$E$4:$E$1510,"Win")))*SUMIFS($Z$4:$Z$1510,$A$4:$A$1510,$A481,$E$4:$E$1510,"Loss"),-('Guide &amp; Settings'!$C$42/($F481-1))*$Z481)))</f>
        <v>16.551743115629304</v>
      </c>
      <c r="AB481" s="126">
        <f t="shared" si="156"/>
        <v>1008.5517431156293</v>
      </c>
      <c r="AC481" s="126">
        <f>IF($D481="","",IF($AD481=0,0,IF(COUNTIFS($D$4:$D481,$D481,$B$4:$B481,$B481)&gt;1,0,IF($B481&lt;'Guide &amp; Settings'!$C$50,0,IF(($B481-$AD481)/7-'Guide &amp; Settings'!$C$48&gt;=0,(INT(($B481-$AD481)/7-'Guide &amp; Settings'!$C$48)+1)*'Guide &amp; Settings'!$C$49,0)))))</f>
        <v>0</v>
      </c>
      <c r="AD481" s="142">
        <f t="shared" si="157"/>
        <v>46247</v>
      </c>
      <c r="AE481">
        <f t="shared" si="158"/>
        <v>1</v>
      </c>
      <c r="AF481">
        <f t="shared" si="159"/>
        <v>0</v>
      </c>
    </row>
    <row r="482" spans="1:32" x14ac:dyDescent="0.2">
      <c r="A482" s="117">
        <v>207</v>
      </c>
      <c r="B482" s="118">
        <v>46249</v>
      </c>
      <c r="C482" s="119" t="s">
        <v>54</v>
      </c>
      <c r="D482" s="119" t="s">
        <v>27</v>
      </c>
      <c r="E482" s="117" t="s">
        <v>371</v>
      </c>
      <c r="F482" s="120">
        <f t="shared" si="140"/>
        <v>3</v>
      </c>
      <c r="G482" s="121" t="str">
        <f t="shared" si="141"/>
        <v>Daniel (Ferret)</v>
      </c>
      <c r="H482" s="122">
        <f>IF($D482="",0,IFERROR(LOOKUP(2,1/(($D$3:D481=$D482)*($A$3:A481&lt;$A482)),$N$3:N481),'Guide &amp; Settings'!$C$41))</f>
        <v>1035.8293783494698</v>
      </c>
      <c r="I482" s="123">
        <f t="shared" si="142"/>
        <v>0.25</v>
      </c>
      <c r="J482" s="124">
        <f>IF($D482="",0,IF($F482&lt;2,0,IF($E482="Win",('Guide &amp; Settings'!$C$42/(($F482-1)*COUNTIFS($A$4:$A$1510,$A482,$E$4:$E$1510,"Win")))*SUMIFS($X$4:$X$1510,$A$4:$A$1510,$A482,$E$4:$E$1510,"Loss"),-('Guide &amp; Settings'!$C$42/($F482-1))*$X482)))</f>
        <v>-5.8591954077073316</v>
      </c>
      <c r="K482" s="124">
        <f>IF($D482="",0,'Guide &amp; Settings'!$C$43*(IF($E482="Win",1,0)-$I482))</f>
        <v>-3</v>
      </c>
      <c r="L482" s="125">
        <f>IF($D482="",0,'Guide &amp; Settings'!$C$44*IF($F482&gt;=3,$F482,0))</f>
        <v>3</v>
      </c>
      <c r="M482" s="124">
        <f t="shared" si="143"/>
        <v>-5.8591954077073325</v>
      </c>
      <c r="N482" s="122">
        <f t="shared" si="144"/>
        <v>1029.9701829417625</v>
      </c>
      <c r="O482" s="121" t="str">
        <f t="shared" si="145"/>
        <v>OK</v>
      </c>
      <c r="P482">
        <f t="shared" si="146"/>
        <v>1150.1819056851418</v>
      </c>
      <c r="Q482">
        <f t="shared" si="147"/>
        <v>0.34112922416728203</v>
      </c>
      <c r="R482">
        <f t="shared" si="148"/>
        <v>0.33333333333333331</v>
      </c>
      <c r="S482">
        <f t="shared" si="149"/>
        <v>1.3333333333333333</v>
      </c>
      <c r="T482" s="89">
        <f t="shared" si="150"/>
        <v>1</v>
      </c>
      <c r="U482" s="126">
        <f>IF($D482="",0,IFERROR(LOOKUP(2,1/(($D$3:D481=$D482)*($C$3:C481=$C482)*($A$3:A481&lt;$A482)),$AB$3:AB481),1000))</f>
        <v>992</v>
      </c>
      <c r="V482" s="126">
        <f t="shared" si="151"/>
        <v>1028.5244819578916</v>
      </c>
      <c r="W482">
        <f t="shared" si="152"/>
        <v>1123.8182547376182</v>
      </c>
      <c r="X482">
        <f t="shared" si="153"/>
        <v>0.36619971298170823</v>
      </c>
      <c r="Y482">
        <f t="shared" si="154"/>
        <v>992</v>
      </c>
      <c r="Z482">
        <f t="shared" si="155"/>
        <v>0.5</v>
      </c>
      <c r="AA482">
        <f>IF($D482="",0,IF($F482&lt;2,0,IF($E482="Win",('Guide &amp; Settings'!$C$42/(($F482-1)*COUNTIFS($A$4:$A$1510,$A482,$E$4:$E$1510,"Win")))*SUMIFS($Z$4:$Z$1510,$A$4:$A$1510,$A482,$E$4:$E$1510,"Loss"),-('Guide &amp; Settings'!$C$42/($F482-1))*$Z482)))</f>
        <v>-8</v>
      </c>
      <c r="AB482" s="126">
        <f t="shared" si="156"/>
        <v>984</v>
      </c>
      <c r="AC482" s="126">
        <f>IF($D482="","",IF($AD482=0,0,IF(COUNTIFS($D$4:$D482,$D482,$B$4:$B482,$B482)&gt;1,0,IF($B482&lt;'Guide &amp; Settings'!$C$50,0,IF(($B482-$AD482)/7-'Guide &amp; Settings'!$C$48&gt;=0,(INT(($B482-$AD482)/7-'Guide &amp; Settings'!$C$48)+1)*'Guide &amp; Settings'!$C$49,0)))))</f>
        <v>0</v>
      </c>
      <c r="AD482" s="142">
        <f t="shared" si="157"/>
        <v>46222</v>
      </c>
      <c r="AE482">
        <f t="shared" si="158"/>
        <v>1</v>
      </c>
      <c r="AF482">
        <f t="shared" si="159"/>
        <v>0</v>
      </c>
    </row>
    <row r="483" spans="1:32" x14ac:dyDescent="0.2">
      <c r="A483" s="117">
        <v>207</v>
      </c>
      <c r="B483" s="118">
        <v>46249</v>
      </c>
      <c r="C483" s="119" t="s">
        <v>54</v>
      </c>
      <c r="D483" s="119" t="s">
        <v>26</v>
      </c>
      <c r="E483" s="117" t="s">
        <v>371</v>
      </c>
      <c r="F483" s="120">
        <f t="shared" si="140"/>
        <v>3</v>
      </c>
      <c r="G483" s="121" t="str">
        <f t="shared" si="141"/>
        <v>Daniel (Ferret)</v>
      </c>
      <c r="H483" s="122">
        <f>IF($D483="",0,IFERROR(LOOKUP(2,1/(($D$3:D482=$D483)*($A$3:A482&lt;$A483)),$N$3:N482),'Guide &amp; Settings'!$C$41))</f>
        <v>1069.7061919009641</v>
      </c>
      <c r="I483" s="123">
        <f t="shared" si="142"/>
        <v>0.5</v>
      </c>
      <c r="J483" s="124">
        <f>IF($D483="",0,IF($F483&lt;2,0,IF($E483="Win",('Guide &amp; Settings'!$C$42/(($F483-1)*COUNTIFS($A$4:$A$1510,$A483,$E$4:$E$1510,"Win")))*SUMIFS($X$4:$X$1510,$A$4:$A$1510,$A483,$E$4:$E$1510,"Loss"),-('Guide &amp; Settings'!$C$42/($F483-1))*$X483)))</f>
        <v>-6.5636579242769137</v>
      </c>
      <c r="K483" s="124">
        <f>IF($D483="",0,'Guide &amp; Settings'!$C$43*(IF($E483="Win",1,0)-$I483))</f>
        <v>-6</v>
      </c>
      <c r="L483" s="125">
        <f>IF($D483="",0,'Guide &amp; Settings'!$C$44*IF($F483&gt;=3,$F483,0))</f>
        <v>3</v>
      </c>
      <c r="M483" s="124">
        <f t="shared" si="143"/>
        <v>-9.5636579242769137</v>
      </c>
      <c r="N483" s="122">
        <f t="shared" si="144"/>
        <v>1060.1425339766872</v>
      </c>
      <c r="O483" s="121" t="str">
        <f t="shared" si="145"/>
        <v>OK</v>
      </c>
      <c r="P483">
        <f t="shared" si="146"/>
        <v>1150.1819056851418</v>
      </c>
      <c r="Q483">
        <f t="shared" si="147"/>
        <v>0.38621382598897147</v>
      </c>
      <c r="R483">
        <f t="shared" si="148"/>
        <v>0.66666666666666663</v>
      </c>
      <c r="S483">
        <f t="shared" si="149"/>
        <v>1.3333333333333333</v>
      </c>
      <c r="T483" s="89">
        <f t="shared" si="150"/>
        <v>1</v>
      </c>
      <c r="U483" s="126">
        <f>IF($D483="",0,IFERROR(LOOKUP(2,1/(($D$3:D482=$D483)*($C$3:C482=$C483)*($A$3:A482&lt;$A483)),$AB$3:AB482),1000))</f>
        <v>1016</v>
      </c>
      <c r="V483" s="126">
        <f t="shared" si="151"/>
        <v>1060.7551599174701</v>
      </c>
      <c r="W483">
        <f t="shared" si="152"/>
        <v>1123.8182547376182</v>
      </c>
      <c r="X483">
        <f t="shared" si="153"/>
        <v>0.41022862026730711</v>
      </c>
      <c r="Y483">
        <f t="shared" si="154"/>
        <v>992</v>
      </c>
      <c r="Z483">
        <f t="shared" si="155"/>
        <v>0.53448394472683147</v>
      </c>
      <c r="AA483">
        <f>IF($D483="",0,IF($F483&lt;2,0,IF($E483="Win",('Guide &amp; Settings'!$C$42/(($F483-1)*COUNTIFS($A$4:$A$1510,$A483,$E$4:$E$1510,"Win")))*SUMIFS($Z$4:$Z$1510,$A$4:$A$1510,$A483,$E$4:$E$1510,"Loss"),-('Guide &amp; Settings'!$C$42/($F483-1))*$Z483)))</f>
        <v>-8.5517431156293036</v>
      </c>
      <c r="AB483" s="126">
        <f t="shared" si="156"/>
        <v>1007.4482568843707</v>
      </c>
      <c r="AC483" s="126">
        <f>IF($D483="","",IF($AD483=0,0,IF(COUNTIFS($D$4:$D483,$D483,$B$4:$B483,$B483)&gt;1,0,IF($B483&lt;'Guide &amp; Settings'!$C$50,0,IF(($B483-$AD483)/7-'Guide &amp; Settings'!$C$48&gt;=0,(INT(($B483-$AD483)/7-'Guide &amp; Settings'!$C$48)+1)*'Guide &amp; Settings'!$C$49,0)))))</f>
        <v>0</v>
      </c>
      <c r="AD483" s="142">
        <f t="shared" si="157"/>
        <v>46222</v>
      </c>
      <c r="AE483">
        <f t="shared" si="158"/>
        <v>1</v>
      </c>
      <c r="AF483">
        <f t="shared" si="159"/>
        <v>0</v>
      </c>
    </row>
    <row r="484" spans="1:32" x14ac:dyDescent="0.2">
      <c r="A484" s="117">
        <v>208</v>
      </c>
      <c r="B484" s="118">
        <v>46249</v>
      </c>
      <c r="C484" s="119" t="s">
        <v>54</v>
      </c>
      <c r="D484" s="119" t="s">
        <v>22</v>
      </c>
      <c r="E484" s="117" t="s">
        <v>371</v>
      </c>
      <c r="F484" s="120">
        <f t="shared" si="140"/>
        <v>3</v>
      </c>
      <c r="G484" s="121" t="str">
        <f t="shared" si="141"/>
        <v>Dean M</v>
      </c>
      <c r="H484" s="122">
        <f>IF($D484="",0,IFERROR(LOOKUP(2,1/(($D$3:D483=$D484)*($A$3:A483&lt;$A484)),$N$3:N483),'Guide &amp; Settings'!$C$41))</f>
        <v>1174.6047590171261</v>
      </c>
      <c r="I484" s="123">
        <f t="shared" si="142"/>
        <v>0.4</v>
      </c>
      <c r="J484" s="124">
        <f>IF($D484="",0,IF($F484&lt;2,0,IF($E484="Win",('Guide &amp; Settings'!$C$42/(($F484-1)*COUNTIFS($A$4:$A$1510,$A484,$E$4:$E$1510,"Win")))*SUMIFS($X$4:$X$1510,$A$4:$A$1510,$A484,$E$4:$E$1510,"Loss"),-('Guide &amp; Settings'!$C$42/($F484-1))*$X484)))</f>
        <v>-9.8554383087498376</v>
      </c>
      <c r="K484" s="124">
        <f>IF($D484="",0,'Guide &amp; Settings'!$C$43*(IF($E484="Win",1,0)-$I484))</f>
        <v>-4.8000000000000007</v>
      </c>
      <c r="L484" s="125">
        <f>IF($D484="",0,'Guide &amp; Settings'!$C$44*IF($F484&gt;=3,$F484,0))</f>
        <v>3</v>
      </c>
      <c r="M484" s="124">
        <f t="shared" si="143"/>
        <v>-11.655438308749838</v>
      </c>
      <c r="N484" s="122">
        <f t="shared" si="144"/>
        <v>1162.9493207083763</v>
      </c>
      <c r="O484" s="121" t="str">
        <f t="shared" si="145"/>
        <v>OK</v>
      </c>
      <c r="P484">
        <f t="shared" si="146"/>
        <v>1060.1425339766872</v>
      </c>
      <c r="Q484">
        <f t="shared" si="147"/>
        <v>0.65901269100473436</v>
      </c>
      <c r="R484">
        <f t="shared" si="148"/>
        <v>0.5</v>
      </c>
      <c r="S484">
        <f t="shared" si="149"/>
        <v>1.25</v>
      </c>
      <c r="T484" s="89">
        <f t="shared" si="150"/>
        <v>2</v>
      </c>
      <c r="U484" s="126">
        <f>IF($D484="",0,IFERROR(LOOKUP(2,1/(($D$3:D483=$D484)*($C$3:C483=$C484)*($A$3:A483&lt;$A484)),$AB$3:AB483),1000))</f>
        <v>1008.5517431156293</v>
      </c>
      <c r="V484" s="126">
        <f t="shared" si="151"/>
        <v>1127.1610401881271</v>
      </c>
      <c r="W484">
        <f t="shared" si="152"/>
        <v>1045.0870262360254</v>
      </c>
      <c r="X484">
        <f t="shared" si="153"/>
        <v>0.61596489429686485</v>
      </c>
      <c r="Y484">
        <f t="shared" si="154"/>
        <v>1007.4482568843707</v>
      </c>
      <c r="Z484">
        <f t="shared" si="155"/>
        <v>0.50158803900171423</v>
      </c>
      <c r="AA484">
        <f>IF($D484="",0,IF($F484&lt;2,0,IF($E484="Win",('Guide &amp; Settings'!$C$42/(($F484-1)*COUNTIFS($A$4:$A$1510,$A484,$E$4:$E$1510,"Win")))*SUMIFS($Z$4:$Z$1510,$A$4:$A$1510,$A484,$E$4:$E$1510,"Loss"),-('Guide &amp; Settings'!$C$42/($F484-1))*$Z484)))</f>
        <v>-8.0254086240274276</v>
      </c>
      <c r="AB484" s="126">
        <f t="shared" si="156"/>
        <v>1000.5263344916018</v>
      </c>
      <c r="AC484" s="126">
        <f>IF($D484="","",IF($AD484=0,0,IF(COUNTIFS($D$4:$D484,$D484,$B$4:$B484,$B484)&gt;1,0,IF($B484&lt;'Guide &amp; Settings'!$C$50,0,IF(($B484-$AD484)/7-'Guide &amp; Settings'!$C$48&gt;=0,(INT(($B484-$AD484)/7-'Guide &amp; Settings'!$C$48)+1)*'Guide &amp; Settings'!$C$49,0)))))</f>
        <v>0</v>
      </c>
      <c r="AD484" s="142">
        <f t="shared" si="157"/>
        <v>46247</v>
      </c>
      <c r="AE484">
        <f t="shared" si="158"/>
        <v>1</v>
      </c>
      <c r="AF484">
        <f t="shared" si="159"/>
        <v>0</v>
      </c>
    </row>
    <row r="485" spans="1:32" x14ac:dyDescent="0.2">
      <c r="A485" s="117">
        <v>208</v>
      </c>
      <c r="B485" s="118">
        <v>46249</v>
      </c>
      <c r="C485" s="119" t="s">
        <v>54</v>
      </c>
      <c r="D485" s="119" t="s">
        <v>27</v>
      </c>
      <c r="E485" s="117" t="s">
        <v>371</v>
      </c>
      <c r="F485" s="120">
        <f t="shared" si="140"/>
        <v>3</v>
      </c>
      <c r="G485" s="121" t="str">
        <f t="shared" si="141"/>
        <v>Dean M</v>
      </c>
      <c r="H485" s="122">
        <f>IF($D485="",0,IFERROR(LOOKUP(2,1/(($D$3:D484=$D485)*($A$3:A484&lt;$A485)),$N$3:N484),'Guide &amp; Settings'!$C$41))</f>
        <v>1029.9701829417625</v>
      </c>
      <c r="I485" s="123">
        <f t="shared" si="142"/>
        <v>0.2</v>
      </c>
      <c r="J485" s="124">
        <f>IF($D485="",0,IF($F485&lt;2,0,IF($E485="Win",('Guide &amp; Settings'!$C$42/(($F485-1)*COUNTIFS($A$4:$A$1510,$A485,$E$4:$E$1510,"Win")))*SUMIFS($X$4:$X$1510,$A$4:$A$1510,$A485,$E$4:$E$1510,"Loss"),-('Guide &amp; Settings'!$C$42/($F485-1))*$X485)))</f>
        <v>-7.3509224210483843</v>
      </c>
      <c r="K485" s="124">
        <f>IF($D485="",0,'Guide &amp; Settings'!$C$43*(IF($E485="Win",1,0)-$I485))</f>
        <v>-2.4000000000000004</v>
      </c>
      <c r="L485" s="125">
        <f>IF($D485="",0,'Guide &amp; Settings'!$C$44*IF($F485&gt;=3,$F485,0))</f>
        <v>3</v>
      </c>
      <c r="M485" s="124">
        <f t="shared" si="143"/>
        <v>-6.7509224210483847</v>
      </c>
      <c r="N485" s="122">
        <f t="shared" si="144"/>
        <v>1023.2192605207141</v>
      </c>
      <c r="O485" s="121" t="str">
        <f t="shared" si="145"/>
        <v>OK</v>
      </c>
      <c r="P485">
        <f t="shared" si="146"/>
        <v>1060.1425339766872</v>
      </c>
      <c r="Q485">
        <f t="shared" si="147"/>
        <v>0.45668732556976771</v>
      </c>
      <c r="R485">
        <f t="shared" si="148"/>
        <v>0.25</v>
      </c>
      <c r="S485">
        <f t="shared" si="149"/>
        <v>1.25</v>
      </c>
      <c r="T485" s="89">
        <f t="shared" si="150"/>
        <v>2</v>
      </c>
      <c r="U485" s="126">
        <f>IF($D485="",0,IFERROR(LOOKUP(2,1/(($D$3:D484=$D485)*($C$3:C484=$C485)*($A$3:A484&lt;$A485)),$AB$3:AB484),1000))</f>
        <v>984</v>
      </c>
      <c r="V485" s="126">
        <f t="shared" si="151"/>
        <v>1016.8358449584017</v>
      </c>
      <c r="W485">
        <f t="shared" si="152"/>
        <v>1045.0870262360254</v>
      </c>
      <c r="X485">
        <f t="shared" si="153"/>
        <v>0.45943265131552402</v>
      </c>
      <c r="Y485">
        <f t="shared" si="154"/>
        <v>1007.4482568843707</v>
      </c>
      <c r="Z485">
        <f t="shared" si="155"/>
        <v>0.4663063865179834</v>
      </c>
      <c r="AA485">
        <f>IF($D485="",0,IF($F485&lt;2,0,IF($E485="Win",('Guide &amp; Settings'!$C$42/(($F485-1)*COUNTIFS($A$4:$A$1510,$A485,$E$4:$E$1510,"Win")))*SUMIFS($Z$4:$Z$1510,$A$4:$A$1510,$A485,$E$4:$E$1510,"Loss"),-('Guide &amp; Settings'!$C$42/($F485-1))*$Z485)))</f>
        <v>-7.4609021842877343</v>
      </c>
      <c r="AB485" s="126">
        <f t="shared" si="156"/>
        <v>976.53909781571224</v>
      </c>
      <c r="AC485" s="126">
        <f>IF($D485="","",IF($AD485=0,0,IF(COUNTIFS($D$4:$D485,$D485,$B$4:$B485,$B485)&gt;1,0,IF($B485&lt;'Guide &amp; Settings'!$C$50,0,IF(($B485-$AD485)/7-'Guide &amp; Settings'!$C$48&gt;=0,(INT(($B485-$AD485)/7-'Guide &amp; Settings'!$C$48)+1)*'Guide &amp; Settings'!$C$49,0)))))</f>
        <v>0</v>
      </c>
      <c r="AD485" s="142">
        <f t="shared" si="157"/>
        <v>46222</v>
      </c>
      <c r="AE485">
        <f t="shared" si="158"/>
        <v>1</v>
      </c>
      <c r="AF485">
        <f t="shared" si="159"/>
        <v>0</v>
      </c>
    </row>
    <row r="486" spans="1:32" x14ac:dyDescent="0.2">
      <c r="A486" s="117">
        <v>208</v>
      </c>
      <c r="B486" s="118">
        <v>46249</v>
      </c>
      <c r="C486" s="119" t="s">
        <v>54</v>
      </c>
      <c r="D486" s="119" t="s">
        <v>26</v>
      </c>
      <c r="E486" s="117" t="s">
        <v>370</v>
      </c>
      <c r="F486" s="120">
        <f t="shared" si="140"/>
        <v>3</v>
      </c>
      <c r="G486" s="121" t="str">
        <f t="shared" si="141"/>
        <v>Dean M</v>
      </c>
      <c r="H486" s="122">
        <f>IF($D486="",0,IFERROR(LOOKUP(2,1/(($D$3:D485=$D486)*($A$3:A485&lt;$A486)),$N$3:N485),'Guide &amp; Settings'!$C$41))</f>
        <v>1060.1425339766872</v>
      </c>
      <c r="I486" s="123">
        <f t="shared" si="142"/>
        <v>0.4</v>
      </c>
      <c r="J486" s="124">
        <f>IF($D486="",0,IF($F486&lt;2,0,IF($E486="Win",('Guide &amp; Settings'!$C$42/(($F486-1)*COUNTIFS($A$4:$A$1510,$A486,$E$4:$E$1510,"Win")))*SUMIFS($X$4:$X$1510,$A$4:$A$1510,$A486,$E$4:$E$1510,"Loss"),-('Guide &amp; Settings'!$C$42/($F486-1))*$X486)))</f>
        <v>17.20636072979822</v>
      </c>
      <c r="K486" s="124">
        <f>IF($D486="",0,'Guide &amp; Settings'!$C$43*(IF($E486="Win",1,0)-$I486))</f>
        <v>7.1999999999999993</v>
      </c>
      <c r="L486" s="125">
        <f>IF($D486="",0,'Guide &amp; Settings'!$C$44*IF($F486&gt;=3,$F486,0))</f>
        <v>3</v>
      </c>
      <c r="M486" s="124">
        <f t="shared" si="143"/>
        <v>27.406360729798219</v>
      </c>
      <c r="N486" s="122">
        <f t="shared" si="144"/>
        <v>1087.5488947064855</v>
      </c>
      <c r="O486" s="121" t="str">
        <f t="shared" si="145"/>
        <v>OK</v>
      </c>
      <c r="P486">
        <f t="shared" si="146"/>
        <v>1060.1425339766872</v>
      </c>
      <c r="Q486">
        <f t="shared" si="147"/>
        <v>0.5</v>
      </c>
      <c r="R486">
        <f t="shared" si="148"/>
        <v>0.5</v>
      </c>
      <c r="S486">
        <f t="shared" si="149"/>
        <v>1.25</v>
      </c>
      <c r="T486" s="89">
        <f t="shared" si="150"/>
        <v>2</v>
      </c>
      <c r="U486" s="126">
        <f>IF($D486="",0,IFERROR(LOOKUP(2,1/(($D$3:D485=$D486)*($C$3:C485=$C486)*($A$3:A485&lt;$A486)),$AB$3:AB485),1000))</f>
        <v>1007.4482568843707</v>
      </c>
      <c r="V486" s="126">
        <f t="shared" si="151"/>
        <v>1045.0870262360254</v>
      </c>
      <c r="W486">
        <f t="shared" si="152"/>
        <v>1045.0870262360254</v>
      </c>
      <c r="X486">
        <f t="shared" si="153"/>
        <v>0.5</v>
      </c>
      <c r="Y486">
        <f t="shared" si="154"/>
        <v>1007.4482568843707</v>
      </c>
      <c r="Z486">
        <f t="shared" si="155"/>
        <v>0.5</v>
      </c>
      <c r="AA486">
        <f>IF($D486="",0,IF($F486&lt;2,0,IF($E486="Win",('Guide &amp; Settings'!$C$42/(($F486-1)*COUNTIFS($A$4:$A$1510,$A486,$E$4:$E$1510,"Win")))*SUMIFS($Z$4:$Z$1510,$A$4:$A$1510,$A486,$E$4:$E$1510,"Loss"),-('Guide &amp; Settings'!$C$42/($F486-1))*$Z486)))</f>
        <v>15.486310808315162</v>
      </c>
      <c r="AB486" s="126">
        <f t="shared" si="156"/>
        <v>1022.9345676926858</v>
      </c>
      <c r="AC486" s="126">
        <f>IF($D486="","",IF($AD486=0,0,IF(COUNTIFS($D$4:$D486,$D486,$B$4:$B486,$B486)&gt;1,0,IF($B486&lt;'Guide &amp; Settings'!$C$50,0,IF(($B486-$AD486)/7-'Guide &amp; Settings'!$C$48&gt;=0,(INT(($B486-$AD486)/7-'Guide &amp; Settings'!$C$48)+1)*'Guide &amp; Settings'!$C$49,0)))))</f>
        <v>0</v>
      </c>
      <c r="AD486" s="142">
        <f t="shared" si="157"/>
        <v>46222</v>
      </c>
      <c r="AE486">
        <f t="shared" si="158"/>
        <v>1</v>
      </c>
      <c r="AF486">
        <f t="shared" si="159"/>
        <v>0</v>
      </c>
    </row>
    <row r="487" spans="1:32" x14ac:dyDescent="0.2">
      <c r="A487" s="117">
        <v>209</v>
      </c>
      <c r="B487" s="118">
        <v>46253</v>
      </c>
      <c r="C487" s="119" t="s">
        <v>41</v>
      </c>
      <c r="D487" s="119" t="s">
        <v>19</v>
      </c>
      <c r="E487" s="117" t="s">
        <v>370</v>
      </c>
      <c r="F487" s="120">
        <f t="shared" si="140"/>
        <v>2</v>
      </c>
      <c r="G487" s="121" t="str">
        <f t="shared" si="141"/>
        <v>Josh</v>
      </c>
      <c r="H487" s="122">
        <f>IF($D487="",0,IFERROR(LOOKUP(2,1/(($D$3:D486=$D487)*($A$3:A486&lt;$A487)),$N$3:N486),'Guide &amp; Settings'!$C$41))</f>
        <v>1126.2782967340261</v>
      </c>
      <c r="I487" s="123">
        <f t="shared" si="142"/>
        <v>0.57142857142857151</v>
      </c>
      <c r="J487" s="124">
        <f>IF($D487="",0,IF($F487&lt;2,0,IF($E487="Win",('Guide &amp; Settings'!$C$42/(($F487-1)*COUNTIFS($A$4:$A$1510,$A487,$E$4:$E$1510,"Win")))*SUMIFS($X$4:$X$1510,$A$4:$A$1510,$A487,$E$4:$E$1510,"Loss"),-('Guide &amp; Settings'!$C$42/($F487-1))*$X487)))</f>
        <v>18.514175098808895</v>
      </c>
      <c r="K487" s="124">
        <f>IF($D487="",0,'Guide &amp; Settings'!$C$43*(IF($E487="Win",1,0)-$I487))</f>
        <v>5.1428571428571423</v>
      </c>
      <c r="L487" s="125">
        <f>IF($D487="",0,'Guide &amp; Settings'!$C$44*IF($F487&gt;=3,$F487,0))</f>
        <v>0</v>
      </c>
      <c r="M487" s="124">
        <f t="shared" si="143"/>
        <v>23.657032241666037</v>
      </c>
      <c r="N487" s="122">
        <f t="shared" si="144"/>
        <v>1149.9353289756921</v>
      </c>
      <c r="O487" s="121" t="str">
        <f t="shared" si="145"/>
        <v>OK</v>
      </c>
      <c r="P487">
        <f t="shared" si="146"/>
        <v>1126.2782967340261</v>
      </c>
      <c r="Q487">
        <f t="shared" si="147"/>
        <v>0.5</v>
      </c>
      <c r="R487">
        <f t="shared" si="148"/>
        <v>0.66666666666666663</v>
      </c>
      <c r="S487">
        <f t="shared" si="149"/>
        <v>1.1666666666666665</v>
      </c>
      <c r="T487" s="89">
        <f t="shared" si="150"/>
        <v>1</v>
      </c>
      <c r="U487" s="126">
        <f>IF($D487="",0,IFERROR(LOOKUP(2,1/(($D$3:D486=$D487)*($C$3:C486=$C487)*($A$3:A486&lt;$A487)),$AB$3:AB486),1000))</f>
        <v>1016</v>
      </c>
      <c r="V487" s="126">
        <f t="shared" si="151"/>
        <v>1107.8985806116884</v>
      </c>
      <c r="W487">
        <f t="shared" si="152"/>
        <v>1107.8985806116884</v>
      </c>
      <c r="X487">
        <f t="shared" si="153"/>
        <v>0.5</v>
      </c>
      <c r="Y487">
        <f t="shared" si="154"/>
        <v>1016</v>
      </c>
      <c r="Z487">
        <f t="shared" si="155"/>
        <v>0.5</v>
      </c>
      <c r="AA487">
        <f>IF($D487="",0,IF($F487&lt;2,0,IF($E487="Win",('Guide &amp; Settings'!$C$42/(($F487-1)*COUNTIFS($A$4:$A$1510,$A487,$E$4:$E$1510,"Win")))*SUMIFS($Z$4:$Z$1510,$A$4:$A$1510,$A487,$E$4:$E$1510,"Loss"),-('Guide &amp; Settings'!$C$42/($F487-1))*$Z487)))</f>
        <v>15.263693206478006</v>
      </c>
      <c r="AB487" s="126">
        <f t="shared" si="156"/>
        <v>1031.2636932064779</v>
      </c>
      <c r="AC487" s="126">
        <f>IF($D487="","",IF($AD487=0,0,IF(COUNTIFS($D$4:$D487,$D487,$B$4:$B487,$B487)&gt;1,0,IF($B487&lt;'Guide &amp; Settings'!$C$50,0,IF(($B487-$AD487)/7-'Guide &amp; Settings'!$C$48&gt;=0,(INT(($B487-$AD487)/7-'Guide &amp; Settings'!$C$48)+1)*'Guide &amp; Settings'!$C$49,0)))))</f>
        <v>0</v>
      </c>
      <c r="AD487" s="142">
        <f t="shared" si="157"/>
        <v>46247</v>
      </c>
      <c r="AE487">
        <f t="shared" si="158"/>
        <v>1</v>
      </c>
      <c r="AF487">
        <f t="shared" si="159"/>
        <v>0</v>
      </c>
    </row>
    <row r="488" spans="1:32" x14ac:dyDescent="0.2">
      <c r="A488" s="117">
        <v>209</v>
      </c>
      <c r="B488" s="118">
        <v>46253</v>
      </c>
      <c r="C488" s="119" t="s">
        <v>41</v>
      </c>
      <c r="D488" s="119" t="s">
        <v>22</v>
      </c>
      <c r="E488" s="117" t="s">
        <v>371</v>
      </c>
      <c r="F488" s="120">
        <f t="shared" si="140"/>
        <v>2</v>
      </c>
      <c r="G488" s="121" t="str">
        <f t="shared" si="141"/>
        <v>Josh</v>
      </c>
      <c r="H488" s="122">
        <f>IF($D488="",0,IFERROR(LOOKUP(2,1/(($D$3:D487=$D488)*($A$3:A487&lt;$A488)),$N$3:N487),'Guide &amp; Settings'!$C$41))</f>
        <v>1162.9493207083763</v>
      </c>
      <c r="I488" s="123">
        <f t="shared" si="142"/>
        <v>0.4285714285714286</v>
      </c>
      <c r="J488" s="124">
        <f>IF($D488="",0,IF($F488&lt;2,0,IF($E488="Win",('Guide &amp; Settings'!$C$42/(($F488-1)*COUNTIFS($A$4:$A$1510,$A488,$E$4:$E$1510,"Win")))*SUMIFS($X$4:$X$1510,$A$4:$A$1510,$A488,$E$4:$E$1510,"Loss"),-('Guide &amp; Settings'!$C$42/($F488-1))*$X488)))</f>
        <v>-18.514175098808895</v>
      </c>
      <c r="K488" s="124">
        <f>IF($D488="",0,'Guide &amp; Settings'!$C$43*(IF($E488="Win",1,0)-$I488))</f>
        <v>-5.1428571428571432</v>
      </c>
      <c r="L488" s="125">
        <f>IF($D488="",0,'Guide &amp; Settings'!$C$44*IF($F488&gt;=3,$F488,0))</f>
        <v>0</v>
      </c>
      <c r="M488" s="124">
        <f t="shared" si="143"/>
        <v>-23.657032241666037</v>
      </c>
      <c r="N488" s="122">
        <f t="shared" si="144"/>
        <v>1139.2922884667103</v>
      </c>
      <c r="O488" s="121" t="str">
        <f t="shared" si="145"/>
        <v>OK</v>
      </c>
      <c r="P488">
        <f t="shared" si="146"/>
        <v>1126.2782967340261</v>
      </c>
      <c r="Q488">
        <f t="shared" si="147"/>
        <v>0.55257874265073925</v>
      </c>
      <c r="R488">
        <f t="shared" si="148"/>
        <v>0.5</v>
      </c>
      <c r="S488">
        <f t="shared" si="149"/>
        <v>1.1666666666666665</v>
      </c>
      <c r="T488" s="89">
        <f t="shared" si="150"/>
        <v>0</v>
      </c>
      <c r="U488" s="126">
        <f>IF($D488="",0,IFERROR(LOOKUP(2,1/(($D$3:D487=$D488)*($C$3:C487=$C488)*($A$3:A487&lt;$A488)),$AB$3:AB487),1000))</f>
        <v>1000</v>
      </c>
      <c r="V488" s="126">
        <f t="shared" si="151"/>
        <v>1162.9493207083763</v>
      </c>
      <c r="W488">
        <f t="shared" si="152"/>
        <v>1107.8985806116884</v>
      </c>
      <c r="X488">
        <f t="shared" si="153"/>
        <v>0.57856797183777797</v>
      </c>
      <c r="Y488">
        <f t="shared" si="154"/>
        <v>1016</v>
      </c>
      <c r="Z488">
        <f t="shared" si="155"/>
        <v>0.47699041270243769</v>
      </c>
      <c r="AA488">
        <f>IF($D488="",0,IF($F488&lt;2,0,IF($E488="Win",('Guide &amp; Settings'!$C$42/(($F488-1)*COUNTIFS($A$4:$A$1510,$A488,$E$4:$E$1510,"Win")))*SUMIFS($Z$4:$Z$1510,$A$4:$A$1510,$A488,$E$4:$E$1510,"Loss"),-('Guide &amp; Settings'!$C$42/($F488-1))*$Z488)))</f>
        <v>-15.263693206478006</v>
      </c>
      <c r="AB488" s="126">
        <f t="shared" si="156"/>
        <v>984.73630679352198</v>
      </c>
      <c r="AC488" s="126">
        <f>IF($D488="","",IF($AD488=0,0,IF(COUNTIFS($D$4:$D488,$D488,$B$4:$B488,$B488)&gt;1,0,IF($B488&lt;'Guide &amp; Settings'!$C$50,0,IF(($B488-$AD488)/7-'Guide &amp; Settings'!$C$48&gt;=0,(INT(($B488-$AD488)/7-'Guide &amp; Settings'!$C$48)+1)*'Guide &amp; Settings'!$C$49,0)))))</f>
        <v>0</v>
      </c>
      <c r="AD488" s="142">
        <f t="shared" si="157"/>
        <v>46249</v>
      </c>
      <c r="AE488">
        <f t="shared" si="158"/>
        <v>1</v>
      </c>
      <c r="AF488">
        <f t="shared" si="159"/>
        <v>0</v>
      </c>
    </row>
    <row r="489" spans="1:32" x14ac:dyDescent="0.2">
      <c r="A489" s="117">
        <v>210</v>
      </c>
      <c r="B489" s="118">
        <v>46253</v>
      </c>
      <c r="C489" s="119" t="s">
        <v>55</v>
      </c>
      <c r="D489" s="119" t="s">
        <v>19</v>
      </c>
      <c r="E489" s="117" t="s">
        <v>371</v>
      </c>
      <c r="F489" s="120">
        <f t="shared" si="140"/>
        <v>2</v>
      </c>
      <c r="G489" s="121" t="str">
        <f t="shared" si="141"/>
        <v>Daniel (Ferret)</v>
      </c>
      <c r="H489" s="122">
        <f>IF($D489="",0,IFERROR(LOOKUP(2,1/(($D$3:D488=$D489)*($A$3:A488&lt;$A489)),$N$3:N488),'Guide &amp; Settings'!$C$41))</f>
        <v>1149.9353289756921</v>
      </c>
      <c r="I489" s="123">
        <f t="shared" si="142"/>
        <v>0.4285714285714286</v>
      </c>
      <c r="J489" s="124">
        <f>IF($D489="",0,IF($F489&lt;2,0,IF($E489="Win",('Guide &amp; Settings'!$C$42/(($F489-1)*COUNTIFS($A$4:$A$1510,$A489,$E$4:$E$1510,"Win")))*SUMIFS($X$4:$X$1510,$A$4:$A$1510,$A489,$E$4:$E$1510,"Loss"),-('Guide &amp; Settings'!$C$42/($F489-1))*$X489)))</f>
        <v>-14.52880071270852</v>
      </c>
      <c r="K489" s="124">
        <f>IF($D489="",0,'Guide &amp; Settings'!$C$43*(IF($E489="Win",1,0)-$I489))</f>
        <v>-5.1428571428571432</v>
      </c>
      <c r="L489" s="125">
        <f>IF($D489="",0,'Guide &amp; Settings'!$C$44*IF($F489&gt;=3,$F489,0))</f>
        <v>0</v>
      </c>
      <c r="M489" s="124">
        <f t="shared" si="143"/>
        <v>-19.671657855565662</v>
      </c>
      <c r="N489" s="122">
        <f t="shared" si="144"/>
        <v>1130.2636711201264</v>
      </c>
      <c r="O489" s="121" t="str">
        <f t="shared" si="145"/>
        <v>OK</v>
      </c>
      <c r="P489">
        <f t="shared" si="146"/>
        <v>1139.2922884667103</v>
      </c>
      <c r="Q489">
        <f t="shared" si="147"/>
        <v>0.51531177734518119</v>
      </c>
      <c r="R489">
        <f t="shared" si="148"/>
        <v>0.5</v>
      </c>
      <c r="S489">
        <f t="shared" si="149"/>
        <v>1.1666666666666665</v>
      </c>
      <c r="T489" s="89">
        <f t="shared" si="150"/>
        <v>4</v>
      </c>
      <c r="U489" s="126">
        <f>IF($D489="",0,IFERROR(LOOKUP(2,1/(($D$3:D488=$D489)*($C$3:C488=$C489)*($A$3:A488&lt;$A489)),$AB$3:AB488),1000))</f>
        <v>1007.6702238838435</v>
      </c>
      <c r="V489" s="126">
        <f t="shared" si="151"/>
        <v>1086.7063933793149</v>
      </c>
      <c r="W489">
        <f t="shared" si="152"/>
        <v>1118.7435737222586</v>
      </c>
      <c r="X489">
        <f t="shared" si="153"/>
        <v>0.45402502227214125</v>
      </c>
      <c r="Y489">
        <f t="shared" si="154"/>
        <v>1016</v>
      </c>
      <c r="Z489">
        <f t="shared" si="155"/>
        <v>0.48801478484046423</v>
      </c>
      <c r="AA489">
        <f>IF($D489="",0,IF($F489&lt;2,0,IF($E489="Win",('Guide &amp; Settings'!$C$42/(($F489-1)*COUNTIFS($A$4:$A$1510,$A489,$E$4:$E$1510,"Win")))*SUMIFS($Z$4:$Z$1510,$A$4:$A$1510,$A489,$E$4:$E$1510,"Loss"),-('Guide &amp; Settings'!$C$42/($F489-1))*$Z489)))</f>
        <v>-15.616473114894855</v>
      </c>
      <c r="AB489" s="126">
        <f t="shared" si="156"/>
        <v>992.0537507689487</v>
      </c>
      <c r="AC489" s="126">
        <f>IF($D489="","",IF($AD489=0,0,IF(COUNTIFS($D$4:$D489,$D489,$B$4:$B489,$B489)&gt;1,0,IF($B489&lt;'Guide &amp; Settings'!$C$50,0,IF(($B489-$AD489)/7-'Guide &amp; Settings'!$C$48&gt;=0,(INT(($B489-$AD489)/7-'Guide &amp; Settings'!$C$48)+1)*'Guide &amp; Settings'!$C$49,0)))))</f>
        <v>0</v>
      </c>
      <c r="AD489" s="142">
        <f t="shared" si="157"/>
        <v>46247</v>
      </c>
      <c r="AE489">
        <f t="shared" si="158"/>
        <v>1</v>
      </c>
      <c r="AF489">
        <f t="shared" si="159"/>
        <v>0</v>
      </c>
    </row>
    <row r="490" spans="1:32" x14ac:dyDescent="0.2">
      <c r="A490" s="117">
        <v>210</v>
      </c>
      <c r="B490" s="118">
        <v>46253</v>
      </c>
      <c r="C490" s="119" t="s">
        <v>55</v>
      </c>
      <c r="D490" s="119" t="s">
        <v>22</v>
      </c>
      <c r="E490" s="117" t="s">
        <v>370</v>
      </c>
      <c r="F490" s="120">
        <f t="shared" si="140"/>
        <v>2</v>
      </c>
      <c r="G490" s="121" t="str">
        <f t="shared" si="141"/>
        <v>Daniel (Ferret)</v>
      </c>
      <c r="H490" s="122">
        <f>IF($D490="",0,IFERROR(LOOKUP(2,1/(($D$3:D489=$D490)*($A$3:A489&lt;$A490)),$N$3:N489),'Guide &amp; Settings'!$C$41))</f>
        <v>1139.2922884667103</v>
      </c>
      <c r="I490" s="123">
        <f t="shared" si="142"/>
        <v>0.57142857142857151</v>
      </c>
      <c r="J490" s="124">
        <f>IF($D490="",0,IF($F490&lt;2,0,IF($E490="Win",('Guide &amp; Settings'!$C$42/(($F490-1)*COUNTIFS($A$4:$A$1510,$A490,$E$4:$E$1510,"Win")))*SUMIFS($X$4:$X$1510,$A$4:$A$1510,$A490,$E$4:$E$1510,"Loss"),-('Guide &amp; Settings'!$C$42/($F490-1))*$X490)))</f>
        <v>14.52880071270852</v>
      </c>
      <c r="K490" s="124">
        <f>IF($D490="",0,'Guide &amp; Settings'!$C$43*(IF($E490="Win",1,0)-$I490))</f>
        <v>5.1428571428571423</v>
      </c>
      <c r="L490" s="125">
        <f>IF($D490="",0,'Guide &amp; Settings'!$C$44*IF($F490&gt;=3,$F490,0))</f>
        <v>0</v>
      </c>
      <c r="M490" s="124">
        <f t="shared" si="143"/>
        <v>19.671657855565662</v>
      </c>
      <c r="N490" s="122">
        <f t="shared" si="144"/>
        <v>1158.9639463222759</v>
      </c>
      <c r="O490" s="121" t="str">
        <f t="shared" si="145"/>
        <v>OK</v>
      </c>
      <c r="P490">
        <f t="shared" si="146"/>
        <v>1139.2922884667103</v>
      </c>
      <c r="Q490">
        <f t="shared" si="147"/>
        <v>0.5</v>
      </c>
      <c r="R490">
        <f t="shared" si="148"/>
        <v>0.66666666666666663</v>
      </c>
      <c r="S490">
        <f t="shared" si="149"/>
        <v>1.1666666666666665</v>
      </c>
      <c r="T490" s="89">
        <f t="shared" si="150"/>
        <v>1</v>
      </c>
      <c r="U490" s="126">
        <f>IF($D490="",0,IFERROR(LOOKUP(2,1/(($D$3:D489=$D490)*($C$3:C489=$C490)*($A$3:A489&lt;$A490)),$AB$3:AB489),1000))</f>
        <v>1016</v>
      </c>
      <c r="V490" s="126">
        <f t="shared" si="151"/>
        <v>1118.7435737222586</v>
      </c>
      <c r="W490">
        <f t="shared" si="152"/>
        <v>1118.7435737222586</v>
      </c>
      <c r="X490">
        <f t="shared" si="153"/>
        <v>0.5</v>
      </c>
      <c r="Y490">
        <f t="shared" si="154"/>
        <v>1016</v>
      </c>
      <c r="Z490">
        <f t="shared" si="155"/>
        <v>0.5</v>
      </c>
      <c r="AA490">
        <f>IF($D490="",0,IF($F490&lt;2,0,IF($E490="Win",('Guide &amp; Settings'!$C$42/(($F490-1)*COUNTIFS($A$4:$A$1510,$A490,$E$4:$E$1510,"Win")))*SUMIFS($Z$4:$Z$1510,$A$4:$A$1510,$A490,$E$4:$E$1510,"Loss"),-('Guide &amp; Settings'!$C$42/($F490-1))*$Z490)))</f>
        <v>15.616473114894855</v>
      </c>
      <c r="AB490" s="126">
        <f t="shared" si="156"/>
        <v>1031.6164731148949</v>
      </c>
      <c r="AC490" s="126">
        <f>IF($D490="","",IF($AD490=0,0,IF(COUNTIFS($D$4:$D490,$D490,$B$4:$B490,$B490)&gt;1,0,IF($B490&lt;'Guide &amp; Settings'!$C$50,0,IF(($B490-$AD490)/7-'Guide &amp; Settings'!$C$48&gt;=0,(INT(($B490-$AD490)/7-'Guide &amp; Settings'!$C$48)+1)*'Guide &amp; Settings'!$C$49,0)))))</f>
        <v>0</v>
      </c>
      <c r="AD490" s="142">
        <f t="shared" si="157"/>
        <v>46249</v>
      </c>
      <c r="AE490">
        <f t="shared" si="158"/>
        <v>1</v>
      </c>
      <c r="AF490">
        <f t="shared" si="159"/>
        <v>0</v>
      </c>
    </row>
    <row r="491" spans="1:32" x14ac:dyDescent="0.2">
      <c r="A491" s="117">
        <v>211</v>
      </c>
      <c r="B491" s="118">
        <v>46253</v>
      </c>
      <c r="C491" s="119" t="s">
        <v>45</v>
      </c>
      <c r="D491" s="119" t="s">
        <v>19</v>
      </c>
      <c r="E491" s="117" t="s">
        <v>370</v>
      </c>
      <c r="F491" s="120">
        <f t="shared" si="140"/>
        <v>2</v>
      </c>
      <c r="G491" s="121" t="str">
        <f t="shared" si="141"/>
        <v>Josh</v>
      </c>
      <c r="H491" s="122">
        <f>IF($D491="",0,IFERROR(LOOKUP(2,1/(($D$3:D490=$D491)*($A$3:A490&lt;$A491)),$N$3:N490),'Guide &amp; Settings'!$C$41))</f>
        <v>1130.2636711201264</v>
      </c>
      <c r="I491" s="123">
        <f t="shared" si="142"/>
        <v>0.57142857142857151</v>
      </c>
      <c r="J491" s="124">
        <f>IF($D491="",0,IF($F491&lt;2,0,IF($E491="Win",('Guide &amp; Settings'!$C$42/(($F491-1)*COUNTIFS($A$4:$A$1510,$A491,$E$4:$E$1510,"Win")))*SUMIFS($X$4:$X$1510,$A$4:$A$1510,$A491,$E$4:$E$1510,"Loss"),-('Guide &amp; Settings'!$C$42/($F491-1))*$X491)))</f>
        <v>16.529770956167546</v>
      </c>
      <c r="K491" s="124">
        <f>IF($D491="",0,'Guide &amp; Settings'!$C$43*(IF($E491="Win",1,0)-$I491))</f>
        <v>5.1428571428571423</v>
      </c>
      <c r="L491" s="125">
        <f>IF($D491="",0,'Guide &amp; Settings'!$C$44*IF($F491&gt;=3,$F491,0))</f>
        <v>0</v>
      </c>
      <c r="M491" s="124">
        <f t="shared" si="143"/>
        <v>21.672628099024688</v>
      </c>
      <c r="N491" s="122">
        <f t="shared" si="144"/>
        <v>1151.9362992191511</v>
      </c>
      <c r="O491" s="121" t="str">
        <f t="shared" si="145"/>
        <v>OK</v>
      </c>
      <c r="P491">
        <f t="shared" si="146"/>
        <v>1130.2636711201264</v>
      </c>
      <c r="Q491">
        <f t="shared" si="147"/>
        <v>0.5</v>
      </c>
      <c r="R491">
        <f t="shared" si="148"/>
        <v>0.8</v>
      </c>
      <c r="S491">
        <f t="shared" si="149"/>
        <v>1.4</v>
      </c>
      <c r="T491" s="89">
        <f t="shared" si="150"/>
        <v>3</v>
      </c>
      <c r="U491" s="126">
        <f>IF($D491="",0,IFERROR(LOOKUP(2,1/(($D$3:D490=$D491)*($C$3:C490=$C491)*($A$3:A490&lt;$A491)),$AB$3:AB490),1000))</f>
        <v>1028.8928273326949</v>
      </c>
      <c r="V491" s="126">
        <f t="shared" si="151"/>
        <v>1092.2496046998397</v>
      </c>
      <c r="W491">
        <f t="shared" si="152"/>
        <v>1092.2496046998397</v>
      </c>
      <c r="X491">
        <f t="shared" si="153"/>
        <v>0.5</v>
      </c>
      <c r="Y491">
        <f t="shared" si="154"/>
        <v>1028.8928273326949</v>
      </c>
      <c r="Z491">
        <f t="shared" si="155"/>
        <v>0.5</v>
      </c>
      <c r="AA491">
        <f>IF($D491="",0,IF($F491&lt;2,0,IF($E491="Win",('Guide &amp; Settings'!$C$42/(($F491-1)*COUNTIFS($A$4:$A$1510,$A491,$E$4:$E$1510,"Win")))*SUMIFS($Z$4:$Z$1510,$A$4:$A$1510,$A491,$E$4:$E$1510,"Loss"),-('Guide &amp; Settings'!$C$42/($F491-1))*$Z491)))</f>
        <v>15.211051976693545</v>
      </c>
      <c r="AB491" s="126">
        <f t="shared" si="156"/>
        <v>1044.1038793093885</v>
      </c>
      <c r="AC491" s="126">
        <f>IF($D491="","",IF($AD491=0,0,IF(COUNTIFS($D$4:$D491,$D491,$B$4:$B491,$B491)&gt;1,0,IF($B491&lt;'Guide &amp; Settings'!$C$50,0,IF(($B491-$AD491)/7-'Guide &amp; Settings'!$C$48&gt;=0,(INT(($B491-$AD491)/7-'Guide &amp; Settings'!$C$48)+1)*'Guide &amp; Settings'!$C$49,0)))))</f>
        <v>0</v>
      </c>
      <c r="AD491" s="142">
        <f t="shared" si="157"/>
        <v>46247</v>
      </c>
      <c r="AE491">
        <f t="shared" si="158"/>
        <v>1</v>
      </c>
      <c r="AF491">
        <f t="shared" si="159"/>
        <v>0</v>
      </c>
    </row>
    <row r="492" spans="1:32" x14ac:dyDescent="0.2">
      <c r="A492" s="117">
        <v>211</v>
      </c>
      <c r="B492" s="118">
        <v>46253</v>
      </c>
      <c r="C492" s="119" t="s">
        <v>45</v>
      </c>
      <c r="D492" s="119" t="s">
        <v>22</v>
      </c>
      <c r="E492" s="117" t="s">
        <v>371</v>
      </c>
      <c r="F492" s="120">
        <f t="shared" si="140"/>
        <v>2</v>
      </c>
      <c r="G492" s="121" t="str">
        <f t="shared" si="141"/>
        <v>Josh</v>
      </c>
      <c r="H492" s="122">
        <f>IF($D492="",0,IFERROR(LOOKUP(2,1/(($D$3:D491=$D492)*($A$3:A491&lt;$A492)),$N$3:N491),'Guide &amp; Settings'!$C$41))</f>
        <v>1158.9639463222759</v>
      </c>
      <c r="I492" s="123">
        <f t="shared" si="142"/>
        <v>0.4285714285714286</v>
      </c>
      <c r="J492" s="124">
        <f>IF($D492="",0,IF($F492&lt;2,0,IF($E492="Win",('Guide &amp; Settings'!$C$42/(($F492-1)*COUNTIFS($A$4:$A$1510,$A492,$E$4:$E$1510,"Win")))*SUMIFS($X$4:$X$1510,$A$4:$A$1510,$A492,$E$4:$E$1510,"Loss"),-('Guide &amp; Settings'!$C$42/($F492-1))*$X492)))</f>
        <v>-16.529770956167546</v>
      </c>
      <c r="K492" s="124">
        <f>IF($D492="",0,'Guide &amp; Settings'!$C$43*(IF($E492="Win",1,0)-$I492))</f>
        <v>-5.1428571428571432</v>
      </c>
      <c r="L492" s="125">
        <f>IF($D492="",0,'Guide &amp; Settings'!$C$44*IF($F492&gt;=3,$F492,0))</f>
        <v>0</v>
      </c>
      <c r="M492" s="124">
        <f t="shared" si="143"/>
        <v>-21.672628099024688</v>
      </c>
      <c r="N492" s="122">
        <f t="shared" si="144"/>
        <v>1137.2913182232512</v>
      </c>
      <c r="O492" s="121" t="str">
        <f t="shared" si="145"/>
        <v>OK</v>
      </c>
      <c r="P492">
        <f t="shared" si="146"/>
        <v>1130.2636711201264</v>
      </c>
      <c r="Q492">
        <f t="shared" si="147"/>
        <v>0.5412093246335925</v>
      </c>
      <c r="R492">
        <f t="shared" si="148"/>
        <v>0.6</v>
      </c>
      <c r="S492">
        <f t="shared" si="149"/>
        <v>1.4</v>
      </c>
      <c r="T492" s="89">
        <f t="shared" si="150"/>
        <v>3</v>
      </c>
      <c r="U492" s="126">
        <f>IF($D492="",0,IFERROR(LOOKUP(2,1/(($D$3:D491=$D492)*($C$3:C491=$C492)*($A$3:A491&lt;$A492)),$AB$3:AB491),1000))</f>
        <v>1011.7471336336108</v>
      </c>
      <c r="V492" s="126">
        <f t="shared" si="151"/>
        <v>1103.7576415640265</v>
      </c>
      <c r="W492">
        <f t="shared" si="152"/>
        <v>1092.2496046998397</v>
      </c>
      <c r="X492">
        <f t="shared" si="153"/>
        <v>0.51655534238023582</v>
      </c>
      <c r="Y492">
        <f t="shared" si="154"/>
        <v>1028.8928273326949</v>
      </c>
      <c r="Z492">
        <f t="shared" si="155"/>
        <v>0.47534537427167328</v>
      </c>
      <c r="AA492">
        <f>IF($D492="",0,IF($F492&lt;2,0,IF($E492="Win",('Guide &amp; Settings'!$C$42/(($F492-1)*COUNTIFS($A$4:$A$1510,$A492,$E$4:$E$1510,"Win")))*SUMIFS($Z$4:$Z$1510,$A$4:$A$1510,$A492,$E$4:$E$1510,"Loss"),-('Guide &amp; Settings'!$C$42/($F492-1))*$Z492)))</f>
        <v>-15.211051976693545</v>
      </c>
      <c r="AB492" s="126">
        <f t="shared" si="156"/>
        <v>996.5360816569173</v>
      </c>
      <c r="AC492" s="126">
        <f>IF($D492="","",IF($AD492=0,0,IF(COUNTIFS($D$4:$D492,$D492,$B$4:$B492,$B492)&gt;1,0,IF($B492&lt;'Guide &amp; Settings'!$C$50,0,IF(($B492-$AD492)/7-'Guide &amp; Settings'!$C$48&gt;=0,(INT(($B492-$AD492)/7-'Guide &amp; Settings'!$C$48)+1)*'Guide &amp; Settings'!$C$49,0)))))</f>
        <v>0</v>
      </c>
      <c r="AD492" s="142">
        <f t="shared" si="157"/>
        <v>46249</v>
      </c>
      <c r="AE492">
        <f t="shared" si="158"/>
        <v>1</v>
      </c>
      <c r="AF492">
        <f t="shared" si="159"/>
        <v>0</v>
      </c>
    </row>
    <row r="493" spans="1:32" x14ac:dyDescent="0.2">
      <c r="A493" s="117">
        <v>212</v>
      </c>
      <c r="B493" s="118">
        <v>46253</v>
      </c>
      <c r="C493" s="119" t="s">
        <v>45</v>
      </c>
      <c r="D493" s="119" t="s">
        <v>19</v>
      </c>
      <c r="E493" s="117" t="s">
        <v>371</v>
      </c>
      <c r="F493" s="120">
        <f t="shared" si="140"/>
        <v>2</v>
      </c>
      <c r="G493" s="121" t="str">
        <f t="shared" si="141"/>
        <v>Daniel (Ferret)</v>
      </c>
      <c r="H493" s="122">
        <f>IF($D493="",0,IFERROR(LOOKUP(2,1/(($D$3:D492=$D493)*($A$3:A492&lt;$A493)),$N$3:N492),'Guide &amp; Settings'!$C$41))</f>
        <v>1151.9362992191511</v>
      </c>
      <c r="I493" s="123">
        <f t="shared" si="142"/>
        <v>0.625</v>
      </c>
      <c r="J493" s="124">
        <f>IF($D493="",0,IF($F493&lt;2,0,IF($E493="Win",('Guide &amp; Settings'!$C$42/(($F493-1)*COUNTIFS($A$4:$A$1510,$A493,$E$4:$E$1510,"Win")))*SUMIFS($X$4:$X$1510,$A$4:$A$1510,$A493,$E$4:$E$1510,"Loss"),-('Guide &amp; Settings'!$C$42/($F493-1))*$X493)))</f>
        <v>-17.345089229891993</v>
      </c>
      <c r="K493" s="124">
        <f>IF($D493="",0,'Guide &amp; Settings'!$C$43*(IF($E493="Win",1,0)-$I493))</f>
        <v>-7.5</v>
      </c>
      <c r="L493" s="125">
        <f>IF($D493="",0,'Guide &amp; Settings'!$C$44*IF($F493&gt;=3,$F493,0))</f>
        <v>0</v>
      </c>
      <c r="M493" s="124">
        <f t="shared" si="143"/>
        <v>-24.845089229891993</v>
      </c>
      <c r="N493" s="122">
        <f t="shared" si="144"/>
        <v>1127.0912099892591</v>
      </c>
      <c r="O493" s="121" t="str">
        <f t="shared" si="145"/>
        <v>OK</v>
      </c>
      <c r="P493">
        <f t="shared" si="146"/>
        <v>1137.2913182232512</v>
      </c>
      <c r="Q493">
        <f t="shared" si="147"/>
        <v>0.52106334846181424</v>
      </c>
      <c r="R493">
        <f t="shared" si="148"/>
        <v>0.83333333333333337</v>
      </c>
      <c r="S493">
        <f t="shared" si="149"/>
        <v>1.3333333333333335</v>
      </c>
      <c r="T493" s="89">
        <f t="shared" si="150"/>
        <v>4</v>
      </c>
      <c r="U493" s="126">
        <f>IF($D493="",0,IFERROR(LOOKUP(2,1/(($D$3:D492=$D493)*($C$3:C492=$C493)*($A$3:A492&lt;$A493)),$AB$3:AB492),1000))</f>
        <v>1044.1038793093885</v>
      </c>
      <c r="V493" s="126">
        <f t="shared" si="151"/>
        <v>1104.0107792592567</v>
      </c>
      <c r="W493">
        <f t="shared" si="152"/>
        <v>1074.7334353048807</v>
      </c>
      <c r="X493">
        <f t="shared" si="153"/>
        <v>0.54203403843412479</v>
      </c>
      <c r="Y493">
        <f t="shared" si="154"/>
        <v>996.5360816569173</v>
      </c>
      <c r="Z493">
        <f t="shared" si="155"/>
        <v>0.56803102114276161</v>
      </c>
      <c r="AA493">
        <f>IF($D493="",0,IF($F493&lt;2,0,IF($E493="Win",('Guide &amp; Settings'!$C$42/(($F493-1)*COUNTIFS($A$4:$A$1510,$A493,$E$4:$E$1510,"Win")))*SUMIFS($Z$4:$Z$1510,$A$4:$A$1510,$A493,$E$4:$E$1510,"Loss"),-('Guide &amp; Settings'!$C$42/($F493-1))*$Z493)))</f>
        <v>-18.176992676568371</v>
      </c>
      <c r="AB493" s="126">
        <f t="shared" si="156"/>
        <v>1025.9268866328202</v>
      </c>
      <c r="AC493" s="126">
        <f>IF($D493="","",IF($AD493=0,0,IF(COUNTIFS($D$4:$D493,$D493,$B$4:$B493,$B493)&gt;1,0,IF($B493&lt;'Guide &amp; Settings'!$C$50,0,IF(($B493-$AD493)/7-'Guide &amp; Settings'!$C$48&gt;=0,(INT(($B493-$AD493)/7-'Guide &amp; Settings'!$C$48)+1)*'Guide &amp; Settings'!$C$49,0)))))</f>
        <v>0</v>
      </c>
      <c r="AD493" s="142">
        <f t="shared" si="157"/>
        <v>46247</v>
      </c>
      <c r="AE493">
        <f t="shared" si="158"/>
        <v>1</v>
      </c>
      <c r="AF493">
        <f t="shared" si="159"/>
        <v>0</v>
      </c>
    </row>
    <row r="494" spans="1:32" x14ac:dyDescent="0.2">
      <c r="A494" s="117">
        <v>212</v>
      </c>
      <c r="B494" s="118">
        <v>46253</v>
      </c>
      <c r="C494" s="119" t="s">
        <v>45</v>
      </c>
      <c r="D494" s="119" t="s">
        <v>22</v>
      </c>
      <c r="E494" s="117" t="s">
        <v>370</v>
      </c>
      <c r="F494" s="120">
        <f t="shared" si="140"/>
        <v>2</v>
      </c>
      <c r="G494" s="121" t="str">
        <f t="shared" si="141"/>
        <v>Daniel (Ferret)</v>
      </c>
      <c r="H494" s="122">
        <f>IF($D494="",0,IFERROR(LOOKUP(2,1/(($D$3:D493=$D494)*($A$3:A493&lt;$A494)),$N$3:N493),'Guide &amp; Settings'!$C$41))</f>
        <v>1137.2913182232512</v>
      </c>
      <c r="I494" s="123">
        <f t="shared" si="142"/>
        <v>0.37499999999999994</v>
      </c>
      <c r="J494" s="124">
        <f>IF($D494="",0,IF($F494&lt;2,0,IF($E494="Win",('Guide &amp; Settings'!$C$42/(($F494-1)*COUNTIFS($A$4:$A$1510,$A494,$E$4:$E$1510,"Win")))*SUMIFS($X$4:$X$1510,$A$4:$A$1510,$A494,$E$4:$E$1510,"Loss"),-('Guide &amp; Settings'!$C$42/($F494-1))*$X494)))</f>
        <v>17.345089229891993</v>
      </c>
      <c r="K494" s="124">
        <f>IF($D494="",0,'Guide &amp; Settings'!$C$43*(IF($E494="Win",1,0)-$I494))</f>
        <v>7.5</v>
      </c>
      <c r="L494" s="125">
        <f>IF($D494="",0,'Guide &amp; Settings'!$C$44*IF($F494&gt;=3,$F494,0))</f>
        <v>0</v>
      </c>
      <c r="M494" s="124">
        <f t="shared" si="143"/>
        <v>24.845089229891993</v>
      </c>
      <c r="N494" s="122">
        <f t="shared" si="144"/>
        <v>1162.1364074531432</v>
      </c>
      <c r="O494" s="121" t="str">
        <f t="shared" si="145"/>
        <v>OK</v>
      </c>
      <c r="P494">
        <f t="shared" si="146"/>
        <v>1137.2913182232512</v>
      </c>
      <c r="Q494">
        <f t="shared" si="147"/>
        <v>0.5</v>
      </c>
      <c r="R494">
        <f t="shared" si="148"/>
        <v>0.5</v>
      </c>
      <c r="S494">
        <f t="shared" si="149"/>
        <v>1.3333333333333335</v>
      </c>
      <c r="T494" s="89">
        <f t="shared" si="150"/>
        <v>4</v>
      </c>
      <c r="U494" s="126">
        <f>IF($D494="",0,IFERROR(LOOKUP(2,1/(($D$3:D493=$D494)*($C$3:C493=$C494)*($A$3:A493&lt;$A494)),$AB$3:AB493),1000))</f>
        <v>996.5360816569173</v>
      </c>
      <c r="V494" s="126">
        <f t="shared" si="151"/>
        <v>1074.7334353048807</v>
      </c>
      <c r="W494">
        <f t="shared" si="152"/>
        <v>1074.7334353048807</v>
      </c>
      <c r="X494">
        <f t="shared" si="153"/>
        <v>0.5</v>
      </c>
      <c r="Y494">
        <f t="shared" si="154"/>
        <v>996.5360816569173</v>
      </c>
      <c r="Z494">
        <f t="shared" si="155"/>
        <v>0.5</v>
      </c>
      <c r="AA494">
        <f>IF($D494="",0,IF($F494&lt;2,0,IF($E494="Win",('Guide &amp; Settings'!$C$42/(($F494-1)*COUNTIFS($A$4:$A$1510,$A494,$E$4:$E$1510,"Win")))*SUMIFS($Z$4:$Z$1510,$A$4:$A$1510,$A494,$E$4:$E$1510,"Loss"),-('Guide &amp; Settings'!$C$42/($F494-1))*$Z494)))</f>
        <v>18.176992676568371</v>
      </c>
      <c r="AB494" s="126">
        <f t="shared" si="156"/>
        <v>1014.7130743334857</v>
      </c>
      <c r="AC494" s="126">
        <f>IF($D494="","",IF($AD494=0,0,IF(COUNTIFS($D$4:$D494,$D494,$B$4:$B494,$B494)&gt;1,0,IF($B494&lt;'Guide &amp; Settings'!$C$50,0,IF(($B494-$AD494)/7-'Guide &amp; Settings'!$C$48&gt;=0,(INT(($B494-$AD494)/7-'Guide &amp; Settings'!$C$48)+1)*'Guide &amp; Settings'!$C$49,0)))))</f>
        <v>0</v>
      </c>
      <c r="AD494" s="142">
        <f t="shared" si="157"/>
        <v>46249</v>
      </c>
      <c r="AE494">
        <f t="shared" si="158"/>
        <v>1</v>
      </c>
      <c r="AF494">
        <f t="shared" si="159"/>
        <v>0</v>
      </c>
    </row>
    <row r="495" spans="1:32" x14ac:dyDescent="0.2">
      <c r="A495" s="117">
        <v>213</v>
      </c>
      <c r="B495" s="118">
        <v>46253</v>
      </c>
      <c r="C495" s="119" t="s">
        <v>446</v>
      </c>
      <c r="D495" s="119" t="s">
        <v>19</v>
      </c>
      <c r="E495" s="117" t="s">
        <v>370</v>
      </c>
      <c r="F495" s="120">
        <f t="shared" si="140"/>
        <v>2</v>
      </c>
      <c r="G495" s="121" t="str">
        <f t="shared" si="141"/>
        <v>Josh</v>
      </c>
      <c r="H495" s="122">
        <f>IF($D495="",0,IFERROR(LOOKUP(2,1/(($D$3:D494=$D495)*($A$3:A494&lt;$A495)),$N$3:N494),'Guide &amp; Settings'!$C$41))</f>
        <v>1127.0912099892591</v>
      </c>
      <c r="I495" s="123">
        <f t="shared" si="142"/>
        <v>0.5</v>
      </c>
      <c r="J495" s="124">
        <f>IF($D495="",0,IF($F495&lt;2,0,IF($E495="Win",('Guide &amp; Settings'!$C$42/(($F495-1)*COUNTIFS($A$4:$A$1510,$A495,$E$4:$E$1510,"Win")))*SUMIFS($X$4:$X$1510,$A$4:$A$1510,$A495,$E$4:$E$1510,"Loss"),-('Guide &amp; Settings'!$C$42/($F495-1))*$X495)))</f>
        <v>17.608439716815308</v>
      </c>
      <c r="K495" s="124">
        <f>IF($D495="",0,'Guide &amp; Settings'!$C$43*(IF($E495="Win",1,0)-$I495))</f>
        <v>6</v>
      </c>
      <c r="L495" s="125">
        <f>IF($D495="",0,'Guide &amp; Settings'!$C$44*IF($F495&gt;=3,$F495,0))</f>
        <v>0</v>
      </c>
      <c r="M495" s="124">
        <f t="shared" si="143"/>
        <v>23.608439716815308</v>
      </c>
      <c r="N495" s="122">
        <f t="shared" si="144"/>
        <v>1150.6996497060745</v>
      </c>
      <c r="O495" s="121" t="str">
        <f t="shared" si="145"/>
        <v>OK</v>
      </c>
      <c r="P495">
        <f t="shared" si="146"/>
        <v>1127.0912099892591</v>
      </c>
      <c r="Q495">
        <f t="shared" si="147"/>
        <v>0.5</v>
      </c>
      <c r="R495">
        <f t="shared" si="148"/>
        <v>0.5</v>
      </c>
      <c r="S495">
        <f t="shared" si="149"/>
        <v>1</v>
      </c>
      <c r="T495" s="89">
        <f t="shared" si="150"/>
        <v>0</v>
      </c>
      <c r="U495" s="126">
        <f>IF($D495="",0,IFERROR(LOOKUP(2,1/(($D$3:D494=$D495)*($C$3:C494=$C495)*($A$3:A494&lt;$A495)),$AB$3:AB494),1000))</f>
        <v>1000</v>
      </c>
      <c r="V495" s="126">
        <f t="shared" si="151"/>
        <v>1127.0912099892591</v>
      </c>
      <c r="W495">
        <f t="shared" si="152"/>
        <v>1127.0912099892591</v>
      </c>
      <c r="X495">
        <f t="shared" si="153"/>
        <v>0.5</v>
      </c>
      <c r="Y495">
        <f t="shared" si="154"/>
        <v>1000</v>
      </c>
      <c r="Z495">
        <f t="shared" si="155"/>
        <v>0.5</v>
      </c>
      <c r="AA495">
        <f>IF($D495="",0,IF($F495&lt;2,0,IF($E495="Win",('Guide &amp; Settings'!$C$42/(($F495-1)*COUNTIFS($A$4:$A$1510,$A495,$E$4:$E$1510,"Win")))*SUMIFS($Z$4:$Z$1510,$A$4:$A$1510,$A495,$E$4:$E$1510,"Loss"),-('Guide &amp; Settings'!$C$42/($F495-1))*$Z495)))</f>
        <v>16</v>
      </c>
      <c r="AB495" s="126">
        <f t="shared" si="156"/>
        <v>1016</v>
      </c>
      <c r="AC495" s="126">
        <f>IF($D495="","",IF($AD495=0,0,IF(COUNTIFS($D$4:$D495,$D495,$B$4:$B495,$B495)&gt;1,0,IF($B495&lt;'Guide &amp; Settings'!$C$50,0,IF(($B495-$AD495)/7-'Guide &amp; Settings'!$C$48&gt;=0,(INT(($B495-$AD495)/7-'Guide &amp; Settings'!$C$48)+1)*'Guide &amp; Settings'!$C$49,0)))))</f>
        <v>0</v>
      </c>
      <c r="AD495" s="142">
        <f t="shared" si="157"/>
        <v>46247</v>
      </c>
      <c r="AE495">
        <f t="shared" si="158"/>
        <v>1</v>
      </c>
      <c r="AF495">
        <f t="shared" si="159"/>
        <v>0</v>
      </c>
    </row>
    <row r="496" spans="1:32" x14ac:dyDescent="0.2">
      <c r="A496" s="117">
        <v>213</v>
      </c>
      <c r="B496" s="118">
        <v>46253</v>
      </c>
      <c r="C496" s="119" t="s">
        <v>446</v>
      </c>
      <c r="D496" s="119" t="s">
        <v>22</v>
      </c>
      <c r="E496" s="117" t="s">
        <v>371</v>
      </c>
      <c r="F496" s="120">
        <f t="shared" si="140"/>
        <v>2</v>
      </c>
      <c r="G496" s="121" t="str">
        <f t="shared" si="141"/>
        <v>Josh</v>
      </c>
      <c r="H496" s="122">
        <f>IF($D496="",0,IFERROR(LOOKUP(2,1/(($D$3:D495=$D496)*($A$3:A495&lt;$A496)),$N$3:N495),'Guide &amp; Settings'!$C$41))</f>
        <v>1162.1364074531432</v>
      </c>
      <c r="I496" s="123">
        <f t="shared" si="142"/>
        <v>0.5</v>
      </c>
      <c r="J496" s="124">
        <f>IF($D496="",0,IF($F496&lt;2,0,IF($E496="Win",('Guide &amp; Settings'!$C$42/(($F496-1)*COUNTIFS($A$4:$A$1510,$A496,$E$4:$E$1510,"Win")))*SUMIFS($X$4:$X$1510,$A$4:$A$1510,$A496,$E$4:$E$1510,"Loss"),-('Guide &amp; Settings'!$C$42/($F496-1))*$X496)))</f>
        <v>-17.608439716815308</v>
      </c>
      <c r="K496" s="124">
        <f>IF($D496="",0,'Guide &amp; Settings'!$C$43*(IF($E496="Win",1,0)-$I496))</f>
        <v>-6</v>
      </c>
      <c r="L496" s="125">
        <f>IF($D496="",0,'Guide &amp; Settings'!$C$44*IF($F496&gt;=3,$F496,0))</f>
        <v>0</v>
      </c>
      <c r="M496" s="124">
        <f t="shared" si="143"/>
        <v>-23.608439716815308</v>
      </c>
      <c r="N496" s="122">
        <f t="shared" si="144"/>
        <v>1138.5279677363278</v>
      </c>
      <c r="O496" s="121" t="str">
        <f t="shared" si="145"/>
        <v>OK</v>
      </c>
      <c r="P496">
        <f t="shared" si="146"/>
        <v>1127.0912099892591</v>
      </c>
      <c r="Q496">
        <f t="shared" si="147"/>
        <v>0.55026374115047838</v>
      </c>
      <c r="R496">
        <f t="shared" si="148"/>
        <v>0.5</v>
      </c>
      <c r="S496">
        <f t="shared" si="149"/>
        <v>1</v>
      </c>
      <c r="T496" s="89">
        <f t="shared" si="150"/>
        <v>0</v>
      </c>
      <c r="U496" s="126">
        <f>IF($D496="",0,IFERROR(LOOKUP(2,1/(($D$3:D495=$D496)*($C$3:C495=$C496)*($A$3:A495&lt;$A496)),$AB$3:AB495),1000))</f>
        <v>1000</v>
      </c>
      <c r="V496" s="126">
        <f t="shared" si="151"/>
        <v>1162.1364074531432</v>
      </c>
      <c r="W496">
        <f t="shared" si="152"/>
        <v>1127.0912099892591</v>
      </c>
      <c r="X496">
        <f t="shared" si="153"/>
        <v>0.55026374115047838</v>
      </c>
      <c r="Y496">
        <f t="shared" si="154"/>
        <v>1000</v>
      </c>
      <c r="Z496">
        <f t="shared" si="155"/>
        <v>0.5</v>
      </c>
      <c r="AA496">
        <f>IF($D496="",0,IF($F496&lt;2,0,IF($E496="Win",('Guide &amp; Settings'!$C$42/(($F496-1)*COUNTIFS($A$4:$A$1510,$A496,$E$4:$E$1510,"Win")))*SUMIFS($Z$4:$Z$1510,$A$4:$A$1510,$A496,$E$4:$E$1510,"Loss"),-('Guide &amp; Settings'!$C$42/($F496-1))*$Z496)))</f>
        <v>-16</v>
      </c>
      <c r="AB496" s="126">
        <f t="shared" si="156"/>
        <v>984</v>
      </c>
      <c r="AC496" s="126">
        <f>IF($D496="","",IF($AD496=0,0,IF(COUNTIFS($D$4:$D496,$D496,$B$4:$B496,$B496)&gt;1,0,IF($B496&lt;'Guide &amp; Settings'!$C$50,0,IF(($B496-$AD496)/7-'Guide &amp; Settings'!$C$48&gt;=0,(INT(($B496-$AD496)/7-'Guide &amp; Settings'!$C$48)+1)*'Guide &amp; Settings'!$C$49,0)))))</f>
        <v>0</v>
      </c>
      <c r="AD496" s="142">
        <f t="shared" si="157"/>
        <v>46249</v>
      </c>
      <c r="AE496">
        <f t="shared" si="158"/>
        <v>1</v>
      </c>
      <c r="AF496">
        <f t="shared" si="159"/>
        <v>0</v>
      </c>
    </row>
    <row r="497" spans="1:32" x14ac:dyDescent="0.2">
      <c r="A497" s="117">
        <v>214</v>
      </c>
      <c r="B497" s="118">
        <v>46253</v>
      </c>
      <c r="C497" s="119" t="s">
        <v>446</v>
      </c>
      <c r="D497" s="119" t="s">
        <v>19</v>
      </c>
      <c r="E497" s="117" t="s">
        <v>371</v>
      </c>
      <c r="F497" s="120">
        <f t="shared" si="140"/>
        <v>2</v>
      </c>
      <c r="G497" s="121" t="str">
        <f t="shared" si="141"/>
        <v>Daniel (Ferret)</v>
      </c>
      <c r="H497" s="122">
        <f>IF($D497="",0,IFERROR(LOOKUP(2,1/(($D$3:D496=$D497)*($A$3:A496&lt;$A497)),$N$3:N496),'Guide &amp; Settings'!$C$41))</f>
        <v>1150.6996497060745</v>
      </c>
      <c r="I497" s="123">
        <f t="shared" si="142"/>
        <v>0.66666666666666663</v>
      </c>
      <c r="J497" s="124">
        <f>IF($D497="",0,IF($F497&lt;2,0,IF($E497="Win",('Guide &amp; Settings'!$C$42/(($F497-1)*COUNTIFS($A$4:$A$1510,$A497,$E$4:$E$1510,"Win")))*SUMIFS($X$4:$X$1510,$A$4:$A$1510,$A497,$E$4:$E$1510,"Loss"),-('Guide &amp; Settings'!$C$42/($F497-1))*$X497)))</f>
        <v>-16.712243612189777</v>
      </c>
      <c r="K497" s="124">
        <f>IF($D497="",0,'Guide &amp; Settings'!$C$43*(IF($E497="Win",1,0)-$I497))</f>
        <v>-8</v>
      </c>
      <c r="L497" s="125">
        <f>IF($D497="",0,'Guide &amp; Settings'!$C$44*IF($F497&gt;=3,$F497,0))</f>
        <v>0</v>
      </c>
      <c r="M497" s="124">
        <f t="shared" si="143"/>
        <v>-24.712243612189777</v>
      </c>
      <c r="N497" s="122">
        <f t="shared" si="144"/>
        <v>1125.9874060938848</v>
      </c>
      <c r="O497" s="121" t="str">
        <f t="shared" si="145"/>
        <v>OK</v>
      </c>
      <c r="P497">
        <f t="shared" si="146"/>
        <v>1138.5279677363278</v>
      </c>
      <c r="Q497">
        <f t="shared" si="147"/>
        <v>0.51750929591497863</v>
      </c>
      <c r="R497">
        <f t="shared" si="148"/>
        <v>0.66666666666666663</v>
      </c>
      <c r="S497">
        <f t="shared" si="149"/>
        <v>1</v>
      </c>
      <c r="T497" s="89">
        <f t="shared" si="150"/>
        <v>1</v>
      </c>
      <c r="U497" s="126">
        <f>IF($D497="",0,IFERROR(LOOKUP(2,1/(($D$3:D496=$D497)*($C$3:C496=$C497)*($A$3:A496&lt;$A497)),$AB$3:AB496),1000))</f>
        <v>1016</v>
      </c>
      <c r="V497" s="126">
        <f t="shared" si="151"/>
        <v>1128.2497080883954</v>
      </c>
      <c r="W497">
        <f t="shared" si="152"/>
        <v>1112.7733064469398</v>
      </c>
      <c r="X497">
        <f t="shared" si="153"/>
        <v>0.52225761288093053</v>
      </c>
      <c r="Y497">
        <f t="shared" si="154"/>
        <v>984</v>
      </c>
      <c r="Z497">
        <f t="shared" si="155"/>
        <v>0.54592192278048368</v>
      </c>
      <c r="AA497">
        <f>IF($D497="",0,IF($F497&lt;2,0,IF($E497="Win",('Guide &amp; Settings'!$C$42/(($F497-1)*COUNTIFS($A$4:$A$1510,$A497,$E$4:$E$1510,"Win")))*SUMIFS($Z$4:$Z$1510,$A$4:$A$1510,$A497,$E$4:$E$1510,"Loss"),-('Guide &amp; Settings'!$C$42/($F497-1))*$Z497)))</f>
        <v>-17.469501528975478</v>
      </c>
      <c r="AB497" s="126">
        <f t="shared" si="156"/>
        <v>998.53049847102454</v>
      </c>
      <c r="AC497" s="126">
        <f>IF($D497="","",IF($AD497=0,0,IF(COUNTIFS($D$4:$D497,$D497,$B$4:$B497,$B497)&gt;1,0,IF($B497&lt;'Guide &amp; Settings'!$C$50,0,IF(($B497-$AD497)/7-'Guide &amp; Settings'!$C$48&gt;=0,(INT(($B497-$AD497)/7-'Guide &amp; Settings'!$C$48)+1)*'Guide &amp; Settings'!$C$49,0)))))</f>
        <v>0</v>
      </c>
      <c r="AD497" s="142">
        <f t="shared" si="157"/>
        <v>46247</v>
      </c>
      <c r="AE497">
        <f t="shared" si="158"/>
        <v>1</v>
      </c>
      <c r="AF497">
        <f t="shared" si="159"/>
        <v>0</v>
      </c>
    </row>
    <row r="498" spans="1:32" x14ac:dyDescent="0.2">
      <c r="A498" s="117">
        <v>214</v>
      </c>
      <c r="B498" s="118">
        <v>46253</v>
      </c>
      <c r="C498" s="119" t="s">
        <v>446</v>
      </c>
      <c r="D498" s="119" t="s">
        <v>22</v>
      </c>
      <c r="E498" s="117" t="s">
        <v>370</v>
      </c>
      <c r="F498" s="120">
        <f t="shared" si="140"/>
        <v>2</v>
      </c>
      <c r="G498" s="121" t="str">
        <f t="shared" si="141"/>
        <v>Daniel (Ferret)</v>
      </c>
      <c r="H498" s="122">
        <f>IF($D498="",0,IFERROR(LOOKUP(2,1/(($D$3:D497=$D498)*($A$3:A497&lt;$A498)),$N$3:N497),'Guide &amp; Settings'!$C$41))</f>
        <v>1138.5279677363278</v>
      </c>
      <c r="I498" s="123">
        <f t="shared" si="142"/>
        <v>0.33333333333333331</v>
      </c>
      <c r="J498" s="124">
        <f>IF($D498="",0,IF($F498&lt;2,0,IF($E498="Win",('Guide &amp; Settings'!$C$42/(($F498-1)*COUNTIFS($A$4:$A$1510,$A498,$E$4:$E$1510,"Win")))*SUMIFS($X$4:$X$1510,$A$4:$A$1510,$A498,$E$4:$E$1510,"Loss"),-('Guide &amp; Settings'!$C$42/($F498-1))*$X498)))</f>
        <v>16.712243612189777</v>
      </c>
      <c r="K498" s="124">
        <f>IF($D498="",0,'Guide &amp; Settings'!$C$43*(IF($E498="Win",1,0)-$I498))</f>
        <v>8</v>
      </c>
      <c r="L498" s="125">
        <f>IF($D498="",0,'Guide &amp; Settings'!$C$44*IF($F498&gt;=3,$F498,0))</f>
        <v>0</v>
      </c>
      <c r="M498" s="124">
        <f t="shared" si="143"/>
        <v>24.712243612189777</v>
      </c>
      <c r="N498" s="122">
        <f t="shared" si="144"/>
        <v>1163.2402113485175</v>
      </c>
      <c r="O498" s="121" t="str">
        <f t="shared" si="145"/>
        <v>OK</v>
      </c>
      <c r="P498">
        <f t="shared" si="146"/>
        <v>1138.5279677363278</v>
      </c>
      <c r="Q498">
        <f t="shared" si="147"/>
        <v>0.5</v>
      </c>
      <c r="R498">
        <f t="shared" si="148"/>
        <v>0.33333333333333331</v>
      </c>
      <c r="S498">
        <f t="shared" si="149"/>
        <v>1</v>
      </c>
      <c r="T498" s="89">
        <f t="shared" si="150"/>
        <v>1</v>
      </c>
      <c r="U498" s="126">
        <f>IF($D498="",0,IFERROR(LOOKUP(2,1/(($D$3:D497=$D498)*($C$3:C497=$C498)*($A$3:A497&lt;$A498)),$AB$3:AB497),1000))</f>
        <v>984</v>
      </c>
      <c r="V498" s="126">
        <f t="shared" si="151"/>
        <v>1112.7733064469398</v>
      </c>
      <c r="W498">
        <f t="shared" si="152"/>
        <v>1112.7733064469398</v>
      </c>
      <c r="X498">
        <f t="shared" si="153"/>
        <v>0.5</v>
      </c>
      <c r="Y498">
        <f t="shared" si="154"/>
        <v>984</v>
      </c>
      <c r="Z498">
        <f t="shared" si="155"/>
        <v>0.5</v>
      </c>
      <c r="AA498">
        <f>IF($D498="",0,IF($F498&lt;2,0,IF($E498="Win",('Guide &amp; Settings'!$C$42/(($F498-1)*COUNTIFS($A$4:$A$1510,$A498,$E$4:$E$1510,"Win")))*SUMIFS($Z$4:$Z$1510,$A$4:$A$1510,$A498,$E$4:$E$1510,"Loss"),-('Guide &amp; Settings'!$C$42/($F498-1))*$Z498)))</f>
        <v>17.469501528975478</v>
      </c>
      <c r="AB498" s="126">
        <f t="shared" si="156"/>
        <v>1001.4695015289755</v>
      </c>
      <c r="AC498" s="126">
        <f>IF($D498="","",IF($AD498=0,0,IF(COUNTIFS($D$4:$D498,$D498,$B$4:$B498,$B498)&gt;1,0,IF($B498&lt;'Guide &amp; Settings'!$C$50,0,IF(($B498-$AD498)/7-'Guide &amp; Settings'!$C$48&gt;=0,(INT(($B498-$AD498)/7-'Guide &amp; Settings'!$C$48)+1)*'Guide &amp; Settings'!$C$49,0)))))</f>
        <v>0</v>
      </c>
      <c r="AD498" s="142">
        <f t="shared" si="157"/>
        <v>46249</v>
      </c>
      <c r="AE498">
        <f t="shared" si="158"/>
        <v>1</v>
      </c>
      <c r="AF498">
        <f t="shared" si="159"/>
        <v>0</v>
      </c>
    </row>
    <row r="499" spans="1:32" x14ac:dyDescent="0.2">
      <c r="A499" s="117">
        <v>215</v>
      </c>
      <c r="B499" s="118">
        <v>46253</v>
      </c>
      <c r="C499" s="119" t="s">
        <v>446</v>
      </c>
      <c r="D499" s="119" t="s">
        <v>19</v>
      </c>
      <c r="E499" s="117" t="s">
        <v>370</v>
      </c>
      <c r="F499" s="120">
        <f t="shared" si="140"/>
        <v>2</v>
      </c>
      <c r="G499" s="121" t="str">
        <f t="shared" si="141"/>
        <v>Josh</v>
      </c>
      <c r="H499" s="122">
        <f>IF($D499="",0,IFERROR(LOOKUP(2,1/(($D$3:D498=$D499)*($A$3:A498&lt;$A499)),$N$3:N498),'Guide &amp; Settings'!$C$41))</f>
        <v>1125.9874060938848</v>
      </c>
      <c r="I499" s="123">
        <f t="shared" si="142"/>
        <v>0.5</v>
      </c>
      <c r="J499" s="124">
        <f>IF($D499="",0,IF($F499&lt;2,0,IF($E499="Win",('Guide &amp; Settings'!$C$42/(($F499-1)*COUNTIFS($A$4:$A$1510,$A499,$E$4:$E$1510,"Win")))*SUMIFS($X$4:$X$1510,$A$4:$A$1510,$A499,$E$4:$E$1510,"Loss"),-('Guide &amp; Settings'!$C$42/($F499-1))*$X499)))</f>
        <v>17.261443389948425</v>
      </c>
      <c r="K499" s="124">
        <f>IF($D499="",0,'Guide &amp; Settings'!$C$43*(IF($E499="Win",1,0)-$I499))</f>
        <v>6</v>
      </c>
      <c r="L499" s="125">
        <f>IF($D499="",0,'Guide &amp; Settings'!$C$44*IF($F499&gt;=3,$F499,0))</f>
        <v>0</v>
      </c>
      <c r="M499" s="124">
        <f t="shared" si="143"/>
        <v>23.261443389948425</v>
      </c>
      <c r="N499" s="122">
        <f t="shared" si="144"/>
        <v>1149.2488494838333</v>
      </c>
      <c r="O499" s="121" t="str">
        <f t="shared" si="145"/>
        <v>OK</v>
      </c>
      <c r="P499">
        <f t="shared" si="146"/>
        <v>1125.9874060938848</v>
      </c>
      <c r="Q499">
        <f t="shared" si="147"/>
        <v>0.5</v>
      </c>
      <c r="R499">
        <f t="shared" si="148"/>
        <v>0.5</v>
      </c>
      <c r="S499">
        <f t="shared" si="149"/>
        <v>1</v>
      </c>
      <c r="T499" s="89">
        <f t="shared" si="150"/>
        <v>2</v>
      </c>
      <c r="U499" s="126">
        <f>IF($D499="",0,IFERROR(LOOKUP(2,1/(($D$3:D498=$D499)*($C$3:C498=$C499)*($A$3:A498&lt;$A499)),$AB$3:AB498),1000))</f>
        <v>998.53049847102454</v>
      </c>
      <c r="V499" s="126">
        <f t="shared" si="151"/>
        <v>1089.5711467730675</v>
      </c>
      <c r="W499">
        <f t="shared" si="152"/>
        <v>1089.5711467730675</v>
      </c>
      <c r="X499">
        <f t="shared" si="153"/>
        <v>0.5</v>
      </c>
      <c r="Y499">
        <f t="shared" si="154"/>
        <v>998.53049847102454</v>
      </c>
      <c r="Z499">
        <f t="shared" si="155"/>
        <v>0.5</v>
      </c>
      <c r="AA499">
        <f>IF($D499="",0,IF($F499&lt;2,0,IF($E499="Win",('Guide &amp; Settings'!$C$42/(($F499-1)*COUNTIFS($A$4:$A$1510,$A499,$E$4:$E$1510,"Win")))*SUMIFS($Z$4:$Z$1510,$A$4:$A$1510,$A499,$E$4:$E$1510,"Loss"),-('Guide &amp; Settings'!$C$42/($F499-1))*$Z499)))</f>
        <v>16.135342864367114</v>
      </c>
      <c r="AB499" s="126">
        <f t="shared" si="156"/>
        <v>1014.6658413353916</v>
      </c>
      <c r="AC499" s="126">
        <f>IF($D499="","",IF($AD499=0,0,IF(COUNTIFS($D$4:$D499,$D499,$B$4:$B499,$B499)&gt;1,0,IF($B499&lt;'Guide &amp; Settings'!$C$50,0,IF(($B499-$AD499)/7-'Guide &amp; Settings'!$C$48&gt;=0,(INT(($B499-$AD499)/7-'Guide &amp; Settings'!$C$48)+1)*'Guide &amp; Settings'!$C$49,0)))))</f>
        <v>0</v>
      </c>
      <c r="AD499" s="142">
        <f t="shared" si="157"/>
        <v>46247</v>
      </c>
      <c r="AE499">
        <f t="shared" si="158"/>
        <v>1</v>
      </c>
      <c r="AF499">
        <f t="shared" si="159"/>
        <v>0</v>
      </c>
    </row>
    <row r="500" spans="1:32" x14ac:dyDescent="0.2">
      <c r="A500" s="117">
        <v>215</v>
      </c>
      <c r="B500" s="118">
        <v>46253</v>
      </c>
      <c r="C500" s="119" t="s">
        <v>446</v>
      </c>
      <c r="D500" s="119" t="s">
        <v>22</v>
      </c>
      <c r="E500" s="117" t="s">
        <v>371</v>
      </c>
      <c r="F500" s="120">
        <f t="shared" si="140"/>
        <v>2</v>
      </c>
      <c r="G500" s="121" t="str">
        <f t="shared" si="141"/>
        <v>Josh</v>
      </c>
      <c r="H500" s="122">
        <f>IF($D500="",0,IFERROR(LOOKUP(2,1/(($D$3:D499=$D500)*($A$3:A499&lt;$A500)),$N$3:N499),'Guide &amp; Settings'!$C$41))</f>
        <v>1163.2402113485175</v>
      </c>
      <c r="I500" s="123">
        <f t="shared" si="142"/>
        <v>0.5</v>
      </c>
      <c r="J500" s="124">
        <f>IF($D500="",0,IF($F500&lt;2,0,IF($E500="Win",('Guide &amp; Settings'!$C$42/(($F500-1)*COUNTIFS($A$4:$A$1510,$A500,$E$4:$E$1510,"Win")))*SUMIFS($X$4:$X$1510,$A$4:$A$1510,$A500,$E$4:$E$1510,"Loss"),-('Guide &amp; Settings'!$C$42/($F500-1))*$X500)))</f>
        <v>-17.261443389948425</v>
      </c>
      <c r="K500" s="124">
        <f>IF($D500="",0,'Guide &amp; Settings'!$C$43*(IF($E500="Win",1,0)-$I500))</f>
        <v>-6</v>
      </c>
      <c r="L500" s="125">
        <f>IF($D500="",0,'Guide &amp; Settings'!$C$44*IF($F500&gt;=3,$F500,0))</f>
        <v>0</v>
      </c>
      <c r="M500" s="124">
        <f t="shared" si="143"/>
        <v>-23.261443389948425</v>
      </c>
      <c r="N500" s="122">
        <f t="shared" si="144"/>
        <v>1139.9787679585691</v>
      </c>
      <c r="O500" s="121" t="str">
        <f t="shared" si="145"/>
        <v>OK</v>
      </c>
      <c r="P500">
        <f t="shared" si="146"/>
        <v>1125.9874060938848</v>
      </c>
      <c r="Q500">
        <f t="shared" si="147"/>
        <v>0.55340658827157985</v>
      </c>
      <c r="R500">
        <f t="shared" si="148"/>
        <v>0.5</v>
      </c>
      <c r="S500">
        <f t="shared" si="149"/>
        <v>1</v>
      </c>
      <c r="T500" s="89">
        <f t="shared" si="150"/>
        <v>2</v>
      </c>
      <c r="U500" s="126">
        <f>IF($D500="",0,IFERROR(LOOKUP(2,1/(($D$3:D499=$D500)*($C$3:C499=$C500)*($A$3:A499&lt;$A500)),$AB$3:AB499),1000))</f>
        <v>1001.4695015289755</v>
      </c>
      <c r="V500" s="126">
        <f t="shared" si="151"/>
        <v>1117.020008542934</v>
      </c>
      <c r="W500">
        <f t="shared" si="152"/>
        <v>1089.5711467730675</v>
      </c>
      <c r="X500">
        <f t="shared" si="153"/>
        <v>0.53942010593588829</v>
      </c>
      <c r="Y500">
        <f t="shared" si="154"/>
        <v>998.53049847102454</v>
      </c>
      <c r="Z500">
        <f t="shared" si="155"/>
        <v>0.50422946451147233</v>
      </c>
      <c r="AA500">
        <f>IF($D500="",0,IF($F500&lt;2,0,IF($E500="Win",('Guide &amp; Settings'!$C$42/(($F500-1)*COUNTIFS($A$4:$A$1510,$A500,$E$4:$E$1510,"Win")))*SUMIFS($Z$4:$Z$1510,$A$4:$A$1510,$A500,$E$4:$E$1510,"Loss"),-('Guide &amp; Settings'!$C$42/($F500-1))*$Z500)))</f>
        <v>-16.135342864367114</v>
      </c>
      <c r="AB500" s="126">
        <f t="shared" si="156"/>
        <v>985.33415866460837</v>
      </c>
      <c r="AC500" s="126">
        <f>IF($D500="","",IF($AD500=0,0,IF(COUNTIFS($D$4:$D500,$D500,$B$4:$B500,$B500)&gt;1,0,IF($B500&lt;'Guide &amp; Settings'!$C$50,0,IF(($B500-$AD500)/7-'Guide &amp; Settings'!$C$48&gt;=0,(INT(($B500-$AD500)/7-'Guide &amp; Settings'!$C$48)+1)*'Guide &amp; Settings'!$C$49,0)))))</f>
        <v>0</v>
      </c>
      <c r="AD500" s="142">
        <f t="shared" si="157"/>
        <v>46249</v>
      </c>
      <c r="AE500">
        <f t="shared" si="158"/>
        <v>1</v>
      </c>
      <c r="AF500">
        <f t="shared" si="159"/>
        <v>0</v>
      </c>
    </row>
    <row r="501" spans="1:32" x14ac:dyDescent="0.2">
      <c r="A501" s="117">
        <v>216</v>
      </c>
      <c r="B501" s="118">
        <v>46253</v>
      </c>
      <c r="C501" s="119" t="s">
        <v>54</v>
      </c>
      <c r="D501" s="119" t="s">
        <v>19</v>
      </c>
      <c r="E501" s="117" t="s">
        <v>370</v>
      </c>
      <c r="F501" s="120">
        <f t="shared" si="140"/>
        <v>2</v>
      </c>
      <c r="G501" s="121" t="str">
        <f t="shared" si="141"/>
        <v>Josh</v>
      </c>
      <c r="H501" s="122">
        <f>IF($D501="",0,IFERROR(LOOKUP(2,1/(($D$3:D500=$D501)*($A$3:A500&lt;$A501)),$N$3:N500),'Guide &amp; Settings'!$C$41))</f>
        <v>1149.2488494838333</v>
      </c>
      <c r="I501" s="123">
        <f t="shared" si="142"/>
        <v>0.55555555555555558</v>
      </c>
      <c r="J501" s="124">
        <f>IF($D501="",0,IF($F501&lt;2,0,IF($E501="Win",('Guide &amp; Settings'!$C$42/(($F501-1)*COUNTIFS($A$4:$A$1510,$A501,$E$4:$E$1510,"Win")))*SUMIFS($X$4:$X$1510,$A$4:$A$1510,$A501,$E$4:$E$1510,"Loss"),-('Guide &amp; Settings'!$C$42/($F501-1))*$X501)))</f>
        <v>13.194144472969249</v>
      </c>
      <c r="K501" s="124">
        <f>IF($D501="",0,'Guide &amp; Settings'!$C$43*(IF($E501="Win",1,0)-$I501))</f>
        <v>5.333333333333333</v>
      </c>
      <c r="L501" s="125">
        <f>IF($D501="",0,'Guide &amp; Settings'!$C$44*IF($F501&gt;=3,$F501,0))</f>
        <v>0</v>
      </c>
      <c r="M501" s="124">
        <f t="shared" si="143"/>
        <v>18.527477806302581</v>
      </c>
      <c r="N501" s="122">
        <f t="shared" si="144"/>
        <v>1167.7763272901359</v>
      </c>
      <c r="O501" s="121" t="str">
        <f t="shared" si="145"/>
        <v>OK</v>
      </c>
      <c r="P501">
        <f t="shared" si="146"/>
        <v>1149.2488494838333</v>
      </c>
      <c r="Q501">
        <f t="shared" si="147"/>
        <v>0.5</v>
      </c>
      <c r="R501">
        <f t="shared" si="148"/>
        <v>0.5</v>
      </c>
      <c r="S501">
        <f t="shared" si="149"/>
        <v>0.9</v>
      </c>
      <c r="T501" s="89">
        <f t="shared" si="150"/>
        <v>0</v>
      </c>
      <c r="U501" s="126">
        <f>IF($D501="",0,IFERROR(LOOKUP(2,1/(($D$3:D500=$D501)*($C$3:C500=$C501)*($A$3:A500&lt;$A501)),$AB$3:AB500),1000))</f>
        <v>1000</v>
      </c>
      <c r="V501" s="126">
        <f t="shared" si="151"/>
        <v>1149.2488494838333</v>
      </c>
      <c r="W501">
        <f t="shared" si="152"/>
        <v>1149.2488494838333</v>
      </c>
      <c r="X501">
        <f t="shared" si="153"/>
        <v>0.5</v>
      </c>
      <c r="Y501">
        <f t="shared" si="154"/>
        <v>1000</v>
      </c>
      <c r="Z501">
        <f t="shared" si="155"/>
        <v>0.5</v>
      </c>
      <c r="AA501">
        <f>IF($D501="",0,IF($F501&lt;2,0,IF($E501="Win",('Guide &amp; Settings'!$C$42/(($F501-1)*COUNTIFS($A$4:$A$1510,$A501,$E$4:$E$1510,"Win")))*SUMIFS($Z$4:$Z$1510,$A$4:$A$1510,$A501,$E$4:$E$1510,"Loss"),-('Guide &amp; Settings'!$C$42/($F501-1))*$Z501)))</f>
        <v>16.024238580543635</v>
      </c>
      <c r="AB501" s="126">
        <f t="shared" si="156"/>
        <v>1016.0242385805436</v>
      </c>
      <c r="AC501" s="126">
        <f>IF($D501="","",IF($AD501=0,0,IF(COUNTIFS($D$4:$D501,$D501,$B$4:$B501,$B501)&gt;1,0,IF($B501&lt;'Guide &amp; Settings'!$C$50,0,IF(($B501-$AD501)/7-'Guide &amp; Settings'!$C$48&gt;=0,(INT(($B501-$AD501)/7-'Guide &amp; Settings'!$C$48)+1)*'Guide &amp; Settings'!$C$49,0)))))</f>
        <v>0</v>
      </c>
      <c r="AD501" s="142">
        <f t="shared" si="157"/>
        <v>46247</v>
      </c>
      <c r="AE501">
        <f t="shared" si="158"/>
        <v>1</v>
      </c>
      <c r="AF501">
        <f t="shared" si="159"/>
        <v>0</v>
      </c>
    </row>
    <row r="502" spans="1:32" x14ac:dyDescent="0.2">
      <c r="A502" s="117">
        <v>216</v>
      </c>
      <c r="B502" s="118">
        <v>46253</v>
      </c>
      <c r="C502" s="119" t="s">
        <v>54</v>
      </c>
      <c r="D502" s="119" t="s">
        <v>22</v>
      </c>
      <c r="E502" s="117" t="s">
        <v>371</v>
      </c>
      <c r="F502" s="120">
        <f t="shared" si="140"/>
        <v>2</v>
      </c>
      <c r="G502" s="121" t="str">
        <f t="shared" si="141"/>
        <v>Josh</v>
      </c>
      <c r="H502" s="122">
        <f>IF($D502="",0,IFERROR(LOOKUP(2,1/(($D$3:D501=$D502)*($A$3:A501&lt;$A502)),$N$3:N501),'Guide &amp; Settings'!$C$41))</f>
        <v>1139.9787679585691</v>
      </c>
      <c r="I502" s="123">
        <f t="shared" si="142"/>
        <v>0.44444444444444448</v>
      </c>
      <c r="J502" s="124">
        <f>IF($D502="",0,IF($F502&lt;2,0,IF($E502="Win",('Guide &amp; Settings'!$C$42/(($F502-1)*COUNTIFS($A$4:$A$1510,$A502,$E$4:$E$1510,"Win")))*SUMIFS($X$4:$X$1510,$A$4:$A$1510,$A502,$E$4:$E$1510,"Loss"),-('Guide &amp; Settings'!$C$42/($F502-1))*$X502)))</f>
        <v>-13.194144472969249</v>
      </c>
      <c r="K502" s="124">
        <f>IF($D502="",0,'Guide &amp; Settings'!$C$43*(IF($E502="Win",1,0)-$I502))</f>
        <v>-5.3333333333333339</v>
      </c>
      <c r="L502" s="125">
        <f>IF($D502="",0,'Guide &amp; Settings'!$C$44*IF($F502&gt;=3,$F502,0))</f>
        <v>0</v>
      </c>
      <c r="M502" s="124">
        <f t="shared" si="143"/>
        <v>-18.527477806302585</v>
      </c>
      <c r="N502" s="122">
        <f t="shared" si="144"/>
        <v>1121.4512901522664</v>
      </c>
      <c r="O502" s="121" t="str">
        <f t="shared" si="145"/>
        <v>OK</v>
      </c>
      <c r="P502">
        <f t="shared" si="146"/>
        <v>1149.2488494838333</v>
      </c>
      <c r="Q502">
        <f t="shared" si="147"/>
        <v>0.48666244514123108</v>
      </c>
      <c r="R502">
        <f t="shared" si="148"/>
        <v>0.4</v>
      </c>
      <c r="S502">
        <f t="shared" si="149"/>
        <v>0.9</v>
      </c>
      <c r="T502" s="89">
        <f t="shared" si="150"/>
        <v>3</v>
      </c>
      <c r="U502" s="126">
        <f>IF($D502="",0,IFERROR(LOOKUP(2,1/(($D$3:D501=$D502)*($C$3:C501=$C502)*($A$3:A501&lt;$A502)),$AB$3:AB501),1000))</f>
        <v>1000.5263344916018</v>
      </c>
      <c r="V502" s="126">
        <f t="shared" si="151"/>
        <v>1087.6841054084562</v>
      </c>
      <c r="W502">
        <f t="shared" si="152"/>
        <v>1149.2488494838333</v>
      </c>
      <c r="X502">
        <f t="shared" si="153"/>
        <v>0.41231701478028904</v>
      </c>
      <c r="Y502">
        <f t="shared" si="154"/>
        <v>1000</v>
      </c>
      <c r="Z502">
        <f t="shared" si="155"/>
        <v>0.50075745564198859</v>
      </c>
      <c r="AA502">
        <f>IF($D502="",0,IF($F502&lt;2,0,IF($E502="Win",('Guide &amp; Settings'!$C$42/(($F502-1)*COUNTIFS($A$4:$A$1510,$A502,$E$4:$E$1510,"Win")))*SUMIFS($Z$4:$Z$1510,$A$4:$A$1510,$A502,$E$4:$E$1510,"Loss"),-('Guide &amp; Settings'!$C$42/($F502-1))*$Z502)))</f>
        <v>-16.024238580543635</v>
      </c>
      <c r="AB502" s="126">
        <f t="shared" si="156"/>
        <v>984.50209591105818</v>
      </c>
      <c r="AC502" s="126">
        <f>IF($D502="","",IF($AD502=0,0,IF(COUNTIFS($D$4:$D502,$D502,$B$4:$B502,$B502)&gt;1,0,IF($B502&lt;'Guide &amp; Settings'!$C$50,0,IF(($B502-$AD502)/7-'Guide &amp; Settings'!$C$48&gt;=0,(INT(($B502-$AD502)/7-'Guide &amp; Settings'!$C$48)+1)*'Guide &amp; Settings'!$C$49,0)))))</f>
        <v>0</v>
      </c>
      <c r="AD502" s="142">
        <f t="shared" si="157"/>
        <v>46249</v>
      </c>
      <c r="AE502">
        <f t="shared" si="158"/>
        <v>1</v>
      </c>
      <c r="AF502">
        <f t="shared" si="159"/>
        <v>0</v>
      </c>
    </row>
    <row r="503" spans="1:32" x14ac:dyDescent="0.2">
      <c r="A503" s="117">
        <v>217</v>
      </c>
      <c r="B503" s="118">
        <v>46253</v>
      </c>
      <c r="C503" s="119" t="s">
        <v>54</v>
      </c>
      <c r="D503" s="119" t="s">
        <v>19</v>
      </c>
      <c r="E503" s="117" t="s">
        <v>371</v>
      </c>
      <c r="F503" s="120">
        <f t="shared" si="140"/>
        <v>2</v>
      </c>
      <c r="G503" s="121" t="str">
        <f t="shared" si="141"/>
        <v>Daniel (Ferret)</v>
      </c>
      <c r="H503" s="122">
        <f>IF($D503="",0,IFERROR(LOOKUP(2,1/(($D$3:D502=$D503)*($A$3:A502&lt;$A503)),$N$3:N502),'Guide &amp; Settings'!$C$41))</f>
        <v>1167.7763272901359</v>
      </c>
      <c r="I503" s="123">
        <f t="shared" si="142"/>
        <v>0.66666666666666663</v>
      </c>
      <c r="J503" s="124">
        <f>IF($D503="",0,IF($F503&lt;2,0,IF($E503="Win",('Guide &amp; Settings'!$C$42/(($F503-1)*COUNTIFS($A$4:$A$1510,$A503,$E$4:$E$1510,"Win")))*SUMIFS($X$4:$X$1510,$A$4:$A$1510,$A503,$E$4:$E$1510,"Loss"),-('Guide &amp; Settings'!$C$42/($F503-1))*$X503)))</f>
        <v>-19.703264001346479</v>
      </c>
      <c r="K503" s="124">
        <f>IF($D503="",0,'Guide &amp; Settings'!$C$43*(IF($E503="Win",1,0)-$I503))</f>
        <v>-8</v>
      </c>
      <c r="L503" s="125">
        <f>IF($D503="",0,'Guide &amp; Settings'!$C$44*IF($F503&gt;=3,$F503,0))</f>
        <v>0</v>
      </c>
      <c r="M503" s="124">
        <f t="shared" si="143"/>
        <v>-27.703264001346479</v>
      </c>
      <c r="N503" s="122">
        <f t="shared" si="144"/>
        <v>1140.0730632887894</v>
      </c>
      <c r="O503" s="121" t="str">
        <f t="shared" si="145"/>
        <v>OK</v>
      </c>
      <c r="P503">
        <f t="shared" si="146"/>
        <v>1121.4512901522664</v>
      </c>
      <c r="Q503">
        <f t="shared" si="147"/>
        <v>0.56627480760190529</v>
      </c>
      <c r="R503">
        <f t="shared" si="148"/>
        <v>0.66666666666666663</v>
      </c>
      <c r="S503">
        <f t="shared" si="149"/>
        <v>1</v>
      </c>
      <c r="T503" s="89">
        <f t="shared" si="150"/>
        <v>1</v>
      </c>
      <c r="U503" s="126">
        <f>IF($D503="",0,IFERROR(LOOKUP(2,1/(($D$3:D502=$D503)*($C$3:C502=$C503)*($A$3:A502&lt;$A503)),$AB$3:AB502),1000))</f>
        <v>1016.0242385805436</v>
      </c>
      <c r="V503" s="126">
        <f t="shared" si="151"/>
        <v>1142.4843125052039</v>
      </c>
      <c r="W503">
        <f t="shared" si="152"/>
        <v>1060.5849816006184</v>
      </c>
      <c r="X503">
        <f t="shared" si="153"/>
        <v>0.61572700004207748</v>
      </c>
      <c r="Y503">
        <f t="shared" si="154"/>
        <v>984.50209591105818</v>
      </c>
      <c r="Z503">
        <f t="shared" si="155"/>
        <v>0.54523994596680936</v>
      </c>
      <c r="AA503">
        <f>IF($D503="",0,IF($F503&lt;2,0,IF($E503="Win",('Guide &amp; Settings'!$C$42/(($F503-1)*COUNTIFS($A$4:$A$1510,$A503,$E$4:$E$1510,"Win")))*SUMIFS($Z$4:$Z$1510,$A$4:$A$1510,$A503,$E$4:$E$1510,"Loss"),-('Guide &amp; Settings'!$C$42/($F503-1))*$Z503)))</f>
        <v>-17.447678270937899</v>
      </c>
      <c r="AB503" s="126">
        <f t="shared" si="156"/>
        <v>998.57656030960572</v>
      </c>
      <c r="AC503" s="126">
        <f>IF($D503="","",IF($AD503=0,0,IF(COUNTIFS($D$4:$D503,$D503,$B$4:$B503,$B503)&gt;1,0,IF($B503&lt;'Guide &amp; Settings'!$C$50,0,IF(($B503-$AD503)/7-'Guide &amp; Settings'!$C$48&gt;=0,(INT(($B503-$AD503)/7-'Guide &amp; Settings'!$C$48)+1)*'Guide &amp; Settings'!$C$49,0)))))</f>
        <v>0</v>
      </c>
      <c r="AD503" s="142">
        <f t="shared" si="157"/>
        <v>46247</v>
      </c>
      <c r="AE503">
        <f t="shared" si="158"/>
        <v>1</v>
      </c>
      <c r="AF503">
        <f t="shared" si="159"/>
        <v>0</v>
      </c>
    </row>
    <row r="504" spans="1:32" x14ac:dyDescent="0.2">
      <c r="A504" s="117">
        <v>217</v>
      </c>
      <c r="B504" s="118">
        <v>46253</v>
      </c>
      <c r="C504" s="119" t="s">
        <v>54</v>
      </c>
      <c r="D504" s="119" t="s">
        <v>22</v>
      </c>
      <c r="E504" s="117" t="s">
        <v>370</v>
      </c>
      <c r="F504" s="120">
        <f t="shared" si="140"/>
        <v>2</v>
      </c>
      <c r="G504" s="121" t="str">
        <f t="shared" si="141"/>
        <v>Daniel (Ferret)</v>
      </c>
      <c r="H504" s="122">
        <f>IF($D504="",0,IFERROR(LOOKUP(2,1/(($D$3:D503=$D504)*($A$3:A503&lt;$A504)),$N$3:N503),'Guide &amp; Settings'!$C$41))</f>
        <v>1121.4512901522664</v>
      </c>
      <c r="I504" s="123">
        <f t="shared" si="142"/>
        <v>0.33333333333333331</v>
      </c>
      <c r="J504" s="124">
        <f>IF($D504="",0,IF($F504&lt;2,0,IF($E504="Win",('Guide &amp; Settings'!$C$42/(($F504-1)*COUNTIFS($A$4:$A$1510,$A504,$E$4:$E$1510,"Win")))*SUMIFS($X$4:$X$1510,$A$4:$A$1510,$A504,$E$4:$E$1510,"Loss"),-('Guide &amp; Settings'!$C$42/($F504-1))*$X504)))</f>
        <v>19.703264001346479</v>
      </c>
      <c r="K504" s="124">
        <f>IF($D504="",0,'Guide &amp; Settings'!$C$43*(IF($E504="Win",1,0)-$I504))</f>
        <v>8</v>
      </c>
      <c r="L504" s="125">
        <f>IF($D504="",0,'Guide &amp; Settings'!$C$44*IF($F504&gt;=3,$F504,0))</f>
        <v>0</v>
      </c>
      <c r="M504" s="124">
        <f t="shared" si="143"/>
        <v>27.703264001346479</v>
      </c>
      <c r="N504" s="122">
        <f t="shared" si="144"/>
        <v>1149.1545541536129</v>
      </c>
      <c r="O504" s="121" t="str">
        <f t="shared" si="145"/>
        <v>OK</v>
      </c>
      <c r="P504">
        <f t="shared" si="146"/>
        <v>1121.4512901522664</v>
      </c>
      <c r="Q504">
        <f t="shared" si="147"/>
        <v>0.5</v>
      </c>
      <c r="R504">
        <f t="shared" si="148"/>
        <v>0.33333333333333331</v>
      </c>
      <c r="S504">
        <f t="shared" si="149"/>
        <v>1</v>
      </c>
      <c r="T504" s="89">
        <f t="shared" si="150"/>
        <v>4</v>
      </c>
      <c r="U504" s="126">
        <f>IF($D504="",0,IFERROR(LOOKUP(2,1/(($D$3:D503=$D504)*($C$3:C503=$C504)*($A$3:A503&lt;$A504)),$AB$3:AB503),1000))</f>
        <v>984.50209591105818</v>
      </c>
      <c r="V504" s="126">
        <f t="shared" si="151"/>
        <v>1060.5849816006184</v>
      </c>
      <c r="W504">
        <f t="shared" si="152"/>
        <v>1060.5849816006184</v>
      </c>
      <c r="X504">
        <f t="shared" si="153"/>
        <v>0.5</v>
      </c>
      <c r="Y504">
        <f t="shared" si="154"/>
        <v>984.50209591105818</v>
      </c>
      <c r="Z504">
        <f t="shared" si="155"/>
        <v>0.5</v>
      </c>
      <c r="AA504">
        <f>IF($D504="",0,IF($F504&lt;2,0,IF($E504="Win",('Guide &amp; Settings'!$C$42/(($F504-1)*COUNTIFS($A$4:$A$1510,$A504,$E$4:$E$1510,"Win")))*SUMIFS($Z$4:$Z$1510,$A$4:$A$1510,$A504,$E$4:$E$1510,"Loss"),-('Guide &amp; Settings'!$C$42/($F504-1))*$Z504)))</f>
        <v>17.447678270937899</v>
      </c>
      <c r="AB504" s="126">
        <f t="shared" si="156"/>
        <v>1001.9497741819961</v>
      </c>
      <c r="AC504" s="126">
        <f>IF($D504="","",IF($AD504=0,0,IF(COUNTIFS($D$4:$D504,$D504,$B$4:$B504,$B504)&gt;1,0,IF($B504&lt;'Guide &amp; Settings'!$C$50,0,IF(($B504-$AD504)/7-'Guide &amp; Settings'!$C$48&gt;=0,(INT(($B504-$AD504)/7-'Guide &amp; Settings'!$C$48)+1)*'Guide &amp; Settings'!$C$49,0)))))</f>
        <v>0</v>
      </c>
      <c r="AD504" s="142">
        <f t="shared" si="157"/>
        <v>46249</v>
      </c>
      <c r="AE504">
        <f t="shared" si="158"/>
        <v>1</v>
      </c>
      <c r="AF504">
        <f t="shared" si="159"/>
        <v>0</v>
      </c>
    </row>
    <row r="505" spans="1:32" x14ac:dyDescent="0.2">
      <c r="A505" s="117">
        <v>218</v>
      </c>
      <c r="B505" s="118">
        <v>46253</v>
      </c>
      <c r="C505" s="119" t="s">
        <v>54</v>
      </c>
      <c r="D505" s="119" t="s">
        <v>19</v>
      </c>
      <c r="E505" s="117" t="s">
        <v>370</v>
      </c>
      <c r="F505" s="120">
        <f t="shared" si="140"/>
        <v>2</v>
      </c>
      <c r="G505" s="121" t="str">
        <f t="shared" si="141"/>
        <v>Josh</v>
      </c>
      <c r="H505" s="122">
        <f>IF($D505="",0,IFERROR(LOOKUP(2,1/(($D$3:D504=$D505)*($A$3:A504&lt;$A505)),$N$3:N504),'Guide &amp; Settings'!$C$41))</f>
        <v>1140.0730632887894</v>
      </c>
      <c r="I505" s="123">
        <f t="shared" si="142"/>
        <v>0.53846153846153844</v>
      </c>
      <c r="J505" s="124">
        <f>IF($D505="",0,IF($F505&lt;2,0,IF($E505="Win",('Guide &amp; Settings'!$C$42/(($F505-1)*COUNTIFS($A$4:$A$1510,$A505,$E$4:$E$1510,"Win")))*SUMIFS($X$4:$X$1510,$A$4:$A$1510,$A505,$E$4:$E$1510,"Loss"),-('Guide &amp; Settings'!$C$42/($F505-1))*$X505)))</f>
        <v>14.892236431288817</v>
      </c>
      <c r="K505" s="124">
        <f>IF($D505="",0,'Guide &amp; Settings'!$C$43*(IF($E505="Win",1,0)-$I505))</f>
        <v>5.5384615384615383</v>
      </c>
      <c r="L505" s="125">
        <f>IF($D505="",0,'Guide &amp; Settings'!$C$44*IF($F505&gt;=3,$F505,0))</f>
        <v>0</v>
      </c>
      <c r="M505" s="124">
        <f t="shared" si="143"/>
        <v>20.430697969750355</v>
      </c>
      <c r="N505" s="122">
        <f t="shared" si="144"/>
        <v>1160.5037612585397</v>
      </c>
      <c r="O505" s="121" t="str">
        <f t="shared" si="145"/>
        <v>OK</v>
      </c>
      <c r="P505">
        <f t="shared" si="146"/>
        <v>1140.0730632887894</v>
      </c>
      <c r="Q505">
        <f t="shared" si="147"/>
        <v>0.5</v>
      </c>
      <c r="R505">
        <f t="shared" si="148"/>
        <v>0.5</v>
      </c>
      <c r="S505">
        <f t="shared" si="149"/>
        <v>0.9285714285714286</v>
      </c>
      <c r="T505" s="89">
        <f t="shared" si="150"/>
        <v>2</v>
      </c>
      <c r="U505" s="126">
        <f>IF($D505="",0,IFERROR(LOOKUP(2,1/(($D$3:D504=$D505)*($C$3:C504=$C505)*($A$3:A504&lt;$A505)),$AB$3:AB504),1000))</f>
        <v>998.57656030960572</v>
      </c>
      <c r="V505" s="126">
        <f t="shared" si="151"/>
        <v>1099.6454910090226</v>
      </c>
      <c r="W505">
        <f t="shared" si="152"/>
        <v>1099.6454910090226</v>
      </c>
      <c r="X505">
        <f t="shared" si="153"/>
        <v>0.5</v>
      </c>
      <c r="Y505">
        <f t="shared" si="154"/>
        <v>998.57656030960572</v>
      </c>
      <c r="Z505">
        <f t="shared" si="155"/>
        <v>0.5</v>
      </c>
      <c r="AA505">
        <f>IF($D505="",0,IF($F505&lt;2,0,IF($E505="Win",('Guide &amp; Settings'!$C$42/(($F505-1)*COUNTIFS($A$4:$A$1510,$A505,$E$4:$E$1510,"Win")))*SUMIFS($Z$4:$Z$1510,$A$4:$A$1510,$A505,$E$4:$E$1510,"Loss"),-('Guide &amp; Settings'!$C$42/($F505-1))*$Z505)))</f>
        <v>16.155337358760043</v>
      </c>
      <c r="AB505" s="126">
        <f t="shared" si="156"/>
        <v>1014.7318976683657</v>
      </c>
      <c r="AC505" s="126">
        <f>IF($D505="","",IF($AD505=0,0,IF(COUNTIFS($D$4:$D505,$D505,$B$4:$B505,$B505)&gt;1,0,IF($B505&lt;'Guide &amp; Settings'!$C$50,0,IF(($B505-$AD505)/7-'Guide &amp; Settings'!$C$48&gt;=0,(INT(($B505-$AD505)/7-'Guide &amp; Settings'!$C$48)+1)*'Guide &amp; Settings'!$C$49,0)))))</f>
        <v>0</v>
      </c>
      <c r="AD505" s="142">
        <f t="shared" si="157"/>
        <v>46247</v>
      </c>
      <c r="AE505">
        <f t="shared" si="158"/>
        <v>1</v>
      </c>
      <c r="AF505">
        <f t="shared" si="159"/>
        <v>0</v>
      </c>
    </row>
    <row r="506" spans="1:32" x14ac:dyDescent="0.2">
      <c r="A506" s="117">
        <v>218</v>
      </c>
      <c r="B506" s="118">
        <v>46253</v>
      </c>
      <c r="C506" s="119" t="s">
        <v>54</v>
      </c>
      <c r="D506" s="119" t="s">
        <v>22</v>
      </c>
      <c r="E506" s="117" t="s">
        <v>371</v>
      </c>
      <c r="F506" s="120">
        <f t="shared" si="140"/>
        <v>2</v>
      </c>
      <c r="G506" s="121" t="str">
        <f t="shared" si="141"/>
        <v>Josh</v>
      </c>
      <c r="H506" s="122">
        <f>IF($D506="",0,IFERROR(LOOKUP(2,1/(($D$3:D505=$D506)*($A$3:A505&lt;$A506)),$N$3:N505),'Guide &amp; Settings'!$C$41))</f>
        <v>1149.1545541536129</v>
      </c>
      <c r="I506" s="123">
        <f t="shared" si="142"/>
        <v>0.46153846153846151</v>
      </c>
      <c r="J506" s="124">
        <f>IF($D506="",0,IF($F506&lt;2,0,IF($E506="Win",('Guide &amp; Settings'!$C$42/(($F506-1)*COUNTIFS($A$4:$A$1510,$A506,$E$4:$E$1510,"Win")))*SUMIFS($X$4:$X$1510,$A$4:$A$1510,$A506,$E$4:$E$1510,"Loss"),-('Guide &amp; Settings'!$C$42/($F506-1))*$X506)))</f>
        <v>-14.892236431288817</v>
      </c>
      <c r="K506" s="124">
        <f>IF($D506="",0,'Guide &amp; Settings'!$C$43*(IF($E506="Win",1,0)-$I506))</f>
        <v>-5.5384615384615383</v>
      </c>
      <c r="L506" s="125">
        <f>IF($D506="",0,'Guide &amp; Settings'!$C$44*IF($F506&gt;=3,$F506,0))</f>
        <v>0</v>
      </c>
      <c r="M506" s="124">
        <f t="shared" si="143"/>
        <v>-20.430697969750355</v>
      </c>
      <c r="N506" s="122">
        <f t="shared" si="144"/>
        <v>1128.7238561838626</v>
      </c>
      <c r="O506" s="121" t="str">
        <f t="shared" si="145"/>
        <v>OK</v>
      </c>
      <c r="P506">
        <f t="shared" si="146"/>
        <v>1140.0730632887894</v>
      </c>
      <c r="Q506">
        <f t="shared" si="147"/>
        <v>0.51306634030171039</v>
      </c>
      <c r="R506">
        <f t="shared" si="148"/>
        <v>0.42857142857142855</v>
      </c>
      <c r="S506">
        <f t="shared" si="149"/>
        <v>0.9285714285714286</v>
      </c>
      <c r="T506" s="89">
        <f t="shared" si="150"/>
        <v>5</v>
      </c>
      <c r="U506" s="126">
        <f>IF($D506="",0,IFERROR(LOOKUP(2,1/(($D$3:D505=$D506)*($C$3:C505=$C506)*($A$3:A505&lt;$A506)),$AB$3:AB505),1000))</f>
        <v>1001.9497741819961</v>
      </c>
      <c r="V506" s="126">
        <f t="shared" si="151"/>
        <v>1075.5521641678044</v>
      </c>
      <c r="W506">
        <f t="shared" si="152"/>
        <v>1099.6454910090226</v>
      </c>
      <c r="X506">
        <f t="shared" si="153"/>
        <v>0.46538238847777552</v>
      </c>
      <c r="Y506">
        <f t="shared" si="154"/>
        <v>998.57656030960572</v>
      </c>
      <c r="Z506">
        <f t="shared" si="155"/>
        <v>0.50485429246125135</v>
      </c>
      <c r="AA506">
        <f>IF($D506="",0,IF($F506&lt;2,0,IF($E506="Win",('Guide &amp; Settings'!$C$42/(($F506-1)*COUNTIFS($A$4:$A$1510,$A506,$E$4:$E$1510,"Win")))*SUMIFS($Z$4:$Z$1510,$A$4:$A$1510,$A506,$E$4:$E$1510,"Loss"),-('Guide &amp; Settings'!$C$42/($F506-1))*$Z506)))</f>
        <v>-16.155337358760043</v>
      </c>
      <c r="AB506" s="126">
        <f t="shared" si="156"/>
        <v>985.79443682323608</v>
      </c>
      <c r="AC506" s="126">
        <f>IF($D506="","",IF($AD506=0,0,IF(COUNTIFS($D$4:$D506,$D506,$B$4:$B506,$B506)&gt;1,0,IF($B506&lt;'Guide &amp; Settings'!$C$50,0,IF(($B506-$AD506)/7-'Guide &amp; Settings'!$C$48&gt;=0,(INT(($B506-$AD506)/7-'Guide &amp; Settings'!$C$48)+1)*'Guide &amp; Settings'!$C$49,0)))))</f>
        <v>0</v>
      </c>
      <c r="AD506" s="142">
        <f t="shared" si="157"/>
        <v>46249</v>
      </c>
      <c r="AE506">
        <f t="shared" si="158"/>
        <v>1</v>
      </c>
      <c r="AF506">
        <f t="shared" si="159"/>
        <v>0</v>
      </c>
    </row>
    <row r="507" spans="1:32" x14ac:dyDescent="0.2">
      <c r="A507" s="117">
        <v>219</v>
      </c>
      <c r="B507" s="118">
        <v>46253</v>
      </c>
      <c r="C507" s="119" t="s">
        <v>54</v>
      </c>
      <c r="D507" s="119" t="s">
        <v>19</v>
      </c>
      <c r="E507" s="117" t="s">
        <v>371</v>
      </c>
      <c r="F507" s="120">
        <f t="shared" si="140"/>
        <v>2</v>
      </c>
      <c r="G507" s="121" t="str">
        <f t="shared" si="141"/>
        <v>Daniel (Ferret)</v>
      </c>
      <c r="H507" s="122">
        <f>IF($D507="",0,IFERROR(LOOKUP(2,1/(($D$3:D506=$D507)*($A$3:A506&lt;$A507)),$N$3:N506),'Guide &amp; Settings'!$C$41))</f>
        <v>1160.5037612585397</v>
      </c>
      <c r="I507" s="123">
        <f t="shared" si="142"/>
        <v>0.61538461538461542</v>
      </c>
      <c r="J507" s="124">
        <f>IF($D507="",0,IF($F507&lt;2,0,IF($E507="Win",('Guide &amp; Settings'!$C$42/(($F507-1)*COUNTIFS($A$4:$A$1510,$A507,$E$4:$E$1510,"Win")))*SUMIFS($X$4:$X$1510,$A$4:$A$1510,$A507,$E$4:$E$1510,"Loss"),-('Guide &amp; Settings'!$C$42/($F507-1))*$X507)))</f>
        <v>-18.515352638089748</v>
      </c>
      <c r="K507" s="124">
        <f>IF($D507="",0,'Guide &amp; Settings'!$C$43*(IF($E507="Win",1,0)-$I507))</f>
        <v>-7.384615384615385</v>
      </c>
      <c r="L507" s="125">
        <f>IF($D507="",0,'Guide &amp; Settings'!$C$44*IF($F507&gt;=3,$F507,0))</f>
        <v>0</v>
      </c>
      <c r="M507" s="124">
        <f t="shared" si="143"/>
        <v>-25.899968022705131</v>
      </c>
      <c r="N507" s="122">
        <f t="shared" si="144"/>
        <v>1134.6037932358347</v>
      </c>
      <c r="O507" s="121" t="str">
        <f t="shared" si="145"/>
        <v>OK</v>
      </c>
      <c r="P507">
        <f t="shared" si="146"/>
        <v>1128.7238561838626</v>
      </c>
      <c r="Q507">
        <f t="shared" si="147"/>
        <v>0.54560783430125959</v>
      </c>
      <c r="R507">
        <f t="shared" si="148"/>
        <v>0.6</v>
      </c>
      <c r="S507">
        <f t="shared" si="149"/>
        <v>0.97499999999999998</v>
      </c>
      <c r="T507" s="89">
        <f t="shared" si="150"/>
        <v>3</v>
      </c>
      <c r="U507" s="126">
        <f>IF($D507="",0,IFERROR(LOOKUP(2,1/(($D$3:D506=$D507)*($C$3:C506=$C507)*($A$3:A506&lt;$A507)),$AB$3:AB506),1000))</f>
        <v>1014.7318976683657</v>
      </c>
      <c r="V507" s="126">
        <f t="shared" si="151"/>
        <v>1105.8393124122244</v>
      </c>
      <c r="W507">
        <f t="shared" si="152"/>
        <v>1050.7623547144299</v>
      </c>
      <c r="X507">
        <f t="shared" si="153"/>
        <v>0.57860476994030463</v>
      </c>
      <c r="Y507">
        <f t="shared" si="154"/>
        <v>985.79443682323608</v>
      </c>
      <c r="Z507">
        <f t="shared" si="155"/>
        <v>0.54154832443625056</v>
      </c>
      <c r="AA507">
        <f>IF($D507="",0,IF($F507&lt;2,0,IF($E507="Win",('Guide &amp; Settings'!$C$42/(($F507-1)*COUNTIFS($A$4:$A$1510,$A507,$E$4:$E$1510,"Win")))*SUMIFS($Z$4:$Z$1510,$A$4:$A$1510,$A507,$E$4:$E$1510,"Loss"),-('Guide &amp; Settings'!$C$42/($F507-1))*$Z507)))</f>
        <v>-17.329546381960018</v>
      </c>
      <c r="AB507" s="126">
        <f t="shared" si="156"/>
        <v>997.40235128640575</v>
      </c>
      <c r="AC507" s="126">
        <f>IF($D507="","",IF($AD507=0,0,IF(COUNTIFS($D$4:$D507,$D507,$B$4:$B507,$B507)&gt;1,0,IF($B507&lt;'Guide &amp; Settings'!$C$50,0,IF(($B507-$AD507)/7-'Guide &amp; Settings'!$C$48&gt;=0,(INT(($B507-$AD507)/7-'Guide &amp; Settings'!$C$48)+1)*'Guide &amp; Settings'!$C$49,0)))))</f>
        <v>0</v>
      </c>
      <c r="AD507" s="142">
        <f t="shared" si="157"/>
        <v>46247</v>
      </c>
      <c r="AE507">
        <f t="shared" si="158"/>
        <v>1</v>
      </c>
      <c r="AF507">
        <f t="shared" si="159"/>
        <v>0</v>
      </c>
    </row>
    <row r="508" spans="1:32" x14ac:dyDescent="0.2">
      <c r="A508" s="117">
        <v>219</v>
      </c>
      <c r="B508" s="118">
        <v>46253</v>
      </c>
      <c r="C508" s="119" t="s">
        <v>54</v>
      </c>
      <c r="D508" s="119" t="s">
        <v>22</v>
      </c>
      <c r="E508" s="117" t="s">
        <v>370</v>
      </c>
      <c r="F508" s="120">
        <f t="shared" si="140"/>
        <v>2</v>
      </c>
      <c r="G508" s="121" t="str">
        <f t="shared" si="141"/>
        <v>Daniel (Ferret)</v>
      </c>
      <c r="H508" s="122">
        <f>IF($D508="",0,IFERROR(LOOKUP(2,1/(($D$3:D507=$D508)*($A$3:A507&lt;$A508)),$N$3:N507),'Guide &amp; Settings'!$C$41))</f>
        <v>1128.7238561838626</v>
      </c>
      <c r="I508" s="123">
        <f t="shared" si="142"/>
        <v>0.38461538461538464</v>
      </c>
      <c r="J508" s="124">
        <f>IF($D508="",0,IF($F508&lt;2,0,IF($E508="Win",('Guide &amp; Settings'!$C$42/(($F508-1)*COUNTIFS($A$4:$A$1510,$A508,$E$4:$E$1510,"Win")))*SUMIFS($X$4:$X$1510,$A$4:$A$1510,$A508,$E$4:$E$1510,"Loss"),-('Guide &amp; Settings'!$C$42/($F508-1))*$X508)))</f>
        <v>18.515352638089748</v>
      </c>
      <c r="K508" s="124">
        <f>IF($D508="",0,'Guide &amp; Settings'!$C$43*(IF($E508="Win",1,0)-$I508))</f>
        <v>7.384615384615385</v>
      </c>
      <c r="L508" s="125">
        <f>IF($D508="",0,'Guide &amp; Settings'!$C$44*IF($F508&gt;=3,$F508,0))</f>
        <v>0</v>
      </c>
      <c r="M508" s="124">
        <f t="shared" si="143"/>
        <v>25.899968022705131</v>
      </c>
      <c r="N508" s="122">
        <f t="shared" si="144"/>
        <v>1154.6238242065676</v>
      </c>
      <c r="O508" s="121" t="str">
        <f t="shared" si="145"/>
        <v>OK</v>
      </c>
      <c r="P508">
        <f t="shared" si="146"/>
        <v>1128.7238561838626</v>
      </c>
      <c r="Q508">
        <f t="shared" si="147"/>
        <v>0.5</v>
      </c>
      <c r="R508">
        <f t="shared" si="148"/>
        <v>0.375</v>
      </c>
      <c r="S508">
        <f t="shared" si="149"/>
        <v>0.97499999999999998</v>
      </c>
      <c r="T508" s="89">
        <f t="shared" si="150"/>
        <v>6</v>
      </c>
      <c r="U508" s="126">
        <f>IF($D508="",0,IFERROR(LOOKUP(2,1/(($D$3:D507=$D508)*($C$3:C507=$C508)*($A$3:A507&lt;$A508)),$AB$3:AB507),1000))</f>
        <v>985.79443682323608</v>
      </c>
      <c r="V508" s="126">
        <f t="shared" si="151"/>
        <v>1050.7623547144299</v>
      </c>
      <c r="W508">
        <f t="shared" si="152"/>
        <v>1050.7623547144299</v>
      </c>
      <c r="X508">
        <f t="shared" si="153"/>
        <v>0.5</v>
      </c>
      <c r="Y508">
        <f t="shared" si="154"/>
        <v>985.79443682323608</v>
      </c>
      <c r="Z508">
        <f t="shared" si="155"/>
        <v>0.5</v>
      </c>
      <c r="AA508">
        <f>IF($D508="",0,IF($F508&lt;2,0,IF($E508="Win",('Guide &amp; Settings'!$C$42/(($F508-1)*COUNTIFS($A$4:$A$1510,$A508,$E$4:$E$1510,"Win")))*SUMIFS($Z$4:$Z$1510,$A$4:$A$1510,$A508,$E$4:$E$1510,"Loss"),-('Guide &amp; Settings'!$C$42/($F508-1))*$Z508)))</f>
        <v>17.329546381960018</v>
      </c>
      <c r="AB508" s="126">
        <f t="shared" si="156"/>
        <v>1003.1239832051961</v>
      </c>
      <c r="AC508" s="126">
        <f>IF($D508="","",IF($AD508=0,0,IF(COUNTIFS($D$4:$D508,$D508,$B$4:$B508,$B508)&gt;1,0,IF($B508&lt;'Guide &amp; Settings'!$C$50,0,IF(($B508-$AD508)/7-'Guide &amp; Settings'!$C$48&gt;=0,(INT(($B508-$AD508)/7-'Guide &amp; Settings'!$C$48)+1)*'Guide &amp; Settings'!$C$49,0)))))</f>
        <v>0</v>
      </c>
      <c r="AD508" s="142">
        <f t="shared" si="157"/>
        <v>46249</v>
      </c>
      <c r="AE508">
        <f t="shared" si="158"/>
        <v>1</v>
      </c>
      <c r="AF508">
        <f t="shared" si="159"/>
        <v>0</v>
      </c>
    </row>
    <row r="509" spans="1:32" x14ac:dyDescent="0.2">
      <c r="A509" s="117">
        <v>220</v>
      </c>
      <c r="B509" s="118">
        <v>46253</v>
      </c>
      <c r="C509" s="119" t="s">
        <v>54</v>
      </c>
      <c r="D509" s="119" t="s">
        <v>19</v>
      </c>
      <c r="E509" s="117" t="s">
        <v>370</v>
      </c>
      <c r="F509" s="120">
        <f t="shared" si="140"/>
        <v>2</v>
      </c>
      <c r="G509" s="121" t="str">
        <f t="shared" si="141"/>
        <v>Josh</v>
      </c>
      <c r="H509" s="122">
        <f>IF($D509="",0,IFERROR(LOOKUP(2,1/(($D$3:D508=$D509)*($A$3:A508&lt;$A509)),$N$3:N508),'Guide &amp; Settings'!$C$41))</f>
        <v>1134.6037932358347</v>
      </c>
      <c r="I509" s="123">
        <f t="shared" si="142"/>
        <v>0.52941176470588236</v>
      </c>
      <c r="J509" s="124">
        <f>IF($D509="",0,IF($F509&lt;2,0,IF($E509="Win",('Guide &amp; Settings'!$C$42/(($F509-1)*COUNTIFS($A$4:$A$1510,$A509,$E$4:$E$1510,"Win")))*SUMIFS($X$4:$X$1510,$A$4:$A$1510,$A509,$E$4:$E$1510,"Loss"),-('Guide &amp; Settings'!$C$42/($F509-1))*$X509)))</f>
        <v>15.660352603994719</v>
      </c>
      <c r="K509" s="124">
        <f>IF($D509="",0,'Guide &amp; Settings'!$C$43*(IF($E509="Win",1,0)-$I509))</f>
        <v>5.6470588235294112</v>
      </c>
      <c r="L509" s="125">
        <f>IF($D509="",0,'Guide &amp; Settings'!$C$44*IF($F509&gt;=3,$F509,0))</f>
        <v>0</v>
      </c>
      <c r="M509" s="124">
        <f t="shared" si="143"/>
        <v>21.30741142752413</v>
      </c>
      <c r="N509" s="122">
        <f t="shared" si="144"/>
        <v>1155.9112046633588</v>
      </c>
      <c r="O509" s="121" t="str">
        <f t="shared" si="145"/>
        <v>OK</v>
      </c>
      <c r="P509">
        <f t="shared" si="146"/>
        <v>1134.6037932358347</v>
      </c>
      <c r="Q509">
        <f t="shared" si="147"/>
        <v>0.5</v>
      </c>
      <c r="R509">
        <f t="shared" si="148"/>
        <v>0.5</v>
      </c>
      <c r="S509">
        <f t="shared" si="149"/>
        <v>0.94444444444444442</v>
      </c>
      <c r="T509" s="89">
        <f t="shared" si="150"/>
        <v>4</v>
      </c>
      <c r="U509" s="126">
        <f>IF($D509="",0,IFERROR(LOOKUP(2,1/(($D$3:D508=$D509)*($C$3:C508=$C509)*($A$3:A508&lt;$A509)),$AB$3:AB508),1000))</f>
        <v>997.40235128640575</v>
      </c>
      <c r="V509" s="126">
        <f t="shared" si="151"/>
        <v>1073.625374591644</v>
      </c>
      <c r="W509">
        <f t="shared" si="152"/>
        <v>1073.625374591644</v>
      </c>
      <c r="X509">
        <f t="shared" si="153"/>
        <v>0.5</v>
      </c>
      <c r="Y509">
        <f t="shared" si="154"/>
        <v>997.40235128640575</v>
      </c>
      <c r="Z509">
        <f t="shared" si="155"/>
        <v>0.5</v>
      </c>
      <c r="AA509">
        <f>IF($D509="",0,IF($F509&lt;2,0,IF($E509="Win",('Guide &amp; Settings'!$C$42/(($F509-1)*COUNTIFS($A$4:$A$1510,$A509,$E$4:$E$1510,"Win")))*SUMIFS($Z$4:$Z$1510,$A$4:$A$1510,$A509,$E$4:$E$1510,"Loss"),-('Guide &amp; Settings'!$C$42/($F509-1))*$Z509)))</f>
        <v>16.263467070198608</v>
      </c>
      <c r="AB509" s="126">
        <f t="shared" si="156"/>
        <v>1013.6658183566044</v>
      </c>
      <c r="AC509" s="126">
        <f>IF($D509="","",IF($AD509=0,0,IF(COUNTIFS($D$4:$D509,$D509,$B$4:$B509,$B509)&gt;1,0,IF($B509&lt;'Guide &amp; Settings'!$C$50,0,IF(($B509-$AD509)/7-'Guide &amp; Settings'!$C$48&gt;=0,(INT(($B509-$AD509)/7-'Guide &amp; Settings'!$C$48)+1)*'Guide &amp; Settings'!$C$49,0)))))</f>
        <v>0</v>
      </c>
      <c r="AD509" s="142">
        <f t="shared" si="157"/>
        <v>46247</v>
      </c>
      <c r="AE509">
        <f t="shared" si="158"/>
        <v>1</v>
      </c>
      <c r="AF509">
        <f t="shared" si="159"/>
        <v>0</v>
      </c>
    </row>
    <row r="510" spans="1:32" x14ac:dyDescent="0.2">
      <c r="A510" s="117">
        <v>220</v>
      </c>
      <c r="B510" s="118">
        <v>46253</v>
      </c>
      <c r="C510" s="119" t="s">
        <v>54</v>
      </c>
      <c r="D510" s="119" t="s">
        <v>22</v>
      </c>
      <c r="E510" s="117" t="s">
        <v>371</v>
      </c>
      <c r="F510" s="120">
        <f t="shared" si="140"/>
        <v>2</v>
      </c>
      <c r="G510" s="121" t="str">
        <f t="shared" si="141"/>
        <v>Josh</v>
      </c>
      <c r="H510" s="122">
        <f>IF($D510="",0,IFERROR(LOOKUP(2,1/(($D$3:D509=$D510)*($A$3:A509&lt;$A510)),$N$3:N509),'Guide &amp; Settings'!$C$41))</f>
        <v>1154.6238242065676</v>
      </c>
      <c r="I510" s="123">
        <f t="shared" si="142"/>
        <v>0.47058823529411764</v>
      </c>
      <c r="J510" s="124">
        <f>IF($D510="",0,IF($F510&lt;2,0,IF($E510="Win",('Guide &amp; Settings'!$C$42/(($F510-1)*COUNTIFS($A$4:$A$1510,$A510,$E$4:$E$1510,"Win")))*SUMIFS($X$4:$X$1510,$A$4:$A$1510,$A510,$E$4:$E$1510,"Loss"),-('Guide &amp; Settings'!$C$42/($F510-1))*$X510)))</f>
        <v>-15.660352603994719</v>
      </c>
      <c r="K510" s="124">
        <f>IF($D510="",0,'Guide &amp; Settings'!$C$43*(IF($E510="Win",1,0)-$I510))</f>
        <v>-5.6470588235294112</v>
      </c>
      <c r="L510" s="125">
        <f>IF($D510="",0,'Guide &amp; Settings'!$C$44*IF($F510&gt;=3,$F510,0))</f>
        <v>0</v>
      </c>
      <c r="M510" s="124">
        <f t="shared" si="143"/>
        <v>-21.30741142752413</v>
      </c>
      <c r="N510" s="122">
        <f t="shared" si="144"/>
        <v>1133.3164127790435</v>
      </c>
      <c r="O510" s="121" t="str">
        <f t="shared" si="145"/>
        <v>OK</v>
      </c>
      <c r="P510">
        <f t="shared" si="146"/>
        <v>1134.6037932358347</v>
      </c>
      <c r="Q510">
        <f t="shared" si="147"/>
        <v>0.528779295368493</v>
      </c>
      <c r="R510">
        <f t="shared" si="148"/>
        <v>0.44444444444444442</v>
      </c>
      <c r="S510">
        <f t="shared" si="149"/>
        <v>0.94444444444444442</v>
      </c>
      <c r="T510" s="89">
        <f t="shared" si="150"/>
        <v>7</v>
      </c>
      <c r="U510" s="126">
        <f>IF($D510="",0,IFERROR(LOOKUP(2,1/(($D$3:D509=$D510)*($C$3:C509=$C510)*($A$3:A509&lt;$A510)),$AB$3:AB509),1000))</f>
        <v>1003.1239832051961</v>
      </c>
      <c r="V510" s="126">
        <f t="shared" si="151"/>
        <v>1066.2489169557675</v>
      </c>
      <c r="W510">
        <f t="shared" si="152"/>
        <v>1073.625374591644</v>
      </c>
      <c r="X510">
        <f t="shared" si="153"/>
        <v>0.48938601887483496</v>
      </c>
      <c r="Y510">
        <f t="shared" si="154"/>
        <v>997.40235128640575</v>
      </c>
      <c r="Z510">
        <f t="shared" si="155"/>
        <v>0.5082333459437065</v>
      </c>
      <c r="AA510">
        <f>IF($D510="",0,IF($F510&lt;2,0,IF($E510="Win",('Guide &amp; Settings'!$C$42/(($F510-1)*COUNTIFS($A$4:$A$1510,$A510,$E$4:$E$1510,"Win")))*SUMIFS($Z$4:$Z$1510,$A$4:$A$1510,$A510,$E$4:$E$1510,"Loss"),-('Guide &amp; Settings'!$C$42/($F510-1))*$Z510)))</f>
        <v>-16.263467070198608</v>
      </c>
      <c r="AB510" s="126">
        <f t="shared" si="156"/>
        <v>986.8605161349974</v>
      </c>
      <c r="AC510" s="126">
        <f>IF($D510="","",IF($AD510=0,0,IF(COUNTIFS($D$4:$D510,$D510,$B$4:$B510,$B510)&gt;1,0,IF($B510&lt;'Guide &amp; Settings'!$C$50,0,IF(($B510-$AD510)/7-'Guide &amp; Settings'!$C$48&gt;=0,(INT(($B510-$AD510)/7-'Guide &amp; Settings'!$C$48)+1)*'Guide &amp; Settings'!$C$49,0)))))</f>
        <v>0</v>
      </c>
      <c r="AD510" s="142">
        <f t="shared" si="157"/>
        <v>46249</v>
      </c>
      <c r="AE510">
        <f t="shared" si="158"/>
        <v>1</v>
      </c>
      <c r="AF510">
        <f t="shared" si="159"/>
        <v>0</v>
      </c>
    </row>
    <row r="511" spans="1:32" x14ac:dyDescent="0.2">
      <c r="A511" s="117">
        <v>221</v>
      </c>
      <c r="B511" s="118">
        <v>46255</v>
      </c>
      <c r="C511" s="119" t="s">
        <v>44</v>
      </c>
      <c r="D511" s="119" t="s">
        <v>20</v>
      </c>
      <c r="E511" s="117" t="s">
        <v>370</v>
      </c>
      <c r="F511" s="120">
        <f t="shared" si="140"/>
        <v>2</v>
      </c>
      <c r="G511" s="121" t="str">
        <f t="shared" si="141"/>
        <v>Shawn</v>
      </c>
      <c r="H511" s="122">
        <f>IF($D511="",0,IFERROR(LOOKUP(2,1/(($D$3:D510=$D511)*($A$3:A510&lt;$A511)),$N$3:N510),'Guide &amp; Settings'!$C$41))</f>
        <v>1128.14195520974</v>
      </c>
      <c r="I511" s="123">
        <f t="shared" si="142"/>
        <v>0.63157894736842102</v>
      </c>
      <c r="J511" s="124">
        <f>IF($D511="",0,IF($F511&lt;2,0,IF($E511="Win",('Guide &amp; Settings'!$C$42/(($F511-1)*COUNTIFS($A$4:$A$1510,$A511,$E$4:$E$1510,"Win")))*SUMIFS($X$4:$X$1510,$A$4:$A$1510,$A511,$E$4:$E$1510,"Loss"),-('Guide &amp; Settings'!$C$42/($F511-1))*$X511)))</f>
        <v>11.769674753697492</v>
      </c>
      <c r="K511" s="124">
        <f>IF($D511="",0,'Guide &amp; Settings'!$C$43*(IF($E511="Win",1,0)-$I511))</f>
        <v>4.4210526315789478</v>
      </c>
      <c r="L511" s="125">
        <f>IF($D511="",0,'Guide &amp; Settings'!$C$44*IF($F511&gt;=3,$F511,0))</f>
        <v>0</v>
      </c>
      <c r="M511" s="124">
        <f t="shared" si="143"/>
        <v>16.190727385276439</v>
      </c>
      <c r="N511" s="122">
        <f t="shared" si="144"/>
        <v>1144.3326825950164</v>
      </c>
      <c r="O511" s="121" t="str">
        <f t="shared" si="145"/>
        <v>OK</v>
      </c>
      <c r="P511">
        <f t="shared" si="146"/>
        <v>1128.14195520974</v>
      </c>
      <c r="Q511">
        <f t="shared" si="147"/>
        <v>0.5</v>
      </c>
      <c r="R511">
        <f t="shared" si="148"/>
        <v>0.8571428571428571</v>
      </c>
      <c r="S511">
        <f t="shared" si="149"/>
        <v>1.3571428571428572</v>
      </c>
      <c r="T511" s="89">
        <f t="shared" si="150"/>
        <v>5</v>
      </c>
      <c r="U511" s="126">
        <f>IF($D511="",0,IFERROR(LOOKUP(2,1/(($D$3:D510=$D511)*($C$3:C510=$C511)*($A$3:A510&lt;$A511)),$AB$3:AB510),1000))</f>
        <v>1073.39235221687</v>
      </c>
      <c r="V511" s="126">
        <f t="shared" si="151"/>
        <v>1100.7671537133051</v>
      </c>
      <c r="W511">
        <f t="shared" si="152"/>
        <v>1100.7671537133051</v>
      </c>
      <c r="X511">
        <f t="shared" si="153"/>
        <v>0.5</v>
      </c>
      <c r="Y511">
        <f t="shared" si="154"/>
        <v>1073.39235221687</v>
      </c>
      <c r="Z511">
        <f t="shared" si="155"/>
        <v>0.5</v>
      </c>
      <c r="AA511">
        <f>IF($D511="",0,IF($F511&lt;2,0,IF($E511="Win",('Guide &amp; Settings'!$C$42/(($F511-1)*COUNTIFS($A$4:$A$1510,$A511,$E$4:$E$1510,"Win")))*SUMIFS($Z$4:$Z$1510,$A$4:$A$1510,$A511,$E$4:$E$1510,"Loss"),-('Guide &amp; Settings'!$C$42/($F511-1))*$Z511)))</f>
        <v>12.616103275005802</v>
      </c>
      <c r="AB511" s="126">
        <f t="shared" si="156"/>
        <v>1086.0084554918758</v>
      </c>
      <c r="AC511" s="126">
        <f>IF($D511="","",IF($AD511=0,0,IF(COUNTIFS($D$4:$D511,$D511,$B$4:$B511,$B511)&gt;1,0,IF($B511&lt;'Guide &amp; Settings'!$C$50,0,IF(($B511-$AD511)/7-'Guide &amp; Settings'!$C$48&gt;=0,(INT(($B511-$AD511)/7-'Guide &amp; Settings'!$C$48)+1)*'Guide &amp; Settings'!$C$49,0)))))</f>
        <v>0</v>
      </c>
      <c r="AD511" s="142">
        <f t="shared" si="157"/>
        <v>46247</v>
      </c>
      <c r="AE511">
        <f t="shared" si="158"/>
        <v>1</v>
      </c>
      <c r="AF511">
        <f t="shared" si="159"/>
        <v>0</v>
      </c>
    </row>
    <row r="512" spans="1:32" x14ac:dyDescent="0.2">
      <c r="A512" s="117">
        <v>221</v>
      </c>
      <c r="B512" s="118">
        <v>46255</v>
      </c>
      <c r="C512" s="119" t="s">
        <v>44</v>
      </c>
      <c r="D512" s="119" t="s">
        <v>15</v>
      </c>
      <c r="E512" s="117" t="s">
        <v>371</v>
      </c>
      <c r="F512" s="120">
        <f t="shared" si="140"/>
        <v>2</v>
      </c>
      <c r="G512" s="121" t="str">
        <f t="shared" si="141"/>
        <v>Shawn</v>
      </c>
      <c r="H512" s="122">
        <f>IF($D512="",0,IFERROR(LOOKUP(2,1/(($D$3:D511=$D512)*($A$3:A511&lt;$A512)),$N$3:N511),'Guide &amp; Settings'!$C$41))</f>
        <v>1009.8261046694705</v>
      </c>
      <c r="I512" s="123">
        <f t="shared" si="142"/>
        <v>0.36842105263157893</v>
      </c>
      <c r="J512" s="124">
        <f>IF($D512="",0,IF($F512&lt;2,0,IF($E512="Win",('Guide &amp; Settings'!$C$42/(($F512-1)*COUNTIFS($A$4:$A$1510,$A512,$E$4:$E$1510,"Win")))*SUMIFS($X$4:$X$1510,$A$4:$A$1510,$A512,$E$4:$E$1510,"Loss"),-('Guide &amp; Settings'!$C$42/($F512-1))*$X512)))</f>
        <v>-11.769674753697492</v>
      </c>
      <c r="K512" s="124">
        <f>IF($D512="",0,'Guide &amp; Settings'!$C$43*(IF($E512="Win",1,0)-$I512))</f>
        <v>-4.4210526315789469</v>
      </c>
      <c r="L512" s="125">
        <f>IF($D512="",0,'Guide &amp; Settings'!$C$44*IF($F512&gt;=3,$F512,0))</f>
        <v>0</v>
      </c>
      <c r="M512" s="124">
        <f t="shared" si="143"/>
        <v>-16.190727385276439</v>
      </c>
      <c r="N512" s="122">
        <f t="shared" si="144"/>
        <v>993.63537728419408</v>
      </c>
      <c r="O512" s="121" t="str">
        <f t="shared" si="145"/>
        <v>OK</v>
      </c>
      <c r="P512">
        <f t="shared" si="146"/>
        <v>1128.14195520974</v>
      </c>
      <c r="Q512">
        <f t="shared" si="147"/>
        <v>0.336020125442201</v>
      </c>
      <c r="R512">
        <f t="shared" si="148"/>
        <v>0.5</v>
      </c>
      <c r="S512">
        <f t="shared" si="149"/>
        <v>1.3571428571428572</v>
      </c>
      <c r="T512" s="89">
        <f t="shared" si="150"/>
        <v>2</v>
      </c>
      <c r="U512" s="126">
        <f>IF($D512="",0,IFERROR(LOOKUP(2,1/(($D$3:D511=$D512)*($C$3:C511=$C512)*($A$3:A511&lt;$A512)),$AB$3:AB511),1000))</f>
        <v>998.78601149183976</v>
      </c>
      <c r="V512" s="126">
        <f t="shared" si="151"/>
        <v>1006.6717923330045</v>
      </c>
      <c r="W512">
        <f t="shared" si="152"/>
        <v>1100.7671537133051</v>
      </c>
      <c r="X512">
        <f t="shared" si="153"/>
        <v>0.36780233605304663</v>
      </c>
      <c r="Y512">
        <f t="shared" si="154"/>
        <v>1073.39235221687</v>
      </c>
      <c r="Z512">
        <f t="shared" si="155"/>
        <v>0.39425322734393131</v>
      </c>
      <c r="AA512">
        <f>IF($D512="",0,IF($F512&lt;2,0,IF($E512="Win",('Guide &amp; Settings'!$C$42/(($F512-1)*COUNTIFS($A$4:$A$1510,$A512,$E$4:$E$1510,"Win")))*SUMIFS($Z$4:$Z$1510,$A$4:$A$1510,$A512,$E$4:$E$1510,"Loss"),-('Guide &amp; Settings'!$C$42/($F512-1))*$Z512)))</f>
        <v>-12.616103275005802</v>
      </c>
      <c r="AB512" s="126">
        <f t="shared" si="156"/>
        <v>986.16990821683396</v>
      </c>
      <c r="AC512" s="126">
        <f>IF($D512="","",IF($AD512=0,0,IF(COUNTIFS($D$4:$D512,$D512,$B$4:$B512,$B512)&gt;1,0,IF($B512&lt;'Guide &amp; Settings'!$C$50,0,IF(($B512-$AD512)/7-'Guide &amp; Settings'!$C$48&gt;=0,(INT(($B512-$AD512)/7-'Guide &amp; Settings'!$C$48)+1)*'Guide &amp; Settings'!$C$49,0)))))</f>
        <v>0</v>
      </c>
      <c r="AD512" s="142">
        <f t="shared" si="157"/>
        <v>46229</v>
      </c>
      <c r="AE512">
        <f t="shared" si="158"/>
        <v>1</v>
      </c>
      <c r="AF512">
        <f t="shared" si="159"/>
        <v>0</v>
      </c>
    </row>
    <row r="513" spans="1:32" x14ac:dyDescent="0.2">
      <c r="A513" s="117">
        <v>222</v>
      </c>
      <c r="B513" s="118">
        <v>46255</v>
      </c>
      <c r="C513" s="119" t="s">
        <v>44</v>
      </c>
      <c r="D513" s="119" t="s">
        <v>20</v>
      </c>
      <c r="E513" s="117" t="s">
        <v>370</v>
      </c>
      <c r="F513" s="120">
        <f t="shared" si="140"/>
        <v>2</v>
      </c>
      <c r="G513" s="121" t="str">
        <f t="shared" si="141"/>
        <v>Shawn</v>
      </c>
      <c r="H513" s="122">
        <f>IF($D513="",0,IFERROR(LOOKUP(2,1/(($D$3:D512=$D513)*($A$3:A512&lt;$A513)),$N$3:N512),'Guide &amp; Settings'!$C$41))</f>
        <v>1144.3326825950164</v>
      </c>
      <c r="I513" s="123">
        <f t="shared" si="142"/>
        <v>0.68627450980392157</v>
      </c>
      <c r="J513" s="124">
        <f>IF($D513="",0,IF($F513&lt;2,0,IF($E513="Win",('Guide &amp; Settings'!$C$42/(($F513-1)*COUNTIFS($A$4:$A$1510,$A513,$E$4:$E$1510,"Win")))*SUMIFS($X$4:$X$1510,$A$4:$A$1510,$A513,$E$4:$E$1510,"Loss"),-('Guide &amp; Settings'!$C$42/($F513-1))*$X513)))</f>
        <v>10.614675811985855</v>
      </c>
      <c r="K513" s="124">
        <f>IF($D513="",0,'Guide &amp; Settings'!$C$43*(IF($E513="Win",1,0)-$I513))</f>
        <v>3.7647058823529411</v>
      </c>
      <c r="L513" s="125">
        <f>IF($D513="",0,'Guide &amp; Settings'!$C$44*IF($F513&gt;=3,$F513,0))</f>
        <v>0</v>
      </c>
      <c r="M513" s="124">
        <f t="shared" si="143"/>
        <v>14.379381694338797</v>
      </c>
      <c r="N513" s="122">
        <f t="shared" si="144"/>
        <v>1158.7120642893551</v>
      </c>
      <c r="O513" s="121" t="str">
        <f t="shared" si="145"/>
        <v>OK</v>
      </c>
      <c r="P513">
        <f t="shared" si="146"/>
        <v>1144.3326825950164</v>
      </c>
      <c r="Q513">
        <f t="shared" si="147"/>
        <v>0.5</v>
      </c>
      <c r="R513">
        <f t="shared" si="148"/>
        <v>0.875</v>
      </c>
      <c r="S513">
        <f t="shared" si="149"/>
        <v>1.2749999999999999</v>
      </c>
      <c r="T513" s="89">
        <f t="shared" si="150"/>
        <v>6</v>
      </c>
      <c r="U513" s="126">
        <f>IF($D513="",0,IFERROR(LOOKUP(2,1/(($D$3:D512=$D513)*($C$3:C512=$C513)*($A$3:A512&lt;$A513)),$AB$3:AB512),1000))</f>
        <v>1086.0084554918758</v>
      </c>
      <c r="V513" s="126">
        <f t="shared" si="151"/>
        <v>1112.5194678114851</v>
      </c>
      <c r="W513">
        <f t="shared" si="152"/>
        <v>1112.5194678114851</v>
      </c>
      <c r="X513">
        <f t="shared" si="153"/>
        <v>0.5</v>
      </c>
      <c r="Y513">
        <f t="shared" si="154"/>
        <v>1086.0084554918758</v>
      </c>
      <c r="Z513">
        <f t="shared" si="155"/>
        <v>0.5</v>
      </c>
      <c r="AA513">
        <f>IF($D513="",0,IF($F513&lt;2,0,IF($E513="Win",('Guide &amp; Settings'!$C$42/(($F513-1)*COUNTIFS($A$4:$A$1510,$A513,$E$4:$E$1510,"Win")))*SUMIFS($Z$4:$Z$1510,$A$4:$A$1510,$A513,$E$4:$E$1510,"Loss"),-('Guide &amp; Settings'!$C$42/($F513-1))*$Z513)))</f>
        <v>11.524772611664433</v>
      </c>
      <c r="AB513" s="126">
        <f t="shared" si="156"/>
        <v>1097.5332281035403</v>
      </c>
      <c r="AC513" s="126">
        <f>IF($D513="","",IF($AD513=0,0,IF(COUNTIFS($D$4:$D513,$D513,$B$4:$B513,$B513)&gt;1,0,IF($B513&lt;'Guide &amp; Settings'!$C$50,0,IF(($B513-$AD513)/7-'Guide &amp; Settings'!$C$48&gt;=0,(INT(($B513-$AD513)/7-'Guide &amp; Settings'!$C$48)+1)*'Guide &amp; Settings'!$C$49,0)))))</f>
        <v>0</v>
      </c>
      <c r="AD513" s="142">
        <f t="shared" si="157"/>
        <v>46247</v>
      </c>
      <c r="AE513">
        <f t="shared" si="158"/>
        <v>1</v>
      </c>
      <c r="AF513">
        <f t="shared" si="159"/>
        <v>0</v>
      </c>
    </row>
    <row r="514" spans="1:32" x14ac:dyDescent="0.2">
      <c r="A514" s="117">
        <v>222</v>
      </c>
      <c r="B514" s="118">
        <v>46255</v>
      </c>
      <c r="C514" s="119" t="s">
        <v>44</v>
      </c>
      <c r="D514" s="119" t="s">
        <v>15</v>
      </c>
      <c r="E514" s="117" t="s">
        <v>371</v>
      </c>
      <c r="F514" s="120">
        <f t="shared" si="140"/>
        <v>2</v>
      </c>
      <c r="G514" s="121" t="str">
        <f t="shared" si="141"/>
        <v>Shawn</v>
      </c>
      <c r="H514" s="122">
        <f>IF($D514="",0,IFERROR(LOOKUP(2,1/(($D$3:D513=$D514)*($A$3:A513&lt;$A514)),$N$3:N513),'Guide &amp; Settings'!$C$41))</f>
        <v>993.63537728419408</v>
      </c>
      <c r="I514" s="123">
        <f t="shared" si="142"/>
        <v>0.31372549019607848</v>
      </c>
      <c r="J514" s="124">
        <f>IF($D514="",0,IF($F514&lt;2,0,IF($E514="Win",('Guide &amp; Settings'!$C$42/(($F514-1)*COUNTIFS($A$4:$A$1510,$A514,$E$4:$E$1510,"Win")))*SUMIFS($X$4:$X$1510,$A$4:$A$1510,$A514,$E$4:$E$1510,"Loss"),-('Guide &amp; Settings'!$C$42/($F514-1))*$X514)))</f>
        <v>-10.614675811985855</v>
      </c>
      <c r="K514" s="124">
        <f>IF($D514="",0,'Guide &amp; Settings'!$C$43*(IF($E514="Win",1,0)-$I514))</f>
        <v>-3.764705882352942</v>
      </c>
      <c r="L514" s="125">
        <f>IF($D514="",0,'Guide &amp; Settings'!$C$44*IF($F514&gt;=3,$F514,0))</f>
        <v>0</v>
      </c>
      <c r="M514" s="124">
        <f t="shared" si="143"/>
        <v>-14.379381694338797</v>
      </c>
      <c r="N514" s="122">
        <f t="shared" si="144"/>
        <v>979.25599558985527</v>
      </c>
      <c r="O514" s="121" t="str">
        <f t="shared" si="145"/>
        <v>OK</v>
      </c>
      <c r="P514">
        <f t="shared" si="146"/>
        <v>1144.3326825950164</v>
      </c>
      <c r="Q514">
        <f t="shared" si="147"/>
        <v>0.2957782192322822</v>
      </c>
      <c r="R514">
        <f t="shared" si="148"/>
        <v>0.4</v>
      </c>
      <c r="S514">
        <f t="shared" si="149"/>
        <v>1.2749999999999999</v>
      </c>
      <c r="T514" s="89">
        <f t="shared" si="150"/>
        <v>3</v>
      </c>
      <c r="U514" s="126">
        <f>IF($D514="",0,IFERROR(LOOKUP(2,1/(($D$3:D513=$D514)*($C$3:C513=$C514)*($A$3:A513&lt;$A514)),$AB$3:AB513),1000))</f>
        <v>986.16990821683396</v>
      </c>
      <c r="V514" s="126">
        <f t="shared" si="151"/>
        <v>990.83582638393409</v>
      </c>
      <c r="W514">
        <f t="shared" si="152"/>
        <v>1112.5194678114851</v>
      </c>
      <c r="X514">
        <f t="shared" si="153"/>
        <v>0.33170861912455796</v>
      </c>
      <c r="Y514">
        <f t="shared" si="154"/>
        <v>1086.0084554918758</v>
      </c>
      <c r="Z514">
        <f t="shared" si="155"/>
        <v>0.36014914411451354</v>
      </c>
      <c r="AA514">
        <f>IF($D514="",0,IF($F514&lt;2,0,IF($E514="Win",('Guide &amp; Settings'!$C$42/(($F514-1)*COUNTIFS($A$4:$A$1510,$A514,$E$4:$E$1510,"Win")))*SUMIFS($Z$4:$Z$1510,$A$4:$A$1510,$A514,$E$4:$E$1510,"Loss"),-('Guide &amp; Settings'!$C$42/($F514-1))*$Z514)))</f>
        <v>-11.524772611664433</v>
      </c>
      <c r="AB514" s="126">
        <f t="shared" si="156"/>
        <v>974.64513560516957</v>
      </c>
      <c r="AC514" s="126">
        <f>IF($D514="","",IF($AD514=0,0,IF(COUNTIFS($D$4:$D514,$D514,$B$4:$B514,$B514)&gt;1,0,IF($B514&lt;'Guide &amp; Settings'!$C$50,0,IF(($B514-$AD514)/7-'Guide &amp; Settings'!$C$48&gt;=0,(INT(($B514-$AD514)/7-'Guide &amp; Settings'!$C$48)+1)*'Guide &amp; Settings'!$C$49,0)))))</f>
        <v>0</v>
      </c>
      <c r="AD514" s="142">
        <f t="shared" si="157"/>
        <v>46229</v>
      </c>
      <c r="AE514">
        <f t="shared" si="158"/>
        <v>1</v>
      </c>
      <c r="AF514">
        <f t="shared" si="159"/>
        <v>0</v>
      </c>
    </row>
    <row r="515" spans="1:32" x14ac:dyDescent="0.2">
      <c r="A515" s="117">
        <v>223</v>
      </c>
      <c r="B515" s="118">
        <v>46255</v>
      </c>
      <c r="C515" s="119" t="s">
        <v>44</v>
      </c>
      <c r="D515" s="119" t="s">
        <v>20</v>
      </c>
      <c r="E515" s="117" t="s">
        <v>370</v>
      </c>
      <c r="F515" s="120">
        <f t="shared" si="140"/>
        <v>2</v>
      </c>
      <c r="G515" s="121" t="str">
        <f t="shared" si="141"/>
        <v>Shawn</v>
      </c>
      <c r="H515" s="122">
        <f>IF($D515="",0,IFERROR(LOOKUP(2,1/(($D$3:D514=$D515)*($A$3:A514&lt;$A515)),$N$3:N514),'Guide &amp; Settings'!$C$41))</f>
        <v>1158.7120642893551</v>
      </c>
      <c r="I515" s="123">
        <f t="shared" si="142"/>
        <v>0.72727272727272729</v>
      </c>
      <c r="J515" s="124">
        <f>IF($D515="",0,IF($F515&lt;2,0,IF($E515="Win",('Guide &amp; Settings'!$C$42/(($F515-1)*COUNTIFS($A$4:$A$1510,$A515,$E$4:$E$1510,"Win")))*SUMIFS($X$4:$X$1510,$A$4:$A$1510,$A515,$E$4:$E$1510,"Loss"),-('Guide &amp; Settings'!$C$42/($F515-1))*$X515)))</f>
        <v>9.653197276232957</v>
      </c>
      <c r="K515" s="124">
        <f>IF($D515="",0,'Guide &amp; Settings'!$C$43*(IF($E515="Win",1,0)-$I515))</f>
        <v>3.2727272727272725</v>
      </c>
      <c r="L515" s="125">
        <f>IF($D515="",0,'Guide &amp; Settings'!$C$44*IF($F515&gt;=3,$F515,0))</f>
        <v>0</v>
      </c>
      <c r="M515" s="124">
        <f t="shared" si="143"/>
        <v>12.925924548960229</v>
      </c>
      <c r="N515" s="122">
        <f t="shared" si="144"/>
        <v>1171.6379888383153</v>
      </c>
      <c r="O515" s="121" t="str">
        <f t="shared" si="145"/>
        <v>OK</v>
      </c>
      <c r="P515">
        <f t="shared" si="146"/>
        <v>1158.7120642893551</v>
      </c>
      <c r="Q515">
        <f t="shared" si="147"/>
        <v>0.5</v>
      </c>
      <c r="R515">
        <f t="shared" si="148"/>
        <v>0.88888888888888884</v>
      </c>
      <c r="S515">
        <f t="shared" si="149"/>
        <v>1.2222222222222221</v>
      </c>
      <c r="T515" s="89">
        <f t="shared" si="150"/>
        <v>7</v>
      </c>
      <c r="U515" s="126">
        <f>IF($D515="",0,IFERROR(LOOKUP(2,1/(($D$3:D514=$D515)*($C$3:C514=$C515)*($A$3:A514&lt;$A515)),$AB$3:AB514),1000))</f>
        <v>1097.5332281035403</v>
      </c>
      <c r="V515" s="126">
        <f t="shared" si="151"/>
        <v>1123.0244098476298</v>
      </c>
      <c r="W515">
        <f t="shared" si="152"/>
        <v>1123.0244098476298</v>
      </c>
      <c r="X515">
        <f t="shared" si="153"/>
        <v>0.5</v>
      </c>
      <c r="Y515">
        <f t="shared" si="154"/>
        <v>1097.5332281035403</v>
      </c>
      <c r="Z515">
        <f t="shared" si="155"/>
        <v>0.5</v>
      </c>
      <c r="AA515">
        <f>IF($D515="",0,IF($F515&lt;2,0,IF($E515="Win",('Guide &amp; Settings'!$C$42/(($F515-1)*COUNTIFS($A$4:$A$1510,$A515,$E$4:$E$1510,"Win")))*SUMIFS($Z$4:$Z$1510,$A$4:$A$1510,$A515,$E$4:$E$1510,"Loss"),-('Guide &amp; Settings'!$C$42/($F515-1))*$Z515)))</f>
        <v>10.56555005393705</v>
      </c>
      <c r="AB515" s="126">
        <f t="shared" si="156"/>
        <v>1108.0987781574775</v>
      </c>
      <c r="AC515" s="126">
        <f>IF($D515="","",IF($AD515=0,0,IF(COUNTIFS($D$4:$D515,$D515,$B$4:$B515,$B515)&gt;1,0,IF($B515&lt;'Guide &amp; Settings'!$C$50,0,IF(($B515-$AD515)/7-'Guide &amp; Settings'!$C$48&gt;=0,(INT(($B515-$AD515)/7-'Guide &amp; Settings'!$C$48)+1)*'Guide &amp; Settings'!$C$49,0)))))</f>
        <v>0</v>
      </c>
      <c r="AD515" s="142">
        <f t="shared" si="157"/>
        <v>46247</v>
      </c>
      <c r="AE515">
        <f t="shared" si="158"/>
        <v>1</v>
      </c>
      <c r="AF515">
        <f t="shared" si="159"/>
        <v>0</v>
      </c>
    </row>
    <row r="516" spans="1:32" x14ac:dyDescent="0.2">
      <c r="A516" s="117">
        <v>223</v>
      </c>
      <c r="B516" s="118">
        <v>46255</v>
      </c>
      <c r="C516" s="119" t="s">
        <v>44</v>
      </c>
      <c r="D516" s="119" t="s">
        <v>15</v>
      </c>
      <c r="E516" s="117" t="s">
        <v>371</v>
      </c>
      <c r="F516" s="120">
        <f t="shared" ref="F516:F579" si="160">IF($D516="",0,COUNTIF($A$4:$A$1510,$A516))</f>
        <v>2</v>
      </c>
      <c r="G516" s="121" t="str">
        <f t="shared" ref="G516:G579" si="161">IF($D516="","",IFERROR(LOOKUP(2,1/(($A$4:$A$1510=$A516)*($E$4:$E$1510="Win")),$D$4:$D$1510),"(no winner)"))</f>
        <v>Shawn</v>
      </c>
      <c r="H516" s="122">
        <f>IF($D516="",0,IFERROR(LOOKUP(2,1/(($D$3:D515=$D516)*($A$3:A515&lt;$A516)),$N$3:N515),'Guide &amp; Settings'!$C$41))</f>
        <v>979.25599558985527</v>
      </c>
      <c r="I516" s="123">
        <f t="shared" ref="I516:I579" si="162">IF($D516="",0,IF($S516=0,0,$R516/$S516))</f>
        <v>0.27272727272727276</v>
      </c>
      <c r="J516" s="124">
        <f>IF($D516="",0,IF($F516&lt;2,0,IF($E516="Win",('Guide &amp; Settings'!$C$42/(($F516-1)*COUNTIFS($A$4:$A$1510,$A516,$E$4:$E$1510,"Win")))*SUMIFS($X$4:$X$1510,$A$4:$A$1510,$A516,$E$4:$E$1510,"Loss"),-('Guide &amp; Settings'!$C$42/($F516-1))*$X516)))</f>
        <v>-9.653197276232957</v>
      </c>
      <c r="K516" s="124">
        <f>IF($D516="",0,'Guide &amp; Settings'!$C$43*(IF($E516="Win",1,0)-$I516))</f>
        <v>-3.2727272727272734</v>
      </c>
      <c r="L516" s="125">
        <f>IF($D516="",0,'Guide &amp; Settings'!$C$44*IF($F516&gt;=3,$F516,0))</f>
        <v>0</v>
      </c>
      <c r="M516" s="124">
        <f t="shared" ref="M516:M579" si="163">IF($D516="",0,$J516+$K516+$L516)</f>
        <v>-12.92592454896023</v>
      </c>
      <c r="N516" s="122">
        <f t="shared" ref="N516:N579" si="164">IF($D516="",0,$H516+$M516)</f>
        <v>966.33007104089506</v>
      </c>
      <c r="O516" s="121" t="str">
        <f t="shared" ref="O516:O579" si="165">IF($D516="","",IF($AE516=0,"need a winner",IF($F516-$AE516=0,"need a loser",IF(MOD($AF516,2)=1,"duplicate player",IF(MOD(INT($AF516/2),2)=1,"mixed sports",IF($AF516&gt;=4,"mixed dates",IF($AE516&gt;1,IF($F516&gt;=4,"OK (team)","check winners"),"OK")))))))</f>
        <v>OK</v>
      </c>
      <c r="P516">
        <f t="shared" ref="P516:P579" si="166">IF($D516="",0,IFERROR(SUMIFS($H$4:$H$1510,$A$4:$A$1510,$A516,$E$4:$E$1510,"Win")/COUNTIFS($A$4:$A$1510,$A516,$E$4:$E$1510,"Win"),0))</f>
        <v>1158.7120642893551</v>
      </c>
      <c r="Q516">
        <f t="shared" ref="Q516:Q579" si="167">IF($D516="",0,1/(1+10^(($P516-$H516)/400)))</f>
        <v>0.26249667689848871</v>
      </c>
      <c r="R516">
        <f t="shared" ref="R516:R579" si="168">IF($D516="",0,(COUNTIFS($D$4:$D$1510,$D516,$C$4:$C$1510,$C516,$E$4:$E$1510,"Win",$A$4:$A$1510,"&lt;"&amp;$A516)+1)/(COUNTIFS($D$4:$D$1510,$D516,$C$4:$C$1510,$C516,$A$4:$A$1510,"&lt;"&amp;$A516)+2))</f>
        <v>0.33333333333333331</v>
      </c>
      <c r="S516">
        <f t="shared" ref="S516:S579" si="169">IF($D516="",0,SUMIFS($R$4:$R$1510,$A$4:$A$1510,$A516))</f>
        <v>1.2222222222222221</v>
      </c>
      <c r="T516" s="89">
        <f t="shared" ref="T516:T579" si="170">IF($D516="",0,COUNTIFS($D$4:$D$1510,$D516,$C$4:$C$1510,$C516,$A$4:$A$1510,"&lt;"&amp;$A516))</f>
        <v>4</v>
      </c>
      <c r="U516" s="126">
        <f>IF($D516="",0,IFERROR(LOOKUP(2,1/(($D$3:D515=$D516)*($C$3:C515=$C516)*($A$3:A515&lt;$A516)),$AB$3:AB515),1000))</f>
        <v>974.64513560516957</v>
      </c>
      <c r="V516" s="126">
        <f t="shared" ref="V516:V579" si="171">IF($D516="",0,$U516*($T516/($T516+5))+$H516*(1-$T516/($T516+5)))</f>
        <v>977.20672448555058</v>
      </c>
      <c r="W516">
        <f t="shared" ref="W516:W579" si="172">IF($D516="",0,IFERROR(SUMIFS($V$4:$V$1510,$A$4:$A$1510,$A516,$E$4:$E$1510,"Win")/COUNTIFS($A$4:$A$1510,$A516,$E$4:$E$1510,"Win"),0))</f>
        <v>1123.0244098476298</v>
      </c>
      <c r="X516">
        <f t="shared" ref="X516:X579" si="173">IF($D516="",0,1/(1+10^(($W516-$V516)/400)))</f>
        <v>0.30166241488227991</v>
      </c>
      <c r="Y516">
        <f t="shared" ref="Y516:Y579" si="174">IF($D516="",0,IFERROR(SUMIFS($U$4:$U$1510,$A$4:$A$1510,$A516,$E$4:$E$1510,"Win")/COUNTIFS($A$4:$A$1510,$A516,$E$4:$E$1510,"Win"),0))</f>
        <v>1097.5332281035403</v>
      </c>
      <c r="Z516">
        <f t="shared" ref="Z516:Z579" si="175">IF($D516="",0,1/(1+10^(($Y516-$U516)/400)))</f>
        <v>0.33017343918553282</v>
      </c>
      <c r="AA516">
        <f>IF($D516="",0,IF($F516&lt;2,0,IF($E516="Win",('Guide &amp; Settings'!$C$42/(($F516-1)*COUNTIFS($A$4:$A$1510,$A516,$E$4:$E$1510,"Win")))*SUMIFS($Z$4:$Z$1510,$A$4:$A$1510,$A516,$E$4:$E$1510,"Loss"),-('Guide &amp; Settings'!$C$42/($F516-1))*$Z516)))</f>
        <v>-10.56555005393705</v>
      </c>
      <c r="AB516" s="126">
        <f t="shared" ref="AB516:AB579" si="176">IF($D516="",0,$U516+$AA516)</f>
        <v>964.07958555123253</v>
      </c>
      <c r="AC516" s="126">
        <f>IF($D516="","",IF($AD516=0,0,IF(COUNTIFS($D$4:$D516,$D516,$B$4:$B516,$B516)&gt;1,0,IF($B516&lt;'Guide &amp; Settings'!$C$50,0,IF(($B516-$AD516)/7-'Guide &amp; Settings'!$C$48&gt;=0,(INT(($B516-$AD516)/7-'Guide &amp; Settings'!$C$48)+1)*'Guide &amp; Settings'!$C$49,0)))))</f>
        <v>0</v>
      </c>
      <c r="AD516" s="142">
        <f t="shared" ref="AD516:AD579" si="177">IF($D516="",0,SUMPRODUCT(MAX(($D$4:$D$1510=$D516)*($B$4:$B$1510&lt;$B516)*$B$4:$B$1510)))</f>
        <v>46229</v>
      </c>
      <c r="AE516">
        <f t="shared" ref="AE516:AE579" si="178">IF($D516="",0,COUNTIFS($A$4:$A$1510,$A516,$E$4:$E$1510,"Win"))</f>
        <v>1</v>
      </c>
      <c r="AF516">
        <f t="shared" ref="AF516:AF579" si="179">IF($D516="",0,(COUNTIFS($A$4:$A$1510,$A516,$D$4:$D$1510,$D516)&gt;1)*1+(COUNTIFS($A$4:$A$1510,$A516,$C$4:$C$1510,"&lt;&gt;"&amp;$C516)&gt;0)*2+(COUNTIFS($A$4:$A$1510,$A516,$B$4:$B$1510,"&lt;&gt;"&amp;$B516)&gt;0)*4)</f>
        <v>0</v>
      </c>
    </row>
    <row r="517" spans="1:32" x14ac:dyDescent="0.2">
      <c r="A517" s="117">
        <v>224</v>
      </c>
      <c r="B517" s="118">
        <v>46255</v>
      </c>
      <c r="C517" s="119" t="s">
        <v>44</v>
      </c>
      <c r="D517" s="119" t="s">
        <v>20</v>
      </c>
      <c r="E517" s="117" t="s">
        <v>371</v>
      </c>
      <c r="F517" s="120">
        <f t="shared" si="160"/>
        <v>2</v>
      </c>
      <c r="G517" s="121" t="str">
        <f t="shared" si="161"/>
        <v>Aaron</v>
      </c>
      <c r="H517" s="122">
        <f>IF($D517="",0,IFERROR(LOOKUP(2,1/(($D$3:D516=$D517)*($A$3:A516&lt;$A517)),$N$3:N516),'Guide &amp; Settings'!$C$41))</f>
        <v>1171.6379888383153</v>
      </c>
      <c r="I517" s="123">
        <f t="shared" si="162"/>
        <v>0.75903614457831325</v>
      </c>
      <c r="J517" s="124">
        <f>IF($D517="",0,IF($F517&lt;2,0,IF($E517="Win",('Guide &amp; Settings'!$C$42/(($F517-1)*COUNTIFS($A$4:$A$1510,$A517,$E$4:$E$1510,"Win")))*SUMIFS($X$4:$X$1510,$A$4:$A$1510,$A517,$E$4:$E$1510,"Loss"),-('Guide &amp; Settings'!$C$42/($F517-1))*$X517)))</f>
        <v>-23.160647883536413</v>
      </c>
      <c r="K517" s="124">
        <f>IF($D517="",0,'Guide &amp; Settings'!$C$43*(IF($E517="Win",1,0)-$I517))</f>
        <v>-9.1084337349397586</v>
      </c>
      <c r="L517" s="125">
        <f>IF($D517="",0,'Guide &amp; Settings'!$C$44*IF($F517&gt;=3,$F517,0))</f>
        <v>0</v>
      </c>
      <c r="M517" s="124">
        <f t="shared" si="163"/>
        <v>-32.269081618476172</v>
      </c>
      <c r="N517" s="122">
        <f t="shared" si="164"/>
        <v>1139.3689072198392</v>
      </c>
      <c r="O517" s="121" t="str">
        <f t="shared" si="165"/>
        <v>OK</v>
      </c>
      <c r="P517">
        <f t="shared" si="166"/>
        <v>966.33007104089506</v>
      </c>
      <c r="Q517">
        <f t="shared" si="167"/>
        <v>0.76527980455688505</v>
      </c>
      <c r="R517">
        <f t="shared" si="168"/>
        <v>0.9</v>
      </c>
      <c r="S517">
        <f t="shared" si="169"/>
        <v>1.1857142857142857</v>
      </c>
      <c r="T517" s="89">
        <f t="shared" si="170"/>
        <v>8</v>
      </c>
      <c r="U517" s="126">
        <f>IF($D517="",0,IFERROR(LOOKUP(2,1/(($D$3:D516=$D517)*($C$3:C516=$C517)*($A$3:A516&lt;$A517)),$AB$3:AB516),1000))</f>
        <v>1108.0987781574775</v>
      </c>
      <c r="V517" s="126">
        <f t="shared" si="171"/>
        <v>1132.5369361116459</v>
      </c>
      <c r="W517">
        <f t="shared" si="172"/>
        <v>965.20482829606385</v>
      </c>
      <c r="X517">
        <f t="shared" si="173"/>
        <v>0.7237702463605129</v>
      </c>
      <c r="Y517">
        <f t="shared" si="174"/>
        <v>964.07958555123253</v>
      </c>
      <c r="Z517">
        <f t="shared" si="175"/>
        <v>0.69615214046693596</v>
      </c>
      <c r="AA517">
        <f>IF($D517="",0,IF($F517&lt;2,0,IF($E517="Win",('Guide &amp; Settings'!$C$42/(($F517-1)*COUNTIFS($A$4:$A$1510,$A517,$E$4:$E$1510,"Win")))*SUMIFS($Z$4:$Z$1510,$A$4:$A$1510,$A517,$E$4:$E$1510,"Loss"),-('Guide &amp; Settings'!$C$42/($F517-1))*$Z517)))</f>
        <v>-22.276868494941951</v>
      </c>
      <c r="AB517" s="126">
        <f t="shared" si="176"/>
        <v>1085.8219096625355</v>
      </c>
      <c r="AC517" s="126">
        <f>IF($D517="","",IF($AD517=0,0,IF(COUNTIFS($D$4:$D517,$D517,$B$4:$B517,$B517)&gt;1,0,IF($B517&lt;'Guide &amp; Settings'!$C$50,0,IF(($B517-$AD517)/7-'Guide &amp; Settings'!$C$48&gt;=0,(INT(($B517-$AD517)/7-'Guide &amp; Settings'!$C$48)+1)*'Guide &amp; Settings'!$C$49,0)))))</f>
        <v>0</v>
      </c>
      <c r="AD517" s="142">
        <f t="shared" si="177"/>
        <v>46247</v>
      </c>
      <c r="AE517">
        <f t="shared" si="178"/>
        <v>1</v>
      </c>
      <c r="AF517">
        <f t="shared" si="179"/>
        <v>0</v>
      </c>
    </row>
    <row r="518" spans="1:32" x14ac:dyDescent="0.2">
      <c r="A518" s="117">
        <v>224</v>
      </c>
      <c r="B518" s="118">
        <v>46255</v>
      </c>
      <c r="C518" s="119" t="s">
        <v>44</v>
      </c>
      <c r="D518" s="119" t="s">
        <v>15</v>
      </c>
      <c r="E518" s="117" t="s">
        <v>370</v>
      </c>
      <c r="F518" s="120">
        <f t="shared" si="160"/>
        <v>2</v>
      </c>
      <c r="G518" s="121" t="str">
        <f t="shared" si="161"/>
        <v>Aaron</v>
      </c>
      <c r="H518" s="122">
        <f>IF($D518="",0,IFERROR(LOOKUP(2,1/(($D$3:D517=$D518)*($A$3:A517&lt;$A518)),$N$3:N517),'Guide &amp; Settings'!$C$41))</f>
        <v>966.33007104089506</v>
      </c>
      <c r="I518" s="123">
        <f t="shared" si="162"/>
        <v>0.24096385542168675</v>
      </c>
      <c r="J518" s="124">
        <f>IF($D518="",0,IF($F518&lt;2,0,IF($E518="Win",('Guide &amp; Settings'!$C$42/(($F518-1)*COUNTIFS($A$4:$A$1510,$A518,$E$4:$E$1510,"Win")))*SUMIFS($X$4:$X$1510,$A$4:$A$1510,$A518,$E$4:$E$1510,"Loss"),-('Guide &amp; Settings'!$C$42/($F518-1))*$X518)))</f>
        <v>23.160647883536413</v>
      </c>
      <c r="K518" s="124">
        <f>IF($D518="",0,'Guide &amp; Settings'!$C$43*(IF($E518="Win",1,0)-$I518))</f>
        <v>9.1084337349397586</v>
      </c>
      <c r="L518" s="125">
        <f>IF($D518="",0,'Guide &amp; Settings'!$C$44*IF($F518&gt;=3,$F518,0))</f>
        <v>0</v>
      </c>
      <c r="M518" s="124">
        <f t="shared" si="163"/>
        <v>32.269081618476172</v>
      </c>
      <c r="N518" s="122">
        <f t="shared" si="164"/>
        <v>998.59915265937127</v>
      </c>
      <c r="O518" s="121" t="str">
        <f t="shared" si="165"/>
        <v>OK</v>
      </c>
      <c r="P518">
        <f t="shared" si="166"/>
        <v>966.33007104089506</v>
      </c>
      <c r="Q518">
        <f t="shared" si="167"/>
        <v>0.5</v>
      </c>
      <c r="R518">
        <f t="shared" si="168"/>
        <v>0.2857142857142857</v>
      </c>
      <c r="S518">
        <f t="shared" si="169"/>
        <v>1.1857142857142857</v>
      </c>
      <c r="T518" s="89">
        <f t="shared" si="170"/>
        <v>5</v>
      </c>
      <c r="U518" s="126">
        <f>IF($D518="",0,IFERROR(LOOKUP(2,1/(($D$3:D517=$D518)*($C$3:C517=$C518)*($A$3:A517&lt;$A518)),$AB$3:AB517),1000))</f>
        <v>964.07958555123253</v>
      </c>
      <c r="V518" s="126">
        <f t="shared" si="171"/>
        <v>965.20482829606385</v>
      </c>
      <c r="W518">
        <f t="shared" si="172"/>
        <v>965.20482829606385</v>
      </c>
      <c r="X518">
        <f t="shared" si="173"/>
        <v>0.5</v>
      </c>
      <c r="Y518">
        <f t="shared" si="174"/>
        <v>964.07958555123253</v>
      </c>
      <c r="Z518">
        <f t="shared" si="175"/>
        <v>0.5</v>
      </c>
      <c r="AA518">
        <f>IF($D518="",0,IF($F518&lt;2,0,IF($E518="Win",('Guide &amp; Settings'!$C$42/(($F518-1)*COUNTIFS($A$4:$A$1510,$A518,$E$4:$E$1510,"Win")))*SUMIFS($Z$4:$Z$1510,$A$4:$A$1510,$A518,$E$4:$E$1510,"Loss"),-('Guide &amp; Settings'!$C$42/($F518-1))*$Z518)))</f>
        <v>22.276868494941951</v>
      </c>
      <c r="AB518" s="126">
        <f t="shared" si="176"/>
        <v>986.35645404617446</v>
      </c>
      <c r="AC518" s="126">
        <f>IF($D518="","",IF($AD518=0,0,IF(COUNTIFS($D$4:$D518,$D518,$B$4:$B518,$B518)&gt;1,0,IF($B518&lt;'Guide &amp; Settings'!$C$50,0,IF(($B518-$AD518)/7-'Guide &amp; Settings'!$C$48&gt;=0,(INT(($B518-$AD518)/7-'Guide &amp; Settings'!$C$48)+1)*'Guide &amp; Settings'!$C$49,0)))))</f>
        <v>0</v>
      </c>
      <c r="AD518" s="142">
        <f t="shared" si="177"/>
        <v>46229</v>
      </c>
      <c r="AE518">
        <f t="shared" si="178"/>
        <v>1</v>
      </c>
      <c r="AF518">
        <f t="shared" si="179"/>
        <v>0</v>
      </c>
    </row>
    <row r="519" spans="1:32" x14ac:dyDescent="0.2">
      <c r="A519" s="117">
        <v>225</v>
      </c>
      <c r="B519" s="118">
        <v>46255</v>
      </c>
      <c r="C519" s="119" t="s">
        <v>34</v>
      </c>
      <c r="D519" s="119" t="s">
        <v>20</v>
      </c>
      <c r="E519" s="117" t="s">
        <v>370</v>
      </c>
      <c r="F519" s="120">
        <f t="shared" si="160"/>
        <v>5</v>
      </c>
      <c r="G519" s="121" t="str">
        <f t="shared" si="161"/>
        <v>Shawn</v>
      </c>
      <c r="H519" s="122">
        <f>IF($D519="",0,IFERROR(LOOKUP(2,1/(($D$3:D518=$D519)*($A$3:A518&lt;$A519)),$N$3:N518),'Guide &amp; Settings'!$C$41))</f>
        <v>1139.3689072198392</v>
      </c>
      <c r="I519" s="123">
        <f t="shared" si="162"/>
        <v>0.19230769230769229</v>
      </c>
      <c r="J519" s="124">
        <f>IF($D519="",0,IF($F519&lt;2,0,IF($E519="Win",('Guide &amp; Settings'!$C$42/(($F519-1)*COUNTIFS($A$4:$A$1510,$A519,$E$4:$E$1510,"Win")))*SUMIFS($X$4:$X$1510,$A$4:$A$1510,$A519,$E$4:$E$1510,"Loss"),-('Guide &amp; Settings'!$C$42/($F519-1))*$X519)))</f>
        <v>15.793026425747403</v>
      </c>
      <c r="K519" s="124">
        <f>IF($D519="",0,'Guide &amp; Settings'!$C$43*(IF($E519="Win",1,0)-$I519))</f>
        <v>9.6923076923076934</v>
      </c>
      <c r="L519" s="125">
        <f>IF($D519="",0,'Guide &amp; Settings'!$C$44*IF($F519&gt;=3,$F519,0))</f>
        <v>5</v>
      </c>
      <c r="M519" s="124">
        <f t="shared" si="163"/>
        <v>30.485334118055096</v>
      </c>
      <c r="N519" s="122">
        <f t="shared" si="164"/>
        <v>1169.8542413378943</v>
      </c>
      <c r="O519" s="121" t="str">
        <f t="shared" si="165"/>
        <v>OK</v>
      </c>
      <c r="P519">
        <f t="shared" si="166"/>
        <v>1139.3689072198392</v>
      </c>
      <c r="Q519">
        <f t="shared" si="167"/>
        <v>0.5</v>
      </c>
      <c r="R519">
        <f t="shared" si="168"/>
        <v>0.5</v>
      </c>
      <c r="S519">
        <f t="shared" si="169"/>
        <v>2.6</v>
      </c>
      <c r="T519" s="89">
        <f t="shared" si="170"/>
        <v>2</v>
      </c>
      <c r="U519" s="126">
        <f>IF($D519="",0,IFERROR(LOOKUP(2,1/(($D$3:D518=$D519)*($C$3:C518=$C519)*($A$3:A518&lt;$A519)),$AB$3:AB518),1000))</f>
        <v>998.53049847102454</v>
      </c>
      <c r="V519" s="126">
        <f t="shared" si="171"/>
        <v>1099.129361863035</v>
      </c>
      <c r="W519">
        <f t="shared" si="172"/>
        <v>1099.129361863035</v>
      </c>
      <c r="X519">
        <f t="shared" si="173"/>
        <v>0.5</v>
      </c>
      <c r="Y519">
        <f t="shared" si="174"/>
        <v>998.53049847102454</v>
      </c>
      <c r="Z519">
        <f t="shared" si="175"/>
        <v>0.5</v>
      </c>
      <c r="AA519">
        <f>IF($D519="",0,IF($F519&lt;2,0,IF($E519="Win",('Guide &amp; Settings'!$C$42/(($F519-1)*COUNTIFS($A$4:$A$1510,$A519,$E$4:$E$1510,"Win")))*SUMIFS($Z$4:$Z$1510,$A$4:$A$1510,$A519,$E$4:$E$1510,"Loss"),-('Guide &amp; Settings'!$C$42/($F519-1))*$Z519)))</f>
        <v>16.341512263466377</v>
      </c>
      <c r="AB519" s="126">
        <f t="shared" si="176"/>
        <v>1014.8720107344909</v>
      </c>
      <c r="AC519" s="126">
        <f>IF($D519="","",IF($AD519=0,0,IF(COUNTIFS($D$4:$D519,$D519,$B$4:$B519,$B519)&gt;1,0,IF($B519&lt;'Guide &amp; Settings'!$C$50,0,IF(($B519-$AD519)/7-'Guide &amp; Settings'!$C$48&gt;=0,(INT(($B519-$AD519)/7-'Guide &amp; Settings'!$C$48)+1)*'Guide &amp; Settings'!$C$49,0)))))</f>
        <v>0</v>
      </c>
      <c r="AD519" s="142">
        <f t="shared" si="177"/>
        <v>46247</v>
      </c>
      <c r="AE519">
        <f t="shared" si="178"/>
        <v>1</v>
      </c>
      <c r="AF519">
        <f t="shared" si="179"/>
        <v>0</v>
      </c>
    </row>
    <row r="520" spans="1:32" x14ac:dyDescent="0.2">
      <c r="A520" s="117">
        <v>225</v>
      </c>
      <c r="B520" s="118">
        <v>46255</v>
      </c>
      <c r="C520" s="119" t="s">
        <v>34</v>
      </c>
      <c r="D520" s="119" t="s">
        <v>21</v>
      </c>
      <c r="E520" s="117" t="s">
        <v>371</v>
      </c>
      <c r="F520" s="120">
        <f t="shared" si="160"/>
        <v>5</v>
      </c>
      <c r="G520" s="121" t="str">
        <f t="shared" si="161"/>
        <v>Shawn</v>
      </c>
      <c r="H520" s="122">
        <f>IF($D520="",0,IFERROR(LOOKUP(2,1/(($D$3:D519=$D520)*($A$3:A519&lt;$A520)),$N$3:N519),'Guide &amp; Settings'!$C$41))</f>
        <v>1050.2393073123574</v>
      </c>
      <c r="I520" s="123">
        <f t="shared" si="162"/>
        <v>0.19230769230769229</v>
      </c>
      <c r="J520" s="124">
        <f>IF($D520="",0,IF($F520&lt;2,0,IF($E520="Win",('Guide &amp; Settings'!$C$42/(($F520-1)*COUNTIFS($A$4:$A$1510,$A520,$E$4:$E$1510,"Win")))*SUMIFS($X$4:$X$1510,$A$4:$A$1510,$A520,$E$4:$E$1510,"Loss"),-('Guide &amp; Settings'!$C$42/($F520-1))*$X520)))</f>
        <v>-3.4408184130556534</v>
      </c>
      <c r="K520" s="124">
        <f>IF($D520="",0,'Guide &amp; Settings'!$C$43*(IF($E520="Win",1,0)-$I520))</f>
        <v>-2.3076923076923075</v>
      </c>
      <c r="L520" s="125">
        <f>IF($D520="",0,'Guide &amp; Settings'!$C$44*IF($F520&gt;=3,$F520,0))</f>
        <v>5</v>
      </c>
      <c r="M520" s="124">
        <f t="shared" si="163"/>
        <v>-0.74851072074796043</v>
      </c>
      <c r="N520" s="122">
        <f t="shared" si="164"/>
        <v>1049.4907965916093</v>
      </c>
      <c r="O520" s="121" t="str">
        <f t="shared" si="165"/>
        <v>OK</v>
      </c>
      <c r="P520">
        <f t="shared" si="166"/>
        <v>1139.3689072198392</v>
      </c>
      <c r="Q520">
        <f t="shared" si="167"/>
        <v>0.37447383624408681</v>
      </c>
      <c r="R520">
        <f t="shared" si="168"/>
        <v>0.5</v>
      </c>
      <c r="S520">
        <f t="shared" si="169"/>
        <v>2.6</v>
      </c>
      <c r="T520" s="89">
        <f t="shared" si="170"/>
        <v>0</v>
      </c>
      <c r="U520" s="126">
        <f>IF($D520="",0,IFERROR(LOOKUP(2,1/(($D$3:D519=$D520)*($C$3:C519=$C520)*($A$3:A519&lt;$A520)),$AB$3:AB519),1000))</f>
        <v>1000</v>
      </c>
      <c r="V520" s="126">
        <f t="shared" si="171"/>
        <v>1050.2393073123574</v>
      </c>
      <c r="W520">
        <f t="shared" si="172"/>
        <v>1099.129361863035</v>
      </c>
      <c r="X520">
        <f t="shared" si="173"/>
        <v>0.43010230163195667</v>
      </c>
      <c r="Y520">
        <f t="shared" si="174"/>
        <v>998.53049847102454</v>
      </c>
      <c r="Z520">
        <f t="shared" si="175"/>
        <v>0.50211477008620276</v>
      </c>
      <c r="AA520">
        <f>IF($D520="",0,IF($F520&lt;2,0,IF($E520="Win",('Guide &amp; Settings'!$C$42/(($F520-1)*COUNTIFS($A$4:$A$1510,$A520,$E$4:$E$1510,"Win")))*SUMIFS($Z$4:$Z$1510,$A$4:$A$1510,$A520,$E$4:$E$1510,"Loss"),-('Guide &amp; Settings'!$C$42/($F520-1))*$Z520)))</f>
        <v>-4.016918160689622</v>
      </c>
      <c r="AB520" s="126">
        <f t="shared" si="176"/>
        <v>995.98308183931033</v>
      </c>
      <c r="AC520" s="126">
        <f>IF($D520="","",IF($AD520=0,0,IF(COUNTIFS($D$4:$D520,$D520,$B$4:$B520,$B520)&gt;1,0,IF($B520&lt;'Guide &amp; Settings'!$C$50,0,IF(($B520-$AD520)/7-'Guide &amp; Settings'!$C$48&gt;=0,(INT(($B520-$AD520)/7-'Guide &amp; Settings'!$C$48)+1)*'Guide &amp; Settings'!$C$49,0)))))</f>
        <v>0</v>
      </c>
      <c r="AD520" s="142">
        <f t="shared" si="177"/>
        <v>46229</v>
      </c>
      <c r="AE520">
        <f t="shared" si="178"/>
        <v>1</v>
      </c>
      <c r="AF520">
        <f t="shared" si="179"/>
        <v>0</v>
      </c>
    </row>
    <row r="521" spans="1:32" x14ac:dyDescent="0.2">
      <c r="A521" s="117">
        <v>225</v>
      </c>
      <c r="B521" s="118">
        <v>46255</v>
      </c>
      <c r="C521" s="119" t="s">
        <v>34</v>
      </c>
      <c r="D521" s="119" t="s">
        <v>23</v>
      </c>
      <c r="E521" s="117" t="s">
        <v>371</v>
      </c>
      <c r="F521" s="120">
        <f t="shared" si="160"/>
        <v>5</v>
      </c>
      <c r="G521" s="121" t="str">
        <f t="shared" si="161"/>
        <v>Shawn</v>
      </c>
      <c r="H521" s="122">
        <f>IF($D521="",0,IFERROR(LOOKUP(2,1/(($D$3:D520=$D521)*($A$3:A520&lt;$A521)),$N$3:N520),'Guide &amp; Settings'!$C$41))</f>
        <v>1241.7029363250533</v>
      </c>
      <c r="I521" s="123">
        <f t="shared" si="162"/>
        <v>0.19230769230769229</v>
      </c>
      <c r="J521" s="124">
        <f>IF($D521="",0,IF($F521&lt;2,0,IF($E521="Win",('Guide &amp; Settings'!$C$42/(($F521-1)*COUNTIFS($A$4:$A$1510,$A521,$E$4:$E$1510,"Win")))*SUMIFS($X$4:$X$1510,$A$4:$A$1510,$A521,$E$4:$E$1510,"Loss"),-('Guide &amp; Settings'!$C$42/($F521-1))*$X521)))</f>
        <v>-5.555112334837883</v>
      </c>
      <c r="K521" s="124">
        <f>IF($D521="",0,'Guide &amp; Settings'!$C$43*(IF($E521="Win",1,0)-$I521))</f>
        <v>-2.3076923076923075</v>
      </c>
      <c r="L521" s="125">
        <f>IF($D521="",0,'Guide &amp; Settings'!$C$44*IF($F521&gt;=3,$F521,0))</f>
        <v>5</v>
      </c>
      <c r="M521" s="124">
        <f t="shared" si="163"/>
        <v>-2.8628046425301905</v>
      </c>
      <c r="N521" s="122">
        <f t="shared" si="164"/>
        <v>1238.8401316825232</v>
      </c>
      <c r="O521" s="121" t="str">
        <f t="shared" si="165"/>
        <v>OK</v>
      </c>
      <c r="P521">
        <f t="shared" si="166"/>
        <v>1139.3689072198392</v>
      </c>
      <c r="Q521">
        <f t="shared" si="167"/>
        <v>0.64315449185101436</v>
      </c>
      <c r="R521">
        <f t="shared" si="168"/>
        <v>0.5</v>
      </c>
      <c r="S521">
        <f t="shared" si="169"/>
        <v>2.6</v>
      </c>
      <c r="T521" s="89">
        <f t="shared" si="170"/>
        <v>0</v>
      </c>
      <c r="U521" s="126">
        <f>IF($D521="",0,IFERROR(LOOKUP(2,1/(($D$3:D520=$D521)*($C$3:C520=$C521)*($A$3:A520&lt;$A521)),$AB$3:AB520),1000))</f>
        <v>1000</v>
      </c>
      <c r="V521" s="126">
        <f t="shared" si="171"/>
        <v>1241.7029363250533</v>
      </c>
      <c r="W521">
        <f t="shared" si="172"/>
        <v>1099.129361863035</v>
      </c>
      <c r="X521">
        <f t="shared" si="173"/>
        <v>0.69438904185473538</v>
      </c>
      <c r="Y521">
        <f t="shared" si="174"/>
        <v>998.53049847102454</v>
      </c>
      <c r="Z521">
        <f t="shared" si="175"/>
        <v>0.50211477008620276</v>
      </c>
      <c r="AA521">
        <f>IF($D521="",0,IF($F521&lt;2,0,IF($E521="Win",('Guide &amp; Settings'!$C$42/(($F521-1)*COUNTIFS($A$4:$A$1510,$A521,$E$4:$E$1510,"Win")))*SUMIFS($Z$4:$Z$1510,$A$4:$A$1510,$A521,$E$4:$E$1510,"Loss"),-('Guide &amp; Settings'!$C$42/($F521-1))*$Z521)))</f>
        <v>-4.016918160689622</v>
      </c>
      <c r="AB521" s="126">
        <f t="shared" si="176"/>
        <v>995.98308183931033</v>
      </c>
      <c r="AC521" s="126">
        <f>IF($D521="","",IF($AD521=0,0,IF(COUNTIFS($D$4:$D521,$D521,$B$4:$B521,$B521)&gt;1,0,IF($B521&lt;'Guide &amp; Settings'!$C$50,0,IF(($B521-$AD521)/7-'Guide &amp; Settings'!$C$48&gt;=0,(INT(($B521-$AD521)/7-'Guide &amp; Settings'!$C$48)+1)*'Guide &amp; Settings'!$C$49,0)))))</f>
        <v>20</v>
      </c>
      <c r="AD521" s="142">
        <f t="shared" si="177"/>
        <v>46215</v>
      </c>
      <c r="AE521">
        <f t="shared" si="178"/>
        <v>1</v>
      </c>
      <c r="AF521">
        <f t="shared" si="179"/>
        <v>0</v>
      </c>
    </row>
    <row r="522" spans="1:32" x14ac:dyDescent="0.2">
      <c r="A522" s="117">
        <v>225</v>
      </c>
      <c r="B522" s="118">
        <v>46255</v>
      </c>
      <c r="C522" s="119" t="s">
        <v>34</v>
      </c>
      <c r="D522" s="119" t="s">
        <v>15</v>
      </c>
      <c r="E522" s="117" t="s">
        <v>371</v>
      </c>
      <c r="F522" s="120">
        <f t="shared" si="160"/>
        <v>5</v>
      </c>
      <c r="G522" s="121" t="str">
        <f t="shared" si="161"/>
        <v>Shawn</v>
      </c>
      <c r="H522" s="122">
        <f>IF($D522="",0,IFERROR(LOOKUP(2,1/(($D$3:D521=$D522)*($A$3:A521&lt;$A522)),$N$3:N521),'Guide &amp; Settings'!$C$41))</f>
        <v>998.59915265937127</v>
      </c>
      <c r="I522" s="123">
        <f t="shared" si="162"/>
        <v>0.19230769230769229</v>
      </c>
      <c r="J522" s="124">
        <f>IF($D522="",0,IF($F522&lt;2,0,IF($E522="Win",('Guide &amp; Settings'!$C$42/(($F522-1)*COUNTIFS($A$4:$A$1510,$A522,$E$4:$E$1510,"Win")))*SUMIFS($X$4:$X$1510,$A$4:$A$1510,$A522,$E$4:$E$1510,"Loss"),-('Guide &amp; Settings'!$C$42/($F522-1))*$X522)))</f>
        <v>-2.882556305270406</v>
      </c>
      <c r="K522" s="124">
        <f>IF($D522="",0,'Guide &amp; Settings'!$C$43*(IF($E522="Win",1,0)-$I522))</f>
        <v>-2.3076923076923075</v>
      </c>
      <c r="L522" s="125">
        <f>IF($D522="",0,'Guide &amp; Settings'!$C$44*IF($F522&gt;=3,$F522,0))</f>
        <v>5</v>
      </c>
      <c r="M522" s="124">
        <f t="shared" si="163"/>
        <v>-0.19024861296271389</v>
      </c>
      <c r="N522" s="122">
        <f t="shared" si="164"/>
        <v>998.40890404640857</v>
      </c>
      <c r="O522" s="121" t="str">
        <f t="shared" si="165"/>
        <v>OK</v>
      </c>
      <c r="P522">
        <f t="shared" si="166"/>
        <v>1139.3689072198392</v>
      </c>
      <c r="Q522">
        <f t="shared" si="167"/>
        <v>0.30781893357166434</v>
      </c>
      <c r="R522">
        <f t="shared" si="168"/>
        <v>0.5</v>
      </c>
      <c r="S522">
        <f t="shared" si="169"/>
        <v>2.6</v>
      </c>
      <c r="T522" s="89">
        <f t="shared" si="170"/>
        <v>2</v>
      </c>
      <c r="U522" s="126">
        <f>IF($D522="",0,IFERROR(LOOKUP(2,1/(($D$3:D521=$D522)*($C$3:C521=$C522)*($A$3:A521&lt;$A522)),$AB$3:AB521),1000))</f>
        <v>1001.4695015289755</v>
      </c>
      <c r="V522" s="126">
        <f t="shared" si="171"/>
        <v>999.41925233640109</v>
      </c>
      <c r="W522">
        <f t="shared" si="172"/>
        <v>1099.129361863035</v>
      </c>
      <c r="X522">
        <f t="shared" si="173"/>
        <v>0.36031953815880075</v>
      </c>
      <c r="Y522">
        <f t="shared" si="174"/>
        <v>998.53049847102454</v>
      </c>
      <c r="Z522">
        <f t="shared" si="175"/>
        <v>0.50422946451147233</v>
      </c>
      <c r="AA522">
        <f>IF($D522="",0,IF($F522&lt;2,0,IF($E522="Win",('Guide &amp; Settings'!$C$42/(($F522-1)*COUNTIFS($A$4:$A$1510,$A522,$E$4:$E$1510,"Win")))*SUMIFS($Z$4:$Z$1510,$A$4:$A$1510,$A522,$E$4:$E$1510,"Loss"),-('Guide &amp; Settings'!$C$42/($F522-1))*$Z522)))</f>
        <v>-4.0338357160917786</v>
      </c>
      <c r="AB522" s="126">
        <f t="shared" si="176"/>
        <v>997.43566581288371</v>
      </c>
      <c r="AC522" s="126">
        <f>IF($D522="","",IF($AD522=0,0,IF(COUNTIFS($D$4:$D522,$D522,$B$4:$B522,$B522)&gt;1,0,IF($B522&lt;'Guide &amp; Settings'!$C$50,0,IF(($B522-$AD522)/7-'Guide &amp; Settings'!$C$48&gt;=0,(INT(($B522-$AD522)/7-'Guide &amp; Settings'!$C$48)+1)*'Guide &amp; Settings'!$C$49,0)))))</f>
        <v>0</v>
      </c>
      <c r="AD522" s="142">
        <f t="shared" si="177"/>
        <v>46229</v>
      </c>
      <c r="AE522">
        <f t="shared" si="178"/>
        <v>1</v>
      </c>
      <c r="AF522">
        <f t="shared" si="179"/>
        <v>0</v>
      </c>
    </row>
    <row r="523" spans="1:32" x14ac:dyDescent="0.2">
      <c r="A523" s="117">
        <v>225</v>
      </c>
      <c r="B523" s="118">
        <v>46255</v>
      </c>
      <c r="C523" s="119" t="s">
        <v>34</v>
      </c>
      <c r="D523" s="119" t="s">
        <v>22</v>
      </c>
      <c r="E523" s="117" t="s">
        <v>371</v>
      </c>
      <c r="F523" s="120">
        <f t="shared" si="160"/>
        <v>5</v>
      </c>
      <c r="G523" s="121" t="str">
        <f t="shared" si="161"/>
        <v>Shawn</v>
      </c>
      <c r="H523" s="122">
        <f>IF($D523="",0,IFERROR(LOOKUP(2,1/(($D$3:D522=$D523)*($A$3:A522&lt;$A523)),$N$3:N522),'Guide &amp; Settings'!$C$41))</f>
        <v>1133.3164127790435</v>
      </c>
      <c r="I523" s="123">
        <f t="shared" si="162"/>
        <v>0.23076923076923075</v>
      </c>
      <c r="J523" s="124">
        <f>IF($D523="",0,IF($F523&lt;2,0,IF($E523="Win",('Guide &amp; Settings'!$C$42/(($F523-1)*COUNTIFS($A$4:$A$1510,$A523,$E$4:$E$1510,"Win")))*SUMIFS($X$4:$X$1510,$A$4:$A$1510,$A523,$E$4:$E$1510,"Loss"),-('Guide &amp; Settings'!$C$42/($F523-1))*$X523)))</f>
        <v>-3.9145393725834601</v>
      </c>
      <c r="K523" s="124">
        <f>IF($D523="",0,'Guide &amp; Settings'!$C$43*(IF($E523="Win",1,0)-$I523))</f>
        <v>-2.7692307692307692</v>
      </c>
      <c r="L523" s="125">
        <f>IF($D523="",0,'Guide &amp; Settings'!$C$44*IF($F523&gt;=3,$F523,0))</f>
        <v>5</v>
      </c>
      <c r="M523" s="124">
        <f t="shared" si="163"/>
        <v>-1.6837701418142288</v>
      </c>
      <c r="N523" s="122">
        <f t="shared" si="164"/>
        <v>1131.6326426372293</v>
      </c>
      <c r="O523" s="121" t="str">
        <f t="shared" si="165"/>
        <v>OK</v>
      </c>
      <c r="P523">
        <f t="shared" si="166"/>
        <v>1139.3689072198392</v>
      </c>
      <c r="Q523">
        <f t="shared" si="167"/>
        <v>0.49129064132911593</v>
      </c>
      <c r="R523">
        <f t="shared" si="168"/>
        <v>0.6</v>
      </c>
      <c r="S523">
        <f t="shared" si="169"/>
        <v>2.6</v>
      </c>
      <c r="T523" s="89">
        <f t="shared" si="170"/>
        <v>3</v>
      </c>
      <c r="U523" s="126">
        <f>IF($D523="",0,IFERROR(LOOKUP(2,1/(($D$3:D522=$D523)*($C$3:C522=$C523)*($A$3:A522&lt;$A523)),$AB$3:AB522),1000))</f>
        <v>1022.3532221976958</v>
      </c>
      <c r="V523" s="126">
        <f t="shared" si="171"/>
        <v>1091.7052163110382</v>
      </c>
      <c r="W523">
        <f t="shared" si="172"/>
        <v>1099.129361863035</v>
      </c>
      <c r="X523">
        <f t="shared" si="173"/>
        <v>0.48931742157293251</v>
      </c>
      <c r="Y523">
        <f t="shared" si="174"/>
        <v>998.53049847102454</v>
      </c>
      <c r="Z523">
        <f t="shared" si="175"/>
        <v>0.53423002824941934</v>
      </c>
      <c r="AA523">
        <f>IF($D523="",0,IF($F523&lt;2,0,IF($E523="Win",('Guide &amp; Settings'!$C$42/(($F523-1)*COUNTIFS($A$4:$A$1510,$A523,$E$4:$E$1510,"Win")))*SUMIFS($Z$4:$Z$1510,$A$4:$A$1510,$A523,$E$4:$E$1510,"Loss"),-('Guide &amp; Settings'!$C$42/($F523-1))*$Z523)))</f>
        <v>-4.2738402259953547</v>
      </c>
      <c r="AB523" s="126">
        <f t="shared" si="176"/>
        <v>1018.0793819717004</v>
      </c>
      <c r="AC523" s="126">
        <f>IF($D523="","",IF($AD523=0,0,IF(COUNTIFS($D$4:$D523,$D523,$B$4:$B523,$B523)&gt;1,0,IF($B523&lt;'Guide &amp; Settings'!$C$50,0,IF(($B523-$AD523)/7-'Guide &amp; Settings'!$C$48&gt;=0,(INT(($B523-$AD523)/7-'Guide &amp; Settings'!$C$48)+1)*'Guide &amp; Settings'!$C$49,0)))))</f>
        <v>0</v>
      </c>
      <c r="AD523" s="142">
        <f t="shared" si="177"/>
        <v>46253</v>
      </c>
      <c r="AE523">
        <f t="shared" si="178"/>
        <v>1</v>
      </c>
      <c r="AF523">
        <f t="shared" si="179"/>
        <v>0</v>
      </c>
    </row>
    <row r="524" spans="1:32" x14ac:dyDescent="0.2">
      <c r="A524" s="117">
        <v>226</v>
      </c>
      <c r="B524" s="118">
        <v>46255</v>
      </c>
      <c r="C524" s="119" t="s">
        <v>34</v>
      </c>
      <c r="D524" s="119" t="s">
        <v>20</v>
      </c>
      <c r="E524" s="117" t="s">
        <v>371</v>
      </c>
      <c r="F524" s="120">
        <f t="shared" si="160"/>
        <v>5</v>
      </c>
      <c r="G524" s="121" t="str">
        <f t="shared" si="161"/>
        <v>Aaron</v>
      </c>
      <c r="H524" s="122">
        <f>IF($D524="",0,IFERROR(LOOKUP(2,1/(($D$3:D523=$D524)*($A$3:A523&lt;$A524)),$N$3:N523),'Guide &amp; Settings'!$C$41))</f>
        <v>1169.8542413378943</v>
      </c>
      <c r="I524" s="123">
        <f t="shared" si="162"/>
        <v>0.27692307692307694</v>
      </c>
      <c r="J524" s="124">
        <f>IF($D524="",0,IF($F524&lt;2,0,IF($E524="Win",('Guide &amp; Settings'!$C$42/(($F524-1)*COUNTIFS($A$4:$A$1510,$A524,$E$4:$E$1510,"Win")))*SUMIFS($X$4:$X$1510,$A$4:$A$1510,$A524,$E$4:$E$1510,"Loss"),-('Guide &amp; Settings'!$C$42/($F524-1))*$X524)))</f>
        <v>-5.2641248776288414</v>
      </c>
      <c r="K524" s="124">
        <f>IF($D524="",0,'Guide &amp; Settings'!$C$43*(IF($E524="Win",1,0)-$I524))</f>
        <v>-3.3230769230769233</v>
      </c>
      <c r="L524" s="125">
        <f>IF($D524="",0,'Guide &amp; Settings'!$C$44*IF($F524&gt;=3,$F524,0))</f>
        <v>5</v>
      </c>
      <c r="M524" s="124">
        <f t="shared" si="163"/>
        <v>-3.5872018007057651</v>
      </c>
      <c r="N524" s="122">
        <f t="shared" si="164"/>
        <v>1166.2670395371886</v>
      </c>
      <c r="O524" s="121" t="str">
        <f t="shared" si="165"/>
        <v>OK</v>
      </c>
      <c r="P524">
        <f t="shared" si="166"/>
        <v>998.40890404640857</v>
      </c>
      <c r="Q524">
        <f t="shared" si="167"/>
        <v>0.72847887743715378</v>
      </c>
      <c r="R524">
        <f t="shared" si="168"/>
        <v>0.6</v>
      </c>
      <c r="S524">
        <f t="shared" si="169"/>
        <v>2.1666666666666665</v>
      </c>
      <c r="T524" s="89">
        <f t="shared" si="170"/>
        <v>3</v>
      </c>
      <c r="U524" s="126">
        <f>IF($D524="",0,IFERROR(LOOKUP(2,1/(($D$3:D523=$D524)*($C$3:C523=$C524)*($A$3:A523&lt;$A524)),$AB$3:AB523),1000))</f>
        <v>1014.8720107344909</v>
      </c>
      <c r="V524" s="126">
        <f t="shared" si="171"/>
        <v>1111.7359048616181</v>
      </c>
      <c r="W524">
        <f t="shared" si="172"/>
        <v>998.04393970883666</v>
      </c>
      <c r="X524">
        <f t="shared" si="173"/>
        <v>0.65801560970360518</v>
      </c>
      <c r="Y524">
        <f t="shared" si="174"/>
        <v>997.43566581288371</v>
      </c>
      <c r="Z524">
        <f t="shared" si="175"/>
        <v>0.52507187214341056</v>
      </c>
      <c r="AA524">
        <f>IF($D524="",0,IF($F524&lt;2,0,IF($E524="Win",('Guide &amp; Settings'!$C$42/(($F524-1)*COUNTIFS($A$4:$A$1510,$A524,$E$4:$E$1510,"Win")))*SUMIFS($Z$4:$Z$1510,$A$4:$A$1510,$A524,$E$4:$E$1510,"Loss"),-('Guide &amp; Settings'!$C$42/($F524-1))*$Z524)))</f>
        <v>-4.2005749771472845</v>
      </c>
      <c r="AB524" s="126">
        <f t="shared" si="176"/>
        <v>1010.6714357573436</v>
      </c>
      <c r="AC524" s="126">
        <f>IF($D524="","",IF($AD524=0,0,IF(COUNTIFS($D$4:$D524,$D524,$B$4:$B524,$B524)&gt;1,0,IF($B524&lt;'Guide &amp; Settings'!$C$50,0,IF(($B524-$AD524)/7-'Guide &amp; Settings'!$C$48&gt;=0,(INT(($B524-$AD524)/7-'Guide &amp; Settings'!$C$48)+1)*'Guide &amp; Settings'!$C$49,0)))))</f>
        <v>0</v>
      </c>
      <c r="AD524" s="142">
        <f t="shared" si="177"/>
        <v>46247</v>
      </c>
      <c r="AE524">
        <f t="shared" si="178"/>
        <v>1</v>
      </c>
      <c r="AF524">
        <f t="shared" si="179"/>
        <v>0</v>
      </c>
    </row>
    <row r="525" spans="1:32" x14ac:dyDescent="0.2">
      <c r="A525" s="117">
        <v>226</v>
      </c>
      <c r="B525" s="118">
        <v>46255</v>
      </c>
      <c r="C525" s="119" t="s">
        <v>34</v>
      </c>
      <c r="D525" s="119" t="s">
        <v>21</v>
      </c>
      <c r="E525" s="117" t="s">
        <v>371</v>
      </c>
      <c r="F525" s="120">
        <f t="shared" si="160"/>
        <v>5</v>
      </c>
      <c r="G525" s="121" t="str">
        <f t="shared" si="161"/>
        <v>Aaron</v>
      </c>
      <c r="H525" s="122">
        <f>IF($D525="",0,IFERROR(LOOKUP(2,1/(($D$3:D524=$D525)*($A$3:A524&lt;$A525)),$N$3:N524),'Guide &amp; Settings'!$C$41))</f>
        <v>1049.4907965916093</v>
      </c>
      <c r="I525" s="123">
        <f t="shared" si="162"/>
        <v>0.15384615384615385</v>
      </c>
      <c r="J525" s="124">
        <f>IF($D525="",0,IF($F525&lt;2,0,IF($E525="Win",('Guide &amp; Settings'!$C$42/(($F525-1)*COUNTIFS($A$4:$A$1510,$A525,$E$4:$E$1510,"Win")))*SUMIFS($X$4:$X$1510,$A$4:$A$1510,$A525,$E$4:$E$1510,"Loss"),-('Guide &amp; Settings'!$C$42/($F525-1))*$X525)))</f>
        <v>-4.487201171210879</v>
      </c>
      <c r="K525" s="124">
        <f>IF($D525="",0,'Guide &amp; Settings'!$C$43*(IF($E525="Win",1,0)-$I525))</f>
        <v>-1.8461538461538463</v>
      </c>
      <c r="L525" s="125">
        <f>IF($D525="",0,'Guide &amp; Settings'!$C$44*IF($F525&gt;=3,$F525,0))</f>
        <v>5</v>
      </c>
      <c r="M525" s="124">
        <f t="shared" si="163"/>
        <v>-1.3333550173647257</v>
      </c>
      <c r="N525" s="122">
        <f t="shared" si="164"/>
        <v>1048.1574415742446</v>
      </c>
      <c r="O525" s="121" t="str">
        <f t="shared" si="165"/>
        <v>OK</v>
      </c>
      <c r="P525">
        <f t="shared" si="166"/>
        <v>998.40890404640857</v>
      </c>
      <c r="Q525">
        <f t="shared" si="167"/>
        <v>0.57298759690952705</v>
      </c>
      <c r="R525">
        <f t="shared" si="168"/>
        <v>0.33333333333333331</v>
      </c>
      <c r="S525">
        <f t="shared" si="169"/>
        <v>2.1666666666666665</v>
      </c>
      <c r="T525" s="89">
        <f t="shared" si="170"/>
        <v>1</v>
      </c>
      <c r="U525" s="126">
        <f>IF($D525="",0,IFERROR(LOOKUP(2,1/(($D$3:D524=$D525)*($C$3:C524=$C525)*($A$3:A524&lt;$A525)),$AB$3:AB524),1000))</f>
        <v>995.98308183931033</v>
      </c>
      <c r="V525" s="126">
        <f t="shared" si="171"/>
        <v>1040.5728441328929</v>
      </c>
      <c r="W525">
        <f t="shared" si="172"/>
        <v>998.04393970883666</v>
      </c>
      <c r="X525">
        <f t="shared" si="173"/>
        <v>0.56090014640135988</v>
      </c>
      <c r="Y525">
        <f t="shared" si="174"/>
        <v>997.43566581288371</v>
      </c>
      <c r="Z525">
        <f t="shared" si="175"/>
        <v>0.49790957580255957</v>
      </c>
      <c r="AA525">
        <f>IF($D525="",0,IF($F525&lt;2,0,IF($E525="Win",('Guide &amp; Settings'!$C$42/(($F525-1)*COUNTIFS($A$4:$A$1510,$A525,$E$4:$E$1510,"Win")))*SUMIFS($Z$4:$Z$1510,$A$4:$A$1510,$A525,$E$4:$E$1510,"Loss"),-('Guide &amp; Settings'!$C$42/($F525-1))*$Z525)))</f>
        <v>-3.9832766064204765</v>
      </c>
      <c r="AB525" s="126">
        <f t="shared" si="176"/>
        <v>991.9998052328898</v>
      </c>
      <c r="AC525" s="126">
        <f>IF($D525="","",IF($AD525=0,0,IF(COUNTIFS($D$4:$D525,$D525,$B$4:$B525,$B525)&gt;1,0,IF($B525&lt;'Guide &amp; Settings'!$C$50,0,IF(($B525-$AD525)/7-'Guide &amp; Settings'!$C$48&gt;=0,(INT(($B525-$AD525)/7-'Guide &amp; Settings'!$C$48)+1)*'Guide &amp; Settings'!$C$49,0)))))</f>
        <v>0</v>
      </c>
      <c r="AD525" s="142">
        <f t="shared" si="177"/>
        <v>46229</v>
      </c>
      <c r="AE525">
        <f t="shared" si="178"/>
        <v>1</v>
      </c>
      <c r="AF525">
        <f t="shared" si="179"/>
        <v>0</v>
      </c>
    </row>
    <row r="526" spans="1:32" x14ac:dyDescent="0.2">
      <c r="A526" s="117">
        <v>226</v>
      </c>
      <c r="B526" s="118">
        <v>46255</v>
      </c>
      <c r="C526" s="119" t="s">
        <v>34</v>
      </c>
      <c r="D526" s="119" t="s">
        <v>23</v>
      </c>
      <c r="E526" s="117" t="s">
        <v>371</v>
      </c>
      <c r="F526" s="120">
        <f t="shared" si="160"/>
        <v>5</v>
      </c>
      <c r="G526" s="121" t="str">
        <f t="shared" si="161"/>
        <v>Aaron</v>
      </c>
      <c r="H526" s="122">
        <f>IF($D526="",0,IFERROR(LOOKUP(2,1/(($D$3:D525=$D526)*($A$3:A525&lt;$A526)),$N$3:N525),'Guide &amp; Settings'!$C$41))</f>
        <v>1238.8401316825232</v>
      </c>
      <c r="I526" s="123">
        <f t="shared" si="162"/>
        <v>0.15384615384615385</v>
      </c>
      <c r="J526" s="124">
        <f>IF($D526="",0,IF($F526&lt;2,0,IF($E526="Win",('Guide &amp; Settings'!$C$42/(($F526-1)*COUNTIFS($A$4:$A$1510,$A526,$E$4:$E$1510,"Win")))*SUMIFS($X$4:$X$1510,$A$4:$A$1510,$A526,$E$4:$E$1510,"Loss"),-('Guide &amp; Settings'!$C$42/($F526-1))*$X526)))</f>
        <v>-6.0806641528603889</v>
      </c>
      <c r="K526" s="124">
        <f>IF($D526="",0,'Guide &amp; Settings'!$C$43*(IF($E526="Win",1,0)-$I526))</f>
        <v>-1.8461538461538463</v>
      </c>
      <c r="L526" s="125">
        <f>IF($D526="",0,'Guide &amp; Settings'!$C$44*IF($F526&gt;=3,$F526,0))</f>
        <v>5</v>
      </c>
      <c r="M526" s="124">
        <f t="shared" si="163"/>
        <v>-2.9268179990142347</v>
      </c>
      <c r="N526" s="122">
        <f t="shared" si="164"/>
        <v>1235.9133136835089</v>
      </c>
      <c r="O526" s="121" t="str">
        <f t="shared" si="165"/>
        <v>OK</v>
      </c>
      <c r="P526">
        <f t="shared" si="166"/>
        <v>998.40890404640857</v>
      </c>
      <c r="Q526">
        <f t="shared" si="167"/>
        <v>0.79963800109363659</v>
      </c>
      <c r="R526">
        <f t="shared" si="168"/>
        <v>0.33333333333333331</v>
      </c>
      <c r="S526">
        <f t="shared" si="169"/>
        <v>2.1666666666666665</v>
      </c>
      <c r="T526" s="89">
        <f t="shared" si="170"/>
        <v>1</v>
      </c>
      <c r="U526" s="126">
        <f>IF($D526="",0,IFERROR(LOOKUP(2,1/(($D$3:D525=$D526)*($C$3:C525=$C526)*($A$3:A525&lt;$A526)),$AB$3:AB525),1000))</f>
        <v>995.98308183931033</v>
      </c>
      <c r="V526" s="126">
        <f t="shared" si="171"/>
        <v>1198.3639567086543</v>
      </c>
      <c r="W526">
        <f t="shared" si="172"/>
        <v>998.04393970883666</v>
      </c>
      <c r="X526">
        <f t="shared" si="173"/>
        <v>0.76008301910754861</v>
      </c>
      <c r="Y526">
        <f t="shared" si="174"/>
        <v>997.43566581288371</v>
      </c>
      <c r="Z526">
        <f t="shared" si="175"/>
        <v>0.49790957580255957</v>
      </c>
      <c r="AA526">
        <f>IF($D526="",0,IF($F526&lt;2,0,IF($E526="Win",('Guide &amp; Settings'!$C$42/(($F526-1)*COUNTIFS($A$4:$A$1510,$A526,$E$4:$E$1510,"Win")))*SUMIFS($Z$4:$Z$1510,$A$4:$A$1510,$A526,$E$4:$E$1510,"Loss"),-('Guide &amp; Settings'!$C$42/($F526-1))*$Z526)))</f>
        <v>-3.9832766064204765</v>
      </c>
      <c r="AB526" s="126">
        <f t="shared" si="176"/>
        <v>991.9998052328898</v>
      </c>
      <c r="AC526" s="126">
        <f>IF($D526="","",IF($AD526=0,0,IF(COUNTIFS($D$4:$D526,$D526,$B$4:$B526,$B526)&gt;1,0,IF($B526&lt;'Guide &amp; Settings'!$C$50,0,IF(($B526-$AD526)/7-'Guide &amp; Settings'!$C$48&gt;=0,(INT(($B526-$AD526)/7-'Guide &amp; Settings'!$C$48)+1)*'Guide &amp; Settings'!$C$49,0)))))</f>
        <v>0</v>
      </c>
      <c r="AD526" s="142">
        <f t="shared" si="177"/>
        <v>46215</v>
      </c>
      <c r="AE526">
        <f t="shared" si="178"/>
        <v>1</v>
      </c>
      <c r="AF526">
        <f t="shared" si="179"/>
        <v>0</v>
      </c>
    </row>
    <row r="527" spans="1:32" x14ac:dyDescent="0.2">
      <c r="A527" s="117">
        <v>226</v>
      </c>
      <c r="B527" s="118">
        <v>46255</v>
      </c>
      <c r="C527" s="119" t="s">
        <v>34</v>
      </c>
      <c r="D527" s="119" t="s">
        <v>15</v>
      </c>
      <c r="E527" s="117" t="s">
        <v>370</v>
      </c>
      <c r="F527" s="120">
        <f t="shared" si="160"/>
        <v>5</v>
      </c>
      <c r="G527" s="121" t="str">
        <f t="shared" si="161"/>
        <v>Aaron</v>
      </c>
      <c r="H527" s="122">
        <f>IF($D527="",0,IFERROR(LOOKUP(2,1/(($D$3:D526=$D527)*($A$3:A526&lt;$A527)),$N$3:N526),'Guide &amp; Settings'!$C$41))</f>
        <v>998.40890404640857</v>
      </c>
      <c r="I527" s="123">
        <f t="shared" si="162"/>
        <v>0.18461538461538463</v>
      </c>
      <c r="J527" s="124">
        <f>IF($D527="",0,IF($F527&lt;2,0,IF($E527="Win",('Guide &amp; Settings'!$C$42/(($F527-1)*COUNTIFS($A$4:$A$1510,$A527,$E$4:$E$1510,"Win")))*SUMIFS($X$4:$X$1510,$A$4:$A$1510,$A527,$E$4:$E$1510,"Loss"),-('Guide &amp; Settings'!$C$42/($F527-1))*$X527)))</f>
        <v>20.77110234116186</v>
      </c>
      <c r="K527" s="124">
        <f>IF($D527="",0,'Guide &amp; Settings'!$C$43*(IF($E527="Win",1,0)-$I527))</f>
        <v>9.7846153846153854</v>
      </c>
      <c r="L527" s="125">
        <f>IF($D527="",0,'Guide &amp; Settings'!$C$44*IF($F527&gt;=3,$F527,0))</f>
        <v>5</v>
      </c>
      <c r="M527" s="124">
        <f t="shared" si="163"/>
        <v>35.555717725777242</v>
      </c>
      <c r="N527" s="122">
        <f t="shared" si="164"/>
        <v>1033.9646217721859</v>
      </c>
      <c r="O527" s="121" t="str">
        <f t="shared" si="165"/>
        <v>OK</v>
      </c>
      <c r="P527">
        <f t="shared" si="166"/>
        <v>998.40890404640857</v>
      </c>
      <c r="Q527">
        <f t="shared" si="167"/>
        <v>0.5</v>
      </c>
      <c r="R527">
        <f t="shared" si="168"/>
        <v>0.4</v>
      </c>
      <c r="S527">
        <f t="shared" si="169"/>
        <v>2.1666666666666665</v>
      </c>
      <c r="T527" s="89">
        <f t="shared" si="170"/>
        <v>3</v>
      </c>
      <c r="U527" s="126">
        <f>IF($D527="",0,IFERROR(LOOKUP(2,1/(($D$3:D526=$D527)*($C$3:C526=$C527)*($A$3:A526&lt;$A527)),$AB$3:AB526),1000))</f>
        <v>997.43566581288371</v>
      </c>
      <c r="V527" s="126">
        <f t="shared" si="171"/>
        <v>998.04393970883666</v>
      </c>
      <c r="W527">
        <f t="shared" si="172"/>
        <v>998.04393970883666</v>
      </c>
      <c r="X527">
        <f t="shared" si="173"/>
        <v>0.5</v>
      </c>
      <c r="Y527">
        <f t="shared" si="174"/>
        <v>997.43566581288371</v>
      </c>
      <c r="Z527">
        <f t="shared" si="175"/>
        <v>0.5</v>
      </c>
      <c r="AA527">
        <f>IF($D527="",0,IF($F527&lt;2,0,IF($E527="Win",('Guide &amp; Settings'!$C$42/(($F527-1)*COUNTIFS($A$4:$A$1510,$A527,$E$4:$E$1510,"Win")))*SUMIFS($Z$4:$Z$1510,$A$4:$A$1510,$A527,$E$4:$E$1510,"Loss"),-('Guide &amp; Settings'!$C$42/($F527-1))*$Z527)))</f>
        <v>16.404518458217542</v>
      </c>
      <c r="AB527" s="126">
        <f t="shared" si="176"/>
        <v>1013.8401842711013</v>
      </c>
      <c r="AC527" s="126">
        <f>IF($D527="","",IF($AD527=0,0,IF(COUNTIFS($D$4:$D527,$D527,$B$4:$B527,$B527)&gt;1,0,IF($B527&lt;'Guide &amp; Settings'!$C$50,0,IF(($B527-$AD527)/7-'Guide &amp; Settings'!$C$48&gt;=0,(INT(($B527-$AD527)/7-'Guide &amp; Settings'!$C$48)+1)*'Guide &amp; Settings'!$C$49,0)))))</f>
        <v>0</v>
      </c>
      <c r="AD527" s="142">
        <f t="shared" si="177"/>
        <v>46229</v>
      </c>
      <c r="AE527">
        <f t="shared" si="178"/>
        <v>1</v>
      </c>
      <c r="AF527">
        <f t="shared" si="179"/>
        <v>0</v>
      </c>
    </row>
    <row r="528" spans="1:32" x14ac:dyDescent="0.2">
      <c r="A528" s="117">
        <v>226</v>
      </c>
      <c r="B528" s="118">
        <v>46255</v>
      </c>
      <c r="C528" s="119" t="s">
        <v>34</v>
      </c>
      <c r="D528" s="119" t="s">
        <v>22</v>
      </c>
      <c r="E528" s="117" t="s">
        <v>371</v>
      </c>
      <c r="F528" s="120">
        <f t="shared" si="160"/>
        <v>5</v>
      </c>
      <c r="G528" s="121" t="str">
        <f t="shared" si="161"/>
        <v>Aaron</v>
      </c>
      <c r="H528" s="122">
        <f>IF($D528="",0,IFERROR(LOOKUP(2,1/(($D$3:D527=$D528)*($A$3:A527&lt;$A528)),$N$3:N527),'Guide &amp; Settings'!$C$41))</f>
        <v>1131.6326426372293</v>
      </c>
      <c r="I528" s="123">
        <f t="shared" si="162"/>
        <v>0.23076923076923078</v>
      </c>
      <c r="J528" s="124">
        <f>IF($D528="",0,IF($F528&lt;2,0,IF($E528="Win",('Guide &amp; Settings'!$C$42/(($F528-1)*COUNTIFS($A$4:$A$1510,$A528,$E$4:$E$1510,"Win")))*SUMIFS($X$4:$X$1510,$A$4:$A$1510,$A528,$E$4:$E$1510,"Loss"),-('Guide &amp; Settings'!$C$42/($F528-1))*$X528)))</f>
        <v>-4.939112139461753</v>
      </c>
      <c r="K528" s="124">
        <f>IF($D528="",0,'Guide &amp; Settings'!$C$43*(IF($E528="Win",1,0)-$I528))</f>
        <v>-2.7692307692307692</v>
      </c>
      <c r="L528" s="125">
        <f>IF($D528="",0,'Guide &amp; Settings'!$C$44*IF($F528&gt;=3,$F528,0))</f>
        <v>5</v>
      </c>
      <c r="M528" s="124">
        <f t="shared" si="163"/>
        <v>-2.7083429086925221</v>
      </c>
      <c r="N528" s="122">
        <f t="shared" si="164"/>
        <v>1128.9242997285369</v>
      </c>
      <c r="O528" s="121" t="str">
        <f t="shared" si="165"/>
        <v>OK</v>
      </c>
      <c r="P528">
        <f t="shared" si="166"/>
        <v>998.40890404640857</v>
      </c>
      <c r="Q528">
        <f t="shared" si="167"/>
        <v>0.68284937590789385</v>
      </c>
      <c r="R528">
        <f t="shared" si="168"/>
        <v>0.5</v>
      </c>
      <c r="S528">
        <f t="shared" si="169"/>
        <v>2.1666666666666665</v>
      </c>
      <c r="T528" s="89">
        <f t="shared" si="170"/>
        <v>4</v>
      </c>
      <c r="U528" s="126">
        <f>IF($D528="",0,IFERROR(LOOKUP(2,1/(($D$3:D527=$D528)*($C$3:C527=$C528)*($A$3:A527&lt;$A528)),$AB$3:AB527),1000))</f>
        <v>1018.0793819717004</v>
      </c>
      <c r="V528" s="126">
        <f t="shared" si="171"/>
        <v>1081.164526785883</v>
      </c>
      <c r="W528">
        <f t="shared" si="172"/>
        <v>998.04393970883666</v>
      </c>
      <c r="X528">
        <f t="shared" si="173"/>
        <v>0.61738901743271912</v>
      </c>
      <c r="Y528">
        <f t="shared" si="174"/>
        <v>997.43566581288371</v>
      </c>
      <c r="Z528">
        <f t="shared" si="175"/>
        <v>0.52967378352866301</v>
      </c>
      <c r="AA528">
        <f>IF($D528="",0,IF($F528&lt;2,0,IF($E528="Win",('Guide &amp; Settings'!$C$42/(($F528-1)*COUNTIFS($A$4:$A$1510,$A528,$E$4:$E$1510,"Win")))*SUMIFS($Z$4:$Z$1510,$A$4:$A$1510,$A528,$E$4:$E$1510,"Loss"),-('Guide &amp; Settings'!$C$42/($F528-1))*$Z528)))</f>
        <v>-4.2373902682293041</v>
      </c>
      <c r="AB528" s="126">
        <f t="shared" si="176"/>
        <v>1013.8419917034711</v>
      </c>
      <c r="AC528" s="126">
        <f>IF($D528="","",IF($AD528=0,0,IF(COUNTIFS($D$4:$D528,$D528,$B$4:$B528,$B528)&gt;1,0,IF($B528&lt;'Guide &amp; Settings'!$C$50,0,IF(($B528-$AD528)/7-'Guide &amp; Settings'!$C$48&gt;=0,(INT(($B528-$AD528)/7-'Guide &amp; Settings'!$C$48)+1)*'Guide &amp; Settings'!$C$49,0)))))</f>
        <v>0</v>
      </c>
      <c r="AD528" s="142">
        <f t="shared" si="177"/>
        <v>46253</v>
      </c>
      <c r="AE528">
        <f t="shared" si="178"/>
        <v>1</v>
      </c>
      <c r="AF528">
        <f t="shared" si="179"/>
        <v>0</v>
      </c>
    </row>
    <row r="529" spans="1:32" x14ac:dyDescent="0.2">
      <c r="A529" s="117">
        <v>227</v>
      </c>
      <c r="B529" s="118">
        <v>46255</v>
      </c>
      <c r="C529" s="119" t="s">
        <v>51</v>
      </c>
      <c r="D529" s="119" t="s">
        <v>20</v>
      </c>
      <c r="E529" s="117" t="s">
        <v>370</v>
      </c>
      <c r="F529" s="120">
        <f t="shared" si="160"/>
        <v>4</v>
      </c>
      <c r="G529" s="121" t="str">
        <f t="shared" si="161"/>
        <v>Shawn</v>
      </c>
      <c r="H529" s="122">
        <f>IF($D529="",0,IFERROR(LOOKUP(2,1/(($D$3:D528=$D529)*($A$3:A528&lt;$A529)),$N$3:N528),'Guide &amp; Settings'!$C$41))</f>
        <v>1166.2670395371886</v>
      </c>
      <c r="I529" s="123">
        <f t="shared" si="162"/>
        <v>0.25</v>
      </c>
      <c r="J529" s="124">
        <f>IF($D529="",0,IF($F529&lt;2,0,IF($E529="Win",('Guide &amp; Settings'!$C$42/(($F529-1)*COUNTIFS($A$4:$A$1510,$A529,$E$4:$E$1510,"Win")))*SUMIFS($X$4:$X$1510,$A$4:$A$1510,$A529,$E$4:$E$1510,"Loss"),-('Guide &amp; Settings'!$C$42/($F529-1))*$X529)))</f>
        <v>14.545851024991473</v>
      </c>
      <c r="K529" s="124">
        <f>IF($D529="",0,'Guide &amp; Settings'!$C$43*(IF($E529="Win",1,0)-$I529))</f>
        <v>9</v>
      </c>
      <c r="L529" s="125">
        <f>IF($D529="",0,'Guide &amp; Settings'!$C$44*IF($F529&gt;=3,$F529,0))</f>
        <v>4</v>
      </c>
      <c r="M529" s="124">
        <f t="shared" si="163"/>
        <v>27.545851024991471</v>
      </c>
      <c r="N529" s="122">
        <f t="shared" si="164"/>
        <v>1193.81289056218</v>
      </c>
      <c r="O529" s="121" t="str">
        <f t="shared" si="165"/>
        <v>OK</v>
      </c>
      <c r="P529">
        <f t="shared" si="166"/>
        <v>1166.2670395371886</v>
      </c>
      <c r="Q529">
        <f t="shared" si="167"/>
        <v>0.5</v>
      </c>
      <c r="R529">
        <f t="shared" si="168"/>
        <v>0.5</v>
      </c>
      <c r="S529">
        <f t="shared" si="169"/>
        <v>2</v>
      </c>
      <c r="T529" s="89">
        <f t="shared" si="170"/>
        <v>0</v>
      </c>
      <c r="U529" s="126">
        <f>IF($D529="",0,IFERROR(LOOKUP(2,1/(($D$3:D528=$D529)*($C$3:C528=$C529)*($A$3:A528&lt;$A529)),$AB$3:AB528),1000))</f>
        <v>1000</v>
      </c>
      <c r="V529" s="126">
        <f t="shared" si="171"/>
        <v>1166.2670395371886</v>
      </c>
      <c r="W529">
        <f t="shared" si="172"/>
        <v>1166.2670395371886</v>
      </c>
      <c r="X529">
        <f t="shared" si="173"/>
        <v>0.5</v>
      </c>
      <c r="Y529">
        <f t="shared" si="174"/>
        <v>1000</v>
      </c>
      <c r="Z529">
        <f t="shared" si="175"/>
        <v>0.5</v>
      </c>
      <c r="AA529">
        <f>IF($D529="",0,IF($F529&lt;2,0,IF($E529="Win",('Guide &amp; Settings'!$C$42/(($F529-1)*COUNTIFS($A$4:$A$1510,$A529,$E$4:$E$1510,"Win")))*SUMIFS($Z$4:$Z$1510,$A$4:$A$1510,$A529,$E$4:$E$1510,"Loss"),-('Guide &amp; Settings'!$C$42/($F529-1))*$Z529)))</f>
        <v>16</v>
      </c>
      <c r="AB529" s="126">
        <f t="shared" si="176"/>
        <v>1016</v>
      </c>
      <c r="AC529" s="126">
        <f>IF($D529="","",IF($AD529=0,0,IF(COUNTIFS($D$4:$D529,$D529,$B$4:$B529,$B529)&gt;1,0,IF($B529&lt;'Guide &amp; Settings'!$C$50,0,IF(($B529-$AD529)/7-'Guide &amp; Settings'!$C$48&gt;=0,(INT(($B529-$AD529)/7-'Guide &amp; Settings'!$C$48)+1)*'Guide &amp; Settings'!$C$49,0)))))</f>
        <v>0</v>
      </c>
      <c r="AD529" s="142">
        <f t="shared" si="177"/>
        <v>46247</v>
      </c>
      <c r="AE529">
        <f t="shared" si="178"/>
        <v>1</v>
      </c>
      <c r="AF529">
        <f t="shared" si="179"/>
        <v>0</v>
      </c>
    </row>
    <row r="530" spans="1:32" x14ac:dyDescent="0.2">
      <c r="A530" s="117">
        <v>227</v>
      </c>
      <c r="B530" s="118">
        <v>46255</v>
      </c>
      <c r="C530" s="119" t="s">
        <v>51</v>
      </c>
      <c r="D530" s="119" t="s">
        <v>15</v>
      </c>
      <c r="E530" s="117" t="s">
        <v>371</v>
      </c>
      <c r="F530" s="120">
        <f t="shared" si="160"/>
        <v>4</v>
      </c>
      <c r="G530" s="121" t="str">
        <f t="shared" si="161"/>
        <v>Shawn</v>
      </c>
      <c r="H530" s="122">
        <f>IF($D530="",0,IFERROR(LOOKUP(2,1/(($D$3:D529=$D530)*($A$3:A529&lt;$A530)),$N$3:N529),'Guide &amp; Settings'!$C$41))</f>
        <v>1033.9646217721859</v>
      </c>
      <c r="I530" s="123">
        <f t="shared" si="162"/>
        <v>0.25</v>
      </c>
      <c r="J530" s="124">
        <f>IF($D530="",0,IF($F530&lt;2,0,IF($E530="Win",('Guide &amp; Settings'!$C$42/(($F530-1)*COUNTIFS($A$4:$A$1510,$A530,$E$4:$E$1510,"Win")))*SUMIFS($X$4:$X$1510,$A$4:$A$1510,$A530,$E$4:$E$1510,"Loss"),-('Guide &amp; Settings'!$C$42/($F530-1))*$X530)))</f>
        <v>-3.3952032560476324</v>
      </c>
      <c r="K530" s="124">
        <f>IF($D530="",0,'Guide &amp; Settings'!$C$43*(IF($E530="Win",1,0)-$I530))</f>
        <v>-3</v>
      </c>
      <c r="L530" s="125">
        <f>IF($D530="",0,'Guide &amp; Settings'!$C$44*IF($F530&gt;=3,$F530,0))</f>
        <v>4</v>
      </c>
      <c r="M530" s="124">
        <f t="shared" si="163"/>
        <v>-2.3952032560476324</v>
      </c>
      <c r="N530" s="122">
        <f t="shared" si="164"/>
        <v>1031.5694185161383</v>
      </c>
      <c r="O530" s="121" t="str">
        <f t="shared" si="165"/>
        <v>OK</v>
      </c>
      <c r="P530">
        <f t="shared" si="166"/>
        <v>1166.2670395371886</v>
      </c>
      <c r="Q530">
        <f t="shared" si="167"/>
        <v>0.31830030525446557</v>
      </c>
      <c r="R530">
        <f t="shared" si="168"/>
        <v>0.5</v>
      </c>
      <c r="S530">
        <f t="shared" si="169"/>
        <v>2</v>
      </c>
      <c r="T530" s="89">
        <f t="shared" si="170"/>
        <v>0</v>
      </c>
      <c r="U530" s="126">
        <f>IF($D530="",0,IFERROR(LOOKUP(2,1/(($D$3:D529=$D530)*($C$3:C529=$C530)*($A$3:A529&lt;$A530)),$AB$3:AB529),1000))</f>
        <v>1000</v>
      </c>
      <c r="V530" s="126">
        <f t="shared" si="171"/>
        <v>1033.9646217721859</v>
      </c>
      <c r="W530">
        <f t="shared" si="172"/>
        <v>1166.2670395371886</v>
      </c>
      <c r="X530">
        <f t="shared" si="173"/>
        <v>0.31830030525446557</v>
      </c>
      <c r="Y530">
        <f t="shared" si="174"/>
        <v>1000</v>
      </c>
      <c r="Z530">
        <f t="shared" si="175"/>
        <v>0.5</v>
      </c>
      <c r="AA530">
        <f>IF($D530="",0,IF($F530&lt;2,0,IF($E530="Win",('Guide &amp; Settings'!$C$42/(($F530-1)*COUNTIFS($A$4:$A$1510,$A530,$E$4:$E$1510,"Win")))*SUMIFS($Z$4:$Z$1510,$A$4:$A$1510,$A530,$E$4:$E$1510,"Loss"),-('Guide &amp; Settings'!$C$42/($F530-1))*$Z530)))</f>
        <v>-5.333333333333333</v>
      </c>
      <c r="AB530" s="126">
        <f t="shared" si="176"/>
        <v>994.66666666666663</v>
      </c>
      <c r="AC530" s="126">
        <f>IF($D530="","",IF($AD530=0,0,IF(COUNTIFS($D$4:$D530,$D530,$B$4:$B530,$B530)&gt;1,0,IF($B530&lt;'Guide &amp; Settings'!$C$50,0,IF(($B530-$AD530)/7-'Guide &amp; Settings'!$C$48&gt;=0,(INT(($B530-$AD530)/7-'Guide &amp; Settings'!$C$48)+1)*'Guide &amp; Settings'!$C$49,0)))))</f>
        <v>0</v>
      </c>
      <c r="AD530" s="142">
        <f t="shared" si="177"/>
        <v>46229</v>
      </c>
      <c r="AE530">
        <f t="shared" si="178"/>
        <v>1</v>
      </c>
      <c r="AF530">
        <f t="shared" si="179"/>
        <v>0</v>
      </c>
    </row>
    <row r="531" spans="1:32" x14ac:dyDescent="0.2">
      <c r="A531" s="117">
        <v>227</v>
      </c>
      <c r="B531" s="118">
        <v>46255</v>
      </c>
      <c r="C531" s="119" t="s">
        <v>51</v>
      </c>
      <c r="D531" s="119" t="s">
        <v>22</v>
      </c>
      <c r="E531" s="117" t="s">
        <v>371</v>
      </c>
      <c r="F531" s="120">
        <f t="shared" si="160"/>
        <v>4</v>
      </c>
      <c r="G531" s="121" t="str">
        <f t="shared" si="161"/>
        <v>Shawn</v>
      </c>
      <c r="H531" s="122">
        <f>IF($D531="",0,IFERROR(LOOKUP(2,1/(($D$3:D530=$D531)*($A$3:A530&lt;$A531)),$N$3:N530),'Guide &amp; Settings'!$C$41))</f>
        <v>1128.9242997285369</v>
      </c>
      <c r="I531" s="123">
        <f t="shared" si="162"/>
        <v>0.25</v>
      </c>
      <c r="J531" s="124">
        <f>IF($D531="",0,IF($F531&lt;2,0,IF($E531="Win",('Guide &amp; Settings'!$C$42/(($F531-1)*COUNTIFS($A$4:$A$1510,$A531,$E$4:$E$1510,"Win")))*SUMIFS($X$4:$X$1510,$A$4:$A$1510,$A531,$E$4:$E$1510,"Loss"),-('Guide &amp; Settings'!$C$42/($F531-1))*$X531)))</f>
        <v>-4.762298300507724</v>
      </c>
      <c r="K531" s="124">
        <f>IF($D531="",0,'Guide &amp; Settings'!$C$43*(IF($E531="Win",1,0)-$I531))</f>
        <v>-3</v>
      </c>
      <c r="L531" s="125">
        <f>IF($D531="",0,'Guide &amp; Settings'!$C$44*IF($F531&gt;=3,$F531,0))</f>
        <v>4</v>
      </c>
      <c r="M531" s="124">
        <f t="shared" si="163"/>
        <v>-3.762298300507724</v>
      </c>
      <c r="N531" s="122">
        <f t="shared" si="164"/>
        <v>1125.162001428029</v>
      </c>
      <c r="O531" s="121" t="str">
        <f t="shared" si="165"/>
        <v>OK</v>
      </c>
      <c r="P531">
        <f t="shared" si="166"/>
        <v>1166.2670395371886</v>
      </c>
      <c r="Q531">
        <f t="shared" si="167"/>
        <v>0.44646546567259915</v>
      </c>
      <c r="R531">
        <f t="shared" si="168"/>
        <v>0.5</v>
      </c>
      <c r="S531">
        <f t="shared" si="169"/>
        <v>2</v>
      </c>
      <c r="T531" s="89">
        <f t="shared" si="170"/>
        <v>0</v>
      </c>
      <c r="U531" s="126">
        <f>IF($D531="",0,IFERROR(LOOKUP(2,1/(($D$3:D530=$D531)*($C$3:C530=$C531)*($A$3:A530&lt;$A531)),$AB$3:AB530),1000))</f>
        <v>1000</v>
      </c>
      <c r="V531" s="126">
        <f t="shared" si="171"/>
        <v>1128.9242997285369</v>
      </c>
      <c r="W531">
        <f t="shared" si="172"/>
        <v>1166.2670395371886</v>
      </c>
      <c r="X531">
        <f t="shared" si="173"/>
        <v>0.44646546567259915</v>
      </c>
      <c r="Y531">
        <f t="shared" si="174"/>
        <v>1000</v>
      </c>
      <c r="Z531">
        <f t="shared" si="175"/>
        <v>0.5</v>
      </c>
      <c r="AA531">
        <f>IF($D531="",0,IF($F531&lt;2,0,IF($E531="Win",('Guide &amp; Settings'!$C$42/(($F531-1)*COUNTIFS($A$4:$A$1510,$A531,$E$4:$E$1510,"Win")))*SUMIFS($Z$4:$Z$1510,$A$4:$A$1510,$A531,$E$4:$E$1510,"Loss"),-('Guide &amp; Settings'!$C$42/($F531-1))*$Z531)))</f>
        <v>-5.333333333333333</v>
      </c>
      <c r="AB531" s="126">
        <f t="shared" si="176"/>
        <v>994.66666666666663</v>
      </c>
      <c r="AC531" s="126">
        <f>IF($D531="","",IF($AD531=0,0,IF(COUNTIFS($D$4:$D531,$D531,$B$4:$B531,$B531)&gt;1,0,IF($B531&lt;'Guide &amp; Settings'!$C$50,0,IF(($B531-$AD531)/7-'Guide &amp; Settings'!$C$48&gt;=0,(INT(($B531-$AD531)/7-'Guide &amp; Settings'!$C$48)+1)*'Guide &amp; Settings'!$C$49,0)))))</f>
        <v>0</v>
      </c>
      <c r="AD531" s="142">
        <f t="shared" si="177"/>
        <v>46253</v>
      </c>
      <c r="AE531">
        <f t="shared" si="178"/>
        <v>1</v>
      </c>
      <c r="AF531">
        <f t="shared" si="179"/>
        <v>0</v>
      </c>
    </row>
    <row r="532" spans="1:32" x14ac:dyDescent="0.2">
      <c r="A532" s="117">
        <v>227</v>
      </c>
      <c r="B532" s="118">
        <v>46255</v>
      </c>
      <c r="C532" s="119" t="s">
        <v>51</v>
      </c>
      <c r="D532" s="119" t="s">
        <v>23</v>
      </c>
      <c r="E532" s="117" t="s">
        <v>371</v>
      </c>
      <c r="F532" s="120">
        <f t="shared" si="160"/>
        <v>4</v>
      </c>
      <c r="G532" s="121" t="str">
        <f t="shared" si="161"/>
        <v>Shawn</v>
      </c>
      <c r="H532" s="122">
        <f>IF($D532="",0,IFERROR(LOOKUP(2,1/(($D$3:D531=$D532)*($A$3:A531&lt;$A532)),$N$3:N531),'Guide &amp; Settings'!$C$41))</f>
        <v>1235.9133136835089</v>
      </c>
      <c r="I532" s="123">
        <f t="shared" si="162"/>
        <v>0.25</v>
      </c>
      <c r="J532" s="124">
        <f>IF($D532="",0,IF($F532&lt;2,0,IF($E532="Win",('Guide &amp; Settings'!$C$42/(($F532-1)*COUNTIFS($A$4:$A$1510,$A532,$E$4:$E$1510,"Win")))*SUMIFS($X$4:$X$1510,$A$4:$A$1510,$A532,$E$4:$E$1510,"Loss"),-('Guide &amp; Settings'!$C$42/($F532-1))*$X532)))</f>
        <v>-6.3883494684361146</v>
      </c>
      <c r="K532" s="124">
        <f>IF($D532="",0,'Guide &amp; Settings'!$C$43*(IF($E532="Win",1,0)-$I532))</f>
        <v>-3</v>
      </c>
      <c r="L532" s="125">
        <f>IF($D532="",0,'Guide &amp; Settings'!$C$44*IF($F532&gt;=3,$F532,0))</f>
        <v>4</v>
      </c>
      <c r="M532" s="124">
        <f t="shared" si="163"/>
        <v>-5.3883494684361146</v>
      </c>
      <c r="N532" s="122">
        <f t="shared" si="164"/>
        <v>1230.5249642150727</v>
      </c>
      <c r="O532" s="121" t="str">
        <f t="shared" si="165"/>
        <v>OK</v>
      </c>
      <c r="P532">
        <f t="shared" si="166"/>
        <v>1166.2670395371886</v>
      </c>
      <c r="Q532">
        <f t="shared" si="167"/>
        <v>0.59890776266588575</v>
      </c>
      <c r="R532">
        <f t="shared" si="168"/>
        <v>0.5</v>
      </c>
      <c r="S532">
        <f t="shared" si="169"/>
        <v>2</v>
      </c>
      <c r="T532" s="89">
        <f t="shared" si="170"/>
        <v>0</v>
      </c>
      <c r="U532" s="126">
        <f>IF($D532="",0,IFERROR(LOOKUP(2,1/(($D$3:D531=$D532)*($C$3:C531=$C532)*($A$3:A531&lt;$A532)),$AB$3:AB531),1000))</f>
        <v>1000</v>
      </c>
      <c r="V532" s="126">
        <f t="shared" si="171"/>
        <v>1235.9133136835089</v>
      </c>
      <c r="W532">
        <f t="shared" si="172"/>
        <v>1166.2670395371886</v>
      </c>
      <c r="X532">
        <f t="shared" si="173"/>
        <v>0.59890776266588575</v>
      </c>
      <c r="Y532">
        <f t="shared" si="174"/>
        <v>1000</v>
      </c>
      <c r="Z532">
        <f t="shared" si="175"/>
        <v>0.5</v>
      </c>
      <c r="AA532">
        <f>IF($D532="",0,IF($F532&lt;2,0,IF($E532="Win",('Guide &amp; Settings'!$C$42/(($F532-1)*COUNTIFS($A$4:$A$1510,$A532,$E$4:$E$1510,"Win")))*SUMIFS($Z$4:$Z$1510,$A$4:$A$1510,$A532,$E$4:$E$1510,"Loss"),-('Guide &amp; Settings'!$C$42/($F532-1))*$Z532)))</f>
        <v>-5.333333333333333</v>
      </c>
      <c r="AB532" s="126">
        <f t="shared" si="176"/>
        <v>994.66666666666663</v>
      </c>
      <c r="AC532" s="126">
        <f>IF($D532="","",IF($AD532=0,0,IF(COUNTIFS($D$4:$D532,$D532,$B$4:$B532,$B532)&gt;1,0,IF($B532&lt;'Guide &amp; Settings'!$C$50,0,IF(($B532-$AD532)/7-'Guide &amp; Settings'!$C$48&gt;=0,(INT(($B532-$AD532)/7-'Guide &amp; Settings'!$C$48)+1)*'Guide &amp; Settings'!$C$49,0)))))</f>
        <v>0</v>
      </c>
      <c r="AD532" s="142">
        <f t="shared" si="177"/>
        <v>46215</v>
      </c>
      <c r="AE532">
        <f t="shared" si="178"/>
        <v>1</v>
      </c>
      <c r="AF532">
        <f t="shared" si="179"/>
        <v>0</v>
      </c>
    </row>
    <row r="533" spans="1:32" x14ac:dyDescent="0.2">
      <c r="A533" s="117">
        <v>228</v>
      </c>
      <c r="B533" s="118">
        <v>46255</v>
      </c>
      <c r="C533" s="119" t="s">
        <v>51</v>
      </c>
      <c r="D533" s="119" t="s">
        <v>20</v>
      </c>
      <c r="E533" s="117" t="s">
        <v>370</v>
      </c>
      <c r="F533" s="120">
        <f t="shared" si="160"/>
        <v>4</v>
      </c>
      <c r="G533" s="121" t="str">
        <f t="shared" si="161"/>
        <v>Shawn</v>
      </c>
      <c r="H533" s="122">
        <f>IF($D533="",0,IFERROR(LOOKUP(2,1/(($D$3:D532=$D533)*($A$3:A532&lt;$A533)),$N$3:N532),'Guide &amp; Settings'!$C$41))</f>
        <v>1193.81289056218</v>
      </c>
      <c r="I533" s="123">
        <f t="shared" si="162"/>
        <v>0.4</v>
      </c>
      <c r="J533" s="124">
        <f>IF($D533="",0,IF($F533&lt;2,0,IF($E533="Win",('Guide &amp; Settings'!$C$42/(($F533-1)*COUNTIFS($A$4:$A$1510,$A533,$E$4:$E$1510,"Win")))*SUMIFS($X$4:$X$1510,$A$4:$A$1510,$A533,$E$4:$E$1510,"Loss"),-('Guide &amp; Settings'!$C$42/($F533-1))*$X533)))</f>
        <v>13.467274882477778</v>
      </c>
      <c r="K533" s="124">
        <f>IF($D533="",0,'Guide &amp; Settings'!$C$43*(IF($E533="Win",1,0)-$I533))</f>
        <v>7.1999999999999993</v>
      </c>
      <c r="L533" s="125">
        <f>IF($D533="",0,'Guide &amp; Settings'!$C$44*IF($F533&gt;=3,$F533,0))</f>
        <v>4</v>
      </c>
      <c r="M533" s="124">
        <f t="shared" si="163"/>
        <v>24.667274882477777</v>
      </c>
      <c r="N533" s="122">
        <f t="shared" si="164"/>
        <v>1218.4801654446578</v>
      </c>
      <c r="O533" s="121" t="str">
        <f t="shared" si="165"/>
        <v>OK</v>
      </c>
      <c r="P533">
        <f t="shared" si="166"/>
        <v>1193.81289056218</v>
      </c>
      <c r="Q533">
        <f t="shared" si="167"/>
        <v>0.5</v>
      </c>
      <c r="R533">
        <f t="shared" si="168"/>
        <v>0.66666666666666663</v>
      </c>
      <c r="S533">
        <f t="shared" si="169"/>
        <v>1.6666666666666665</v>
      </c>
      <c r="T533" s="89">
        <f t="shared" si="170"/>
        <v>1</v>
      </c>
      <c r="U533" s="126">
        <f>IF($D533="",0,IFERROR(LOOKUP(2,1/(($D$3:D532=$D533)*($C$3:C532=$C533)*($A$3:A532&lt;$A533)),$AB$3:AB532),1000))</f>
        <v>1016</v>
      </c>
      <c r="V533" s="126">
        <f t="shared" si="171"/>
        <v>1164.1774088018167</v>
      </c>
      <c r="W533">
        <f t="shared" si="172"/>
        <v>1164.1774088018167</v>
      </c>
      <c r="X533">
        <f t="shared" si="173"/>
        <v>0.5</v>
      </c>
      <c r="Y533">
        <f t="shared" si="174"/>
        <v>1016</v>
      </c>
      <c r="Z533">
        <f t="shared" si="175"/>
        <v>0.5</v>
      </c>
      <c r="AA533">
        <f>IF($D533="",0,IF($F533&lt;2,0,IF($E533="Win",('Guide &amp; Settings'!$C$42/(($F533-1)*COUNTIFS($A$4:$A$1510,$A533,$E$4:$E$1510,"Win")))*SUMIFS($Z$4:$Z$1510,$A$4:$A$1510,$A533,$E$4:$E$1510,"Loss"),-('Guide &amp; Settings'!$C$42/($F533-1))*$Z533)))</f>
        <v>15.018796507601317</v>
      </c>
      <c r="AB533" s="126">
        <f t="shared" si="176"/>
        <v>1031.0187965076013</v>
      </c>
      <c r="AC533" s="126">
        <f>IF($D533="","",IF($AD533=0,0,IF(COUNTIFS($D$4:$D533,$D533,$B$4:$B533,$B533)&gt;1,0,IF($B533&lt;'Guide &amp; Settings'!$C$50,0,IF(($B533-$AD533)/7-'Guide &amp; Settings'!$C$48&gt;=0,(INT(($B533-$AD533)/7-'Guide &amp; Settings'!$C$48)+1)*'Guide &amp; Settings'!$C$49,0)))))</f>
        <v>0</v>
      </c>
      <c r="AD533" s="142">
        <f t="shared" si="177"/>
        <v>46247</v>
      </c>
      <c r="AE533">
        <f t="shared" si="178"/>
        <v>1</v>
      </c>
      <c r="AF533">
        <f t="shared" si="179"/>
        <v>0</v>
      </c>
    </row>
    <row r="534" spans="1:32" x14ac:dyDescent="0.2">
      <c r="A534" s="117">
        <v>228</v>
      </c>
      <c r="B534" s="118">
        <v>46255</v>
      </c>
      <c r="C534" s="119" t="s">
        <v>51</v>
      </c>
      <c r="D534" s="119" t="s">
        <v>15</v>
      </c>
      <c r="E534" s="117" t="s">
        <v>371</v>
      </c>
      <c r="F534" s="120">
        <f t="shared" si="160"/>
        <v>4</v>
      </c>
      <c r="G534" s="121" t="str">
        <f t="shared" si="161"/>
        <v>Shawn</v>
      </c>
      <c r="H534" s="122">
        <f>IF($D534="",0,IFERROR(LOOKUP(2,1/(($D$3:D533=$D534)*($A$3:A533&lt;$A534)),$N$3:N533),'Guide &amp; Settings'!$C$41))</f>
        <v>1031.5694185161383</v>
      </c>
      <c r="I534" s="123">
        <f t="shared" si="162"/>
        <v>0.2</v>
      </c>
      <c r="J534" s="124">
        <f>IF($D534="",0,IF($F534&lt;2,0,IF($E534="Win",('Guide &amp; Settings'!$C$42/(($F534-1)*COUNTIFS($A$4:$A$1510,$A534,$E$4:$E$1510,"Win")))*SUMIFS($X$4:$X$1510,$A$4:$A$1510,$A534,$E$4:$E$1510,"Loss"),-('Guide &amp; Settings'!$C$42/($F534-1))*$X534)))</f>
        <v>-3.3097737771645086</v>
      </c>
      <c r="K534" s="124">
        <f>IF($D534="",0,'Guide &amp; Settings'!$C$43*(IF($E534="Win",1,0)-$I534))</f>
        <v>-2.4000000000000004</v>
      </c>
      <c r="L534" s="125">
        <f>IF($D534="",0,'Guide &amp; Settings'!$C$44*IF($F534&gt;=3,$F534,0))</f>
        <v>4</v>
      </c>
      <c r="M534" s="124">
        <f t="shared" si="163"/>
        <v>-1.709773777164509</v>
      </c>
      <c r="N534" s="122">
        <f t="shared" si="164"/>
        <v>1029.8596447389739</v>
      </c>
      <c r="O534" s="121" t="str">
        <f t="shared" si="165"/>
        <v>OK</v>
      </c>
      <c r="P534">
        <f t="shared" si="166"/>
        <v>1193.81289056218</v>
      </c>
      <c r="Q534">
        <f t="shared" si="167"/>
        <v>0.2821243364346035</v>
      </c>
      <c r="R534">
        <f t="shared" si="168"/>
        <v>0.33333333333333331</v>
      </c>
      <c r="S534">
        <f t="shared" si="169"/>
        <v>1.6666666666666665</v>
      </c>
      <c r="T534" s="89">
        <f t="shared" si="170"/>
        <v>1</v>
      </c>
      <c r="U534" s="126">
        <f>IF($D534="",0,IFERROR(LOOKUP(2,1/(($D$3:D533=$D534)*($C$3:C533=$C534)*($A$3:A533&lt;$A534)),$AB$3:AB533),1000))</f>
        <v>994.66666666666663</v>
      </c>
      <c r="V534" s="126">
        <f t="shared" si="171"/>
        <v>1025.4189598745597</v>
      </c>
      <c r="W534">
        <f t="shared" si="172"/>
        <v>1164.1774088018167</v>
      </c>
      <c r="X534">
        <f t="shared" si="173"/>
        <v>0.31029129160917268</v>
      </c>
      <c r="Y534">
        <f t="shared" si="174"/>
        <v>1016</v>
      </c>
      <c r="Z534">
        <f t="shared" si="175"/>
        <v>0.46933739086254123</v>
      </c>
      <c r="AA534">
        <f>IF($D534="",0,IF($F534&lt;2,0,IF($E534="Win",('Guide &amp; Settings'!$C$42/(($F534-1)*COUNTIFS($A$4:$A$1510,$A534,$E$4:$E$1510,"Win")))*SUMIFS($Z$4:$Z$1510,$A$4:$A$1510,$A534,$E$4:$E$1510,"Loss"),-('Guide &amp; Settings'!$C$42/($F534-1))*$Z534)))</f>
        <v>-5.0062655025337728</v>
      </c>
      <c r="AB534" s="126">
        <f t="shared" si="176"/>
        <v>989.66040116413285</v>
      </c>
      <c r="AC534" s="126">
        <f>IF($D534="","",IF($AD534=0,0,IF(COUNTIFS($D$4:$D534,$D534,$B$4:$B534,$B534)&gt;1,0,IF($B534&lt;'Guide &amp; Settings'!$C$50,0,IF(($B534-$AD534)/7-'Guide &amp; Settings'!$C$48&gt;=0,(INT(($B534-$AD534)/7-'Guide &amp; Settings'!$C$48)+1)*'Guide &amp; Settings'!$C$49,0)))))</f>
        <v>0</v>
      </c>
      <c r="AD534" s="142">
        <f t="shared" si="177"/>
        <v>46229</v>
      </c>
      <c r="AE534">
        <f t="shared" si="178"/>
        <v>1</v>
      </c>
      <c r="AF534">
        <f t="shared" si="179"/>
        <v>0</v>
      </c>
    </row>
    <row r="535" spans="1:32" x14ac:dyDescent="0.2">
      <c r="A535" s="117">
        <v>228</v>
      </c>
      <c r="B535" s="118">
        <v>46255</v>
      </c>
      <c r="C535" s="119" t="s">
        <v>51</v>
      </c>
      <c r="D535" s="119" t="s">
        <v>22</v>
      </c>
      <c r="E535" s="117" t="s">
        <v>371</v>
      </c>
      <c r="F535" s="120">
        <f t="shared" si="160"/>
        <v>4</v>
      </c>
      <c r="G535" s="121" t="str">
        <f t="shared" si="161"/>
        <v>Shawn</v>
      </c>
      <c r="H535" s="122">
        <f>IF($D535="",0,IFERROR(LOOKUP(2,1/(($D$3:D534=$D535)*($A$3:A534&lt;$A535)),$N$3:N534),'Guide &amp; Settings'!$C$41))</f>
        <v>1125.162001428029</v>
      </c>
      <c r="I535" s="123">
        <f t="shared" si="162"/>
        <v>0.2</v>
      </c>
      <c r="J535" s="124">
        <f>IF($D535="",0,IF($F535&lt;2,0,IF($E535="Win",('Guide &amp; Settings'!$C$42/(($F535-1)*COUNTIFS($A$4:$A$1510,$A535,$E$4:$E$1510,"Win")))*SUMIFS($X$4:$X$1510,$A$4:$A$1510,$A535,$E$4:$E$1510,"Loss"),-('Guide &amp; Settings'!$C$42/($F535-1))*$X535)))</f>
        <v>-4.4099574362234861</v>
      </c>
      <c r="K535" s="124">
        <f>IF($D535="",0,'Guide &amp; Settings'!$C$43*(IF($E535="Win",1,0)-$I535))</f>
        <v>-2.4000000000000004</v>
      </c>
      <c r="L535" s="125">
        <f>IF($D535="",0,'Guide &amp; Settings'!$C$44*IF($F535&gt;=3,$F535,0))</f>
        <v>4</v>
      </c>
      <c r="M535" s="124">
        <f t="shared" si="163"/>
        <v>-2.8099574362234865</v>
      </c>
      <c r="N535" s="122">
        <f t="shared" si="164"/>
        <v>1122.3520439918057</v>
      </c>
      <c r="O535" s="121" t="str">
        <f t="shared" si="165"/>
        <v>OK</v>
      </c>
      <c r="P535">
        <f t="shared" si="166"/>
        <v>1193.81289056218</v>
      </c>
      <c r="Q535">
        <f t="shared" si="167"/>
        <v>0.40246943412686564</v>
      </c>
      <c r="R535">
        <f t="shared" si="168"/>
        <v>0.33333333333333331</v>
      </c>
      <c r="S535">
        <f t="shared" si="169"/>
        <v>1.6666666666666665</v>
      </c>
      <c r="T535" s="89">
        <f t="shared" si="170"/>
        <v>1</v>
      </c>
      <c r="U535" s="126">
        <f>IF($D535="",0,IFERROR(LOOKUP(2,1/(($D$3:D534=$D535)*($C$3:C534=$C535)*($A$3:A534&lt;$A535)),$AB$3:AB534),1000))</f>
        <v>994.66666666666663</v>
      </c>
      <c r="V535" s="126">
        <f t="shared" si="171"/>
        <v>1103.4127789678021</v>
      </c>
      <c r="W535">
        <f t="shared" si="172"/>
        <v>1164.1774088018167</v>
      </c>
      <c r="X535">
        <f t="shared" si="173"/>
        <v>0.41343350964595182</v>
      </c>
      <c r="Y535">
        <f t="shared" si="174"/>
        <v>1016</v>
      </c>
      <c r="Z535">
        <f t="shared" si="175"/>
        <v>0.46933739086254123</v>
      </c>
      <c r="AA535">
        <f>IF($D535="",0,IF($F535&lt;2,0,IF($E535="Win",('Guide &amp; Settings'!$C$42/(($F535-1)*COUNTIFS($A$4:$A$1510,$A535,$E$4:$E$1510,"Win")))*SUMIFS($Z$4:$Z$1510,$A$4:$A$1510,$A535,$E$4:$E$1510,"Loss"),-('Guide &amp; Settings'!$C$42/($F535-1))*$Z535)))</f>
        <v>-5.0062655025337728</v>
      </c>
      <c r="AB535" s="126">
        <f t="shared" si="176"/>
        <v>989.66040116413285</v>
      </c>
      <c r="AC535" s="126">
        <f>IF($D535="","",IF($AD535=0,0,IF(COUNTIFS($D$4:$D535,$D535,$B$4:$B535,$B535)&gt;1,0,IF($B535&lt;'Guide &amp; Settings'!$C$50,0,IF(($B535-$AD535)/7-'Guide &amp; Settings'!$C$48&gt;=0,(INT(($B535-$AD535)/7-'Guide &amp; Settings'!$C$48)+1)*'Guide &amp; Settings'!$C$49,0)))))</f>
        <v>0</v>
      </c>
      <c r="AD535" s="142">
        <f t="shared" si="177"/>
        <v>46253</v>
      </c>
      <c r="AE535">
        <f t="shared" si="178"/>
        <v>1</v>
      </c>
      <c r="AF535">
        <f t="shared" si="179"/>
        <v>0</v>
      </c>
    </row>
    <row r="536" spans="1:32" x14ac:dyDescent="0.2">
      <c r="A536" s="117">
        <v>228</v>
      </c>
      <c r="B536" s="118">
        <v>46255</v>
      </c>
      <c r="C536" s="119" t="s">
        <v>51</v>
      </c>
      <c r="D536" s="119" t="s">
        <v>23</v>
      </c>
      <c r="E536" s="117" t="s">
        <v>371</v>
      </c>
      <c r="F536" s="120">
        <f t="shared" si="160"/>
        <v>4</v>
      </c>
      <c r="G536" s="121" t="str">
        <f t="shared" si="161"/>
        <v>Shawn</v>
      </c>
      <c r="H536" s="122">
        <f>IF($D536="",0,IFERROR(LOOKUP(2,1/(($D$3:D535=$D536)*($A$3:A535&lt;$A536)),$N$3:N535),'Guide &amp; Settings'!$C$41))</f>
        <v>1230.5249642150727</v>
      </c>
      <c r="I536" s="123">
        <f t="shared" si="162"/>
        <v>0.2</v>
      </c>
      <c r="J536" s="124">
        <f>IF($D536="",0,IF($F536&lt;2,0,IF($E536="Win",('Guide &amp; Settings'!$C$42/(($F536-1)*COUNTIFS($A$4:$A$1510,$A536,$E$4:$E$1510,"Win")))*SUMIFS($X$4:$X$1510,$A$4:$A$1510,$A536,$E$4:$E$1510,"Loss"),-('Guide &amp; Settings'!$C$42/($F536-1))*$X536)))</f>
        <v>-5.7475436690897839</v>
      </c>
      <c r="K536" s="124">
        <f>IF($D536="",0,'Guide &amp; Settings'!$C$43*(IF($E536="Win",1,0)-$I536))</f>
        <v>-2.4000000000000004</v>
      </c>
      <c r="L536" s="125">
        <f>IF($D536="",0,'Guide &amp; Settings'!$C$44*IF($F536&gt;=3,$F536,0))</f>
        <v>4</v>
      </c>
      <c r="M536" s="124">
        <f t="shared" si="163"/>
        <v>-4.1475436690897851</v>
      </c>
      <c r="N536" s="122">
        <f t="shared" si="164"/>
        <v>1226.3774205459829</v>
      </c>
      <c r="O536" s="121" t="str">
        <f t="shared" si="165"/>
        <v>OK</v>
      </c>
      <c r="P536">
        <f t="shared" si="166"/>
        <v>1193.81289056218</v>
      </c>
      <c r="Q536">
        <f t="shared" si="167"/>
        <v>0.55263716390112061</v>
      </c>
      <c r="R536">
        <f t="shared" si="168"/>
        <v>0.33333333333333331</v>
      </c>
      <c r="S536">
        <f t="shared" si="169"/>
        <v>1.6666666666666665</v>
      </c>
      <c r="T536" s="89">
        <f t="shared" si="170"/>
        <v>1</v>
      </c>
      <c r="U536" s="126">
        <f>IF($D536="",0,IFERROR(LOOKUP(2,1/(($D$3:D535=$D536)*($C$3:C535=$C536)*($A$3:A535&lt;$A536)),$AB$3:AB535),1000))</f>
        <v>994.66666666666663</v>
      </c>
      <c r="V536" s="126">
        <f t="shared" si="171"/>
        <v>1191.2152479570052</v>
      </c>
      <c r="W536">
        <f t="shared" si="172"/>
        <v>1164.1774088018167</v>
      </c>
      <c r="X536">
        <f t="shared" si="173"/>
        <v>0.53883221897716727</v>
      </c>
      <c r="Y536">
        <f t="shared" si="174"/>
        <v>1016</v>
      </c>
      <c r="Z536">
        <f t="shared" si="175"/>
        <v>0.46933739086254123</v>
      </c>
      <c r="AA536">
        <f>IF($D536="",0,IF($F536&lt;2,0,IF($E536="Win",('Guide &amp; Settings'!$C$42/(($F536-1)*COUNTIFS($A$4:$A$1510,$A536,$E$4:$E$1510,"Win")))*SUMIFS($Z$4:$Z$1510,$A$4:$A$1510,$A536,$E$4:$E$1510,"Loss"),-('Guide &amp; Settings'!$C$42/($F536-1))*$Z536)))</f>
        <v>-5.0062655025337728</v>
      </c>
      <c r="AB536" s="126">
        <f t="shared" si="176"/>
        <v>989.66040116413285</v>
      </c>
      <c r="AC536" s="126">
        <f>IF($D536="","",IF($AD536=0,0,IF(COUNTIFS($D$4:$D536,$D536,$B$4:$B536,$B536)&gt;1,0,IF($B536&lt;'Guide &amp; Settings'!$C$50,0,IF(($B536-$AD536)/7-'Guide &amp; Settings'!$C$48&gt;=0,(INT(($B536-$AD536)/7-'Guide &amp; Settings'!$C$48)+1)*'Guide &amp; Settings'!$C$49,0)))))</f>
        <v>0</v>
      </c>
      <c r="AD536" s="142">
        <f t="shared" si="177"/>
        <v>46215</v>
      </c>
      <c r="AE536">
        <f t="shared" si="178"/>
        <v>1</v>
      </c>
      <c r="AF536">
        <f t="shared" si="179"/>
        <v>0</v>
      </c>
    </row>
    <row r="537" spans="1:32" x14ac:dyDescent="0.2">
      <c r="A537" s="117">
        <v>229</v>
      </c>
      <c r="B537" s="118">
        <v>46255</v>
      </c>
      <c r="C537" s="119" t="s">
        <v>44</v>
      </c>
      <c r="D537" s="119" t="s">
        <v>15</v>
      </c>
      <c r="E537" s="117" t="s">
        <v>370</v>
      </c>
      <c r="F537" s="120">
        <f t="shared" si="160"/>
        <v>2</v>
      </c>
      <c r="G537" s="121" t="str">
        <f t="shared" si="161"/>
        <v>Aaron</v>
      </c>
      <c r="H537" s="122">
        <f>IF($D537="",0,IFERROR(LOOKUP(2,1/(($D$3:D536=$D537)*($A$3:A536&lt;$A537)),$N$3:N536),'Guide &amp; Settings'!$C$41))</f>
        <v>1029.8596447389739</v>
      </c>
      <c r="I537" s="123">
        <f t="shared" si="162"/>
        <v>0.6</v>
      </c>
      <c r="J537" s="124">
        <f>IF($D537="",0,IF($F537&lt;2,0,IF($E537="Win",('Guide &amp; Settings'!$C$42/(($F537-1)*COUNTIFS($A$4:$A$1510,$A537,$E$4:$E$1510,"Win")))*SUMIFS($X$4:$X$1510,$A$4:$A$1510,$A537,$E$4:$E$1510,"Loss"),-('Guide &amp; Settings'!$C$42/($F537-1))*$X537)))</f>
        <v>13.893520205170764</v>
      </c>
      <c r="K537" s="124">
        <f>IF($D537="",0,'Guide &amp; Settings'!$C$43*(IF($E537="Win",1,0)-$I537))</f>
        <v>4.8000000000000007</v>
      </c>
      <c r="L537" s="125">
        <f>IF($D537="",0,'Guide &amp; Settings'!$C$44*IF($F537&gt;=3,$F537,0))</f>
        <v>0</v>
      </c>
      <c r="M537" s="124">
        <f t="shared" si="163"/>
        <v>18.693520205170763</v>
      </c>
      <c r="N537" s="122">
        <f t="shared" si="164"/>
        <v>1048.5531649441446</v>
      </c>
      <c r="O537" s="121" t="str">
        <f t="shared" si="165"/>
        <v>OK</v>
      </c>
      <c r="P537">
        <f t="shared" si="166"/>
        <v>1029.8596447389739</v>
      </c>
      <c r="Q537">
        <f t="shared" si="167"/>
        <v>0.5</v>
      </c>
      <c r="R537">
        <f t="shared" si="168"/>
        <v>0.375</v>
      </c>
      <c r="S537">
        <f t="shared" si="169"/>
        <v>0.625</v>
      </c>
      <c r="T537" s="89">
        <f t="shared" si="170"/>
        <v>6</v>
      </c>
      <c r="U537" s="126">
        <f>IF($D537="",0,IFERROR(LOOKUP(2,1/(($D$3:D536=$D537)*($C$3:C536=$C537)*($A$3:A536&lt;$A537)),$AB$3:AB536),1000))</f>
        <v>986.35645404617446</v>
      </c>
      <c r="V537" s="126">
        <f t="shared" si="171"/>
        <v>1006.1306316338105</v>
      </c>
      <c r="W537">
        <f t="shared" si="172"/>
        <v>1006.1306316338105</v>
      </c>
      <c r="X537">
        <f t="shared" si="173"/>
        <v>0.5</v>
      </c>
      <c r="Y537">
        <f t="shared" si="174"/>
        <v>986.35645404617446</v>
      </c>
      <c r="Z537">
        <f t="shared" si="175"/>
        <v>0.5</v>
      </c>
      <c r="AA537">
        <f>IF($D537="",0,IF($F537&lt;2,0,IF($E537="Win",('Guide &amp; Settings'!$C$42/(($F537-1)*COUNTIFS($A$4:$A$1510,$A537,$E$4:$E$1510,"Win")))*SUMIFS($Z$4:$Z$1510,$A$4:$A$1510,$A537,$E$4:$E$1510,"Loss"),-('Guide &amp; Settings'!$C$42/($F537-1))*$Z537)))</f>
        <v>14.296559984036067</v>
      </c>
      <c r="AB537" s="126">
        <f t="shared" si="176"/>
        <v>1000.6530140302106</v>
      </c>
      <c r="AC537" s="126">
        <f>IF($D537="","",IF($AD537=0,0,IF(COUNTIFS($D$4:$D537,$D537,$B$4:$B537,$B537)&gt;1,0,IF($B537&lt;'Guide &amp; Settings'!$C$50,0,IF(($B537-$AD537)/7-'Guide &amp; Settings'!$C$48&gt;=0,(INT(($B537-$AD537)/7-'Guide &amp; Settings'!$C$48)+1)*'Guide &amp; Settings'!$C$49,0)))))</f>
        <v>0</v>
      </c>
      <c r="AD537" s="142">
        <f t="shared" si="177"/>
        <v>46229</v>
      </c>
      <c r="AE537">
        <f t="shared" si="178"/>
        <v>1</v>
      </c>
      <c r="AF537">
        <f t="shared" si="179"/>
        <v>0</v>
      </c>
    </row>
    <row r="538" spans="1:32" x14ac:dyDescent="0.2">
      <c r="A538" s="117">
        <v>229</v>
      </c>
      <c r="B538" s="118">
        <v>46255</v>
      </c>
      <c r="C538" s="119" t="s">
        <v>44</v>
      </c>
      <c r="D538" s="119" t="s">
        <v>18</v>
      </c>
      <c r="E538" s="117" t="s">
        <v>371</v>
      </c>
      <c r="F538" s="120">
        <f t="shared" si="160"/>
        <v>2</v>
      </c>
      <c r="G538" s="121" t="str">
        <f t="shared" si="161"/>
        <v>Aaron</v>
      </c>
      <c r="H538" s="122">
        <f>IF($D538="",0,IFERROR(LOOKUP(2,1/(($D$3:D537=$D538)*($A$3:A537&lt;$A538)),$N$3:N537),'Guide &amp; Settings'!$C$41))</f>
        <v>973.19705892757202</v>
      </c>
      <c r="I538" s="123">
        <f t="shared" si="162"/>
        <v>0.4</v>
      </c>
      <c r="J538" s="124">
        <f>IF($D538="",0,IF($F538&lt;2,0,IF($E538="Win",('Guide &amp; Settings'!$C$42/(($F538-1)*COUNTIFS($A$4:$A$1510,$A538,$E$4:$E$1510,"Win")))*SUMIFS($X$4:$X$1510,$A$4:$A$1510,$A538,$E$4:$E$1510,"Loss"),-('Guide &amp; Settings'!$C$42/($F538-1))*$X538)))</f>
        <v>-13.893520205170764</v>
      </c>
      <c r="K538" s="124">
        <f>IF($D538="",0,'Guide &amp; Settings'!$C$43*(IF($E538="Win",1,0)-$I538))</f>
        <v>-4.8000000000000007</v>
      </c>
      <c r="L538" s="125">
        <f>IF($D538="",0,'Guide &amp; Settings'!$C$44*IF($F538&gt;=3,$F538,0))</f>
        <v>0</v>
      </c>
      <c r="M538" s="124">
        <f t="shared" si="163"/>
        <v>-18.693520205170763</v>
      </c>
      <c r="N538" s="122">
        <f t="shared" si="164"/>
        <v>954.50353872240123</v>
      </c>
      <c r="O538" s="121" t="str">
        <f t="shared" si="165"/>
        <v>OK</v>
      </c>
      <c r="P538">
        <f t="shared" si="166"/>
        <v>1029.8596447389739</v>
      </c>
      <c r="Q538">
        <f t="shared" si="167"/>
        <v>0.41917133564792924</v>
      </c>
      <c r="R538">
        <f t="shared" si="168"/>
        <v>0.25</v>
      </c>
      <c r="S538">
        <f t="shared" si="169"/>
        <v>0.625</v>
      </c>
      <c r="T538" s="89">
        <f t="shared" si="170"/>
        <v>6</v>
      </c>
      <c r="U538" s="126">
        <f>IF($D538="",0,IFERROR(LOOKUP(2,1/(($D$3:D537=$D538)*($C$3:C537=$C538)*($A$3:A537&lt;$A538)),$AB$3:AB537),1000))</f>
        <v>949.22600883289385</v>
      </c>
      <c r="V538" s="126">
        <f t="shared" si="171"/>
        <v>960.12194069411123</v>
      </c>
      <c r="W538">
        <f t="shared" si="172"/>
        <v>1006.1306316338105</v>
      </c>
      <c r="X538">
        <f t="shared" si="173"/>
        <v>0.43417250641158639</v>
      </c>
      <c r="Y538">
        <f t="shared" si="174"/>
        <v>986.35645404617446</v>
      </c>
      <c r="Z538">
        <f t="shared" si="175"/>
        <v>0.4467674995011271</v>
      </c>
      <c r="AA538">
        <f>IF($D538="",0,IF($F538&lt;2,0,IF($E538="Win",('Guide &amp; Settings'!$C$42/(($F538-1)*COUNTIFS($A$4:$A$1510,$A538,$E$4:$E$1510,"Win")))*SUMIFS($Z$4:$Z$1510,$A$4:$A$1510,$A538,$E$4:$E$1510,"Loss"),-('Guide &amp; Settings'!$C$42/($F538-1))*$Z538)))</f>
        <v>-14.296559984036067</v>
      </c>
      <c r="AB538" s="126">
        <f t="shared" si="176"/>
        <v>934.92944884885776</v>
      </c>
      <c r="AC538" s="126">
        <f>IF($D538="","",IF($AD538=0,0,IF(COUNTIFS($D$4:$D538,$D538,$B$4:$B538,$B538)&gt;1,0,IF($B538&lt;'Guide &amp; Settings'!$C$50,0,IF(($B538-$AD538)/7-'Guide &amp; Settings'!$C$48&gt;=0,(INT(($B538-$AD538)/7-'Guide &amp; Settings'!$C$48)+1)*'Guide &amp; Settings'!$C$49,0)))))</f>
        <v>20</v>
      </c>
      <c r="AD538" s="142">
        <f t="shared" si="177"/>
        <v>46214</v>
      </c>
      <c r="AE538">
        <f t="shared" si="178"/>
        <v>1</v>
      </c>
      <c r="AF538">
        <f t="shared" si="179"/>
        <v>0</v>
      </c>
    </row>
    <row r="539" spans="1:32" x14ac:dyDescent="0.2">
      <c r="A539" s="117">
        <v>230</v>
      </c>
      <c r="B539" s="118">
        <v>46255</v>
      </c>
      <c r="C539" s="119" t="s">
        <v>44</v>
      </c>
      <c r="D539" s="119" t="s">
        <v>15</v>
      </c>
      <c r="E539" s="117" t="s">
        <v>370</v>
      </c>
      <c r="F539" s="120">
        <f t="shared" si="160"/>
        <v>2</v>
      </c>
      <c r="G539" s="121" t="str">
        <f t="shared" si="161"/>
        <v>Aaron</v>
      </c>
      <c r="H539" s="122">
        <f>IF($D539="",0,IFERROR(LOOKUP(2,1/(($D$3:D538=$D539)*($A$3:A538&lt;$A539)),$N$3:N538),'Guide &amp; Settings'!$C$41))</f>
        <v>1048.5531649441446</v>
      </c>
      <c r="I539" s="123">
        <f t="shared" si="162"/>
        <v>0.66666666666666663</v>
      </c>
      <c r="J539" s="124">
        <f>IF($D539="",0,IF($F539&lt;2,0,IF($E539="Win",('Guide &amp; Settings'!$C$42/(($F539-1)*COUNTIFS($A$4:$A$1510,$A539,$E$4:$E$1510,"Win")))*SUMIFS($X$4:$X$1510,$A$4:$A$1510,$A539,$E$4:$E$1510,"Loss"),-('Guide &amp; Settings'!$C$42/($F539-1))*$X539)))</f>
        <v>15.83514140530642</v>
      </c>
      <c r="K539" s="124">
        <f>IF($D539="",0,'Guide &amp; Settings'!$C$43*(IF($E539="Win",1,0)-$I539))</f>
        <v>4</v>
      </c>
      <c r="L539" s="125">
        <f>IF($D539="",0,'Guide &amp; Settings'!$C$44*IF($F539&gt;=3,$F539,0))</f>
        <v>0</v>
      </c>
      <c r="M539" s="124">
        <f t="shared" si="163"/>
        <v>19.83514140530642</v>
      </c>
      <c r="N539" s="122">
        <f t="shared" si="164"/>
        <v>1068.3883063494509</v>
      </c>
      <c r="O539" s="121" t="str">
        <f t="shared" si="165"/>
        <v>OK</v>
      </c>
      <c r="P539">
        <f t="shared" si="166"/>
        <v>1048.5531649441446</v>
      </c>
      <c r="Q539">
        <f t="shared" si="167"/>
        <v>0.5</v>
      </c>
      <c r="R539">
        <f t="shared" si="168"/>
        <v>0.44444444444444442</v>
      </c>
      <c r="S539">
        <f t="shared" si="169"/>
        <v>0.66666666666666663</v>
      </c>
      <c r="T539" s="89">
        <f t="shared" si="170"/>
        <v>7</v>
      </c>
      <c r="U539" s="126">
        <f>IF($D539="",0,IFERROR(LOOKUP(2,1/(($D$3:D538=$D539)*($C$3:C538=$C539)*($A$3:A538&lt;$A539)),$AB$3:AB538),1000))</f>
        <v>1000.6530140302106</v>
      </c>
      <c r="V539" s="126">
        <f t="shared" si="171"/>
        <v>1020.6114102443497</v>
      </c>
      <c r="W539">
        <f t="shared" si="172"/>
        <v>1020.6114102443497</v>
      </c>
      <c r="X539">
        <f t="shared" si="173"/>
        <v>0.5</v>
      </c>
      <c r="Y539">
        <f t="shared" si="174"/>
        <v>1000.6530140302106</v>
      </c>
      <c r="Z539">
        <f t="shared" si="175"/>
        <v>0.5</v>
      </c>
      <c r="AA539">
        <f>IF($D539="",0,IF($F539&lt;2,0,IF($E539="Win",('Guide &amp; Settings'!$C$42/(($F539-1)*COUNTIFS($A$4:$A$1510,$A539,$E$4:$E$1510,"Win")))*SUMIFS($Z$4:$Z$1510,$A$4:$A$1510,$A539,$E$4:$E$1510,"Loss"),-('Guide &amp; Settings'!$C$42/($F539-1))*$Z539)))</f>
        <v>13.315455130831772</v>
      </c>
      <c r="AB539" s="126">
        <f t="shared" si="176"/>
        <v>1013.9684691610423</v>
      </c>
      <c r="AC539" s="126">
        <f>IF($D539="","",IF($AD539=0,0,IF(COUNTIFS($D$4:$D539,$D539,$B$4:$B539,$B539)&gt;1,0,IF($B539&lt;'Guide &amp; Settings'!$C$50,0,IF(($B539-$AD539)/7-'Guide &amp; Settings'!$C$48&gt;=0,(INT(($B539-$AD539)/7-'Guide &amp; Settings'!$C$48)+1)*'Guide &amp; Settings'!$C$49,0)))))</f>
        <v>0</v>
      </c>
      <c r="AD539" s="142">
        <f t="shared" si="177"/>
        <v>46229</v>
      </c>
      <c r="AE539">
        <f t="shared" si="178"/>
        <v>1</v>
      </c>
      <c r="AF539">
        <f t="shared" si="179"/>
        <v>0</v>
      </c>
    </row>
    <row r="540" spans="1:32" x14ac:dyDescent="0.2">
      <c r="A540" s="117">
        <v>230</v>
      </c>
      <c r="B540" s="118">
        <v>46255</v>
      </c>
      <c r="C540" s="119" t="s">
        <v>44</v>
      </c>
      <c r="D540" s="119" t="s">
        <v>22</v>
      </c>
      <c r="E540" s="117" t="s">
        <v>371</v>
      </c>
      <c r="F540" s="120">
        <f t="shared" si="160"/>
        <v>2</v>
      </c>
      <c r="G540" s="121" t="str">
        <f t="shared" si="161"/>
        <v>Aaron</v>
      </c>
      <c r="H540" s="122">
        <f>IF($D540="",0,IFERROR(LOOKUP(2,1/(($D$3:D539=$D540)*($A$3:A539&lt;$A540)),$N$3:N539),'Guide &amp; Settings'!$C$41))</f>
        <v>1122.3520439918057</v>
      </c>
      <c r="I540" s="123">
        <f t="shared" si="162"/>
        <v>0.33333333333333331</v>
      </c>
      <c r="J540" s="124">
        <f>IF($D540="",0,IF($F540&lt;2,0,IF($E540="Win",('Guide &amp; Settings'!$C$42/(($F540-1)*COUNTIFS($A$4:$A$1510,$A540,$E$4:$E$1510,"Win")))*SUMIFS($X$4:$X$1510,$A$4:$A$1510,$A540,$E$4:$E$1510,"Loss"),-('Guide &amp; Settings'!$C$42/($F540-1))*$X540)))</f>
        <v>-15.83514140530642</v>
      </c>
      <c r="K540" s="124">
        <f>IF($D540="",0,'Guide &amp; Settings'!$C$43*(IF($E540="Win",1,0)-$I540))</f>
        <v>-4</v>
      </c>
      <c r="L540" s="125">
        <f>IF($D540="",0,'Guide &amp; Settings'!$C$44*IF($F540&gt;=3,$F540,0))</f>
        <v>0</v>
      </c>
      <c r="M540" s="124">
        <f t="shared" si="163"/>
        <v>-19.83514140530642</v>
      </c>
      <c r="N540" s="122">
        <f t="shared" si="164"/>
        <v>1102.5169025864993</v>
      </c>
      <c r="O540" s="121" t="str">
        <f t="shared" si="165"/>
        <v>OK</v>
      </c>
      <c r="P540">
        <f t="shared" si="166"/>
        <v>1048.5531649441446</v>
      </c>
      <c r="Q540">
        <f t="shared" si="167"/>
        <v>0.60463617508475032</v>
      </c>
      <c r="R540">
        <f t="shared" si="168"/>
        <v>0.22222222222222221</v>
      </c>
      <c r="S540">
        <f t="shared" si="169"/>
        <v>0.66666666666666663</v>
      </c>
      <c r="T540" s="89">
        <f t="shared" si="170"/>
        <v>7</v>
      </c>
      <c r="U540" s="126">
        <f>IF($D540="",0,IFERROR(LOOKUP(2,1/(($D$3:D539=$D540)*($C$3:C539=$C540)*($A$3:A539&lt;$A540)),$AB$3:AB539),1000))</f>
        <v>941.80241083787075</v>
      </c>
      <c r="V540" s="126">
        <f t="shared" si="171"/>
        <v>1017.0314246520102</v>
      </c>
      <c r="W540">
        <f t="shared" si="172"/>
        <v>1020.6114102443497</v>
      </c>
      <c r="X540">
        <f t="shared" si="173"/>
        <v>0.49484816891582561</v>
      </c>
      <c r="Y540">
        <f t="shared" si="174"/>
        <v>1000.6530140302106</v>
      </c>
      <c r="Z540">
        <f t="shared" si="175"/>
        <v>0.41610797283849288</v>
      </c>
      <c r="AA540">
        <f>IF($D540="",0,IF($F540&lt;2,0,IF($E540="Win",('Guide &amp; Settings'!$C$42/(($F540-1)*COUNTIFS($A$4:$A$1510,$A540,$E$4:$E$1510,"Win")))*SUMIFS($Z$4:$Z$1510,$A$4:$A$1510,$A540,$E$4:$E$1510,"Loss"),-('Guide &amp; Settings'!$C$42/($F540-1))*$Z540)))</f>
        <v>-13.315455130831772</v>
      </c>
      <c r="AB540" s="126">
        <f t="shared" si="176"/>
        <v>928.48695570703899</v>
      </c>
      <c r="AC540" s="126">
        <f>IF($D540="","",IF($AD540=0,0,IF(COUNTIFS($D$4:$D540,$D540,$B$4:$B540,$B540)&gt;1,0,IF($B540&lt;'Guide &amp; Settings'!$C$50,0,IF(($B540-$AD540)/7-'Guide &amp; Settings'!$C$48&gt;=0,(INT(($B540-$AD540)/7-'Guide &amp; Settings'!$C$48)+1)*'Guide &amp; Settings'!$C$49,0)))))</f>
        <v>0</v>
      </c>
      <c r="AD540" s="142">
        <f t="shared" si="177"/>
        <v>46253</v>
      </c>
      <c r="AE540">
        <f t="shared" si="178"/>
        <v>1</v>
      </c>
      <c r="AF540">
        <f t="shared" si="179"/>
        <v>0</v>
      </c>
    </row>
    <row r="541" spans="1:32" x14ac:dyDescent="0.2">
      <c r="A541" s="117">
        <v>231</v>
      </c>
      <c r="B541" s="118">
        <v>46255</v>
      </c>
      <c r="C541" s="119" t="s">
        <v>44</v>
      </c>
      <c r="D541" s="119" t="s">
        <v>15</v>
      </c>
      <c r="E541" s="117" t="s">
        <v>370</v>
      </c>
      <c r="F541" s="120">
        <f t="shared" si="160"/>
        <v>2</v>
      </c>
      <c r="G541" s="121" t="str">
        <f t="shared" si="161"/>
        <v>Aaron</v>
      </c>
      <c r="H541" s="122">
        <f>IF($D541="",0,IFERROR(LOOKUP(2,1/(($D$3:D540=$D541)*($A$3:A540&lt;$A541)),$N$3:N540),'Guide &amp; Settings'!$C$41))</f>
        <v>1068.3883063494509</v>
      </c>
      <c r="I541" s="123">
        <f t="shared" si="162"/>
        <v>0.41176470588235292</v>
      </c>
      <c r="J541" s="124">
        <f>IF($D541="",0,IF($F541&lt;2,0,IF($E541="Win",('Guide &amp; Settings'!$C$42/(($F541-1)*COUNTIFS($A$4:$A$1510,$A541,$E$4:$E$1510,"Win")))*SUMIFS($X$4:$X$1510,$A$4:$A$1510,$A541,$E$4:$E$1510,"Loss"),-('Guide &amp; Settings'!$C$42/($F541-1))*$X541)))</f>
        <v>20.74142878333797</v>
      </c>
      <c r="K541" s="124">
        <f>IF($D541="",0,'Guide &amp; Settings'!$C$43*(IF($E541="Win",1,0)-$I541))</f>
        <v>7.0588235294117645</v>
      </c>
      <c r="L541" s="125">
        <f>IF($D541="",0,'Guide &amp; Settings'!$C$44*IF($F541&gt;=3,$F541,0))</f>
        <v>0</v>
      </c>
      <c r="M541" s="124">
        <f t="shared" si="163"/>
        <v>27.800252312749734</v>
      </c>
      <c r="N541" s="122">
        <f t="shared" si="164"/>
        <v>1096.1885586622006</v>
      </c>
      <c r="O541" s="121" t="str">
        <f t="shared" si="165"/>
        <v>OK</v>
      </c>
      <c r="P541">
        <f t="shared" si="166"/>
        <v>1068.3883063494509</v>
      </c>
      <c r="Q541">
        <f t="shared" si="167"/>
        <v>0.5</v>
      </c>
      <c r="R541">
        <f t="shared" si="168"/>
        <v>0.5</v>
      </c>
      <c r="S541">
        <f t="shared" si="169"/>
        <v>1.2142857142857144</v>
      </c>
      <c r="T541" s="89">
        <f t="shared" si="170"/>
        <v>8</v>
      </c>
      <c r="U541" s="126">
        <f>IF($D541="",0,IFERROR(LOOKUP(2,1/(($D$3:D540=$D541)*($C$3:C540=$C541)*($A$3:A540&lt;$A541)),$AB$3:AB540),1000))</f>
        <v>1013.9684691610423</v>
      </c>
      <c r="V541" s="126">
        <f t="shared" si="171"/>
        <v>1034.8991757719687</v>
      </c>
      <c r="W541">
        <f t="shared" si="172"/>
        <v>1034.8991757719687</v>
      </c>
      <c r="X541">
        <f t="shared" si="173"/>
        <v>0.5</v>
      </c>
      <c r="Y541">
        <f t="shared" si="174"/>
        <v>1013.9684691610423</v>
      </c>
      <c r="Z541">
        <f t="shared" si="175"/>
        <v>0.5</v>
      </c>
      <c r="AA541">
        <f>IF($D541="",0,IF($F541&lt;2,0,IF($E541="Win",('Guide &amp; Settings'!$C$42/(($F541-1)*COUNTIFS($A$4:$A$1510,$A541,$E$4:$E$1510,"Win")))*SUMIFS($Z$4:$Z$1510,$A$4:$A$1510,$A541,$E$4:$E$1510,"Loss"),-('Guide &amp; Settings'!$C$42/($F541-1))*$Z541)))</f>
        <v>17.912856992450184</v>
      </c>
      <c r="AB541" s="126">
        <f t="shared" si="176"/>
        <v>1031.8813261534924</v>
      </c>
      <c r="AC541" s="126">
        <f>IF($D541="","",IF($AD541=0,0,IF(COUNTIFS($D$4:$D541,$D541,$B$4:$B541,$B541)&gt;1,0,IF($B541&lt;'Guide &amp; Settings'!$C$50,0,IF(($B541-$AD541)/7-'Guide &amp; Settings'!$C$48&gt;=0,(INT(($B541-$AD541)/7-'Guide &amp; Settings'!$C$48)+1)*'Guide &amp; Settings'!$C$49,0)))))</f>
        <v>0</v>
      </c>
      <c r="AD541" s="142">
        <f t="shared" si="177"/>
        <v>46229</v>
      </c>
      <c r="AE541">
        <f t="shared" si="178"/>
        <v>1</v>
      </c>
      <c r="AF541">
        <f t="shared" si="179"/>
        <v>0</v>
      </c>
    </row>
    <row r="542" spans="1:32" x14ac:dyDescent="0.2">
      <c r="A542" s="117">
        <v>231</v>
      </c>
      <c r="B542" s="118">
        <v>46255</v>
      </c>
      <c r="C542" s="119" t="s">
        <v>44</v>
      </c>
      <c r="D542" s="119" t="s">
        <v>23</v>
      </c>
      <c r="E542" s="117" t="s">
        <v>371</v>
      </c>
      <c r="F542" s="120">
        <f t="shared" si="160"/>
        <v>2</v>
      </c>
      <c r="G542" s="121" t="str">
        <f t="shared" si="161"/>
        <v>Aaron</v>
      </c>
      <c r="H542" s="122">
        <f>IF($D542="",0,IFERROR(LOOKUP(2,1/(($D$3:D541=$D542)*($A$3:A541&lt;$A542)),$N$3:N541),'Guide &amp; Settings'!$C$41))</f>
        <v>1226.3774205459829</v>
      </c>
      <c r="I542" s="123">
        <f t="shared" si="162"/>
        <v>0.58823529411764697</v>
      </c>
      <c r="J542" s="124">
        <f>IF($D542="",0,IF($F542&lt;2,0,IF($E542="Win",('Guide &amp; Settings'!$C$42/(($F542-1)*COUNTIFS($A$4:$A$1510,$A542,$E$4:$E$1510,"Win")))*SUMIFS($X$4:$X$1510,$A$4:$A$1510,$A542,$E$4:$E$1510,"Loss"),-('Guide &amp; Settings'!$C$42/($F542-1))*$X542)))</f>
        <v>-20.74142878333797</v>
      </c>
      <c r="K542" s="124">
        <f>IF($D542="",0,'Guide &amp; Settings'!$C$43*(IF($E542="Win",1,0)-$I542))</f>
        <v>-7.0588235294117636</v>
      </c>
      <c r="L542" s="125">
        <f>IF($D542="",0,'Guide &amp; Settings'!$C$44*IF($F542&gt;=3,$F542,0))</f>
        <v>0</v>
      </c>
      <c r="M542" s="124">
        <f t="shared" si="163"/>
        <v>-27.800252312749734</v>
      </c>
      <c r="N542" s="122">
        <f t="shared" si="164"/>
        <v>1198.5771682332331</v>
      </c>
      <c r="O542" s="121" t="str">
        <f t="shared" si="165"/>
        <v>OK</v>
      </c>
      <c r="P542">
        <f t="shared" si="166"/>
        <v>1068.3883063494509</v>
      </c>
      <c r="Q542">
        <f t="shared" si="167"/>
        <v>0.71288933168297197</v>
      </c>
      <c r="R542">
        <f t="shared" si="168"/>
        <v>0.7142857142857143</v>
      </c>
      <c r="S542">
        <f t="shared" si="169"/>
        <v>1.2142857142857144</v>
      </c>
      <c r="T542" s="89">
        <f t="shared" si="170"/>
        <v>5</v>
      </c>
      <c r="U542" s="126">
        <f>IF($D542="",0,IFERROR(LOOKUP(2,1/(($D$3:D541=$D542)*($C$3:C541=$C542)*($A$3:A541&lt;$A542)),$AB$3:AB541),1000))</f>
        <v>1055.7052432790952</v>
      </c>
      <c r="V542" s="126">
        <f t="shared" si="171"/>
        <v>1141.0413319125391</v>
      </c>
      <c r="W542">
        <f t="shared" si="172"/>
        <v>1034.8991757719687</v>
      </c>
      <c r="X542">
        <f t="shared" si="173"/>
        <v>0.64816964947931155</v>
      </c>
      <c r="Y542">
        <f t="shared" si="174"/>
        <v>1013.9684691610423</v>
      </c>
      <c r="Z542">
        <f t="shared" si="175"/>
        <v>0.55977678101406825</v>
      </c>
      <c r="AA542">
        <f>IF($D542="",0,IF($F542&lt;2,0,IF($E542="Win",('Guide &amp; Settings'!$C$42/(($F542-1)*COUNTIFS($A$4:$A$1510,$A542,$E$4:$E$1510,"Win")))*SUMIFS($Z$4:$Z$1510,$A$4:$A$1510,$A542,$E$4:$E$1510,"Loss"),-('Guide &amp; Settings'!$C$42/($F542-1))*$Z542)))</f>
        <v>-17.912856992450184</v>
      </c>
      <c r="AB542" s="126">
        <f t="shared" si="176"/>
        <v>1037.7923862866451</v>
      </c>
      <c r="AC542" s="126">
        <f>IF($D542="","",IF($AD542=0,0,IF(COUNTIFS($D$4:$D542,$D542,$B$4:$B542,$B542)&gt;1,0,IF($B542&lt;'Guide &amp; Settings'!$C$50,0,IF(($B542-$AD542)/7-'Guide &amp; Settings'!$C$48&gt;=0,(INT(($B542-$AD542)/7-'Guide &amp; Settings'!$C$48)+1)*'Guide &amp; Settings'!$C$49,0)))))</f>
        <v>0</v>
      </c>
      <c r="AD542" s="142">
        <f t="shared" si="177"/>
        <v>46215</v>
      </c>
      <c r="AE542">
        <f t="shared" si="178"/>
        <v>1</v>
      </c>
      <c r="AF542">
        <f t="shared" si="179"/>
        <v>0</v>
      </c>
    </row>
    <row r="543" spans="1:32" x14ac:dyDescent="0.2">
      <c r="A543" s="117">
        <v>232</v>
      </c>
      <c r="B543" s="118">
        <v>46255</v>
      </c>
      <c r="C543" s="119" t="s">
        <v>44</v>
      </c>
      <c r="D543" s="119" t="s">
        <v>15</v>
      </c>
      <c r="E543" s="117" t="s">
        <v>370</v>
      </c>
      <c r="F543" s="120">
        <f t="shared" si="160"/>
        <v>2</v>
      </c>
      <c r="G543" s="121" t="str">
        <f t="shared" si="161"/>
        <v>Aaron</v>
      </c>
      <c r="H543" s="122">
        <f>IF($D543="",0,IFERROR(LOOKUP(2,1/(($D$3:D542=$D543)*($A$3:A542&lt;$A543)),$N$3:N542),'Guide &amp; Settings'!$C$41))</f>
        <v>1096.1885586622006</v>
      </c>
      <c r="I543" s="123">
        <f t="shared" si="162"/>
        <v>0.73170731707317072</v>
      </c>
      <c r="J543" s="124">
        <f>IF($D543="",0,IF($F543&lt;2,0,IF($E543="Win",('Guide &amp; Settings'!$C$42/(($F543-1)*COUNTIFS($A$4:$A$1510,$A543,$E$4:$E$1510,"Win")))*SUMIFS($X$4:$X$1510,$A$4:$A$1510,$A543,$E$4:$E$1510,"Loss"),-('Guide &amp; Settings'!$C$42/($F543-1))*$X543)))</f>
        <v>14.05217408909777</v>
      </c>
      <c r="K543" s="124">
        <f>IF($D543="",0,'Guide &amp; Settings'!$C$43*(IF($E543="Win",1,0)-$I543))</f>
        <v>3.2195121951219514</v>
      </c>
      <c r="L543" s="125">
        <f>IF($D543="",0,'Guide &amp; Settings'!$C$44*IF($F543&gt;=3,$F543,0))</f>
        <v>0</v>
      </c>
      <c r="M543" s="124">
        <f t="shared" si="163"/>
        <v>17.271686284219722</v>
      </c>
      <c r="N543" s="122">
        <f t="shared" si="164"/>
        <v>1113.4602449464203</v>
      </c>
      <c r="O543" s="121" t="str">
        <f t="shared" si="165"/>
        <v>OK</v>
      </c>
      <c r="P543">
        <f t="shared" si="166"/>
        <v>1096.1885586622006</v>
      </c>
      <c r="Q543">
        <f t="shared" si="167"/>
        <v>0.5</v>
      </c>
      <c r="R543">
        <f t="shared" si="168"/>
        <v>0.54545454545454541</v>
      </c>
      <c r="S543">
        <f t="shared" si="169"/>
        <v>0.74545454545454537</v>
      </c>
      <c r="T543" s="89">
        <f t="shared" si="170"/>
        <v>9</v>
      </c>
      <c r="U543" s="126">
        <f>IF($D543="",0,IFERROR(LOOKUP(2,1/(($D$3:D542=$D543)*($C$3:C542=$C543)*($A$3:A542&lt;$A543)),$AB$3:AB542),1000))</f>
        <v>1031.8813261534924</v>
      </c>
      <c r="V543" s="126">
        <f t="shared" si="171"/>
        <v>1054.8481949066024</v>
      </c>
      <c r="W543">
        <f t="shared" si="172"/>
        <v>1054.8481949066024</v>
      </c>
      <c r="X543">
        <f t="shared" si="173"/>
        <v>0.5</v>
      </c>
      <c r="Y543">
        <f t="shared" si="174"/>
        <v>1031.8813261534924</v>
      </c>
      <c r="Z543">
        <f t="shared" si="175"/>
        <v>0.5</v>
      </c>
      <c r="AA543">
        <f>IF($D543="",0,IF($F543&lt;2,0,IF($E543="Win",('Guide &amp; Settings'!$C$42/(($F543-1)*COUNTIFS($A$4:$A$1510,$A543,$E$4:$E$1510,"Win")))*SUMIFS($Z$4:$Z$1510,$A$4:$A$1510,$A543,$E$4:$E$1510,"Loss"),-('Guide &amp; Settings'!$C$42/($F543-1))*$Z543)))</f>
        <v>12.413074770661195</v>
      </c>
      <c r="AB543" s="126">
        <f t="shared" si="176"/>
        <v>1044.2944009241537</v>
      </c>
      <c r="AC543" s="126">
        <f>IF($D543="","",IF($AD543=0,0,IF(COUNTIFS($D$4:$D543,$D543,$B$4:$B543,$B543)&gt;1,0,IF($B543&lt;'Guide &amp; Settings'!$C$50,0,IF(($B543-$AD543)/7-'Guide &amp; Settings'!$C$48&gt;=0,(INT(($B543-$AD543)/7-'Guide &amp; Settings'!$C$48)+1)*'Guide &amp; Settings'!$C$49,0)))))</f>
        <v>0</v>
      </c>
      <c r="AD543" s="142">
        <f t="shared" si="177"/>
        <v>46229</v>
      </c>
      <c r="AE543">
        <f t="shared" si="178"/>
        <v>1</v>
      </c>
      <c r="AF543">
        <f t="shared" si="179"/>
        <v>0</v>
      </c>
    </row>
    <row r="544" spans="1:32" x14ac:dyDescent="0.2">
      <c r="A544" s="117">
        <v>232</v>
      </c>
      <c r="B544" s="118">
        <v>46255</v>
      </c>
      <c r="C544" s="119" t="s">
        <v>44</v>
      </c>
      <c r="D544" s="119" t="s">
        <v>21</v>
      </c>
      <c r="E544" s="117" t="s">
        <v>371</v>
      </c>
      <c r="F544" s="120">
        <f t="shared" si="160"/>
        <v>2</v>
      </c>
      <c r="G544" s="121" t="str">
        <f t="shared" si="161"/>
        <v>Aaron</v>
      </c>
      <c r="H544" s="122">
        <f>IF($D544="",0,IFERROR(LOOKUP(2,1/(($D$3:D543=$D544)*($A$3:A543&lt;$A544)),$N$3:N543),'Guide &amp; Settings'!$C$41))</f>
        <v>1048.1574415742446</v>
      </c>
      <c r="I544" s="123">
        <f t="shared" si="162"/>
        <v>0.26829268292682934</v>
      </c>
      <c r="J544" s="124">
        <f>IF($D544="",0,IF($F544&lt;2,0,IF($E544="Win",('Guide &amp; Settings'!$C$42/(($F544-1)*COUNTIFS($A$4:$A$1510,$A544,$E$4:$E$1510,"Win")))*SUMIFS($X$4:$X$1510,$A$4:$A$1510,$A544,$E$4:$E$1510,"Loss"),-('Guide &amp; Settings'!$C$42/($F544-1))*$X544)))</f>
        <v>-14.05217408909777</v>
      </c>
      <c r="K544" s="124">
        <f>IF($D544="",0,'Guide &amp; Settings'!$C$43*(IF($E544="Win",1,0)-$I544))</f>
        <v>-3.2195121951219523</v>
      </c>
      <c r="L544" s="125">
        <f>IF($D544="",0,'Guide &amp; Settings'!$C$44*IF($F544&gt;=3,$F544,0))</f>
        <v>0</v>
      </c>
      <c r="M544" s="124">
        <f t="shared" si="163"/>
        <v>-17.271686284219722</v>
      </c>
      <c r="N544" s="122">
        <f t="shared" si="164"/>
        <v>1030.8857552900249</v>
      </c>
      <c r="O544" s="121" t="str">
        <f t="shared" si="165"/>
        <v>OK</v>
      </c>
      <c r="P544">
        <f t="shared" si="166"/>
        <v>1096.1885586622006</v>
      </c>
      <c r="Q544">
        <f t="shared" si="167"/>
        <v>0.43131467153698255</v>
      </c>
      <c r="R544">
        <f t="shared" si="168"/>
        <v>0.2</v>
      </c>
      <c r="S544">
        <f t="shared" si="169"/>
        <v>0.74545454545454537</v>
      </c>
      <c r="T544" s="89">
        <f t="shared" si="170"/>
        <v>3</v>
      </c>
      <c r="U544" s="126">
        <f>IF($D544="",0,IFERROR(LOOKUP(2,1/(($D$3:D543=$D544)*($C$3:C543=$C544)*($A$3:A543&lt;$A544)),$AB$3:AB543),1000))</f>
        <v>952.64656852410087</v>
      </c>
      <c r="V544" s="126">
        <f t="shared" si="171"/>
        <v>1012.3408641804406</v>
      </c>
      <c r="W544">
        <f t="shared" si="172"/>
        <v>1054.8481949066024</v>
      </c>
      <c r="X544">
        <f t="shared" si="173"/>
        <v>0.43913044028430531</v>
      </c>
      <c r="Y544">
        <f t="shared" si="174"/>
        <v>1031.8813261534924</v>
      </c>
      <c r="Z544">
        <f t="shared" si="175"/>
        <v>0.38790858658316235</v>
      </c>
      <c r="AA544">
        <f>IF($D544="",0,IF($F544&lt;2,0,IF($E544="Win",('Guide &amp; Settings'!$C$42/(($F544-1)*COUNTIFS($A$4:$A$1510,$A544,$E$4:$E$1510,"Win")))*SUMIFS($Z$4:$Z$1510,$A$4:$A$1510,$A544,$E$4:$E$1510,"Loss"),-('Guide &amp; Settings'!$C$42/($F544-1))*$Z544)))</f>
        <v>-12.413074770661195</v>
      </c>
      <c r="AB544" s="126">
        <f t="shared" si="176"/>
        <v>940.23349375343969</v>
      </c>
      <c r="AC544" s="126">
        <f>IF($D544="","",IF($AD544=0,0,IF(COUNTIFS($D$4:$D544,$D544,$B$4:$B544,$B544)&gt;1,0,IF($B544&lt;'Guide &amp; Settings'!$C$50,0,IF(($B544-$AD544)/7-'Guide &amp; Settings'!$C$48&gt;=0,(INT(($B544-$AD544)/7-'Guide &amp; Settings'!$C$48)+1)*'Guide &amp; Settings'!$C$49,0)))))</f>
        <v>0</v>
      </c>
      <c r="AD544" s="142">
        <f t="shared" si="177"/>
        <v>46229</v>
      </c>
      <c r="AE544">
        <f t="shared" si="178"/>
        <v>1</v>
      </c>
      <c r="AF544">
        <f t="shared" si="179"/>
        <v>0</v>
      </c>
    </row>
    <row r="545" spans="1:32" x14ac:dyDescent="0.2">
      <c r="A545" s="117">
        <v>233</v>
      </c>
      <c r="B545" s="118">
        <v>46255</v>
      </c>
      <c r="C545" s="119" t="s">
        <v>44</v>
      </c>
      <c r="D545" s="119" t="s">
        <v>21</v>
      </c>
      <c r="E545" s="117" t="s">
        <v>371</v>
      </c>
      <c r="F545" s="120">
        <f t="shared" si="160"/>
        <v>2</v>
      </c>
      <c r="G545" s="121" t="str">
        <f t="shared" si="161"/>
        <v>Daniel (Ferret)</v>
      </c>
      <c r="H545" s="122">
        <f>IF($D545="",0,IFERROR(LOOKUP(2,1/(($D$3:D544=$D545)*($A$3:A544&lt;$A545)),$N$3:N544),'Guide &amp; Settings'!$C$41))</f>
        <v>1030.8857552900249</v>
      </c>
      <c r="I545" s="123">
        <f t="shared" si="162"/>
        <v>0.45454545454545447</v>
      </c>
      <c r="J545" s="124">
        <f>IF($D545="",0,IF($F545&lt;2,0,IF($E545="Win",('Guide &amp; Settings'!$C$42/(($F545-1)*COUNTIFS($A$4:$A$1510,$A545,$E$4:$E$1510,"Win")))*SUMIFS($X$4:$X$1510,$A$4:$A$1510,$A545,$E$4:$E$1510,"Loss"),-('Guide &amp; Settings'!$C$42/($F545-1))*$X545)))</f>
        <v>-15.777783080696771</v>
      </c>
      <c r="K545" s="124">
        <f>IF($D545="",0,'Guide &amp; Settings'!$C$43*(IF($E545="Win",1,0)-$I545))</f>
        <v>-5.4545454545454533</v>
      </c>
      <c r="L545" s="125">
        <f>IF($D545="",0,'Guide &amp; Settings'!$C$44*IF($F545&gt;=3,$F545,0))</f>
        <v>0</v>
      </c>
      <c r="M545" s="124">
        <f t="shared" si="163"/>
        <v>-21.232328535242225</v>
      </c>
      <c r="N545" s="122">
        <f t="shared" si="164"/>
        <v>1009.6534267547827</v>
      </c>
      <c r="O545" s="121" t="str">
        <f t="shared" si="165"/>
        <v>OK</v>
      </c>
      <c r="P545">
        <f t="shared" si="166"/>
        <v>1102.5169025864993</v>
      </c>
      <c r="Q545">
        <f t="shared" si="167"/>
        <v>0.39835067949539166</v>
      </c>
      <c r="R545">
        <f t="shared" si="168"/>
        <v>0.16666666666666666</v>
      </c>
      <c r="S545">
        <f t="shared" si="169"/>
        <v>0.3666666666666667</v>
      </c>
      <c r="T545" s="89">
        <f t="shared" si="170"/>
        <v>4</v>
      </c>
      <c r="U545" s="126">
        <f>IF($D545="",0,IFERROR(LOOKUP(2,1/(($D$3:D544=$D545)*($C$3:C544=$C545)*($A$3:A544&lt;$A545)),$AB$3:AB544),1000))</f>
        <v>940.23349375343969</v>
      </c>
      <c r="V545" s="126">
        <f t="shared" si="171"/>
        <v>990.59586127376485</v>
      </c>
      <c r="W545">
        <f t="shared" si="172"/>
        <v>995.42155066067767</v>
      </c>
      <c r="X545">
        <f t="shared" si="173"/>
        <v>0.49305572127177411</v>
      </c>
      <c r="Y545">
        <f t="shared" si="174"/>
        <v>928.48695570703899</v>
      </c>
      <c r="Z545">
        <f t="shared" si="175"/>
        <v>0.51689818903561013</v>
      </c>
      <c r="AA545">
        <f>IF($D545="",0,IF($F545&lt;2,0,IF($E545="Win",('Guide &amp; Settings'!$C$42/(($F545-1)*COUNTIFS($A$4:$A$1510,$A545,$E$4:$E$1510,"Win")))*SUMIFS($Z$4:$Z$1510,$A$4:$A$1510,$A545,$E$4:$E$1510,"Loss"),-('Guide &amp; Settings'!$C$42/($F545-1))*$Z545)))</f>
        <v>-16.540742049139524</v>
      </c>
      <c r="AB545" s="126">
        <f t="shared" si="176"/>
        <v>923.69275170430012</v>
      </c>
      <c r="AC545" s="126">
        <f>IF($D545="","",IF($AD545=0,0,IF(COUNTIFS($D$4:$D545,$D545,$B$4:$B545,$B545)&gt;1,0,IF($B545&lt;'Guide &amp; Settings'!$C$50,0,IF(($B545-$AD545)/7-'Guide &amp; Settings'!$C$48&gt;=0,(INT(($B545-$AD545)/7-'Guide &amp; Settings'!$C$48)+1)*'Guide &amp; Settings'!$C$49,0)))))</f>
        <v>0</v>
      </c>
      <c r="AD545" s="142">
        <f t="shared" si="177"/>
        <v>46229</v>
      </c>
      <c r="AE545">
        <f t="shared" si="178"/>
        <v>1</v>
      </c>
      <c r="AF545">
        <f t="shared" si="179"/>
        <v>0</v>
      </c>
    </row>
    <row r="546" spans="1:32" x14ac:dyDescent="0.2">
      <c r="A546" s="117">
        <v>233</v>
      </c>
      <c r="B546" s="118">
        <v>46255</v>
      </c>
      <c r="C546" s="119" t="s">
        <v>44</v>
      </c>
      <c r="D546" s="119" t="s">
        <v>22</v>
      </c>
      <c r="E546" s="117" t="s">
        <v>370</v>
      </c>
      <c r="F546" s="120">
        <f t="shared" si="160"/>
        <v>2</v>
      </c>
      <c r="G546" s="121" t="str">
        <f t="shared" si="161"/>
        <v>Daniel (Ferret)</v>
      </c>
      <c r="H546" s="122">
        <f>IF($D546="",0,IFERROR(LOOKUP(2,1/(($D$3:D545=$D546)*($A$3:A545&lt;$A546)),$N$3:N545),'Guide &amp; Settings'!$C$41))</f>
        <v>1102.5169025864993</v>
      </c>
      <c r="I546" s="123">
        <f t="shared" si="162"/>
        <v>0.54545454545454541</v>
      </c>
      <c r="J546" s="124">
        <f>IF($D546="",0,IF($F546&lt;2,0,IF($E546="Win",('Guide &amp; Settings'!$C$42/(($F546-1)*COUNTIFS($A$4:$A$1510,$A546,$E$4:$E$1510,"Win")))*SUMIFS($X$4:$X$1510,$A$4:$A$1510,$A546,$E$4:$E$1510,"Loss"),-('Guide &amp; Settings'!$C$42/($F546-1))*$X546)))</f>
        <v>15.777783080696771</v>
      </c>
      <c r="K546" s="124">
        <f>IF($D546="",0,'Guide &amp; Settings'!$C$43*(IF($E546="Win",1,0)-$I546))</f>
        <v>5.454545454545455</v>
      </c>
      <c r="L546" s="125">
        <f>IF($D546="",0,'Guide &amp; Settings'!$C$44*IF($F546&gt;=3,$F546,0))</f>
        <v>0</v>
      </c>
      <c r="M546" s="124">
        <f t="shared" si="163"/>
        <v>21.232328535242225</v>
      </c>
      <c r="N546" s="122">
        <f t="shared" si="164"/>
        <v>1123.7492311217416</v>
      </c>
      <c r="O546" s="121" t="str">
        <f t="shared" si="165"/>
        <v>OK</v>
      </c>
      <c r="P546">
        <f t="shared" si="166"/>
        <v>1102.5169025864993</v>
      </c>
      <c r="Q546">
        <f t="shared" si="167"/>
        <v>0.5</v>
      </c>
      <c r="R546">
        <f t="shared" si="168"/>
        <v>0.2</v>
      </c>
      <c r="S546">
        <f t="shared" si="169"/>
        <v>0.3666666666666667</v>
      </c>
      <c r="T546" s="89">
        <f t="shared" si="170"/>
        <v>8</v>
      </c>
      <c r="U546" s="126">
        <f>IF($D546="",0,IFERROR(LOOKUP(2,1/(($D$3:D545=$D546)*($C$3:C545=$C546)*($A$3:A545&lt;$A546)),$AB$3:AB545),1000))</f>
        <v>928.48695570703899</v>
      </c>
      <c r="V546" s="126">
        <f t="shared" si="171"/>
        <v>995.42155066067767</v>
      </c>
      <c r="W546">
        <f t="shared" si="172"/>
        <v>995.42155066067767</v>
      </c>
      <c r="X546">
        <f t="shared" si="173"/>
        <v>0.5</v>
      </c>
      <c r="Y546">
        <f t="shared" si="174"/>
        <v>928.48695570703899</v>
      </c>
      <c r="Z546">
        <f t="shared" si="175"/>
        <v>0.5</v>
      </c>
      <c r="AA546">
        <f>IF($D546="",0,IF($F546&lt;2,0,IF($E546="Win",('Guide &amp; Settings'!$C$42/(($F546-1)*COUNTIFS($A$4:$A$1510,$A546,$E$4:$E$1510,"Win")))*SUMIFS($Z$4:$Z$1510,$A$4:$A$1510,$A546,$E$4:$E$1510,"Loss"),-('Guide &amp; Settings'!$C$42/($F546-1))*$Z546)))</f>
        <v>16.540742049139524</v>
      </c>
      <c r="AB546" s="126">
        <f t="shared" si="176"/>
        <v>945.02769775617855</v>
      </c>
      <c r="AC546" s="126">
        <f>IF($D546="","",IF($AD546=0,0,IF(COUNTIFS($D$4:$D546,$D546,$B$4:$B546,$B546)&gt;1,0,IF($B546&lt;'Guide &amp; Settings'!$C$50,0,IF(($B546-$AD546)/7-'Guide &amp; Settings'!$C$48&gt;=0,(INT(($B546-$AD546)/7-'Guide &amp; Settings'!$C$48)+1)*'Guide &amp; Settings'!$C$49,0)))))</f>
        <v>0</v>
      </c>
      <c r="AD546" s="142">
        <f t="shared" si="177"/>
        <v>46253</v>
      </c>
      <c r="AE546">
        <f t="shared" si="178"/>
        <v>1</v>
      </c>
      <c r="AF546">
        <f t="shared" si="179"/>
        <v>0</v>
      </c>
    </row>
    <row r="547" spans="1:32" x14ac:dyDescent="0.2">
      <c r="A547" s="117">
        <v>234</v>
      </c>
      <c r="B547" s="118">
        <v>46255</v>
      </c>
      <c r="C547" s="119" t="s">
        <v>44</v>
      </c>
      <c r="D547" s="119" t="s">
        <v>22</v>
      </c>
      <c r="E547" s="117" t="s">
        <v>370</v>
      </c>
      <c r="F547" s="120">
        <f t="shared" si="160"/>
        <v>2</v>
      </c>
      <c r="G547" s="121" t="str">
        <f t="shared" si="161"/>
        <v>Daniel (Ferret)</v>
      </c>
      <c r="H547" s="122">
        <f>IF($D547="",0,IFERROR(LOOKUP(2,1/(($D$3:D546=$D547)*($A$3:A546&lt;$A547)),$N$3:N546),'Guide &amp; Settings'!$C$41))</f>
        <v>1123.7492311217416</v>
      </c>
      <c r="I547" s="123">
        <f t="shared" si="162"/>
        <v>0.55102040816326525</v>
      </c>
      <c r="J547" s="124">
        <f>IF($D547="",0,IF($F547&lt;2,0,IF($E547="Win",('Guide &amp; Settings'!$C$42/(($F547-1)*COUNTIFS($A$4:$A$1510,$A547,$E$4:$E$1510,"Win")))*SUMIFS($X$4:$X$1510,$A$4:$A$1510,$A547,$E$4:$E$1510,"Loss"),-('Guide &amp; Settings'!$C$42/($F547-1))*$X547)))</f>
        <v>13.006781088514114</v>
      </c>
      <c r="K547" s="124">
        <f>IF($D547="",0,'Guide &amp; Settings'!$C$43*(IF($E547="Win",1,0)-$I547))</f>
        <v>5.387755102040817</v>
      </c>
      <c r="L547" s="125">
        <f>IF($D547="",0,'Guide &amp; Settings'!$C$44*IF($F547&gt;=3,$F547,0))</f>
        <v>0</v>
      </c>
      <c r="M547" s="124">
        <f t="shared" si="163"/>
        <v>18.39453619055493</v>
      </c>
      <c r="N547" s="122">
        <f t="shared" si="164"/>
        <v>1142.1437673122964</v>
      </c>
      <c r="O547" s="121" t="str">
        <f t="shared" si="165"/>
        <v>OK</v>
      </c>
      <c r="P547">
        <f t="shared" si="166"/>
        <v>1123.7492311217416</v>
      </c>
      <c r="Q547">
        <f t="shared" si="167"/>
        <v>0.5</v>
      </c>
      <c r="R547">
        <f t="shared" si="168"/>
        <v>0.27272727272727271</v>
      </c>
      <c r="S547">
        <f t="shared" si="169"/>
        <v>0.49494949494949492</v>
      </c>
      <c r="T547" s="89">
        <f t="shared" si="170"/>
        <v>9</v>
      </c>
      <c r="U547" s="126">
        <f>IF($D547="",0,IFERROR(LOOKUP(2,1/(($D$3:D546=$D547)*($C$3:C546=$C547)*($A$3:A546&lt;$A547)),$AB$3:AB546),1000))</f>
        <v>945.02769775617855</v>
      </c>
      <c r="V547" s="126">
        <f t="shared" si="171"/>
        <v>1008.8568168153082</v>
      </c>
      <c r="W547">
        <f t="shared" si="172"/>
        <v>1008.8568168153082</v>
      </c>
      <c r="X547">
        <f t="shared" si="173"/>
        <v>0.5</v>
      </c>
      <c r="Y547">
        <f t="shared" si="174"/>
        <v>945.02769775617855</v>
      </c>
      <c r="Z547">
        <f t="shared" si="175"/>
        <v>0.5</v>
      </c>
      <c r="AA547">
        <f>IF($D547="",0,IF($F547&lt;2,0,IF($E547="Win",('Guide &amp; Settings'!$C$42/(($F547-1)*COUNTIFS($A$4:$A$1510,$A547,$E$4:$E$1510,"Win")))*SUMIFS($Z$4:$Z$1510,$A$4:$A$1510,$A547,$E$4:$E$1510,"Loss"),-('Guide &amp; Settings'!$C$42/($F547-1))*$Z547)))</f>
        <v>15.535089360354114</v>
      </c>
      <c r="AB547" s="126">
        <f t="shared" si="176"/>
        <v>960.56278711653272</v>
      </c>
      <c r="AC547" s="126">
        <f>IF($D547="","",IF($AD547=0,0,IF(COUNTIFS($D$4:$D547,$D547,$B$4:$B547,$B547)&gt;1,0,IF($B547&lt;'Guide &amp; Settings'!$C$50,0,IF(($B547-$AD547)/7-'Guide &amp; Settings'!$C$48&gt;=0,(INT(($B547-$AD547)/7-'Guide &amp; Settings'!$C$48)+1)*'Guide &amp; Settings'!$C$49,0)))))</f>
        <v>0</v>
      </c>
      <c r="AD547" s="142">
        <f t="shared" si="177"/>
        <v>46253</v>
      </c>
      <c r="AE547">
        <f t="shared" si="178"/>
        <v>1</v>
      </c>
      <c r="AF547">
        <f t="shared" si="179"/>
        <v>0</v>
      </c>
    </row>
    <row r="548" spans="1:32" x14ac:dyDescent="0.2">
      <c r="A548" s="117">
        <v>234</v>
      </c>
      <c r="B548" s="118">
        <v>46255</v>
      </c>
      <c r="C548" s="119" t="s">
        <v>44</v>
      </c>
      <c r="D548" s="119" t="s">
        <v>18</v>
      </c>
      <c r="E548" s="117" t="s">
        <v>371</v>
      </c>
      <c r="F548" s="120">
        <f t="shared" si="160"/>
        <v>2</v>
      </c>
      <c r="G548" s="121" t="str">
        <f t="shared" si="161"/>
        <v>Daniel (Ferret)</v>
      </c>
      <c r="H548" s="122">
        <f>IF($D548="",0,IFERROR(LOOKUP(2,1/(($D$3:D547=$D548)*($A$3:A547&lt;$A548)),$N$3:N547),'Guide &amp; Settings'!$C$41))</f>
        <v>954.50353872240123</v>
      </c>
      <c r="I548" s="123">
        <f t="shared" si="162"/>
        <v>0.44897959183673469</v>
      </c>
      <c r="J548" s="124">
        <f>IF($D548="",0,IF($F548&lt;2,0,IF($E548="Win",('Guide &amp; Settings'!$C$42/(($F548-1)*COUNTIFS($A$4:$A$1510,$A548,$E$4:$E$1510,"Win")))*SUMIFS($X$4:$X$1510,$A$4:$A$1510,$A548,$E$4:$E$1510,"Loss"),-('Guide &amp; Settings'!$C$42/($F548-1))*$X548)))</f>
        <v>-13.006781088514114</v>
      </c>
      <c r="K548" s="124">
        <f>IF($D548="",0,'Guide &amp; Settings'!$C$43*(IF($E548="Win",1,0)-$I548))</f>
        <v>-5.3877551020408161</v>
      </c>
      <c r="L548" s="125">
        <f>IF($D548="",0,'Guide &amp; Settings'!$C$44*IF($F548&gt;=3,$F548,0))</f>
        <v>0</v>
      </c>
      <c r="M548" s="124">
        <f t="shared" si="163"/>
        <v>-18.39453619055493</v>
      </c>
      <c r="N548" s="122">
        <f t="shared" si="164"/>
        <v>936.10900253184627</v>
      </c>
      <c r="O548" s="121" t="str">
        <f t="shared" si="165"/>
        <v>OK</v>
      </c>
      <c r="P548">
        <f t="shared" si="166"/>
        <v>1123.7492311217416</v>
      </c>
      <c r="Q548">
        <f t="shared" si="167"/>
        <v>0.27403290077397624</v>
      </c>
      <c r="R548">
        <f t="shared" si="168"/>
        <v>0.22222222222222221</v>
      </c>
      <c r="S548">
        <f t="shared" si="169"/>
        <v>0.49494949494949492</v>
      </c>
      <c r="T548" s="89">
        <f t="shared" si="170"/>
        <v>7</v>
      </c>
      <c r="U548" s="126">
        <f>IF($D548="",0,IFERROR(LOOKUP(2,1/(($D$3:D547=$D548)*($C$3:C547=$C548)*($A$3:A547&lt;$A548)),$AB$3:AB547),1000))</f>
        <v>934.92944884885776</v>
      </c>
      <c r="V548" s="126">
        <f t="shared" si="171"/>
        <v>943.08531962950087</v>
      </c>
      <c r="W548">
        <f t="shared" si="172"/>
        <v>1008.8568168153082</v>
      </c>
      <c r="X548">
        <f t="shared" si="173"/>
        <v>0.40646190901606605</v>
      </c>
      <c r="Y548">
        <f t="shared" si="174"/>
        <v>945.02769775617855</v>
      </c>
      <c r="Z548">
        <f t="shared" si="175"/>
        <v>0.48547154251106606</v>
      </c>
      <c r="AA548">
        <f>IF($D548="",0,IF($F548&lt;2,0,IF($E548="Win",('Guide &amp; Settings'!$C$42/(($F548-1)*COUNTIFS($A$4:$A$1510,$A548,$E$4:$E$1510,"Win")))*SUMIFS($Z$4:$Z$1510,$A$4:$A$1510,$A548,$E$4:$E$1510,"Loss"),-('Guide &amp; Settings'!$C$42/($F548-1))*$Z548)))</f>
        <v>-15.535089360354114</v>
      </c>
      <c r="AB548" s="126">
        <f t="shared" si="176"/>
        <v>919.3943594885036</v>
      </c>
      <c r="AC548" s="126">
        <f>IF($D548="","",IF($AD548=0,0,IF(COUNTIFS($D$4:$D548,$D548,$B$4:$B548,$B548)&gt;1,0,IF($B548&lt;'Guide &amp; Settings'!$C$50,0,IF(($B548-$AD548)/7-'Guide &amp; Settings'!$C$48&gt;=0,(INT(($B548-$AD548)/7-'Guide &amp; Settings'!$C$48)+1)*'Guide &amp; Settings'!$C$49,0)))))</f>
        <v>0</v>
      </c>
      <c r="AD548" s="142">
        <f t="shared" si="177"/>
        <v>46214</v>
      </c>
      <c r="AE548">
        <f t="shared" si="178"/>
        <v>1</v>
      </c>
      <c r="AF548">
        <f t="shared" si="179"/>
        <v>0</v>
      </c>
    </row>
    <row r="549" spans="1:32" x14ac:dyDescent="0.2">
      <c r="A549" s="117">
        <v>235</v>
      </c>
      <c r="B549" s="118">
        <v>46255</v>
      </c>
      <c r="C549" s="119" t="s">
        <v>44</v>
      </c>
      <c r="D549" s="119" t="s">
        <v>22</v>
      </c>
      <c r="E549" s="117" t="s">
        <v>371</v>
      </c>
      <c r="F549" s="120">
        <f t="shared" si="160"/>
        <v>2</v>
      </c>
      <c r="G549" s="121" t="str">
        <f t="shared" si="161"/>
        <v>Dean B</v>
      </c>
      <c r="H549" s="122">
        <f>IF($D549="",0,IFERROR(LOOKUP(2,1/(($D$3:D548=$D549)*($A$3:A548&lt;$A549)),$N$3:N548),'Guide &amp; Settings'!$C$41))</f>
        <v>1142.1437673122964</v>
      </c>
      <c r="I549" s="123">
        <f t="shared" si="162"/>
        <v>0.34782608695652173</v>
      </c>
      <c r="J549" s="124">
        <f>IF($D549="",0,IF($F549&lt;2,0,IF($E549="Win",('Guide &amp; Settings'!$C$42/(($F549-1)*COUNTIFS($A$4:$A$1510,$A549,$E$4:$E$1510,"Win")))*SUMIFS($X$4:$X$1510,$A$4:$A$1510,$A549,$E$4:$E$1510,"Loss"),-('Guide &amp; Settings'!$C$42/($F549-1))*$X549)))</f>
        <v>-11.954827329526303</v>
      </c>
      <c r="K549" s="124">
        <f>IF($D549="",0,'Guide &amp; Settings'!$C$43*(IF($E549="Win",1,0)-$I549))</f>
        <v>-4.1739130434782608</v>
      </c>
      <c r="L549" s="125">
        <f>IF($D549="",0,'Guide &amp; Settings'!$C$44*IF($F549&gt;=3,$F549,0))</f>
        <v>0</v>
      </c>
      <c r="M549" s="124">
        <f t="shared" si="163"/>
        <v>-16.128740373004565</v>
      </c>
      <c r="N549" s="122">
        <f t="shared" si="164"/>
        <v>1126.0150269392918</v>
      </c>
      <c r="O549" s="121" t="str">
        <f t="shared" si="165"/>
        <v>OK</v>
      </c>
      <c r="P549">
        <f t="shared" si="166"/>
        <v>1198.5771682332331</v>
      </c>
      <c r="Q549">
        <f t="shared" si="167"/>
        <v>0.41949257411770013</v>
      </c>
      <c r="R549">
        <f t="shared" si="168"/>
        <v>0.33333333333333331</v>
      </c>
      <c r="S549">
        <f t="shared" si="169"/>
        <v>0.95833333333333326</v>
      </c>
      <c r="T549" s="89">
        <f t="shared" si="170"/>
        <v>10</v>
      </c>
      <c r="U549" s="126">
        <f>IF($D549="",0,IFERROR(LOOKUP(2,1/(($D$3:D548=$D549)*($C$3:C548=$C549)*($A$3:A548&lt;$A549)),$AB$3:AB548),1000))</f>
        <v>960.56278711653272</v>
      </c>
      <c r="V549" s="126">
        <f t="shared" si="171"/>
        <v>1021.0897805151205</v>
      </c>
      <c r="W549">
        <f t="shared" si="172"/>
        <v>1110.8763780805489</v>
      </c>
      <c r="X549">
        <f t="shared" si="173"/>
        <v>0.37358835404769697</v>
      </c>
      <c r="Y549">
        <f t="shared" si="174"/>
        <v>1037.7923862866451</v>
      </c>
      <c r="Z549">
        <f t="shared" si="175"/>
        <v>0.39065273448403776</v>
      </c>
      <c r="AA549">
        <f>IF($D549="",0,IF($F549&lt;2,0,IF($E549="Win",('Guide &amp; Settings'!$C$42/(($F549-1)*COUNTIFS($A$4:$A$1510,$A549,$E$4:$E$1510,"Win")))*SUMIFS($Z$4:$Z$1510,$A$4:$A$1510,$A549,$E$4:$E$1510,"Loss"),-('Guide &amp; Settings'!$C$42/($F549-1))*$Z549)))</f>
        <v>-12.500887503489208</v>
      </c>
      <c r="AB549" s="126">
        <f t="shared" si="176"/>
        <v>948.06189961304347</v>
      </c>
      <c r="AC549" s="126">
        <f>IF($D549="","",IF($AD549=0,0,IF(COUNTIFS($D$4:$D549,$D549,$B$4:$B549,$B549)&gt;1,0,IF($B549&lt;'Guide &amp; Settings'!$C$50,0,IF(($B549-$AD549)/7-'Guide &amp; Settings'!$C$48&gt;=0,(INT(($B549-$AD549)/7-'Guide &amp; Settings'!$C$48)+1)*'Guide &amp; Settings'!$C$49,0)))))</f>
        <v>0</v>
      </c>
      <c r="AD549" s="142">
        <f t="shared" si="177"/>
        <v>46253</v>
      </c>
      <c r="AE549">
        <f t="shared" si="178"/>
        <v>1</v>
      </c>
      <c r="AF549">
        <f t="shared" si="179"/>
        <v>0</v>
      </c>
    </row>
    <row r="550" spans="1:32" x14ac:dyDescent="0.2">
      <c r="A550" s="117">
        <v>235</v>
      </c>
      <c r="B550" s="118">
        <v>46255</v>
      </c>
      <c r="C550" s="119" t="s">
        <v>44</v>
      </c>
      <c r="D550" s="119" t="s">
        <v>23</v>
      </c>
      <c r="E550" s="117" t="s">
        <v>370</v>
      </c>
      <c r="F550" s="120">
        <f t="shared" si="160"/>
        <v>2</v>
      </c>
      <c r="G550" s="121" t="str">
        <f t="shared" si="161"/>
        <v>Dean B</v>
      </c>
      <c r="H550" s="122">
        <f>IF($D550="",0,IFERROR(LOOKUP(2,1/(($D$3:D549=$D550)*($A$3:A549&lt;$A550)),$N$3:N549),'Guide &amp; Settings'!$C$41))</f>
        <v>1198.5771682332331</v>
      </c>
      <c r="I550" s="123">
        <f t="shared" si="162"/>
        <v>0.65217391304347827</v>
      </c>
      <c r="J550" s="124">
        <f>IF($D550="",0,IF($F550&lt;2,0,IF($E550="Win",('Guide &amp; Settings'!$C$42/(($F550-1)*COUNTIFS($A$4:$A$1510,$A550,$E$4:$E$1510,"Win")))*SUMIFS($X$4:$X$1510,$A$4:$A$1510,$A550,$E$4:$E$1510,"Loss"),-('Guide &amp; Settings'!$C$42/($F550-1))*$X550)))</f>
        <v>11.954827329526303</v>
      </c>
      <c r="K550" s="124">
        <f>IF($D550="",0,'Guide &amp; Settings'!$C$43*(IF($E550="Win",1,0)-$I550))</f>
        <v>4.1739130434782608</v>
      </c>
      <c r="L550" s="125">
        <f>IF($D550="",0,'Guide &amp; Settings'!$C$44*IF($F550&gt;=3,$F550,0))</f>
        <v>0</v>
      </c>
      <c r="M550" s="124">
        <f t="shared" si="163"/>
        <v>16.128740373004565</v>
      </c>
      <c r="N550" s="122">
        <f t="shared" si="164"/>
        <v>1214.7059086062377</v>
      </c>
      <c r="O550" s="121" t="str">
        <f t="shared" si="165"/>
        <v>OK</v>
      </c>
      <c r="P550">
        <f t="shared" si="166"/>
        <v>1198.5771682332331</v>
      </c>
      <c r="Q550">
        <f t="shared" si="167"/>
        <v>0.5</v>
      </c>
      <c r="R550">
        <f t="shared" si="168"/>
        <v>0.625</v>
      </c>
      <c r="S550">
        <f t="shared" si="169"/>
        <v>0.95833333333333326</v>
      </c>
      <c r="T550" s="89">
        <f t="shared" si="170"/>
        <v>6</v>
      </c>
      <c r="U550" s="126">
        <f>IF($D550="",0,IFERROR(LOOKUP(2,1/(($D$3:D549=$D550)*($C$3:C549=$C550)*($A$3:A549&lt;$A550)),$AB$3:AB549),1000))</f>
        <v>1037.7923862866451</v>
      </c>
      <c r="V550" s="126">
        <f t="shared" si="171"/>
        <v>1110.8763780805489</v>
      </c>
      <c r="W550">
        <f t="shared" si="172"/>
        <v>1110.8763780805489</v>
      </c>
      <c r="X550">
        <f t="shared" si="173"/>
        <v>0.5</v>
      </c>
      <c r="Y550">
        <f t="shared" si="174"/>
        <v>1037.7923862866451</v>
      </c>
      <c r="Z550">
        <f t="shared" si="175"/>
        <v>0.5</v>
      </c>
      <c r="AA550">
        <f>IF($D550="",0,IF($F550&lt;2,0,IF($E550="Win",('Guide &amp; Settings'!$C$42/(($F550-1)*COUNTIFS($A$4:$A$1510,$A550,$E$4:$E$1510,"Win")))*SUMIFS($Z$4:$Z$1510,$A$4:$A$1510,$A550,$E$4:$E$1510,"Loss"),-('Guide &amp; Settings'!$C$42/($F550-1))*$Z550)))</f>
        <v>12.500887503489208</v>
      </c>
      <c r="AB550" s="126">
        <f t="shared" si="176"/>
        <v>1050.2932737901342</v>
      </c>
      <c r="AC550" s="126">
        <f>IF($D550="","",IF($AD550=0,0,IF(COUNTIFS($D$4:$D550,$D550,$B$4:$B550,$B550)&gt;1,0,IF($B550&lt;'Guide &amp; Settings'!$C$50,0,IF(($B550-$AD550)/7-'Guide &amp; Settings'!$C$48&gt;=0,(INT(($B550-$AD550)/7-'Guide &amp; Settings'!$C$48)+1)*'Guide &amp; Settings'!$C$49,0)))))</f>
        <v>0</v>
      </c>
      <c r="AD550" s="142">
        <f t="shared" si="177"/>
        <v>46215</v>
      </c>
      <c r="AE550">
        <f t="shared" si="178"/>
        <v>1</v>
      </c>
      <c r="AF550">
        <f t="shared" si="179"/>
        <v>0</v>
      </c>
    </row>
    <row r="551" spans="1:32" x14ac:dyDescent="0.2">
      <c r="A551" s="117">
        <v>236</v>
      </c>
      <c r="B551" s="118">
        <v>46255</v>
      </c>
      <c r="C551" s="119" t="s">
        <v>34</v>
      </c>
      <c r="D551" s="119" t="s">
        <v>21</v>
      </c>
      <c r="E551" s="117" t="s">
        <v>371</v>
      </c>
      <c r="F551" s="120">
        <f t="shared" si="160"/>
        <v>3</v>
      </c>
      <c r="G551" s="121" t="str">
        <f t="shared" si="161"/>
        <v>David</v>
      </c>
      <c r="H551" s="122">
        <f>IF($D551="",0,IFERROR(LOOKUP(2,1/(($D$3:D550=$D551)*($A$3:A550&lt;$A551)),$N$3:N550),'Guide &amp; Settings'!$C$41))</f>
        <v>1009.6534267547827</v>
      </c>
      <c r="I551" s="123">
        <f t="shared" si="162"/>
        <v>0.25</v>
      </c>
      <c r="J551" s="124">
        <f>IF($D551="",0,IF($F551&lt;2,0,IF($E551="Win",('Guide &amp; Settings'!$C$42/(($F551-1)*COUNTIFS($A$4:$A$1510,$A551,$E$4:$E$1510,"Win")))*SUMIFS($X$4:$X$1510,$A$4:$A$1510,$A551,$E$4:$E$1510,"Loss"),-('Guide &amp; Settings'!$C$42/($F551-1))*$X551)))</f>
        <v>-9.5571584089713717</v>
      </c>
      <c r="K551" s="124">
        <f>IF($D551="",0,'Guide &amp; Settings'!$C$43*(IF($E551="Win",1,0)-$I551))</f>
        <v>-3</v>
      </c>
      <c r="L551" s="125">
        <f>IF($D551="",0,'Guide &amp; Settings'!$C$44*IF($F551&gt;=3,$F551,0))</f>
        <v>3</v>
      </c>
      <c r="M551" s="124">
        <f t="shared" si="163"/>
        <v>-9.5571584089713717</v>
      </c>
      <c r="N551" s="122">
        <f t="shared" si="164"/>
        <v>1000.0962683458113</v>
      </c>
      <c r="O551" s="121" t="str">
        <f t="shared" si="165"/>
        <v>OK</v>
      </c>
      <c r="P551">
        <f t="shared" si="166"/>
        <v>936.10900253184627</v>
      </c>
      <c r="Q551">
        <f t="shared" si="167"/>
        <v>0.60428596880081853</v>
      </c>
      <c r="R551">
        <f t="shared" si="168"/>
        <v>0.25</v>
      </c>
      <c r="S551">
        <f t="shared" si="169"/>
        <v>1</v>
      </c>
      <c r="T551" s="89">
        <f t="shared" si="170"/>
        <v>2</v>
      </c>
      <c r="U551" s="126">
        <f>IF($D551="",0,IFERROR(LOOKUP(2,1/(($D$3:D550=$D551)*($C$3:C550=$C551)*($A$3:A550&lt;$A551)),$AB$3:AB550),1000))</f>
        <v>991.9998052328898</v>
      </c>
      <c r="V551" s="126">
        <f t="shared" si="171"/>
        <v>1004.6095348913848</v>
      </c>
      <c r="W551">
        <f t="shared" si="172"/>
        <v>936.10900253184627</v>
      </c>
      <c r="X551">
        <f t="shared" si="173"/>
        <v>0.59732240056071073</v>
      </c>
      <c r="Y551">
        <f t="shared" si="174"/>
        <v>1000</v>
      </c>
      <c r="Z551">
        <f t="shared" si="175"/>
        <v>0.48848882863836474</v>
      </c>
      <c r="AA551">
        <f>IF($D551="",0,IF($F551&lt;2,0,IF($E551="Win",('Guide &amp; Settings'!$C$42/(($F551-1)*COUNTIFS($A$4:$A$1510,$A551,$E$4:$E$1510,"Win")))*SUMIFS($Z$4:$Z$1510,$A$4:$A$1510,$A551,$E$4:$E$1510,"Loss"),-('Guide &amp; Settings'!$C$42/($F551-1))*$Z551)))</f>
        <v>-7.8158212582138358</v>
      </c>
      <c r="AB551" s="126">
        <f t="shared" si="176"/>
        <v>984.18398397467593</v>
      </c>
      <c r="AC551" s="126">
        <f>IF($D551="","",IF($AD551=0,0,IF(COUNTIFS($D$4:$D551,$D551,$B$4:$B551,$B551)&gt;1,0,IF($B551&lt;'Guide &amp; Settings'!$C$50,0,IF(($B551-$AD551)/7-'Guide &amp; Settings'!$C$48&gt;=0,(INT(($B551-$AD551)/7-'Guide &amp; Settings'!$C$48)+1)*'Guide &amp; Settings'!$C$49,0)))))</f>
        <v>0</v>
      </c>
      <c r="AD551" s="142">
        <f t="shared" si="177"/>
        <v>46229</v>
      </c>
      <c r="AE551">
        <f t="shared" si="178"/>
        <v>1</v>
      </c>
      <c r="AF551">
        <f t="shared" si="179"/>
        <v>0</v>
      </c>
    </row>
    <row r="552" spans="1:32" x14ac:dyDescent="0.2">
      <c r="A552" s="117">
        <v>236</v>
      </c>
      <c r="B552" s="118">
        <v>46255</v>
      </c>
      <c r="C552" s="119" t="s">
        <v>34</v>
      </c>
      <c r="D552" s="119" t="s">
        <v>18</v>
      </c>
      <c r="E552" s="117" t="s">
        <v>370</v>
      </c>
      <c r="F552" s="120">
        <f t="shared" si="160"/>
        <v>3</v>
      </c>
      <c r="G552" s="121" t="str">
        <f t="shared" si="161"/>
        <v>David</v>
      </c>
      <c r="H552" s="122">
        <f>IF($D552="",0,IFERROR(LOOKUP(2,1/(($D$3:D551=$D552)*($A$3:A551&lt;$A552)),$N$3:N551),'Guide &amp; Settings'!$C$41))</f>
        <v>936.10900253184627</v>
      </c>
      <c r="I552" s="123">
        <f t="shared" si="162"/>
        <v>0.5</v>
      </c>
      <c r="J552" s="124">
        <f>IF($D552="",0,IF($F552&lt;2,0,IF($E552="Win",('Guide &amp; Settings'!$C$42/(($F552-1)*COUNTIFS($A$4:$A$1510,$A552,$E$4:$E$1510,"Win")))*SUMIFS($X$4:$X$1510,$A$4:$A$1510,$A552,$E$4:$E$1510,"Loss"),-('Guide &amp; Settings'!$C$42/($F552-1))*$X552)))</f>
        <v>21.959067920675153</v>
      </c>
      <c r="K552" s="124">
        <f>IF($D552="",0,'Guide &amp; Settings'!$C$43*(IF($E552="Win",1,0)-$I552))</f>
        <v>6</v>
      </c>
      <c r="L552" s="125">
        <f>IF($D552="",0,'Guide &amp; Settings'!$C$44*IF($F552&gt;=3,$F552,0))</f>
        <v>3</v>
      </c>
      <c r="M552" s="124">
        <f t="shared" si="163"/>
        <v>30.959067920675153</v>
      </c>
      <c r="N552" s="122">
        <f t="shared" si="164"/>
        <v>967.0680704525214</v>
      </c>
      <c r="O552" s="121" t="str">
        <f t="shared" si="165"/>
        <v>OK</v>
      </c>
      <c r="P552">
        <f t="shared" si="166"/>
        <v>936.10900253184627</v>
      </c>
      <c r="Q552">
        <f t="shared" si="167"/>
        <v>0.5</v>
      </c>
      <c r="R552">
        <f t="shared" si="168"/>
        <v>0.5</v>
      </c>
      <c r="S552">
        <f t="shared" si="169"/>
        <v>1</v>
      </c>
      <c r="T552" s="89">
        <f t="shared" si="170"/>
        <v>0</v>
      </c>
      <c r="U552" s="126">
        <f>IF($D552="",0,IFERROR(LOOKUP(2,1/(($D$3:D551=$D552)*($C$3:C551=$C552)*($A$3:A551&lt;$A552)),$AB$3:AB551),1000))</f>
        <v>1000</v>
      </c>
      <c r="V552" s="126">
        <f t="shared" si="171"/>
        <v>936.10900253184627</v>
      </c>
      <c r="W552">
        <f t="shared" si="172"/>
        <v>936.10900253184627</v>
      </c>
      <c r="X552">
        <f t="shared" si="173"/>
        <v>0.5</v>
      </c>
      <c r="Y552">
        <f t="shared" si="174"/>
        <v>1000</v>
      </c>
      <c r="Z552">
        <f t="shared" si="175"/>
        <v>0.5</v>
      </c>
      <c r="AA552">
        <f>IF($D552="",0,IF($F552&lt;2,0,IF($E552="Win",('Guide &amp; Settings'!$C$42/(($F552-1)*COUNTIFS($A$4:$A$1510,$A552,$E$4:$E$1510,"Win")))*SUMIFS($Z$4:$Z$1510,$A$4:$A$1510,$A552,$E$4:$E$1510,"Loss"),-('Guide &amp; Settings'!$C$42/($F552-1))*$Z552)))</f>
        <v>15.631642516427672</v>
      </c>
      <c r="AB552" s="126">
        <f t="shared" si="176"/>
        <v>1015.6316425164276</v>
      </c>
      <c r="AC552" s="126">
        <f>IF($D552="","",IF($AD552=0,0,IF(COUNTIFS($D$4:$D552,$D552,$B$4:$B552,$B552)&gt;1,0,IF($B552&lt;'Guide &amp; Settings'!$C$50,0,IF(($B552-$AD552)/7-'Guide &amp; Settings'!$C$48&gt;=0,(INT(($B552-$AD552)/7-'Guide &amp; Settings'!$C$48)+1)*'Guide &amp; Settings'!$C$49,0)))))</f>
        <v>0</v>
      </c>
      <c r="AD552" s="142">
        <f t="shared" si="177"/>
        <v>46214</v>
      </c>
      <c r="AE552">
        <f t="shared" si="178"/>
        <v>1</v>
      </c>
      <c r="AF552">
        <f t="shared" si="179"/>
        <v>0</v>
      </c>
    </row>
    <row r="553" spans="1:32" x14ac:dyDescent="0.2">
      <c r="A553" s="117">
        <v>236</v>
      </c>
      <c r="B553" s="118">
        <v>46255</v>
      </c>
      <c r="C553" s="119" t="s">
        <v>34</v>
      </c>
      <c r="D553" s="119" t="s">
        <v>23</v>
      </c>
      <c r="E553" s="117" t="s">
        <v>371</v>
      </c>
      <c r="F553" s="120">
        <f t="shared" si="160"/>
        <v>3</v>
      </c>
      <c r="G553" s="121" t="str">
        <f t="shared" si="161"/>
        <v>David</v>
      </c>
      <c r="H553" s="122">
        <f>IF($D553="",0,IFERROR(LOOKUP(2,1/(($D$3:D552=$D553)*($A$3:A552&lt;$A553)),$N$3:N552),'Guide &amp; Settings'!$C$41))</f>
        <v>1214.7059086062377</v>
      </c>
      <c r="I553" s="123">
        <f t="shared" si="162"/>
        <v>0.25</v>
      </c>
      <c r="J553" s="124">
        <f>IF($D553="",0,IF($F553&lt;2,0,IF($E553="Win",('Guide &amp; Settings'!$C$42/(($F553-1)*COUNTIFS($A$4:$A$1510,$A553,$E$4:$E$1510,"Win")))*SUMIFS($X$4:$X$1510,$A$4:$A$1510,$A553,$E$4:$E$1510,"Loss"),-('Guide &amp; Settings'!$C$42/($F553-1))*$X553)))</f>
        <v>-12.401909511703783</v>
      </c>
      <c r="K553" s="124">
        <f>IF($D553="",0,'Guide &amp; Settings'!$C$43*(IF($E553="Win",1,0)-$I553))</f>
        <v>-3</v>
      </c>
      <c r="L553" s="125">
        <f>IF($D553="",0,'Guide &amp; Settings'!$C$44*IF($F553&gt;=3,$F553,0))</f>
        <v>3</v>
      </c>
      <c r="M553" s="124">
        <f t="shared" si="163"/>
        <v>-12.401909511703783</v>
      </c>
      <c r="N553" s="122">
        <f t="shared" si="164"/>
        <v>1202.303999094534</v>
      </c>
      <c r="O553" s="121" t="str">
        <f t="shared" si="165"/>
        <v>OK</v>
      </c>
      <c r="P553">
        <f t="shared" si="166"/>
        <v>936.10900253184627</v>
      </c>
      <c r="Q553">
        <f t="shared" si="167"/>
        <v>0.83253943608905367</v>
      </c>
      <c r="R553">
        <f t="shared" si="168"/>
        <v>0.25</v>
      </c>
      <c r="S553">
        <f t="shared" si="169"/>
        <v>1</v>
      </c>
      <c r="T553" s="89">
        <f t="shared" si="170"/>
        <v>2</v>
      </c>
      <c r="U553" s="126">
        <f>IF($D553="",0,IFERROR(LOOKUP(2,1/(($D$3:D552=$D553)*($C$3:C552=$C553)*($A$3:A552&lt;$A553)),$AB$3:AB552),1000))</f>
        <v>991.9998052328898</v>
      </c>
      <c r="V553" s="126">
        <f t="shared" si="171"/>
        <v>1151.0755933567098</v>
      </c>
      <c r="W553">
        <f t="shared" si="172"/>
        <v>936.10900253184627</v>
      </c>
      <c r="X553">
        <f t="shared" si="173"/>
        <v>0.77511934448148645</v>
      </c>
      <c r="Y553">
        <f t="shared" si="174"/>
        <v>1000</v>
      </c>
      <c r="Z553">
        <f t="shared" si="175"/>
        <v>0.48848882863836474</v>
      </c>
      <c r="AA553">
        <f>IF($D553="",0,IF($F553&lt;2,0,IF($E553="Win",('Guide &amp; Settings'!$C$42/(($F553-1)*COUNTIFS($A$4:$A$1510,$A553,$E$4:$E$1510,"Win")))*SUMIFS($Z$4:$Z$1510,$A$4:$A$1510,$A553,$E$4:$E$1510,"Loss"),-('Guide &amp; Settings'!$C$42/($F553-1))*$Z553)))</f>
        <v>-7.8158212582138358</v>
      </c>
      <c r="AB553" s="126">
        <f t="shared" si="176"/>
        <v>984.18398397467593</v>
      </c>
      <c r="AC553" s="126">
        <f>IF($D553="","",IF($AD553=0,0,IF(COUNTIFS($D$4:$D553,$D553,$B$4:$B553,$B553)&gt;1,0,IF($B553&lt;'Guide &amp; Settings'!$C$50,0,IF(($B553-$AD553)/7-'Guide &amp; Settings'!$C$48&gt;=0,(INT(($B553-$AD553)/7-'Guide &amp; Settings'!$C$48)+1)*'Guide &amp; Settings'!$C$49,0)))))</f>
        <v>0</v>
      </c>
      <c r="AD553" s="142">
        <f t="shared" si="177"/>
        <v>46215</v>
      </c>
      <c r="AE553">
        <f t="shared" si="178"/>
        <v>1</v>
      </c>
      <c r="AF553">
        <f t="shared" si="179"/>
        <v>0</v>
      </c>
    </row>
    <row r="554" spans="1:32" x14ac:dyDescent="0.2">
      <c r="A554" s="117">
        <v>237</v>
      </c>
      <c r="B554" s="118">
        <v>46255</v>
      </c>
      <c r="C554" s="119" t="s">
        <v>44</v>
      </c>
      <c r="D554" s="119" t="s">
        <v>18</v>
      </c>
      <c r="E554" s="117" t="s">
        <v>371</v>
      </c>
      <c r="F554" s="120">
        <f t="shared" si="160"/>
        <v>2</v>
      </c>
      <c r="G554" s="121" t="str">
        <f t="shared" si="161"/>
        <v>Aaron</v>
      </c>
      <c r="H554" s="122">
        <f>IF($D554="",0,IFERROR(LOOKUP(2,1/(($D$3:D553=$D554)*($A$3:A553&lt;$A554)),$N$3:N553),'Guide &amp; Settings'!$C$41))</f>
        <v>967.0680704525214</v>
      </c>
      <c r="I554" s="123">
        <f t="shared" si="162"/>
        <v>0.25531914893617019</v>
      </c>
      <c r="J554" s="124">
        <f>IF($D554="",0,IF($F554&lt;2,0,IF($E554="Win",('Guide &amp; Settings'!$C$42/(($F554-1)*COUNTIFS($A$4:$A$1510,$A554,$E$4:$E$1510,"Win")))*SUMIFS($X$4:$X$1510,$A$4:$A$1510,$A554,$E$4:$E$1510,"Loss"),-('Guide &amp; Settings'!$C$42/($F554-1))*$X554)))</f>
        <v>-10.293154874949467</v>
      </c>
      <c r="K554" s="124">
        <f>IF($D554="",0,'Guide &amp; Settings'!$C$43*(IF($E554="Win",1,0)-$I554))</f>
        <v>-3.0638297872340425</v>
      </c>
      <c r="L554" s="125">
        <f>IF($D554="",0,'Guide &amp; Settings'!$C$44*IF($F554&gt;=3,$F554,0))</f>
        <v>0</v>
      </c>
      <c r="M554" s="124">
        <f t="shared" si="163"/>
        <v>-13.35698466218351</v>
      </c>
      <c r="N554" s="122">
        <f t="shared" si="164"/>
        <v>953.71108579033785</v>
      </c>
      <c r="O554" s="121" t="str">
        <f t="shared" si="165"/>
        <v>OK</v>
      </c>
      <c r="P554">
        <f t="shared" si="166"/>
        <v>1113.4602449464203</v>
      </c>
      <c r="Q554">
        <f t="shared" si="167"/>
        <v>0.3009662069366042</v>
      </c>
      <c r="R554">
        <f t="shared" si="168"/>
        <v>0.2</v>
      </c>
      <c r="S554">
        <f t="shared" si="169"/>
        <v>0.78333333333333344</v>
      </c>
      <c r="T554" s="89">
        <f t="shared" si="170"/>
        <v>8</v>
      </c>
      <c r="U554" s="126">
        <f>IF($D554="",0,IFERROR(LOOKUP(2,1/(($D$3:D553=$D554)*($C$3:C553=$C554)*($A$3:A553&lt;$A554)),$AB$3:AB553),1000))</f>
        <v>919.3943594885036</v>
      </c>
      <c r="V554" s="126">
        <f t="shared" si="171"/>
        <v>937.730402166972</v>
      </c>
      <c r="W554">
        <f t="shared" si="172"/>
        <v>1067.3496822649092</v>
      </c>
      <c r="X554">
        <f t="shared" si="173"/>
        <v>0.32166108984217084</v>
      </c>
      <c r="Y554">
        <f t="shared" si="174"/>
        <v>1044.2944009241537</v>
      </c>
      <c r="Z554">
        <f t="shared" si="175"/>
        <v>0.32761709728855798</v>
      </c>
      <c r="AA554">
        <f>IF($D554="",0,IF($F554&lt;2,0,IF($E554="Win",('Guide &amp; Settings'!$C$42/(($F554-1)*COUNTIFS($A$4:$A$1510,$A554,$E$4:$E$1510,"Win")))*SUMIFS($Z$4:$Z$1510,$A$4:$A$1510,$A554,$E$4:$E$1510,"Loss"),-('Guide &amp; Settings'!$C$42/($F554-1))*$Z554)))</f>
        <v>-10.483747113233855</v>
      </c>
      <c r="AB554" s="126">
        <f t="shared" si="176"/>
        <v>908.91061237526969</v>
      </c>
      <c r="AC554" s="126">
        <f>IF($D554="","",IF($AD554=0,0,IF(COUNTIFS($D$4:$D554,$D554,$B$4:$B554,$B554)&gt;1,0,IF($B554&lt;'Guide &amp; Settings'!$C$50,0,IF(($B554-$AD554)/7-'Guide &amp; Settings'!$C$48&gt;=0,(INT(($B554-$AD554)/7-'Guide &amp; Settings'!$C$48)+1)*'Guide &amp; Settings'!$C$49,0)))))</f>
        <v>0</v>
      </c>
      <c r="AD554" s="142">
        <f t="shared" si="177"/>
        <v>46214</v>
      </c>
      <c r="AE554">
        <f t="shared" si="178"/>
        <v>1</v>
      </c>
      <c r="AF554">
        <f t="shared" si="179"/>
        <v>0</v>
      </c>
    </row>
    <row r="555" spans="1:32" x14ac:dyDescent="0.2">
      <c r="A555" s="117">
        <v>237</v>
      </c>
      <c r="B555" s="118">
        <v>46255</v>
      </c>
      <c r="C555" s="119" t="s">
        <v>44</v>
      </c>
      <c r="D555" s="119" t="s">
        <v>15</v>
      </c>
      <c r="E555" s="117" t="s">
        <v>370</v>
      </c>
      <c r="F555" s="120">
        <f t="shared" si="160"/>
        <v>2</v>
      </c>
      <c r="G555" s="121" t="str">
        <f t="shared" si="161"/>
        <v>Aaron</v>
      </c>
      <c r="H555" s="122">
        <f>IF($D555="",0,IFERROR(LOOKUP(2,1/(($D$3:D554=$D555)*($A$3:A554&lt;$A555)),$N$3:N554),'Guide &amp; Settings'!$C$41))</f>
        <v>1113.4602449464203</v>
      </c>
      <c r="I555" s="123">
        <f t="shared" si="162"/>
        <v>0.74468085106382975</v>
      </c>
      <c r="J555" s="124">
        <f>IF($D555="",0,IF($F555&lt;2,0,IF($E555="Win",('Guide &amp; Settings'!$C$42/(($F555-1)*COUNTIFS($A$4:$A$1510,$A555,$E$4:$E$1510,"Win")))*SUMIFS($X$4:$X$1510,$A$4:$A$1510,$A555,$E$4:$E$1510,"Loss"),-('Guide &amp; Settings'!$C$42/($F555-1))*$X555)))</f>
        <v>10.293154874949467</v>
      </c>
      <c r="K555" s="124">
        <f>IF($D555="",0,'Guide &amp; Settings'!$C$43*(IF($E555="Win",1,0)-$I555))</f>
        <v>3.063829787234043</v>
      </c>
      <c r="L555" s="125">
        <f>IF($D555="",0,'Guide &amp; Settings'!$C$44*IF($F555&gt;=3,$F555,0))</f>
        <v>0</v>
      </c>
      <c r="M555" s="124">
        <f t="shared" si="163"/>
        <v>13.35698466218351</v>
      </c>
      <c r="N555" s="122">
        <f t="shared" si="164"/>
        <v>1126.8172296086038</v>
      </c>
      <c r="O555" s="121" t="str">
        <f t="shared" si="165"/>
        <v>OK</v>
      </c>
      <c r="P555">
        <f t="shared" si="166"/>
        <v>1113.4602449464203</v>
      </c>
      <c r="Q555">
        <f t="shared" si="167"/>
        <v>0.5</v>
      </c>
      <c r="R555">
        <f t="shared" si="168"/>
        <v>0.58333333333333337</v>
      </c>
      <c r="S555">
        <f t="shared" si="169"/>
        <v>0.78333333333333344</v>
      </c>
      <c r="T555" s="89">
        <f t="shared" si="170"/>
        <v>10</v>
      </c>
      <c r="U555" s="126">
        <f>IF($D555="",0,IFERROR(LOOKUP(2,1/(($D$3:D554=$D555)*($C$3:C554=$C555)*($A$3:A554&lt;$A555)),$AB$3:AB554),1000))</f>
        <v>1044.2944009241537</v>
      </c>
      <c r="V555" s="126">
        <f t="shared" si="171"/>
        <v>1067.3496822649092</v>
      </c>
      <c r="W555">
        <f t="shared" si="172"/>
        <v>1067.3496822649092</v>
      </c>
      <c r="X555">
        <f t="shared" si="173"/>
        <v>0.5</v>
      </c>
      <c r="Y555">
        <f t="shared" si="174"/>
        <v>1044.2944009241537</v>
      </c>
      <c r="Z555">
        <f t="shared" si="175"/>
        <v>0.5</v>
      </c>
      <c r="AA555">
        <f>IF($D555="",0,IF($F555&lt;2,0,IF($E555="Win",('Guide &amp; Settings'!$C$42/(($F555-1)*COUNTIFS($A$4:$A$1510,$A555,$E$4:$E$1510,"Win")))*SUMIFS($Z$4:$Z$1510,$A$4:$A$1510,$A555,$E$4:$E$1510,"Loss"),-('Guide &amp; Settings'!$C$42/($F555-1))*$Z555)))</f>
        <v>10.483747113233855</v>
      </c>
      <c r="AB555" s="126">
        <f t="shared" si="176"/>
        <v>1054.7781480373876</v>
      </c>
      <c r="AC555" s="126">
        <f>IF($D555="","",IF($AD555=0,0,IF(COUNTIFS($D$4:$D555,$D555,$B$4:$B555,$B555)&gt;1,0,IF($B555&lt;'Guide &amp; Settings'!$C$50,0,IF(($B555-$AD555)/7-'Guide &amp; Settings'!$C$48&gt;=0,(INT(($B555-$AD555)/7-'Guide &amp; Settings'!$C$48)+1)*'Guide &amp; Settings'!$C$49,0)))))</f>
        <v>0</v>
      </c>
      <c r="AD555" s="142">
        <f t="shared" si="177"/>
        <v>46229</v>
      </c>
      <c r="AE555">
        <f t="shared" si="178"/>
        <v>1</v>
      </c>
      <c r="AF555">
        <f t="shared" si="179"/>
        <v>0</v>
      </c>
    </row>
    <row r="556" spans="1:32" x14ac:dyDescent="0.2">
      <c r="A556" s="117">
        <v>238</v>
      </c>
      <c r="B556" s="118">
        <v>46255</v>
      </c>
      <c r="C556" s="119" t="s">
        <v>44</v>
      </c>
      <c r="D556" s="119" t="s">
        <v>20</v>
      </c>
      <c r="E556" s="117" t="s">
        <v>370</v>
      </c>
      <c r="F556" s="120">
        <f t="shared" si="160"/>
        <v>2</v>
      </c>
      <c r="G556" s="121" t="str">
        <f t="shared" si="161"/>
        <v>Shawn</v>
      </c>
      <c r="H556" s="122">
        <f>IF($D556="",0,IFERROR(LOOKUP(2,1/(($D$3:D555=$D556)*($A$3:A555&lt;$A556)),$N$3:N555),'Guide &amp; Settings'!$C$41))</f>
        <v>1218.4801654446578</v>
      </c>
      <c r="I556" s="123">
        <f t="shared" si="162"/>
        <v>0.57073170731707312</v>
      </c>
      <c r="J556" s="124">
        <f>IF($D556="",0,IF($F556&lt;2,0,IF($E556="Win",('Guide &amp; Settings'!$C$42/(($F556-1)*COUNTIFS($A$4:$A$1510,$A556,$E$4:$E$1510,"Win")))*SUMIFS($X$4:$X$1510,$A$4:$A$1510,$A556,$E$4:$E$1510,"Loss"),-('Guide &amp; Settings'!$C$42/($F556-1))*$X556)))</f>
        <v>13.447269220054189</v>
      </c>
      <c r="K556" s="124">
        <f>IF($D556="",0,'Guide &amp; Settings'!$C$43*(IF($E556="Win",1,0)-$I556))</f>
        <v>5.151219512195123</v>
      </c>
      <c r="L556" s="125">
        <f>IF($D556="",0,'Guide &amp; Settings'!$C$44*IF($F556&gt;=3,$F556,0))</f>
        <v>0</v>
      </c>
      <c r="M556" s="124">
        <f t="shared" si="163"/>
        <v>18.598488732249312</v>
      </c>
      <c r="N556" s="122">
        <f t="shared" si="164"/>
        <v>1237.0786541769071</v>
      </c>
      <c r="O556" s="121" t="str">
        <f t="shared" si="165"/>
        <v>OK</v>
      </c>
      <c r="P556">
        <f t="shared" si="166"/>
        <v>1218.4801654446578</v>
      </c>
      <c r="Q556">
        <f t="shared" si="167"/>
        <v>0.5</v>
      </c>
      <c r="R556">
        <f t="shared" si="168"/>
        <v>0.81818181818181823</v>
      </c>
      <c r="S556">
        <f t="shared" si="169"/>
        <v>1.4335664335664338</v>
      </c>
      <c r="T556" s="89">
        <f t="shared" si="170"/>
        <v>9</v>
      </c>
      <c r="U556" s="126">
        <f>IF($D556="",0,IFERROR(LOOKUP(2,1/(($D$3:D555=$D556)*($C$3:C555=$C556)*($A$3:A555&lt;$A556)),$AB$3:AB555),1000))</f>
        <v>1085.8219096625355</v>
      </c>
      <c r="V556" s="126">
        <f t="shared" si="171"/>
        <v>1133.1998581561506</v>
      </c>
      <c r="W556">
        <f t="shared" si="172"/>
        <v>1133.1998581561506</v>
      </c>
      <c r="X556">
        <f t="shared" si="173"/>
        <v>0.5</v>
      </c>
      <c r="Y556">
        <f t="shared" si="174"/>
        <v>1085.8219096625355</v>
      </c>
      <c r="Z556">
        <f t="shared" si="175"/>
        <v>0.5</v>
      </c>
      <c r="AA556">
        <f>IF($D556="",0,IF($F556&lt;2,0,IF($E556="Win",('Guide &amp; Settings'!$C$42/(($F556-1)*COUNTIFS($A$4:$A$1510,$A556,$E$4:$E$1510,"Win")))*SUMIFS($Z$4:$Z$1510,$A$4:$A$1510,$A556,$E$4:$E$1510,"Loss"),-('Guide &amp; Settings'!$C$42/($F556-1))*$Z556)))</f>
        <v>14.574174345726625</v>
      </c>
      <c r="AB556" s="126">
        <f t="shared" si="176"/>
        <v>1100.3960840082621</v>
      </c>
      <c r="AC556" s="126">
        <f>IF($D556="","",IF($AD556=0,0,IF(COUNTIFS($D$4:$D556,$D556,$B$4:$B556,$B556)&gt;1,0,IF($B556&lt;'Guide &amp; Settings'!$C$50,0,IF(($B556-$AD556)/7-'Guide &amp; Settings'!$C$48&gt;=0,(INT(($B556-$AD556)/7-'Guide &amp; Settings'!$C$48)+1)*'Guide &amp; Settings'!$C$49,0)))))</f>
        <v>0</v>
      </c>
      <c r="AD556" s="142">
        <f t="shared" si="177"/>
        <v>46247</v>
      </c>
      <c r="AE556">
        <f t="shared" si="178"/>
        <v>1</v>
      </c>
      <c r="AF556">
        <f t="shared" si="179"/>
        <v>0</v>
      </c>
    </row>
    <row r="557" spans="1:32" x14ac:dyDescent="0.2">
      <c r="A557" s="117">
        <v>238</v>
      </c>
      <c r="B557" s="118">
        <v>46255</v>
      </c>
      <c r="C557" s="119" t="s">
        <v>44</v>
      </c>
      <c r="D557" s="119" t="s">
        <v>15</v>
      </c>
      <c r="E557" s="117" t="s">
        <v>371</v>
      </c>
      <c r="F557" s="120">
        <f t="shared" si="160"/>
        <v>2</v>
      </c>
      <c r="G557" s="121" t="str">
        <f t="shared" si="161"/>
        <v>Shawn</v>
      </c>
      <c r="H557" s="122">
        <f>IF($D557="",0,IFERROR(LOOKUP(2,1/(($D$3:D556=$D557)*($A$3:A556&lt;$A557)),$N$3:N556),'Guide &amp; Settings'!$C$41))</f>
        <v>1126.8172296086038</v>
      </c>
      <c r="I557" s="123">
        <f t="shared" si="162"/>
        <v>0.42926829268292682</v>
      </c>
      <c r="J557" s="124">
        <f>IF($D557="",0,IF($F557&lt;2,0,IF($E557="Win",('Guide &amp; Settings'!$C$42/(($F557-1)*COUNTIFS($A$4:$A$1510,$A557,$E$4:$E$1510,"Win")))*SUMIFS($X$4:$X$1510,$A$4:$A$1510,$A557,$E$4:$E$1510,"Loss"),-('Guide &amp; Settings'!$C$42/($F557-1))*$X557)))</f>
        <v>-13.447269220054189</v>
      </c>
      <c r="K557" s="124">
        <f>IF($D557="",0,'Guide &amp; Settings'!$C$43*(IF($E557="Win",1,0)-$I557))</f>
        <v>-5.1512195121951221</v>
      </c>
      <c r="L557" s="125">
        <f>IF($D557="",0,'Guide &amp; Settings'!$C$44*IF($F557&gt;=3,$F557,0))</f>
        <v>0</v>
      </c>
      <c r="M557" s="124">
        <f t="shared" si="163"/>
        <v>-18.598488732249312</v>
      </c>
      <c r="N557" s="122">
        <f t="shared" si="164"/>
        <v>1108.2187408763546</v>
      </c>
      <c r="O557" s="121" t="str">
        <f t="shared" si="165"/>
        <v>OK</v>
      </c>
      <c r="P557">
        <f t="shared" si="166"/>
        <v>1218.4801654446578</v>
      </c>
      <c r="Q557">
        <f t="shared" si="167"/>
        <v>0.37106415733179871</v>
      </c>
      <c r="R557">
        <f t="shared" si="168"/>
        <v>0.61538461538461542</v>
      </c>
      <c r="S557">
        <f t="shared" si="169"/>
        <v>1.4335664335664338</v>
      </c>
      <c r="T557" s="89">
        <f t="shared" si="170"/>
        <v>11</v>
      </c>
      <c r="U557" s="126">
        <f>IF($D557="",0,IFERROR(LOOKUP(2,1/(($D$3:D556=$D557)*($C$3:C556=$C557)*($A$3:A556&lt;$A557)),$AB$3:AB556),1000))</f>
        <v>1054.7781480373876</v>
      </c>
      <c r="V557" s="126">
        <f t="shared" si="171"/>
        <v>1077.2903610283927</v>
      </c>
      <c r="W557">
        <f t="shared" si="172"/>
        <v>1133.1998581561506</v>
      </c>
      <c r="X557">
        <f t="shared" si="173"/>
        <v>0.42022716312669339</v>
      </c>
      <c r="Y557">
        <f t="shared" si="174"/>
        <v>1085.8219096625355</v>
      </c>
      <c r="Z557">
        <f t="shared" si="175"/>
        <v>0.45544294830395704</v>
      </c>
      <c r="AA557">
        <f>IF($D557="",0,IF($F557&lt;2,0,IF($E557="Win",('Guide &amp; Settings'!$C$42/(($F557-1)*COUNTIFS($A$4:$A$1510,$A557,$E$4:$E$1510,"Win")))*SUMIFS($Z$4:$Z$1510,$A$4:$A$1510,$A557,$E$4:$E$1510,"Loss"),-('Guide &amp; Settings'!$C$42/($F557-1))*$Z557)))</f>
        <v>-14.574174345726625</v>
      </c>
      <c r="AB557" s="126">
        <f t="shared" si="176"/>
        <v>1040.2039736916611</v>
      </c>
      <c r="AC557" s="126">
        <f>IF($D557="","",IF($AD557=0,0,IF(COUNTIFS($D$4:$D557,$D557,$B$4:$B557,$B557)&gt;1,0,IF($B557&lt;'Guide &amp; Settings'!$C$50,0,IF(($B557-$AD557)/7-'Guide &amp; Settings'!$C$48&gt;=0,(INT(($B557-$AD557)/7-'Guide &amp; Settings'!$C$48)+1)*'Guide &amp; Settings'!$C$49,0)))))</f>
        <v>0</v>
      </c>
      <c r="AD557" s="142">
        <f t="shared" si="177"/>
        <v>46229</v>
      </c>
      <c r="AE557">
        <f t="shared" si="178"/>
        <v>1</v>
      </c>
      <c r="AF557">
        <f t="shared" si="179"/>
        <v>0</v>
      </c>
    </row>
    <row r="558" spans="1:32" x14ac:dyDescent="0.2">
      <c r="A558" s="117">
        <v>239</v>
      </c>
      <c r="B558" s="118">
        <v>46255</v>
      </c>
      <c r="C558" s="119" t="s">
        <v>44</v>
      </c>
      <c r="D558" s="119" t="s">
        <v>20</v>
      </c>
      <c r="E558" s="117" t="s">
        <v>370</v>
      </c>
      <c r="F558" s="120">
        <f t="shared" si="160"/>
        <v>2</v>
      </c>
      <c r="G558" s="121" t="str">
        <f t="shared" si="161"/>
        <v>Shawn</v>
      </c>
      <c r="H558" s="122">
        <f>IF($D558="",0,IFERROR(LOOKUP(2,1/(($D$3:D557=$D558)*($A$3:A557&lt;$A558)),$N$3:N557),'Guide &amp; Settings'!$C$41))</f>
        <v>1237.0786541769071</v>
      </c>
      <c r="I558" s="123">
        <f t="shared" si="162"/>
        <v>0.73033707865168551</v>
      </c>
      <c r="J558" s="124">
        <f>IF($D558="",0,IF($F558&lt;2,0,IF($E558="Win",('Guide &amp; Settings'!$C$42/(($F558-1)*COUNTIFS($A$4:$A$1510,$A558,$E$4:$E$1510,"Win")))*SUMIFS($X$4:$X$1510,$A$4:$A$1510,$A558,$E$4:$E$1510,"Loss"),-('Guide &amp; Settings'!$C$42/($F558-1))*$X558)))</f>
        <v>9.7908471556442045</v>
      </c>
      <c r="K558" s="124">
        <f>IF($D558="",0,'Guide &amp; Settings'!$C$43*(IF($E558="Win",1,0)-$I558))</f>
        <v>3.2359550561797739</v>
      </c>
      <c r="L558" s="125">
        <f>IF($D558="",0,'Guide &amp; Settings'!$C$44*IF($F558&gt;=3,$F558,0))</f>
        <v>0</v>
      </c>
      <c r="M558" s="124">
        <f t="shared" si="163"/>
        <v>13.026802211823979</v>
      </c>
      <c r="N558" s="122">
        <f t="shared" si="164"/>
        <v>1250.105456388731</v>
      </c>
      <c r="O558" s="121" t="str">
        <f t="shared" si="165"/>
        <v>OK</v>
      </c>
      <c r="P558">
        <f t="shared" si="166"/>
        <v>1237.0786541769071</v>
      </c>
      <c r="Q558">
        <f t="shared" si="167"/>
        <v>0.5</v>
      </c>
      <c r="R558">
        <f t="shared" si="168"/>
        <v>0.83333333333333337</v>
      </c>
      <c r="S558">
        <f t="shared" si="169"/>
        <v>1.141025641025641</v>
      </c>
      <c r="T558" s="89">
        <f t="shared" si="170"/>
        <v>10</v>
      </c>
      <c r="U558" s="126">
        <f>IF($D558="",0,IFERROR(LOOKUP(2,1/(($D$3:D557=$D558)*($C$3:C557=$C558)*($A$3:A557&lt;$A558)),$AB$3:AB557),1000))</f>
        <v>1100.3960840082621</v>
      </c>
      <c r="V558" s="126">
        <f t="shared" si="171"/>
        <v>1145.9569407311437</v>
      </c>
      <c r="W558">
        <f t="shared" si="172"/>
        <v>1145.9569407311437</v>
      </c>
      <c r="X558">
        <f t="shared" si="173"/>
        <v>0.5</v>
      </c>
      <c r="Y558">
        <f t="shared" si="174"/>
        <v>1100.3960840082621</v>
      </c>
      <c r="Z558">
        <f t="shared" si="175"/>
        <v>0.5</v>
      </c>
      <c r="AA558">
        <f>IF($D558="",0,IF($F558&lt;2,0,IF($E558="Win",('Guide &amp; Settings'!$C$42/(($F558-1)*COUNTIFS($A$4:$A$1510,$A558,$E$4:$E$1510,"Win")))*SUMIFS($Z$4:$Z$1510,$A$4:$A$1510,$A558,$E$4:$E$1510,"Loss"),-('Guide &amp; Settings'!$C$42/($F558-1))*$Z558)))</f>
        <v>9.4022185685235673</v>
      </c>
      <c r="AB558" s="126">
        <f t="shared" si="176"/>
        <v>1109.7983025767855</v>
      </c>
      <c r="AC558" s="126">
        <f>IF($D558="","",IF($AD558=0,0,IF(COUNTIFS($D$4:$D558,$D558,$B$4:$B558,$B558)&gt;1,0,IF($B558&lt;'Guide &amp; Settings'!$C$50,0,IF(($B558-$AD558)/7-'Guide &amp; Settings'!$C$48&gt;=0,(INT(($B558-$AD558)/7-'Guide &amp; Settings'!$C$48)+1)*'Guide &amp; Settings'!$C$49,0)))))</f>
        <v>0</v>
      </c>
      <c r="AD558" s="142">
        <f t="shared" si="177"/>
        <v>46247</v>
      </c>
      <c r="AE558">
        <f t="shared" si="178"/>
        <v>1</v>
      </c>
      <c r="AF558">
        <f t="shared" si="179"/>
        <v>0</v>
      </c>
    </row>
    <row r="559" spans="1:32" x14ac:dyDescent="0.2">
      <c r="A559" s="117">
        <v>239</v>
      </c>
      <c r="B559" s="118">
        <v>46255</v>
      </c>
      <c r="C559" s="119" t="s">
        <v>44</v>
      </c>
      <c r="D559" s="119" t="s">
        <v>22</v>
      </c>
      <c r="E559" s="117" t="s">
        <v>371</v>
      </c>
      <c r="F559" s="120">
        <f t="shared" si="160"/>
        <v>2</v>
      </c>
      <c r="G559" s="121" t="str">
        <f t="shared" si="161"/>
        <v>Shawn</v>
      </c>
      <c r="H559" s="122">
        <f>IF($D559="",0,IFERROR(LOOKUP(2,1/(($D$3:D558=$D559)*($A$3:A558&lt;$A559)),$N$3:N558),'Guide &amp; Settings'!$C$41))</f>
        <v>1126.0150269392918</v>
      </c>
      <c r="I559" s="123">
        <f t="shared" si="162"/>
        <v>0.26966292134831465</v>
      </c>
      <c r="J559" s="124">
        <f>IF($D559="",0,IF($F559&lt;2,0,IF($E559="Win",('Guide &amp; Settings'!$C$42/(($F559-1)*COUNTIFS($A$4:$A$1510,$A559,$E$4:$E$1510,"Win")))*SUMIFS($X$4:$X$1510,$A$4:$A$1510,$A559,$E$4:$E$1510,"Loss"),-('Guide &amp; Settings'!$C$42/($F559-1))*$X559)))</f>
        <v>-9.7908471556442045</v>
      </c>
      <c r="K559" s="124">
        <f>IF($D559="",0,'Guide &amp; Settings'!$C$43*(IF($E559="Win",1,0)-$I559))</f>
        <v>-3.2359550561797761</v>
      </c>
      <c r="L559" s="125">
        <f>IF($D559="",0,'Guide &amp; Settings'!$C$44*IF($F559&gt;=3,$F559,0))</f>
        <v>0</v>
      </c>
      <c r="M559" s="124">
        <f t="shared" si="163"/>
        <v>-13.026802211823981</v>
      </c>
      <c r="N559" s="122">
        <f t="shared" si="164"/>
        <v>1112.9882247274679</v>
      </c>
      <c r="O559" s="121" t="str">
        <f t="shared" si="165"/>
        <v>OK</v>
      </c>
      <c r="P559">
        <f t="shared" si="166"/>
        <v>1237.0786541769071</v>
      </c>
      <c r="Q559">
        <f t="shared" si="167"/>
        <v>0.34539718851755236</v>
      </c>
      <c r="R559">
        <f t="shared" si="168"/>
        <v>0.30769230769230771</v>
      </c>
      <c r="S559">
        <f t="shared" si="169"/>
        <v>1.141025641025641</v>
      </c>
      <c r="T559" s="89">
        <f t="shared" si="170"/>
        <v>11</v>
      </c>
      <c r="U559" s="126">
        <f>IF($D559="",0,IFERROR(LOOKUP(2,1/(($D$3:D558=$D559)*($C$3:C558=$C559)*($A$3:A558&lt;$A559)),$AB$3:AB558),1000))</f>
        <v>948.06189961304347</v>
      </c>
      <c r="V559" s="126">
        <f t="shared" si="171"/>
        <v>1003.6722519024961</v>
      </c>
      <c r="W559">
        <f t="shared" si="172"/>
        <v>1145.9569407311437</v>
      </c>
      <c r="X559">
        <f t="shared" si="173"/>
        <v>0.30596397361388139</v>
      </c>
      <c r="Y559">
        <f t="shared" si="174"/>
        <v>1100.3960840082621</v>
      </c>
      <c r="Z559">
        <f t="shared" si="175"/>
        <v>0.29381933026636148</v>
      </c>
      <c r="AA559">
        <f>IF($D559="",0,IF($F559&lt;2,0,IF($E559="Win",('Guide &amp; Settings'!$C$42/(($F559-1)*COUNTIFS($A$4:$A$1510,$A559,$E$4:$E$1510,"Win")))*SUMIFS($Z$4:$Z$1510,$A$4:$A$1510,$A559,$E$4:$E$1510,"Loss"),-('Guide &amp; Settings'!$C$42/($F559-1))*$Z559)))</f>
        <v>-9.4022185685235673</v>
      </c>
      <c r="AB559" s="126">
        <f t="shared" si="176"/>
        <v>938.65968104451986</v>
      </c>
      <c r="AC559" s="126">
        <f>IF($D559="","",IF($AD559=0,0,IF(COUNTIFS($D$4:$D559,$D559,$B$4:$B559,$B559)&gt;1,0,IF($B559&lt;'Guide &amp; Settings'!$C$50,0,IF(($B559-$AD559)/7-'Guide &amp; Settings'!$C$48&gt;=0,(INT(($B559-$AD559)/7-'Guide &amp; Settings'!$C$48)+1)*'Guide &amp; Settings'!$C$49,0)))))</f>
        <v>0</v>
      </c>
      <c r="AD559" s="142">
        <f t="shared" si="177"/>
        <v>46253</v>
      </c>
      <c r="AE559">
        <f t="shared" si="178"/>
        <v>1</v>
      </c>
      <c r="AF559">
        <f t="shared" si="179"/>
        <v>0</v>
      </c>
    </row>
    <row r="560" spans="1:32" x14ac:dyDescent="0.2">
      <c r="A560" s="117">
        <v>240</v>
      </c>
      <c r="B560" s="118">
        <v>46255</v>
      </c>
      <c r="C560" s="119" t="s">
        <v>44</v>
      </c>
      <c r="D560" s="119" t="s">
        <v>15</v>
      </c>
      <c r="E560" s="117" t="s">
        <v>370</v>
      </c>
      <c r="F560" s="120">
        <f t="shared" si="160"/>
        <v>2</v>
      </c>
      <c r="G560" s="121" t="str">
        <f t="shared" si="161"/>
        <v>Aaron</v>
      </c>
      <c r="H560" s="122">
        <f>IF($D560="",0,IFERROR(LOOKUP(2,1/(($D$3:D559=$D560)*($A$3:A559&lt;$A560)),$N$3:N559),'Guide &amp; Settings'!$C$41))</f>
        <v>1108.2187408763546</v>
      </c>
      <c r="I560" s="123">
        <f t="shared" si="162"/>
        <v>0.66666666666666663</v>
      </c>
      <c r="J560" s="124">
        <f>IF($D560="",0,IF($F560&lt;2,0,IF($E560="Win",('Guide &amp; Settings'!$C$42/(($F560-1)*COUNTIFS($A$4:$A$1510,$A560,$E$4:$E$1510,"Win")))*SUMIFS($X$4:$X$1510,$A$4:$A$1510,$A560,$E$4:$E$1510,"Loss"),-('Guide &amp; Settings'!$C$42/($F560-1))*$X560)))</f>
        <v>12.807117029279029</v>
      </c>
      <c r="K560" s="124">
        <f>IF($D560="",0,'Guide &amp; Settings'!$C$43*(IF($E560="Win",1,0)-$I560))</f>
        <v>4</v>
      </c>
      <c r="L560" s="125">
        <f>IF($D560="",0,'Guide &amp; Settings'!$C$44*IF($F560&gt;=3,$F560,0))</f>
        <v>0</v>
      </c>
      <c r="M560" s="124">
        <f t="shared" si="163"/>
        <v>16.807117029279027</v>
      </c>
      <c r="N560" s="122">
        <f t="shared" si="164"/>
        <v>1125.0258579056335</v>
      </c>
      <c r="O560" s="121" t="str">
        <f t="shared" si="165"/>
        <v>OK</v>
      </c>
      <c r="P560">
        <f t="shared" si="166"/>
        <v>1108.2187408763546</v>
      </c>
      <c r="Q560">
        <f t="shared" si="167"/>
        <v>0.5</v>
      </c>
      <c r="R560">
        <f t="shared" si="168"/>
        <v>0.5714285714285714</v>
      </c>
      <c r="S560">
        <f t="shared" si="169"/>
        <v>0.8571428571428571</v>
      </c>
      <c r="T560" s="89">
        <f t="shared" si="170"/>
        <v>12</v>
      </c>
      <c r="U560" s="126">
        <f>IF($D560="",0,IFERROR(LOOKUP(2,1/(($D$3:D559=$D560)*($C$3:C559=$C560)*($A$3:A559&lt;$A560)),$AB$3:AB559),1000))</f>
        <v>1040.2039736916611</v>
      </c>
      <c r="V560" s="126">
        <f t="shared" si="171"/>
        <v>1060.2083169812768</v>
      </c>
      <c r="W560">
        <f t="shared" si="172"/>
        <v>1060.2083169812768</v>
      </c>
      <c r="X560">
        <f t="shared" si="173"/>
        <v>0.5</v>
      </c>
      <c r="Y560">
        <f t="shared" si="174"/>
        <v>1040.2039736916611</v>
      </c>
      <c r="Z560">
        <f t="shared" si="175"/>
        <v>0.5</v>
      </c>
      <c r="AA560">
        <f>IF($D560="",0,IF($F560&lt;2,0,IF($E560="Win",('Guide &amp; Settings'!$C$42/(($F560-1)*COUNTIFS($A$4:$A$1510,$A560,$E$4:$E$1510,"Win")))*SUMIFS($Z$4:$Z$1510,$A$4:$A$1510,$A560,$E$4:$E$1510,"Loss"),-('Guide &amp; Settings'!$C$42/($F560-1))*$Z560)))</f>
        <v>11.45246540752024</v>
      </c>
      <c r="AB560" s="126">
        <f t="shared" si="176"/>
        <v>1051.6564390991814</v>
      </c>
      <c r="AC560" s="126">
        <f>IF($D560="","",IF($AD560=0,0,IF(COUNTIFS($D$4:$D560,$D560,$B$4:$B560,$B560)&gt;1,0,IF($B560&lt;'Guide &amp; Settings'!$C$50,0,IF(($B560-$AD560)/7-'Guide &amp; Settings'!$C$48&gt;=0,(INT(($B560-$AD560)/7-'Guide &amp; Settings'!$C$48)+1)*'Guide &amp; Settings'!$C$49,0)))))</f>
        <v>0</v>
      </c>
      <c r="AD560" s="142">
        <f t="shared" si="177"/>
        <v>46229</v>
      </c>
      <c r="AE560">
        <f t="shared" si="178"/>
        <v>1</v>
      </c>
      <c r="AF560">
        <f t="shared" si="179"/>
        <v>0</v>
      </c>
    </row>
    <row r="561" spans="1:32" x14ac:dyDescent="0.2">
      <c r="A561" s="117">
        <v>240</v>
      </c>
      <c r="B561" s="118">
        <v>46255</v>
      </c>
      <c r="C561" s="119" t="s">
        <v>44</v>
      </c>
      <c r="D561" s="119" t="s">
        <v>22</v>
      </c>
      <c r="E561" s="117" t="s">
        <v>371</v>
      </c>
      <c r="F561" s="120">
        <f t="shared" si="160"/>
        <v>2</v>
      </c>
      <c r="G561" s="121" t="str">
        <f t="shared" si="161"/>
        <v>Aaron</v>
      </c>
      <c r="H561" s="122">
        <f>IF($D561="",0,IFERROR(LOOKUP(2,1/(($D$3:D560=$D561)*($A$3:A560&lt;$A561)),$N$3:N560),'Guide &amp; Settings'!$C$41))</f>
        <v>1112.9882247274679</v>
      </c>
      <c r="I561" s="123">
        <f t="shared" si="162"/>
        <v>0.33333333333333331</v>
      </c>
      <c r="J561" s="124">
        <f>IF($D561="",0,IF($F561&lt;2,0,IF($E561="Win",('Guide &amp; Settings'!$C$42/(($F561-1)*COUNTIFS($A$4:$A$1510,$A561,$E$4:$E$1510,"Win")))*SUMIFS($X$4:$X$1510,$A$4:$A$1510,$A561,$E$4:$E$1510,"Loss"),-('Guide &amp; Settings'!$C$42/($F561-1))*$X561)))</f>
        <v>-12.807117029279029</v>
      </c>
      <c r="K561" s="124">
        <f>IF($D561="",0,'Guide &amp; Settings'!$C$43*(IF($E561="Win",1,0)-$I561))</f>
        <v>-4</v>
      </c>
      <c r="L561" s="125">
        <f>IF($D561="",0,'Guide &amp; Settings'!$C$44*IF($F561&gt;=3,$F561,0))</f>
        <v>0</v>
      </c>
      <c r="M561" s="124">
        <f t="shared" si="163"/>
        <v>-16.807117029279027</v>
      </c>
      <c r="N561" s="122">
        <f t="shared" si="164"/>
        <v>1096.181107698189</v>
      </c>
      <c r="O561" s="121" t="str">
        <f t="shared" si="165"/>
        <v>OK</v>
      </c>
      <c r="P561">
        <f t="shared" si="166"/>
        <v>1108.2187408763546</v>
      </c>
      <c r="Q561">
        <f t="shared" si="167"/>
        <v>0.50686340788150086</v>
      </c>
      <c r="R561">
        <f t="shared" si="168"/>
        <v>0.2857142857142857</v>
      </c>
      <c r="S561">
        <f t="shared" si="169"/>
        <v>0.8571428571428571</v>
      </c>
      <c r="T561" s="89">
        <f t="shared" si="170"/>
        <v>12</v>
      </c>
      <c r="U561" s="126">
        <f>IF($D561="",0,IFERROR(LOOKUP(2,1/(($D$3:D560=$D561)*($C$3:C560=$C561)*($A$3:A560&lt;$A561)),$AB$3:AB560),1000))</f>
        <v>938.65968104451986</v>
      </c>
      <c r="V561" s="126">
        <f t="shared" si="171"/>
        <v>989.93278212773976</v>
      </c>
      <c r="W561">
        <f t="shared" si="172"/>
        <v>1060.2083169812768</v>
      </c>
      <c r="X561">
        <f t="shared" si="173"/>
        <v>0.40022240716496965</v>
      </c>
      <c r="Y561">
        <f t="shared" si="174"/>
        <v>1040.2039736916611</v>
      </c>
      <c r="Z561">
        <f t="shared" si="175"/>
        <v>0.3578895439850075</v>
      </c>
      <c r="AA561">
        <f>IF($D561="",0,IF($F561&lt;2,0,IF($E561="Win",('Guide &amp; Settings'!$C$42/(($F561-1)*COUNTIFS($A$4:$A$1510,$A561,$E$4:$E$1510,"Win")))*SUMIFS($Z$4:$Z$1510,$A$4:$A$1510,$A561,$E$4:$E$1510,"Loss"),-('Guide &amp; Settings'!$C$42/($F561-1))*$Z561)))</f>
        <v>-11.45246540752024</v>
      </c>
      <c r="AB561" s="126">
        <f t="shared" si="176"/>
        <v>927.20721563699965</v>
      </c>
      <c r="AC561" s="126">
        <f>IF($D561="","",IF($AD561=0,0,IF(COUNTIFS($D$4:$D561,$D561,$B$4:$B561,$B561)&gt;1,0,IF($B561&lt;'Guide &amp; Settings'!$C$50,0,IF(($B561-$AD561)/7-'Guide &amp; Settings'!$C$48&gt;=0,(INT(($B561-$AD561)/7-'Guide &amp; Settings'!$C$48)+1)*'Guide &amp; Settings'!$C$49,0)))))</f>
        <v>0</v>
      </c>
      <c r="AD561" s="142">
        <f t="shared" si="177"/>
        <v>46253</v>
      </c>
      <c r="AE561">
        <f t="shared" si="178"/>
        <v>1</v>
      </c>
      <c r="AF561">
        <f t="shared" si="179"/>
        <v>0</v>
      </c>
    </row>
    <row r="562" spans="1:32" x14ac:dyDescent="0.2">
      <c r="A562" s="117">
        <v>241</v>
      </c>
      <c r="B562" s="118">
        <v>46255</v>
      </c>
      <c r="C562" s="119" t="s">
        <v>34</v>
      </c>
      <c r="D562" s="119" t="s">
        <v>18</v>
      </c>
      <c r="E562" s="117" t="s">
        <v>371</v>
      </c>
      <c r="F562" s="120">
        <f t="shared" si="160"/>
        <v>2</v>
      </c>
      <c r="G562" s="121" t="str">
        <f t="shared" si="161"/>
        <v>Dean B</v>
      </c>
      <c r="H562" s="122">
        <f>IF($D562="",0,IFERROR(LOOKUP(2,1/(($D$3:D561=$D562)*($A$3:A561&lt;$A562)),$N$3:N561),'Guide &amp; Settings'!$C$41))</f>
        <v>953.71108579033785</v>
      </c>
      <c r="I562" s="123">
        <f t="shared" si="162"/>
        <v>0.76923076923076916</v>
      </c>
      <c r="J562" s="124">
        <f>IF($D562="",0,IF($F562&lt;2,0,IF($E562="Win",('Guide &amp; Settings'!$C$42/(($F562-1)*COUNTIFS($A$4:$A$1510,$A562,$E$4:$E$1510,"Win")))*SUMIFS($X$4:$X$1510,$A$4:$A$1510,$A562,$E$4:$E$1510,"Loss"),-('Guide &amp; Settings'!$C$42/($F562-1))*$X562)))</f>
        <v>-9.2446274326873237</v>
      </c>
      <c r="K562" s="124">
        <f>IF($D562="",0,'Guide &amp; Settings'!$C$43*(IF($E562="Win",1,0)-$I562))</f>
        <v>-9.2307692307692299</v>
      </c>
      <c r="L562" s="125">
        <f>IF($D562="",0,'Guide &amp; Settings'!$C$44*IF($F562&gt;=3,$F562,0))</f>
        <v>0</v>
      </c>
      <c r="M562" s="124">
        <f t="shared" si="163"/>
        <v>-18.475396663456554</v>
      </c>
      <c r="N562" s="122">
        <f t="shared" si="164"/>
        <v>935.23568912688131</v>
      </c>
      <c r="O562" s="121" t="str">
        <f t="shared" si="165"/>
        <v>OK</v>
      </c>
      <c r="P562">
        <f t="shared" si="166"/>
        <v>1202.303999094534</v>
      </c>
      <c r="Q562">
        <f t="shared" si="167"/>
        <v>0.19294045378425581</v>
      </c>
      <c r="R562">
        <f t="shared" si="168"/>
        <v>0.66666666666666663</v>
      </c>
      <c r="S562">
        <f t="shared" si="169"/>
        <v>0.8666666666666667</v>
      </c>
      <c r="T562" s="89">
        <f t="shared" si="170"/>
        <v>1</v>
      </c>
      <c r="U562" s="126">
        <f>IF($D562="",0,IFERROR(LOOKUP(2,1/(($D$3:D561=$D562)*($C$3:C561=$C562)*($A$3:A561&lt;$A562)),$AB$3:AB561),1000))</f>
        <v>1015.6316425164276</v>
      </c>
      <c r="V562" s="126">
        <f t="shared" si="171"/>
        <v>964.03117857801954</v>
      </c>
      <c r="W562">
        <f t="shared" si="172"/>
        <v>1120.5089934245873</v>
      </c>
      <c r="X562">
        <f t="shared" si="173"/>
        <v>0.28889460727147886</v>
      </c>
      <c r="Y562">
        <f t="shared" si="174"/>
        <v>984.18398397467593</v>
      </c>
      <c r="Z562">
        <f t="shared" si="175"/>
        <v>0.54513363016309768</v>
      </c>
      <c r="AA562">
        <f>IF($D562="",0,IF($F562&lt;2,0,IF($E562="Win",('Guide &amp; Settings'!$C$42/(($F562-1)*COUNTIFS($A$4:$A$1510,$A562,$E$4:$E$1510,"Win")))*SUMIFS($Z$4:$Z$1510,$A$4:$A$1510,$A562,$E$4:$E$1510,"Loss"),-('Guide &amp; Settings'!$C$42/($F562-1))*$Z562)))</f>
        <v>-17.444276165219126</v>
      </c>
      <c r="AB562" s="126">
        <f t="shared" si="176"/>
        <v>998.18736635120854</v>
      </c>
      <c r="AC562" s="126">
        <f>IF($D562="","",IF($AD562=0,0,IF(COUNTIFS($D$4:$D562,$D562,$B$4:$B562,$B562)&gt;1,0,IF($B562&lt;'Guide &amp; Settings'!$C$50,0,IF(($B562-$AD562)/7-'Guide &amp; Settings'!$C$48&gt;=0,(INT(($B562-$AD562)/7-'Guide &amp; Settings'!$C$48)+1)*'Guide &amp; Settings'!$C$49,0)))))</f>
        <v>0</v>
      </c>
      <c r="AD562" s="142">
        <f t="shared" si="177"/>
        <v>46214</v>
      </c>
      <c r="AE562">
        <f t="shared" si="178"/>
        <v>1</v>
      </c>
      <c r="AF562">
        <f t="shared" si="179"/>
        <v>0</v>
      </c>
    </row>
    <row r="563" spans="1:32" x14ac:dyDescent="0.2">
      <c r="A563" s="117">
        <v>241</v>
      </c>
      <c r="B563" s="118">
        <v>46255</v>
      </c>
      <c r="C563" s="119" t="s">
        <v>34</v>
      </c>
      <c r="D563" s="119" t="s">
        <v>23</v>
      </c>
      <c r="E563" s="117" t="s">
        <v>370</v>
      </c>
      <c r="F563" s="120">
        <f t="shared" si="160"/>
        <v>2</v>
      </c>
      <c r="G563" s="121" t="str">
        <f t="shared" si="161"/>
        <v>Dean B</v>
      </c>
      <c r="H563" s="122">
        <f>IF($D563="",0,IFERROR(LOOKUP(2,1/(($D$3:D562=$D563)*($A$3:A562&lt;$A563)),$N$3:N562),'Guide &amp; Settings'!$C$41))</f>
        <v>1202.303999094534</v>
      </c>
      <c r="I563" s="123">
        <f t="shared" si="162"/>
        <v>0.23076923076923078</v>
      </c>
      <c r="J563" s="124">
        <f>IF($D563="",0,IF($F563&lt;2,0,IF($E563="Win",('Guide &amp; Settings'!$C$42/(($F563-1)*COUNTIFS($A$4:$A$1510,$A563,$E$4:$E$1510,"Win")))*SUMIFS($X$4:$X$1510,$A$4:$A$1510,$A563,$E$4:$E$1510,"Loss"),-('Guide &amp; Settings'!$C$42/($F563-1))*$X563)))</f>
        <v>9.2446274326873237</v>
      </c>
      <c r="K563" s="124">
        <f>IF($D563="",0,'Guide &amp; Settings'!$C$43*(IF($E563="Win",1,0)-$I563))</f>
        <v>9.2307692307692299</v>
      </c>
      <c r="L563" s="125">
        <f>IF($D563="",0,'Guide &amp; Settings'!$C$44*IF($F563&gt;=3,$F563,0))</f>
        <v>0</v>
      </c>
      <c r="M563" s="124">
        <f t="shared" si="163"/>
        <v>18.475396663456554</v>
      </c>
      <c r="N563" s="122">
        <f t="shared" si="164"/>
        <v>1220.7793957579906</v>
      </c>
      <c r="O563" s="121" t="str">
        <f t="shared" si="165"/>
        <v>OK</v>
      </c>
      <c r="P563">
        <f t="shared" si="166"/>
        <v>1202.303999094534</v>
      </c>
      <c r="Q563">
        <f t="shared" si="167"/>
        <v>0.5</v>
      </c>
      <c r="R563">
        <f t="shared" si="168"/>
        <v>0.2</v>
      </c>
      <c r="S563">
        <f t="shared" si="169"/>
        <v>0.8666666666666667</v>
      </c>
      <c r="T563" s="89">
        <f t="shared" si="170"/>
        <v>3</v>
      </c>
      <c r="U563" s="126">
        <f>IF($D563="",0,IFERROR(LOOKUP(2,1/(($D$3:D562=$D563)*($C$3:C562=$C563)*($A$3:A562&lt;$A563)),$AB$3:AB562),1000))</f>
        <v>984.18398397467593</v>
      </c>
      <c r="V563" s="126">
        <f t="shared" si="171"/>
        <v>1120.5089934245873</v>
      </c>
      <c r="W563">
        <f t="shared" si="172"/>
        <v>1120.5089934245873</v>
      </c>
      <c r="X563">
        <f t="shared" si="173"/>
        <v>0.5</v>
      </c>
      <c r="Y563">
        <f t="shared" si="174"/>
        <v>984.18398397467593</v>
      </c>
      <c r="Z563">
        <f t="shared" si="175"/>
        <v>0.5</v>
      </c>
      <c r="AA563">
        <f>IF($D563="",0,IF($F563&lt;2,0,IF($E563="Win",('Guide &amp; Settings'!$C$42/(($F563-1)*COUNTIFS($A$4:$A$1510,$A563,$E$4:$E$1510,"Win")))*SUMIFS($Z$4:$Z$1510,$A$4:$A$1510,$A563,$E$4:$E$1510,"Loss"),-('Guide &amp; Settings'!$C$42/($F563-1))*$Z563)))</f>
        <v>17.444276165219126</v>
      </c>
      <c r="AB563" s="126">
        <f t="shared" si="176"/>
        <v>1001.628260139895</v>
      </c>
      <c r="AC563" s="126">
        <f>IF($D563="","",IF($AD563=0,0,IF(COUNTIFS($D$4:$D563,$D563,$B$4:$B563,$B563)&gt;1,0,IF($B563&lt;'Guide &amp; Settings'!$C$50,0,IF(($B563-$AD563)/7-'Guide &amp; Settings'!$C$48&gt;=0,(INT(($B563-$AD563)/7-'Guide &amp; Settings'!$C$48)+1)*'Guide &amp; Settings'!$C$49,0)))))</f>
        <v>0</v>
      </c>
      <c r="AD563" s="142">
        <f t="shared" si="177"/>
        <v>46215</v>
      </c>
      <c r="AE563">
        <f t="shared" si="178"/>
        <v>1</v>
      </c>
      <c r="AF563">
        <f t="shared" si="179"/>
        <v>0</v>
      </c>
    </row>
    <row r="564" spans="1:32" x14ac:dyDescent="0.2">
      <c r="A564" s="117">
        <v>242</v>
      </c>
      <c r="B564" s="118">
        <v>46256</v>
      </c>
      <c r="C564" s="119" t="s">
        <v>35</v>
      </c>
      <c r="D564" s="119" t="s">
        <v>20</v>
      </c>
      <c r="E564" s="117" t="s">
        <v>371</v>
      </c>
      <c r="F564" s="120">
        <f t="shared" si="160"/>
        <v>2</v>
      </c>
      <c r="G564" s="121" t="str">
        <f t="shared" si="161"/>
        <v>Daniel (Ferret)</v>
      </c>
      <c r="H564" s="122">
        <f>IF($D564="",0,IFERROR(LOOKUP(2,1/(($D$3:D563=$D564)*($A$3:A563&lt;$A564)),$N$3:N563),'Guide &amp; Settings'!$C$41))</f>
        <v>1250.105456388731</v>
      </c>
      <c r="I564" s="123">
        <f t="shared" si="162"/>
        <v>0.5</v>
      </c>
      <c r="J564" s="124">
        <f>IF($D564="",0,IF($F564&lt;2,0,IF($E564="Win",('Guide &amp; Settings'!$C$42/(($F564-1)*COUNTIFS($A$4:$A$1510,$A564,$E$4:$E$1510,"Win")))*SUMIFS($X$4:$X$1510,$A$4:$A$1510,$A564,$E$4:$E$1510,"Loss"),-('Guide &amp; Settings'!$C$42/($F564-1))*$X564)))</f>
        <v>-15.757121516683091</v>
      </c>
      <c r="K564" s="124">
        <f>IF($D564="",0,'Guide &amp; Settings'!$C$43*(IF($E564="Win",1,0)-$I564))</f>
        <v>-6</v>
      </c>
      <c r="L564" s="125">
        <f>IF($D564="",0,'Guide &amp; Settings'!$C$44*IF($F564&gt;=3,$F564,0))</f>
        <v>0</v>
      </c>
      <c r="M564" s="124">
        <f t="shared" si="163"/>
        <v>-21.757121516683092</v>
      </c>
      <c r="N564" s="122">
        <f t="shared" si="164"/>
        <v>1228.3483348720479</v>
      </c>
      <c r="O564" s="121" t="str">
        <f t="shared" si="165"/>
        <v>OK</v>
      </c>
      <c r="P564">
        <f t="shared" si="166"/>
        <v>1096.181107698189</v>
      </c>
      <c r="Q564">
        <f t="shared" si="167"/>
        <v>0.70807638006971962</v>
      </c>
      <c r="R564">
        <f t="shared" si="168"/>
        <v>0.45454545454545453</v>
      </c>
      <c r="S564">
        <f t="shared" si="169"/>
        <v>0.90909090909090906</v>
      </c>
      <c r="T564" s="89">
        <f t="shared" si="170"/>
        <v>20</v>
      </c>
      <c r="U564" s="126">
        <f>IF($D564="",0,IFERROR(LOOKUP(2,1/(($D$3:D563=$D564)*($C$3:C563=$C564)*($A$3:A563&lt;$A564)),$AB$3:AB563),1000))</f>
        <v>974.00768231912002</v>
      </c>
      <c r="V564" s="126">
        <f t="shared" si="171"/>
        <v>1029.2272371330423</v>
      </c>
      <c r="W564">
        <f t="shared" si="172"/>
        <v>1034.5016815410527</v>
      </c>
      <c r="X564">
        <f t="shared" si="173"/>
        <v>0.49241004739634658</v>
      </c>
      <c r="Y564">
        <f t="shared" si="174"/>
        <v>1000.2353336759772</v>
      </c>
      <c r="Z564">
        <f t="shared" si="175"/>
        <v>0.46232691005400367</v>
      </c>
      <c r="AA564">
        <f>IF($D564="",0,IF($F564&lt;2,0,IF($E564="Win",('Guide &amp; Settings'!$C$42/(($F564-1)*COUNTIFS($A$4:$A$1510,$A564,$E$4:$E$1510,"Win")))*SUMIFS($Z$4:$Z$1510,$A$4:$A$1510,$A564,$E$4:$E$1510,"Loss"),-('Guide &amp; Settings'!$C$42/($F564-1))*$Z564)))</f>
        <v>-14.794461121728117</v>
      </c>
      <c r="AB564" s="126">
        <f t="shared" si="176"/>
        <v>959.21322119739193</v>
      </c>
      <c r="AC564" s="126">
        <f>IF($D564="","",IF($AD564=0,0,IF(COUNTIFS($D$4:$D564,$D564,$B$4:$B564,$B564)&gt;1,0,IF($B564&lt;'Guide &amp; Settings'!$C$50,0,IF(($B564-$AD564)/7-'Guide &amp; Settings'!$C$48&gt;=0,(INT(($B564-$AD564)/7-'Guide &amp; Settings'!$C$48)+1)*'Guide &amp; Settings'!$C$49,0)))))</f>
        <v>0</v>
      </c>
      <c r="AD564" s="142">
        <f t="shared" si="177"/>
        <v>46255</v>
      </c>
      <c r="AE564">
        <f t="shared" si="178"/>
        <v>1</v>
      </c>
      <c r="AF564">
        <f t="shared" si="179"/>
        <v>0</v>
      </c>
    </row>
    <row r="565" spans="1:32" x14ac:dyDescent="0.2">
      <c r="A565" s="117">
        <v>242</v>
      </c>
      <c r="B565" s="118">
        <v>46256</v>
      </c>
      <c r="C565" s="119" t="s">
        <v>35</v>
      </c>
      <c r="D565" s="119" t="s">
        <v>22</v>
      </c>
      <c r="E565" s="117" t="s">
        <v>370</v>
      </c>
      <c r="F565" s="120">
        <f t="shared" si="160"/>
        <v>2</v>
      </c>
      <c r="G565" s="121" t="str">
        <f t="shared" si="161"/>
        <v>Daniel (Ferret)</v>
      </c>
      <c r="H565" s="122">
        <f>IF($D565="",0,IFERROR(LOOKUP(2,1/(($D$3:D564=$D565)*($A$3:A564&lt;$A565)),$N$3:N564),'Guide &amp; Settings'!$C$41))</f>
        <v>1096.181107698189</v>
      </c>
      <c r="I565" s="123">
        <f t="shared" si="162"/>
        <v>0.5</v>
      </c>
      <c r="J565" s="124">
        <f>IF($D565="",0,IF($F565&lt;2,0,IF($E565="Win",('Guide &amp; Settings'!$C$42/(($F565-1)*COUNTIFS($A$4:$A$1510,$A565,$E$4:$E$1510,"Win")))*SUMIFS($X$4:$X$1510,$A$4:$A$1510,$A565,$E$4:$E$1510,"Loss"),-('Guide &amp; Settings'!$C$42/($F565-1))*$X565)))</f>
        <v>15.757121516683091</v>
      </c>
      <c r="K565" s="124">
        <f>IF($D565="",0,'Guide &amp; Settings'!$C$43*(IF($E565="Win",1,0)-$I565))</f>
        <v>6</v>
      </c>
      <c r="L565" s="125">
        <f>IF($D565="",0,'Guide &amp; Settings'!$C$44*IF($F565&gt;=3,$F565,0))</f>
        <v>0</v>
      </c>
      <c r="M565" s="124">
        <f t="shared" si="163"/>
        <v>21.757121516683092</v>
      </c>
      <c r="N565" s="122">
        <f t="shared" si="164"/>
        <v>1117.9382292148721</v>
      </c>
      <c r="O565" s="121" t="str">
        <f t="shared" si="165"/>
        <v>OK</v>
      </c>
      <c r="P565">
        <f t="shared" si="166"/>
        <v>1096.181107698189</v>
      </c>
      <c r="Q565">
        <f t="shared" si="167"/>
        <v>0.5</v>
      </c>
      <c r="R565">
        <f t="shared" si="168"/>
        <v>0.45454545454545453</v>
      </c>
      <c r="S565">
        <f t="shared" si="169"/>
        <v>0.90909090909090906</v>
      </c>
      <c r="T565" s="89">
        <f t="shared" si="170"/>
        <v>9</v>
      </c>
      <c r="U565" s="126">
        <f>IF($D565="",0,IFERROR(LOOKUP(2,1/(($D$3:D564=$D565)*($C$3:C564=$C565)*($A$3:A564&lt;$A565)),$AB$3:AB564),1000))</f>
        <v>1000.2353336759772</v>
      </c>
      <c r="V565" s="126">
        <f t="shared" si="171"/>
        <v>1034.5016815410527</v>
      </c>
      <c r="W565">
        <f t="shared" si="172"/>
        <v>1034.5016815410527</v>
      </c>
      <c r="X565">
        <f t="shared" si="173"/>
        <v>0.5</v>
      </c>
      <c r="Y565">
        <f t="shared" si="174"/>
        <v>1000.2353336759772</v>
      </c>
      <c r="Z565">
        <f t="shared" si="175"/>
        <v>0.5</v>
      </c>
      <c r="AA565">
        <f>IF($D565="",0,IF($F565&lt;2,0,IF($E565="Win",('Guide &amp; Settings'!$C$42/(($F565-1)*COUNTIFS($A$4:$A$1510,$A565,$E$4:$E$1510,"Win")))*SUMIFS($Z$4:$Z$1510,$A$4:$A$1510,$A565,$E$4:$E$1510,"Loss"),-('Guide &amp; Settings'!$C$42/($F565-1))*$Z565)))</f>
        <v>14.794461121728117</v>
      </c>
      <c r="AB565" s="126">
        <f t="shared" si="176"/>
        <v>1015.0297947977053</v>
      </c>
      <c r="AC565" s="126">
        <f>IF($D565="","",IF($AD565=0,0,IF(COUNTIFS($D$4:$D565,$D565,$B$4:$B565,$B565)&gt;1,0,IF($B565&lt;'Guide &amp; Settings'!$C$50,0,IF(($B565-$AD565)/7-'Guide &amp; Settings'!$C$48&gt;=0,(INT(($B565-$AD565)/7-'Guide &amp; Settings'!$C$48)+1)*'Guide &amp; Settings'!$C$49,0)))))</f>
        <v>0</v>
      </c>
      <c r="AD565" s="142">
        <f t="shared" si="177"/>
        <v>46255</v>
      </c>
      <c r="AE565">
        <f t="shared" si="178"/>
        <v>1</v>
      </c>
      <c r="AF565">
        <f t="shared" si="179"/>
        <v>0</v>
      </c>
    </row>
    <row r="566" spans="1:32" x14ac:dyDescent="0.2">
      <c r="A566" s="117">
        <v>243</v>
      </c>
      <c r="B566" s="118">
        <v>46256</v>
      </c>
      <c r="C566" s="119" t="s">
        <v>35</v>
      </c>
      <c r="D566" s="119" t="s">
        <v>15</v>
      </c>
      <c r="E566" s="117" t="s">
        <v>370</v>
      </c>
      <c r="F566" s="120">
        <f t="shared" si="160"/>
        <v>2</v>
      </c>
      <c r="G566" s="121" t="str">
        <f t="shared" si="161"/>
        <v>Aaron</v>
      </c>
      <c r="H566" s="122">
        <f>IF($D566="",0,IFERROR(LOOKUP(2,1/(($D$3:D565=$D566)*($A$3:A565&lt;$A566)),$N$3:N565),'Guide &amp; Settings'!$C$41))</f>
        <v>1125.0258579056335</v>
      </c>
      <c r="I566" s="123">
        <f t="shared" si="162"/>
        <v>0.58823529411764697</v>
      </c>
      <c r="J566" s="124">
        <f>IF($D566="",0,IF($F566&lt;2,0,IF($E566="Win",('Guide &amp; Settings'!$C$42/(($F566-1)*COUNTIFS($A$4:$A$1510,$A566,$E$4:$E$1510,"Win")))*SUMIFS($X$4:$X$1510,$A$4:$A$1510,$A566,$E$4:$E$1510,"Loss"),-('Guide &amp; Settings'!$C$42/($F566-1))*$X566)))</f>
        <v>14.174596996005729</v>
      </c>
      <c r="K566" s="124">
        <f>IF($D566="",0,'Guide &amp; Settings'!$C$43*(IF($E566="Win",1,0)-$I566))</f>
        <v>4.9411764705882364</v>
      </c>
      <c r="L566" s="125">
        <f>IF($D566="",0,'Guide &amp; Settings'!$C$44*IF($F566&gt;=3,$F566,0))</f>
        <v>0</v>
      </c>
      <c r="M566" s="124">
        <f t="shared" si="163"/>
        <v>19.115773466593964</v>
      </c>
      <c r="N566" s="122">
        <f t="shared" si="164"/>
        <v>1144.1416313722275</v>
      </c>
      <c r="O566" s="121" t="str">
        <f t="shared" si="165"/>
        <v>OK</v>
      </c>
      <c r="P566">
        <f t="shared" si="166"/>
        <v>1125.0258579056335</v>
      </c>
      <c r="Q566">
        <f t="shared" si="167"/>
        <v>0.5</v>
      </c>
      <c r="R566">
        <f t="shared" si="168"/>
        <v>0.7142857142857143</v>
      </c>
      <c r="S566">
        <f t="shared" si="169"/>
        <v>1.2142857142857144</v>
      </c>
      <c r="T566" s="89">
        <f t="shared" si="170"/>
        <v>12</v>
      </c>
      <c r="U566" s="126">
        <f>IF($D566="",0,IFERROR(LOOKUP(2,1/(($D$3:D565=$D566)*($C$3:C565=$C566)*($A$3:A565&lt;$A566)),$AB$3:AB565),1000))</f>
        <v>1074.1933125090914</v>
      </c>
      <c r="V566" s="126">
        <f t="shared" si="171"/>
        <v>1089.1440611551332</v>
      </c>
      <c r="W566">
        <f t="shared" si="172"/>
        <v>1089.1440611551332</v>
      </c>
      <c r="X566">
        <f t="shared" si="173"/>
        <v>0.5</v>
      </c>
      <c r="Y566">
        <f t="shared" si="174"/>
        <v>1074.1933125090914</v>
      </c>
      <c r="Z566">
        <f t="shared" si="175"/>
        <v>0.5</v>
      </c>
      <c r="AA566">
        <f>IF($D566="",0,IF($F566&lt;2,0,IF($E566="Win",('Guide &amp; Settings'!$C$42/(($F566-1)*COUNTIFS($A$4:$A$1510,$A566,$E$4:$E$1510,"Win")))*SUMIFS($Z$4:$Z$1510,$A$4:$A$1510,$A566,$E$4:$E$1510,"Loss"),-('Guide &amp; Settings'!$C$42/($F566-1))*$Z566)))</f>
        <v>13.301452674317622</v>
      </c>
      <c r="AB566" s="126">
        <f t="shared" si="176"/>
        <v>1087.4947651834091</v>
      </c>
      <c r="AC566" s="126">
        <f>IF($D566="","",IF($AD566=0,0,IF(COUNTIFS($D$4:$D566,$D566,$B$4:$B566,$B566)&gt;1,0,IF($B566&lt;'Guide &amp; Settings'!$C$50,0,IF(($B566-$AD566)/7-'Guide &amp; Settings'!$C$48&gt;=0,(INT(($B566-$AD566)/7-'Guide &amp; Settings'!$C$48)+1)*'Guide &amp; Settings'!$C$49,0)))))</f>
        <v>0</v>
      </c>
      <c r="AD566" s="142">
        <f t="shared" si="177"/>
        <v>46255</v>
      </c>
      <c r="AE566">
        <f t="shared" si="178"/>
        <v>1</v>
      </c>
      <c r="AF566">
        <f t="shared" si="179"/>
        <v>0</v>
      </c>
    </row>
    <row r="567" spans="1:32" x14ac:dyDescent="0.2">
      <c r="A567" s="117">
        <v>243</v>
      </c>
      <c r="B567" s="118">
        <v>46256</v>
      </c>
      <c r="C567" s="119" t="s">
        <v>35</v>
      </c>
      <c r="D567" s="119" t="s">
        <v>22</v>
      </c>
      <c r="E567" s="117" t="s">
        <v>371</v>
      </c>
      <c r="F567" s="120">
        <f t="shared" si="160"/>
        <v>2</v>
      </c>
      <c r="G567" s="121" t="str">
        <f t="shared" si="161"/>
        <v>Aaron</v>
      </c>
      <c r="H567" s="122">
        <f>IF($D567="",0,IFERROR(LOOKUP(2,1/(($D$3:D566=$D567)*($A$3:A566&lt;$A567)),$N$3:N566),'Guide &amp; Settings'!$C$41))</f>
        <v>1117.9382292148721</v>
      </c>
      <c r="I567" s="123">
        <f t="shared" si="162"/>
        <v>0.41176470588235292</v>
      </c>
      <c r="J567" s="124">
        <f>IF($D567="",0,IF($F567&lt;2,0,IF($E567="Win",('Guide &amp; Settings'!$C$42/(($F567-1)*COUNTIFS($A$4:$A$1510,$A567,$E$4:$E$1510,"Win")))*SUMIFS($X$4:$X$1510,$A$4:$A$1510,$A567,$E$4:$E$1510,"Loss"),-('Guide &amp; Settings'!$C$42/($F567-1))*$X567)))</f>
        <v>-14.174596996005729</v>
      </c>
      <c r="K567" s="124">
        <f>IF($D567="",0,'Guide &amp; Settings'!$C$43*(IF($E567="Win",1,0)-$I567))</f>
        <v>-4.9411764705882355</v>
      </c>
      <c r="L567" s="125">
        <f>IF($D567="",0,'Guide &amp; Settings'!$C$44*IF($F567&gt;=3,$F567,0))</f>
        <v>0</v>
      </c>
      <c r="M567" s="124">
        <f t="shared" si="163"/>
        <v>-19.115773466593964</v>
      </c>
      <c r="N567" s="122">
        <f t="shared" si="164"/>
        <v>1098.8224557482781</v>
      </c>
      <c r="O567" s="121" t="str">
        <f t="shared" si="165"/>
        <v>OK</v>
      </c>
      <c r="P567">
        <f t="shared" si="166"/>
        <v>1125.0258579056335</v>
      </c>
      <c r="Q567">
        <f t="shared" si="167"/>
        <v>0.48980149706920756</v>
      </c>
      <c r="R567">
        <f t="shared" si="168"/>
        <v>0.5</v>
      </c>
      <c r="S567">
        <f t="shared" si="169"/>
        <v>1.2142857142857144</v>
      </c>
      <c r="T567" s="89">
        <f t="shared" si="170"/>
        <v>10</v>
      </c>
      <c r="U567" s="126">
        <f>IF($D567="",0,IFERROR(LOOKUP(2,1/(($D$3:D566=$D567)*($C$3:C566=$C567)*($A$3:A566&lt;$A567)),$AB$3:AB566),1000))</f>
        <v>1015.0297947977053</v>
      </c>
      <c r="V567" s="126">
        <f t="shared" si="171"/>
        <v>1049.3326062700944</v>
      </c>
      <c r="W567">
        <f t="shared" si="172"/>
        <v>1089.1440611551332</v>
      </c>
      <c r="X567">
        <f t="shared" si="173"/>
        <v>0.44295615612517902</v>
      </c>
      <c r="Y567">
        <f t="shared" si="174"/>
        <v>1074.1933125090914</v>
      </c>
      <c r="Z567">
        <f t="shared" si="175"/>
        <v>0.41567039607242567</v>
      </c>
      <c r="AA567">
        <f>IF($D567="",0,IF($F567&lt;2,0,IF($E567="Win",('Guide &amp; Settings'!$C$42/(($F567-1)*COUNTIFS($A$4:$A$1510,$A567,$E$4:$E$1510,"Win")))*SUMIFS($Z$4:$Z$1510,$A$4:$A$1510,$A567,$E$4:$E$1510,"Loss"),-('Guide &amp; Settings'!$C$42/($F567-1))*$Z567)))</f>
        <v>-13.301452674317622</v>
      </c>
      <c r="AB567" s="126">
        <f t="shared" si="176"/>
        <v>1001.7283421233877</v>
      </c>
      <c r="AC567" s="126">
        <f>IF($D567="","",IF($AD567=0,0,IF(COUNTIFS($D$4:$D567,$D567,$B$4:$B567,$B567)&gt;1,0,IF($B567&lt;'Guide &amp; Settings'!$C$50,0,IF(($B567-$AD567)/7-'Guide &amp; Settings'!$C$48&gt;=0,(INT(($B567-$AD567)/7-'Guide &amp; Settings'!$C$48)+1)*'Guide &amp; Settings'!$C$49,0)))))</f>
        <v>0</v>
      </c>
      <c r="AD567" s="142">
        <f t="shared" si="177"/>
        <v>46255</v>
      </c>
      <c r="AE567">
        <f t="shared" si="178"/>
        <v>1</v>
      </c>
      <c r="AF567">
        <f t="shared" si="179"/>
        <v>0</v>
      </c>
    </row>
    <row r="568" spans="1:32" x14ac:dyDescent="0.2">
      <c r="A568" s="117">
        <v>244</v>
      </c>
      <c r="B568" s="118">
        <v>46256</v>
      </c>
      <c r="C568" s="119" t="s">
        <v>35</v>
      </c>
      <c r="D568" s="119" t="s">
        <v>15</v>
      </c>
      <c r="E568" s="117" t="s">
        <v>370</v>
      </c>
      <c r="F568" s="120">
        <f t="shared" si="160"/>
        <v>2</v>
      </c>
      <c r="G568" s="121" t="str">
        <f t="shared" si="161"/>
        <v>Aaron</v>
      </c>
      <c r="H568" s="122">
        <f>IF($D568="",0,IFERROR(LOOKUP(2,1/(($D$3:D567=$D568)*($A$3:A567&lt;$A568)),$N$3:N567),'Guide &amp; Settings'!$C$41))</f>
        <v>1144.1416313722275</v>
      </c>
      <c r="I568" s="123">
        <f t="shared" si="162"/>
        <v>0.64705882352941169</v>
      </c>
      <c r="J568" s="124">
        <f>IF($D568="",0,IF($F568&lt;2,0,IF($E568="Win",('Guide &amp; Settings'!$C$42/(($F568-1)*COUNTIFS($A$4:$A$1510,$A568,$E$4:$E$1510,"Win")))*SUMIFS($X$4:$X$1510,$A$4:$A$1510,$A568,$E$4:$E$1510,"Loss"),-('Guide &amp; Settings'!$C$42/($F568-1))*$X568)))</f>
        <v>12.567612123049196</v>
      </c>
      <c r="K568" s="124">
        <f>IF($D568="",0,'Guide &amp; Settings'!$C$43*(IF($E568="Win",1,0)-$I568))</f>
        <v>4.2352941176470598</v>
      </c>
      <c r="L568" s="125">
        <f>IF($D568="",0,'Guide &amp; Settings'!$C$44*IF($F568&gt;=3,$F568,0))</f>
        <v>0</v>
      </c>
      <c r="M568" s="124">
        <f t="shared" si="163"/>
        <v>16.802906240696256</v>
      </c>
      <c r="N568" s="122">
        <f t="shared" si="164"/>
        <v>1160.9445376129238</v>
      </c>
      <c r="O568" s="121" t="str">
        <f t="shared" si="165"/>
        <v>OK</v>
      </c>
      <c r="P568">
        <f t="shared" si="166"/>
        <v>1144.1416313722275</v>
      </c>
      <c r="Q568">
        <f t="shared" si="167"/>
        <v>0.5</v>
      </c>
      <c r="R568">
        <f t="shared" si="168"/>
        <v>0.73333333333333328</v>
      </c>
      <c r="S568">
        <f t="shared" si="169"/>
        <v>1.1333333333333333</v>
      </c>
      <c r="T568" s="89">
        <f t="shared" si="170"/>
        <v>13</v>
      </c>
      <c r="U568" s="126">
        <f>IF($D568="",0,IFERROR(LOOKUP(2,1/(($D$3:D567=$D568)*($C$3:C567=$C568)*($A$3:A567&lt;$A568)),$AB$3:AB567),1000))</f>
        <v>1087.4947651834091</v>
      </c>
      <c r="V568" s="126">
        <f t="shared" si="171"/>
        <v>1103.2300057914142</v>
      </c>
      <c r="W568">
        <f t="shared" si="172"/>
        <v>1103.2300057914142</v>
      </c>
      <c r="X568">
        <f t="shared" si="173"/>
        <v>0.5</v>
      </c>
      <c r="Y568">
        <f t="shared" si="174"/>
        <v>1087.4947651834091</v>
      </c>
      <c r="Z568">
        <f t="shared" si="175"/>
        <v>0.5</v>
      </c>
      <c r="AA568">
        <f>IF($D568="",0,IF($F568&lt;2,0,IF($E568="Win",('Guide &amp; Settings'!$C$42/(($F568-1)*COUNTIFS($A$4:$A$1510,$A568,$E$4:$E$1510,"Win")))*SUMIFS($Z$4:$Z$1510,$A$4:$A$1510,$A568,$E$4:$E$1510,"Loss"),-('Guide &amp; Settings'!$C$42/($F568-1))*$Z568)))</f>
        <v>11.320599784918011</v>
      </c>
      <c r="AB568" s="126">
        <f t="shared" si="176"/>
        <v>1098.815364968327</v>
      </c>
      <c r="AC568" s="126">
        <f>IF($D568="","",IF($AD568=0,0,IF(COUNTIFS($D$4:$D568,$D568,$B$4:$B568,$B568)&gt;1,0,IF($B568&lt;'Guide &amp; Settings'!$C$50,0,IF(($B568-$AD568)/7-'Guide &amp; Settings'!$C$48&gt;=0,(INT(($B568-$AD568)/7-'Guide &amp; Settings'!$C$48)+1)*'Guide &amp; Settings'!$C$49,0)))))</f>
        <v>0</v>
      </c>
      <c r="AD568" s="142">
        <f t="shared" si="177"/>
        <v>46255</v>
      </c>
      <c r="AE568">
        <f t="shared" si="178"/>
        <v>1</v>
      </c>
      <c r="AF568">
        <f t="shared" si="179"/>
        <v>0</v>
      </c>
    </row>
    <row r="569" spans="1:32" x14ac:dyDescent="0.2">
      <c r="A569" s="117">
        <v>244</v>
      </c>
      <c r="B569" s="118">
        <v>46256</v>
      </c>
      <c r="C569" s="119" t="s">
        <v>35</v>
      </c>
      <c r="D569" s="119" t="s">
        <v>25</v>
      </c>
      <c r="E569" s="117" t="s">
        <v>371</v>
      </c>
      <c r="F569" s="120">
        <f t="shared" si="160"/>
        <v>2</v>
      </c>
      <c r="G569" s="121" t="str">
        <f t="shared" si="161"/>
        <v>Aaron</v>
      </c>
      <c r="H569" s="122">
        <f>IF($D569="",0,IFERROR(LOOKUP(2,1/(($D$3:D568=$D569)*($A$3:A568&lt;$A569)),$N$3:N568),'Guide &amp; Settings'!$C$41))</f>
        <v>1054.3366131438215</v>
      </c>
      <c r="I569" s="123">
        <f t="shared" si="162"/>
        <v>0.35294117647058826</v>
      </c>
      <c r="J569" s="124">
        <f>IF($D569="",0,IF($F569&lt;2,0,IF($E569="Win",('Guide &amp; Settings'!$C$42/(($F569-1)*COUNTIFS($A$4:$A$1510,$A569,$E$4:$E$1510,"Win")))*SUMIFS($X$4:$X$1510,$A$4:$A$1510,$A569,$E$4:$E$1510,"Loss"),-('Guide &amp; Settings'!$C$42/($F569-1))*$X569)))</f>
        <v>-12.567612123049196</v>
      </c>
      <c r="K569" s="124">
        <f>IF($D569="",0,'Guide &amp; Settings'!$C$43*(IF($E569="Win",1,0)-$I569))</f>
        <v>-4.2352941176470589</v>
      </c>
      <c r="L569" s="125">
        <f>IF($D569="",0,'Guide &amp; Settings'!$C$44*IF($F569&gt;=3,$F569,0))</f>
        <v>0</v>
      </c>
      <c r="M569" s="124">
        <f t="shared" si="163"/>
        <v>-16.802906240696256</v>
      </c>
      <c r="N569" s="122">
        <f t="shared" si="164"/>
        <v>1037.5337069031252</v>
      </c>
      <c r="O569" s="121" t="str">
        <f t="shared" si="165"/>
        <v>OK</v>
      </c>
      <c r="P569">
        <f t="shared" si="166"/>
        <v>1144.1416313722275</v>
      </c>
      <c r="Q569">
        <f t="shared" si="167"/>
        <v>0.37356353939020859</v>
      </c>
      <c r="R569">
        <f t="shared" si="168"/>
        <v>0.4</v>
      </c>
      <c r="S569">
        <f t="shared" si="169"/>
        <v>1.1333333333333333</v>
      </c>
      <c r="T569" s="89">
        <f t="shared" si="170"/>
        <v>3</v>
      </c>
      <c r="U569" s="126">
        <f>IF($D569="",0,IFERROR(LOOKUP(2,1/(($D$3:D568=$D569)*($C$3:C568=$C569)*($A$3:A568&lt;$A569)),$AB$3:AB568),1000))</f>
        <v>982.82736470228917</v>
      </c>
      <c r="V569" s="126">
        <f t="shared" si="171"/>
        <v>1027.5206449782468</v>
      </c>
      <c r="W569">
        <f t="shared" si="172"/>
        <v>1103.2300057914142</v>
      </c>
      <c r="X569">
        <f t="shared" si="173"/>
        <v>0.39273787884528738</v>
      </c>
      <c r="Y569">
        <f t="shared" si="174"/>
        <v>1087.4947651834091</v>
      </c>
      <c r="Z569">
        <f t="shared" si="175"/>
        <v>0.35376874327868785</v>
      </c>
      <c r="AA569">
        <f>IF($D569="",0,IF($F569&lt;2,0,IF($E569="Win",('Guide &amp; Settings'!$C$42/(($F569-1)*COUNTIFS($A$4:$A$1510,$A569,$E$4:$E$1510,"Win")))*SUMIFS($Z$4:$Z$1510,$A$4:$A$1510,$A569,$E$4:$E$1510,"Loss"),-('Guide &amp; Settings'!$C$42/($F569-1))*$Z569)))</f>
        <v>-11.320599784918011</v>
      </c>
      <c r="AB569" s="126">
        <f t="shared" si="176"/>
        <v>971.50676491737113</v>
      </c>
      <c r="AC569" s="126">
        <f>IF($D569="","",IF($AD569=0,0,IF(COUNTIFS($D$4:$D569,$D569,$B$4:$B569,$B569)&gt;1,0,IF($B569&lt;'Guide &amp; Settings'!$C$50,0,IF(($B569-$AD569)/7-'Guide &amp; Settings'!$C$48&gt;=0,(INT(($B569-$AD569)/7-'Guide &amp; Settings'!$C$48)+1)*'Guide &amp; Settings'!$C$49,0)))))</f>
        <v>0</v>
      </c>
      <c r="AD569" s="142">
        <f t="shared" si="177"/>
        <v>46243</v>
      </c>
      <c r="AE569">
        <f t="shared" si="178"/>
        <v>1</v>
      </c>
      <c r="AF569">
        <f t="shared" si="179"/>
        <v>0</v>
      </c>
    </row>
    <row r="570" spans="1:32" x14ac:dyDescent="0.2">
      <c r="A570" s="117">
        <v>245</v>
      </c>
      <c r="B570" s="118">
        <v>46256</v>
      </c>
      <c r="C570" s="119" t="s">
        <v>51</v>
      </c>
      <c r="D570" s="119" t="s">
        <v>20</v>
      </c>
      <c r="E570" s="117" t="s">
        <v>370</v>
      </c>
      <c r="F570" s="120">
        <f t="shared" si="160"/>
        <v>4</v>
      </c>
      <c r="G570" s="121" t="str">
        <f t="shared" si="161"/>
        <v>Shawn</v>
      </c>
      <c r="H570" s="122">
        <f>IF($D570="",0,IFERROR(LOOKUP(2,1/(($D$3:D569=$D570)*($A$3:A569&lt;$A570)),$N$3:N569),'Guide &amp; Settings'!$C$41))</f>
        <v>1228.3483348720479</v>
      </c>
      <c r="I570" s="123">
        <f t="shared" si="162"/>
        <v>0.42857142857142855</v>
      </c>
      <c r="J570" s="124">
        <f>IF($D570="",0,IF($F570&lt;2,0,IF($E570="Win",('Guide &amp; Settings'!$C$42/(($F570-1)*COUNTIFS($A$4:$A$1510,$A570,$E$4:$E$1510,"Win")))*SUMIFS($X$4:$X$1510,$A$4:$A$1510,$A570,$E$4:$E$1510,"Loss"),-('Guide &amp; Settings'!$C$42/($F570-1))*$X570)))</f>
        <v>11.566965019046258</v>
      </c>
      <c r="K570" s="124">
        <f>IF($D570="",0,'Guide &amp; Settings'!$C$43*(IF($E570="Win",1,0)-$I570))</f>
        <v>6.8571428571428568</v>
      </c>
      <c r="L570" s="125">
        <f>IF($D570="",0,'Guide &amp; Settings'!$C$44*IF($F570&gt;=3,$F570,0))</f>
        <v>4</v>
      </c>
      <c r="M570" s="124">
        <f t="shared" si="163"/>
        <v>22.424107876189115</v>
      </c>
      <c r="N570" s="122">
        <f t="shared" si="164"/>
        <v>1250.7724427482369</v>
      </c>
      <c r="O570" s="121" t="str">
        <f t="shared" si="165"/>
        <v>OK</v>
      </c>
      <c r="P570">
        <f t="shared" si="166"/>
        <v>1228.3483348720479</v>
      </c>
      <c r="Q570">
        <f t="shared" si="167"/>
        <v>0.5</v>
      </c>
      <c r="R570">
        <f t="shared" si="168"/>
        <v>0.75</v>
      </c>
      <c r="S570">
        <f t="shared" si="169"/>
        <v>1.75</v>
      </c>
      <c r="T570" s="89">
        <f t="shared" si="170"/>
        <v>2</v>
      </c>
      <c r="U570" s="126">
        <f>IF($D570="",0,IFERROR(LOOKUP(2,1/(($D$3:D569=$D570)*($C$3:C569=$C570)*($A$3:A569&lt;$A570)),$AB$3:AB569),1000))</f>
        <v>1031.0187965076013</v>
      </c>
      <c r="V570" s="126">
        <f t="shared" si="171"/>
        <v>1171.9684667679203</v>
      </c>
      <c r="W570">
        <f t="shared" si="172"/>
        <v>1171.9684667679203</v>
      </c>
      <c r="X570">
        <f t="shared" si="173"/>
        <v>0.5</v>
      </c>
      <c r="Y570">
        <f t="shared" si="174"/>
        <v>1031.0187965076013</v>
      </c>
      <c r="Z570">
        <f t="shared" si="175"/>
        <v>0.5</v>
      </c>
      <c r="AA570">
        <f>IF($D570="",0,IF($F570&lt;2,0,IF($E570="Win",('Guide &amp; Settings'!$C$42/(($F570-1)*COUNTIFS($A$4:$A$1510,$A570,$E$4:$E$1510,"Win")))*SUMIFS($Z$4:$Z$1510,$A$4:$A$1510,$A570,$E$4:$E$1510,"Loss"),-('Guide &amp; Settings'!$C$42/($F570-1))*$Z570)))</f>
        <v>14.261319081460295</v>
      </c>
      <c r="AB570" s="126">
        <f t="shared" si="176"/>
        <v>1045.2801155890616</v>
      </c>
      <c r="AC570" s="126">
        <f>IF($D570="","",IF($AD570=0,0,IF(COUNTIFS($D$4:$D570,$D570,$B$4:$B570,$B570)&gt;1,0,IF($B570&lt;'Guide &amp; Settings'!$C$50,0,IF(($B570-$AD570)/7-'Guide &amp; Settings'!$C$48&gt;=0,(INT(($B570-$AD570)/7-'Guide &amp; Settings'!$C$48)+1)*'Guide &amp; Settings'!$C$49,0)))))</f>
        <v>0</v>
      </c>
      <c r="AD570" s="142">
        <f t="shared" si="177"/>
        <v>46255</v>
      </c>
      <c r="AE570">
        <f t="shared" si="178"/>
        <v>1</v>
      </c>
      <c r="AF570">
        <f t="shared" si="179"/>
        <v>0</v>
      </c>
    </row>
    <row r="571" spans="1:32" x14ac:dyDescent="0.2">
      <c r="A571" s="117">
        <v>245</v>
      </c>
      <c r="B571" s="118">
        <v>46256</v>
      </c>
      <c r="C571" s="119" t="s">
        <v>51</v>
      </c>
      <c r="D571" s="119" t="s">
        <v>25</v>
      </c>
      <c r="E571" s="117" t="s">
        <v>371</v>
      </c>
      <c r="F571" s="120">
        <f t="shared" si="160"/>
        <v>4</v>
      </c>
      <c r="G571" s="121" t="str">
        <f t="shared" si="161"/>
        <v>Shawn</v>
      </c>
      <c r="H571" s="122">
        <f>IF($D571="",0,IFERROR(LOOKUP(2,1/(($D$3:D570=$D571)*($A$3:A570&lt;$A571)),$N$3:N570),'Guide &amp; Settings'!$C$41))</f>
        <v>1037.5337069031252</v>
      </c>
      <c r="I571" s="123">
        <f t="shared" si="162"/>
        <v>0.2857142857142857</v>
      </c>
      <c r="J571" s="124">
        <f>IF($D571="",0,IF($F571&lt;2,0,IF($E571="Win",('Guide &amp; Settings'!$C$42/(($F571-1)*COUNTIFS($A$4:$A$1510,$A571,$E$4:$E$1510,"Win")))*SUMIFS($X$4:$X$1510,$A$4:$A$1510,$A571,$E$4:$E$1510,"Loss"),-('Guide &amp; Settings'!$C$42/($F571-1))*$X571)))</f>
        <v>-3.3668568189141874</v>
      </c>
      <c r="K571" s="124">
        <f>IF($D571="",0,'Guide &amp; Settings'!$C$43*(IF($E571="Win",1,0)-$I571))</f>
        <v>-3.4285714285714284</v>
      </c>
      <c r="L571" s="125">
        <f>IF($D571="",0,'Guide &amp; Settings'!$C$44*IF($F571&gt;=3,$F571,0))</f>
        <v>4</v>
      </c>
      <c r="M571" s="124">
        <f t="shared" si="163"/>
        <v>-2.7954282474856154</v>
      </c>
      <c r="N571" s="122">
        <f t="shared" si="164"/>
        <v>1034.7382786556395</v>
      </c>
      <c r="O571" s="121" t="str">
        <f t="shared" si="165"/>
        <v>OK</v>
      </c>
      <c r="P571">
        <f t="shared" si="166"/>
        <v>1228.3483348720479</v>
      </c>
      <c r="Q571">
        <f t="shared" si="167"/>
        <v>0.25003656314828132</v>
      </c>
      <c r="R571">
        <f t="shared" si="168"/>
        <v>0.5</v>
      </c>
      <c r="S571">
        <f t="shared" si="169"/>
        <v>1.75</v>
      </c>
      <c r="T571" s="89">
        <f t="shared" si="170"/>
        <v>0</v>
      </c>
      <c r="U571" s="126">
        <f>IF($D571="",0,IFERROR(LOOKUP(2,1/(($D$3:D570=$D571)*($C$3:C570=$C571)*($A$3:A570&lt;$A571)),$AB$3:AB570),1000))</f>
        <v>1000</v>
      </c>
      <c r="V571" s="126">
        <f t="shared" si="171"/>
        <v>1037.5337069031252</v>
      </c>
      <c r="W571">
        <f t="shared" si="172"/>
        <v>1171.9684667679203</v>
      </c>
      <c r="X571">
        <f t="shared" si="173"/>
        <v>0.3156428267732051</v>
      </c>
      <c r="Y571">
        <f t="shared" si="174"/>
        <v>1031.0187965076013</v>
      </c>
      <c r="Z571">
        <f t="shared" si="175"/>
        <v>0.4554785909108956</v>
      </c>
      <c r="AA571">
        <f>IF($D571="",0,IF($F571&lt;2,0,IF($E571="Win",('Guide &amp; Settings'!$C$42/(($F571-1)*COUNTIFS($A$4:$A$1510,$A571,$E$4:$E$1510,"Win")))*SUMIFS($Z$4:$Z$1510,$A$4:$A$1510,$A571,$E$4:$E$1510,"Loss"),-('Guide &amp; Settings'!$C$42/($F571-1))*$Z571)))</f>
        <v>-4.858438303049553</v>
      </c>
      <c r="AB571" s="126">
        <f t="shared" si="176"/>
        <v>995.14156169695048</v>
      </c>
      <c r="AC571" s="126">
        <f>IF($D571="","",IF($AD571=0,0,IF(COUNTIFS($D$4:$D571,$D571,$B$4:$B571,$B571)&gt;1,0,IF($B571&lt;'Guide &amp; Settings'!$C$50,0,IF(($B571-$AD571)/7-'Guide &amp; Settings'!$C$48&gt;=0,(INT(($B571-$AD571)/7-'Guide &amp; Settings'!$C$48)+1)*'Guide &amp; Settings'!$C$49,0)))))</f>
        <v>0</v>
      </c>
      <c r="AD571" s="142">
        <f t="shared" si="177"/>
        <v>46243</v>
      </c>
      <c r="AE571">
        <f t="shared" si="178"/>
        <v>1</v>
      </c>
      <c r="AF571">
        <f t="shared" si="179"/>
        <v>0</v>
      </c>
    </row>
    <row r="572" spans="1:32" x14ac:dyDescent="0.2">
      <c r="A572" s="117">
        <v>245</v>
      </c>
      <c r="B572" s="118">
        <v>46256</v>
      </c>
      <c r="C572" s="119" t="s">
        <v>51</v>
      </c>
      <c r="D572" s="119" t="s">
        <v>15</v>
      </c>
      <c r="E572" s="117" t="s">
        <v>371</v>
      </c>
      <c r="F572" s="120">
        <f t="shared" si="160"/>
        <v>4</v>
      </c>
      <c r="G572" s="121" t="str">
        <f t="shared" si="161"/>
        <v>Shawn</v>
      </c>
      <c r="H572" s="122">
        <f>IF($D572="",0,IFERROR(LOOKUP(2,1/(($D$3:D571=$D572)*($A$3:A571&lt;$A572)),$N$3:N571),'Guide &amp; Settings'!$C$41))</f>
        <v>1160.9445376129238</v>
      </c>
      <c r="I572" s="123">
        <f t="shared" si="162"/>
        <v>0.14285714285714285</v>
      </c>
      <c r="J572" s="124">
        <f>IF($D572="",0,IF($F572&lt;2,0,IF($E572="Win",('Guide &amp; Settings'!$C$42/(($F572-1)*COUNTIFS($A$4:$A$1510,$A572,$E$4:$E$1510,"Win")))*SUMIFS($X$4:$X$1510,$A$4:$A$1510,$A572,$E$4:$E$1510,"Loss"),-('Guide &amp; Settings'!$C$42/($F572-1))*$X572)))</f>
        <v>-4.4219099202569305</v>
      </c>
      <c r="K572" s="124">
        <f>IF($D572="",0,'Guide &amp; Settings'!$C$43*(IF($E572="Win",1,0)-$I572))</f>
        <v>-1.7142857142857142</v>
      </c>
      <c r="L572" s="125">
        <f>IF($D572="",0,'Guide &amp; Settings'!$C$44*IF($F572&gt;=3,$F572,0))</f>
        <v>4</v>
      </c>
      <c r="M572" s="124">
        <f t="shared" si="163"/>
        <v>-2.1361956345426449</v>
      </c>
      <c r="N572" s="122">
        <f t="shared" si="164"/>
        <v>1158.8083419783811</v>
      </c>
      <c r="O572" s="121" t="str">
        <f t="shared" si="165"/>
        <v>OK</v>
      </c>
      <c r="P572">
        <f t="shared" si="166"/>
        <v>1228.3483348720479</v>
      </c>
      <c r="Q572">
        <f t="shared" si="167"/>
        <v>0.40419705916736326</v>
      </c>
      <c r="R572">
        <f t="shared" si="168"/>
        <v>0.25</v>
      </c>
      <c r="S572">
        <f t="shared" si="169"/>
        <v>1.75</v>
      </c>
      <c r="T572" s="89">
        <f t="shared" si="170"/>
        <v>2</v>
      </c>
      <c r="U572" s="126">
        <f>IF($D572="",0,IFERROR(LOOKUP(2,1/(($D$3:D571=$D572)*($C$3:C571=$C572)*($A$3:A571&lt;$A572)),$AB$3:AB571),1000))</f>
        <v>989.66040116413285</v>
      </c>
      <c r="V572" s="126">
        <f t="shared" si="171"/>
        <v>1112.0062129132693</v>
      </c>
      <c r="W572">
        <f t="shared" si="172"/>
        <v>1171.9684667679203</v>
      </c>
      <c r="X572">
        <f t="shared" si="173"/>
        <v>0.41455405502408726</v>
      </c>
      <c r="Y572">
        <f t="shared" si="174"/>
        <v>1031.0187965076013</v>
      </c>
      <c r="Z572">
        <f t="shared" si="175"/>
        <v>0.44076003648800355</v>
      </c>
      <c r="AA572">
        <f>IF($D572="",0,IF($F572&lt;2,0,IF($E572="Win",('Guide &amp; Settings'!$C$42/(($F572-1)*COUNTIFS($A$4:$A$1510,$A572,$E$4:$E$1510,"Win")))*SUMIFS($Z$4:$Z$1510,$A$4:$A$1510,$A572,$E$4:$E$1510,"Loss"),-('Guide &amp; Settings'!$C$42/($F572-1))*$Z572)))</f>
        <v>-4.7014403892053709</v>
      </c>
      <c r="AB572" s="126">
        <f t="shared" si="176"/>
        <v>984.9589607749275</v>
      </c>
      <c r="AC572" s="126">
        <f>IF($D572="","",IF($AD572=0,0,IF(COUNTIFS($D$4:$D572,$D572,$B$4:$B572,$B572)&gt;1,0,IF($B572&lt;'Guide &amp; Settings'!$C$50,0,IF(($B572-$AD572)/7-'Guide &amp; Settings'!$C$48&gt;=0,(INT(($B572-$AD572)/7-'Guide &amp; Settings'!$C$48)+1)*'Guide &amp; Settings'!$C$49,0)))))</f>
        <v>0</v>
      </c>
      <c r="AD572" s="142">
        <f t="shared" si="177"/>
        <v>46255</v>
      </c>
      <c r="AE572">
        <f t="shared" si="178"/>
        <v>1</v>
      </c>
      <c r="AF572">
        <f t="shared" si="179"/>
        <v>0</v>
      </c>
    </row>
    <row r="573" spans="1:32" x14ac:dyDescent="0.2">
      <c r="A573" s="117">
        <v>245</v>
      </c>
      <c r="B573" s="118">
        <v>46256</v>
      </c>
      <c r="C573" s="119" t="s">
        <v>51</v>
      </c>
      <c r="D573" s="119" t="s">
        <v>22</v>
      </c>
      <c r="E573" s="117" t="s">
        <v>371</v>
      </c>
      <c r="F573" s="120">
        <f t="shared" si="160"/>
        <v>4</v>
      </c>
      <c r="G573" s="121" t="str">
        <f t="shared" si="161"/>
        <v>Shawn</v>
      </c>
      <c r="H573" s="122">
        <f>IF($D573="",0,IFERROR(LOOKUP(2,1/(($D$3:D572=$D573)*($A$3:A572&lt;$A573)),$N$3:N572),'Guide &amp; Settings'!$C$41))</f>
        <v>1098.8224557482781</v>
      </c>
      <c r="I573" s="123">
        <f t="shared" si="162"/>
        <v>0.14285714285714285</v>
      </c>
      <c r="J573" s="124">
        <f>IF($D573="",0,IF($F573&lt;2,0,IF($E573="Win",('Guide &amp; Settings'!$C$42/(($F573-1)*COUNTIFS($A$4:$A$1510,$A573,$E$4:$E$1510,"Win")))*SUMIFS($X$4:$X$1510,$A$4:$A$1510,$A573,$E$4:$E$1510,"Loss"),-('Guide &amp; Settings'!$C$42/($F573-1))*$X573)))</f>
        <v>-3.7781982798751388</v>
      </c>
      <c r="K573" s="124">
        <f>IF($D573="",0,'Guide &amp; Settings'!$C$43*(IF($E573="Win",1,0)-$I573))</f>
        <v>-1.7142857142857142</v>
      </c>
      <c r="L573" s="125">
        <f>IF($D573="",0,'Guide &amp; Settings'!$C$44*IF($F573&gt;=3,$F573,0))</f>
        <v>4</v>
      </c>
      <c r="M573" s="124">
        <f t="shared" si="163"/>
        <v>-1.4924839941608532</v>
      </c>
      <c r="N573" s="122">
        <f t="shared" si="164"/>
        <v>1097.3299717541172</v>
      </c>
      <c r="O573" s="121" t="str">
        <f t="shared" si="165"/>
        <v>OK</v>
      </c>
      <c r="P573">
        <f t="shared" si="166"/>
        <v>1228.3483348720479</v>
      </c>
      <c r="Q573">
        <f t="shared" si="167"/>
        <v>0.32177841576957722</v>
      </c>
      <c r="R573">
        <f t="shared" si="168"/>
        <v>0.25</v>
      </c>
      <c r="S573">
        <f t="shared" si="169"/>
        <v>1.75</v>
      </c>
      <c r="T573" s="89">
        <f t="shared" si="170"/>
        <v>2</v>
      </c>
      <c r="U573" s="126">
        <f>IF($D573="",0,IFERROR(LOOKUP(2,1/(($D$3:D572=$D573)*($C$3:C572=$C573)*($A$3:A572&lt;$A573)),$AB$3:AB572),1000))</f>
        <v>989.66040116413285</v>
      </c>
      <c r="V573" s="126">
        <f t="shared" si="171"/>
        <v>1067.6332972956652</v>
      </c>
      <c r="W573">
        <f t="shared" si="172"/>
        <v>1171.9684667679203</v>
      </c>
      <c r="X573">
        <f t="shared" si="173"/>
        <v>0.35420608873829429</v>
      </c>
      <c r="Y573">
        <f t="shared" si="174"/>
        <v>1031.0187965076013</v>
      </c>
      <c r="Z573">
        <f t="shared" si="175"/>
        <v>0.44076003648800355</v>
      </c>
      <c r="AA573">
        <f>IF($D573="",0,IF($F573&lt;2,0,IF($E573="Win",('Guide &amp; Settings'!$C$42/(($F573-1)*COUNTIFS($A$4:$A$1510,$A573,$E$4:$E$1510,"Win")))*SUMIFS($Z$4:$Z$1510,$A$4:$A$1510,$A573,$E$4:$E$1510,"Loss"),-('Guide &amp; Settings'!$C$42/($F573-1))*$Z573)))</f>
        <v>-4.7014403892053709</v>
      </c>
      <c r="AB573" s="126">
        <f t="shared" si="176"/>
        <v>984.9589607749275</v>
      </c>
      <c r="AC573" s="126">
        <f>IF($D573="","",IF($AD573=0,0,IF(COUNTIFS($D$4:$D573,$D573,$B$4:$B573,$B573)&gt;1,0,IF($B573&lt;'Guide &amp; Settings'!$C$50,0,IF(($B573-$AD573)/7-'Guide &amp; Settings'!$C$48&gt;=0,(INT(($B573-$AD573)/7-'Guide &amp; Settings'!$C$48)+1)*'Guide &amp; Settings'!$C$49,0)))))</f>
        <v>0</v>
      </c>
      <c r="AD573" s="142">
        <f t="shared" si="177"/>
        <v>46255</v>
      </c>
      <c r="AE573">
        <f t="shared" si="178"/>
        <v>1</v>
      </c>
      <c r="AF573">
        <f t="shared" si="179"/>
        <v>0</v>
      </c>
    </row>
    <row r="574" spans="1:32" x14ac:dyDescent="0.2">
      <c r="A574" s="117">
        <v>246</v>
      </c>
      <c r="B574" s="118">
        <v>46256</v>
      </c>
      <c r="C574" s="119" t="s">
        <v>34</v>
      </c>
      <c r="D574" s="119" t="s">
        <v>20</v>
      </c>
      <c r="E574" s="117" t="s">
        <v>370</v>
      </c>
      <c r="F574" s="120">
        <f t="shared" si="160"/>
        <v>4</v>
      </c>
      <c r="G574" s="121" t="str">
        <f t="shared" si="161"/>
        <v>Shawn</v>
      </c>
      <c r="H574" s="122">
        <f>IF($D574="",0,IFERROR(LOOKUP(2,1/(($D$3:D573=$D574)*($A$3:A573&lt;$A574)),$N$3:N573),'Guide &amp; Settings'!$C$41))</f>
        <v>1250.7724427482369</v>
      </c>
      <c r="I574" s="123">
        <f t="shared" si="162"/>
        <v>0.25925925925925924</v>
      </c>
      <c r="J574" s="124">
        <f>IF($D574="",0,IF($F574&lt;2,0,IF($E574="Win",('Guide &amp; Settings'!$C$42/(($F574-1)*COUNTIFS($A$4:$A$1510,$A574,$E$4:$E$1510,"Win")))*SUMIFS($X$4:$X$1510,$A$4:$A$1510,$A574,$E$4:$E$1510,"Loss"),-('Guide &amp; Settings'!$C$42/($F574-1))*$X574)))</f>
        <v>12.288082969943488</v>
      </c>
      <c r="K574" s="124">
        <f>IF($D574="",0,'Guide &amp; Settings'!$C$43*(IF($E574="Win",1,0)-$I574))</f>
        <v>8.8888888888888893</v>
      </c>
      <c r="L574" s="125">
        <f>IF($D574="",0,'Guide &amp; Settings'!$C$44*IF($F574&gt;=3,$F574,0))</f>
        <v>4</v>
      </c>
      <c r="M574" s="124">
        <f t="shared" si="163"/>
        <v>25.176971858832378</v>
      </c>
      <c r="N574" s="122">
        <f t="shared" si="164"/>
        <v>1275.9494146070692</v>
      </c>
      <c r="O574" s="121" t="str">
        <f t="shared" si="165"/>
        <v>OK</v>
      </c>
      <c r="P574">
        <f t="shared" si="166"/>
        <v>1250.7724427482369</v>
      </c>
      <c r="Q574">
        <f t="shared" si="167"/>
        <v>0.5</v>
      </c>
      <c r="R574">
        <f t="shared" si="168"/>
        <v>0.5</v>
      </c>
      <c r="S574">
        <f t="shared" si="169"/>
        <v>1.9285714285714286</v>
      </c>
      <c r="T574" s="89">
        <f t="shared" si="170"/>
        <v>4</v>
      </c>
      <c r="U574" s="126">
        <f>IF($D574="",0,IFERROR(LOOKUP(2,1/(($D$3:D573=$D574)*($C$3:C573=$C574)*($A$3:A573&lt;$A574)),$AB$3:AB573),1000))</f>
        <v>1010.6714357573436</v>
      </c>
      <c r="V574" s="126">
        <f t="shared" si="171"/>
        <v>1144.0608840856175</v>
      </c>
      <c r="W574">
        <f t="shared" si="172"/>
        <v>1144.0608840856175</v>
      </c>
      <c r="X574">
        <f t="shared" si="173"/>
        <v>0.5</v>
      </c>
      <c r="Y574">
        <f t="shared" si="174"/>
        <v>1010.6714357573436</v>
      </c>
      <c r="Z574">
        <f t="shared" si="175"/>
        <v>0.5</v>
      </c>
      <c r="AA574">
        <f>IF($D574="",0,IF($F574&lt;2,0,IF($E574="Win",('Guide &amp; Settings'!$C$42/(($F574-1)*COUNTIFS($A$4:$A$1510,$A574,$E$4:$E$1510,"Win")))*SUMIFS($Z$4:$Z$1510,$A$4:$A$1510,$A574,$E$4:$E$1510,"Loss"),-('Guide &amp; Settings'!$C$42/($F574-1))*$Z574)))</f>
        <v>15.933548121703947</v>
      </c>
      <c r="AB574" s="126">
        <f t="shared" si="176"/>
        <v>1026.6049838790475</v>
      </c>
      <c r="AC574" s="126">
        <f>IF($D574="","",IF($AD574=0,0,IF(COUNTIFS($D$4:$D574,$D574,$B$4:$B574,$B574)&gt;1,0,IF($B574&lt;'Guide &amp; Settings'!$C$50,0,IF(($B574-$AD574)/7-'Guide &amp; Settings'!$C$48&gt;=0,(INT(($B574-$AD574)/7-'Guide &amp; Settings'!$C$48)+1)*'Guide &amp; Settings'!$C$49,0)))))</f>
        <v>0</v>
      </c>
      <c r="AD574" s="142">
        <f t="shared" si="177"/>
        <v>46255</v>
      </c>
      <c r="AE574">
        <f t="shared" si="178"/>
        <v>1</v>
      </c>
      <c r="AF574">
        <f t="shared" si="179"/>
        <v>0</v>
      </c>
    </row>
    <row r="575" spans="1:32" x14ac:dyDescent="0.2">
      <c r="A575" s="117">
        <v>246</v>
      </c>
      <c r="B575" s="118">
        <v>46256</v>
      </c>
      <c r="C575" s="119" t="s">
        <v>34</v>
      </c>
      <c r="D575" s="119" t="s">
        <v>22</v>
      </c>
      <c r="E575" s="117" t="s">
        <v>371</v>
      </c>
      <c r="F575" s="120">
        <f t="shared" si="160"/>
        <v>4</v>
      </c>
      <c r="G575" s="121" t="str">
        <f t="shared" si="161"/>
        <v>Shawn</v>
      </c>
      <c r="H575" s="122">
        <f>IF($D575="",0,IFERROR(LOOKUP(2,1/(($D$3:D574=$D575)*($A$3:A574&lt;$A575)),$N$3:N574),'Guide &amp; Settings'!$C$41))</f>
        <v>1097.3299717541172</v>
      </c>
      <c r="I575" s="123">
        <f t="shared" si="162"/>
        <v>0.22222222222222221</v>
      </c>
      <c r="J575" s="124">
        <f>IF($D575="",0,IF($F575&lt;2,0,IF($E575="Win",('Guide &amp; Settings'!$C$42/(($F575-1)*COUNTIFS($A$4:$A$1510,$A575,$E$4:$E$1510,"Win")))*SUMIFS($X$4:$X$1510,$A$4:$A$1510,$A575,$E$4:$E$1510,"Loss"),-('Guide &amp; Settings'!$C$42/($F575-1))*$X575)))</f>
        <v>-4.0038085883646968</v>
      </c>
      <c r="K575" s="124">
        <f>IF($D575="",0,'Guide &amp; Settings'!$C$43*(IF($E575="Win",1,0)-$I575))</f>
        <v>-2.6666666666666665</v>
      </c>
      <c r="L575" s="125">
        <f>IF($D575="",0,'Guide &amp; Settings'!$C$44*IF($F575&gt;=3,$F575,0))</f>
        <v>4</v>
      </c>
      <c r="M575" s="124">
        <f t="shared" si="163"/>
        <v>-2.6704752550313628</v>
      </c>
      <c r="N575" s="122">
        <f t="shared" si="164"/>
        <v>1094.6594964990859</v>
      </c>
      <c r="O575" s="121" t="str">
        <f t="shared" si="165"/>
        <v>OK</v>
      </c>
      <c r="P575">
        <f t="shared" si="166"/>
        <v>1250.7724427482369</v>
      </c>
      <c r="Q575">
        <f t="shared" si="167"/>
        <v>0.29249732980933602</v>
      </c>
      <c r="R575">
        <f t="shared" si="168"/>
        <v>0.42857142857142855</v>
      </c>
      <c r="S575">
        <f t="shared" si="169"/>
        <v>1.9285714285714286</v>
      </c>
      <c r="T575" s="89">
        <f t="shared" si="170"/>
        <v>5</v>
      </c>
      <c r="U575" s="126">
        <f>IF($D575="",0,IFERROR(LOOKUP(2,1/(($D$3:D574=$D575)*($C$3:C574=$C575)*($A$3:A574&lt;$A575)),$AB$3:AB574),1000))</f>
        <v>1013.8419917034711</v>
      </c>
      <c r="V575" s="126">
        <f t="shared" si="171"/>
        <v>1055.5859817287942</v>
      </c>
      <c r="W575">
        <f t="shared" si="172"/>
        <v>1144.0608840856175</v>
      </c>
      <c r="X575">
        <f t="shared" si="173"/>
        <v>0.37535705515919038</v>
      </c>
      <c r="Y575">
        <f t="shared" si="174"/>
        <v>1010.6714357573436</v>
      </c>
      <c r="Z575">
        <f t="shared" si="175"/>
        <v>0.50456267013265266</v>
      </c>
      <c r="AA575">
        <f>IF($D575="",0,IF($F575&lt;2,0,IF($E575="Win",('Guide &amp; Settings'!$C$42/(($F575-1)*COUNTIFS($A$4:$A$1510,$A575,$E$4:$E$1510,"Win")))*SUMIFS($Z$4:$Z$1510,$A$4:$A$1510,$A575,$E$4:$E$1510,"Loss"),-('Guide &amp; Settings'!$C$42/($F575-1))*$Z575)))</f>
        <v>-5.3820018147482944</v>
      </c>
      <c r="AB575" s="126">
        <f t="shared" si="176"/>
        <v>1008.4599898887228</v>
      </c>
      <c r="AC575" s="126">
        <f>IF($D575="","",IF($AD575=0,0,IF(COUNTIFS($D$4:$D575,$D575,$B$4:$B575,$B575)&gt;1,0,IF($B575&lt;'Guide &amp; Settings'!$C$50,0,IF(($B575-$AD575)/7-'Guide &amp; Settings'!$C$48&gt;=0,(INT(($B575-$AD575)/7-'Guide &amp; Settings'!$C$48)+1)*'Guide &amp; Settings'!$C$49,0)))))</f>
        <v>0</v>
      </c>
      <c r="AD575" s="142">
        <f t="shared" si="177"/>
        <v>46255</v>
      </c>
      <c r="AE575">
        <f t="shared" si="178"/>
        <v>1</v>
      </c>
      <c r="AF575">
        <f t="shared" si="179"/>
        <v>0</v>
      </c>
    </row>
    <row r="576" spans="1:32" x14ac:dyDescent="0.2">
      <c r="A576" s="117">
        <v>246</v>
      </c>
      <c r="B576" s="118">
        <v>46256</v>
      </c>
      <c r="C576" s="119" t="s">
        <v>34</v>
      </c>
      <c r="D576" s="119" t="s">
        <v>15</v>
      </c>
      <c r="E576" s="117" t="s">
        <v>371</v>
      </c>
      <c r="F576" s="120">
        <f t="shared" si="160"/>
        <v>4</v>
      </c>
      <c r="G576" s="121" t="str">
        <f t="shared" si="161"/>
        <v>Shawn</v>
      </c>
      <c r="H576" s="122">
        <f>IF($D576="",0,IFERROR(LOOKUP(2,1/(($D$3:D575=$D576)*($A$3:A575&lt;$A576)),$N$3:N575),'Guide &amp; Settings'!$C$41))</f>
        <v>1158.8083419783811</v>
      </c>
      <c r="I576" s="123">
        <f t="shared" si="162"/>
        <v>0.25925925925925924</v>
      </c>
      <c r="J576" s="124">
        <f>IF($D576="",0,IF($F576&lt;2,0,IF($E576="Win",('Guide &amp; Settings'!$C$42/(($F576-1)*COUNTIFS($A$4:$A$1510,$A576,$E$4:$E$1510,"Win")))*SUMIFS($X$4:$X$1510,$A$4:$A$1510,$A576,$E$4:$E$1510,"Loss"),-('Guide &amp; Settings'!$C$42/($F576-1))*$X576)))</f>
        <v>-4.5758299167664767</v>
      </c>
      <c r="K576" s="124">
        <f>IF($D576="",0,'Guide &amp; Settings'!$C$43*(IF($E576="Win",1,0)-$I576))</f>
        <v>-3.1111111111111107</v>
      </c>
      <c r="L576" s="125">
        <f>IF($D576="",0,'Guide &amp; Settings'!$C$44*IF($F576&gt;=3,$F576,0))</f>
        <v>4</v>
      </c>
      <c r="M576" s="124">
        <f t="shared" si="163"/>
        <v>-3.6869410278775874</v>
      </c>
      <c r="N576" s="122">
        <f t="shared" si="164"/>
        <v>1155.1214009505036</v>
      </c>
      <c r="O576" s="121" t="str">
        <f t="shared" si="165"/>
        <v>OK</v>
      </c>
      <c r="P576">
        <f t="shared" si="166"/>
        <v>1250.7724427482369</v>
      </c>
      <c r="Q576">
        <f t="shared" si="167"/>
        <v>0.37065965756364611</v>
      </c>
      <c r="R576">
        <f t="shared" si="168"/>
        <v>0.5</v>
      </c>
      <c r="S576">
        <f t="shared" si="169"/>
        <v>1.9285714285714286</v>
      </c>
      <c r="T576" s="89">
        <f t="shared" si="170"/>
        <v>4</v>
      </c>
      <c r="U576" s="126">
        <f>IF($D576="",0,IFERROR(LOOKUP(2,1/(($D$3:D575=$D576)*($C$3:C575=$C576)*($A$3:A575&lt;$A576)),$AB$3:AB575),1000))</f>
        <v>1013.8401842711013</v>
      </c>
      <c r="V576" s="126">
        <f t="shared" si="171"/>
        <v>1094.3780496640345</v>
      </c>
      <c r="W576">
        <f t="shared" si="172"/>
        <v>1144.0608840856175</v>
      </c>
      <c r="X576">
        <f t="shared" si="173"/>
        <v>0.42898405469685719</v>
      </c>
      <c r="Y576">
        <f t="shared" si="174"/>
        <v>1010.6714357573436</v>
      </c>
      <c r="Z576">
        <f t="shared" si="175"/>
        <v>0.50456006924485841</v>
      </c>
      <c r="AA576">
        <f>IF($D576="",0,IF($F576&lt;2,0,IF($E576="Win",('Guide &amp; Settings'!$C$42/(($F576-1)*COUNTIFS($A$4:$A$1510,$A576,$E$4:$E$1510,"Win")))*SUMIFS($Z$4:$Z$1510,$A$4:$A$1510,$A576,$E$4:$E$1510,"Loss"),-('Guide &amp; Settings'!$C$42/($F576-1))*$Z576)))</f>
        <v>-5.3819740719451561</v>
      </c>
      <c r="AB576" s="126">
        <f t="shared" si="176"/>
        <v>1008.4582101991562</v>
      </c>
      <c r="AC576" s="126">
        <f>IF($D576="","",IF($AD576=0,0,IF(COUNTIFS($D$4:$D576,$D576,$B$4:$B576,$B576)&gt;1,0,IF($B576&lt;'Guide &amp; Settings'!$C$50,0,IF(($B576-$AD576)/7-'Guide &amp; Settings'!$C$48&gt;=0,(INT(($B576-$AD576)/7-'Guide &amp; Settings'!$C$48)+1)*'Guide &amp; Settings'!$C$49,0)))))</f>
        <v>0</v>
      </c>
      <c r="AD576" s="142">
        <f t="shared" si="177"/>
        <v>46255</v>
      </c>
      <c r="AE576">
        <f t="shared" si="178"/>
        <v>1</v>
      </c>
      <c r="AF576">
        <f t="shared" si="179"/>
        <v>0</v>
      </c>
    </row>
    <row r="577" spans="1:32" x14ac:dyDescent="0.2">
      <c r="A577" s="117">
        <v>246</v>
      </c>
      <c r="B577" s="118">
        <v>46256</v>
      </c>
      <c r="C577" s="119" t="s">
        <v>34</v>
      </c>
      <c r="D577" s="119" t="s">
        <v>25</v>
      </c>
      <c r="E577" s="117" t="s">
        <v>371</v>
      </c>
      <c r="F577" s="120">
        <f t="shared" si="160"/>
        <v>4</v>
      </c>
      <c r="G577" s="121" t="str">
        <f t="shared" si="161"/>
        <v>Shawn</v>
      </c>
      <c r="H577" s="122">
        <f>IF($D577="",0,IFERROR(LOOKUP(2,1/(($D$3:D576=$D577)*($A$3:A576&lt;$A577)),$N$3:N576),'Guide &amp; Settings'!$C$41))</f>
        <v>1034.7382786556395</v>
      </c>
      <c r="I577" s="123">
        <f t="shared" si="162"/>
        <v>0.25925925925925924</v>
      </c>
      <c r="J577" s="124">
        <f>IF($D577="",0,IF($F577&lt;2,0,IF($E577="Win",('Guide &amp; Settings'!$C$42/(($F577-1)*COUNTIFS($A$4:$A$1510,$A577,$E$4:$E$1510,"Win")))*SUMIFS($X$4:$X$1510,$A$4:$A$1510,$A577,$E$4:$E$1510,"Loss"),-('Guide &amp; Settings'!$C$42/($F577-1))*$X577)))</f>
        <v>-3.7084444648123149</v>
      </c>
      <c r="K577" s="124">
        <f>IF($D577="",0,'Guide &amp; Settings'!$C$43*(IF($E577="Win",1,0)-$I577))</f>
        <v>-3.1111111111111107</v>
      </c>
      <c r="L577" s="125">
        <f>IF($D577="",0,'Guide &amp; Settings'!$C$44*IF($F577&gt;=3,$F577,0))</f>
        <v>4</v>
      </c>
      <c r="M577" s="124">
        <f t="shared" si="163"/>
        <v>-2.8195555759234256</v>
      </c>
      <c r="N577" s="122">
        <f t="shared" si="164"/>
        <v>1031.9187230797161</v>
      </c>
      <c r="O577" s="121" t="str">
        <f t="shared" si="165"/>
        <v>OK</v>
      </c>
      <c r="P577">
        <f t="shared" si="166"/>
        <v>1250.7724427482369</v>
      </c>
      <c r="Q577">
        <f t="shared" si="167"/>
        <v>0.22381125831927076</v>
      </c>
      <c r="R577">
        <f t="shared" si="168"/>
        <v>0.5</v>
      </c>
      <c r="S577">
        <f t="shared" si="169"/>
        <v>1.9285714285714286</v>
      </c>
      <c r="T577" s="89">
        <f t="shared" si="170"/>
        <v>0</v>
      </c>
      <c r="U577" s="126">
        <f>IF($D577="",0,IFERROR(LOOKUP(2,1/(($D$3:D576=$D577)*($C$3:C576=$C577)*($A$3:A576&lt;$A577)),$AB$3:AB576),1000))</f>
        <v>1000</v>
      </c>
      <c r="V577" s="126">
        <f t="shared" si="171"/>
        <v>1034.7382786556395</v>
      </c>
      <c r="W577">
        <f t="shared" si="172"/>
        <v>1144.0608840856175</v>
      </c>
      <c r="X577">
        <f t="shared" si="173"/>
        <v>0.34766666857615453</v>
      </c>
      <c r="Y577">
        <f t="shared" si="174"/>
        <v>1010.6714357573436</v>
      </c>
      <c r="Z577">
        <f t="shared" si="175"/>
        <v>0.48464739703223408</v>
      </c>
      <c r="AA577">
        <f>IF($D577="",0,IF($F577&lt;2,0,IF($E577="Win",('Guide &amp; Settings'!$C$42/(($F577-1)*COUNTIFS($A$4:$A$1510,$A577,$E$4:$E$1510,"Win")))*SUMIFS($Z$4:$Z$1510,$A$4:$A$1510,$A577,$E$4:$E$1510,"Loss"),-('Guide &amp; Settings'!$C$42/($F577-1))*$Z577)))</f>
        <v>-5.1695722350104969</v>
      </c>
      <c r="AB577" s="126">
        <f t="shared" si="176"/>
        <v>994.83042776498951</v>
      </c>
      <c r="AC577" s="126">
        <f>IF($D577="","",IF($AD577=0,0,IF(COUNTIFS($D$4:$D577,$D577,$B$4:$B577,$B577)&gt;1,0,IF($B577&lt;'Guide &amp; Settings'!$C$50,0,IF(($B577-$AD577)/7-'Guide &amp; Settings'!$C$48&gt;=0,(INT(($B577-$AD577)/7-'Guide &amp; Settings'!$C$48)+1)*'Guide &amp; Settings'!$C$49,0)))))</f>
        <v>0</v>
      </c>
      <c r="AD577" s="142">
        <f t="shared" si="177"/>
        <v>46243</v>
      </c>
      <c r="AE577">
        <f t="shared" si="178"/>
        <v>1</v>
      </c>
      <c r="AF577">
        <f t="shared" si="179"/>
        <v>0</v>
      </c>
    </row>
    <row r="578" spans="1:32" x14ac:dyDescent="0.2">
      <c r="A578" s="117">
        <v>247</v>
      </c>
      <c r="B578" s="118">
        <v>46256</v>
      </c>
      <c r="C578" s="119" t="s">
        <v>41</v>
      </c>
      <c r="D578" s="119" t="s">
        <v>20</v>
      </c>
      <c r="E578" s="117" t="s">
        <v>370</v>
      </c>
      <c r="F578" s="120">
        <f t="shared" si="160"/>
        <v>4</v>
      </c>
      <c r="G578" s="121" t="str">
        <f t="shared" si="161"/>
        <v>Shawn</v>
      </c>
      <c r="H578" s="122">
        <f>IF($D578="",0,IFERROR(LOOKUP(2,1/(($D$3:D577=$D578)*($A$3:A577&lt;$A578)),$N$3:N577),'Guide &amp; Settings'!$C$41))</f>
        <v>1275.9494146070692</v>
      </c>
      <c r="I578" s="123">
        <f t="shared" si="162"/>
        <v>0.33333333333333337</v>
      </c>
      <c r="J578" s="124">
        <f>IF($D578="",0,IF($F578&lt;2,0,IF($E578="Win",('Guide &amp; Settings'!$C$42/(($F578-1)*COUNTIFS($A$4:$A$1510,$A578,$E$4:$E$1510,"Win")))*SUMIFS($X$4:$X$1510,$A$4:$A$1510,$A578,$E$4:$E$1510,"Loss"),-('Guide &amp; Settings'!$C$42/($F578-1))*$X578)))</f>
        <v>10.6303024840294</v>
      </c>
      <c r="K578" s="124">
        <f>IF($D578="",0,'Guide &amp; Settings'!$C$43*(IF($E578="Win",1,0)-$I578))</f>
        <v>8</v>
      </c>
      <c r="L578" s="125">
        <f>IF($D578="",0,'Guide &amp; Settings'!$C$44*IF($F578&gt;=3,$F578,0))</f>
        <v>4</v>
      </c>
      <c r="M578" s="124">
        <f t="shared" si="163"/>
        <v>22.6303024840294</v>
      </c>
      <c r="N578" s="122">
        <f t="shared" si="164"/>
        <v>1298.5797170910987</v>
      </c>
      <c r="O578" s="121" t="str">
        <f t="shared" si="165"/>
        <v>OK</v>
      </c>
      <c r="P578">
        <f t="shared" si="166"/>
        <v>1275.9494146070692</v>
      </c>
      <c r="Q578">
        <f t="shared" si="167"/>
        <v>0.5</v>
      </c>
      <c r="R578">
        <f t="shared" si="168"/>
        <v>0.5</v>
      </c>
      <c r="S578">
        <f t="shared" si="169"/>
        <v>1.4999999999999998</v>
      </c>
      <c r="T578" s="89">
        <f t="shared" si="170"/>
        <v>2</v>
      </c>
      <c r="U578" s="126">
        <f>IF($D578="",0,IFERROR(LOOKUP(2,1/(($D$3:D577=$D578)*($C$3:C577=$C578)*($A$3:A577&lt;$A578)),$AB$3:AB577),1000))</f>
        <v>1008.3683485189694</v>
      </c>
      <c r="V578" s="126">
        <f t="shared" si="171"/>
        <v>1199.4976814390407</v>
      </c>
      <c r="W578">
        <f t="shared" si="172"/>
        <v>1199.4976814390407</v>
      </c>
      <c r="X578">
        <f t="shared" si="173"/>
        <v>0.5</v>
      </c>
      <c r="Y578">
        <f t="shared" si="174"/>
        <v>1008.3683485189694</v>
      </c>
      <c r="Z578">
        <f t="shared" si="175"/>
        <v>0.5</v>
      </c>
      <c r="AA578">
        <f>IF($D578="",0,IF($F578&lt;2,0,IF($E578="Win",('Guide &amp; Settings'!$C$42/(($F578-1)*COUNTIFS($A$4:$A$1510,$A578,$E$4:$E$1510,"Win")))*SUMIFS($Z$4:$Z$1510,$A$4:$A$1510,$A578,$E$4:$E$1510,"Loss"),-('Guide &amp; Settings'!$C$42/($F578-1))*$Z578)))</f>
        <v>15.132816914051038</v>
      </c>
      <c r="AB578" s="126">
        <f t="shared" si="176"/>
        <v>1023.5011654330204</v>
      </c>
      <c r="AC578" s="126">
        <f>IF($D578="","",IF($AD578=0,0,IF(COUNTIFS($D$4:$D578,$D578,$B$4:$B578,$B578)&gt;1,0,IF($B578&lt;'Guide &amp; Settings'!$C$50,0,IF(($B578-$AD578)/7-'Guide &amp; Settings'!$C$48&gt;=0,(INT(($B578-$AD578)/7-'Guide &amp; Settings'!$C$48)+1)*'Guide &amp; Settings'!$C$49,0)))))</f>
        <v>0</v>
      </c>
      <c r="AD578" s="142">
        <f t="shared" si="177"/>
        <v>46255</v>
      </c>
      <c r="AE578">
        <f t="shared" si="178"/>
        <v>1</v>
      </c>
      <c r="AF578">
        <f t="shared" si="179"/>
        <v>0</v>
      </c>
    </row>
    <row r="579" spans="1:32" x14ac:dyDescent="0.2">
      <c r="A579" s="117">
        <v>247</v>
      </c>
      <c r="B579" s="118">
        <v>46256</v>
      </c>
      <c r="C579" s="119" t="s">
        <v>41</v>
      </c>
      <c r="D579" s="119" t="s">
        <v>15</v>
      </c>
      <c r="E579" s="117" t="s">
        <v>371</v>
      </c>
      <c r="F579" s="120">
        <f t="shared" si="160"/>
        <v>4</v>
      </c>
      <c r="G579" s="121" t="str">
        <f t="shared" si="161"/>
        <v>Shawn</v>
      </c>
      <c r="H579" s="122">
        <f>IF($D579="",0,IFERROR(LOOKUP(2,1/(($D$3:D578=$D579)*($A$3:A578&lt;$A579)),$N$3:N578),'Guide &amp; Settings'!$C$41))</f>
        <v>1155.1214009505036</v>
      </c>
      <c r="I579" s="123">
        <f t="shared" si="162"/>
        <v>0.22222222222222224</v>
      </c>
      <c r="J579" s="124">
        <f>IF($D579="",0,IF($F579&lt;2,0,IF($E579="Win",('Guide &amp; Settings'!$C$42/(($F579-1)*COUNTIFS($A$4:$A$1510,$A579,$E$4:$E$1510,"Win")))*SUMIFS($X$4:$X$1510,$A$4:$A$1510,$A579,$E$4:$E$1510,"Loss"),-('Guide &amp; Settings'!$C$42/($F579-1))*$X579)))</f>
        <v>-4.2496224103149682</v>
      </c>
      <c r="K579" s="124">
        <f>IF($D579="",0,'Guide &amp; Settings'!$C$43*(IF($E579="Win",1,0)-$I579))</f>
        <v>-2.666666666666667</v>
      </c>
      <c r="L579" s="125">
        <f>IF($D579="",0,'Guide &amp; Settings'!$C$44*IF($F579&gt;=3,$F579,0))</f>
        <v>4</v>
      </c>
      <c r="M579" s="124">
        <f t="shared" si="163"/>
        <v>-2.9162890769816352</v>
      </c>
      <c r="N579" s="122">
        <f t="shared" si="164"/>
        <v>1152.2051118735219</v>
      </c>
      <c r="O579" s="121" t="str">
        <f t="shared" si="165"/>
        <v>OK</v>
      </c>
      <c r="P579">
        <f t="shared" si="166"/>
        <v>1275.9494146070692</v>
      </c>
      <c r="Q579">
        <f t="shared" si="167"/>
        <v>0.3328013732209289</v>
      </c>
      <c r="R579">
        <f t="shared" si="168"/>
        <v>0.33333333333333331</v>
      </c>
      <c r="S579">
        <f t="shared" si="169"/>
        <v>1.4999999999999998</v>
      </c>
      <c r="T579" s="89">
        <f t="shared" si="170"/>
        <v>1</v>
      </c>
      <c r="U579" s="126">
        <f>IF($D579="",0,IFERROR(LOOKUP(2,1/(($D$3:D578=$D579)*($C$3:C578=$C579)*($A$3:A578&lt;$A579)),$AB$3:AB578),1000))</f>
        <v>991.81582574051538</v>
      </c>
      <c r="V579" s="126">
        <f t="shared" si="171"/>
        <v>1127.9038050821723</v>
      </c>
      <c r="W579">
        <f t="shared" si="172"/>
        <v>1199.4976814390407</v>
      </c>
      <c r="X579">
        <f t="shared" si="173"/>
        <v>0.39840210096702827</v>
      </c>
      <c r="Y579">
        <f t="shared" si="174"/>
        <v>1008.3683485189694</v>
      </c>
      <c r="Z579">
        <f t="shared" si="175"/>
        <v>0.47619701116772645</v>
      </c>
      <c r="AA579">
        <f>IF($D579="",0,IF($F579&lt;2,0,IF($E579="Win",('Guide &amp; Settings'!$C$42/(($F579-1)*COUNTIFS($A$4:$A$1510,$A579,$E$4:$E$1510,"Win")))*SUMIFS($Z$4:$Z$1510,$A$4:$A$1510,$A579,$E$4:$E$1510,"Loss"),-('Guide &amp; Settings'!$C$42/($F579-1))*$Z579)))</f>
        <v>-5.0794347857890818</v>
      </c>
      <c r="AB579" s="126">
        <f t="shared" si="176"/>
        <v>986.73639095472629</v>
      </c>
      <c r="AC579" s="126">
        <f>IF($D579="","",IF($AD579=0,0,IF(COUNTIFS($D$4:$D579,$D579,$B$4:$B579,$B579)&gt;1,0,IF($B579&lt;'Guide &amp; Settings'!$C$50,0,IF(($B579-$AD579)/7-'Guide &amp; Settings'!$C$48&gt;=0,(INT(($B579-$AD579)/7-'Guide &amp; Settings'!$C$48)+1)*'Guide &amp; Settings'!$C$49,0)))))</f>
        <v>0</v>
      </c>
      <c r="AD579" s="142">
        <f t="shared" si="177"/>
        <v>46255</v>
      </c>
      <c r="AE579">
        <f t="shared" si="178"/>
        <v>1</v>
      </c>
      <c r="AF579">
        <f t="shared" si="179"/>
        <v>0</v>
      </c>
    </row>
    <row r="580" spans="1:32" x14ac:dyDescent="0.2">
      <c r="A580" s="117">
        <v>247</v>
      </c>
      <c r="B580" s="118">
        <v>46256</v>
      </c>
      <c r="C580" s="119" t="s">
        <v>41</v>
      </c>
      <c r="D580" s="119" t="s">
        <v>25</v>
      </c>
      <c r="E580" s="117" t="s">
        <v>371</v>
      </c>
      <c r="F580" s="120">
        <f t="shared" ref="F580:F643" si="180">IF($D580="",0,COUNTIF($A$4:$A$1510,$A580))</f>
        <v>4</v>
      </c>
      <c r="G580" s="121" t="str">
        <f t="shared" ref="G580:G643" si="181">IF($D580="","",IFERROR(LOOKUP(2,1/(($A$4:$A$1510=$A580)*($E$4:$E$1510="Win")),$D$4:$D$1510),"(no winner)"))</f>
        <v>Shawn</v>
      </c>
      <c r="H580" s="122">
        <f>IF($D580="",0,IFERROR(LOOKUP(2,1/(($D$3:D579=$D580)*($A$3:A579&lt;$A580)),$N$3:N579),'Guide &amp; Settings'!$C$41))</f>
        <v>1031.9187230797161</v>
      </c>
      <c r="I580" s="123">
        <f t="shared" ref="I580:I643" si="182">IF($D580="",0,IF($S580=0,0,$R580/$S580))</f>
        <v>0.22222222222222224</v>
      </c>
      <c r="J580" s="124">
        <f>IF($D580="",0,IF($F580&lt;2,0,IF($E580="Win",('Guide &amp; Settings'!$C$42/(($F580-1)*COUNTIFS($A$4:$A$1510,$A580,$E$4:$E$1510,"Win")))*SUMIFS($X$4:$X$1510,$A$4:$A$1510,$A580,$E$4:$E$1510,"Loss"),-('Guide &amp; Settings'!$C$42/($F580-1))*$X580)))</f>
        <v>-2.8625040658923595</v>
      </c>
      <c r="K580" s="124">
        <f>IF($D580="",0,'Guide &amp; Settings'!$C$43*(IF($E580="Win",1,0)-$I580))</f>
        <v>-2.666666666666667</v>
      </c>
      <c r="L580" s="125">
        <f>IF($D580="",0,'Guide &amp; Settings'!$C$44*IF($F580&gt;=3,$F580,0))</f>
        <v>4</v>
      </c>
      <c r="M580" s="124">
        <f t="shared" ref="M580:M643" si="183">IF($D580="",0,$J580+$K580+$L580)</f>
        <v>-1.5291707325590265</v>
      </c>
      <c r="N580" s="122">
        <f t="shared" ref="N580:N643" si="184">IF($D580="",0,$H580+$M580)</f>
        <v>1030.389552347157</v>
      </c>
      <c r="O580" s="121" t="str">
        <f t="shared" ref="O580:O643" si="185">IF($D580="","",IF($AE580=0,"need a winner",IF($F580-$AE580=0,"need a loser",IF(MOD($AF580,2)=1,"duplicate player",IF(MOD(INT($AF580/2),2)=1,"mixed sports",IF($AF580&gt;=4,"mixed dates",IF($AE580&gt;1,IF($F580&gt;=4,"OK (team)","check winners"),"OK")))))))</f>
        <v>OK</v>
      </c>
      <c r="P580">
        <f t="shared" ref="P580:P643" si="186">IF($D580="",0,IFERROR(SUMIFS($H$4:$H$1510,$A$4:$A$1510,$A580,$E$4:$E$1510,"Win")/COUNTIFS($A$4:$A$1510,$A580,$E$4:$E$1510,"Win"),0))</f>
        <v>1275.9494146070692</v>
      </c>
      <c r="Q580">
        <f t="shared" ref="Q580:Q643" si="187">IF($D580="",0,1/(1+10^(($P580-$H580)/400)))</f>
        <v>0.19706287328223224</v>
      </c>
      <c r="R580">
        <f t="shared" ref="R580:R643" si="188">IF($D580="",0,(COUNTIFS($D$4:$D$1510,$D580,$C$4:$C$1510,$C580,$E$4:$E$1510,"Win",$A$4:$A$1510,"&lt;"&amp;$A580)+1)/(COUNTIFS($D$4:$D$1510,$D580,$C$4:$C$1510,$C580,$A$4:$A$1510,"&lt;"&amp;$A580)+2))</f>
        <v>0.33333333333333331</v>
      </c>
      <c r="S580">
        <f t="shared" ref="S580:S643" si="189">IF($D580="",0,SUMIFS($R$4:$R$1510,$A$4:$A$1510,$A580))</f>
        <v>1.4999999999999998</v>
      </c>
      <c r="T580" s="89">
        <f t="shared" ref="T580:T643" si="190">IF($D580="",0,COUNTIFS($D$4:$D$1510,$D580,$C$4:$C$1510,$C580,$A$4:$A$1510,"&lt;"&amp;$A580))</f>
        <v>1</v>
      </c>
      <c r="U580" s="126">
        <f>IF($D580="",0,IFERROR(LOOKUP(2,1/(($D$3:D579=$D580)*($C$3:C579=$C580)*($A$3:A579&lt;$A580)),$AB$3:AB579),1000))</f>
        <v>992</v>
      </c>
      <c r="V580" s="126">
        <f t="shared" ref="V580:V643" si="191">IF($D580="",0,$U580*($T580/($T580+5))+$H580*(1-$T580/($T580+5)))</f>
        <v>1025.2656025664301</v>
      </c>
      <c r="W580">
        <f t="shared" ref="W580:W643" si="192">IF($D580="",0,IFERROR(SUMIFS($V$4:$V$1510,$A$4:$A$1510,$A580,$E$4:$E$1510,"Win")/COUNTIFS($A$4:$A$1510,$A580,$E$4:$E$1510,"Win"),0))</f>
        <v>1199.4976814390407</v>
      </c>
      <c r="X580">
        <f t="shared" ref="X580:X643" si="193">IF($D580="",0,1/(1+10^(($W580-$V580)/400)))</f>
        <v>0.2683597561774087</v>
      </c>
      <c r="Y580">
        <f t="shared" ref="Y580:Y643" si="194">IF($D580="",0,IFERROR(SUMIFS($U$4:$U$1510,$A$4:$A$1510,$A580,$E$4:$E$1510,"Win")/COUNTIFS($A$4:$A$1510,$A580,$E$4:$E$1510,"Win"),0))</f>
        <v>1008.3683485189694</v>
      </c>
      <c r="Z580">
        <f t="shared" ref="Z580:Z643" si="195">IF($D580="",0,1/(1+10^(($Y580-$U580)/400)))</f>
        <v>0.47646146519575583</v>
      </c>
      <c r="AA580">
        <f>IF($D580="",0,IF($F580&lt;2,0,IF($E580="Win",('Guide &amp; Settings'!$C$42/(($F580-1)*COUNTIFS($A$4:$A$1510,$A580,$E$4:$E$1510,"Win")))*SUMIFS($Z$4:$Z$1510,$A$4:$A$1510,$A580,$E$4:$E$1510,"Loss"),-('Guide &amp; Settings'!$C$42/($F580-1))*$Z580)))</f>
        <v>-5.0822556287547282</v>
      </c>
      <c r="AB580" s="126">
        <f t="shared" ref="AB580:AB643" si="196">IF($D580="",0,$U580+$AA580)</f>
        <v>986.91774437124525</v>
      </c>
      <c r="AC580" s="126">
        <f>IF($D580="","",IF($AD580=0,0,IF(COUNTIFS($D$4:$D580,$D580,$B$4:$B580,$B580)&gt;1,0,IF($B580&lt;'Guide &amp; Settings'!$C$50,0,IF(($B580-$AD580)/7-'Guide &amp; Settings'!$C$48&gt;=0,(INT(($B580-$AD580)/7-'Guide &amp; Settings'!$C$48)+1)*'Guide &amp; Settings'!$C$49,0)))))</f>
        <v>0</v>
      </c>
      <c r="AD580" s="142">
        <f t="shared" ref="AD580:AD643" si="197">IF($D580="",0,SUMPRODUCT(MAX(($D$4:$D$1510=$D580)*($B$4:$B$1510&lt;$B580)*$B$4:$B$1510)))</f>
        <v>46243</v>
      </c>
      <c r="AE580">
        <f t="shared" ref="AE580:AE643" si="198">IF($D580="",0,COUNTIFS($A$4:$A$1510,$A580,$E$4:$E$1510,"Win"))</f>
        <v>1</v>
      </c>
      <c r="AF580">
        <f t="shared" ref="AF580:AF643" si="199">IF($D580="",0,(COUNTIFS($A$4:$A$1510,$A580,$D$4:$D$1510,$D580)&gt;1)*1+(COUNTIFS($A$4:$A$1510,$A580,$C$4:$C$1510,"&lt;&gt;"&amp;$C580)&gt;0)*2+(COUNTIFS($A$4:$A$1510,$A580,$B$4:$B$1510,"&lt;&gt;"&amp;$B580)&gt;0)*4)</f>
        <v>0</v>
      </c>
    </row>
    <row r="581" spans="1:32" x14ac:dyDescent="0.2">
      <c r="A581" s="117">
        <v>247</v>
      </c>
      <c r="B581" s="118">
        <v>46256</v>
      </c>
      <c r="C581" s="119" t="s">
        <v>41</v>
      </c>
      <c r="D581" s="119" t="s">
        <v>22</v>
      </c>
      <c r="E581" s="117" t="s">
        <v>371</v>
      </c>
      <c r="F581" s="120">
        <f t="shared" si="180"/>
        <v>4</v>
      </c>
      <c r="G581" s="121" t="str">
        <f t="shared" si="181"/>
        <v>Shawn</v>
      </c>
      <c r="H581" s="122">
        <f>IF($D581="",0,IFERROR(LOOKUP(2,1/(($D$3:D580=$D581)*($A$3:A580&lt;$A581)),$N$3:N580),'Guide &amp; Settings'!$C$41))</f>
        <v>1094.6594964990859</v>
      </c>
      <c r="I581" s="123">
        <f t="shared" si="182"/>
        <v>0.22222222222222224</v>
      </c>
      <c r="J581" s="124">
        <f>IF($D581="",0,IF($F581&lt;2,0,IF($E581="Win",('Guide &amp; Settings'!$C$42/(($F581-1)*COUNTIFS($A$4:$A$1510,$A581,$E$4:$E$1510,"Win")))*SUMIFS($X$4:$X$1510,$A$4:$A$1510,$A581,$E$4:$E$1510,"Loss"),-('Guide &amp; Settings'!$C$42/($F581-1))*$X581)))</f>
        <v>-3.5181760078220727</v>
      </c>
      <c r="K581" s="124">
        <f>IF($D581="",0,'Guide &amp; Settings'!$C$43*(IF($E581="Win",1,0)-$I581))</f>
        <v>-2.666666666666667</v>
      </c>
      <c r="L581" s="125">
        <f>IF($D581="",0,'Guide &amp; Settings'!$C$44*IF($F581&gt;=3,$F581,0))</f>
        <v>4</v>
      </c>
      <c r="M581" s="124">
        <f t="shared" si="183"/>
        <v>-2.1848426744887401</v>
      </c>
      <c r="N581" s="122">
        <f t="shared" si="184"/>
        <v>1092.4746538245972</v>
      </c>
      <c r="O581" s="121" t="str">
        <f t="shared" si="185"/>
        <v>OK</v>
      </c>
      <c r="P581">
        <f t="shared" si="186"/>
        <v>1275.9494146070692</v>
      </c>
      <c r="Q581">
        <f t="shared" si="187"/>
        <v>0.2604581538103134</v>
      </c>
      <c r="R581">
        <f t="shared" si="188"/>
        <v>0.33333333333333331</v>
      </c>
      <c r="S581">
        <f t="shared" si="189"/>
        <v>1.4999999999999998</v>
      </c>
      <c r="T581" s="89">
        <f t="shared" si="190"/>
        <v>1</v>
      </c>
      <c r="U581" s="126">
        <f>IF($D581="",0,IFERROR(LOOKUP(2,1/(($D$3:D580=$D581)*($C$3:C580=$C581)*($A$3:A580&lt;$A581)),$AB$3:AB580),1000))</f>
        <v>984.73630679352198</v>
      </c>
      <c r="V581" s="126">
        <f t="shared" si="191"/>
        <v>1076.3389648814918</v>
      </c>
      <c r="W581">
        <f t="shared" si="192"/>
        <v>1199.4976814390407</v>
      </c>
      <c r="X581">
        <f t="shared" si="193"/>
        <v>0.32982900073331933</v>
      </c>
      <c r="Y581">
        <f t="shared" si="194"/>
        <v>1008.3683485189694</v>
      </c>
      <c r="Z581">
        <f t="shared" si="195"/>
        <v>0.46604310932880261</v>
      </c>
      <c r="AA581">
        <f>IF($D581="",0,IF($F581&lt;2,0,IF($E581="Win",('Guide &amp; Settings'!$C$42/(($F581-1)*COUNTIFS($A$4:$A$1510,$A581,$E$4:$E$1510,"Win")))*SUMIFS($Z$4:$Z$1510,$A$4:$A$1510,$A581,$E$4:$E$1510,"Loss"),-('Guide &amp; Settings'!$C$42/($F581-1))*$Z581)))</f>
        <v>-4.9711264995072275</v>
      </c>
      <c r="AB581" s="126">
        <f t="shared" si="196"/>
        <v>979.76518029401473</v>
      </c>
      <c r="AC581" s="126">
        <f>IF($D581="","",IF($AD581=0,0,IF(COUNTIFS($D$4:$D581,$D581,$B$4:$B581,$B581)&gt;1,0,IF($B581&lt;'Guide &amp; Settings'!$C$50,0,IF(($B581-$AD581)/7-'Guide &amp; Settings'!$C$48&gt;=0,(INT(($B581-$AD581)/7-'Guide &amp; Settings'!$C$48)+1)*'Guide &amp; Settings'!$C$49,0)))))</f>
        <v>0</v>
      </c>
      <c r="AD581" s="142">
        <f t="shared" si="197"/>
        <v>46255</v>
      </c>
      <c r="AE581">
        <f t="shared" si="198"/>
        <v>1</v>
      </c>
      <c r="AF581">
        <f t="shared" si="199"/>
        <v>0</v>
      </c>
    </row>
    <row r="582" spans="1:32" x14ac:dyDescent="0.2">
      <c r="A582" s="117">
        <v>248</v>
      </c>
      <c r="B582" s="118">
        <v>46256</v>
      </c>
      <c r="C582" s="119" t="s">
        <v>36</v>
      </c>
      <c r="D582" s="119" t="s">
        <v>20</v>
      </c>
      <c r="E582" s="117" t="s">
        <v>370</v>
      </c>
      <c r="F582" s="120">
        <f t="shared" si="180"/>
        <v>5</v>
      </c>
      <c r="G582" s="121" t="str">
        <f t="shared" si="181"/>
        <v>Shawn</v>
      </c>
      <c r="H582" s="122">
        <f>IF($D582="",0,IFERROR(LOOKUP(2,1/(($D$3:D581=$D582)*($A$3:A581&lt;$A582)),$N$3:N581),'Guide &amp; Settings'!$C$41))</f>
        <v>1298.5797170910987</v>
      </c>
      <c r="I582" s="123">
        <f t="shared" si="182"/>
        <v>0.2</v>
      </c>
      <c r="J582" s="124">
        <f>IF($D582="",0,IF($F582&lt;2,0,IF($E582="Win",('Guide &amp; Settings'!$C$42/(($F582-1)*COUNTIFS($A$4:$A$1510,$A582,$E$4:$E$1510,"Win")))*SUMIFS($X$4:$X$1510,$A$4:$A$1510,$A582,$E$4:$E$1510,"Loss"),-('Guide &amp; Settings'!$C$42/($F582-1))*$X582)))</f>
        <v>7.1450583115739219</v>
      </c>
      <c r="K582" s="124">
        <f>IF($D582="",0,'Guide &amp; Settings'!$C$43*(IF($E582="Win",1,0)-$I582))</f>
        <v>9.6000000000000014</v>
      </c>
      <c r="L582" s="125">
        <f>IF($D582="",0,'Guide &amp; Settings'!$C$44*IF($F582&gt;=3,$F582,0))</f>
        <v>5</v>
      </c>
      <c r="M582" s="124">
        <f t="shared" si="183"/>
        <v>21.745058311573924</v>
      </c>
      <c r="N582" s="122">
        <f t="shared" si="184"/>
        <v>1320.3247754026727</v>
      </c>
      <c r="O582" s="121" t="str">
        <f t="shared" si="185"/>
        <v>OK</v>
      </c>
      <c r="P582">
        <f t="shared" si="186"/>
        <v>1298.5797170910987</v>
      </c>
      <c r="Q582">
        <f t="shared" si="187"/>
        <v>0.5</v>
      </c>
      <c r="R582">
        <f t="shared" si="188"/>
        <v>0.5</v>
      </c>
      <c r="S582">
        <f t="shared" si="189"/>
        <v>2.5</v>
      </c>
      <c r="T582" s="89">
        <f t="shared" si="190"/>
        <v>0</v>
      </c>
      <c r="U582" s="126">
        <f>IF($D582="",0,IFERROR(LOOKUP(2,1/(($D$3:D581=$D582)*($C$3:C581=$C582)*($A$3:A581&lt;$A582)),$AB$3:AB581),1000))</f>
        <v>1000</v>
      </c>
      <c r="V582" s="126">
        <f t="shared" si="191"/>
        <v>1298.5797170910987</v>
      </c>
      <c r="W582">
        <f t="shared" si="192"/>
        <v>1298.5797170910987</v>
      </c>
      <c r="X582">
        <f t="shared" si="193"/>
        <v>0.5</v>
      </c>
      <c r="Y582">
        <f t="shared" si="194"/>
        <v>1000</v>
      </c>
      <c r="Z582">
        <f t="shared" si="195"/>
        <v>0.5</v>
      </c>
      <c r="AA582">
        <f>IF($D582="",0,IF($F582&lt;2,0,IF($E582="Win",('Guide &amp; Settings'!$C$42/(($F582-1)*COUNTIFS($A$4:$A$1510,$A582,$E$4:$E$1510,"Win")))*SUMIFS($Z$4:$Z$1510,$A$4:$A$1510,$A582,$E$4:$E$1510,"Loss"),-('Guide &amp; Settings'!$C$42/($F582-1))*$Z582)))</f>
        <v>16</v>
      </c>
      <c r="AB582" s="126">
        <f t="shared" si="196"/>
        <v>1016</v>
      </c>
      <c r="AC582" s="126">
        <f>IF($D582="","",IF($AD582=0,0,IF(COUNTIFS($D$4:$D582,$D582,$B$4:$B582,$B582)&gt;1,0,IF($B582&lt;'Guide &amp; Settings'!$C$50,0,IF(($B582-$AD582)/7-'Guide &amp; Settings'!$C$48&gt;=0,(INT(($B582-$AD582)/7-'Guide &amp; Settings'!$C$48)+1)*'Guide &amp; Settings'!$C$49,0)))))</f>
        <v>0</v>
      </c>
      <c r="AD582" s="142">
        <f t="shared" si="197"/>
        <v>46255</v>
      </c>
      <c r="AE582">
        <f t="shared" si="198"/>
        <v>1</v>
      </c>
      <c r="AF582">
        <f t="shared" si="199"/>
        <v>0</v>
      </c>
    </row>
    <row r="583" spans="1:32" x14ac:dyDescent="0.2">
      <c r="A583" s="117">
        <v>248</v>
      </c>
      <c r="B583" s="118">
        <v>46256</v>
      </c>
      <c r="C583" s="119" t="s">
        <v>36</v>
      </c>
      <c r="D583" s="119" t="s">
        <v>22</v>
      </c>
      <c r="E583" s="117" t="s">
        <v>371</v>
      </c>
      <c r="F583" s="120">
        <f t="shared" si="180"/>
        <v>5</v>
      </c>
      <c r="G583" s="121" t="str">
        <f t="shared" si="181"/>
        <v>Shawn</v>
      </c>
      <c r="H583" s="122">
        <f>IF($D583="",0,IFERROR(LOOKUP(2,1/(($D$3:D582=$D583)*($A$3:A582&lt;$A583)),$N$3:N582),'Guide &amp; Settings'!$C$41))</f>
        <v>1092.4746538245972</v>
      </c>
      <c r="I583" s="123">
        <f t="shared" si="182"/>
        <v>0.2</v>
      </c>
      <c r="J583" s="124">
        <f>IF($D583="",0,IF($F583&lt;2,0,IF($E583="Win",('Guide &amp; Settings'!$C$42/(($F583-1)*COUNTIFS($A$4:$A$1510,$A583,$E$4:$E$1510,"Win")))*SUMIFS($X$4:$X$1510,$A$4:$A$1510,$A583,$E$4:$E$1510,"Loss"),-('Guide &amp; Settings'!$C$42/($F583-1))*$X583)))</f>
        <v>-1.8711755158580903</v>
      </c>
      <c r="K583" s="124">
        <f>IF($D583="",0,'Guide &amp; Settings'!$C$43*(IF($E583="Win",1,0)-$I583))</f>
        <v>-2.4000000000000004</v>
      </c>
      <c r="L583" s="125">
        <f>IF($D583="",0,'Guide &amp; Settings'!$C$44*IF($F583&gt;=3,$F583,0))</f>
        <v>5</v>
      </c>
      <c r="M583" s="124">
        <f t="shared" si="183"/>
        <v>0.72882448414190915</v>
      </c>
      <c r="N583" s="122">
        <f t="shared" si="184"/>
        <v>1093.203478308739</v>
      </c>
      <c r="O583" s="121" t="str">
        <f t="shared" si="185"/>
        <v>OK</v>
      </c>
      <c r="P583">
        <f t="shared" si="186"/>
        <v>1298.5797170910987</v>
      </c>
      <c r="Q583">
        <f t="shared" si="187"/>
        <v>0.23389693948226128</v>
      </c>
      <c r="R583">
        <f t="shared" si="188"/>
        <v>0.5</v>
      </c>
      <c r="S583">
        <f t="shared" si="189"/>
        <v>2.5</v>
      </c>
      <c r="T583" s="89">
        <f t="shared" si="190"/>
        <v>0</v>
      </c>
      <c r="U583" s="126">
        <f>IF($D583="",0,IFERROR(LOOKUP(2,1/(($D$3:D582=$D583)*($C$3:C582=$C583)*($A$3:A582&lt;$A583)),$AB$3:AB582),1000))</f>
        <v>1000</v>
      </c>
      <c r="V583" s="126">
        <f t="shared" si="191"/>
        <v>1092.4746538245972</v>
      </c>
      <c r="W583">
        <f t="shared" si="192"/>
        <v>1298.5797170910987</v>
      </c>
      <c r="X583">
        <f t="shared" si="193"/>
        <v>0.23389693948226128</v>
      </c>
      <c r="Y583">
        <f t="shared" si="194"/>
        <v>1000</v>
      </c>
      <c r="Z583">
        <f t="shared" si="195"/>
        <v>0.5</v>
      </c>
      <c r="AA583">
        <f>IF($D583="",0,IF($F583&lt;2,0,IF($E583="Win",('Guide &amp; Settings'!$C$42/(($F583-1)*COUNTIFS($A$4:$A$1510,$A583,$E$4:$E$1510,"Win")))*SUMIFS($Z$4:$Z$1510,$A$4:$A$1510,$A583,$E$4:$E$1510,"Loss"),-('Guide &amp; Settings'!$C$42/($F583-1))*$Z583)))</f>
        <v>-4</v>
      </c>
      <c r="AB583" s="126">
        <f t="shared" si="196"/>
        <v>996</v>
      </c>
      <c r="AC583" s="126">
        <f>IF($D583="","",IF($AD583=0,0,IF(COUNTIFS($D$4:$D583,$D583,$B$4:$B583,$B583)&gt;1,0,IF($B583&lt;'Guide &amp; Settings'!$C$50,0,IF(($B583-$AD583)/7-'Guide &amp; Settings'!$C$48&gt;=0,(INT(($B583-$AD583)/7-'Guide &amp; Settings'!$C$48)+1)*'Guide &amp; Settings'!$C$49,0)))))</f>
        <v>0</v>
      </c>
      <c r="AD583" s="142">
        <f t="shared" si="197"/>
        <v>46255</v>
      </c>
      <c r="AE583">
        <f t="shared" si="198"/>
        <v>1</v>
      </c>
      <c r="AF583">
        <f t="shared" si="199"/>
        <v>0</v>
      </c>
    </row>
    <row r="584" spans="1:32" x14ac:dyDescent="0.2">
      <c r="A584" s="117">
        <v>248</v>
      </c>
      <c r="B584" s="118">
        <v>46256</v>
      </c>
      <c r="C584" s="119" t="s">
        <v>36</v>
      </c>
      <c r="D584" s="119" t="s">
        <v>15</v>
      </c>
      <c r="E584" s="117" t="s">
        <v>371</v>
      </c>
      <c r="F584" s="120">
        <f t="shared" si="180"/>
        <v>5</v>
      </c>
      <c r="G584" s="121" t="str">
        <f t="shared" si="181"/>
        <v>Shawn</v>
      </c>
      <c r="H584" s="122">
        <f>IF($D584="",0,IFERROR(LOOKUP(2,1/(($D$3:D583=$D584)*($A$3:A583&lt;$A584)),$N$3:N583),'Guide &amp; Settings'!$C$41))</f>
        <v>1152.2051118735219</v>
      </c>
      <c r="I584" s="123">
        <f t="shared" si="182"/>
        <v>0.2</v>
      </c>
      <c r="J584" s="124">
        <f>IF($D584="",0,IF($F584&lt;2,0,IF($E584="Win",('Guide &amp; Settings'!$C$42/(($F584-1)*COUNTIFS($A$4:$A$1510,$A584,$E$4:$E$1510,"Win")))*SUMIFS($X$4:$X$1510,$A$4:$A$1510,$A584,$E$4:$E$1510,"Loss"),-('Guide &amp; Settings'!$C$42/($F584-1))*$X584)))</f>
        <v>-2.4078998808310073</v>
      </c>
      <c r="K584" s="124">
        <f>IF($D584="",0,'Guide &amp; Settings'!$C$43*(IF($E584="Win",1,0)-$I584))</f>
        <v>-2.4000000000000004</v>
      </c>
      <c r="L584" s="125">
        <f>IF($D584="",0,'Guide &amp; Settings'!$C$44*IF($F584&gt;=3,$F584,0))</f>
        <v>5</v>
      </c>
      <c r="M584" s="124">
        <f t="shared" si="183"/>
        <v>0.19210011916899283</v>
      </c>
      <c r="N584" s="122">
        <f t="shared" si="184"/>
        <v>1152.3972119926909</v>
      </c>
      <c r="O584" s="121" t="str">
        <f t="shared" si="185"/>
        <v>OK</v>
      </c>
      <c r="P584">
        <f t="shared" si="186"/>
        <v>1298.5797170910987</v>
      </c>
      <c r="Q584">
        <f t="shared" si="187"/>
        <v>0.30098748510387591</v>
      </c>
      <c r="R584">
        <f t="shared" si="188"/>
        <v>0.5</v>
      </c>
      <c r="S584">
        <f t="shared" si="189"/>
        <v>2.5</v>
      </c>
      <c r="T584" s="89">
        <f t="shared" si="190"/>
        <v>0</v>
      </c>
      <c r="U584" s="126">
        <f>IF($D584="",0,IFERROR(LOOKUP(2,1/(($D$3:D583=$D584)*($C$3:C583=$C584)*($A$3:A583&lt;$A584)),$AB$3:AB583),1000))</f>
        <v>1000</v>
      </c>
      <c r="V584" s="126">
        <f t="shared" si="191"/>
        <v>1152.2051118735219</v>
      </c>
      <c r="W584">
        <f t="shared" si="192"/>
        <v>1298.5797170910987</v>
      </c>
      <c r="X584">
        <f t="shared" si="193"/>
        <v>0.30098748510387591</v>
      </c>
      <c r="Y584">
        <f t="shared" si="194"/>
        <v>1000</v>
      </c>
      <c r="Z584">
        <f t="shared" si="195"/>
        <v>0.5</v>
      </c>
      <c r="AA584">
        <f>IF($D584="",0,IF($F584&lt;2,0,IF($E584="Win",('Guide &amp; Settings'!$C$42/(($F584-1)*COUNTIFS($A$4:$A$1510,$A584,$E$4:$E$1510,"Win")))*SUMIFS($Z$4:$Z$1510,$A$4:$A$1510,$A584,$E$4:$E$1510,"Loss"),-('Guide &amp; Settings'!$C$42/($F584-1))*$Z584)))</f>
        <v>-4</v>
      </c>
      <c r="AB584" s="126">
        <f t="shared" si="196"/>
        <v>996</v>
      </c>
      <c r="AC584" s="126">
        <f>IF($D584="","",IF($AD584=0,0,IF(COUNTIFS($D$4:$D584,$D584,$B$4:$B584,$B584)&gt;1,0,IF($B584&lt;'Guide &amp; Settings'!$C$50,0,IF(($B584-$AD584)/7-'Guide &amp; Settings'!$C$48&gt;=0,(INT(($B584-$AD584)/7-'Guide &amp; Settings'!$C$48)+1)*'Guide &amp; Settings'!$C$49,0)))))</f>
        <v>0</v>
      </c>
      <c r="AD584" s="142">
        <f t="shared" si="197"/>
        <v>46255</v>
      </c>
      <c r="AE584">
        <f t="shared" si="198"/>
        <v>1</v>
      </c>
      <c r="AF584">
        <f t="shared" si="199"/>
        <v>0</v>
      </c>
    </row>
    <row r="585" spans="1:32" x14ac:dyDescent="0.2">
      <c r="A585" s="117">
        <v>248</v>
      </c>
      <c r="B585" s="118">
        <v>46256</v>
      </c>
      <c r="C585" s="119" t="s">
        <v>36</v>
      </c>
      <c r="D585" s="119" t="s">
        <v>25</v>
      </c>
      <c r="E585" s="117" t="s">
        <v>371</v>
      </c>
      <c r="F585" s="120">
        <f t="shared" si="180"/>
        <v>5</v>
      </c>
      <c r="G585" s="121" t="str">
        <f t="shared" si="181"/>
        <v>Shawn</v>
      </c>
      <c r="H585" s="122">
        <f>IF($D585="",0,IFERROR(LOOKUP(2,1/(($D$3:D584=$D585)*($A$3:A584&lt;$A585)),$N$3:N584),'Guide &amp; Settings'!$C$41))</f>
        <v>1030.389552347157</v>
      </c>
      <c r="I585" s="123">
        <f t="shared" si="182"/>
        <v>0.2</v>
      </c>
      <c r="J585" s="124">
        <f>IF($D585="",0,IF($F585&lt;2,0,IF($E585="Win",('Guide &amp; Settings'!$C$42/(($F585-1)*COUNTIFS($A$4:$A$1510,$A585,$E$4:$E$1510,"Win")))*SUMIFS($X$4:$X$1510,$A$4:$A$1510,$A585,$E$4:$E$1510,"Loss"),-('Guide &amp; Settings'!$C$42/($F585-1))*$X585)))</f>
        <v>-1.4078374021866704</v>
      </c>
      <c r="K585" s="124">
        <f>IF($D585="",0,'Guide &amp; Settings'!$C$43*(IF($E585="Win",1,0)-$I585))</f>
        <v>-2.4000000000000004</v>
      </c>
      <c r="L585" s="125">
        <f>IF($D585="",0,'Guide &amp; Settings'!$C$44*IF($F585&gt;=3,$F585,0))</f>
        <v>5</v>
      </c>
      <c r="M585" s="124">
        <f t="shared" si="183"/>
        <v>1.1921625978133292</v>
      </c>
      <c r="N585" s="122">
        <f t="shared" si="184"/>
        <v>1031.5817149449704</v>
      </c>
      <c r="O585" s="121" t="str">
        <f t="shared" si="185"/>
        <v>OK</v>
      </c>
      <c r="P585">
        <f t="shared" si="186"/>
        <v>1298.5797170910987</v>
      </c>
      <c r="Q585">
        <f t="shared" si="187"/>
        <v>0.1759796752733338</v>
      </c>
      <c r="R585">
        <f t="shared" si="188"/>
        <v>0.5</v>
      </c>
      <c r="S585">
        <f t="shared" si="189"/>
        <v>2.5</v>
      </c>
      <c r="T585" s="89">
        <f t="shared" si="190"/>
        <v>0</v>
      </c>
      <c r="U585" s="126">
        <f>IF($D585="",0,IFERROR(LOOKUP(2,1/(($D$3:D584=$D585)*($C$3:C584=$C585)*($A$3:A584&lt;$A585)),$AB$3:AB584),1000))</f>
        <v>1000</v>
      </c>
      <c r="V585" s="126">
        <f t="shared" si="191"/>
        <v>1030.389552347157</v>
      </c>
      <c r="W585">
        <f t="shared" si="192"/>
        <v>1298.5797170910987</v>
      </c>
      <c r="X585">
        <f t="shared" si="193"/>
        <v>0.1759796752733338</v>
      </c>
      <c r="Y585">
        <f t="shared" si="194"/>
        <v>1000</v>
      </c>
      <c r="Z585">
        <f t="shared" si="195"/>
        <v>0.5</v>
      </c>
      <c r="AA585">
        <f>IF($D585="",0,IF($F585&lt;2,0,IF($E585="Win",('Guide &amp; Settings'!$C$42/(($F585-1)*COUNTIFS($A$4:$A$1510,$A585,$E$4:$E$1510,"Win")))*SUMIFS($Z$4:$Z$1510,$A$4:$A$1510,$A585,$E$4:$E$1510,"Loss"),-('Guide &amp; Settings'!$C$42/($F585-1))*$Z585)))</f>
        <v>-4</v>
      </c>
      <c r="AB585" s="126">
        <f t="shared" si="196"/>
        <v>996</v>
      </c>
      <c r="AC585" s="126">
        <f>IF($D585="","",IF($AD585=0,0,IF(COUNTIFS($D$4:$D585,$D585,$B$4:$B585,$B585)&gt;1,0,IF($B585&lt;'Guide &amp; Settings'!$C$50,0,IF(($B585-$AD585)/7-'Guide &amp; Settings'!$C$48&gt;=0,(INT(($B585-$AD585)/7-'Guide &amp; Settings'!$C$48)+1)*'Guide &amp; Settings'!$C$49,0)))))</f>
        <v>0</v>
      </c>
      <c r="AD585" s="142">
        <f t="shared" si="197"/>
        <v>46243</v>
      </c>
      <c r="AE585">
        <f t="shared" si="198"/>
        <v>1</v>
      </c>
      <c r="AF585">
        <f t="shared" si="199"/>
        <v>0</v>
      </c>
    </row>
    <row r="586" spans="1:32" x14ac:dyDescent="0.2">
      <c r="A586" s="117">
        <v>248</v>
      </c>
      <c r="B586" s="118">
        <v>46256</v>
      </c>
      <c r="C586" s="119" t="s">
        <v>36</v>
      </c>
      <c r="D586" s="119" t="s">
        <v>17</v>
      </c>
      <c r="E586" s="117" t="s">
        <v>371</v>
      </c>
      <c r="F586" s="120">
        <f t="shared" si="180"/>
        <v>5</v>
      </c>
      <c r="G586" s="121" t="str">
        <f t="shared" si="181"/>
        <v>Shawn</v>
      </c>
      <c r="H586" s="122">
        <f>IF($D586="",0,IFERROR(LOOKUP(2,1/(($D$3:D585=$D586)*($A$3:A585&lt;$A586)),$N$3:N585),'Guide &amp; Settings'!$C$41))</f>
        <v>1037.8197114720938</v>
      </c>
      <c r="I586" s="123">
        <f t="shared" si="182"/>
        <v>0.2</v>
      </c>
      <c r="J586" s="124">
        <f>IF($D586="",0,IF($F586&lt;2,0,IF($E586="Win",('Guide &amp; Settings'!$C$42/(($F586-1)*COUNTIFS($A$4:$A$1510,$A586,$E$4:$E$1510,"Win")))*SUMIFS($X$4:$X$1510,$A$4:$A$1510,$A586,$E$4:$E$1510,"Loss"),-('Guide &amp; Settings'!$C$42/($F586-1))*$X586)))</f>
        <v>-1.4581455126981544</v>
      </c>
      <c r="K586" s="124">
        <f>IF($D586="",0,'Guide &amp; Settings'!$C$43*(IF($E586="Win",1,0)-$I586))</f>
        <v>-2.4000000000000004</v>
      </c>
      <c r="L586" s="125">
        <f>IF($D586="",0,'Guide &amp; Settings'!$C$44*IF($F586&gt;=3,$F586,0))</f>
        <v>5</v>
      </c>
      <c r="M586" s="124">
        <f t="shared" si="183"/>
        <v>1.1418544873018455</v>
      </c>
      <c r="N586" s="122">
        <f t="shared" si="184"/>
        <v>1038.9615659593956</v>
      </c>
      <c r="O586" s="121" t="str">
        <f t="shared" si="185"/>
        <v>OK</v>
      </c>
      <c r="P586">
        <f t="shared" si="186"/>
        <v>1298.5797170910987</v>
      </c>
      <c r="Q586">
        <f t="shared" si="187"/>
        <v>0.1822681890872693</v>
      </c>
      <c r="R586">
        <f t="shared" si="188"/>
        <v>0.5</v>
      </c>
      <c r="S586">
        <f t="shared" si="189"/>
        <v>2.5</v>
      </c>
      <c r="T586" s="89">
        <f t="shared" si="190"/>
        <v>0</v>
      </c>
      <c r="U586" s="126">
        <f>IF($D586="",0,IFERROR(LOOKUP(2,1/(($D$3:D585=$D586)*($C$3:C585=$C586)*($A$3:A585&lt;$A586)),$AB$3:AB585),1000))</f>
        <v>1000</v>
      </c>
      <c r="V586" s="126">
        <f t="shared" si="191"/>
        <v>1037.8197114720938</v>
      </c>
      <c r="W586">
        <f t="shared" si="192"/>
        <v>1298.5797170910987</v>
      </c>
      <c r="X586">
        <f t="shared" si="193"/>
        <v>0.1822681890872693</v>
      </c>
      <c r="Y586">
        <f t="shared" si="194"/>
        <v>1000</v>
      </c>
      <c r="Z586">
        <f t="shared" si="195"/>
        <v>0.5</v>
      </c>
      <c r="AA586">
        <f>IF($D586="",0,IF($F586&lt;2,0,IF($E586="Win",('Guide &amp; Settings'!$C$42/(($F586-1)*COUNTIFS($A$4:$A$1510,$A586,$E$4:$E$1510,"Win")))*SUMIFS($Z$4:$Z$1510,$A$4:$A$1510,$A586,$E$4:$E$1510,"Loss"),-('Guide &amp; Settings'!$C$42/($F586-1))*$Z586)))</f>
        <v>-4</v>
      </c>
      <c r="AB586" s="126">
        <f t="shared" si="196"/>
        <v>996</v>
      </c>
      <c r="AC586" s="126">
        <f>IF($D586="","",IF($AD586=0,0,IF(COUNTIFS($D$4:$D586,$D586,$B$4:$B586,$B586)&gt;1,0,IF($B586&lt;'Guide &amp; Settings'!$C$50,0,IF(($B586-$AD586)/7-'Guide &amp; Settings'!$C$48&gt;=0,(INT(($B586-$AD586)/7-'Guide &amp; Settings'!$C$48)+1)*'Guide &amp; Settings'!$C$49,0)))))</f>
        <v>20</v>
      </c>
      <c r="AD586" s="142">
        <f t="shared" si="197"/>
        <v>46220</v>
      </c>
      <c r="AE586">
        <f t="shared" si="198"/>
        <v>1</v>
      </c>
      <c r="AF586">
        <f t="shared" si="199"/>
        <v>0</v>
      </c>
    </row>
    <row r="587" spans="1:32" x14ac:dyDescent="0.2">
      <c r="A587" s="117">
        <v>249</v>
      </c>
      <c r="B587" s="118">
        <v>46256</v>
      </c>
      <c r="C587" s="119" t="s">
        <v>44</v>
      </c>
      <c r="D587" s="119" t="s">
        <v>15</v>
      </c>
      <c r="E587" s="117" t="s">
        <v>371</v>
      </c>
      <c r="F587" s="120">
        <f t="shared" si="180"/>
        <v>2</v>
      </c>
      <c r="G587" s="121" t="str">
        <f t="shared" si="181"/>
        <v>Shawn</v>
      </c>
      <c r="H587" s="122">
        <f>IF($D587="",0,IFERROR(LOOKUP(2,1/(($D$3:D586=$D587)*($A$3:A586&lt;$A587)),$N$3:N586),'Guide &amp; Settings'!$C$41))</f>
        <v>1152.3972119926909</v>
      </c>
      <c r="I587" s="123">
        <f t="shared" si="182"/>
        <v>0.41489361702127658</v>
      </c>
      <c r="J587" s="124">
        <f>IF($D587="",0,IF($F587&lt;2,0,IF($E587="Win",('Guide &amp; Settings'!$C$42/(($F587-1)*COUNTIFS($A$4:$A$1510,$A587,$E$4:$E$1510,"Win")))*SUMIFS($X$4:$X$1510,$A$4:$A$1510,$A587,$E$4:$E$1510,"Loss"),-('Guide &amp; Settings'!$C$42/($F587-1))*$X587)))</f>
        <v>-11.690441056944195</v>
      </c>
      <c r="K587" s="124">
        <f>IF($D587="",0,'Guide &amp; Settings'!$C$43*(IF($E587="Win",1,0)-$I587))</f>
        <v>-4.9787234042553195</v>
      </c>
      <c r="L587" s="125">
        <f>IF($D587="",0,'Guide &amp; Settings'!$C$44*IF($F587&gt;=3,$F587,0))</f>
        <v>0</v>
      </c>
      <c r="M587" s="124">
        <f t="shared" si="183"/>
        <v>-16.669164461199514</v>
      </c>
      <c r="N587" s="122">
        <f t="shared" si="184"/>
        <v>1135.7280475314915</v>
      </c>
      <c r="O587" s="121" t="str">
        <f t="shared" si="185"/>
        <v>OK</v>
      </c>
      <c r="P587">
        <f t="shared" si="186"/>
        <v>1320.3247754026727</v>
      </c>
      <c r="Q587">
        <f t="shared" si="187"/>
        <v>0.27554498659879439</v>
      </c>
      <c r="R587">
        <f t="shared" si="188"/>
        <v>0.6</v>
      </c>
      <c r="S587">
        <f t="shared" si="189"/>
        <v>1.4461538461538461</v>
      </c>
      <c r="T587" s="89">
        <f t="shared" si="190"/>
        <v>13</v>
      </c>
      <c r="U587" s="126">
        <f>IF($D587="",0,IFERROR(LOOKUP(2,1/(($D$3:D586=$D587)*($C$3:C586=$C587)*($A$3:A586&lt;$A587)),$AB$3:AB586),1000))</f>
        <v>1051.6564390991814</v>
      </c>
      <c r="V587" s="126">
        <f t="shared" si="191"/>
        <v>1079.6399871251563</v>
      </c>
      <c r="W587">
        <f t="shared" si="192"/>
        <v>1175.5878253348753</v>
      </c>
      <c r="X587">
        <f t="shared" si="193"/>
        <v>0.36532628302950609</v>
      </c>
      <c r="Y587">
        <f t="shared" si="194"/>
        <v>1109.7983025767855</v>
      </c>
      <c r="Z587">
        <f t="shared" si="195"/>
        <v>0.41709955593786641</v>
      </c>
      <c r="AA587">
        <f>IF($D587="",0,IF($F587&lt;2,0,IF($E587="Win",('Guide &amp; Settings'!$C$42/(($F587-1)*COUNTIFS($A$4:$A$1510,$A587,$E$4:$E$1510,"Win")))*SUMIFS($Z$4:$Z$1510,$A$4:$A$1510,$A587,$E$4:$E$1510,"Loss"),-('Guide &amp; Settings'!$C$42/($F587-1))*$Z587)))</f>
        <v>-13.347185790011725</v>
      </c>
      <c r="AB587" s="126">
        <f t="shared" si="196"/>
        <v>1038.3092533091697</v>
      </c>
      <c r="AC587" s="126">
        <f>IF($D587="","",IF($AD587=0,0,IF(COUNTIFS($D$4:$D587,$D587,$B$4:$B587,$B587)&gt;1,0,IF($B587&lt;'Guide &amp; Settings'!$C$50,0,IF(($B587-$AD587)/7-'Guide &amp; Settings'!$C$48&gt;=0,(INT(($B587-$AD587)/7-'Guide &amp; Settings'!$C$48)+1)*'Guide &amp; Settings'!$C$49,0)))))</f>
        <v>0</v>
      </c>
      <c r="AD587" s="142">
        <f t="shared" si="197"/>
        <v>46255</v>
      </c>
      <c r="AE587">
        <f t="shared" si="198"/>
        <v>1</v>
      </c>
      <c r="AF587">
        <f t="shared" si="199"/>
        <v>0</v>
      </c>
    </row>
    <row r="588" spans="1:32" x14ac:dyDescent="0.2">
      <c r="A588" s="117">
        <v>249</v>
      </c>
      <c r="B588" s="118">
        <v>46256</v>
      </c>
      <c r="C588" s="119" t="s">
        <v>44</v>
      </c>
      <c r="D588" s="119" t="s">
        <v>20</v>
      </c>
      <c r="E588" s="117" t="s">
        <v>370</v>
      </c>
      <c r="F588" s="120">
        <f t="shared" si="180"/>
        <v>2</v>
      </c>
      <c r="G588" s="121" t="str">
        <f t="shared" si="181"/>
        <v>Shawn</v>
      </c>
      <c r="H588" s="122">
        <f>IF($D588="",0,IFERROR(LOOKUP(2,1/(($D$3:D587=$D588)*($A$3:A587&lt;$A588)),$N$3:N587),'Guide &amp; Settings'!$C$41))</f>
        <v>1320.3247754026727</v>
      </c>
      <c r="I588" s="123">
        <f t="shared" si="182"/>
        <v>0.58510638297872342</v>
      </c>
      <c r="J588" s="124">
        <f>IF($D588="",0,IF($F588&lt;2,0,IF($E588="Win",('Guide &amp; Settings'!$C$42/(($F588-1)*COUNTIFS($A$4:$A$1510,$A588,$E$4:$E$1510,"Win")))*SUMIFS($X$4:$X$1510,$A$4:$A$1510,$A588,$E$4:$E$1510,"Loss"),-('Guide &amp; Settings'!$C$42/($F588-1))*$X588)))</f>
        <v>11.690441056944195</v>
      </c>
      <c r="K588" s="124">
        <f>IF($D588="",0,'Guide &amp; Settings'!$C$43*(IF($E588="Win",1,0)-$I588))</f>
        <v>4.9787234042553195</v>
      </c>
      <c r="L588" s="125">
        <f>IF($D588="",0,'Guide &amp; Settings'!$C$44*IF($F588&gt;=3,$F588,0))</f>
        <v>0</v>
      </c>
      <c r="M588" s="124">
        <f t="shared" si="183"/>
        <v>16.669164461199514</v>
      </c>
      <c r="N588" s="122">
        <f t="shared" si="184"/>
        <v>1336.9939398638721</v>
      </c>
      <c r="O588" s="121" t="str">
        <f t="shared" si="185"/>
        <v>OK</v>
      </c>
      <c r="P588">
        <f t="shared" si="186"/>
        <v>1320.3247754026727</v>
      </c>
      <c r="Q588">
        <f t="shared" si="187"/>
        <v>0.5</v>
      </c>
      <c r="R588">
        <f t="shared" si="188"/>
        <v>0.84615384615384615</v>
      </c>
      <c r="S588">
        <f t="shared" si="189"/>
        <v>1.4461538461538461</v>
      </c>
      <c r="T588" s="89">
        <f t="shared" si="190"/>
        <v>11</v>
      </c>
      <c r="U588" s="126">
        <f>IF($D588="",0,IFERROR(LOOKUP(2,1/(($D$3:D587=$D588)*($C$3:C587=$C588)*($A$3:A587&lt;$A588)),$AB$3:AB587),1000))</f>
        <v>1109.7983025767855</v>
      </c>
      <c r="V588" s="126">
        <f t="shared" si="191"/>
        <v>1175.5878253348753</v>
      </c>
      <c r="W588">
        <f t="shared" si="192"/>
        <v>1175.5878253348753</v>
      </c>
      <c r="X588">
        <f t="shared" si="193"/>
        <v>0.5</v>
      </c>
      <c r="Y588">
        <f t="shared" si="194"/>
        <v>1109.7983025767855</v>
      </c>
      <c r="Z588">
        <f t="shared" si="195"/>
        <v>0.5</v>
      </c>
      <c r="AA588">
        <f>IF($D588="",0,IF($F588&lt;2,0,IF($E588="Win",('Guide &amp; Settings'!$C$42/(($F588-1)*COUNTIFS($A$4:$A$1510,$A588,$E$4:$E$1510,"Win")))*SUMIFS($Z$4:$Z$1510,$A$4:$A$1510,$A588,$E$4:$E$1510,"Loss"),-('Guide &amp; Settings'!$C$42/($F588-1))*$Z588)))</f>
        <v>13.347185790011725</v>
      </c>
      <c r="AB588" s="126">
        <f t="shared" si="196"/>
        <v>1123.1454883667973</v>
      </c>
      <c r="AC588" s="126">
        <f>IF($D588="","",IF($AD588=0,0,IF(COUNTIFS($D$4:$D588,$D588,$B$4:$B588,$B588)&gt;1,0,IF($B588&lt;'Guide &amp; Settings'!$C$50,0,IF(($B588-$AD588)/7-'Guide &amp; Settings'!$C$48&gt;=0,(INT(($B588-$AD588)/7-'Guide &amp; Settings'!$C$48)+1)*'Guide &amp; Settings'!$C$49,0)))))</f>
        <v>0</v>
      </c>
      <c r="AD588" s="142">
        <f t="shared" si="197"/>
        <v>46255</v>
      </c>
      <c r="AE588">
        <f t="shared" si="198"/>
        <v>1</v>
      </c>
      <c r="AF588">
        <f t="shared" si="199"/>
        <v>0</v>
      </c>
    </row>
    <row r="589" spans="1:32" x14ac:dyDescent="0.2">
      <c r="A589" s="117">
        <v>250</v>
      </c>
      <c r="B589" s="118">
        <v>46256</v>
      </c>
      <c r="C589" s="119" t="s">
        <v>44</v>
      </c>
      <c r="D589" s="119" t="s">
        <v>15</v>
      </c>
      <c r="E589" s="117" t="s">
        <v>370</v>
      </c>
      <c r="F589" s="120">
        <f t="shared" si="180"/>
        <v>2</v>
      </c>
      <c r="G589" s="121" t="str">
        <f t="shared" si="181"/>
        <v>Aaron</v>
      </c>
      <c r="H589" s="122">
        <f>IF($D589="",0,IFERROR(LOOKUP(2,1/(($D$3:D588=$D589)*($A$3:A588&lt;$A589)),$N$3:N588),'Guide &amp; Settings'!$C$41))</f>
        <v>1135.7280475314915</v>
      </c>
      <c r="I589" s="123">
        <f t="shared" si="182"/>
        <v>0.39622641509433959</v>
      </c>
      <c r="J589" s="124">
        <f>IF($D589="",0,IF($F589&lt;2,0,IF($E589="Win",('Guide &amp; Settings'!$C$42/(($F589-1)*COUNTIFS($A$4:$A$1510,$A589,$E$4:$E$1510,"Win")))*SUMIFS($X$4:$X$1510,$A$4:$A$1510,$A589,$E$4:$E$1510,"Loss"),-('Guide &amp; Settings'!$C$42/($F589-1))*$X589)))</f>
        <v>21.402168750294262</v>
      </c>
      <c r="K589" s="124">
        <f>IF($D589="",0,'Guide &amp; Settings'!$C$43*(IF($E589="Win",1,0)-$I589))</f>
        <v>7.2452830188679256</v>
      </c>
      <c r="L589" s="125">
        <f>IF($D589="",0,'Guide &amp; Settings'!$C$44*IF($F589&gt;=3,$F589,0))</f>
        <v>0</v>
      </c>
      <c r="M589" s="124">
        <f t="shared" si="183"/>
        <v>28.647451769162188</v>
      </c>
      <c r="N589" s="122">
        <f t="shared" si="184"/>
        <v>1164.3754993006537</v>
      </c>
      <c r="O589" s="121" t="str">
        <f t="shared" si="185"/>
        <v>OK</v>
      </c>
      <c r="P589">
        <f t="shared" si="186"/>
        <v>1135.7280475314915</v>
      </c>
      <c r="Q589">
        <f t="shared" si="187"/>
        <v>0.5</v>
      </c>
      <c r="R589">
        <f t="shared" si="188"/>
        <v>0.5625</v>
      </c>
      <c r="S589">
        <f t="shared" si="189"/>
        <v>1.4196428571428572</v>
      </c>
      <c r="T589" s="89">
        <f t="shared" si="190"/>
        <v>14</v>
      </c>
      <c r="U589" s="126">
        <f>IF($D589="",0,IFERROR(LOOKUP(2,1/(($D$3:D588=$D589)*($C$3:C588=$C589)*($A$3:A588&lt;$A589)),$AB$3:AB588),1000))</f>
        <v>1038.3092533091697</v>
      </c>
      <c r="V589" s="126">
        <f t="shared" si="191"/>
        <v>1063.9457781045176</v>
      </c>
      <c r="W589">
        <f t="shared" si="192"/>
        <v>1063.9457781045176</v>
      </c>
      <c r="X589">
        <f t="shared" si="193"/>
        <v>0.5</v>
      </c>
      <c r="Y589">
        <f t="shared" si="194"/>
        <v>1038.3092533091697</v>
      </c>
      <c r="Z589">
        <f t="shared" si="195"/>
        <v>0.5</v>
      </c>
      <c r="AA589">
        <f>IF($D589="",0,IF($F589&lt;2,0,IF($E589="Win",('Guide &amp; Settings'!$C$42/(($F589-1)*COUNTIFS($A$4:$A$1510,$A589,$E$4:$E$1510,"Win")))*SUMIFS($Z$4:$Z$1510,$A$4:$A$1510,$A589,$E$4:$E$1510,"Loss"),-('Guide &amp; Settings'!$C$42/($F589-1))*$Z589)))</f>
        <v>19.831015006728794</v>
      </c>
      <c r="AB589" s="126">
        <f t="shared" si="196"/>
        <v>1058.1402683158985</v>
      </c>
      <c r="AC589" s="126">
        <f>IF($D589="","",IF($AD589=0,0,IF(COUNTIFS($D$4:$D589,$D589,$B$4:$B589,$B589)&gt;1,0,IF($B589&lt;'Guide &amp; Settings'!$C$50,0,IF(($B589-$AD589)/7-'Guide &amp; Settings'!$C$48&gt;=0,(INT(($B589-$AD589)/7-'Guide &amp; Settings'!$C$48)+1)*'Guide &amp; Settings'!$C$49,0)))))</f>
        <v>0</v>
      </c>
      <c r="AD589" s="142">
        <f t="shared" si="197"/>
        <v>46255</v>
      </c>
      <c r="AE589">
        <f t="shared" si="198"/>
        <v>1</v>
      </c>
      <c r="AF589">
        <f t="shared" si="199"/>
        <v>0</v>
      </c>
    </row>
    <row r="590" spans="1:32" x14ac:dyDescent="0.2">
      <c r="A590" s="117">
        <v>250</v>
      </c>
      <c r="B590" s="118">
        <v>46256</v>
      </c>
      <c r="C590" s="119" t="s">
        <v>44</v>
      </c>
      <c r="D590" s="119" t="s">
        <v>20</v>
      </c>
      <c r="E590" s="117" t="s">
        <v>371</v>
      </c>
      <c r="F590" s="120">
        <f t="shared" si="180"/>
        <v>2</v>
      </c>
      <c r="G590" s="121" t="str">
        <f t="shared" si="181"/>
        <v>Aaron</v>
      </c>
      <c r="H590" s="122">
        <f>IF($D590="",0,IFERROR(LOOKUP(2,1/(($D$3:D589=$D590)*($A$3:A589&lt;$A590)),$N$3:N589),'Guide &amp; Settings'!$C$41))</f>
        <v>1336.9939398638721</v>
      </c>
      <c r="I590" s="123">
        <f t="shared" si="182"/>
        <v>0.60377358490566035</v>
      </c>
      <c r="J590" s="124">
        <f>IF($D590="",0,IF($F590&lt;2,0,IF($E590="Win",('Guide &amp; Settings'!$C$42/(($F590-1)*COUNTIFS($A$4:$A$1510,$A590,$E$4:$E$1510,"Win")))*SUMIFS($X$4:$X$1510,$A$4:$A$1510,$A590,$E$4:$E$1510,"Loss"),-('Guide &amp; Settings'!$C$42/($F590-1))*$X590)))</f>
        <v>-21.402168750294262</v>
      </c>
      <c r="K590" s="124">
        <f>IF($D590="",0,'Guide &amp; Settings'!$C$43*(IF($E590="Win",1,0)-$I590))</f>
        <v>-7.2452830188679247</v>
      </c>
      <c r="L590" s="125">
        <f>IF($D590="",0,'Guide &amp; Settings'!$C$44*IF($F590&gt;=3,$F590,0))</f>
        <v>0</v>
      </c>
      <c r="M590" s="124">
        <f t="shared" si="183"/>
        <v>-28.647451769162188</v>
      </c>
      <c r="N590" s="122">
        <f t="shared" si="184"/>
        <v>1308.3464880947099</v>
      </c>
      <c r="O590" s="121" t="str">
        <f t="shared" si="185"/>
        <v>OK</v>
      </c>
      <c r="P590">
        <f t="shared" si="186"/>
        <v>1135.7280475314915</v>
      </c>
      <c r="Q590">
        <f t="shared" si="187"/>
        <v>0.76107452651507901</v>
      </c>
      <c r="R590">
        <f t="shared" si="188"/>
        <v>0.8571428571428571</v>
      </c>
      <c r="S590">
        <f t="shared" si="189"/>
        <v>1.4196428571428572</v>
      </c>
      <c r="T590" s="89">
        <f t="shared" si="190"/>
        <v>12</v>
      </c>
      <c r="U590" s="126">
        <f>IF($D590="",0,IFERROR(LOOKUP(2,1/(($D$3:D589=$D590)*($C$3:C589=$C590)*($A$3:A589&lt;$A590)),$AB$3:AB589),1000))</f>
        <v>1123.1454883667973</v>
      </c>
      <c r="V590" s="126">
        <f t="shared" si="191"/>
        <v>1186.0420917482897</v>
      </c>
      <c r="W590">
        <f t="shared" si="192"/>
        <v>1063.9457781045176</v>
      </c>
      <c r="X590">
        <f t="shared" si="193"/>
        <v>0.66881777344669568</v>
      </c>
      <c r="Y590">
        <f t="shared" si="194"/>
        <v>1038.3092533091697</v>
      </c>
      <c r="Z590">
        <f t="shared" si="195"/>
        <v>0.61971921896027482</v>
      </c>
      <c r="AA590">
        <f>IF($D590="",0,IF($F590&lt;2,0,IF($E590="Win",('Guide &amp; Settings'!$C$42/(($F590-1)*COUNTIFS($A$4:$A$1510,$A590,$E$4:$E$1510,"Win")))*SUMIFS($Z$4:$Z$1510,$A$4:$A$1510,$A590,$E$4:$E$1510,"Loss"),-('Guide &amp; Settings'!$C$42/($F590-1))*$Z590)))</f>
        <v>-19.831015006728794</v>
      </c>
      <c r="AB590" s="126">
        <f t="shared" si="196"/>
        <v>1103.3144733600684</v>
      </c>
      <c r="AC590" s="126">
        <f>IF($D590="","",IF($AD590=0,0,IF(COUNTIFS($D$4:$D590,$D590,$B$4:$B590,$B590)&gt;1,0,IF($B590&lt;'Guide &amp; Settings'!$C$50,0,IF(($B590-$AD590)/7-'Guide &amp; Settings'!$C$48&gt;=0,(INT(($B590-$AD590)/7-'Guide &amp; Settings'!$C$48)+1)*'Guide &amp; Settings'!$C$49,0)))))</f>
        <v>0</v>
      </c>
      <c r="AD590" s="142">
        <f t="shared" si="197"/>
        <v>46255</v>
      </c>
      <c r="AE590">
        <f t="shared" si="198"/>
        <v>1</v>
      </c>
      <c r="AF590">
        <f t="shared" si="199"/>
        <v>0</v>
      </c>
    </row>
    <row r="591" spans="1:32" x14ac:dyDescent="0.2">
      <c r="A591" s="117">
        <v>251</v>
      </c>
      <c r="B591" s="118">
        <v>46256</v>
      </c>
      <c r="C591" s="119" t="s">
        <v>44</v>
      </c>
      <c r="D591" s="119" t="s">
        <v>15</v>
      </c>
      <c r="E591" s="117" t="s">
        <v>370</v>
      </c>
      <c r="F591" s="120">
        <f t="shared" si="180"/>
        <v>2</v>
      </c>
      <c r="G591" s="121" t="str">
        <f t="shared" si="181"/>
        <v>Aaron</v>
      </c>
      <c r="H591" s="122">
        <f>IF($D591="",0,IFERROR(LOOKUP(2,1/(($D$3:D590=$D591)*($A$3:A590&lt;$A591)),$N$3:N590),'Guide &amp; Settings'!$C$41))</f>
        <v>1164.3754993006537</v>
      </c>
      <c r="I591" s="123">
        <f t="shared" si="182"/>
        <v>0.68807339449541283</v>
      </c>
      <c r="J591" s="124">
        <f>IF($D591="",0,IF($F591&lt;2,0,IF($E591="Win",('Guide &amp; Settings'!$C$42/(($F591-1)*COUNTIFS($A$4:$A$1510,$A591,$E$4:$E$1510,"Win")))*SUMIFS($X$4:$X$1510,$A$4:$A$1510,$A591,$E$4:$E$1510,"Loss"),-('Guide &amp; Settings'!$C$42/($F591-1))*$X591)))</f>
        <v>11.039462800401015</v>
      </c>
      <c r="K591" s="124">
        <f>IF($D591="",0,'Guide &amp; Settings'!$C$43*(IF($E591="Win",1,0)-$I591))</f>
        <v>3.7431192660550461</v>
      </c>
      <c r="L591" s="125">
        <f>IF($D591="",0,'Guide &amp; Settings'!$C$44*IF($F591&gt;=3,$F591,0))</f>
        <v>0</v>
      </c>
      <c r="M591" s="124">
        <f t="shared" si="183"/>
        <v>14.782582066456062</v>
      </c>
      <c r="N591" s="122">
        <f t="shared" si="184"/>
        <v>1179.1580813671098</v>
      </c>
      <c r="O591" s="121" t="str">
        <f t="shared" si="185"/>
        <v>OK</v>
      </c>
      <c r="P591">
        <f t="shared" si="186"/>
        <v>1164.3754993006537</v>
      </c>
      <c r="Q591">
        <f t="shared" si="187"/>
        <v>0.5</v>
      </c>
      <c r="R591">
        <f t="shared" si="188"/>
        <v>0.58823529411764708</v>
      </c>
      <c r="S591">
        <f t="shared" si="189"/>
        <v>0.8549019607843138</v>
      </c>
      <c r="T591" s="89">
        <f t="shared" si="190"/>
        <v>15</v>
      </c>
      <c r="U591" s="126">
        <f>IF($D591="",0,IFERROR(LOOKUP(2,1/(($D$3:D590=$D591)*($C$3:C590=$C591)*($A$3:A590&lt;$A591)),$AB$3:AB590),1000))</f>
        <v>1058.1402683158985</v>
      </c>
      <c r="V591" s="126">
        <f t="shared" si="191"/>
        <v>1084.6990760620874</v>
      </c>
      <c r="W591">
        <f t="shared" si="192"/>
        <v>1084.6990760620874</v>
      </c>
      <c r="X591">
        <f t="shared" si="193"/>
        <v>0.5</v>
      </c>
      <c r="Y591">
        <f t="shared" si="194"/>
        <v>1058.1402683158985</v>
      </c>
      <c r="Z591">
        <f t="shared" si="195"/>
        <v>0.5</v>
      </c>
      <c r="AA591">
        <f>IF($D591="",0,IF($F591&lt;2,0,IF($E591="Win",('Guide &amp; Settings'!$C$42/(($F591-1)*COUNTIFS($A$4:$A$1510,$A591,$E$4:$E$1510,"Win")))*SUMIFS($Z$4:$Z$1510,$A$4:$A$1510,$A591,$E$4:$E$1510,"Loss"),-('Guide &amp; Settings'!$C$42/($F591-1))*$Z591)))</f>
        <v>10.240421725094031</v>
      </c>
      <c r="AB591" s="126">
        <f t="shared" si="196"/>
        <v>1068.3806900409925</v>
      </c>
      <c r="AC591" s="126">
        <f>IF($D591="","",IF($AD591=0,0,IF(COUNTIFS($D$4:$D591,$D591,$B$4:$B591,$B591)&gt;1,0,IF($B591&lt;'Guide &amp; Settings'!$C$50,0,IF(($B591-$AD591)/7-'Guide &amp; Settings'!$C$48&gt;=0,(INT(($B591-$AD591)/7-'Guide &amp; Settings'!$C$48)+1)*'Guide &amp; Settings'!$C$49,0)))))</f>
        <v>0</v>
      </c>
      <c r="AD591" s="142">
        <f t="shared" si="197"/>
        <v>46255</v>
      </c>
      <c r="AE591">
        <f t="shared" si="198"/>
        <v>1</v>
      </c>
      <c r="AF591">
        <f t="shared" si="199"/>
        <v>0</v>
      </c>
    </row>
    <row r="592" spans="1:32" x14ac:dyDescent="0.2">
      <c r="A592" s="117">
        <v>251</v>
      </c>
      <c r="B592" s="118">
        <v>46256</v>
      </c>
      <c r="C592" s="119" t="s">
        <v>44</v>
      </c>
      <c r="D592" s="119" t="s">
        <v>22</v>
      </c>
      <c r="E592" s="117" t="s">
        <v>371</v>
      </c>
      <c r="F592" s="120">
        <f t="shared" si="180"/>
        <v>2</v>
      </c>
      <c r="G592" s="121" t="str">
        <f t="shared" si="181"/>
        <v>Aaron</v>
      </c>
      <c r="H592" s="122">
        <f>IF($D592="",0,IFERROR(LOOKUP(2,1/(($D$3:D591=$D592)*($A$3:A591&lt;$A592)),$N$3:N591),'Guide &amp; Settings'!$C$41))</f>
        <v>1093.203478308739</v>
      </c>
      <c r="I592" s="123">
        <f t="shared" si="182"/>
        <v>0.31192660550458712</v>
      </c>
      <c r="J592" s="124">
        <f>IF($D592="",0,IF($F592&lt;2,0,IF($E592="Win",('Guide &amp; Settings'!$C$42/(($F592-1)*COUNTIFS($A$4:$A$1510,$A592,$E$4:$E$1510,"Win")))*SUMIFS($X$4:$X$1510,$A$4:$A$1510,$A592,$E$4:$E$1510,"Loss"),-('Guide &amp; Settings'!$C$42/($F592-1))*$X592)))</f>
        <v>-11.039462800401015</v>
      </c>
      <c r="K592" s="124">
        <f>IF($D592="",0,'Guide &amp; Settings'!$C$43*(IF($E592="Win",1,0)-$I592))</f>
        <v>-3.7431192660550456</v>
      </c>
      <c r="L592" s="125">
        <f>IF($D592="",0,'Guide &amp; Settings'!$C$44*IF($F592&gt;=3,$F592,0))</f>
        <v>0</v>
      </c>
      <c r="M592" s="124">
        <f t="shared" si="183"/>
        <v>-14.782582066456062</v>
      </c>
      <c r="N592" s="122">
        <f t="shared" si="184"/>
        <v>1078.4208962422829</v>
      </c>
      <c r="O592" s="121" t="str">
        <f t="shared" si="185"/>
        <v>OK</v>
      </c>
      <c r="P592">
        <f t="shared" si="186"/>
        <v>1164.3754993006537</v>
      </c>
      <c r="Q592">
        <f t="shared" si="187"/>
        <v>0.39898427677379611</v>
      </c>
      <c r="R592">
        <f t="shared" si="188"/>
        <v>0.26666666666666666</v>
      </c>
      <c r="S592">
        <f t="shared" si="189"/>
        <v>0.8549019607843138</v>
      </c>
      <c r="T592" s="89">
        <f t="shared" si="190"/>
        <v>13</v>
      </c>
      <c r="U592" s="126">
        <f>IF($D592="",0,IFERROR(LOOKUP(2,1/(($D$3:D591=$D592)*($C$3:C591=$C592)*($A$3:A591&lt;$A592)),$AB$3:AB591),1000))</f>
        <v>927.20721563699965</v>
      </c>
      <c r="V592" s="126">
        <f t="shared" si="191"/>
        <v>973.31728860137173</v>
      </c>
      <c r="W592">
        <f t="shared" si="192"/>
        <v>1084.6990760620874</v>
      </c>
      <c r="X592">
        <f t="shared" si="193"/>
        <v>0.34498321251253172</v>
      </c>
      <c r="Y592">
        <f t="shared" si="194"/>
        <v>1058.1402683158985</v>
      </c>
      <c r="Z592">
        <f t="shared" si="195"/>
        <v>0.32001317890918846</v>
      </c>
      <c r="AA592">
        <f>IF($D592="",0,IF($F592&lt;2,0,IF($E592="Win",('Guide &amp; Settings'!$C$42/(($F592-1)*COUNTIFS($A$4:$A$1510,$A592,$E$4:$E$1510,"Win")))*SUMIFS($Z$4:$Z$1510,$A$4:$A$1510,$A592,$E$4:$E$1510,"Loss"),-('Guide &amp; Settings'!$C$42/($F592-1))*$Z592)))</f>
        <v>-10.240421725094031</v>
      </c>
      <c r="AB592" s="126">
        <f t="shared" si="196"/>
        <v>916.9667939119056</v>
      </c>
      <c r="AC592" s="126">
        <f>IF($D592="","",IF($AD592=0,0,IF(COUNTIFS($D$4:$D592,$D592,$B$4:$B592,$B592)&gt;1,0,IF($B592&lt;'Guide &amp; Settings'!$C$50,0,IF(($B592-$AD592)/7-'Guide &amp; Settings'!$C$48&gt;=0,(INT(($B592-$AD592)/7-'Guide &amp; Settings'!$C$48)+1)*'Guide &amp; Settings'!$C$49,0)))))</f>
        <v>0</v>
      </c>
      <c r="AD592" s="142">
        <f t="shared" si="197"/>
        <v>46255</v>
      </c>
      <c r="AE592">
        <f t="shared" si="198"/>
        <v>1</v>
      </c>
      <c r="AF592">
        <f t="shared" si="199"/>
        <v>0</v>
      </c>
    </row>
    <row r="593" spans="1:32" x14ac:dyDescent="0.2">
      <c r="A593" s="117">
        <v>252</v>
      </c>
      <c r="B593" s="118">
        <v>46256</v>
      </c>
      <c r="C593" s="119" t="s">
        <v>44</v>
      </c>
      <c r="D593" s="119" t="s">
        <v>20</v>
      </c>
      <c r="E593" s="117" t="s">
        <v>370</v>
      </c>
      <c r="F593" s="120">
        <f t="shared" si="180"/>
        <v>2</v>
      </c>
      <c r="G593" s="121" t="str">
        <f t="shared" si="181"/>
        <v>Shawn</v>
      </c>
      <c r="H593" s="122">
        <f>IF($D593="",0,IFERROR(LOOKUP(2,1/(($D$3:D592=$D593)*($A$3:A592&lt;$A593)),$N$3:N592),'Guide &amp; Settings'!$C$41))</f>
        <v>1308.3464880947099</v>
      </c>
      <c r="I593" s="123">
        <f t="shared" si="182"/>
        <v>0.76190476190476186</v>
      </c>
      <c r="J593" s="124">
        <f>IF($D593="",0,IF($F593&lt;2,0,IF($E593="Win",('Guide &amp; Settings'!$C$42/(($F593-1)*COUNTIFS($A$4:$A$1510,$A593,$E$4:$E$1510,"Win")))*SUMIFS($X$4:$X$1510,$A$4:$A$1510,$A593,$E$4:$E$1510,"Loss"),-('Guide &amp; Settings'!$C$42/($F593-1))*$X593)))</f>
        <v>7.6607924461752104</v>
      </c>
      <c r="K593" s="124">
        <f>IF($D593="",0,'Guide &amp; Settings'!$C$43*(IF($E593="Win",1,0)-$I593))</f>
        <v>2.8571428571428577</v>
      </c>
      <c r="L593" s="125">
        <f>IF($D593="",0,'Guide &amp; Settings'!$C$44*IF($F593&gt;=3,$F593,0))</f>
        <v>0</v>
      </c>
      <c r="M593" s="124">
        <f t="shared" si="183"/>
        <v>10.517935303318069</v>
      </c>
      <c r="N593" s="122">
        <f t="shared" si="184"/>
        <v>1318.8644233980281</v>
      </c>
      <c r="O593" s="121" t="str">
        <f t="shared" si="185"/>
        <v>OK</v>
      </c>
      <c r="P593">
        <f t="shared" si="186"/>
        <v>1308.3464880947099</v>
      </c>
      <c r="Q593">
        <f t="shared" si="187"/>
        <v>0.5</v>
      </c>
      <c r="R593">
        <f t="shared" si="188"/>
        <v>0.8</v>
      </c>
      <c r="S593">
        <f t="shared" si="189"/>
        <v>1.05</v>
      </c>
      <c r="T593" s="89">
        <f t="shared" si="190"/>
        <v>13</v>
      </c>
      <c r="U593" s="126">
        <f>IF($D593="",0,IFERROR(LOOKUP(2,1/(($D$3:D592=$D593)*($C$3:C592=$C593)*($A$3:A592&lt;$A593)),$AB$3:AB592),1000))</f>
        <v>1103.3144733600684</v>
      </c>
      <c r="V593" s="126">
        <f t="shared" si="191"/>
        <v>1160.2678107863578</v>
      </c>
      <c r="W593">
        <f t="shared" si="192"/>
        <v>1160.2678107863578</v>
      </c>
      <c r="X593">
        <f t="shared" si="193"/>
        <v>0.5</v>
      </c>
      <c r="Y593">
        <f t="shared" si="194"/>
        <v>1103.3144733600684</v>
      </c>
      <c r="Z593">
        <f t="shared" si="195"/>
        <v>0.5</v>
      </c>
      <c r="AA593">
        <f>IF($D593="",0,IF($F593&lt;2,0,IF($E593="Win",('Guide &amp; Settings'!$C$42/(($F593-1)*COUNTIFS($A$4:$A$1510,$A593,$E$4:$E$1510,"Win")))*SUMIFS($Z$4:$Z$1510,$A$4:$A$1510,$A593,$E$4:$E$1510,"Loss"),-('Guide &amp; Settings'!$C$42/($F593-1))*$Z593)))</f>
        <v>8.1564575554013992</v>
      </c>
      <c r="AB593" s="126">
        <f t="shared" si="196"/>
        <v>1111.4709309154698</v>
      </c>
      <c r="AC593" s="126">
        <f>IF($D593="","",IF($AD593=0,0,IF(COUNTIFS($D$4:$D593,$D593,$B$4:$B593,$B593)&gt;1,0,IF($B593&lt;'Guide &amp; Settings'!$C$50,0,IF(($B593-$AD593)/7-'Guide &amp; Settings'!$C$48&gt;=0,(INT(($B593-$AD593)/7-'Guide &amp; Settings'!$C$48)+1)*'Guide &amp; Settings'!$C$49,0)))))</f>
        <v>0</v>
      </c>
      <c r="AD593" s="142">
        <f t="shared" si="197"/>
        <v>46255</v>
      </c>
      <c r="AE593">
        <f t="shared" si="198"/>
        <v>1</v>
      </c>
      <c r="AF593">
        <f t="shared" si="199"/>
        <v>0</v>
      </c>
    </row>
    <row r="594" spans="1:32" x14ac:dyDescent="0.2">
      <c r="A594" s="117">
        <v>252</v>
      </c>
      <c r="B594" s="118">
        <v>46256</v>
      </c>
      <c r="C594" s="119" t="s">
        <v>44</v>
      </c>
      <c r="D594" s="119" t="s">
        <v>22</v>
      </c>
      <c r="E594" s="117" t="s">
        <v>371</v>
      </c>
      <c r="F594" s="120">
        <f t="shared" si="180"/>
        <v>2</v>
      </c>
      <c r="G594" s="121" t="str">
        <f t="shared" si="181"/>
        <v>Shawn</v>
      </c>
      <c r="H594" s="122">
        <f>IF($D594="",0,IFERROR(LOOKUP(2,1/(($D$3:D593=$D594)*($A$3:A593&lt;$A594)),$N$3:N593),'Guide &amp; Settings'!$C$41))</f>
        <v>1078.4208962422829</v>
      </c>
      <c r="I594" s="123">
        <f t="shared" si="182"/>
        <v>0.23809523809523808</v>
      </c>
      <c r="J594" s="124">
        <f>IF($D594="",0,IF($F594&lt;2,0,IF($E594="Win",('Guide &amp; Settings'!$C$42/(($F594-1)*COUNTIFS($A$4:$A$1510,$A594,$E$4:$E$1510,"Win")))*SUMIFS($X$4:$X$1510,$A$4:$A$1510,$A594,$E$4:$E$1510,"Loss"),-('Guide &amp; Settings'!$C$42/($F594-1))*$X594)))</f>
        <v>-7.6607924461752104</v>
      </c>
      <c r="K594" s="124">
        <f>IF($D594="",0,'Guide &amp; Settings'!$C$43*(IF($E594="Win",1,0)-$I594))</f>
        <v>-2.8571428571428568</v>
      </c>
      <c r="L594" s="125">
        <f>IF($D594="",0,'Guide &amp; Settings'!$C$44*IF($F594&gt;=3,$F594,0))</f>
        <v>0</v>
      </c>
      <c r="M594" s="124">
        <f t="shared" si="183"/>
        <v>-10.517935303318067</v>
      </c>
      <c r="N594" s="122">
        <f t="shared" si="184"/>
        <v>1067.9029609389647</v>
      </c>
      <c r="O594" s="121" t="str">
        <f t="shared" si="185"/>
        <v>OK</v>
      </c>
      <c r="P594">
        <f t="shared" si="186"/>
        <v>1308.3464880947099</v>
      </c>
      <c r="Q594">
        <f t="shared" si="187"/>
        <v>0.21022692733880077</v>
      </c>
      <c r="R594">
        <f t="shared" si="188"/>
        <v>0.25</v>
      </c>
      <c r="S594">
        <f t="shared" si="189"/>
        <v>1.05</v>
      </c>
      <c r="T594" s="89">
        <f t="shared" si="190"/>
        <v>14</v>
      </c>
      <c r="U594" s="126">
        <f>IF($D594="",0,IFERROR(LOOKUP(2,1/(($D$3:D593=$D594)*($C$3:C593=$C594)*($A$3:A593&lt;$A594)),$AB$3:AB593),1000))</f>
        <v>916.9667939119056</v>
      </c>
      <c r="V594" s="126">
        <f t="shared" si="191"/>
        <v>959.45471557779433</v>
      </c>
      <c r="W594">
        <f t="shared" si="192"/>
        <v>1160.2678107863578</v>
      </c>
      <c r="X594">
        <f t="shared" si="193"/>
        <v>0.23939976394297532</v>
      </c>
      <c r="Y594">
        <f t="shared" si="194"/>
        <v>1103.3144733600684</v>
      </c>
      <c r="Z594">
        <f t="shared" si="195"/>
        <v>0.25488929860629372</v>
      </c>
      <c r="AA594">
        <f>IF($D594="",0,IF($F594&lt;2,0,IF($E594="Win",('Guide &amp; Settings'!$C$42/(($F594-1)*COUNTIFS($A$4:$A$1510,$A594,$E$4:$E$1510,"Win")))*SUMIFS($Z$4:$Z$1510,$A$4:$A$1510,$A594,$E$4:$E$1510,"Loss"),-('Guide &amp; Settings'!$C$42/($F594-1))*$Z594)))</f>
        <v>-8.1564575554013992</v>
      </c>
      <c r="AB594" s="126">
        <f t="shared" si="196"/>
        <v>908.81033635650419</v>
      </c>
      <c r="AC594" s="126">
        <f>IF($D594="","",IF($AD594=0,0,IF(COUNTIFS($D$4:$D594,$D594,$B$4:$B594,$B594)&gt;1,0,IF($B594&lt;'Guide &amp; Settings'!$C$50,0,IF(($B594-$AD594)/7-'Guide &amp; Settings'!$C$48&gt;=0,(INT(($B594-$AD594)/7-'Guide &amp; Settings'!$C$48)+1)*'Guide &amp; Settings'!$C$49,0)))))</f>
        <v>0</v>
      </c>
      <c r="AD594" s="142">
        <f t="shared" si="197"/>
        <v>46255</v>
      </c>
      <c r="AE594">
        <f t="shared" si="198"/>
        <v>1</v>
      </c>
      <c r="AF594">
        <f t="shared" si="199"/>
        <v>0</v>
      </c>
    </row>
    <row r="595" spans="1:32" x14ac:dyDescent="0.2">
      <c r="A595" s="117">
        <v>253</v>
      </c>
      <c r="B595" s="118">
        <v>46256</v>
      </c>
      <c r="C595" s="119" t="s">
        <v>44</v>
      </c>
      <c r="D595" s="119" t="s">
        <v>20</v>
      </c>
      <c r="E595" s="117" t="s">
        <v>370</v>
      </c>
      <c r="F595" s="120">
        <f t="shared" si="180"/>
        <v>2</v>
      </c>
      <c r="G595" s="121" t="str">
        <f t="shared" si="181"/>
        <v>Shawn</v>
      </c>
      <c r="H595" s="122">
        <f>IF($D595="",0,IFERROR(LOOKUP(2,1/(($D$3:D594=$D595)*($A$3:A594&lt;$A595)),$N$3:N594),'Guide &amp; Settings'!$C$41))</f>
        <v>1318.8644233980281</v>
      </c>
      <c r="I595" s="123">
        <f t="shared" si="182"/>
        <v>0.77543859649122804</v>
      </c>
      <c r="J595" s="124">
        <f>IF($D595="",0,IF($F595&lt;2,0,IF($E595="Win",('Guide &amp; Settings'!$C$42/(($F595-1)*COUNTIFS($A$4:$A$1510,$A595,$E$4:$E$1510,"Win")))*SUMIFS($X$4:$X$1510,$A$4:$A$1510,$A595,$E$4:$E$1510,"Loss"),-('Guide &amp; Settings'!$C$42/($F595-1))*$X595)))</f>
        <v>7.1162875814925979</v>
      </c>
      <c r="K595" s="124">
        <f>IF($D595="",0,'Guide &amp; Settings'!$C$43*(IF($E595="Win",1,0)-$I595))</f>
        <v>2.6947368421052635</v>
      </c>
      <c r="L595" s="125">
        <f>IF($D595="",0,'Guide &amp; Settings'!$C$44*IF($F595&gt;=3,$F595,0))</f>
        <v>0</v>
      </c>
      <c r="M595" s="124">
        <f t="shared" si="183"/>
        <v>9.8110244235978605</v>
      </c>
      <c r="N595" s="122">
        <f t="shared" si="184"/>
        <v>1328.675447821626</v>
      </c>
      <c r="O595" s="121" t="str">
        <f t="shared" si="185"/>
        <v>OK</v>
      </c>
      <c r="P595">
        <f t="shared" si="186"/>
        <v>1318.8644233980281</v>
      </c>
      <c r="Q595">
        <f t="shared" si="187"/>
        <v>0.5</v>
      </c>
      <c r="R595">
        <f t="shared" si="188"/>
        <v>0.8125</v>
      </c>
      <c r="S595">
        <f t="shared" si="189"/>
        <v>1.0477941176470589</v>
      </c>
      <c r="T595" s="89">
        <f t="shared" si="190"/>
        <v>14</v>
      </c>
      <c r="U595" s="126">
        <f>IF($D595="",0,IFERROR(LOOKUP(2,1/(($D$3:D594=$D595)*($C$3:C594=$C595)*($A$3:A594&lt;$A595)),$AB$3:AB594),1000))</f>
        <v>1111.4709309154698</v>
      </c>
      <c r="V595" s="126">
        <f t="shared" si="191"/>
        <v>1166.0481657793009</v>
      </c>
      <c r="W595">
        <f t="shared" si="192"/>
        <v>1166.0481657793009</v>
      </c>
      <c r="X595">
        <f t="shared" si="193"/>
        <v>0.5</v>
      </c>
      <c r="Y595">
        <f t="shared" si="194"/>
        <v>1111.4709309154698</v>
      </c>
      <c r="Z595">
        <f t="shared" si="195"/>
        <v>0.5</v>
      </c>
      <c r="AA595">
        <f>IF($D595="",0,IF($F595&lt;2,0,IF($E595="Win",('Guide &amp; Settings'!$C$42/(($F595-1)*COUNTIFS($A$4:$A$1510,$A595,$E$4:$E$1510,"Win")))*SUMIFS($Z$4:$Z$1510,$A$4:$A$1510,$A595,$E$4:$E$1510,"Loss"),-('Guide &amp; Settings'!$C$42/($F595-1))*$Z595)))</f>
        <v>7.5989959175399164</v>
      </c>
      <c r="AB595" s="126">
        <f t="shared" si="196"/>
        <v>1119.0699268330097</v>
      </c>
      <c r="AC595" s="126">
        <f>IF($D595="","",IF($AD595=0,0,IF(COUNTIFS($D$4:$D595,$D595,$B$4:$B595,$B595)&gt;1,0,IF($B595&lt;'Guide &amp; Settings'!$C$50,0,IF(($B595-$AD595)/7-'Guide &amp; Settings'!$C$48&gt;=0,(INT(($B595-$AD595)/7-'Guide &amp; Settings'!$C$48)+1)*'Guide &amp; Settings'!$C$49,0)))))</f>
        <v>0</v>
      </c>
      <c r="AD595" s="142">
        <f t="shared" si="197"/>
        <v>46255</v>
      </c>
      <c r="AE595">
        <f t="shared" si="198"/>
        <v>1</v>
      </c>
      <c r="AF595">
        <f t="shared" si="199"/>
        <v>0</v>
      </c>
    </row>
    <row r="596" spans="1:32" x14ac:dyDescent="0.2">
      <c r="A596" s="117">
        <v>253</v>
      </c>
      <c r="B596" s="118">
        <v>46256</v>
      </c>
      <c r="C596" s="119" t="s">
        <v>44</v>
      </c>
      <c r="D596" s="119" t="s">
        <v>22</v>
      </c>
      <c r="E596" s="117" t="s">
        <v>371</v>
      </c>
      <c r="F596" s="120">
        <f t="shared" si="180"/>
        <v>2</v>
      </c>
      <c r="G596" s="121" t="str">
        <f t="shared" si="181"/>
        <v>Shawn</v>
      </c>
      <c r="H596" s="122">
        <f>IF($D596="",0,IFERROR(LOOKUP(2,1/(($D$3:D595=$D596)*($A$3:A595&lt;$A596)),$N$3:N595),'Guide &amp; Settings'!$C$41))</f>
        <v>1067.9029609389647</v>
      </c>
      <c r="I596" s="123">
        <f t="shared" si="182"/>
        <v>0.22456140350877191</v>
      </c>
      <c r="J596" s="124">
        <f>IF($D596="",0,IF($F596&lt;2,0,IF($E596="Win",('Guide &amp; Settings'!$C$42/(($F596-1)*COUNTIFS($A$4:$A$1510,$A596,$E$4:$E$1510,"Win")))*SUMIFS($X$4:$X$1510,$A$4:$A$1510,$A596,$E$4:$E$1510,"Loss"),-('Guide &amp; Settings'!$C$42/($F596-1))*$X596)))</f>
        <v>-7.1162875814925979</v>
      </c>
      <c r="K596" s="124">
        <f>IF($D596="",0,'Guide &amp; Settings'!$C$43*(IF($E596="Win",1,0)-$I596))</f>
        <v>-2.6947368421052627</v>
      </c>
      <c r="L596" s="125">
        <f>IF($D596="",0,'Guide &amp; Settings'!$C$44*IF($F596&gt;=3,$F596,0))</f>
        <v>0</v>
      </c>
      <c r="M596" s="124">
        <f t="shared" si="183"/>
        <v>-9.8110244235978605</v>
      </c>
      <c r="N596" s="122">
        <f t="shared" si="184"/>
        <v>1058.0919365153668</v>
      </c>
      <c r="O596" s="121" t="str">
        <f t="shared" si="185"/>
        <v>OK</v>
      </c>
      <c r="P596">
        <f t="shared" si="186"/>
        <v>1318.8644233980281</v>
      </c>
      <c r="Q596">
        <f t="shared" si="187"/>
        <v>0.19082625482042492</v>
      </c>
      <c r="R596">
        <f t="shared" si="188"/>
        <v>0.23529411764705882</v>
      </c>
      <c r="S596">
        <f t="shared" si="189"/>
        <v>1.0477941176470589</v>
      </c>
      <c r="T596" s="89">
        <f t="shared" si="190"/>
        <v>15</v>
      </c>
      <c r="U596" s="126">
        <f>IF($D596="",0,IFERROR(LOOKUP(2,1/(($D$3:D595=$D596)*($C$3:C595=$C596)*($A$3:A595&lt;$A596)),$AB$3:AB595),1000))</f>
        <v>908.81033635650419</v>
      </c>
      <c r="V596" s="126">
        <f t="shared" si="191"/>
        <v>948.58349250211927</v>
      </c>
      <c r="W596">
        <f t="shared" si="192"/>
        <v>1166.0481657793009</v>
      </c>
      <c r="X596">
        <f t="shared" si="193"/>
        <v>0.22238398692164368</v>
      </c>
      <c r="Y596">
        <f t="shared" si="194"/>
        <v>1111.4709309154698</v>
      </c>
      <c r="Z596">
        <f t="shared" si="195"/>
        <v>0.23746862242312239</v>
      </c>
      <c r="AA596">
        <f>IF($D596="",0,IF($F596&lt;2,0,IF($E596="Win",('Guide &amp; Settings'!$C$42/(($F596-1)*COUNTIFS($A$4:$A$1510,$A596,$E$4:$E$1510,"Win")))*SUMIFS($Z$4:$Z$1510,$A$4:$A$1510,$A596,$E$4:$E$1510,"Loss"),-('Guide &amp; Settings'!$C$42/($F596-1))*$Z596)))</f>
        <v>-7.5989959175399164</v>
      </c>
      <c r="AB596" s="126">
        <f t="shared" si="196"/>
        <v>901.21134043896427</v>
      </c>
      <c r="AC596" s="126">
        <f>IF($D596="","",IF($AD596=0,0,IF(COUNTIFS($D$4:$D596,$D596,$B$4:$B596,$B596)&gt;1,0,IF($B596&lt;'Guide &amp; Settings'!$C$50,0,IF(($B596-$AD596)/7-'Guide &amp; Settings'!$C$48&gt;=0,(INT(($B596-$AD596)/7-'Guide &amp; Settings'!$C$48)+1)*'Guide &amp; Settings'!$C$49,0)))))</f>
        <v>0</v>
      </c>
      <c r="AD596" s="142">
        <f t="shared" si="197"/>
        <v>46255</v>
      </c>
      <c r="AE596">
        <f t="shared" si="198"/>
        <v>1</v>
      </c>
      <c r="AF596">
        <f t="shared" si="199"/>
        <v>0</v>
      </c>
    </row>
    <row r="597" spans="1:32" x14ac:dyDescent="0.2">
      <c r="A597" s="117">
        <v>254</v>
      </c>
      <c r="B597" s="118">
        <v>46256</v>
      </c>
      <c r="C597" s="119" t="s">
        <v>51</v>
      </c>
      <c r="D597" s="119" t="s">
        <v>20</v>
      </c>
      <c r="E597" s="117" t="s">
        <v>371</v>
      </c>
      <c r="F597" s="120">
        <f t="shared" si="180"/>
        <v>3</v>
      </c>
      <c r="G597" s="121" t="str">
        <f t="shared" si="181"/>
        <v>Chase</v>
      </c>
      <c r="H597" s="122">
        <f>IF($D597="",0,IFERROR(LOOKUP(2,1/(($D$3:D596=$D597)*($A$3:A596&lt;$A597)),$N$3:N596),'Guide &amp; Settings'!$C$41))</f>
        <v>1328.675447821626</v>
      </c>
      <c r="I597" s="123">
        <f t="shared" si="182"/>
        <v>0.53333333333333333</v>
      </c>
      <c r="J597" s="124">
        <f>IF($D597="",0,IF($F597&lt;2,0,IF($E597="Win",('Guide &amp; Settings'!$C$42/(($F597-1)*COUNTIFS($A$4:$A$1510,$A597,$E$4:$E$1510,"Win")))*SUMIFS($X$4:$X$1510,$A$4:$A$1510,$A597,$E$4:$E$1510,"Loss"),-('Guide &amp; Settings'!$C$42/($F597-1))*$X597)))</f>
        <v>-11.87071190306041</v>
      </c>
      <c r="K597" s="124">
        <f>IF($D597="",0,'Guide &amp; Settings'!$C$43*(IF($E597="Win",1,0)-$I597))</f>
        <v>-6.4</v>
      </c>
      <c r="L597" s="125">
        <f>IF($D597="",0,'Guide &amp; Settings'!$C$44*IF($F597&gt;=3,$F597,0))</f>
        <v>3</v>
      </c>
      <c r="M597" s="124">
        <f t="shared" si="183"/>
        <v>-15.270711903060409</v>
      </c>
      <c r="N597" s="122">
        <f t="shared" si="184"/>
        <v>1313.4047359185656</v>
      </c>
      <c r="O597" s="121" t="str">
        <f t="shared" si="185"/>
        <v>OK</v>
      </c>
      <c r="P597">
        <f t="shared" si="186"/>
        <v>1038.9615659593956</v>
      </c>
      <c r="Q597">
        <f t="shared" si="187"/>
        <v>0.84127255781351284</v>
      </c>
      <c r="R597">
        <f t="shared" si="188"/>
        <v>0.8</v>
      </c>
      <c r="S597">
        <f t="shared" si="189"/>
        <v>1.5</v>
      </c>
      <c r="T597" s="89">
        <f t="shared" si="190"/>
        <v>3</v>
      </c>
      <c r="U597" s="126">
        <f>IF($D597="",0,IFERROR(LOOKUP(2,1/(($D$3:D596=$D597)*($C$3:C596=$C597)*($A$3:A596&lt;$A597)),$AB$3:AB596),1000))</f>
        <v>1045.2801155890616</v>
      </c>
      <c r="V597" s="126">
        <f t="shared" si="191"/>
        <v>1222.4021982344143</v>
      </c>
      <c r="W597">
        <f t="shared" si="192"/>
        <v>1038.9615659593956</v>
      </c>
      <c r="X597">
        <f t="shared" si="193"/>
        <v>0.74191949394127565</v>
      </c>
      <c r="Y597">
        <f t="shared" si="194"/>
        <v>1000</v>
      </c>
      <c r="Z597">
        <f t="shared" si="195"/>
        <v>0.56479688011313711</v>
      </c>
      <c r="AA597">
        <f>IF($D597="",0,IF($F597&lt;2,0,IF($E597="Win",('Guide &amp; Settings'!$C$42/(($F597-1)*COUNTIFS($A$4:$A$1510,$A597,$E$4:$E$1510,"Win")))*SUMIFS($Z$4:$Z$1510,$A$4:$A$1510,$A597,$E$4:$E$1510,"Loss"),-('Guide &amp; Settings'!$C$42/($F597-1))*$Z597)))</f>
        <v>-9.0367500818101938</v>
      </c>
      <c r="AB597" s="126">
        <f t="shared" si="196"/>
        <v>1036.2433655072514</v>
      </c>
      <c r="AC597" s="126">
        <f>IF($D597="","",IF($AD597=0,0,IF(COUNTIFS($D$4:$D597,$D597,$B$4:$B597,$B597)&gt;1,0,IF($B597&lt;'Guide &amp; Settings'!$C$50,0,IF(($B597-$AD597)/7-'Guide &amp; Settings'!$C$48&gt;=0,(INT(($B597-$AD597)/7-'Guide &amp; Settings'!$C$48)+1)*'Guide &amp; Settings'!$C$49,0)))))</f>
        <v>0</v>
      </c>
      <c r="AD597" s="142">
        <f t="shared" si="197"/>
        <v>46255</v>
      </c>
      <c r="AE597">
        <f t="shared" si="198"/>
        <v>1</v>
      </c>
      <c r="AF597">
        <f t="shared" si="199"/>
        <v>0</v>
      </c>
    </row>
    <row r="598" spans="1:32" x14ac:dyDescent="0.2">
      <c r="A598" s="117">
        <v>254</v>
      </c>
      <c r="B598" s="118">
        <v>46256</v>
      </c>
      <c r="C598" s="119" t="s">
        <v>51</v>
      </c>
      <c r="D598" s="119" t="s">
        <v>22</v>
      </c>
      <c r="E598" s="117" t="s">
        <v>371</v>
      </c>
      <c r="F598" s="120">
        <f t="shared" si="180"/>
        <v>3</v>
      </c>
      <c r="G598" s="121" t="str">
        <f t="shared" si="181"/>
        <v>Chase</v>
      </c>
      <c r="H598" s="122">
        <f>IF($D598="",0,IFERROR(LOOKUP(2,1/(($D$3:D597=$D598)*($A$3:A597&lt;$A598)),$N$3:N597),'Guide &amp; Settings'!$C$41))</f>
        <v>1058.0919365153668</v>
      </c>
      <c r="I598" s="123">
        <f t="shared" si="182"/>
        <v>0.13333333333333333</v>
      </c>
      <c r="J598" s="124">
        <f>IF($D598="",0,IF($F598&lt;2,0,IF($E598="Win",('Guide &amp; Settings'!$C$42/(($F598-1)*COUNTIFS($A$4:$A$1510,$A598,$E$4:$E$1510,"Win")))*SUMIFS($X$4:$X$1510,$A$4:$A$1510,$A598,$E$4:$E$1510,"Loss"),-('Guide &amp; Settings'!$C$42/($F598-1))*$X598)))</f>
        <v>-7.8090484623866008</v>
      </c>
      <c r="K598" s="124">
        <f>IF($D598="",0,'Guide &amp; Settings'!$C$43*(IF($E598="Win",1,0)-$I598))</f>
        <v>-1.6</v>
      </c>
      <c r="L598" s="125">
        <f>IF($D598="",0,'Guide &amp; Settings'!$C$44*IF($F598&gt;=3,$F598,0))</f>
        <v>3</v>
      </c>
      <c r="M598" s="124">
        <f t="shared" si="183"/>
        <v>-6.4090484623866004</v>
      </c>
      <c r="N598" s="122">
        <f t="shared" si="184"/>
        <v>1051.6828880529802</v>
      </c>
      <c r="O598" s="121" t="str">
        <f t="shared" si="185"/>
        <v>OK</v>
      </c>
      <c r="P598">
        <f t="shared" si="186"/>
        <v>1038.9615659593956</v>
      </c>
      <c r="Q598">
        <f t="shared" si="187"/>
        <v>0.5275030274999245</v>
      </c>
      <c r="R598">
        <f t="shared" si="188"/>
        <v>0.2</v>
      </c>
      <c r="S598">
        <f t="shared" si="189"/>
        <v>1.5</v>
      </c>
      <c r="T598" s="89">
        <f t="shared" si="190"/>
        <v>3</v>
      </c>
      <c r="U598" s="126">
        <f>IF($D598="",0,IFERROR(LOOKUP(2,1/(($D$3:D597=$D598)*($C$3:C597=$C598)*($A$3:A597&lt;$A598)),$AB$3:AB597),1000))</f>
        <v>984.9589607749275</v>
      </c>
      <c r="V598" s="126">
        <f t="shared" si="191"/>
        <v>1030.667070612702</v>
      </c>
      <c r="W598">
        <f t="shared" si="192"/>
        <v>1038.9615659593956</v>
      </c>
      <c r="X598">
        <f t="shared" si="193"/>
        <v>0.48806552889916255</v>
      </c>
      <c r="Y598">
        <f t="shared" si="194"/>
        <v>1000</v>
      </c>
      <c r="Z598">
        <f t="shared" si="195"/>
        <v>0.47836771700565139</v>
      </c>
      <c r="AA598">
        <f>IF($D598="",0,IF($F598&lt;2,0,IF($E598="Win",('Guide &amp; Settings'!$C$42/(($F598-1)*COUNTIFS($A$4:$A$1510,$A598,$E$4:$E$1510,"Win")))*SUMIFS($Z$4:$Z$1510,$A$4:$A$1510,$A598,$E$4:$E$1510,"Loss"),-('Guide &amp; Settings'!$C$42/($F598-1))*$Z598)))</f>
        <v>-7.6538834720904223</v>
      </c>
      <c r="AB598" s="126">
        <f t="shared" si="196"/>
        <v>977.30507730283705</v>
      </c>
      <c r="AC598" s="126">
        <f>IF($D598="","",IF($AD598=0,0,IF(COUNTIFS($D$4:$D598,$D598,$B$4:$B598,$B598)&gt;1,0,IF($B598&lt;'Guide &amp; Settings'!$C$50,0,IF(($B598-$AD598)/7-'Guide &amp; Settings'!$C$48&gt;=0,(INT(($B598-$AD598)/7-'Guide &amp; Settings'!$C$48)+1)*'Guide &amp; Settings'!$C$49,0)))))</f>
        <v>0</v>
      </c>
      <c r="AD598" s="142">
        <f t="shared" si="197"/>
        <v>46255</v>
      </c>
      <c r="AE598">
        <f t="shared" si="198"/>
        <v>1</v>
      </c>
      <c r="AF598">
        <f t="shared" si="199"/>
        <v>0</v>
      </c>
    </row>
    <row r="599" spans="1:32" x14ac:dyDescent="0.2">
      <c r="A599" s="117">
        <v>254</v>
      </c>
      <c r="B599" s="118">
        <v>46256</v>
      </c>
      <c r="C599" s="119" t="s">
        <v>51</v>
      </c>
      <c r="D599" s="119" t="s">
        <v>17</v>
      </c>
      <c r="E599" s="117" t="s">
        <v>370</v>
      </c>
      <c r="F599" s="120">
        <f t="shared" si="180"/>
        <v>3</v>
      </c>
      <c r="G599" s="121" t="str">
        <f t="shared" si="181"/>
        <v>Chase</v>
      </c>
      <c r="H599" s="122">
        <f>IF($D599="",0,IFERROR(LOOKUP(2,1/(($D$3:D598=$D599)*($A$3:A598&lt;$A599)),$N$3:N598),'Guide &amp; Settings'!$C$41))</f>
        <v>1038.9615659593956</v>
      </c>
      <c r="I599" s="123">
        <f t="shared" si="182"/>
        <v>0.33333333333333331</v>
      </c>
      <c r="J599" s="124">
        <f>IF($D599="",0,IF($F599&lt;2,0,IF($E599="Win",('Guide &amp; Settings'!$C$42/(($F599-1)*COUNTIFS($A$4:$A$1510,$A599,$E$4:$E$1510,"Win")))*SUMIFS($X$4:$X$1510,$A$4:$A$1510,$A599,$E$4:$E$1510,"Loss"),-('Guide &amp; Settings'!$C$42/($F599-1))*$X599)))</f>
        <v>19.679760365447009</v>
      </c>
      <c r="K599" s="124">
        <f>IF($D599="",0,'Guide &amp; Settings'!$C$43*(IF($E599="Win",1,0)-$I599))</f>
        <v>8</v>
      </c>
      <c r="L599" s="125">
        <f>IF($D599="",0,'Guide &amp; Settings'!$C$44*IF($F599&gt;=3,$F599,0))</f>
        <v>3</v>
      </c>
      <c r="M599" s="124">
        <f t="shared" si="183"/>
        <v>30.679760365447009</v>
      </c>
      <c r="N599" s="122">
        <f t="shared" si="184"/>
        <v>1069.6413263248426</v>
      </c>
      <c r="O599" s="121" t="str">
        <f t="shared" si="185"/>
        <v>OK</v>
      </c>
      <c r="P599">
        <f t="shared" si="186"/>
        <v>1038.9615659593956</v>
      </c>
      <c r="Q599">
        <f t="shared" si="187"/>
        <v>0.5</v>
      </c>
      <c r="R599">
        <f t="shared" si="188"/>
        <v>0.5</v>
      </c>
      <c r="S599">
        <f t="shared" si="189"/>
        <v>1.5</v>
      </c>
      <c r="T599" s="89">
        <f t="shared" si="190"/>
        <v>0</v>
      </c>
      <c r="U599" s="126">
        <f>IF($D599="",0,IFERROR(LOOKUP(2,1/(($D$3:D598=$D599)*($C$3:C598=$C599)*($A$3:A598&lt;$A599)),$AB$3:AB598),1000))</f>
        <v>1000</v>
      </c>
      <c r="V599" s="126">
        <f t="shared" si="191"/>
        <v>1038.9615659593956</v>
      </c>
      <c r="W599">
        <f t="shared" si="192"/>
        <v>1038.9615659593956</v>
      </c>
      <c r="X599">
        <f t="shared" si="193"/>
        <v>0.5</v>
      </c>
      <c r="Y599">
        <f t="shared" si="194"/>
        <v>1000</v>
      </c>
      <c r="Z599">
        <f t="shared" si="195"/>
        <v>0.5</v>
      </c>
      <c r="AA599">
        <f>IF($D599="",0,IF($F599&lt;2,0,IF($E599="Win",('Guide &amp; Settings'!$C$42/(($F599-1)*COUNTIFS($A$4:$A$1510,$A599,$E$4:$E$1510,"Win")))*SUMIFS($Z$4:$Z$1510,$A$4:$A$1510,$A599,$E$4:$E$1510,"Loss"),-('Guide &amp; Settings'!$C$42/($F599-1))*$Z599)))</f>
        <v>16.690633553900618</v>
      </c>
      <c r="AB599" s="126">
        <f t="shared" si="196"/>
        <v>1016.6906335539006</v>
      </c>
      <c r="AC599" s="126">
        <f>IF($D599="","",IF($AD599=0,0,IF(COUNTIFS($D$4:$D599,$D599,$B$4:$B599,$B599)&gt;1,0,IF($B599&lt;'Guide &amp; Settings'!$C$50,0,IF(($B599-$AD599)/7-'Guide &amp; Settings'!$C$48&gt;=0,(INT(($B599-$AD599)/7-'Guide &amp; Settings'!$C$48)+1)*'Guide &amp; Settings'!$C$49,0)))))</f>
        <v>0</v>
      </c>
      <c r="AD599" s="142">
        <f t="shared" si="197"/>
        <v>46220</v>
      </c>
      <c r="AE599">
        <f t="shared" si="198"/>
        <v>1</v>
      </c>
      <c r="AF599">
        <f t="shared" si="199"/>
        <v>0</v>
      </c>
    </row>
    <row r="600" spans="1:32" x14ac:dyDescent="0.2">
      <c r="A600" s="117">
        <v>255</v>
      </c>
      <c r="B600" s="118">
        <v>46256</v>
      </c>
      <c r="C600" s="119" t="s">
        <v>51</v>
      </c>
      <c r="D600" s="119" t="s">
        <v>20</v>
      </c>
      <c r="E600" s="117" t="s">
        <v>371</v>
      </c>
      <c r="F600" s="120">
        <f t="shared" si="180"/>
        <v>4</v>
      </c>
      <c r="G600" s="121" t="str">
        <f t="shared" si="181"/>
        <v>Chase</v>
      </c>
      <c r="H600" s="122">
        <f>IF($D600="",0,IFERROR(LOOKUP(2,1/(($D$3:D599=$D600)*($A$3:A599&lt;$A600)),$N$3:N599),'Guide &amp; Settings'!$C$41))</f>
        <v>1313.4047359185656</v>
      </c>
      <c r="I600" s="123">
        <f t="shared" si="182"/>
        <v>0.39215686274509809</v>
      </c>
      <c r="J600" s="124">
        <f>IF($D600="",0,IF($F600&lt;2,0,IF($E600="Win",('Guide &amp; Settings'!$C$42/(($F600-1)*COUNTIFS($A$4:$A$1510,$A600,$E$4:$E$1510,"Win")))*SUMIFS($X$4:$X$1510,$A$4:$A$1510,$A600,$E$4:$E$1510,"Loss"),-('Guide &amp; Settings'!$C$42/($F600-1))*$X600)))</f>
        <v>-7.2327528525521565</v>
      </c>
      <c r="K600" s="124">
        <f>IF($D600="",0,'Guide &amp; Settings'!$C$43*(IF($E600="Win",1,0)-$I600))</f>
        <v>-4.7058823529411775</v>
      </c>
      <c r="L600" s="125">
        <f>IF($D600="",0,'Guide &amp; Settings'!$C$44*IF($F600&gt;=3,$F600,0))</f>
        <v>4</v>
      </c>
      <c r="M600" s="124">
        <f t="shared" si="183"/>
        <v>-7.938635205493334</v>
      </c>
      <c r="N600" s="122">
        <f t="shared" si="184"/>
        <v>1305.4661007130724</v>
      </c>
      <c r="O600" s="121" t="str">
        <f t="shared" si="185"/>
        <v>OK</v>
      </c>
      <c r="P600">
        <f t="shared" si="186"/>
        <v>1069.6413263248426</v>
      </c>
      <c r="Q600">
        <f t="shared" si="187"/>
        <v>0.80269356219061672</v>
      </c>
      <c r="R600">
        <f t="shared" si="188"/>
        <v>0.66666666666666663</v>
      </c>
      <c r="S600">
        <f t="shared" si="189"/>
        <v>1.6999999999999997</v>
      </c>
      <c r="T600" s="89">
        <f t="shared" si="190"/>
        <v>4</v>
      </c>
      <c r="U600" s="126">
        <f>IF($D600="",0,IFERROR(LOOKUP(2,1/(($D$3:D599=$D600)*($C$3:C599=$C600)*($A$3:A599&lt;$A600)),$AB$3:AB599),1000))</f>
        <v>1036.2433655072514</v>
      </c>
      <c r="V600" s="126">
        <f t="shared" si="191"/>
        <v>1190.2219046246482</v>
      </c>
      <c r="W600">
        <f t="shared" si="192"/>
        <v>1060.816210863019</v>
      </c>
      <c r="X600">
        <f t="shared" si="193"/>
        <v>0.67807057992676467</v>
      </c>
      <c r="Y600">
        <f t="shared" si="194"/>
        <v>1016.6906335539006</v>
      </c>
      <c r="Z600">
        <f t="shared" si="195"/>
        <v>0.52810897451241579</v>
      </c>
      <c r="AA600">
        <f>IF($D600="",0,IF($F600&lt;2,0,IF($E600="Win",('Guide &amp; Settings'!$C$42/(($F600-1)*COUNTIFS($A$4:$A$1510,$A600,$E$4:$E$1510,"Win")))*SUMIFS($Z$4:$Z$1510,$A$4:$A$1510,$A600,$E$4:$E$1510,"Loss"),-('Guide &amp; Settings'!$C$42/($F600-1))*$Z600)))</f>
        <v>-5.6331623947991014</v>
      </c>
      <c r="AB600" s="126">
        <f t="shared" si="196"/>
        <v>1030.6102031124524</v>
      </c>
      <c r="AC600" s="126">
        <f>IF($D600="","",IF($AD600=0,0,IF(COUNTIFS($D$4:$D600,$D600,$B$4:$B600,$B600)&gt;1,0,IF($B600&lt;'Guide &amp; Settings'!$C$50,0,IF(($B600-$AD600)/7-'Guide &amp; Settings'!$C$48&gt;=0,(INT(($B600-$AD600)/7-'Guide &amp; Settings'!$C$48)+1)*'Guide &amp; Settings'!$C$49,0)))))</f>
        <v>0</v>
      </c>
      <c r="AD600" s="142">
        <f t="shared" si="197"/>
        <v>46255</v>
      </c>
      <c r="AE600">
        <f t="shared" si="198"/>
        <v>1</v>
      </c>
      <c r="AF600">
        <f t="shared" si="199"/>
        <v>0</v>
      </c>
    </row>
    <row r="601" spans="1:32" x14ac:dyDescent="0.2">
      <c r="A601" s="117">
        <v>255</v>
      </c>
      <c r="B601" s="118">
        <v>46256</v>
      </c>
      <c r="C601" s="119" t="s">
        <v>51</v>
      </c>
      <c r="D601" s="119" t="s">
        <v>22</v>
      </c>
      <c r="E601" s="117" t="s">
        <v>371</v>
      </c>
      <c r="F601" s="120">
        <f t="shared" si="180"/>
        <v>4</v>
      </c>
      <c r="G601" s="121" t="str">
        <f t="shared" si="181"/>
        <v>Chase</v>
      </c>
      <c r="H601" s="122">
        <f>IF($D601="",0,IFERROR(LOOKUP(2,1/(($D$3:D600=$D601)*($A$3:A600&lt;$A601)),$N$3:N600),'Guide &amp; Settings'!$C$41))</f>
        <v>1051.6828880529802</v>
      </c>
      <c r="I601" s="123">
        <f t="shared" si="182"/>
        <v>9.8039215686274522E-2</v>
      </c>
      <c r="J601" s="124">
        <f>IF($D601="",0,IF($F601&lt;2,0,IF($E601="Win",('Guide &amp; Settings'!$C$42/(($F601-1)*COUNTIFS($A$4:$A$1510,$A601,$E$4:$E$1510,"Win")))*SUMIFS($X$4:$X$1510,$A$4:$A$1510,$A601,$E$4:$E$1510,"Loss"),-('Guide &amp; Settings'!$C$42/($F601-1))*$X601)))</f>
        <v>-4.6888556454500803</v>
      </c>
      <c r="K601" s="124">
        <f>IF($D601="",0,'Guide &amp; Settings'!$C$43*(IF($E601="Win",1,0)-$I601))</f>
        <v>-1.1764705882352944</v>
      </c>
      <c r="L601" s="125">
        <f>IF($D601="",0,'Guide &amp; Settings'!$C$44*IF($F601&gt;=3,$F601,0))</f>
        <v>4</v>
      </c>
      <c r="M601" s="124">
        <f t="shared" si="183"/>
        <v>-1.8653262336853746</v>
      </c>
      <c r="N601" s="122">
        <f t="shared" si="184"/>
        <v>1049.8175618192947</v>
      </c>
      <c r="O601" s="121" t="str">
        <f t="shared" si="185"/>
        <v>OK</v>
      </c>
      <c r="P601">
        <f t="shared" si="186"/>
        <v>1069.6413263248426</v>
      </c>
      <c r="Q601">
        <f t="shared" si="187"/>
        <v>0.47417872135861744</v>
      </c>
      <c r="R601">
        <f t="shared" si="188"/>
        <v>0.16666666666666666</v>
      </c>
      <c r="S601">
        <f t="shared" si="189"/>
        <v>1.6999999999999997</v>
      </c>
      <c r="T601" s="89">
        <f t="shared" si="190"/>
        <v>4</v>
      </c>
      <c r="U601" s="126">
        <f>IF($D601="",0,IFERROR(LOOKUP(2,1/(($D$3:D600=$D601)*($C$3:C600=$C601)*($A$3:A600&lt;$A601)),$AB$3:AB600),1000))</f>
        <v>977.30507730283705</v>
      </c>
      <c r="V601" s="126">
        <f t="shared" si="191"/>
        <v>1018.6260832751389</v>
      </c>
      <c r="W601">
        <f t="shared" si="192"/>
        <v>1060.816210863019</v>
      </c>
      <c r="X601">
        <f t="shared" si="193"/>
        <v>0.43958021676094505</v>
      </c>
      <c r="Y601">
        <f t="shared" si="194"/>
        <v>1016.6906335539006</v>
      </c>
      <c r="Z601">
        <f t="shared" si="195"/>
        <v>0.44356118010668555</v>
      </c>
      <c r="AA601">
        <f>IF($D601="",0,IF($F601&lt;2,0,IF($E601="Win",('Guide &amp; Settings'!$C$42/(($F601-1)*COUNTIFS($A$4:$A$1510,$A601,$E$4:$E$1510,"Win")))*SUMIFS($Z$4:$Z$1510,$A$4:$A$1510,$A601,$E$4:$E$1510,"Loss"),-('Guide &amp; Settings'!$C$42/($F601-1))*$Z601)))</f>
        <v>-4.7313192544713125</v>
      </c>
      <c r="AB601" s="126">
        <f t="shared" si="196"/>
        <v>972.57375804836579</v>
      </c>
      <c r="AC601" s="126">
        <f>IF($D601="","",IF($AD601=0,0,IF(COUNTIFS($D$4:$D601,$D601,$B$4:$B601,$B601)&gt;1,0,IF($B601&lt;'Guide &amp; Settings'!$C$50,0,IF(($B601-$AD601)/7-'Guide &amp; Settings'!$C$48&gt;=0,(INT(($B601-$AD601)/7-'Guide &amp; Settings'!$C$48)+1)*'Guide &amp; Settings'!$C$49,0)))))</f>
        <v>0</v>
      </c>
      <c r="AD601" s="142">
        <f t="shared" si="197"/>
        <v>46255</v>
      </c>
      <c r="AE601">
        <f t="shared" si="198"/>
        <v>1</v>
      </c>
      <c r="AF601">
        <f t="shared" si="199"/>
        <v>0</v>
      </c>
    </row>
    <row r="602" spans="1:32" x14ac:dyDescent="0.2">
      <c r="A602" s="117">
        <v>255</v>
      </c>
      <c r="B602" s="118">
        <v>46256</v>
      </c>
      <c r="C602" s="119" t="s">
        <v>51</v>
      </c>
      <c r="D602" s="119" t="s">
        <v>15</v>
      </c>
      <c r="E602" s="117" t="s">
        <v>371</v>
      </c>
      <c r="F602" s="120">
        <f t="shared" si="180"/>
        <v>4</v>
      </c>
      <c r="G602" s="121" t="str">
        <f t="shared" si="181"/>
        <v>Chase</v>
      </c>
      <c r="H602" s="122">
        <f>IF($D602="",0,IFERROR(LOOKUP(2,1/(($D$3:D601=$D602)*($A$3:A601&lt;$A602)),$N$3:N601),'Guide &amp; Settings'!$C$41))</f>
        <v>1179.1580813671098</v>
      </c>
      <c r="I602" s="123">
        <f t="shared" si="182"/>
        <v>0.11764705882352944</v>
      </c>
      <c r="J602" s="124">
        <f>IF($D602="",0,IF($F602&lt;2,0,IF($E602="Win",('Guide &amp; Settings'!$C$42/(($F602-1)*COUNTIFS($A$4:$A$1510,$A602,$E$4:$E$1510,"Win")))*SUMIFS($X$4:$X$1510,$A$4:$A$1510,$A602,$E$4:$E$1510,"Loss"),-('Guide &amp; Settings'!$C$42/($F602-1))*$X602)))</f>
        <v>-6.0280780003101011</v>
      </c>
      <c r="K602" s="124">
        <f>IF($D602="",0,'Guide &amp; Settings'!$C$43*(IF($E602="Win",1,0)-$I602))</f>
        <v>-1.4117647058823533</v>
      </c>
      <c r="L602" s="125">
        <f>IF($D602="",0,'Guide &amp; Settings'!$C$44*IF($F602&gt;=3,$F602,0))</f>
        <v>4</v>
      </c>
      <c r="M602" s="124">
        <f t="shared" si="183"/>
        <v>-3.4398427061924544</v>
      </c>
      <c r="N602" s="122">
        <f t="shared" si="184"/>
        <v>1175.7182386609175</v>
      </c>
      <c r="O602" s="121" t="str">
        <f t="shared" si="185"/>
        <v>OK</v>
      </c>
      <c r="P602">
        <f t="shared" si="186"/>
        <v>1069.6413263248426</v>
      </c>
      <c r="Q602">
        <f t="shared" si="187"/>
        <v>0.6525867572513121</v>
      </c>
      <c r="R602">
        <f t="shared" si="188"/>
        <v>0.2</v>
      </c>
      <c r="S602">
        <f t="shared" si="189"/>
        <v>1.6999999999999997</v>
      </c>
      <c r="T602" s="89">
        <f t="shared" si="190"/>
        <v>3</v>
      </c>
      <c r="U602" s="126">
        <f>IF($D602="",0,IFERROR(LOOKUP(2,1/(($D$3:D601=$D602)*($C$3:C601=$C602)*($A$3:A601&lt;$A602)),$AB$3:AB601),1000))</f>
        <v>984.9589607749275</v>
      </c>
      <c r="V602" s="126">
        <f t="shared" si="191"/>
        <v>1106.3334111450415</v>
      </c>
      <c r="W602">
        <f t="shared" si="192"/>
        <v>1060.816210863019</v>
      </c>
      <c r="X602">
        <f t="shared" si="193"/>
        <v>0.56513231252907203</v>
      </c>
      <c r="Y602">
        <f t="shared" si="194"/>
        <v>1016.6906335539006</v>
      </c>
      <c r="Z602">
        <f t="shared" si="195"/>
        <v>0.45446100089581487</v>
      </c>
      <c r="AA602">
        <f>IF($D602="",0,IF($F602&lt;2,0,IF($E602="Win",('Guide &amp; Settings'!$C$42/(($F602-1)*COUNTIFS($A$4:$A$1510,$A602,$E$4:$E$1510,"Win")))*SUMIFS($Z$4:$Z$1510,$A$4:$A$1510,$A602,$E$4:$E$1510,"Loss"),-('Guide &amp; Settings'!$C$42/($F602-1))*$Z602)))</f>
        <v>-4.8475840095553586</v>
      </c>
      <c r="AB602" s="126">
        <f t="shared" si="196"/>
        <v>980.11137676537214</v>
      </c>
      <c r="AC602" s="126">
        <f>IF($D602="","",IF($AD602=0,0,IF(COUNTIFS($D$4:$D602,$D602,$B$4:$B602,$B602)&gt;1,0,IF($B602&lt;'Guide &amp; Settings'!$C$50,0,IF(($B602-$AD602)/7-'Guide &amp; Settings'!$C$48&gt;=0,(INT(($B602-$AD602)/7-'Guide &amp; Settings'!$C$48)+1)*'Guide &amp; Settings'!$C$49,0)))))</f>
        <v>0</v>
      </c>
      <c r="AD602" s="142">
        <f t="shared" si="197"/>
        <v>46255</v>
      </c>
      <c r="AE602">
        <f t="shared" si="198"/>
        <v>1</v>
      </c>
      <c r="AF602">
        <f t="shared" si="199"/>
        <v>0</v>
      </c>
    </row>
    <row r="603" spans="1:32" x14ac:dyDescent="0.2">
      <c r="A603" s="117">
        <v>255</v>
      </c>
      <c r="B603" s="118">
        <v>46256</v>
      </c>
      <c r="C603" s="119" t="s">
        <v>51</v>
      </c>
      <c r="D603" s="119" t="s">
        <v>17</v>
      </c>
      <c r="E603" s="117" t="s">
        <v>370</v>
      </c>
      <c r="F603" s="120">
        <f t="shared" si="180"/>
        <v>4</v>
      </c>
      <c r="G603" s="121" t="str">
        <f t="shared" si="181"/>
        <v>Chase</v>
      </c>
      <c r="H603" s="122">
        <f>IF($D603="",0,IFERROR(LOOKUP(2,1/(($D$3:D602=$D603)*($A$3:A602&lt;$A603)),$N$3:N602),'Guide &amp; Settings'!$C$41))</f>
        <v>1069.6413263248426</v>
      </c>
      <c r="I603" s="123">
        <f t="shared" si="182"/>
        <v>0.39215686274509809</v>
      </c>
      <c r="J603" s="124">
        <f>IF($D603="",0,IF($F603&lt;2,0,IF($E603="Win",('Guide &amp; Settings'!$C$42/(($F603-1)*COUNTIFS($A$4:$A$1510,$A603,$E$4:$E$1510,"Win")))*SUMIFS($X$4:$X$1510,$A$4:$A$1510,$A603,$E$4:$E$1510,"Loss"),-('Guide &amp; Settings'!$C$42/($F603-1))*$X603)))</f>
        <v>17.949686498312339</v>
      </c>
      <c r="K603" s="124">
        <f>IF($D603="",0,'Guide &amp; Settings'!$C$43*(IF($E603="Win",1,0)-$I603))</f>
        <v>7.2941176470588225</v>
      </c>
      <c r="L603" s="125">
        <f>IF($D603="",0,'Guide &amp; Settings'!$C$44*IF($F603&gt;=3,$F603,0))</f>
        <v>4</v>
      </c>
      <c r="M603" s="124">
        <f t="shared" si="183"/>
        <v>29.243804145371161</v>
      </c>
      <c r="N603" s="122">
        <f t="shared" si="184"/>
        <v>1098.8851304702137</v>
      </c>
      <c r="O603" s="121" t="str">
        <f t="shared" si="185"/>
        <v>OK</v>
      </c>
      <c r="P603">
        <f t="shared" si="186"/>
        <v>1069.6413263248426</v>
      </c>
      <c r="Q603">
        <f t="shared" si="187"/>
        <v>0.5</v>
      </c>
      <c r="R603">
        <f t="shared" si="188"/>
        <v>0.66666666666666663</v>
      </c>
      <c r="S603">
        <f t="shared" si="189"/>
        <v>1.6999999999999997</v>
      </c>
      <c r="T603" s="89">
        <f t="shared" si="190"/>
        <v>1</v>
      </c>
      <c r="U603" s="126">
        <f>IF($D603="",0,IFERROR(LOOKUP(2,1/(($D$3:D602=$D603)*($C$3:C602=$C603)*($A$3:A602&lt;$A603)),$AB$3:AB602),1000))</f>
        <v>1016.6906335539006</v>
      </c>
      <c r="V603" s="126">
        <f t="shared" si="191"/>
        <v>1060.816210863019</v>
      </c>
      <c r="W603">
        <f t="shared" si="192"/>
        <v>1060.816210863019</v>
      </c>
      <c r="X603">
        <f t="shared" si="193"/>
        <v>0.5</v>
      </c>
      <c r="Y603">
        <f t="shared" si="194"/>
        <v>1016.6906335539006</v>
      </c>
      <c r="Z603">
        <f t="shared" si="195"/>
        <v>0.5</v>
      </c>
      <c r="AA603">
        <f>IF($D603="",0,IF($F603&lt;2,0,IF($E603="Win",('Guide &amp; Settings'!$C$42/(($F603-1)*COUNTIFS($A$4:$A$1510,$A603,$E$4:$E$1510,"Win")))*SUMIFS($Z$4:$Z$1510,$A$4:$A$1510,$A603,$E$4:$E$1510,"Loss"),-('Guide &amp; Settings'!$C$42/($F603-1))*$Z603)))</f>
        <v>15.212065658825773</v>
      </c>
      <c r="AB603" s="126">
        <f t="shared" si="196"/>
        <v>1031.9026992127265</v>
      </c>
      <c r="AC603" s="126">
        <f>IF($D603="","",IF($AD603=0,0,IF(COUNTIFS($D$4:$D603,$D603,$B$4:$B603,$B603)&gt;1,0,IF($B603&lt;'Guide &amp; Settings'!$C$50,0,IF(($B603-$AD603)/7-'Guide &amp; Settings'!$C$48&gt;=0,(INT(($B603-$AD603)/7-'Guide &amp; Settings'!$C$48)+1)*'Guide &amp; Settings'!$C$49,0)))))</f>
        <v>0</v>
      </c>
      <c r="AD603" s="142">
        <f t="shared" si="197"/>
        <v>46220</v>
      </c>
      <c r="AE603">
        <f t="shared" si="198"/>
        <v>1</v>
      </c>
      <c r="AF603">
        <f t="shared" si="199"/>
        <v>0</v>
      </c>
    </row>
    <row r="604" spans="1:32" x14ac:dyDescent="0.2">
      <c r="A604" s="117">
        <v>256</v>
      </c>
      <c r="B604" s="118">
        <v>46256</v>
      </c>
      <c r="C604" s="119" t="s">
        <v>34</v>
      </c>
      <c r="D604" s="119" t="s">
        <v>15</v>
      </c>
      <c r="E604" s="117" t="s">
        <v>370</v>
      </c>
      <c r="F604" s="120">
        <f t="shared" si="180"/>
        <v>3</v>
      </c>
      <c r="G604" s="121" t="str">
        <f t="shared" si="181"/>
        <v>Aaron</v>
      </c>
      <c r="H604" s="122">
        <f>IF($D604="",0,IFERROR(LOOKUP(2,1/(($D$3:D603=$D604)*($A$3:A603&lt;$A604)),$N$3:N603),'Guide &amp; Settings'!$C$41))</f>
        <v>1175.7182386609175</v>
      </c>
      <c r="I604" s="123">
        <f t="shared" si="182"/>
        <v>0.31168831168831168</v>
      </c>
      <c r="J604" s="124">
        <f>IF($D604="",0,IF($F604&lt;2,0,IF($E604="Win",('Guide &amp; Settings'!$C$42/(($F604-1)*COUNTIFS($A$4:$A$1510,$A604,$E$4:$E$1510,"Win")))*SUMIFS($X$4:$X$1510,$A$4:$A$1510,$A604,$E$4:$E$1510,"Loss"),-('Guide &amp; Settings'!$C$42/($F604-1))*$X604)))</f>
        <v>16.201782645692202</v>
      </c>
      <c r="K604" s="124">
        <f>IF($D604="",0,'Guide &amp; Settings'!$C$43*(IF($E604="Win",1,0)-$I604))</f>
        <v>8.2597402597402603</v>
      </c>
      <c r="L604" s="125">
        <f>IF($D604="",0,'Guide &amp; Settings'!$C$44*IF($F604&gt;=3,$F604,0))</f>
        <v>3</v>
      </c>
      <c r="M604" s="124">
        <f t="shared" si="183"/>
        <v>27.46152290543246</v>
      </c>
      <c r="N604" s="122">
        <f t="shared" si="184"/>
        <v>1203.17976156635</v>
      </c>
      <c r="O604" s="121" t="str">
        <f t="shared" si="185"/>
        <v>OK</v>
      </c>
      <c r="P604">
        <f t="shared" si="186"/>
        <v>1175.7182386609175</v>
      </c>
      <c r="Q604">
        <f t="shared" si="187"/>
        <v>0.5</v>
      </c>
      <c r="R604">
        <f t="shared" si="188"/>
        <v>0.42857142857142855</v>
      </c>
      <c r="S604">
        <f t="shared" si="189"/>
        <v>1.375</v>
      </c>
      <c r="T604" s="89">
        <f t="shared" si="190"/>
        <v>5</v>
      </c>
      <c r="U604" s="126">
        <f>IF($D604="",0,IFERROR(LOOKUP(2,1/(($D$3:D603=$D604)*($C$3:C603=$C604)*($A$3:A603&lt;$A604)),$AB$3:AB603),1000))</f>
        <v>1008.4582101991562</v>
      </c>
      <c r="V604" s="126">
        <f t="shared" si="191"/>
        <v>1092.0882244300369</v>
      </c>
      <c r="W604">
        <f t="shared" si="192"/>
        <v>1092.0882244300369</v>
      </c>
      <c r="X604">
        <f t="shared" si="193"/>
        <v>0.5</v>
      </c>
      <c r="Y604">
        <f t="shared" si="194"/>
        <v>1008.4582101991562</v>
      </c>
      <c r="Z604">
        <f t="shared" si="195"/>
        <v>0.5</v>
      </c>
      <c r="AA604">
        <f>IF($D604="",0,IF($F604&lt;2,0,IF($E604="Win",('Guide &amp; Settings'!$C$42/(($F604-1)*COUNTIFS($A$4:$A$1510,$A604,$E$4:$E$1510,"Win")))*SUMIFS($Z$4:$Z$1510,$A$4:$A$1510,$A604,$E$4:$E$1510,"Loss"),-('Guide &amp; Settings'!$C$42/($F604-1))*$Z604)))</f>
        <v>16.41750633319775</v>
      </c>
      <c r="AB604" s="126">
        <f t="shared" si="196"/>
        <v>1024.8757165323539</v>
      </c>
      <c r="AC604" s="126">
        <f>IF($D604="","",IF($AD604=0,0,IF(COUNTIFS($D$4:$D604,$D604,$B$4:$B604,$B604)&gt;1,0,IF($B604&lt;'Guide &amp; Settings'!$C$50,0,IF(($B604-$AD604)/7-'Guide &amp; Settings'!$C$48&gt;=0,(INT(($B604-$AD604)/7-'Guide &amp; Settings'!$C$48)+1)*'Guide &amp; Settings'!$C$49,0)))))</f>
        <v>0</v>
      </c>
      <c r="AD604" s="142">
        <f t="shared" si="197"/>
        <v>46255</v>
      </c>
      <c r="AE604">
        <f t="shared" si="198"/>
        <v>1</v>
      </c>
      <c r="AF604">
        <f t="shared" si="199"/>
        <v>0</v>
      </c>
    </row>
    <row r="605" spans="1:32" x14ac:dyDescent="0.2">
      <c r="A605" s="117">
        <v>256</v>
      </c>
      <c r="B605" s="118">
        <v>46256</v>
      </c>
      <c r="C605" s="119" t="s">
        <v>34</v>
      </c>
      <c r="D605" s="119" t="s">
        <v>22</v>
      </c>
      <c r="E605" s="117" t="s">
        <v>371</v>
      </c>
      <c r="F605" s="120">
        <f t="shared" si="180"/>
        <v>3</v>
      </c>
      <c r="G605" s="121" t="str">
        <f t="shared" si="181"/>
        <v>Aaron</v>
      </c>
      <c r="H605" s="122">
        <f>IF($D605="",0,IFERROR(LOOKUP(2,1/(($D$3:D604=$D605)*($A$3:A604&lt;$A605)),$N$3:N604),'Guide &amp; Settings'!$C$41))</f>
        <v>1049.8175618192947</v>
      </c>
      <c r="I605" s="123">
        <f t="shared" si="182"/>
        <v>0.27272727272727271</v>
      </c>
      <c r="J605" s="124">
        <f>IF($D605="",0,IF($F605&lt;2,0,IF($E605="Win",('Guide &amp; Settings'!$C$42/(($F605-1)*COUNTIFS($A$4:$A$1510,$A605,$E$4:$E$1510,"Win")))*SUMIFS($X$4:$X$1510,$A$4:$A$1510,$A605,$E$4:$E$1510,"Loss"),-('Guide &amp; Settings'!$C$42/($F605-1))*$X605)))</f>
        <v>-6.5243358945815526</v>
      </c>
      <c r="K605" s="124">
        <f>IF($D605="",0,'Guide &amp; Settings'!$C$43*(IF($E605="Win",1,0)-$I605))</f>
        <v>-3.2727272727272725</v>
      </c>
      <c r="L605" s="125">
        <f>IF($D605="",0,'Guide &amp; Settings'!$C$44*IF($F605&gt;=3,$F605,0))</f>
        <v>3</v>
      </c>
      <c r="M605" s="124">
        <f t="shared" si="183"/>
        <v>-6.7970631673088242</v>
      </c>
      <c r="N605" s="122">
        <f t="shared" si="184"/>
        <v>1043.0204986519859</v>
      </c>
      <c r="O605" s="121" t="str">
        <f t="shared" si="185"/>
        <v>OK</v>
      </c>
      <c r="P605">
        <f t="shared" si="186"/>
        <v>1175.7182386609175</v>
      </c>
      <c r="Q605">
        <f t="shared" si="187"/>
        <v>0.32634949630894966</v>
      </c>
      <c r="R605">
        <f t="shared" si="188"/>
        <v>0.375</v>
      </c>
      <c r="S605">
        <f t="shared" si="189"/>
        <v>1.375</v>
      </c>
      <c r="T605" s="89">
        <f t="shared" si="190"/>
        <v>6</v>
      </c>
      <c r="U605" s="126">
        <f>IF($D605="",0,IFERROR(LOOKUP(2,1/(($D$3:D604=$D605)*($C$3:C604=$C605)*($A$3:A604&lt;$A605)),$AB$3:AB604),1000))</f>
        <v>1008.4599898887228</v>
      </c>
      <c r="V605" s="126">
        <f t="shared" si="191"/>
        <v>1027.2588862208011</v>
      </c>
      <c r="W605">
        <f t="shared" si="192"/>
        <v>1092.0882244300369</v>
      </c>
      <c r="X605">
        <f t="shared" si="193"/>
        <v>0.40777099341134704</v>
      </c>
      <c r="Y605">
        <f t="shared" si="194"/>
        <v>1008.4582101991562</v>
      </c>
      <c r="Z605">
        <f t="shared" si="195"/>
        <v>0.50000256117916642</v>
      </c>
      <c r="AA605">
        <f>IF($D605="",0,IF($F605&lt;2,0,IF($E605="Win",('Guide &amp; Settings'!$C$42/(($F605-1)*COUNTIFS($A$4:$A$1510,$A605,$E$4:$E$1510,"Win")))*SUMIFS($Z$4:$Z$1510,$A$4:$A$1510,$A605,$E$4:$E$1510,"Loss"),-('Guide &amp; Settings'!$C$42/($F605-1))*$Z605)))</f>
        <v>-8.0000409788666627</v>
      </c>
      <c r="AB605" s="126">
        <f t="shared" si="196"/>
        <v>1000.4599489098562</v>
      </c>
      <c r="AC605" s="126">
        <f>IF($D605="","",IF($AD605=0,0,IF(COUNTIFS($D$4:$D605,$D605,$B$4:$B605,$B605)&gt;1,0,IF($B605&lt;'Guide &amp; Settings'!$C$50,0,IF(($B605-$AD605)/7-'Guide &amp; Settings'!$C$48&gt;=0,(INT(($B605-$AD605)/7-'Guide &amp; Settings'!$C$48)+1)*'Guide &amp; Settings'!$C$49,0)))))</f>
        <v>0</v>
      </c>
      <c r="AD605" s="142">
        <f t="shared" si="197"/>
        <v>46255</v>
      </c>
      <c r="AE605">
        <f t="shared" si="198"/>
        <v>1</v>
      </c>
      <c r="AF605">
        <f t="shared" si="199"/>
        <v>0</v>
      </c>
    </row>
    <row r="606" spans="1:32" x14ac:dyDescent="0.2">
      <c r="A606" s="117">
        <v>256</v>
      </c>
      <c r="B606" s="118">
        <v>46256</v>
      </c>
      <c r="C606" s="119" t="s">
        <v>34</v>
      </c>
      <c r="D606" s="119" t="s">
        <v>20</v>
      </c>
      <c r="E606" s="117" t="s">
        <v>371</v>
      </c>
      <c r="F606" s="120">
        <f t="shared" si="180"/>
        <v>3</v>
      </c>
      <c r="G606" s="121" t="str">
        <f t="shared" si="181"/>
        <v>Aaron</v>
      </c>
      <c r="H606" s="122">
        <f>IF($D606="",0,IFERROR(LOOKUP(2,1/(($D$3:D605=$D606)*($A$3:A605&lt;$A606)),$N$3:N605),'Guide &amp; Settings'!$C$41))</f>
        <v>1305.4661007130724</v>
      </c>
      <c r="I606" s="123">
        <f t="shared" si="182"/>
        <v>0.41558441558441556</v>
      </c>
      <c r="J606" s="124">
        <f>IF($D606="",0,IF($F606&lt;2,0,IF($E606="Win",('Guide &amp; Settings'!$C$42/(($F606-1)*COUNTIFS($A$4:$A$1510,$A606,$E$4:$E$1510,"Win")))*SUMIFS($X$4:$X$1510,$A$4:$A$1510,$A606,$E$4:$E$1510,"Loss"),-('Guide &amp; Settings'!$C$42/($F606-1))*$X606)))</f>
        <v>-9.677446751110649</v>
      </c>
      <c r="K606" s="124">
        <f>IF($D606="",0,'Guide &amp; Settings'!$C$43*(IF($E606="Win",1,0)-$I606))</f>
        <v>-4.9870129870129869</v>
      </c>
      <c r="L606" s="125">
        <f>IF($D606="",0,'Guide &amp; Settings'!$C$44*IF($F606&gt;=3,$F606,0))</f>
        <v>3</v>
      </c>
      <c r="M606" s="124">
        <f t="shared" si="183"/>
        <v>-11.664459738123636</v>
      </c>
      <c r="N606" s="122">
        <f t="shared" si="184"/>
        <v>1293.8016409749487</v>
      </c>
      <c r="O606" s="121" t="str">
        <f t="shared" si="185"/>
        <v>OK</v>
      </c>
      <c r="P606">
        <f t="shared" si="186"/>
        <v>1175.7182386609175</v>
      </c>
      <c r="Q606">
        <f t="shared" si="187"/>
        <v>0.67850039197718148</v>
      </c>
      <c r="R606">
        <f t="shared" si="188"/>
        <v>0.5714285714285714</v>
      </c>
      <c r="S606">
        <f t="shared" si="189"/>
        <v>1.375</v>
      </c>
      <c r="T606" s="89">
        <f t="shared" si="190"/>
        <v>5</v>
      </c>
      <c r="U606" s="126">
        <f>IF($D606="",0,IFERROR(LOOKUP(2,1/(($D$3:D605=$D606)*($C$3:C605=$C606)*($A$3:A605&lt;$A606)),$AB$3:AB605),1000))</f>
        <v>1026.6049838790475</v>
      </c>
      <c r="V606" s="126">
        <f t="shared" si="191"/>
        <v>1166.0355422960599</v>
      </c>
      <c r="W606">
        <f t="shared" si="192"/>
        <v>1092.0882244300369</v>
      </c>
      <c r="X606">
        <f t="shared" si="193"/>
        <v>0.60484042194441556</v>
      </c>
      <c r="Y606">
        <f t="shared" si="194"/>
        <v>1008.4582101991562</v>
      </c>
      <c r="Z606">
        <f t="shared" si="195"/>
        <v>0.52609158464569306</v>
      </c>
      <c r="AA606">
        <f>IF($D606="",0,IF($F606&lt;2,0,IF($E606="Win",('Guide &amp; Settings'!$C$42/(($F606-1)*COUNTIFS($A$4:$A$1510,$A606,$E$4:$E$1510,"Win")))*SUMIFS($Z$4:$Z$1510,$A$4:$A$1510,$A606,$E$4:$E$1510,"Loss"),-('Guide &amp; Settings'!$C$42/($F606-1))*$Z606)))</f>
        <v>-8.4174653543310889</v>
      </c>
      <c r="AB606" s="126">
        <f t="shared" si="196"/>
        <v>1018.1875185247164</v>
      </c>
      <c r="AC606" s="126">
        <f>IF($D606="","",IF($AD606=0,0,IF(COUNTIFS($D$4:$D606,$D606,$B$4:$B606,$B606)&gt;1,0,IF($B606&lt;'Guide &amp; Settings'!$C$50,0,IF(($B606-$AD606)/7-'Guide &amp; Settings'!$C$48&gt;=0,(INT(($B606-$AD606)/7-'Guide &amp; Settings'!$C$48)+1)*'Guide &amp; Settings'!$C$49,0)))))</f>
        <v>0</v>
      </c>
      <c r="AD606" s="142">
        <f t="shared" si="197"/>
        <v>46255</v>
      </c>
      <c r="AE606">
        <f t="shared" si="198"/>
        <v>1</v>
      </c>
      <c r="AF606">
        <f t="shared" si="199"/>
        <v>0</v>
      </c>
    </row>
    <row r="607" spans="1:32" x14ac:dyDescent="0.2">
      <c r="A607" s="117">
        <v>257</v>
      </c>
      <c r="B607" s="118">
        <v>46256</v>
      </c>
      <c r="C607" s="119" t="s">
        <v>34</v>
      </c>
      <c r="D607" s="119" t="s">
        <v>15</v>
      </c>
      <c r="E607" s="117" t="s">
        <v>370</v>
      </c>
      <c r="F607" s="120">
        <f t="shared" si="180"/>
        <v>3</v>
      </c>
      <c r="G607" s="121" t="str">
        <f t="shared" si="181"/>
        <v>Aaron</v>
      </c>
      <c r="H607" s="122">
        <f>IF($D607="",0,IFERROR(LOOKUP(2,1/(($D$3:D606=$D607)*($A$3:A606&lt;$A607)),$N$3:N606),'Guide &amp; Settings'!$C$41))</f>
        <v>1203.17976156635</v>
      </c>
      <c r="I607" s="123">
        <f t="shared" si="182"/>
        <v>0.375</v>
      </c>
      <c r="J607" s="124">
        <f>IF($D607="",0,IF($F607&lt;2,0,IF($E607="Win",('Guide &amp; Settings'!$C$42/(($F607-1)*COUNTIFS($A$4:$A$1510,$A607,$E$4:$E$1510,"Win")))*SUMIFS($X$4:$X$1510,$A$4:$A$1510,$A607,$E$4:$E$1510,"Loss"),-('Guide &amp; Settings'!$C$42/($F607-1))*$X607)))</f>
        <v>14.882943911264345</v>
      </c>
      <c r="K607" s="124">
        <f>IF($D607="",0,'Guide &amp; Settings'!$C$43*(IF($E607="Win",1,0)-$I607))</f>
        <v>7.5</v>
      </c>
      <c r="L607" s="125">
        <f>IF($D607="",0,'Guide &amp; Settings'!$C$44*IF($F607&gt;=3,$F607,0))</f>
        <v>3</v>
      </c>
      <c r="M607" s="124">
        <f t="shared" si="183"/>
        <v>25.382943911264345</v>
      </c>
      <c r="N607" s="122">
        <f t="shared" si="184"/>
        <v>1228.5627054776144</v>
      </c>
      <c r="O607" s="121" t="str">
        <f t="shared" si="185"/>
        <v>OK</v>
      </c>
      <c r="P607">
        <f t="shared" si="186"/>
        <v>1203.17976156635</v>
      </c>
      <c r="Q607">
        <f t="shared" si="187"/>
        <v>0.5</v>
      </c>
      <c r="R607">
        <f t="shared" si="188"/>
        <v>0.5</v>
      </c>
      <c r="S607">
        <f t="shared" si="189"/>
        <v>1.3333333333333333</v>
      </c>
      <c r="T607" s="89">
        <f t="shared" si="190"/>
        <v>6</v>
      </c>
      <c r="U607" s="126">
        <f>IF($D607="",0,IFERROR(LOOKUP(2,1/(($D$3:D606=$D607)*($C$3:C606=$C607)*($A$3:A606&lt;$A607)),$AB$3:AB606),1000))</f>
        <v>1024.8757165323539</v>
      </c>
      <c r="V607" s="126">
        <f t="shared" si="191"/>
        <v>1105.9230097296249</v>
      </c>
      <c r="W607">
        <f t="shared" si="192"/>
        <v>1105.9230097296249</v>
      </c>
      <c r="X607">
        <f t="shared" si="193"/>
        <v>0.5</v>
      </c>
      <c r="Y607">
        <f t="shared" si="194"/>
        <v>1024.8757165323539</v>
      </c>
      <c r="Z607">
        <f t="shared" si="195"/>
        <v>0.5</v>
      </c>
      <c r="AA607">
        <f>IF($D607="",0,IF($F607&lt;2,0,IF($E607="Win",('Guide &amp; Settings'!$C$42/(($F607-1)*COUNTIFS($A$4:$A$1510,$A607,$E$4:$E$1510,"Win")))*SUMIFS($Z$4:$Z$1510,$A$4:$A$1510,$A607,$E$4:$E$1510,"Loss"),-('Guide &amp; Settings'!$C$42/($F607-1))*$Z607)))</f>
        <v>15.284747378085063</v>
      </c>
      <c r="AB607" s="126">
        <f t="shared" si="196"/>
        <v>1040.1604639104389</v>
      </c>
      <c r="AC607" s="126">
        <f>IF($D607="","",IF($AD607=0,0,IF(COUNTIFS($D$4:$D607,$D607,$B$4:$B607,$B607)&gt;1,0,IF($B607&lt;'Guide &amp; Settings'!$C$50,0,IF(($B607-$AD607)/7-'Guide &amp; Settings'!$C$48&gt;=0,(INT(($B607-$AD607)/7-'Guide &amp; Settings'!$C$48)+1)*'Guide &amp; Settings'!$C$49,0)))))</f>
        <v>0</v>
      </c>
      <c r="AD607" s="142">
        <f t="shared" si="197"/>
        <v>46255</v>
      </c>
      <c r="AE607">
        <f t="shared" si="198"/>
        <v>1</v>
      </c>
      <c r="AF607">
        <f t="shared" si="199"/>
        <v>0</v>
      </c>
    </row>
    <row r="608" spans="1:32" x14ac:dyDescent="0.2">
      <c r="A608" s="117">
        <v>257</v>
      </c>
      <c r="B608" s="118">
        <v>46256</v>
      </c>
      <c r="C608" s="119" t="s">
        <v>34</v>
      </c>
      <c r="D608" s="119" t="s">
        <v>22</v>
      </c>
      <c r="E608" s="117" t="s">
        <v>371</v>
      </c>
      <c r="F608" s="120">
        <f t="shared" si="180"/>
        <v>3</v>
      </c>
      <c r="G608" s="121" t="str">
        <f t="shared" si="181"/>
        <v>Aaron</v>
      </c>
      <c r="H608" s="122">
        <f>IF($D608="",0,IFERROR(LOOKUP(2,1/(($D$3:D607=$D608)*($A$3:A607&lt;$A608)),$N$3:N607),'Guide &amp; Settings'!$C$41))</f>
        <v>1043.0204986519859</v>
      </c>
      <c r="I608" s="123">
        <f t="shared" si="182"/>
        <v>0.25</v>
      </c>
      <c r="J608" s="124">
        <f>IF($D608="",0,IF($F608&lt;2,0,IF($E608="Win",('Guide &amp; Settings'!$C$42/(($F608-1)*COUNTIFS($A$4:$A$1510,$A608,$E$4:$E$1510,"Win")))*SUMIFS($X$4:$X$1510,$A$4:$A$1510,$A608,$E$4:$E$1510,"Loss"),-('Guide &amp; Settings'!$C$42/($F608-1))*$X608)))</f>
        <v>-6.021818428417018</v>
      </c>
      <c r="K608" s="124">
        <f>IF($D608="",0,'Guide &amp; Settings'!$C$43*(IF($E608="Win",1,0)-$I608))</f>
        <v>-3</v>
      </c>
      <c r="L608" s="125">
        <f>IF($D608="",0,'Guide &amp; Settings'!$C$44*IF($F608&gt;=3,$F608,0))</f>
        <v>3</v>
      </c>
      <c r="M608" s="124">
        <f t="shared" si="183"/>
        <v>-6.0218184284170171</v>
      </c>
      <c r="N608" s="122">
        <f t="shared" si="184"/>
        <v>1036.998680223569</v>
      </c>
      <c r="O608" s="121" t="str">
        <f t="shared" si="185"/>
        <v>OK</v>
      </c>
      <c r="P608">
        <f t="shared" si="186"/>
        <v>1203.17976156635</v>
      </c>
      <c r="Q608">
        <f t="shared" si="187"/>
        <v>0.28456056640988292</v>
      </c>
      <c r="R608">
        <f t="shared" si="188"/>
        <v>0.33333333333333331</v>
      </c>
      <c r="S608">
        <f t="shared" si="189"/>
        <v>1.3333333333333333</v>
      </c>
      <c r="T608" s="89">
        <f t="shared" si="190"/>
        <v>7</v>
      </c>
      <c r="U608" s="126">
        <f>IF($D608="",0,IFERROR(LOOKUP(2,1/(($D$3:D607=$D608)*($C$3:C607=$C608)*($A$3:A607&lt;$A608)),$AB$3:AB607),1000))</f>
        <v>1000.4599489098562</v>
      </c>
      <c r="V608" s="126">
        <f t="shared" si="191"/>
        <v>1018.1935113024102</v>
      </c>
      <c r="W608">
        <f t="shared" si="192"/>
        <v>1105.9230097296249</v>
      </c>
      <c r="X608">
        <f t="shared" si="193"/>
        <v>0.37636365177606362</v>
      </c>
      <c r="Y608">
        <f t="shared" si="194"/>
        <v>1024.8757165323539</v>
      </c>
      <c r="Z608">
        <f t="shared" si="195"/>
        <v>0.46492061302952209</v>
      </c>
      <c r="AA608">
        <f>IF($D608="",0,IF($F608&lt;2,0,IF($E608="Win",('Guide &amp; Settings'!$C$42/(($F608-1)*COUNTIFS($A$4:$A$1510,$A608,$E$4:$E$1510,"Win")))*SUMIFS($Z$4:$Z$1510,$A$4:$A$1510,$A608,$E$4:$E$1510,"Loss"),-('Guide &amp; Settings'!$C$42/($F608-1))*$Z608)))</f>
        <v>-7.4387298084723534</v>
      </c>
      <c r="AB608" s="126">
        <f t="shared" si="196"/>
        <v>993.02121910138385</v>
      </c>
      <c r="AC608" s="126">
        <f>IF($D608="","",IF($AD608=0,0,IF(COUNTIFS($D$4:$D608,$D608,$B$4:$B608,$B608)&gt;1,0,IF($B608&lt;'Guide &amp; Settings'!$C$50,0,IF(($B608-$AD608)/7-'Guide &amp; Settings'!$C$48&gt;=0,(INT(($B608-$AD608)/7-'Guide &amp; Settings'!$C$48)+1)*'Guide &amp; Settings'!$C$49,0)))))</f>
        <v>0</v>
      </c>
      <c r="AD608" s="142">
        <f t="shared" si="197"/>
        <v>46255</v>
      </c>
      <c r="AE608">
        <f t="shared" si="198"/>
        <v>1</v>
      </c>
      <c r="AF608">
        <f t="shared" si="199"/>
        <v>0</v>
      </c>
    </row>
    <row r="609" spans="1:32" x14ac:dyDescent="0.2">
      <c r="A609" s="117">
        <v>257</v>
      </c>
      <c r="B609" s="118">
        <v>46256</v>
      </c>
      <c r="C609" s="119" t="s">
        <v>34</v>
      </c>
      <c r="D609" s="119" t="s">
        <v>20</v>
      </c>
      <c r="E609" s="117" t="s">
        <v>371</v>
      </c>
      <c r="F609" s="120">
        <f t="shared" si="180"/>
        <v>3</v>
      </c>
      <c r="G609" s="121" t="str">
        <f t="shared" si="181"/>
        <v>Aaron</v>
      </c>
      <c r="H609" s="122">
        <f>IF($D609="",0,IFERROR(LOOKUP(2,1/(($D$3:D608=$D609)*($A$3:A608&lt;$A609)),$N$3:N608),'Guide &amp; Settings'!$C$41))</f>
        <v>1293.8016409749487</v>
      </c>
      <c r="I609" s="123">
        <f t="shared" si="182"/>
        <v>0.375</v>
      </c>
      <c r="J609" s="124">
        <f>IF($D609="",0,IF($F609&lt;2,0,IF($E609="Win",('Guide &amp; Settings'!$C$42/(($F609-1)*COUNTIFS($A$4:$A$1510,$A609,$E$4:$E$1510,"Win")))*SUMIFS($X$4:$X$1510,$A$4:$A$1510,$A609,$E$4:$E$1510,"Loss"),-('Guide &amp; Settings'!$C$42/($F609-1))*$X609)))</f>
        <v>-8.8611254828473278</v>
      </c>
      <c r="K609" s="124">
        <f>IF($D609="",0,'Guide &amp; Settings'!$C$43*(IF($E609="Win",1,0)-$I609))</f>
        <v>-4.5</v>
      </c>
      <c r="L609" s="125">
        <f>IF($D609="",0,'Guide &amp; Settings'!$C$44*IF($F609&gt;=3,$F609,0))</f>
        <v>3</v>
      </c>
      <c r="M609" s="124">
        <f t="shared" si="183"/>
        <v>-10.361125482847328</v>
      </c>
      <c r="N609" s="122">
        <f t="shared" si="184"/>
        <v>1283.4405154921014</v>
      </c>
      <c r="O609" s="121" t="str">
        <f t="shared" si="185"/>
        <v>OK</v>
      </c>
      <c r="P609">
        <f t="shared" si="186"/>
        <v>1203.17976156635</v>
      </c>
      <c r="Q609">
        <f t="shared" si="187"/>
        <v>0.6275361917883252</v>
      </c>
      <c r="R609">
        <f t="shared" si="188"/>
        <v>0.5</v>
      </c>
      <c r="S609">
        <f t="shared" si="189"/>
        <v>1.3333333333333333</v>
      </c>
      <c r="T609" s="89">
        <f t="shared" si="190"/>
        <v>6</v>
      </c>
      <c r="U609" s="126">
        <f>IF($D609="",0,IFERROR(LOOKUP(2,1/(($D$3:D608=$D609)*($C$3:C608=$C609)*($A$3:A608&lt;$A609)),$AB$3:AB608),1000))</f>
        <v>1018.1875185247164</v>
      </c>
      <c r="V609" s="126">
        <f t="shared" si="191"/>
        <v>1143.4666650930039</v>
      </c>
      <c r="W609">
        <f t="shared" si="192"/>
        <v>1105.9230097296249</v>
      </c>
      <c r="X609">
        <f t="shared" si="193"/>
        <v>0.55382034267795799</v>
      </c>
      <c r="Y609">
        <f t="shared" si="194"/>
        <v>1024.8757165323539</v>
      </c>
      <c r="Z609">
        <f t="shared" si="195"/>
        <v>0.49037609810079436</v>
      </c>
      <c r="AA609">
        <f>IF($D609="",0,IF($F609&lt;2,0,IF($E609="Win",('Guide &amp; Settings'!$C$42/(($F609-1)*COUNTIFS($A$4:$A$1510,$A609,$E$4:$E$1510,"Win")))*SUMIFS($Z$4:$Z$1510,$A$4:$A$1510,$A609,$E$4:$E$1510,"Loss"),-('Guide &amp; Settings'!$C$42/($F609-1))*$Z609)))</f>
        <v>-7.8460175696127097</v>
      </c>
      <c r="AB609" s="126">
        <f t="shared" si="196"/>
        <v>1010.3415009551037</v>
      </c>
      <c r="AC609" s="126">
        <f>IF($D609="","",IF($AD609=0,0,IF(COUNTIFS($D$4:$D609,$D609,$B$4:$B609,$B609)&gt;1,0,IF($B609&lt;'Guide &amp; Settings'!$C$50,0,IF(($B609-$AD609)/7-'Guide &amp; Settings'!$C$48&gt;=0,(INT(($B609-$AD609)/7-'Guide &amp; Settings'!$C$48)+1)*'Guide &amp; Settings'!$C$49,0)))))</f>
        <v>0</v>
      </c>
      <c r="AD609" s="142">
        <f t="shared" si="197"/>
        <v>46255</v>
      </c>
      <c r="AE609">
        <f t="shared" si="198"/>
        <v>1</v>
      </c>
      <c r="AF609">
        <f t="shared" si="199"/>
        <v>0</v>
      </c>
    </row>
    <row r="610" spans="1:32" x14ac:dyDescent="0.2">
      <c r="A610" s="117">
        <v>258</v>
      </c>
      <c r="B610" s="118">
        <v>46256</v>
      </c>
      <c r="C610" s="119" t="s">
        <v>34</v>
      </c>
      <c r="D610" s="119" t="s">
        <v>15</v>
      </c>
      <c r="E610" s="117" t="s">
        <v>371</v>
      </c>
      <c r="F610" s="120">
        <f t="shared" si="180"/>
        <v>3</v>
      </c>
      <c r="G610" s="121" t="str">
        <f t="shared" si="181"/>
        <v>Daniel (Ferret)</v>
      </c>
      <c r="H610" s="122">
        <f>IF($D610="",0,IFERROR(LOOKUP(2,1/(($D$3:D609=$D610)*($A$3:A609&lt;$A610)),$N$3:N609),'Guide &amp; Settings'!$C$41))</f>
        <v>1228.5627054776144</v>
      </c>
      <c r="I610" s="123">
        <f t="shared" si="182"/>
        <v>0.42735042735042733</v>
      </c>
      <c r="J610" s="124">
        <f>IF($D610="",0,IF($F610&lt;2,0,IF($E610="Win",('Guide &amp; Settings'!$C$42/(($F610-1)*COUNTIFS($A$4:$A$1510,$A610,$E$4:$E$1510,"Win")))*SUMIFS($X$4:$X$1510,$A$4:$A$1510,$A610,$E$4:$E$1510,"Loss"),-('Guide &amp; Settings'!$C$42/($F610-1))*$X610)))</f>
        <v>-10.424859773809072</v>
      </c>
      <c r="K610" s="124">
        <f>IF($D610="",0,'Guide &amp; Settings'!$C$43*(IF($E610="Win",1,0)-$I610))</f>
        <v>-5.1282051282051277</v>
      </c>
      <c r="L610" s="125">
        <f>IF($D610="",0,'Guide &amp; Settings'!$C$44*IF($F610&gt;=3,$F610,0))</f>
        <v>3</v>
      </c>
      <c r="M610" s="124">
        <f t="shared" si="183"/>
        <v>-12.553064902014199</v>
      </c>
      <c r="N610" s="122">
        <f t="shared" si="184"/>
        <v>1216.0096405756001</v>
      </c>
      <c r="O610" s="121" t="str">
        <f t="shared" si="185"/>
        <v>OK</v>
      </c>
      <c r="P610">
        <f t="shared" si="186"/>
        <v>1036.998680223569</v>
      </c>
      <c r="Q610">
        <f t="shared" si="187"/>
        <v>0.75077149515803165</v>
      </c>
      <c r="R610">
        <f t="shared" si="188"/>
        <v>0.55555555555555558</v>
      </c>
      <c r="S610">
        <f t="shared" si="189"/>
        <v>1.3</v>
      </c>
      <c r="T610" s="89">
        <f t="shared" si="190"/>
        <v>7</v>
      </c>
      <c r="U610" s="126">
        <f>IF($D610="",0,IFERROR(LOOKUP(2,1/(($D$3:D609=$D610)*($C$3:C609=$C610)*($A$3:A609&lt;$A610)),$AB$3:AB609),1000))</f>
        <v>1040.1604639104389</v>
      </c>
      <c r="V610" s="126">
        <f t="shared" si="191"/>
        <v>1118.6613978967621</v>
      </c>
      <c r="W610">
        <f t="shared" si="192"/>
        <v>1009.9356272253012</v>
      </c>
      <c r="X610">
        <f t="shared" si="193"/>
        <v>0.65155373586306697</v>
      </c>
      <c r="Y610">
        <f t="shared" si="194"/>
        <v>993.02121910138385</v>
      </c>
      <c r="Z610">
        <f t="shared" si="195"/>
        <v>0.56742560030446487</v>
      </c>
      <c r="AA610">
        <f>IF($D610="",0,IF($F610&lt;2,0,IF($E610="Win",('Guide &amp; Settings'!$C$42/(($F610-1)*COUNTIFS($A$4:$A$1510,$A610,$E$4:$E$1510,"Win")))*SUMIFS($Z$4:$Z$1510,$A$4:$A$1510,$A610,$E$4:$E$1510,"Loss"),-('Guide &amp; Settings'!$C$42/($F610-1))*$Z610)))</f>
        <v>-9.078809604871438</v>
      </c>
      <c r="AB610" s="126">
        <f t="shared" si="196"/>
        <v>1031.0816543055676</v>
      </c>
      <c r="AC610" s="126">
        <f>IF($D610="","",IF($AD610=0,0,IF(COUNTIFS($D$4:$D610,$D610,$B$4:$B610,$B610)&gt;1,0,IF($B610&lt;'Guide &amp; Settings'!$C$50,0,IF(($B610-$AD610)/7-'Guide &amp; Settings'!$C$48&gt;=0,(INT(($B610-$AD610)/7-'Guide &amp; Settings'!$C$48)+1)*'Guide &amp; Settings'!$C$49,0)))))</f>
        <v>0</v>
      </c>
      <c r="AD610" s="142">
        <f t="shared" si="197"/>
        <v>46255</v>
      </c>
      <c r="AE610">
        <f t="shared" si="198"/>
        <v>1</v>
      </c>
      <c r="AF610">
        <f t="shared" si="199"/>
        <v>0</v>
      </c>
    </row>
    <row r="611" spans="1:32" x14ac:dyDescent="0.2">
      <c r="A611" s="117">
        <v>258</v>
      </c>
      <c r="B611" s="118">
        <v>46256</v>
      </c>
      <c r="C611" s="119" t="s">
        <v>34</v>
      </c>
      <c r="D611" s="119" t="s">
        <v>22</v>
      </c>
      <c r="E611" s="117" t="s">
        <v>370</v>
      </c>
      <c r="F611" s="120">
        <f t="shared" si="180"/>
        <v>3</v>
      </c>
      <c r="G611" s="121" t="str">
        <f t="shared" si="181"/>
        <v>Daniel (Ferret)</v>
      </c>
      <c r="H611" s="122">
        <f>IF($D611="",0,IFERROR(LOOKUP(2,1/(($D$3:D610=$D611)*($A$3:A610&lt;$A611)),$N$3:N610),'Guide &amp; Settings'!$C$41))</f>
        <v>1036.998680223569</v>
      </c>
      <c r="I611" s="123">
        <f t="shared" si="182"/>
        <v>0.23076923076923075</v>
      </c>
      <c r="J611" s="124">
        <f>IF($D611="",0,IF($F611&lt;2,0,IF($E611="Win",('Guide &amp; Settings'!$C$42/(($F611-1)*COUNTIFS($A$4:$A$1510,$A611,$E$4:$E$1510,"Win")))*SUMIFS($X$4:$X$1510,$A$4:$A$1510,$A611,$E$4:$E$1510,"Loss"),-('Guide &amp; Settings'!$C$42/($F611-1))*$X611)))</f>
        <v>20.963574819330997</v>
      </c>
      <c r="K611" s="124">
        <f>IF($D611="",0,'Guide &amp; Settings'!$C$43*(IF($E611="Win",1,0)-$I611))</f>
        <v>9.2307692307692317</v>
      </c>
      <c r="L611" s="125">
        <f>IF($D611="",0,'Guide &amp; Settings'!$C$44*IF($F611&gt;=3,$F611,0))</f>
        <v>3</v>
      </c>
      <c r="M611" s="124">
        <f t="shared" si="183"/>
        <v>33.194344050100227</v>
      </c>
      <c r="N611" s="122">
        <f t="shared" si="184"/>
        <v>1070.1930242736692</v>
      </c>
      <c r="O611" s="121" t="str">
        <f t="shared" si="185"/>
        <v>OK</v>
      </c>
      <c r="P611">
        <f t="shared" si="186"/>
        <v>1036.998680223569</v>
      </c>
      <c r="Q611">
        <f t="shared" si="187"/>
        <v>0.5</v>
      </c>
      <c r="R611">
        <f t="shared" si="188"/>
        <v>0.3</v>
      </c>
      <c r="S611">
        <f t="shared" si="189"/>
        <v>1.3</v>
      </c>
      <c r="T611" s="89">
        <f t="shared" si="190"/>
        <v>8</v>
      </c>
      <c r="U611" s="126">
        <f>IF($D611="",0,IFERROR(LOOKUP(2,1/(($D$3:D610=$D611)*($C$3:C610=$C611)*($A$3:A610&lt;$A611)),$AB$3:AB610),1000))</f>
        <v>993.02121910138385</v>
      </c>
      <c r="V611" s="126">
        <f t="shared" si="191"/>
        <v>1009.9356272253012</v>
      </c>
      <c r="W611">
        <f t="shared" si="192"/>
        <v>1009.9356272253012</v>
      </c>
      <c r="X611">
        <f t="shared" si="193"/>
        <v>0.5</v>
      </c>
      <c r="Y611">
        <f t="shared" si="194"/>
        <v>993.02121910138385</v>
      </c>
      <c r="Z611">
        <f t="shared" si="195"/>
        <v>0.5</v>
      </c>
      <c r="AA611">
        <f>IF($D611="",0,IF($F611&lt;2,0,IF($E611="Win",('Guide &amp; Settings'!$C$42/(($F611-1)*COUNTIFS($A$4:$A$1510,$A611,$E$4:$E$1510,"Win")))*SUMIFS($Z$4:$Z$1510,$A$4:$A$1510,$A611,$E$4:$E$1510,"Loss"),-('Guide &amp; Settings'!$C$42/($F611-1))*$Z611)))</f>
        <v>17.477293783308969</v>
      </c>
      <c r="AB611" s="126">
        <f t="shared" si="196"/>
        <v>1010.4985128846928</v>
      </c>
      <c r="AC611" s="126">
        <f>IF($D611="","",IF($AD611=0,0,IF(COUNTIFS($D$4:$D611,$D611,$B$4:$B611,$B611)&gt;1,0,IF($B611&lt;'Guide &amp; Settings'!$C$50,0,IF(($B611-$AD611)/7-'Guide &amp; Settings'!$C$48&gt;=0,(INT(($B611-$AD611)/7-'Guide &amp; Settings'!$C$48)+1)*'Guide &amp; Settings'!$C$49,0)))))</f>
        <v>0</v>
      </c>
      <c r="AD611" s="142">
        <f t="shared" si="197"/>
        <v>46255</v>
      </c>
      <c r="AE611">
        <f t="shared" si="198"/>
        <v>1</v>
      </c>
      <c r="AF611">
        <f t="shared" si="199"/>
        <v>0</v>
      </c>
    </row>
    <row r="612" spans="1:32" x14ac:dyDescent="0.2">
      <c r="A612" s="117">
        <v>258</v>
      </c>
      <c r="B612" s="118">
        <v>46256</v>
      </c>
      <c r="C612" s="119" t="s">
        <v>34</v>
      </c>
      <c r="D612" s="119" t="s">
        <v>20</v>
      </c>
      <c r="E612" s="117" t="s">
        <v>371</v>
      </c>
      <c r="F612" s="120">
        <f t="shared" si="180"/>
        <v>3</v>
      </c>
      <c r="G612" s="121" t="str">
        <f t="shared" si="181"/>
        <v>Daniel (Ferret)</v>
      </c>
      <c r="H612" s="122">
        <f>IF($D612="",0,IFERROR(LOOKUP(2,1/(($D$3:D611=$D612)*($A$3:A611&lt;$A612)),$N$3:N611),'Guide &amp; Settings'!$C$41))</f>
        <v>1283.4405154921014</v>
      </c>
      <c r="I612" s="123">
        <f t="shared" si="182"/>
        <v>0.34188034188034183</v>
      </c>
      <c r="J612" s="124">
        <f>IF($D612="",0,IF($F612&lt;2,0,IF($E612="Win",('Guide &amp; Settings'!$C$42/(($F612-1)*COUNTIFS($A$4:$A$1510,$A612,$E$4:$E$1510,"Win")))*SUMIFS($X$4:$X$1510,$A$4:$A$1510,$A612,$E$4:$E$1510,"Loss"),-('Guide &amp; Settings'!$C$42/($F612-1))*$X612)))</f>
        <v>-10.538715045521926</v>
      </c>
      <c r="K612" s="124">
        <f>IF($D612="",0,'Guide &amp; Settings'!$C$43*(IF($E612="Win",1,0)-$I612))</f>
        <v>-4.1025641025641022</v>
      </c>
      <c r="L612" s="125">
        <f>IF($D612="",0,'Guide &amp; Settings'!$C$44*IF($F612&gt;=3,$F612,0))</f>
        <v>3</v>
      </c>
      <c r="M612" s="124">
        <f t="shared" si="183"/>
        <v>-11.641279148086028</v>
      </c>
      <c r="N612" s="122">
        <f t="shared" si="184"/>
        <v>1271.7992363440153</v>
      </c>
      <c r="O612" s="121" t="str">
        <f t="shared" si="185"/>
        <v>OK</v>
      </c>
      <c r="P612">
        <f t="shared" si="186"/>
        <v>1036.998680223569</v>
      </c>
      <c r="Q612">
        <f t="shared" si="187"/>
        <v>0.80512406220818877</v>
      </c>
      <c r="R612">
        <f t="shared" si="188"/>
        <v>0.44444444444444442</v>
      </c>
      <c r="S612">
        <f t="shared" si="189"/>
        <v>1.3</v>
      </c>
      <c r="T612" s="89">
        <f t="shared" si="190"/>
        <v>7</v>
      </c>
      <c r="U612" s="126">
        <f>IF($D612="",0,IFERROR(LOOKUP(2,1/(($D$3:D611=$D612)*($C$3:C611=$C612)*($A$3:A611&lt;$A612)),$AB$3:AB611),1000))</f>
        <v>1010.3415009551037</v>
      </c>
      <c r="V612" s="126">
        <f t="shared" si="191"/>
        <v>1124.1327570121862</v>
      </c>
      <c r="W612">
        <f t="shared" si="192"/>
        <v>1009.9356272253012</v>
      </c>
      <c r="X612">
        <f t="shared" si="193"/>
        <v>0.65866969034512035</v>
      </c>
      <c r="Y612">
        <f t="shared" si="194"/>
        <v>993.02121910138385</v>
      </c>
      <c r="Z612">
        <f t="shared" si="195"/>
        <v>0.5249052611523457</v>
      </c>
      <c r="AA612">
        <f>IF($D612="",0,IF($F612&lt;2,0,IF($E612="Win",('Guide &amp; Settings'!$C$42/(($F612-1)*COUNTIFS($A$4:$A$1510,$A612,$E$4:$E$1510,"Win")))*SUMIFS($Z$4:$Z$1510,$A$4:$A$1510,$A612,$E$4:$E$1510,"Loss"),-('Guide &amp; Settings'!$C$42/($F612-1))*$Z612)))</f>
        <v>-8.3984841784375313</v>
      </c>
      <c r="AB612" s="126">
        <f t="shared" si="196"/>
        <v>1001.9430167766661</v>
      </c>
      <c r="AC612" s="126">
        <f>IF($D612="","",IF($AD612=0,0,IF(COUNTIFS($D$4:$D612,$D612,$B$4:$B612,$B612)&gt;1,0,IF($B612&lt;'Guide &amp; Settings'!$C$50,0,IF(($B612-$AD612)/7-'Guide &amp; Settings'!$C$48&gt;=0,(INT(($B612-$AD612)/7-'Guide &amp; Settings'!$C$48)+1)*'Guide &amp; Settings'!$C$49,0)))))</f>
        <v>0</v>
      </c>
      <c r="AD612" s="142">
        <f t="shared" si="197"/>
        <v>46255</v>
      </c>
      <c r="AE612">
        <f t="shared" si="198"/>
        <v>1</v>
      </c>
      <c r="AF612">
        <f t="shared" si="199"/>
        <v>0</v>
      </c>
    </row>
    <row r="613" spans="1:32" x14ac:dyDescent="0.2">
      <c r="A613" s="117">
        <v>259</v>
      </c>
      <c r="B613" s="118">
        <v>46256</v>
      </c>
      <c r="C613" s="119" t="s">
        <v>37</v>
      </c>
      <c r="D613" s="119" t="s">
        <v>18</v>
      </c>
      <c r="E613" s="117" t="s">
        <v>371</v>
      </c>
      <c r="F613" s="120">
        <f t="shared" si="180"/>
        <v>2</v>
      </c>
      <c r="G613" s="121" t="str">
        <f t="shared" si="181"/>
        <v>Dean B</v>
      </c>
      <c r="H613" s="122">
        <f>IF($D613="",0,IFERROR(LOOKUP(2,1/(($D$3:D612=$D613)*($A$3:A612&lt;$A613)),$N$3:N612),'Guide &amp; Settings'!$C$41))</f>
        <v>935.23568912688131</v>
      </c>
      <c r="I613" s="123">
        <f t="shared" si="182"/>
        <v>0.47826086956521741</v>
      </c>
      <c r="J613" s="124">
        <f>IF($D613="",0,IF($F613&lt;2,0,IF($E613="Win",('Guide &amp; Settings'!$C$42/(($F613-1)*COUNTIFS($A$4:$A$1510,$A613,$E$4:$E$1510,"Win")))*SUMIFS($X$4:$X$1510,$A$4:$A$1510,$A613,$E$4:$E$1510,"Loss"),-('Guide &amp; Settings'!$C$42/($F613-1))*$X613)))</f>
        <v>-9.29479991979969</v>
      </c>
      <c r="K613" s="124">
        <f>IF($D613="",0,'Guide &amp; Settings'!$C$43*(IF($E613="Win",1,0)-$I613))</f>
        <v>-5.7391304347826093</v>
      </c>
      <c r="L613" s="125">
        <f>IF($D613="",0,'Guide &amp; Settings'!$C$44*IF($F613&gt;=3,$F613,0))</f>
        <v>0</v>
      </c>
      <c r="M613" s="124">
        <f t="shared" si="183"/>
        <v>-15.033930354582299</v>
      </c>
      <c r="N613" s="122">
        <f t="shared" si="184"/>
        <v>920.20175877229906</v>
      </c>
      <c r="O613" s="121" t="str">
        <f t="shared" si="185"/>
        <v>OK</v>
      </c>
      <c r="P613">
        <f t="shared" si="186"/>
        <v>1220.7793957579906</v>
      </c>
      <c r="Q613">
        <f t="shared" si="187"/>
        <v>0.16195928540977914</v>
      </c>
      <c r="R613">
        <f t="shared" si="188"/>
        <v>0.5</v>
      </c>
      <c r="S613">
        <f t="shared" si="189"/>
        <v>1.0454545454545454</v>
      </c>
      <c r="T613" s="89">
        <f t="shared" si="190"/>
        <v>0</v>
      </c>
      <c r="U613" s="126">
        <f>IF($D613="",0,IFERROR(LOOKUP(2,1/(($D$3:D612=$D613)*($C$3:C612=$C613)*($A$3:A612&lt;$A613)),$AB$3:AB612),1000))</f>
        <v>1000</v>
      </c>
      <c r="V613" s="126">
        <f t="shared" si="191"/>
        <v>935.23568912688131</v>
      </c>
      <c r="W613">
        <f t="shared" si="192"/>
        <v>1090.3898042168335</v>
      </c>
      <c r="X613">
        <f t="shared" si="193"/>
        <v>0.29046249749374031</v>
      </c>
      <c r="Y613">
        <f t="shared" si="194"/>
        <v>1017.9511422495239</v>
      </c>
      <c r="Z613">
        <f t="shared" si="195"/>
        <v>0.47418919318760955</v>
      </c>
      <c r="AA613">
        <f>IF($D613="",0,IF($F613&lt;2,0,IF($E613="Win",('Guide &amp; Settings'!$C$42/(($F613-1)*COUNTIFS($A$4:$A$1510,$A613,$E$4:$E$1510,"Win")))*SUMIFS($Z$4:$Z$1510,$A$4:$A$1510,$A613,$E$4:$E$1510,"Loss"),-('Guide &amp; Settings'!$C$42/($F613-1))*$Z613)))</f>
        <v>-15.174054182003506</v>
      </c>
      <c r="AB613" s="126">
        <f t="shared" si="196"/>
        <v>984.82594581799651</v>
      </c>
      <c r="AC613" s="126">
        <f>IF($D613="","",IF($AD613=0,0,IF(COUNTIFS($D$4:$D613,$D613,$B$4:$B613,$B613)&gt;1,0,IF($B613&lt;'Guide &amp; Settings'!$C$50,0,IF(($B613-$AD613)/7-'Guide &amp; Settings'!$C$48&gt;=0,(INT(($B613-$AD613)/7-'Guide &amp; Settings'!$C$48)+1)*'Guide &amp; Settings'!$C$49,0)))))</f>
        <v>0</v>
      </c>
      <c r="AD613" s="142">
        <f t="shared" si="197"/>
        <v>46255</v>
      </c>
      <c r="AE613">
        <f t="shared" si="198"/>
        <v>1</v>
      </c>
      <c r="AF613">
        <f t="shared" si="199"/>
        <v>0</v>
      </c>
    </row>
    <row r="614" spans="1:32" x14ac:dyDescent="0.2">
      <c r="A614" s="117">
        <v>259</v>
      </c>
      <c r="B614" s="118">
        <v>46256</v>
      </c>
      <c r="C614" s="119" t="s">
        <v>37</v>
      </c>
      <c r="D614" s="119" t="s">
        <v>23</v>
      </c>
      <c r="E614" s="117" t="s">
        <v>370</v>
      </c>
      <c r="F614" s="120">
        <f t="shared" si="180"/>
        <v>2</v>
      </c>
      <c r="G614" s="121" t="str">
        <f t="shared" si="181"/>
        <v>Dean B</v>
      </c>
      <c r="H614" s="122">
        <f>IF($D614="",0,IFERROR(LOOKUP(2,1/(($D$3:D613=$D614)*($A$3:A613&lt;$A614)),$N$3:N613),'Guide &amp; Settings'!$C$41))</f>
        <v>1220.7793957579906</v>
      </c>
      <c r="I614" s="123">
        <f t="shared" si="182"/>
        <v>0.52173913043478259</v>
      </c>
      <c r="J614" s="124">
        <f>IF($D614="",0,IF($F614&lt;2,0,IF($E614="Win",('Guide &amp; Settings'!$C$42/(($F614-1)*COUNTIFS($A$4:$A$1510,$A614,$E$4:$E$1510,"Win")))*SUMIFS($X$4:$X$1510,$A$4:$A$1510,$A614,$E$4:$E$1510,"Loss"),-('Guide &amp; Settings'!$C$42/($F614-1))*$X614)))</f>
        <v>9.29479991979969</v>
      </c>
      <c r="K614" s="124">
        <f>IF($D614="",0,'Guide &amp; Settings'!$C$43*(IF($E614="Win",1,0)-$I614))</f>
        <v>5.7391304347826093</v>
      </c>
      <c r="L614" s="125">
        <f>IF($D614="",0,'Guide &amp; Settings'!$C$44*IF($F614&gt;=3,$F614,0))</f>
        <v>0</v>
      </c>
      <c r="M614" s="124">
        <f t="shared" si="183"/>
        <v>15.033930354582299</v>
      </c>
      <c r="N614" s="122">
        <f t="shared" si="184"/>
        <v>1235.8133261125729</v>
      </c>
      <c r="O614" s="121" t="str">
        <f t="shared" si="185"/>
        <v>OK</v>
      </c>
      <c r="P614">
        <f t="shared" si="186"/>
        <v>1220.7793957579906</v>
      </c>
      <c r="Q614">
        <f t="shared" si="187"/>
        <v>0.5</v>
      </c>
      <c r="R614">
        <f t="shared" si="188"/>
        <v>0.54545454545454541</v>
      </c>
      <c r="S614">
        <f t="shared" si="189"/>
        <v>1.0454545454545454</v>
      </c>
      <c r="T614" s="89">
        <f t="shared" si="190"/>
        <v>9</v>
      </c>
      <c r="U614" s="126">
        <f>IF($D614="",0,IFERROR(LOOKUP(2,1/(($D$3:D613=$D614)*($C$3:C613=$C614)*($A$3:A613&lt;$A614)),$AB$3:AB613),1000))</f>
        <v>1017.9511422495239</v>
      </c>
      <c r="V614" s="126">
        <f t="shared" si="191"/>
        <v>1090.3898042168335</v>
      </c>
      <c r="W614">
        <f t="shared" si="192"/>
        <v>1090.3898042168335</v>
      </c>
      <c r="X614">
        <f t="shared" si="193"/>
        <v>0.5</v>
      </c>
      <c r="Y614">
        <f t="shared" si="194"/>
        <v>1017.9511422495239</v>
      </c>
      <c r="Z614">
        <f t="shared" si="195"/>
        <v>0.5</v>
      </c>
      <c r="AA614">
        <f>IF($D614="",0,IF($F614&lt;2,0,IF($E614="Win",('Guide &amp; Settings'!$C$42/(($F614-1)*COUNTIFS($A$4:$A$1510,$A614,$E$4:$E$1510,"Win")))*SUMIFS($Z$4:$Z$1510,$A$4:$A$1510,$A614,$E$4:$E$1510,"Loss"),-('Guide &amp; Settings'!$C$42/($F614-1))*$Z614)))</f>
        <v>15.174054182003506</v>
      </c>
      <c r="AB614" s="126">
        <f t="shared" si="196"/>
        <v>1033.1251964315275</v>
      </c>
      <c r="AC614" s="126">
        <f>IF($D614="","",IF($AD614=0,0,IF(COUNTIFS($D$4:$D614,$D614,$B$4:$B614,$B614)&gt;1,0,IF($B614&lt;'Guide &amp; Settings'!$C$50,0,IF(($B614-$AD614)/7-'Guide &amp; Settings'!$C$48&gt;=0,(INT(($B614-$AD614)/7-'Guide &amp; Settings'!$C$48)+1)*'Guide &amp; Settings'!$C$49,0)))))</f>
        <v>0</v>
      </c>
      <c r="AD614" s="142">
        <f t="shared" si="197"/>
        <v>46255</v>
      </c>
      <c r="AE614">
        <f t="shared" si="198"/>
        <v>1</v>
      </c>
      <c r="AF614">
        <f t="shared" si="199"/>
        <v>0</v>
      </c>
    </row>
    <row r="615" spans="1:32" x14ac:dyDescent="0.2">
      <c r="A615" s="117">
        <v>260</v>
      </c>
      <c r="B615" s="118">
        <v>46256</v>
      </c>
      <c r="C615" s="119" t="s">
        <v>37</v>
      </c>
      <c r="D615" s="119" t="s">
        <v>18</v>
      </c>
      <c r="E615" s="117" t="s">
        <v>371</v>
      </c>
      <c r="F615" s="120">
        <f t="shared" si="180"/>
        <v>2</v>
      </c>
      <c r="G615" s="121" t="str">
        <f t="shared" si="181"/>
        <v>Dean B</v>
      </c>
      <c r="H615" s="122">
        <f>IF($D615="",0,IFERROR(LOOKUP(2,1/(($D$3:D614=$D615)*($A$3:A614&lt;$A615)),$N$3:N614),'Guide &amp; Settings'!$C$41))</f>
        <v>920.20175877229906</v>
      </c>
      <c r="I615" s="123">
        <f t="shared" si="182"/>
        <v>0.36363636363636359</v>
      </c>
      <c r="J615" s="124">
        <f>IF($D615="",0,IF($F615&lt;2,0,IF($E615="Win",('Guide &amp; Settings'!$C$42/(($F615-1)*COUNTIFS($A$4:$A$1510,$A615,$E$4:$E$1510,"Win")))*SUMIFS($X$4:$X$1510,$A$4:$A$1510,$A615,$E$4:$E$1510,"Loss"),-('Guide &amp; Settings'!$C$42/($F615-1))*$X615)))</f>
        <v>-8.7518486710480889</v>
      </c>
      <c r="K615" s="124">
        <f>IF($D615="",0,'Guide &amp; Settings'!$C$43*(IF($E615="Win",1,0)-$I615))</f>
        <v>-4.3636363636363633</v>
      </c>
      <c r="L615" s="125">
        <f>IF($D615="",0,'Guide &amp; Settings'!$C$44*IF($F615&gt;=3,$F615,0))</f>
        <v>0</v>
      </c>
      <c r="M615" s="124">
        <f t="shared" si="183"/>
        <v>-13.115485034684452</v>
      </c>
      <c r="N615" s="122">
        <f t="shared" si="184"/>
        <v>907.08627373761465</v>
      </c>
      <c r="O615" s="121" t="str">
        <f t="shared" si="185"/>
        <v>OK</v>
      </c>
      <c r="P615">
        <f t="shared" si="186"/>
        <v>1235.8133261125729</v>
      </c>
      <c r="Q615">
        <f t="shared" si="187"/>
        <v>0.13981754208303249</v>
      </c>
      <c r="R615">
        <f t="shared" si="188"/>
        <v>0.33333333333333331</v>
      </c>
      <c r="S615">
        <f t="shared" si="189"/>
        <v>0.91666666666666674</v>
      </c>
      <c r="T615" s="89">
        <f t="shared" si="190"/>
        <v>1</v>
      </c>
      <c r="U615" s="126">
        <f>IF($D615="",0,IFERROR(LOOKUP(2,1/(($D$3:D614=$D615)*($C$3:C614=$C615)*($A$3:A614&lt;$A615)),$AB$3:AB614),1000))</f>
        <v>984.82594581799651</v>
      </c>
      <c r="V615" s="126">
        <f t="shared" si="191"/>
        <v>930.9724566132486</v>
      </c>
      <c r="W615">
        <f t="shared" si="192"/>
        <v>1100.6879063252093</v>
      </c>
      <c r="X615">
        <f t="shared" si="193"/>
        <v>0.27349527097025278</v>
      </c>
      <c r="Y615">
        <f t="shared" si="194"/>
        <v>1033.1251964315275</v>
      </c>
      <c r="Z615">
        <f t="shared" si="195"/>
        <v>0.43093611831636031</v>
      </c>
      <c r="AA615">
        <f>IF($D615="",0,IF($F615&lt;2,0,IF($E615="Win",('Guide &amp; Settings'!$C$42/(($F615-1)*COUNTIFS($A$4:$A$1510,$A615,$E$4:$E$1510,"Win")))*SUMIFS($Z$4:$Z$1510,$A$4:$A$1510,$A615,$E$4:$E$1510,"Loss"),-('Guide &amp; Settings'!$C$42/($F615-1))*$Z615)))</f>
        <v>-13.78995578612353</v>
      </c>
      <c r="AB615" s="126">
        <f t="shared" si="196"/>
        <v>971.03599003187298</v>
      </c>
      <c r="AC615" s="126">
        <f>IF($D615="","",IF($AD615=0,0,IF(COUNTIFS($D$4:$D615,$D615,$B$4:$B615,$B615)&gt;1,0,IF($B615&lt;'Guide &amp; Settings'!$C$50,0,IF(($B615-$AD615)/7-'Guide &amp; Settings'!$C$48&gt;=0,(INT(($B615-$AD615)/7-'Guide &amp; Settings'!$C$48)+1)*'Guide &amp; Settings'!$C$49,0)))))</f>
        <v>0</v>
      </c>
      <c r="AD615" s="142">
        <f t="shared" si="197"/>
        <v>46255</v>
      </c>
      <c r="AE615">
        <f t="shared" si="198"/>
        <v>1</v>
      </c>
      <c r="AF615">
        <f t="shared" si="199"/>
        <v>0</v>
      </c>
    </row>
    <row r="616" spans="1:32" x14ac:dyDescent="0.2">
      <c r="A616" s="117">
        <v>260</v>
      </c>
      <c r="B616" s="118">
        <v>46256</v>
      </c>
      <c r="C616" s="119" t="s">
        <v>37</v>
      </c>
      <c r="D616" s="119" t="s">
        <v>23</v>
      </c>
      <c r="E616" s="117" t="s">
        <v>370</v>
      </c>
      <c r="F616" s="120">
        <f t="shared" si="180"/>
        <v>2</v>
      </c>
      <c r="G616" s="121" t="str">
        <f t="shared" si="181"/>
        <v>Dean B</v>
      </c>
      <c r="H616" s="122">
        <f>IF($D616="",0,IFERROR(LOOKUP(2,1/(($D$3:D615=$D616)*($A$3:A615&lt;$A616)),$N$3:N615),'Guide &amp; Settings'!$C$41))</f>
        <v>1235.8133261125729</v>
      </c>
      <c r="I616" s="123">
        <f t="shared" si="182"/>
        <v>0.63636363636363635</v>
      </c>
      <c r="J616" s="124">
        <f>IF($D616="",0,IF($F616&lt;2,0,IF($E616="Win",('Guide &amp; Settings'!$C$42/(($F616-1)*COUNTIFS($A$4:$A$1510,$A616,$E$4:$E$1510,"Win")))*SUMIFS($X$4:$X$1510,$A$4:$A$1510,$A616,$E$4:$E$1510,"Loss"),-('Guide &amp; Settings'!$C$42/($F616-1))*$X616)))</f>
        <v>8.7518486710480889</v>
      </c>
      <c r="K616" s="124">
        <f>IF($D616="",0,'Guide &amp; Settings'!$C$43*(IF($E616="Win",1,0)-$I616))</f>
        <v>4.3636363636363633</v>
      </c>
      <c r="L616" s="125">
        <f>IF($D616="",0,'Guide &amp; Settings'!$C$44*IF($F616&gt;=3,$F616,0))</f>
        <v>0</v>
      </c>
      <c r="M616" s="124">
        <f t="shared" si="183"/>
        <v>13.115485034684452</v>
      </c>
      <c r="N616" s="122">
        <f t="shared" si="184"/>
        <v>1248.9288111472574</v>
      </c>
      <c r="O616" s="121" t="str">
        <f t="shared" si="185"/>
        <v>OK</v>
      </c>
      <c r="P616">
        <f t="shared" si="186"/>
        <v>1235.8133261125729</v>
      </c>
      <c r="Q616">
        <f t="shared" si="187"/>
        <v>0.5</v>
      </c>
      <c r="R616">
        <f t="shared" si="188"/>
        <v>0.58333333333333337</v>
      </c>
      <c r="S616">
        <f t="shared" si="189"/>
        <v>0.91666666666666674</v>
      </c>
      <c r="T616" s="89">
        <f t="shared" si="190"/>
        <v>10</v>
      </c>
      <c r="U616" s="126">
        <f>IF($D616="",0,IFERROR(LOOKUP(2,1/(($D$3:D615=$D616)*($C$3:C615=$C616)*($A$3:A615&lt;$A616)),$AB$3:AB615),1000))</f>
        <v>1033.1251964315275</v>
      </c>
      <c r="V616" s="126">
        <f t="shared" si="191"/>
        <v>1100.6879063252093</v>
      </c>
      <c r="W616">
        <f t="shared" si="192"/>
        <v>1100.6879063252093</v>
      </c>
      <c r="X616">
        <f t="shared" si="193"/>
        <v>0.5</v>
      </c>
      <c r="Y616">
        <f t="shared" si="194"/>
        <v>1033.1251964315275</v>
      </c>
      <c r="Z616">
        <f t="shared" si="195"/>
        <v>0.5</v>
      </c>
      <c r="AA616">
        <f>IF($D616="",0,IF($F616&lt;2,0,IF($E616="Win",('Guide &amp; Settings'!$C$42/(($F616-1)*COUNTIFS($A$4:$A$1510,$A616,$E$4:$E$1510,"Win")))*SUMIFS($Z$4:$Z$1510,$A$4:$A$1510,$A616,$E$4:$E$1510,"Loss"),-('Guide &amp; Settings'!$C$42/($F616-1))*$Z616)))</f>
        <v>13.78995578612353</v>
      </c>
      <c r="AB616" s="126">
        <f t="shared" si="196"/>
        <v>1046.915152217651</v>
      </c>
      <c r="AC616" s="126">
        <f>IF($D616="","",IF($AD616=0,0,IF(COUNTIFS($D$4:$D616,$D616,$B$4:$B616,$B616)&gt;1,0,IF($B616&lt;'Guide &amp; Settings'!$C$50,0,IF(($B616-$AD616)/7-'Guide &amp; Settings'!$C$48&gt;=0,(INT(($B616-$AD616)/7-'Guide &amp; Settings'!$C$48)+1)*'Guide &amp; Settings'!$C$49,0)))))</f>
        <v>0</v>
      </c>
      <c r="AD616" s="142">
        <f t="shared" si="197"/>
        <v>46255</v>
      </c>
      <c r="AE616">
        <f t="shared" si="198"/>
        <v>1</v>
      </c>
      <c r="AF616">
        <f t="shared" si="199"/>
        <v>0</v>
      </c>
    </row>
    <row r="617" spans="1:32" x14ac:dyDescent="0.2">
      <c r="A617" s="117">
        <v>261</v>
      </c>
      <c r="B617" s="118">
        <v>46256</v>
      </c>
      <c r="C617" s="119" t="s">
        <v>34</v>
      </c>
      <c r="D617" s="119" t="s">
        <v>20</v>
      </c>
      <c r="E617" s="117" t="s">
        <v>371</v>
      </c>
      <c r="F617" s="120">
        <f t="shared" si="180"/>
        <v>5</v>
      </c>
      <c r="G617" s="121" t="str">
        <f t="shared" si="181"/>
        <v>Aaron</v>
      </c>
      <c r="H617" s="122">
        <f>IF($D617="",0,IFERROR(LOOKUP(2,1/(($D$3:D616=$D617)*($A$3:A616&lt;$A617)),$N$3:N616),'Guide &amp; Settings'!$C$41))</f>
        <v>1271.7992363440153</v>
      </c>
      <c r="I617" s="123">
        <f t="shared" si="182"/>
        <v>0.19075144508670519</v>
      </c>
      <c r="J617" s="124">
        <f>IF($D617="",0,IF($F617&lt;2,0,IF($E617="Win",('Guide &amp; Settings'!$C$42/(($F617-1)*COUNTIFS($A$4:$A$1510,$A617,$E$4:$E$1510,"Win")))*SUMIFS($X$4:$X$1510,$A$4:$A$1510,$A617,$E$4:$E$1510,"Loss"),-('Guide &amp; Settings'!$C$42/($F617-1))*$X617)))</f>
        <v>-4.0405939595939921</v>
      </c>
      <c r="K617" s="124">
        <f>IF($D617="",0,'Guide &amp; Settings'!$C$43*(IF($E617="Win",1,0)-$I617))</f>
        <v>-2.2890173410404624</v>
      </c>
      <c r="L617" s="125">
        <f>IF($D617="",0,'Guide &amp; Settings'!$C$44*IF($F617&gt;=3,$F617,0))</f>
        <v>5</v>
      </c>
      <c r="M617" s="124">
        <f t="shared" si="183"/>
        <v>-1.3296113006344541</v>
      </c>
      <c r="N617" s="122">
        <f t="shared" si="184"/>
        <v>1270.4696250433808</v>
      </c>
      <c r="O617" s="121" t="str">
        <f t="shared" si="185"/>
        <v>OK</v>
      </c>
      <c r="P617">
        <f t="shared" si="186"/>
        <v>1216.0096405756001</v>
      </c>
      <c r="Q617">
        <f t="shared" si="187"/>
        <v>0.57960466797255528</v>
      </c>
      <c r="R617">
        <f t="shared" si="188"/>
        <v>0.4</v>
      </c>
      <c r="S617">
        <f t="shared" si="189"/>
        <v>2.0969696969696972</v>
      </c>
      <c r="T617" s="89">
        <f t="shared" si="190"/>
        <v>8</v>
      </c>
      <c r="U617" s="126">
        <f>IF($D617="",0,IFERROR(LOOKUP(2,1/(($D$3:D616=$D617)*($C$3:C616=$C617)*($A$3:A616&lt;$A617)),$AB$3:AB616),1000))</f>
        <v>1001.9430167766661</v>
      </c>
      <c r="V617" s="126">
        <f t="shared" si="191"/>
        <v>1105.7338704564158</v>
      </c>
      <c r="W617">
        <f t="shared" si="192"/>
        <v>1102.2078028709648</v>
      </c>
      <c r="X617">
        <f t="shared" si="193"/>
        <v>0.50507424494924902</v>
      </c>
      <c r="Y617">
        <f t="shared" si="194"/>
        <v>1031.0816543055676</v>
      </c>
      <c r="Z617">
        <f t="shared" si="195"/>
        <v>0.45816417203555682</v>
      </c>
      <c r="AA617">
        <f>IF($D617="",0,IF($F617&lt;2,0,IF($E617="Win",('Guide &amp; Settings'!$C$42/(($F617-1)*COUNTIFS($A$4:$A$1510,$A617,$E$4:$E$1510,"Win")))*SUMIFS($Z$4:$Z$1510,$A$4:$A$1510,$A617,$E$4:$E$1510,"Loss"),-('Guide &amp; Settings'!$C$42/($F617-1))*$Z617)))</f>
        <v>-3.6653133762844545</v>
      </c>
      <c r="AB617" s="126">
        <f t="shared" si="196"/>
        <v>998.27770340038171</v>
      </c>
      <c r="AC617" s="126">
        <f>IF($D617="","",IF($AD617=0,0,IF(COUNTIFS($D$4:$D617,$D617,$B$4:$B617,$B617)&gt;1,0,IF($B617&lt;'Guide &amp; Settings'!$C$50,0,IF(($B617-$AD617)/7-'Guide &amp; Settings'!$C$48&gt;=0,(INT(($B617-$AD617)/7-'Guide &amp; Settings'!$C$48)+1)*'Guide &amp; Settings'!$C$49,0)))))</f>
        <v>0</v>
      </c>
      <c r="AD617" s="142">
        <f t="shared" si="197"/>
        <v>46255</v>
      </c>
      <c r="AE617">
        <f t="shared" si="198"/>
        <v>1</v>
      </c>
      <c r="AF617">
        <f t="shared" si="199"/>
        <v>0</v>
      </c>
    </row>
    <row r="618" spans="1:32" x14ac:dyDescent="0.2">
      <c r="A618" s="117">
        <v>261</v>
      </c>
      <c r="B618" s="118">
        <v>46256</v>
      </c>
      <c r="C618" s="119" t="s">
        <v>34</v>
      </c>
      <c r="D618" s="119" t="s">
        <v>15</v>
      </c>
      <c r="E618" s="117" t="s">
        <v>370</v>
      </c>
      <c r="F618" s="120">
        <f t="shared" si="180"/>
        <v>5</v>
      </c>
      <c r="G618" s="121" t="str">
        <f t="shared" si="181"/>
        <v>Aaron</v>
      </c>
      <c r="H618" s="122">
        <f>IF($D618="",0,IFERROR(LOOKUP(2,1/(($D$3:D617=$D618)*($A$3:A617&lt;$A618)),$N$3:N617),'Guide &amp; Settings'!$C$41))</f>
        <v>1216.0096405756001</v>
      </c>
      <c r="I618" s="123">
        <f t="shared" si="182"/>
        <v>0.23843930635838148</v>
      </c>
      <c r="J618" s="124">
        <f>IF($D618="",0,IF($F618&lt;2,0,IF($E618="Win",('Guide &amp; Settings'!$C$42/(($F618-1)*COUNTIFS($A$4:$A$1510,$A618,$E$4:$E$1510,"Win")))*SUMIFS($X$4:$X$1510,$A$4:$A$1510,$A618,$E$4:$E$1510,"Loss"),-('Guide &amp; Settings'!$C$42/($F618-1))*$X618)))</f>
        <v>12.565242222484553</v>
      </c>
      <c r="K618" s="124">
        <f>IF($D618="",0,'Guide &amp; Settings'!$C$43*(IF($E618="Win",1,0)-$I618))</f>
        <v>9.1387283236994215</v>
      </c>
      <c r="L618" s="125">
        <f>IF($D618="",0,'Guide &amp; Settings'!$C$44*IF($F618&gt;=3,$F618,0))</f>
        <v>5</v>
      </c>
      <c r="M618" s="124">
        <f t="shared" si="183"/>
        <v>26.703970546183974</v>
      </c>
      <c r="N618" s="122">
        <f t="shared" si="184"/>
        <v>1242.713611121784</v>
      </c>
      <c r="O618" s="121" t="str">
        <f t="shared" si="185"/>
        <v>OK</v>
      </c>
      <c r="P618">
        <f t="shared" si="186"/>
        <v>1216.0096405756001</v>
      </c>
      <c r="Q618">
        <f t="shared" si="187"/>
        <v>0.5</v>
      </c>
      <c r="R618">
        <f t="shared" si="188"/>
        <v>0.5</v>
      </c>
      <c r="S618">
        <f t="shared" si="189"/>
        <v>2.0969696969696972</v>
      </c>
      <c r="T618" s="89">
        <f t="shared" si="190"/>
        <v>8</v>
      </c>
      <c r="U618" s="126">
        <f>IF($D618="",0,IFERROR(LOOKUP(2,1/(($D$3:D617=$D618)*($C$3:C617=$C618)*($A$3:A617&lt;$A618)),$AB$3:AB617),1000))</f>
        <v>1031.0816543055676</v>
      </c>
      <c r="V618" s="126">
        <f t="shared" si="191"/>
        <v>1102.2078028709648</v>
      </c>
      <c r="W618">
        <f t="shared" si="192"/>
        <v>1102.2078028709648</v>
      </c>
      <c r="X618">
        <f t="shared" si="193"/>
        <v>0.5</v>
      </c>
      <c r="Y618">
        <f t="shared" si="194"/>
        <v>1031.0816543055676</v>
      </c>
      <c r="Z618">
        <f t="shared" si="195"/>
        <v>0.5</v>
      </c>
      <c r="AA618">
        <f>IF($D618="",0,IF($F618&lt;2,0,IF($E618="Win",('Guide &amp; Settings'!$C$42/(($F618-1)*COUNTIFS($A$4:$A$1510,$A618,$E$4:$E$1510,"Win")))*SUMIFS($Z$4:$Z$1510,$A$4:$A$1510,$A618,$E$4:$E$1510,"Loss"),-('Guide &amp; Settings'!$C$42/($F618-1))*$Z618)))</f>
        <v>14.635186398208038</v>
      </c>
      <c r="AB618" s="126">
        <f t="shared" si="196"/>
        <v>1045.7168407037757</v>
      </c>
      <c r="AC618" s="126">
        <f>IF($D618="","",IF($AD618=0,0,IF(COUNTIFS($D$4:$D618,$D618,$B$4:$B618,$B618)&gt;1,0,IF($B618&lt;'Guide &amp; Settings'!$C$50,0,IF(($B618-$AD618)/7-'Guide &amp; Settings'!$C$48&gt;=0,(INT(($B618-$AD618)/7-'Guide &amp; Settings'!$C$48)+1)*'Guide &amp; Settings'!$C$49,0)))))</f>
        <v>0</v>
      </c>
      <c r="AD618" s="142">
        <f t="shared" si="197"/>
        <v>46255</v>
      </c>
      <c r="AE618">
        <f t="shared" si="198"/>
        <v>1</v>
      </c>
      <c r="AF618">
        <f t="shared" si="199"/>
        <v>0</v>
      </c>
    </row>
    <row r="619" spans="1:32" x14ac:dyDescent="0.2">
      <c r="A619" s="117">
        <v>261</v>
      </c>
      <c r="B619" s="118">
        <v>46256</v>
      </c>
      <c r="C619" s="119" t="s">
        <v>34</v>
      </c>
      <c r="D619" s="119" t="s">
        <v>25</v>
      </c>
      <c r="E619" s="117" t="s">
        <v>371</v>
      </c>
      <c r="F619" s="120">
        <f t="shared" si="180"/>
        <v>5</v>
      </c>
      <c r="G619" s="121" t="str">
        <f t="shared" si="181"/>
        <v>Aaron</v>
      </c>
      <c r="H619" s="122">
        <f>IF($D619="",0,IFERROR(LOOKUP(2,1/(($D$3:D618=$D619)*($A$3:A618&lt;$A619)),$N$3:N618),'Guide &amp; Settings'!$C$41))</f>
        <v>1031.5817149449704</v>
      </c>
      <c r="I619" s="123">
        <f t="shared" si="182"/>
        <v>0.15895953757225431</v>
      </c>
      <c r="J619" s="124">
        <f>IF($D619="",0,IF($F619&lt;2,0,IF($E619="Win",('Guide &amp; Settings'!$C$42/(($F619-1)*COUNTIFS($A$4:$A$1510,$A619,$E$4:$E$1510,"Win")))*SUMIFS($X$4:$X$1510,$A$4:$A$1510,$A619,$E$4:$E$1510,"Loss"),-('Guide &amp; Settings'!$C$42/($F619-1))*$X619)))</f>
        <v>-3.130466680476951</v>
      </c>
      <c r="K619" s="124">
        <f>IF($D619="",0,'Guide &amp; Settings'!$C$43*(IF($E619="Win",1,0)-$I619))</f>
        <v>-1.9075144508670516</v>
      </c>
      <c r="L619" s="125">
        <f>IF($D619="",0,'Guide &amp; Settings'!$C$44*IF($F619&gt;=3,$F619,0))</f>
        <v>5</v>
      </c>
      <c r="M619" s="124">
        <f t="shared" si="183"/>
        <v>-3.7981131344002605E-2</v>
      </c>
      <c r="N619" s="122">
        <f t="shared" si="184"/>
        <v>1031.5437338136264</v>
      </c>
      <c r="O619" s="121" t="str">
        <f t="shared" si="185"/>
        <v>OK</v>
      </c>
      <c r="P619">
        <f t="shared" si="186"/>
        <v>1216.0096405756001</v>
      </c>
      <c r="Q619">
        <f t="shared" si="187"/>
        <v>0.25699379015075252</v>
      </c>
      <c r="R619">
        <f t="shared" si="188"/>
        <v>0.33333333333333331</v>
      </c>
      <c r="S619">
        <f t="shared" si="189"/>
        <v>2.0969696969696972</v>
      </c>
      <c r="T619" s="89">
        <f t="shared" si="190"/>
        <v>1</v>
      </c>
      <c r="U619" s="126">
        <f>IF($D619="",0,IFERROR(LOOKUP(2,1/(($D$3:D618=$D619)*($C$3:C618=$C619)*($A$3:A618&lt;$A619)),$AB$3:AB618),1000))</f>
        <v>994.83042776498951</v>
      </c>
      <c r="V619" s="126">
        <f t="shared" si="191"/>
        <v>1025.4565004149736</v>
      </c>
      <c r="W619">
        <f t="shared" si="192"/>
        <v>1102.2078028709648</v>
      </c>
      <c r="X619">
        <f t="shared" si="193"/>
        <v>0.39130833505961887</v>
      </c>
      <c r="Y619">
        <f t="shared" si="194"/>
        <v>1031.0816543055676</v>
      </c>
      <c r="Z619">
        <f t="shared" si="195"/>
        <v>0.44801878944486795</v>
      </c>
      <c r="AA619">
        <f>IF($D619="",0,IF($F619&lt;2,0,IF($E619="Win",('Guide &amp; Settings'!$C$42/(($F619-1)*COUNTIFS($A$4:$A$1510,$A619,$E$4:$E$1510,"Win")))*SUMIFS($Z$4:$Z$1510,$A$4:$A$1510,$A619,$E$4:$E$1510,"Loss"),-('Guide &amp; Settings'!$C$42/($F619-1))*$Z619)))</f>
        <v>-3.5841503155589436</v>
      </c>
      <c r="AB619" s="126">
        <f t="shared" si="196"/>
        <v>991.24627744943052</v>
      </c>
      <c r="AC619" s="126">
        <f>IF($D619="","",IF($AD619=0,0,IF(COUNTIFS($D$4:$D619,$D619,$B$4:$B619,$B619)&gt;1,0,IF($B619&lt;'Guide &amp; Settings'!$C$50,0,IF(($B619-$AD619)/7-'Guide &amp; Settings'!$C$48&gt;=0,(INT(($B619-$AD619)/7-'Guide &amp; Settings'!$C$48)+1)*'Guide &amp; Settings'!$C$49,0)))))</f>
        <v>0</v>
      </c>
      <c r="AD619" s="142">
        <f t="shared" si="197"/>
        <v>46243</v>
      </c>
      <c r="AE619">
        <f t="shared" si="198"/>
        <v>1</v>
      </c>
      <c r="AF619">
        <f t="shared" si="199"/>
        <v>0</v>
      </c>
    </row>
    <row r="620" spans="1:32" x14ac:dyDescent="0.2">
      <c r="A620" s="117">
        <v>261</v>
      </c>
      <c r="B620" s="118">
        <v>46256</v>
      </c>
      <c r="C620" s="119" t="s">
        <v>34</v>
      </c>
      <c r="D620" s="119" t="s">
        <v>18</v>
      </c>
      <c r="E620" s="117" t="s">
        <v>371</v>
      </c>
      <c r="F620" s="120">
        <f t="shared" si="180"/>
        <v>5</v>
      </c>
      <c r="G620" s="121" t="str">
        <f t="shared" si="181"/>
        <v>Aaron</v>
      </c>
      <c r="H620" s="122">
        <f>IF($D620="",0,IFERROR(LOOKUP(2,1/(($D$3:D619=$D620)*($A$3:A619&lt;$A620)),$N$3:N619),'Guide &amp; Settings'!$C$41))</f>
        <v>907.08627373761465</v>
      </c>
      <c r="I620" s="123">
        <f t="shared" si="182"/>
        <v>0.23843930635838148</v>
      </c>
      <c r="J620" s="124">
        <f>IF($D620="",0,IF($F620&lt;2,0,IF($E620="Win",('Guide &amp; Settings'!$C$42/(($F620-1)*COUNTIFS($A$4:$A$1510,$A620,$E$4:$E$1510,"Win")))*SUMIFS($X$4:$X$1510,$A$4:$A$1510,$A620,$E$4:$E$1510,"Loss"),-('Guide &amp; Settings'!$C$42/($F620-1))*$X620)))</f>
        <v>-2.1936656201398206</v>
      </c>
      <c r="K620" s="124">
        <f>IF($D620="",0,'Guide &amp; Settings'!$C$43*(IF($E620="Win",1,0)-$I620))</f>
        <v>-2.8612716763005777</v>
      </c>
      <c r="L620" s="125">
        <f>IF($D620="",0,'Guide &amp; Settings'!$C$44*IF($F620&gt;=3,$F620,0))</f>
        <v>5</v>
      </c>
      <c r="M620" s="124">
        <f t="shared" si="183"/>
        <v>-5.4937296440398242E-2</v>
      </c>
      <c r="N620" s="122">
        <f t="shared" si="184"/>
        <v>907.03133644117429</v>
      </c>
      <c r="O620" s="121" t="str">
        <f t="shared" si="185"/>
        <v>OK</v>
      </c>
      <c r="P620">
        <f t="shared" si="186"/>
        <v>1216.0096405756001</v>
      </c>
      <c r="Q620">
        <f t="shared" si="187"/>
        <v>0.14451245357608947</v>
      </c>
      <c r="R620">
        <f t="shared" si="188"/>
        <v>0.5</v>
      </c>
      <c r="S620">
        <f t="shared" si="189"/>
        <v>2.0969696969696972</v>
      </c>
      <c r="T620" s="89">
        <f t="shared" si="190"/>
        <v>2</v>
      </c>
      <c r="U620" s="126">
        <f>IF($D620="",0,IFERROR(LOOKUP(2,1/(($D$3:D619=$D620)*($C$3:C619=$C620)*($A$3:A619&lt;$A620)),$AB$3:AB619),1000))</f>
        <v>998.18736635120854</v>
      </c>
      <c r="V620" s="126">
        <f t="shared" si="191"/>
        <v>933.11515734149862</v>
      </c>
      <c r="W620">
        <f t="shared" si="192"/>
        <v>1102.2078028709648</v>
      </c>
      <c r="X620">
        <f t="shared" si="193"/>
        <v>0.27420820251747757</v>
      </c>
      <c r="Y620">
        <f t="shared" si="194"/>
        <v>1031.0816543055676</v>
      </c>
      <c r="Z620">
        <f t="shared" si="195"/>
        <v>0.4528022539095955</v>
      </c>
      <c r="AA620">
        <f>IF($D620="",0,IF($F620&lt;2,0,IF($E620="Win",('Guide &amp; Settings'!$C$42/(($F620-1)*COUNTIFS($A$4:$A$1510,$A620,$E$4:$E$1510,"Win")))*SUMIFS($Z$4:$Z$1510,$A$4:$A$1510,$A620,$E$4:$E$1510,"Loss"),-('Guide &amp; Settings'!$C$42/($F620-1))*$Z620)))</f>
        <v>-3.622418031276764</v>
      </c>
      <c r="AB620" s="126">
        <f t="shared" si="196"/>
        <v>994.56494831993177</v>
      </c>
      <c r="AC620" s="126">
        <f>IF($D620="","",IF($AD620=0,0,IF(COUNTIFS($D$4:$D620,$D620,$B$4:$B620,$B620)&gt;1,0,IF($B620&lt;'Guide &amp; Settings'!$C$50,0,IF(($B620-$AD620)/7-'Guide &amp; Settings'!$C$48&gt;=0,(INT(($B620-$AD620)/7-'Guide &amp; Settings'!$C$48)+1)*'Guide &amp; Settings'!$C$49,0)))))</f>
        <v>0</v>
      </c>
      <c r="AD620" s="142">
        <f t="shared" si="197"/>
        <v>46255</v>
      </c>
      <c r="AE620">
        <f t="shared" si="198"/>
        <v>1</v>
      </c>
      <c r="AF620">
        <f t="shared" si="199"/>
        <v>0</v>
      </c>
    </row>
    <row r="621" spans="1:32" x14ac:dyDescent="0.2">
      <c r="A621" s="117">
        <v>261</v>
      </c>
      <c r="B621" s="118">
        <v>46256</v>
      </c>
      <c r="C621" s="119" t="s">
        <v>34</v>
      </c>
      <c r="D621" s="119" t="s">
        <v>22</v>
      </c>
      <c r="E621" s="117" t="s">
        <v>371</v>
      </c>
      <c r="F621" s="120">
        <f t="shared" si="180"/>
        <v>5</v>
      </c>
      <c r="G621" s="121" t="str">
        <f t="shared" si="181"/>
        <v>Aaron</v>
      </c>
      <c r="H621" s="122">
        <f>IF($D621="",0,IFERROR(LOOKUP(2,1/(($D$3:D620=$D621)*($A$3:A620&lt;$A621)),$N$3:N620),'Guide &amp; Settings'!$C$41))</f>
        <v>1070.1930242736692</v>
      </c>
      <c r="I621" s="123">
        <f t="shared" si="182"/>
        <v>0.17341040462427745</v>
      </c>
      <c r="J621" s="124">
        <f>IF($D621="",0,IF($F621&lt;2,0,IF($E621="Win",('Guide &amp; Settings'!$C$42/(($F621-1)*COUNTIFS($A$4:$A$1510,$A621,$E$4:$E$1510,"Win")))*SUMIFS($X$4:$X$1510,$A$4:$A$1510,$A621,$E$4:$E$1510,"Loss"),-('Guide &amp; Settings'!$C$42/($F621-1))*$X621)))</f>
        <v>-3.2005159622737906</v>
      </c>
      <c r="K621" s="124">
        <f>IF($D621="",0,'Guide &amp; Settings'!$C$43*(IF($E621="Win",1,0)-$I621))</f>
        <v>-2.0809248554913293</v>
      </c>
      <c r="L621" s="125">
        <f>IF($D621="",0,'Guide &amp; Settings'!$C$44*IF($F621&gt;=3,$F621,0))</f>
        <v>5</v>
      </c>
      <c r="M621" s="124">
        <f t="shared" si="183"/>
        <v>-0.28144081776511953</v>
      </c>
      <c r="N621" s="122">
        <f t="shared" si="184"/>
        <v>1069.9115834559041</v>
      </c>
      <c r="O621" s="121" t="str">
        <f t="shared" si="185"/>
        <v>OK</v>
      </c>
      <c r="P621">
        <f t="shared" si="186"/>
        <v>1216.0096405756001</v>
      </c>
      <c r="Q621">
        <f t="shared" si="187"/>
        <v>0.30166371130008818</v>
      </c>
      <c r="R621">
        <f t="shared" si="188"/>
        <v>0.36363636363636365</v>
      </c>
      <c r="S621">
        <f t="shared" si="189"/>
        <v>2.0969696969696972</v>
      </c>
      <c r="T621" s="89">
        <f t="shared" si="190"/>
        <v>9</v>
      </c>
      <c r="U621" s="126">
        <f>IF($D621="",0,IFERROR(LOOKUP(2,1/(($D$3:D620=$D621)*($C$3:C620=$C621)*($A$3:A620&lt;$A621)),$AB$3:AB620),1000))</f>
        <v>1010.4985128846928</v>
      </c>
      <c r="V621" s="126">
        <f t="shared" si="191"/>
        <v>1031.8179812378985</v>
      </c>
      <c r="W621">
        <f t="shared" si="192"/>
        <v>1102.2078028709648</v>
      </c>
      <c r="X621">
        <f t="shared" si="193"/>
        <v>0.40006449528422383</v>
      </c>
      <c r="Y621">
        <f t="shared" si="194"/>
        <v>1031.0816543055676</v>
      </c>
      <c r="Z621">
        <f t="shared" si="195"/>
        <v>0.47041308438598461</v>
      </c>
      <c r="AA621">
        <f>IF($D621="",0,IF($F621&lt;2,0,IF($E621="Win",('Guide &amp; Settings'!$C$42/(($F621-1)*COUNTIFS($A$4:$A$1510,$A621,$E$4:$E$1510,"Win")))*SUMIFS($Z$4:$Z$1510,$A$4:$A$1510,$A621,$E$4:$E$1510,"Loss"),-('Guide &amp; Settings'!$C$42/($F621-1))*$Z621)))</f>
        <v>-3.7633046750878769</v>
      </c>
      <c r="AB621" s="126">
        <f t="shared" si="196"/>
        <v>1006.7352082096049</v>
      </c>
      <c r="AC621" s="126">
        <f>IF($D621="","",IF($AD621=0,0,IF(COUNTIFS($D$4:$D621,$D621,$B$4:$B621,$B621)&gt;1,0,IF($B621&lt;'Guide &amp; Settings'!$C$50,0,IF(($B621-$AD621)/7-'Guide &amp; Settings'!$C$48&gt;=0,(INT(($B621-$AD621)/7-'Guide &amp; Settings'!$C$48)+1)*'Guide &amp; Settings'!$C$49,0)))))</f>
        <v>0</v>
      </c>
      <c r="AD621" s="142">
        <f t="shared" si="197"/>
        <v>46255</v>
      </c>
      <c r="AE621">
        <f t="shared" si="198"/>
        <v>1</v>
      </c>
      <c r="AF621">
        <f t="shared" si="199"/>
        <v>0</v>
      </c>
    </row>
    <row r="622" spans="1:32" x14ac:dyDescent="0.2">
      <c r="A622" s="117">
        <v>262</v>
      </c>
      <c r="B622" s="118">
        <v>46256</v>
      </c>
      <c r="C622" s="119" t="s">
        <v>54</v>
      </c>
      <c r="D622" s="119" t="s">
        <v>20</v>
      </c>
      <c r="E622" s="117" t="s">
        <v>371</v>
      </c>
      <c r="F622" s="120">
        <f t="shared" si="180"/>
        <v>3</v>
      </c>
      <c r="G622" s="121" t="str">
        <f t="shared" si="181"/>
        <v>Aaron</v>
      </c>
      <c r="H622" s="122">
        <f>IF($D622="",0,IFERROR(LOOKUP(2,1/(($D$3:D621=$D622)*($A$3:A621&lt;$A622)),$N$3:N621),'Guide &amp; Settings'!$C$41))</f>
        <v>1270.4696250433808</v>
      </c>
      <c r="I622" s="123">
        <f t="shared" si="182"/>
        <v>0.35714285714285715</v>
      </c>
      <c r="J622" s="124">
        <f>IF($D622="",0,IF($F622&lt;2,0,IF($E622="Win",('Guide &amp; Settings'!$C$42/(($F622-1)*COUNTIFS($A$4:$A$1510,$A622,$E$4:$E$1510,"Win")))*SUMIFS($X$4:$X$1510,$A$4:$A$1510,$A622,$E$4:$E$1510,"Loss"),-('Guide &amp; Settings'!$C$42/($F622-1))*$X622)))</f>
        <v>-8.6377496822356417</v>
      </c>
      <c r="K622" s="124">
        <f>IF($D622="",0,'Guide &amp; Settings'!$C$43*(IF($E622="Win",1,0)-$I622))</f>
        <v>-4.2857142857142856</v>
      </c>
      <c r="L622" s="125">
        <f>IF($D622="",0,'Guide &amp; Settings'!$C$44*IF($F622&gt;=3,$F622,0))</f>
        <v>3</v>
      </c>
      <c r="M622" s="124">
        <f t="shared" si="183"/>
        <v>-9.9234639679499281</v>
      </c>
      <c r="N622" s="122">
        <f t="shared" si="184"/>
        <v>1260.546161075431</v>
      </c>
      <c r="O622" s="121" t="str">
        <f t="shared" si="185"/>
        <v>OK</v>
      </c>
      <c r="P622">
        <f t="shared" si="186"/>
        <v>1242.713611121784</v>
      </c>
      <c r="Q622">
        <f t="shared" si="187"/>
        <v>0.5398593551397276</v>
      </c>
      <c r="R622">
        <f t="shared" si="188"/>
        <v>0.5</v>
      </c>
      <c r="S622">
        <f t="shared" si="189"/>
        <v>1.4</v>
      </c>
      <c r="T622" s="89">
        <f t="shared" si="190"/>
        <v>0</v>
      </c>
      <c r="U622" s="126">
        <f>IF($D622="",0,IFERROR(LOOKUP(2,1/(($D$3:D621=$D622)*($C$3:C621=$C622)*($A$3:A621&lt;$A622)),$AB$3:AB621),1000))</f>
        <v>1000</v>
      </c>
      <c r="V622" s="126">
        <f t="shared" si="191"/>
        <v>1270.4696250433808</v>
      </c>
      <c r="W622">
        <f t="shared" si="192"/>
        <v>1242.713611121784</v>
      </c>
      <c r="X622">
        <f t="shared" si="193"/>
        <v>0.5398593551397276</v>
      </c>
      <c r="Y622">
        <f t="shared" si="194"/>
        <v>1000</v>
      </c>
      <c r="Z622">
        <f t="shared" si="195"/>
        <v>0.5</v>
      </c>
      <c r="AA622">
        <f>IF($D622="",0,IF($F622&lt;2,0,IF($E622="Win",('Guide &amp; Settings'!$C$42/(($F622-1)*COUNTIFS($A$4:$A$1510,$A622,$E$4:$E$1510,"Win")))*SUMIFS($Z$4:$Z$1510,$A$4:$A$1510,$A622,$E$4:$E$1510,"Loss"),-('Guide &amp; Settings'!$C$42/($F622-1))*$Z622)))</f>
        <v>-8</v>
      </c>
      <c r="AB622" s="126">
        <f t="shared" si="196"/>
        <v>992</v>
      </c>
      <c r="AC622" s="126">
        <f>IF($D622="","",IF($AD622=0,0,IF(COUNTIFS($D$4:$D622,$D622,$B$4:$B622,$B622)&gt;1,0,IF($B622&lt;'Guide &amp; Settings'!$C$50,0,IF(($B622-$AD622)/7-'Guide &amp; Settings'!$C$48&gt;=0,(INT(($B622-$AD622)/7-'Guide &amp; Settings'!$C$48)+1)*'Guide &amp; Settings'!$C$49,0)))))</f>
        <v>0</v>
      </c>
      <c r="AD622" s="142">
        <f t="shared" si="197"/>
        <v>46255</v>
      </c>
      <c r="AE622">
        <f t="shared" si="198"/>
        <v>1</v>
      </c>
      <c r="AF622">
        <f t="shared" si="199"/>
        <v>0</v>
      </c>
    </row>
    <row r="623" spans="1:32" x14ac:dyDescent="0.2">
      <c r="A623" s="117">
        <v>262</v>
      </c>
      <c r="B623" s="118">
        <v>46256</v>
      </c>
      <c r="C623" s="119" t="s">
        <v>54</v>
      </c>
      <c r="D623" s="119" t="s">
        <v>22</v>
      </c>
      <c r="E623" s="117" t="s">
        <v>371</v>
      </c>
      <c r="F623" s="120">
        <f t="shared" si="180"/>
        <v>3</v>
      </c>
      <c r="G623" s="121" t="str">
        <f t="shared" si="181"/>
        <v>Aaron</v>
      </c>
      <c r="H623" s="122">
        <f>IF($D623="",0,IFERROR(LOOKUP(2,1/(($D$3:D622=$D623)*($A$3:A622&lt;$A623)),$N$3:N622),'Guide &amp; Settings'!$C$41))</f>
        <v>1069.9115834559041</v>
      </c>
      <c r="I623" s="123">
        <f t="shared" si="182"/>
        <v>0.28571428571428575</v>
      </c>
      <c r="J623" s="124">
        <f>IF($D623="",0,IF($F623&lt;2,0,IF($E623="Win",('Guide &amp; Settings'!$C$42/(($F623-1)*COUNTIFS($A$4:$A$1510,$A623,$E$4:$E$1510,"Win")))*SUMIFS($X$4:$X$1510,$A$4:$A$1510,$A623,$E$4:$E$1510,"Loss"),-('Guide &amp; Settings'!$C$42/($F623-1))*$X623)))</f>
        <v>-3.4565388783774349</v>
      </c>
      <c r="K623" s="124">
        <f>IF($D623="",0,'Guide &amp; Settings'!$C$43*(IF($E623="Win",1,0)-$I623))</f>
        <v>-3.4285714285714288</v>
      </c>
      <c r="L623" s="125">
        <f>IF($D623="",0,'Guide &amp; Settings'!$C$44*IF($F623&gt;=3,$F623,0))</f>
        <v>3</v>
      </c>
      <c r="M623" s="124">
        <f t="shared" si="183"/>
        <v>-3.8851103069488637</v>
      </c>
      <c r="N623" s="122">
        <f t="shared" si="184"/>
        <v>1066.0264731489551</v>
      </c>
      <c r="O623" s="121" t="str">
        <f t="shared" si="185"/>
        <v>OK</v>
      </c>
      <c r="P623">
        <f t="shared" si="186"/>
        <v>1242.713611121784</v>
      </c>
      <c r="Q623">
        <f t="shared" si="187"/>
        <v>0.26997913605142598</v>
      </c>
      <c r="R623">
        <f t="shared" si="188"/>
        <v>0.4</v>
      </c>
      <c r="S623">
        <f t="shared" si="189"/>
        <v>1.4</v>
      </c>
      <c r="T623" s="89">
        <f t="shared" si="190"/>
        <v>8</v>
      </c>
      <c r="U623" s="126">
        <f>IF($D623="",0,IFERROR(LOOKUP(2,1/(($D$3:D622=$D623)*($C$3:C622=$C623)*($A$3:A622&lt;$A623)),$AB$3:AB622),1000))</f>
        <v>986.8605161349974</v>
      </c>
      <c r="V623" s="126">
        <f t="shared" si="191"/>
        <v>1018.8032343353461</v>
      </c>
      <c r="W623">
        <f t="shared" si="192"/>
        <v>1242.713611121784</v>
      </c>
      <c r="X623">
        <f t="shared" si="193"/>
        <v>0.21603367989858968</v>
      </c>
      <c r="Y623">
        <f t="shared" si="194"/>
        <v>1000</v>
      </c>
      <c r="Z623">
        <f t="shared" si="195"/>
        <v>0.48109977244443697</v>
      </c>
      <c r="AA623">
        <f>IF($D623="",0,IF($F623&lt;2,0,IF($E623="Win",('Guide &amp; Settings'!$C$42/(($F623-1)*COUNTIFS($A$4:$A$1510,$A623,$E$4:$E$1510,"Win")))*SUMIFS($Z$4:$Z$1510,$A$4:$A$1510,$A623,$E$4:$E$1510,"Loss"),-('Guide &amp; Settings'!$C$42/($F623-1))*$Z623)))</f>
        <v>-7.6975963591109915</v>
      </c>
      <c r="AB623" s="126">
        <f t="shared" si="196"/>
        <v>979.16291977588639</v>
      </c>
      <c r="AC623" s="126">
        <f>IF($D623="","",IF($AD623=0,0,IF(COUNTIFS($D$4:$D623,$D623,$B$4:$B623,$B623)&gt;1,0,IF($B623&lt;'Guide &amp; Settings'!$C$50,0,IF(($B623-$AD623)/7-'Guide &amp; Settings'!$C$48&gt;=0,(INT(($B623-$AD623)/7-'Guide &amp; Settings'!$C$48)+1)*'Guide &amp; Settings'!$C$49,0)))))</f>
        <v>0</v>
      </c>
      <c r="AD623" s="142">
        <f t="shared" si="197"/>
        <v>46255</v>
      </c>
      <c r="AE623">
        <f t="shared" si="198"/>
        <v>1</v>
      </c>
      <c r="AF623">
        <f t="shared" si="199"/>
        <v>0</v>
      </c>
    </row>
    <row r="624" spans="1:32" x14ac:dyDescent="0.2">
      <c r="A624" s="117">
        <v>262</v>
      </c>
      <c r="B624" s="118">
        <v>46256</v>
      </c>
      <c r="C624" s="119" t="s">
        <v>54</v>
      </c>
      <c r="D624" s="119" t="s">
        <v>15</v>
      </c>
      <c r="E624" s="117" t="s">
        <v>370</v>
      </c>
      <c r="F624" s="120">
        <f t="shared" si="180"/>
        <v>3</v>
      </c>
      <c r="G624" s="121" t="str">
        <f t="shared" si="181"/>
        <v>Aaron</v>
      </c>
      <c r="H624" s="122">
        <f>IF($D624="",0,IFERROR(LOOKUP(2,1/(($D$3:D623=$D624)*($A$3:A623&lt;$A624)),$N$3:N623),'Guide &amp; Settings'!$C$41))</f>
        <v>1242.713611121784</v>
      </c>
      <c r="I624" s="123">
        <f t="shared" si="182"/>
        <v>0.35714285714285715</v>
      </c>
      <c r="J624" s="124">
        <f>IF($D624="",0,IF($F624&lt;2,0,IF($E624="Win",('Guide &amp; Settings'!$C$42/(($F624-1)*COUNTIFS($A$4:$A$1510,$A624,$E$4:$E$1510,"Win")))*SUMIFS($X$4:$X$1510,$A$4:$A$1510,$A624,$E$4:$E$1510,"Loss"),-('Guide &amp; Settings'!$C$42/($F624-1))*$X624)))</f>
        <v>12.094288560613077</v>
      </c>
      <c r="K624" s="124">
        <f>IF($D624="",0,'Guide &amp; Settings'!$C$43*(IF($E624="Win",1,0)-$I624))</f>
        <v>7.7142857142857135</v>
      </c>
      <c r="L624" s="125">
        <f>IF($D624="",0,'Guide &amp; Settings'!$C$44*IF($F624&gt;=3,$F624,0))</f>
        <v>3</v>
      </c>
      <c r="M624" s="124">
        <f t="shared" si="183"/>
        <v>22.808574274898788</v>
      </c>
      <c r="N624" s="122">
        <f t="shared" si="184"/>
        <v>1265.5221853966827</v>
      </c>
      <c r="O624" s="121" t="str">
        <f t="shared" si="185"/>
        <v>OK</v>
      </c>
      <c r="P624">
        <f t="shared" si="186"/>
        <v>1242.713611121784</v>
      </c>
      <c r="Q624">
        <f t="shared" si="187"/>
        <v>0.5</v>
      </c>
      <c r="R624">
        <f t="shared" si="188"/>
        <v>0.5</v>
      </c>
      <c r="S624">
        <f t="shared" si="189"/>
        <v>1.4</v>
      </c>
      <c r="T624" s="89">
        <f t="shared" si="190"/>
        <v>0</v>
      </c>
      <c r="U624" s="126">
        <f>IF($D624="",0,IFERROR(LOOKUP(2,1/(($D$3:D623=$D624)*($C$3:C623=$C624)*($A$3:A623&lt;$A624)),$AB$3:AB623),1000))</f>
        <v>1000</v>
      </c>
      <c r="V624" s="126">
        <f t="shared" si="191"/>
        <v>1242.713611121784</v>
      </c>
      <c r="W624">
        <f t="shared" si="192"/>
        <v>1242.713611121784</v>
      </c>
      <c r="X624">
        <f t="shared" si="193"/>
        <v>0.5</v>
      </c>
      <c r="Y624">
        <f t="shared" si="194"/>
        <v>1000</v>
      </c>
      <c r="Z624">
        <f t="shared" si="195"/>
        <v>0.5</v>
      </c>
      <c r="AA624">
        <f>IF($D624="",0,IF($F624&lt;2,0,IF($E624="Win",('Guide &amp; Settings'!$C$42/(($F624-1)*COUNTIFS($A$4:$A$1510,$A624,$E$4:$E$1510,"Win")))*SUMIFS($Z$4:$Z$1510,$A$4:$A$1510,$A624,$E$4:$E$1510,"Loss"),-('Guide &amp; Settings'!$C$42/($F624-1))*$Z624)))</f>
        <v>15.697596359110992</v>
      </c>
      <c r="AB624" s="126">
        <f t="shared" si="196"/>
        <v>1015.697596359111</v>
      </c>
      <c r="AC624" s="126">
        <f>IF($D624="","",IF($AD624=0,0,IF(COUNTIFS($D$4:$D624,$D624,$B$4:$B624,$B624)&gt;1,0,IF($B624&lt;'Guide &amp; Settings'!$C$50,0,IF(($B624-$AD624)/7-'Guide &amp; Settings'!$C$48&gt;=0,(INT(($B624-$AD624)/7-'Guide &amp; Settings'!$C$48)+1)*'Guide &amp; Settings'!$C$49,0)))))</f>
        <v>0</v>
      </c>
      <c r="AD624" s="142">
        <f t="shared" si="197"/>
        <v>46255</v>
      </c>
      <c r="AE624">
        <f t="shared" si="198"/>
        <v>1</v>
      </c>
      <c r="AF624">
        <f t="shared" si="199"/>
        <v>0</v>
      </c>
    </row>
    <row r="625" spans="1:32" x14ac:dyDescent="0.2">
      <c r="A625" s="117">
        <v>263</v>
      </c>
      <c r="B625" s="118">
        <v>46256</v>
      </c>
      <c r="C625" s="119" t="s">
        <v>34</v>
      </c>
      <c r="D625" s="119" t="s">
        <v>25</v>
      </c>
      <c r="E625" s="117" t="s">
        <v>370</v>
      </c>
      <c r="F625" s="120">
        <f t="shared" si="180"/>
        <v>2</v>
      </c>
      <c r="G625" s="121" t="str">
        <f t="shared" si="181"/>
        <v>Oscar</v>
      </c>
      <c r="H625" s="122">
        <f>IF($D625="",0,IFERROR(LOOKUP(2,1/(($D$3:D624=$D625)*($A$3:A624&lt;$A625)),$N$3:N624),'Guide &amp; Settings'!$C$41))</f>
        <v>1031.5437338136264</v>
      </c>
      <c r="I625" s="123">
        <f t="shared" si="182"/>
        <v>0.40740740740740738</v>
      </c>
      <c r="J625" s="124">
        <f>IF($D625="",0,IF($F625&lt;2,0,IF($E625="Win",('Guide &amp; Settings'!$C$42/(($F625-1)*COUNTIFS($A$4:$A$1510,$A625,$E$4:$E$1510,"Win")))*SUMIFS($X$4:$X$1510,$A$4:$A$1510,$A625,$E$4:$E$1510,"Loss"),-('Guide &amp; Settings'!$C$42/($F625-1))*$X625)))</f>
        <v>19.265300518098492</v>
      </c>
      <c r="K625" s="124">
        <f>IF($D625="",0,'Guide &amp; Settings'!$C$43*(IF($E625="Win",1,0)-$I625))</f>
        <v>7.1111111111111107</v>
      </c>
      <c r="L625" s="125">
        <f>IF($D625="",0,'Guide &amp; Settings'!$C$44*IF($F625&gt;=3,$F625,0))</f>
        <v>0</v>
      </c>
      <c r="M625" s="124">
        <f t="shared" si="183"/>
        <v>26.376411629209603</v>
      </c>
      <c r="N625" s="122">
        <f t="shared" si="184"/>
        <v>1057.920145442836</v>
      </c>
      <c r="O625" s="121" t="str">
        <f t="shared" si="185"/>
        <v>OK</v>
      </c>
      <c r="P625">
        <f t="shared" si="186"/>
        <v>1031.5437338136264</v>
      </c>
      <c r="Q625">
        <f t="shared" si="187"/>
        <v>0.5</v>
      </c>
      <c r="R625">
        <f t="shared" si="188"/>
        <v>0.25</v>
      </c>
      <c r="S625">
        <f t="shared" si="189"/>
        <v>0.61363636363636365</v>
      </c>
      <c r="T625" s="89">
        <f t="shared" si="190"/>
        <v>2</v>
      </c>
      <c r="U625" s="126">
        <f>IF($D625="",0,IFERROR(LOOKUP(2,1/(($D$3:D624=$D625)*($C$3:C624=$C625)*($A$3:A624&lt;$A625)),$AB$3:AB624),1000))</f>
        <v>991.24627744943052</v>
      </c>
      <c r="V625" s="126">
        <f t="shared" si="191"/>
        <v>1020.0301748524275</v>
      </c>
      <c r="W625">
        <f t="shared" si="192"/>
        <v>1020.0301748524275</v>
      </c>
      <c r="X625">
        <f t="shared" si="193"/>
        <v>0.5</v>
      </c>
      <c r="Y625">
        <f t="shared" si="194"/>
        <v>991.24627744943052</v>
      </c>
      <c r="Z625">
        <f t="shared" si="195"/>
        <v>0.5</v>
      </c>
      <c r="AA625">
        <f>IF($D625="",0,IF($F625&lt;2,0,IF($E625="Win",('Guide &amp; Settings'!$C$42/(($F625-1)*COUNTIFS($A$4:$A$1510,$A625,$E$4:$E$1510,"Win")))*SUMIFS($Z$4:$Z$1510,$A$4:$A$1510,$A625,$E$4:$E$1510,"Loss"),-('Guide &amp; Settings'!$C$42/($F625-1))*$Z625)))</f>
        <v>16.323764930256495</v>
      </c>
      <c r="AB625" s="126">
        <f t="shared" si="196"/>
        <v>1007.570042379687</v>
      </c>
      <c r="AC625" s="126">
        <f>IF($D625="","",IF($AD625=0,0,IF(COUNTIFS($D$4:$D625,$D625,$B$4:$B625,$B625)&gt;1,0,IF($B625&lt;'Guide &amp; Settings'!$C$50,0,IF(($B625-$AD625)/7-'Guide &amp; Settings'!$C$48&gt;=0,(INT(($B625-$AD625)/7-'Guide &amp; Settings'!$C$48)+1)*'Guide &amp; Settings'!$C$49,0)))))</f>
        <v>0</v>
      </c>
      <c r="AD625" s="142">
        <f t="shared" si="197"/>
        <v>46243</v>
      </c>
      <c r="AE625">
        <f t="shared" si="198"/>
        <v>1</v>
      </c>
      <c r="AF625">
        <f t="shared" si="199"/>
        <v>0</v>
      </c>
    </row>
    <row r="626" spans="1:32" x14ac:dyDescent="0.2">
      <c r="A626" s="117">
        <v>263</v>
      </c>
      <c r="B626" s="118">
        <v>46256</v>
      </c>
      <c r="C626" s="119" t="s">
        <v>34</v>
      </c>
      <c r="D626" s="119" t="s">
        <v>20</v>
      </c>
      <c r="E626" s="117" t="s">
        <v>371</v>
      </c>
      <c r="F626" s="120">
        <f t="shared" si="180"/>
        <v>2</v>
      </c>
      <c r="G626" s="121" t="str">
        <f t="shared" si="181"/>
        <v>Oscar</v>
      </c>
      <c r="H626" s="122">
        <f>IF($D626="",0,IFERROR(LOOKUP(2,1/(($D$3:D625=$D626)*($A$3:A625&lt;$A626)),$N$3:N625),'Guide &amp; Settings'!$C$41))</f>
        <v>1260.546161075431</v>
      </c>
      <c r="I626" s="123">
        <f t="shared" si="182"/>
        <v>0.59259259259259256</v>
      </c>
      <c r="J626" s="124">
        <f>IF($D626="",0,IF($F626&lt;2,0,IF($E626="Win",('Guide &amp; Settings'!$C$42/(($F626-1)*COUNTIFS($A$4:$A$1510,$A626,$E$4:$E$1510,"Win")))*SUMIFS($X$4:$X$1510,$A$4:$A$1510,$A626,$E$4:$E$1510,"Loss"),-('Guide &amp; Settings'!$C$42/($F626-1))*$X626)))</f>
        <v>-19.265300518098492</v>
      </c>
      <c r="K626" s="124">
        <f>IF($D626="",0,'Guide &amp; Settings'!$C$43*(IF($E626="Win",1,0)-$I626))</f>
        <v>-7.1111111111111107</v>
      </c>
      <c r="L626" s="125">
        <f>IF($D626="",0,'Guide &amp; Settings'!$C$44*IF($F626&gt;=3,$F626,0))</f>
        <v>0</v>
      </c>
      <c r="M626" s="124">
        <f t="shared" si="183"/>
        <v>-26.376411629209603</v>
      </c>
      <c r="N626" s="122">
        <f t="shared" si="184"/>
        <v>1234.1697494462214</v>
      </c>
      <c r="O626" s="121" t="str">
        <f t="shared" si="185"/>
        <v>OK</v>
      </c>
      <c r="P626">
        <f t="shared" si="186"/>
        <v>1031.5437338136264</v>
      </c>
      <c r="Q626">
        <f t="shared" si="187"/>
        <v>0.78888939523082036</v>
      </c>
      <c r="R626">
        <f t="shared" si="188"/>
        <v>0.36363636363636365</v>
      </c>
      <c r="S626">
        <f t="shared" si="189"/>
        <v>0.61363636363636365</v>
      </c>
      <c r="T626" s="89">
        <f t="shared" si="190"/>
        <v>9</v>
      </c>
      <c r="U626" s="126">
        <f>IF($D626="",0,IFERROR(LOOKUP(2,1/(($D$3:D625=$D626)*($C$3:C625=$C626)*($A$3:A625&lt;$A626)),$AB$3:AB625),1000))</f>
        <v>998.27770340038171</v>
      </c>
      <c r="V626" s="126">
        <f t="shared" si="191"/>
        <v>1091.9450097128993</v>
      </c>
      <c r="W626">
        <f t="shared" si="192"/>
        <v>1020.0301748524275</v>
      </c>
      <c r="X626">
        <f t="shared" si="193"/>
        <v>0.60204064119057787</v>
      </c>
      <c r="Y626">
        <f t="shared" si="194"/>
        <v>991.24627744943052</v>
      </c>
      <c r="Z626">
        <f t="shared" si="195"/>
        <v>0.51011765407051546</v>
      </c>
      <c r="AA626">
        <f>IF($D626="",0,IF($F626&lt;2,0,IF($E626="Win",('Guide &amp; Settings'!$C$42/(($F626-1)*COUNTIFS($A$4:$A$1510,$A626,$E$4:$E$1510,"Win")))*SUMIFS($Z$4:$Z$1510,$A$4:$A$1510,$A626,$E$4:$E$1510,"Loss"),-('Guide &amp; Settings'!$C$42/($F626-1))*$Z626)))</f>
        <v>-16.323764930256495</v>
      </c>
      <c r="AB626" s="126">
        <f t="shared" si="196"/>
        <v>981.95393847012519</v>
      </c>
      <c r="AC626" s="126">
        <f>IF($D626="","",IF($AD626=0,0,IF(COUNTIFS($D$4:$D626,$D626,$B$4:$B626,$B626)&gt;1,0,IF($B626&lt;'Guide &amp; Settings'!$C$50,0,IF(($B626-$AD626)/7-'Guide &amp; Settings'!$C$48&gt;=0,(INT(($B626-$AD626)/7-'Guide &amp; Settings'!$C$48)+1)*'Guide &amp; Settings'!$C$49,0)))))</f>
        <v>0</v>
      </c>
      <c r="AD626" s="142">
        <f t="shared" si="197"/>
        <v>46255</v>
      </c>
      <c r="AE626">
        <f t="shared" si="198"/>
        <v>1</v>
      </c>
      <c r="AF626">
        <f t="shared" si="199"/>
        <v>0</v>
      </c>
    </row>
    <row r="627" spans="1:32" x14ac:dyDescent="0.2">
      <c r="A627" s="117">
        <v>264</v>
      </c>
      <c r="B627" s="118">
        <v>46257</v>
      </c>
      <c r="C627" s="119" t="s">
        <v>35</v>
      </c>
      <c r="D627" s="119" t="s">
        <v>20</v>
      </c>
      <c r="E627" s="117" t="s">
        <v>370</v>
      </c>
      <c r="F627" s="120">
        <f t="shared" si="180"/>
        <v>2</v>
      </c>
      <c r="G627" s="121" t="str">
        <f t="shared" si="181"/>
        <v>Shawn</v>
      </c>
      <c r="H627" s="122">
        <f>IF($D627="",0,IFERROR(LOOKUP(2,1/(($D$3:D626=$D627)*($A$3:A626&lt;$A627)),$N$3:N626),'Guide &amp; Settings'!$C$41))</f>
        <v>1234.1697494462214</v>
      </c>
      <c r="I627" s="123">
        <f t="shared" si="182"/>
        <v>0.4850746268656716</v>
      </c>
      <c r="J627" s="124">
        <f>IF($D627="",0,IF($F627&lt;2,0,IF($E627="Win",('Guide &amp; Settings'!$C$42/(($F627-1)*COUNTIFS($A$4:$A$1510,$A627,$E$4:$E$1510,"Win")))*SUMIFS($X$4:$X$1510,$A$4:$A$1510,$A627,$E$4:$E$1510,"Loss"),-('Guide &amp; Settings'!$C$42/($F627-1))*$X627)))</f>
        <v>16.448059431246442</v>
      </c>
      <c r="K627" s="124">
        <f>IF($D627="",0,'Guide &amp; Settings'!$C$43*(IF($E627="Win",1,0)-$I627))</f>
        <v>6.1791044776119408</v>
      </c>
      <c r="L627" s="125">
        <f>IF($D627="",0,'Guide &amp; Settings'!$C$44*IF($F627&gt;=3,$F627,0))</f>
        <v>0</v>
      </c>
      <c r="M627" s="124">
        <f t="shared" si="183"/>
        <v>22.627163908858382</v>
      </c>
      <c r="N627" s="122">
        <f t="shared" si="184"/>
        <v>1256.7969133550798</v>
      </c>
      <c r="O627" s="121" t="str">
        <f t="shared" si="185"/>
        <v>OK</v>
      </c>
      <c r="P627">
        <f t="shared" si="186"/>
        <v>1234.1697494462214</v>
      </c>
      <c r="Q627">
        <f t="shared" si="187"/>
        <v>0.5</v>
      </c>
      <c r="R627">
        <f t="shared" si="188"/>
        <v>0.43478260869565216</v>
      </c>
      <c r="S627">
        <f t="shared" si="189"/>
        <v>0.89632107023411378</v>
      </c>
      <c r="T627" s="89">
        <f t="shared" si="190"/>
        <v>21</v>
      </c>
      <c r="U627" s="126">
        <f>IF($D627="",0,IFERROR(LOOKUP(2,1/(($D$3:D626=$D627)*($C$3:C626=$C627)*($A$3:A626&lt;$A627)),$AB$3:AB626),1000))</f>
        <v>959.21322119739193</v>
      </c>
      <c r="V627" s="126">
        <f t="shared" si="191"/>
        <v>1012.0894766298592</v>
      </c>
      <c r="W627">
        <f t="shared" si="192"/>
        <v>1012.0894766298592</v>
      </c>
      <c r="X627">
        <f t="shared" si="193"/>
        <v>0.5</v>
      </c>
      <c r="Y627">
        <f t="shared" si="194"/>
        <v>959.21322119739193</v>
      </c>
      <c r="Z627">
        <f t="shared" si="195"/>
        <v>0.5</v>
      </c>
      <c r="AA627">
        <f>IF($D627="",0,IF($F627&lt;2,0,IF($E627="Win",('Guide &amp; Settings'!$C$42/(($F627-1)*COUNTIFS($A$4:$A$1510,$A627,$E$4:$E$1510,"Win")))*SUMIFS($Z$4:$Z$1510,$A$4:$A$1510,$A627,$E$4:$E$1510,"Loss"),-('Guide &amp; Settings'!$C$42/($F627-1))*$Z627)))</f>
        <v>17.948179345045322</v>
      </c>
      <c r="AB627" s="126">
        <f t="shared" si="196"/>
        <v>977.16140054243726</v>
      </c>
      <c r="AC627" s="126">
        <f>IF($D627="","",IF($AD627=0,0,IF(COUNTIFS($D$4:$D627,$D627,$B$4:$B627,$B627)&gt;1,0,IF($B627&lt;'Guide &amp; Settings'!$C$50,0,IF(($B627-$AD627)/7-'Guide &amp; Settings'!$C$48&gt;=0,(INT(($B627-$AD627)/7-'Guide &amp; Settings'!$C$48)+1)*'Guide &amp; Settings'!$C$49,0)))))</f>
        <v>0</v>
      </c>
      <c r="AD627" s="142">
        <f t="shared" si="197"/>
        <v>46256</v>
      </c>
      <c r="AE627">
        <f t="shared" si="198"/>
        <v>1</v>
      </c>
      <c r="AF627">
        <f t="shared" si="199"/>
        <v>0</v>
      </c>
    </row>
    <row r="628" spans="1:32" x14ac:dyDescent="0.2">
      <c r="A628" s="117">
        <v>264</v>
      </c>
      <c r="B628" s="118">
        <v>46257</v>
      </c>
      <c r="C628" s="119" t="s">
        <v>35</v>
      </c>
      <c r="D628" s="119" t="s">
        <v>22</v>
      </c>
      <c r="E628" s="117" t="s">
        <v>371</v>
      </c>
      <c r="F628" s="120">
        <f t="shared" si="180"/>
        <v>2</v>
      </c>
      <c r="G628" s="121" t="str">
        <f t="shared" si="181"/>
        <v>Shawn</v>
      </c>
      <c r="H628" s="122">
        <f>IF($D628="",0,IFERROR(LOOKUP(2,1/(($D$3:D627=$D628)*($A$3:A627&lt;$A628)),$N$3:N627),'Guide &amp; Settings'!$C$41))</f>
        <v>1066.0264731489551</v>
      </c>
      <c r="I628" s="123">
        <f t="shared" si="182"/>
        <v>0.5149253731343284</v>
      </c>
      <c r="J628" s="124">
        <f>IF($D628="",0,IF($F628&lt;2,0,IF($E628="Win",('Guide &amp; Settings'!$C$42/(($F628-1)*COUNTIFS($A$4:$A$1510,$A628,$E$4:$E$1510,"Win")))*SUMIFS($X$4:$X$1510,$A$4:$A$1510,$A628,$E$4:$E$1510,"Loss"),-('Guide &amp; Settings'!$C$42/($F628-1))*$X628)))</f>
        <v>-16.448059431246442</v>
      </c>
      <c r="K628" s="124">
        <f>IF($D628="",0,'Guide &amp; Settings'!$C$43*(IF($E628="Win",1,0)-$I628))</f>
        <v>-6.1791044776119408</v>
      </c>
      <c r="L628" s="125">
        <f>IF($D628="",0,'Guide &amp; Settings'!$C$44*IF($F628&gt;=3,$F628,0))</f>
        <v>0</v>
      </c>
      <c r="M628" s="124">
        <f t="shared" si="183"/>
        <v>-22.627163908858382</v>
      </c>
      <c r="N628" s="122">
        <f t="shared" si="184"/>
        <v>1043.3993092400967</v>
      </c>
      <c r="O628" s="121" t="str">
        <f t="shared" si="185"/>
        <v>OK</v>
      </c>
      <c r="P628">
        <f t="shared" si="186"/>
        <v>1234.1697494462214</v>
      </c>
      <c r="Q628">
        <f t="shared" si="187"/>
        <v>0.27529717898741879</v>
      </c>
      <c r="R628">
        <f t="shared" si="188"/>
        <v>0.46153846153846156</v>
      </c>
      <c r="S628">
        <f t="shared" si="189"/>
        <v>0.89632107023411378</v>
      </c>
      <c r="T628" s="89">
        <f t="shared" si="190"/>
        <v>11</v>
      </c>
      <c r="U628" s="126">
        <f>IF($D628="",0,IFERROR(LOOKUP(2,1/(($D$3:D627=$D628)*($C$3:C627=$C628)*($A$3:A627&lt;$A628)),$AB$3:AB627),1000))</f>
        <v>1001.7283421233877</v>
      </c>
      <c r="V628" s="126">
        <f t="shared" si="191"/>
        <v>1021.8215080688775</v>
      </c>
      <c r="W628">
        <f t="shared" si="192"/>
        <v>1012.0894766298592</v>
      </c>
      <c r="X628">
        <f t="shared" si="193"/>
        <v>0.51400185722645131</v>
      </c>
      <c r="Y628">
        <f t="shared" si="194"/>
        <v>959.21322119739193</v>
      </c>
      <c r="Z628">
        <f t="shared" si="195"/>
        <v>0.5608806045326663</v>
      </c>
      <c r="AA628">
        <f>IF($D628="",0,IF($F628&lt;2,0,IF($E628="Win",('Guide &amp; Settings'!$C$42/(($F628-1)*COUNTIFS($A$4:$A$1510,$A628,$E$4:$E$1510,"Win")))*SUMIFS($Z$4:$Z$1510,$A$4:$A$1510,$A628,$E$4:$E$1510,"Loss"),-('Guide &amp; Settings'!$C$42/($F628-1))*$Z628)))</f>
        <v>-17.948179345045322</v>
      </c>
      <c r="AB628" s="126">
        <f t="shared" si="196"/>
        <v>983.7801627783424</v>
      </c>
      <c r="AC628" s="126">
        <f>IF($D628="","",IF($AD628=0,0,IF(COUNTIFS($D$4:$D628,$D628,$B$4:$B628,$B628)&gt;1,0,IF($B628&lt;'Guide &amp; Settings'!$C$50,0,IF(($B628-$AD628)/7-'Guide &amp; Settings'!$C$48&gt;=0,(INT(($B628-$AD628)/7-'Guide &amp; Settings'!$C$48)+1)*'Guide &amp; Settings'!$C$49,0)))))</f>
        <v>0</v>
      </c>
      <c r="AD628" s="142">
        <f t="shared" si="197"/>
        <v>46256</v>
      </c>
      <c r="AE628">
        <f t="shared" si="198"/>
        <v>1</v>
      </c>
      <c r="AF628">
        <f t="shared" si="199"/>
        <v>0</v>
      </c>
    </row>
    <row r="629" spans="1:32" x14ac:dyDescent="0.2">
      <c r="A629" s="117">
        <v>265</v>
      </c>
      <c r="B629" s="118">
        <v>46257</v>
      </c>
      <c r="C629" s="119" t="s">
        <v>35</v>
      </c>
      <c r="D629" s="119" t="s">
        <v>25</v>
      </c>
      <c r="E629" s="117" t="s">
        <v>371</v>
      </c>
      <c r="F629" s="120">
        <f t="shared" si="180"/>
        <v>2</v>
      </c>
      <c r="G629" s="121" t="str">
        <f t="shared" si="181"/>
        <v>Daniel (Ferret)</v>
      </c>
      <c r="H629" s="122">
        <f>IF($D629="",0,IFERROR(LOOKUP(2,1/(($D$3:D628=$D629)*($A$3:A628&lt;$A629)),$N$3:N628),'Guide &amp; Settings'!$C$41))</f>
        <v>1057.920145442836</v>
      </c>
      <c r="I629" s="123">
        <f t="shared" si="182"/>
        <v>0.4375</v>
      </c>
      <c r="J629" s="124">
        <f>IF($D629="",0,IF($F629&lt;2,0,IF($E629="Win",('Guide &amp; Settings'!$C$42/(($F629-1)*COUNTIFS($A$4:$A$1510,$A629,$E$4:$E$1510,"Win")))*SUMIFS($X$4:$X$1510,$A$4:$A$1510,$A629,$E$4:$E$1510,"Loss"),-('Guide &amp; Settings'!$C$42/($F629-1))*$X629)))</f>
        <v>-16.837328915595478</v>
      </c>
      <c r="K629" s="124">
        <f>IF($D629="",0,'Guide &amp; Settings'!$C$43*(IF($E629="Win",1,0)-$I629))</f>
        <v>-5.25</v>
      </c>
      <c r="L629" s="125">
        <f>IF($D629="",0,'Guide &amp; Settings'!$C$44*IF($F629&gt;=3,$F629,0))</f>
        <v>0</v>
      </c>
      <c r="M629" s="124">
        <f t="shared" si="183"/>
        <v>-22.087328915595478</v>
      </c>
      <c r="N629" s="122">
        <f t="shared" si="184"/>
        <v>1035.8328165272405</v>
      </c>
      <c r="O629" s="121" t="str">
        <f t="shared" si="185"/>
        <v>OK</v>
      </c>
      <c r="P629">
        <f t="shared" si="186"/>
        <v>1043.3993092400967</v>
      </c>
      <c r="Q629">
        <f t="shared" si="187"/>
        <v>0.52088500412427308</v>
      </c>
      <c r="R629">
        <f t="shared" si="188"/>
        <v>0.33333333333333331</v>
      </c>
      <c r="S629">
        <f t="shared" si="189"/>
        <v>0.76190476190476186</v>
      </c>
      <c r="T629" s="89">
        <f t="shared" si="190"/>
        <v>4</v>
      </c>
      <c r="U629" s="126">
        <f>IF($D629="",0,IFERROR(LOOKUP(2,1/(($D$3:D628=$D629)*($C$3:C628=$C629)*($A$3:A628&lt;$A629)),$AB$3:AB628),1000))</f>
        <v>971.50676491737113</v>
      </c>
      <c r="V629" s="126">
        <f t="shared" si="191"/>
        <v>1019.5141985426294</v>
      </c>
      <c r="W629">
        <f t="shared" si="192"/>
        <v>1001.3152058553289</v>
      </c>
      <c r="X629">
        <f t="shared" si="193"/>
        <v>0.52616652861235869</v>
      </c>
      <c r="Y629">
        <f t="shared" si="194"/>
        <v>983.7801627783424</v>
      </c>
      <c r="Z629">
        <f t="shared" si="195"/>
        <v>0.4823445041609713</v>
      </c>
      <c r="AA629">
        <f>IF($D629="",0,IF($F629&lt;2,0,IF($E629="Win",('Guide &amp; Settings'!$C$42/(($F629-1)*COUNTIFS($A$4:$A$1510,$A629,$E$4:$E$1510,"Win")))*SUMIFS($Z$4:$Z$1510,$A$4:$A$1510,$A629,$E$4:$E$1510,"Loss"),-('Guide &amp; Settings'!$C$42/($F629-1))*$Z629)))</f>
        <v>-15.435024133151082</v>
      </c>
      <c r="AB629" s="126">
        <f t="shared" si="196"/>
        <v>956.07174078422008</v>
      </c>
      <c r="AC629" s="126">
        <f>IF($D629="","",IF($AD629=0,0,IF(COUNTIFS($D$4:$D629,$D629,$B$4:$B629,$B629)&gt;1,0,IF($B629&lt;'Guide &amp; Settings'!$C$50,0,IF(($B629-$AD629)/7-'Guide &amp; Settings'!$C$48&gt;=0,(INT(($B629-$AD629)/7-'Guide &amp; Settings'!$C$48)+1)*'Guide &amp; Settings'!$C$49,0)))))</f>
        <v>0</v>
      </c>
      <c r="AD629" s="142">
        <f t="shared" si="197"/>
        <v>46256</v>
      </c>
      <c r="AE629">
        <f t="shared" si="198"/>
        <v>1</v>
      </c>
      <c r="AF629">
        <f t="shared" si="199"/>
        <v>0</v>
      </c>
    </row>
    <row r="630" spans="1:32" x14ac:dyDescent="0.2">
      <c r="A630" s="117">
        <v>265</v>
      </c>
      <c r="B630" s="118">
        <v>46257</v>
      </c>
      <c r="C630" s="119" t="s">
        <v>35</v>
      </c>
      <c r="D630" s="119" t="s">
        <v>22</v>
      </c>
      <c r="E630" s="117" t="s">
        <v>370</v>
      </c>
      <c r="F630" s="120">
        <f t="shared" si="180"/>
        <v>2</v>
      </c>
      <c r="G630" s="121" t="str">
        <f t="shared" si="181"/>
        <v>Daniel (Ferret)</v>
      </c>
      <c r="H630" s="122">
        <f>IF($D630="",0,IFERROR(LOOKUP(2,1/(($D$3:D629=$D630)*($A$3:A629&lt;$A630)),$N$3:N629),'Guide &amp; Settings'!$C$41))</f>
        <v>1043.3993092400967</v>
      </c>
      <c r="I630" s="123">
        <f t="shared" si="182"/>
        <v>0.5625</v>
      </c>
      <c r="J630" s="124">
        <f>IF($D630="",0,IF($F630&lt;2,0,IF($E630="Win",('Guide &amp; Settings'!$C$42/(($F630-1)*COUNTIFS($A$4:$A$1510,$A630,$E$4:$E$1510,"Win")))*SUMIFS($X$4:$X$1510,$A$4:$A$1510,$A630,$E$4:$E$1510,"Loss"),-('Guide &amp; Settings'!$C$42/($F630-1))*$X630)))</f>
        <v>16.837328915595478</v>
      </c>
      <c r="K630" s="124">
        <f>IF($D630="",0,'Guide &amp; Settings'!$C$43*(IF($E630="Win",1,0)-$I630))</f>
        <v>5.25</v>
      </c>
      <c r="L630" s="125">
        <f>IF($D630="",0,'Guide &amp; Settings'!$C$44*IF($F630&gt;=3,$F630,0))</f>
        <v>0</v>
      </c>
      <c r="M630" s="124">
        <f t="shared" si="183"/>
        <v>22.087328915595478</v>
      </c>
      <c r="N630" s="122">
        <f t="shared" si="184"/>
        <v>1065.4866381556922</v>
      </c>
      <c r="O630" s="121" t="str">
        <f t="shared" si="185"/>
        <v>OK</v>
      </c>
      <c r="P630">
        <f t="shared" si="186"/>
        <v>1043.3993092400967</v>
      </c>
      <c r="Q630">
        <f t="shared" si="187"/>
        <v>0.5</v>
      </c>
      <c r="R630">
        <f t="shared" si="188"/>
        <v>0.42857142857142855</v>
      </c>
      <c r="S630">
        <f t="shared" si="189"/>
        <v>0.76190476190476186</v>
      </c>
      <c r="T630" s="89">
        <f t="shared" si="190"/>
        <v>12</v>
      </c>
      <c r="U630" s="126">
        <f>IF($D630="",0,IFERROR(LOOKUP(2,1/(($D$3:D629=$D630)*($C$3:C629=$C630)*($A$3:A629&lt;$A630)),$AB$3:AB629),1000))</f>
        <v>983.7801627783424</v>
      </c>
      <c r="V630" s="126">
        <f t="shared" si="191"/>
        <v>1001.3152058553289</v>
      </c>
      <c r="W630">
        <f t="shared" si="192"/>
        <v>1001.3152058553289</v>
      </c>
      <c r="X630">
        <f t="shared" si="193"/>
        <v>0.5</v>
      </c>
      <c r="Y630">
        <f t="shared" si="194"/>
        <v>983.7801627783424</v>
      </c>
      <c r="Z630">
        <f t="shared" si="195"/>
        <v>0.5</v>
      </c>
      <c r="AA630">
        <f>IF($D630="",0,IF($F630&lt;2,0,IF($E630="Win",('Guide &amp; Settings'!$C$42/(($F630-1)*COUNTIFS($A$4:$A$1510,$A630,$E$4:$E$1510,"Win")))*SUMIFS($Z$4:$Z$1510,$A$4:$A$1510,$A630,$E$4:$E$1510,"Loss"),-('Guide &amp; Settings'!$C$42/($F630-1))*$Z630)))</f>
        <v>15.435024133151082</v>
      </c>
      <c r="AB630" s="126">
        <f t="shared" si="196"/>
        <v>999.21518691149345</v>
      </c>
      <c r="AC630" s="126">
        <f>IF($D630="","",IF($AD630=0,0,IF(COUNTIFS($D$4:$D630,$D630,$B$4:$B630,$B630)&gt;1,0,IF($B630&lt;'Guide &amp; Settings'!$C$50,0,IF(($B630-$AD630)/7-'Guide &amp; Settings'!$C$48&gt;=0,(INT(($B630-$AD630)/7-'Guide &amp; Settings'!$C$48)+1)*'Guide &amp; Settings'!$C$49,0)))))</f>
        <v>0</v>
      </c>
      <c r="AD630" s="142">
        <f t="shared" si="197"/>
        <v>46256</v>
      </c>
      <c r="AE630">
        <f t="shared" si="198"/>
        <v>1</v>
      </c>
      <c r="AF630">
        <f t="shared" si="199"/>
        <v>0</v>
      </c>
    </row>
    <row r="631" spans="1:32" x14ac:dyDescent="0.2">
      <c r="A631" s="117">
        <v>266</v>
      </c>
      <c r="B631" s="118">
        <v>46257</v>
      </c>
      <c r="C631" s="119" t="s">
        <v>35</v>
      </c>
      <c r="D631" s="119" t="s">
        <v>25</v>
      </c>
      <c r="E631" s="117" t="s">
        <v>370</v>
      </c>
      <c r="F631" s="120">
        <f t="shared" si="180"/>
        <v>2</v>
      </c>
      <c r="G631" s="121" t="str">
        <f t="shared" si="181"/>
        <v>Oscar</v>
      </c>
      <c r="H631" s="122">
        <f>IF($D631="",0,IFERROR(LOOKUP(2,1/(($D$3:D630=$D631)*($A$3:A630&lt;$A631)),$N$3:N630),'Guide &amp; Settings'!$C$41))</f>
        <v>1035.8328165272405</v>
      </c>
      <c r="I631" s="123">
        <f t="shared" si="182"/>
        <v>0.37974683544303794</v>
      </c>
      <c r="J631" s="124">
        <f>IF($D631="",0,IF($F631&lt;2,0,IF($E631="Win",('Guide &amp; Settings'!$C$42/(($F631-1)*COUNTIFS($A$4:$A$1510,$A631,$E$4:$E$1510,"Win")))*SUMIFS($X$4:$X$1510,$A$4:$A$1510,$A631,$E$4:$E$1510,"Loss"),-('Guide &amp; Settings'!$C$42/($F631-1))*$X631)))</f>
        <v>16.996723783178943</v>
      </c>
      <c r="K631" s="124">
        <f>IF($D631="",0,'Guide &amp; Settings'!$C$43*(IF($E631="Win",1,0)-$I631))</f>
        <v>7.443037974683544</v>
      </c>
      <c r="L631" s="125">
        <f>IF($D631="",0,'Guide &amp; Settings'!$C$44*IF($F631&gt;=3,$F631,0))</f>
        <v>0</v>
      </c>
      <c r="M631" s="124">
        <f t="shared" si="183"/>
        <v>24.439761757862488</v>
      </c>
      <c r="N631" s="122">
        <f t="shared" si="184"/>
        <v>1060.272578285103</v>
      </c>
      <c r="O631" s="121" t="str">
        <f t="shared" si="185"/>
        <v>OK</v>
      </c>
      <c r="P631">
        <f t="shared" si="186"/>
        <v>1035.8328165272405</v>
      </c>
      <c r="Q631">
        <f t="shared" si="187"/>
        <v>0.5</v>
      </c>
      <c r="R631">
        <f t="shared" si="188"/>
        <v>0.2857142857142857</v>
      </c>
      <c r="S631">
        <f t="shared" si="189"/>
        <v>0.75238095238095237</v>
      </c>
      <c r="T631" s="89">
        <f t="shared" si="190"/>
        <v>5</v>
      </c>
      <c r="U631" s="126">
        <f>IF($D631="",0,IFERROR(LOOKUP(2,1/(($D$3:D630=$D631)*($C$3:C630=$C631)*($A$3:A630&lt;$A631)),$AB$3:AB630),1000))</f>
        <v>956.07174078422008</v>
      </c>
      <c r="V631" s="126">
        <f t="shared" si="191"/>
        <v>995.95227865573031</v>
      </c>
      <c r="W631">
        <f t="shared" si="192"/>
        <v>995.95227865573031</v>
      </c>
      <c r="X631">
        <f t="shared" si="193"/>
        <v>0.5</v>
      </c>
      <c r="Y631">
        <f t="shared" si="194"/>
        <v>956.07174078422008</v>
      </c>
      <c r="Z631">
        <f t="shared" si="195"/>
        <v>0.5</v>
      </c>
      <c r="AA631">
        <f>IF($D631="",0,IF($F631&lt;2,0,IF($E631="Win",('Guide &amp; Settings'!$C$42/(($F631-1)*COUNTIFS($A$4:$A$1510,$A631,$E$4:$E$1510,"Win")))*SUMIFS($Z$4:$Z$1510,$A$4:$A$1510,$A631,$E$4:$E$1510,"Loss"),-('Guide &amp; Settings'!$C$42/($F631-1))*$Z631)))</f>
        <v>17.976679492169005</v>
      </c>
      <c r="AB631" s="126">
        <f t="shared" si="196"/>
        <v>974.04842027638904</v>
      </c>
      <c r="AC631" s="126">
        <f>IF($D631="","",IF($AD631=0,0,IF(COUNTIFS($D$4:$D631,$D631,$B$4:$B631,$B631)&gt;1,0,IF($B631&lt;'Guide &amp; Settings'!$C$50,0,IF(($B631-$AD631)/7-'Guide &amp; Settings'!$C$48&gt;=0,(INT(($B631-$AD631)/7-'Guide &amp; Settings'!$C$48)+1)*'Guide &amp; Settings'!$C$49,0)))))</f>
        <v>0</v>
      </c>
      <c r="AD631" s="142">
        <f t="shared" si="197"/>
        <v>46256</v>
      </c>
      <c r="AE631">
        <f t="shared" si="198"/>
        <v>1</v>
      </c>
      <c r="AF631">
        <f t="shared" si="199"/>
        <v>0</v>
      </c>
    </row>
    <row r="632" spans="1:32" x14ac:dyDescent="0.2">
      <c r="A632" s="117">
        <v>266</v>
      </c>
      <c r="B632" s="118">
        <v>46257</v>
      </c>
      <c r="C632" s="119" t="s">
        <v>35</v>
      </c>
      <c r="D632" s="119" t="s">
        <v>22</v>
      </c>
      <c r="E632" s="117" t="s">
        <v>371</v>
      </c>
      <c r="F632" s="120">
        <f t="shared" si="180"/>
        <v>2</v>
      </c>
      <c r="G632" s="121" t="str">
        <f t="shared" si="181"/>
        <v>Oscar</v>
      </c>
      <c r="H632" s="122">
        <f>IF($D632="",0,IFERROR(LOOKUP(2,1/(($D$3:D631=$D632)*($A$3:A631&lt;$A632)),$N$3:N631),'Guide &amp; Settings'!$C$41))</f>
        <v>1065.4866381556922</v>
      </c>
      <c r="I632" s="123">
        <f t="shared" si="182"/>
        <v>0.620253164556962</v>
      </c>
      <c r="J632" s="124">
        <f>IF($D632="",0,IF($F632&lt;2,0,IF($E632="Win",('Guide &amp; Settings'!$C$42/(($F632-1)*COUNTIFS($A$4:$A$1510,$A632,$E$4:$E$1510,"Win")))*SUMIFS($X$4:$X$1510,$A$4:$A$1510,$A632,$E$4:$E$1510,"Loss"),-('Guide &amp; Settings'!$C$42/($F632-1))*$X632)))</f>
        <v>-16.996723783178943</v>
      </c>
      <c r="K632" s="124">
        <f>IF($D632="",0,'Guide &amp; Settings'!$C$43*(IF($E632="Win",1,0)-$I632))</f>
        <v>-7.443037974683544</v>
      </c>
      <c r="L632" s="125">
        <f>IF($D632="",0,'Guide &amp; Settings'!$C$44*IF($F632&gt;=3,$F632,0))</f>
        <v>0</v>
      </c>
      <c r="M632" s="124">
        <f t="shared" si="183"/>
        <v>-24.439761757862488</v>
      </c>
      <c r="N632" s="122">
        <f t="shared" si="184"/>
        <v>1041.0468763978297</v>
      </c>
      <c r="O632" s="121" t="str">
        <f t="shared" si="185"/>
        <v>OK</v>
      </c>
      <c r="P632">
        <f t="shared" si="186"/>
        <v>1035.8328165272405</v>
      </c>
      <c r="Q632">
        <f t="shared" si="187"/>
        <v>0.54257195504305022</v>
      </c>
      <c r="R632">
        <f t="shared" si="188"/>
        <v>0.46666666666666667</v>
      </c>
      <c r="S632">
        <f t="shared" si="189"/>
        <v>0.75238095238095237</v>
      </c>
      <c r="T632" s="89">
        <f t="shared" si="190"/>
        <v>13</v>
      </c>
      <c r="U632" s="126">
        <f>IF($D632="",0,IFERROR(LOOKUP(2,1/(($D$3:D631=$D632)*($C$3:C631=$C632)*($A$3:A631&lt;$A632)),$AB$3:AB631),1000))</f>
        <v>999.21518691149345</v>
      </c>
      <c r="V632" s="126">
        <f t="shared" si="191"/>
        <v>1017.6239233682153</v>
      </c>
      <c r="W632">
        <f t="shared" si="192"/>
        <v>995.95227865573031</v>
      </c>
      <c r="X632">
        <f t="shared" si="193"/>
        <v>0.53114761822434198</v>
      </c>
      <c r="Y632">
        <f t="shared" si="194"/>
        <v>956.07174078422008</v>
      </c>
      <c r="Z632">
        <f t="shared" si="195"/>
        <v>0.5617712341302814</v>
      </c>
      <c r="AA632">
        <f>IF($D632="",0,IF($F632&lt;2,0,IF($E632="Win",('Guide &amp; Settings'!$C$42/(($F632-1)*COUNTIFS($A$4:$A$1510,$A632,$E$4:$E$1510,"Win")))*SUMIFS($Z$4:$Z$1510,$A$4:$A$1510,$A632,$E$4:$E$1510,"Loss"),-('Guide &amp; Settings'!$C$42/($F632-1))*$Z632)))</f>
        <v>-17.976679492169005</v>
      </c>
      <c r="AB632" s="126">
        <f t="shared" si="196"/>
        <v>981.23850741932449</v>
      </c>
      <c r="AC632" s="126">
        <f>IF($D632="","",IF($AD632=0,0,IF(COUNTIFS($D$4:$D632,$D632,$B$4:$B632,$B632)&gt;1,0,IF($B632&lt;'Guide &amp; Settings'!$C$50,0,IF(($B632-$AD632)/7-'Guide &amp; Settings'!$C$48&gt;=0,(INT(($B632-$AD632)/7-'Guide &amp; Settings'!$C$48)+1)*'Guide &amp; Settings'!$C$49,0)))))</f>
        <v>0</v>
      </c>
      <c r="AD632" s="142">
        <f t="shared" si="197"/>
        <v>46256</v>
      </c>
      <c r="AE632">
        <f t="shared" si="198"/>
        <v>1</v>
      </c>
      <c r="AF632">
        <f t="shared" si="199"/>
        <v>0</v>
      </c>
    </row>
    <row r="633" spans="1:32" x14ac:dyDescent="0.2">
      <c r="A633" s="117">
        <v>267</v>
      </c>
      <c r="B633" s="118">
        <v>46257</v>
      </c>
      <c r="C633" s="119" t="s">
        <v>44</v>
      </c>
      <c r="D633" s="119" t="s">
        <v>21</v>
      </c>
      <c r="E633" s="117" t="s">
        <v>370</v>
      </c>
      <c r="F633" s="120">
        <f t="shared" si="180"/>
        <v>2</v>
      </c>
      <c r="G633" s="121" t="str">
        <f t="shared" si="181"/>
        <v>Simon</v>
      </c>
      <c r="H633" s="122">
        <f>IF($D633="",0,IFERROR(LOOKUP(2,1/(($D$3:D632=$D633)*($A$3:A632&lt;$A633)),$N$3:N632),'Guide &amp; Settings'!$C$41))</f>
        <v>1000.0962683458113</v>
      </c>
      <c r="I633" s="123">
        <f t="shared" si="182"/>
        <v>0.23437499999999997</v>
      </c>
      <c r="J633" s="124">
        <f>IF($D633="",0,IF($F633&lt;2,0,IF($E633="Win",('Guide &amp; Settings'!$C$42/(($F633-1)*COUNTIFS($A$4:$A$1510,$A633,$E$4:$E$1510,"Win")))*SUMIFS($X$4:$X$1510,$A$4:$A$1510,$A633,$E$4:$E$1510,"Loss"),-('Guide &amp; Settings'!$C$42/($F633-1))*$X633)))</f>
        <v>18.633741376588635</v>
      </c>
      <c r="K633" s="124">
        <f>IF($D633="",0,'Guide &amp; Settings'!$C$43*(IF($E633="Win",1,0)-$I633))</f>
        <v>9.1875</v>
      </c>
      <c r="L633" s="125">
        <f>IF($D633="",0,'Guide &amp; Settings'!$C$44*IF($F633&gt;=3,$F633,0))</f>
        <v>0</v>
      </c>
      <c r="M633" s="124">
        <f t="shared" si="183"/>
        <v>27.821241376588635</v>
      </c>
      <c r="N633" s="122">
        <f t="shared" si="184"/>
        <v>1027.9175097223999</v>
      </c>
      <c r="O633" s="121" t="str">
        <f t="shared" si="185"/>
        <v>OK</v>
      </c>
      <c r="P633">
        <f t="shared" si="186"/>
        <v>1000.0962683458113</v>
      </c>
      <c r="Q633">
        <f t="shared" si="187"/>
        <v>0.5</v>
      </c>
      <c r="R633">
        <f t="shared" si="188"/>
        <v>0.14285714285714285</v>
      </c>
      <c r="S633">
        <f t="shared" si="189"/>
        <v>0.60952380952380958</v>
      </c>
      <c r="T633" s="89">
        <f t="shared" si="190"/>
        <v>5</v>
      </c>
      <c r="U633" s="126">
        <f>IF($D633="",0,IFERROR(LOOKUP(2,1/(($D$3:D632=$D633)*($C$3:C632=$C633)*($A$3:A632&lt;$A633)),$AB$3:AB632),1000))</f>
        <v>923.69275170430012</v>
      </c>
      <c r="V633" s="126">
        <f t="shared" si="191"/>
        <v>961.89451002505575</v>
      </c>
      <c r="W633">
        <f t="shared" si="192"/>
        <v>961.89451002505575</v>
      </c>
      <c r="X633">
        <f t="shared" si="193"/>
        <v>0.5</v>
      </c>
      <c r="Y633">
        <f t="shared" si="194"/>
        <v>923.69275170430012</v>
      </c>
      <c r="Z633">
        <f t="shared" si="195"/>
        <v>0.5</v>
      </c>
      <c r="AA633">
        <f>IF($D633="",0,IF($F633&lt;2,0,IF($E633="Win",('Guide &amp; Settings'!$C$42/(($F633-1)*COUNTIFS($A$4:$A$1510,$A633,$E$4:$E$1510,"Win")))*SUMIFS($Z$4:$Z$1510,$A$4:$A$1510,$A633,$E$4:$E$1510,"Loss"),-('Guide &amp; Settings'!$C$42/($F633-1))*$Z633)))</f>
        <v>19.632549755872848</v>
      </c>
      <c r="AB633" s="126">
        <f t="shared" si="196"/>
        <v>943.32530146017302</v>
      </c>
      <c r="AC633" s="126">
        <f>IF($D633="","",IF($AD633=0,0,IF(COUNTIFS($D$4:$D633,$D633,$B$4:$B633,$B633)&gt;1,0,IF($B633&lt;'Guide &amp; Settings'!$C$50,0,IF(($B633-$AD633)/7-'Guide &amp; Settings'!$C$48&gt;=0,(INT(($B633-$AD633)/7-'Guide &amp; Settings'!$C$48)+1)*'Guide &amp; Settings'!$C$49,0)))))</f>
        <v>0</v>
      </c>
      <c r="AD633" s="142">
        <f t="shared" si="197"/>
        <v>46255</v>
      </c>
      <c r="AE633">
        <f t="shared" si="198"/>
        <v>1</v>
      </c>
      <c r="AF633">
        <f t="shared" si="199"/>
        <v>0</v>
      </c>
    </row>
    <row r="634" spans="1:32" x14ac:dyDescent="0.2">
      <c r="A634" s="117">
        <v>267</v>
      </c>
      <c r="B634" s="118">
        <v>46257</v>
      </c>
      <c r="C634" s="119" t="s">
        <v>44</v>
      </c>
      <c r="D634" s="119" t="s">
        <v>25</v>
      </c>
      <c r="E634" s="117" t="s">
        <v>371</v>
      </c>
      <c r="F634" s="120">
        <f t="shared" si="180"/>
        <v>2</v>
      </c>
      <c r="G634" s="121" t="str">
        <f t="shared" si="181"/>
        <v>Simon</v>
      </c>
      <c r="H634" s="122">
        <f>IF($D634="",0,IFERROR(LOOKUP(2,1/(($D$3:D633=$D634)*($A$3:A633&lt;$A634)),$N$3:N633),'Guide &amp; Settings'!$C$41))</f>
        <v>1060.272578285103</v>
      </c>
      <c r="I634" s="123">
        <f t="shared" si="182"/>
        <v>0.76562499999999989</v>
      </c>
      <c r="J634" s="124">
        <f>IF($D634="",0,IF($F634&lt;2,0,IF($E634="Win",('Guide &amp; Settings'!$C$42/(($F634-1)*COUNTIFS($A$4:$A$1510,$A634,$E$4:$E$1510,"Win")))*SUMIFS($X$4:$X$1510,$A$4:$A$1510,$A634,$E$4:$E$1510,"Loss"),-('Guide &amp; Settings'!$C$42/($F634-1))*$X634)))</f>
        <v>-18.633741376588635</v>
      </c>
      <c r="K634" s="124">
        <f>IF($D634="",0,'Guide &amp; Settings'!$C$43*(IF($E634="Win",1,0)-$I634))</f>
        <v>-9.1874999999999982</v>
      </c>
      <c r="L634" s="125">
        <f>IF($D634="",0,'Guide &amp; Settings'!$C$44*IF($F634&gt;=3,$F634,0))</f>
        <v>0</v>
      </c>
      <c r="M634" s="124">
        <f t="shared" si="183"/>
        <v>-27.821241376588631</v>
      </c>
      <c r="N634" s="122">
        <f t="shared" si="184"/>
        <v>1032.4513369085143</v>
      </c>
      <c r="O634" s="121" t="str">
        <f t="shared" si="185"/>
        <v>OK</v>
      </c>
      <c r="P634">
        <f t="shared" si="186"/>
        <v>1000.0962683458113</v>
      </c>
      <c r="Q634">
        <f t="shared" si="187"/>
        <v>0.58574496857644853</v>
      </c>
      <c r="R634">
        <f t="shared" si="188"/>
        <v>0.46666666666666667</v>
      </c>
      <c r="S634">
        <f t="shared" si="189"/>
        <v>0.60952380952380958</v>
      </c>
      <c r="T634" s="89">
        <f t="shared" si="190"/>
        <v>13</v>
      </c>
      <c r="U634" s="126">
        <f>IF($D634="",0,IFERROR(LOOKUP(2,1/(($D$3:D633=$D634)*($C$3:C633=$C634)*($A$3:A633&lt;$A634)),$AB$3:AB633),1000))</f>
        <v>1003.9713656909046</v>
      </c>
      <c r="V634" s="126">
        <f t="shared" si="191"/>
        <v>1019.6105914115152</v>
      </c>
      <c r="W634">
        <f t="shared" si="192"/>
        <v>961.89451002505575</v>
      </c>
      <c r="X634">
        <f t="shared" si="193"/>
        <v>0.58230441801839483</v>
      </c>
      <c r="Y634">
        <f t="shared" si="194"/>
        <v>923.69275170430012</v>
      </c>
      <c r="Z634">
        <f t="shared" si="195"/>
        <v>0.6135171798710265</v>
      </c>
      <c r="AA634">
        <f>IF($D634="",0,IF($F634&lt;2,0,IF($E634="Win",('Guide &amp; Settings'!$C$42/(($F634-1)*COUNTIFS($A$4:$A$1510,$A634,$E$4:$E$1510,"Win")))*SUMIFS($Z$4:$Z$1510,$A$4:$A$1510,$A634,$E$4:$E$1510,"Loss"),-('Guide &amp; Settings'!$C$42/($F634-1))*$Z634)))</f>
        <v>-19.632549755872848</v>
      </c>
      <c r="AB634" s="126">
        <f t="shared" si="196"/>
        <v>984.33881593503168</v>
      </c>
      <c r="AC634" s="126">
        <f>IF($D634="","",IF($AD634=0,0,IF(COUNTIFS($D$4:$D634,$D634,$B$4:$B634,$B634)&gt;1,0,IF($B634&lt;'Guide &amp; Settings'!$C$50,0,IF(($B634-$AD634)/7-'Guide &amp; Settings'!$C$48&gt;=0,(INT(($B634-$AD634)/7-'Guide &amp; Settings'!$C$48)+1)*'Guide &amp; Settings'!$C$49,0)))))</f>
        <v>0</v>
      </c>
      <c r="AD634" s="142">
        <f t="shared" si="197"/>
        <v>46256</v>
      </c>
      <c r="AE634">
        <f t="shared" si="198"/>
        <v>1</v>
      </c>
      <c r="AF634">
        <f t="shared" si="199"/>
        <v>0</v>
      </c>
    </row>
    <row r="635" spans="1:32" x14ac:dyDescent="0.2">
      <c r="A635" s="117">
        <v>268</v>
      </c>
      <c r="B635" s="118">
        <v>46257</v>
      </c>
      <c r="C635" s="119" t="s">
        <v>44</v>
      </c>
      <c r="D635" s="119" t="s">
        <v>21</v>
      </c>
      <c r="E635" s="117" t="s">
        <v>370</v>
      </c>
      <c r="F635" s="120">
        <f t="shared" si="180"/>
        <v>2</v>
      </c>
      <c r="G635" s="121" t="str">
        <f t="shared" si="181"/>
        <v>Simon</v>
      </c>
      <c r="H635" s="122">
        <f>IF($D635="",0,IFERROR(LOOKUP(2,1/(($D$3:D634=$D635)*($A$3:A634&lt;$A635)),$N$3:N634),'Guide &amp; Settings'!$C$41))</f>
        <v>1027.9175097223999</v>
      </c>
      <c r="I635" s="123">
        <f t="shared" si="182"/>
        <v>0.36363636363636365</v>
      </c>
      <c r="J635" s="124">
        <f>IF($D635="",0,IF($F635&lt;2,0,IF($E635="Win",('Guide &amp; Settings'!$C$42/(($F635-1)*COUNTIFS($A$4:$A$1510,$A635,$E$4:$E$1510,"Win")))*SUMIFS($X$4:$X$1510,$A$4:$A$1510,$A635,$E$4:$E$1510,"Loss"),-('Guide &amp; Settings'!$C$42/($F635-1))*$X635)))</f>
        <v>16.700628978794789</v>
      </c>
      <c r="K635" s="124">
        <f>IF($D635="",0,'Guide &amp; Settings'!$C$43*(IF($E635="Win",1,0)-$I635))</f>
        <v>7.6363636363636367</v>
      </c>
      <c r="L635" s="125">
        <f>IF($D635="",0,'Guide &amp; Settings'!$C$44*IF($F635&gt;=3,$F635,0))</f>
        <v>0</v>
      </c>
      <c r="M635" s="124">
        <f t="shared" si="183"/>
        <v>24.336992615158426</v>
      </c>
      <c r="N635" s="122">
        <f t="shared" si="184"/>
        <v>1052.2545023375583</v>
      </c>
      <c r="O635" s="121" t="str">
        <f t="shared" si="185"/>
        <v>OK</v>
      </c>
      <c r="P635">
        <f t="shared" si="186"/>
        <v>1027.9175097223999</v>
      </c>
      <c r="Q635">
        <f t="shared" si="187"/>
        <v>0.5</v>
      </c>
      <c r="R635">
        <f t="shared" si="188"/>
        <v>0.25</v>
      </c>
      <c r="S635">
        <f t="shared" si="189"/>
        <v>0.6875</v>
      </c>
      <c r="T635" s="89">
        <f t="shared" si="190"/>
        <v>6</v>
      </c>
      <c r="U635" s="126">
        <f>IF($D635="",0,IFERROR(LOOKUP(2,1/(($D$3:D634=$D635)*($C$3:C634=$C635)*($A$3:A634&lt;$A635)),$AB$3:AB634),1000))</f>
        <v>943.32530146017302</v>
      </c>
      <c r="V635" s="126">
        <f t="shared" si="191"/>
        <v>981.77630521573064</v>
      </c>
      <c r="W635">
        <f t="shared" si="192"/>
        <v>981.77630521573064</v>
      </c>
      <c r="X635">
        <f t="shared" si="193"/>
        <v>0.5</v>
      </c>
      <c r="Y635">
        <f t="shared" si="194"/>
        <v>943.32530146017302</v>
      </c>
      <c r="Z635">
        <f t="shared" si="195"/>
        <v>0.5</v>
      </c>
      <c r="AA635">
        <f>IF($D635="",0,IF($F635&lt;2,0,IF($E635="Win",('Guide &amp; Settings'!$C$42/(($F635-1)*COUNTIFS($A$4:$A$1510,$A635,$E$4:$E$1510,"Win")))*SUMIFS($Z$4:$Z$1510,$A$4:$A$1510,$A635,$E$4:$E$1510,"Loss"),-('Guide &amp; Settings'!$C$42/($F635-1))*$Z635)))</f>
        <v>17.88001759308268</v>
      </c>
      <c r="AB635" s="126">
        <f t="shared" si="196"/>
        <v>961.20531905325572</v>
      </c>
      <c r="AC635" s="126">
        <f>IF($D635="","",IF($AD635=0,0,IF(COUNTIFS($D$4:$D635,$D635,$B$4:$B635,$B635)&gt;1,0,IF($B635&lt;'Guide &amp; Settings'!$C$50,0,IF(($B635-$AD635)/7-'Guide &amp; Settings'!$C$48&gt;=0,(INT(($B635-$AD635)/7-'Guide &amp; Settings'!$C$48)+1)*'Guide &amp; Settings'!$C$49,0)))))</f>
        <v>0</v>
      </c>
      <c r="AD635" s="142">
        <f t="shared" si="197"/>
        <v>46255</v>
      </c>
      <c r="AE635">
        <f t="shared" si="198"/>
        <v>1</v>
      </c>
      <c r="AF635">
        <f t="shared" si="199"/>
        <v>0</v>
      </c>
    </row>
    <row r="636" spans="1:32" x14ac:dyDescent="0.2">
      <c r="A636" s="117">
        <v>268</v>
      </c>
      <c r="B636" s="118">
        <v>46257</v>
      </c>
      <c r="C636" s="119" t="s">
        <v>44</v>
      </c>
      <c r="D636" s="119" t="s">
        <v>25</v>
      </c>
      <c r="E636" s="117" t="s">
        <v>371</v>
      </c>
      <c r="F636" s="120">
        <f t="shared" si="180"/>
        <v>2</v>
      </c>
      <c r="G636" s="121" t="str">
        <f t="shared" si="181"/>
        <v>Simon</v>
      </c>
      <c r="H636" s="122">
        <f>IF($D636="",0,IFERROR(LOOKUP(2,1/(($D$3:D635=$D636)*($A$3:A635&lt;$A636)),$N$3:N635),'Guide &amp; Settings'!$C$41))</f>
        <v>1032.4513369085143</v>
      </c>
      <c r="I636" s="123">
        <f t="shared" si="182"/>
        <v>0.63636363636363635</v>
      </c>
      <c r="J636" s="124">
        <f>IF($D636="",0,IF($F636&lt;2,0,IF($E636="Win",('Guide &amp; Settings'!$C$42/(($F636-1)*COUNTIFS($A$4:$A$1510,$A636,$E$4:$E$1510,"Win")))*SUMIFS($X$4:$X$1510,$A$4:$A$1510,$A636,$E$4:$E$1510,"Loss"),-('Guide &amp; Settings'!$C$42/($F636-1))*$X636)))</f>
        <v>-16.700628978794789</v>
      </c>
      <c r="K636" s="124">
        <f>IF($D636="",0,'Guide &amp; Settings'!$C$43*(IF($E636="Win",1,0)-$I636))</f>
        <v>-7.6363636363636367</v>
      </c>
      <c r="L636" s="125">
        <f>IF($D636="",0,'Guide &amp; Settings'!$C$44*IF($F636&gt;=3,$F636,0))</f>
        <v>0</v>
      </c>
      <c r="M636" s="124">
        <f t="shared" si="183"/>
        <v>-24.336992615158426</v>
      </c>
      <c r="N636" s="122">
        <f t="shared" si="184"/>
        <v>1008.1143442933559</v>
      </c>
      <c r="O636" s="121" t="str">
        <f t="shared" si="185"/>
        <v>OK</v>
      </c>
      <c r="P636">
        <f t="shared" si="186"/>
        <v>1027.9175097223999</v>
      </c>
      <c r="Q636">
        <f t="shared" si="187"/>
        <v>0.50652433147616693</v>
      </c>
      <c r="R636">
        <f t="shared" si="188"/>
        <v>0.4375</v>
      </c>
      <c r="S636">
        <f t="shared" si="189"/>
        <v>0.6875</v>
      </c>
      <c r="T636" s="89">
        <f t="shared" si="190"/>
        <v>14</v>
      </c>
      <c r="U636" s="126">
        <f>IF($D636="",0,IFERROR(LOOKUP(2,1/(($D$3:D635=$D636)*($C$3:C635=$C636)*($A$3:A635&lt;$A636)),$AB$3:AB635),1000))</f>
        <v>984.33881593503168</v>
      </c>
      <c r="V636" s="126">
        <f t="shared" si="191"/>
        <v>997.00000566489553</v>
      </c>
      <c r="W636">
        <f t="shared" si="192"/>
        <v>981.77630521573064</v>
      </c>
      <c r="X636">
        <f t="shared" si="193"/>
        <v>0.52189465558733716</v>
      </c>
      <c r="Y636">
        <f t="shared" si="194"/>
        <v>943.32530146017302</v>
      </c>
      <c r="Z636">
        <f t="shared" si="195"/>
        <v>0.55875054978383376</v>
      </c>
      <c r="AA636">
        <f>IF($D636="",0,IF($F636&lt;2,0,IF($E636="Win",('Guide &amp; Settings'!$C$42/(($F636-1)*COUNTIFS($A$4:$A$1510,$A636,$E$4:$E$1510,"Win")))*SUMIFS($Z$4:$Z$1510,$A$4:$A$1510,$A636,$E$4:$E$1510,"Loss"),-('Guide &amp; Settings'!$C$42/($F636-1))*$Z636)))</f>
        <v>-17.88001759308268</v>
      </c>
      <c r="AB636" s="126">
        <f t="shared" si="196"/>
        <v>966.45879834194898</v>
      </c>
      <c r="AC636" s="126">
        <f>IF($D636="","",IF($AD636=0,0,IF(COUNTIFS($D$4:$D636,$D636,$B$4:$B636,$B636)&gt;1,0,IF($B636&lt;'Guide &amp; Settings'!$C$50,0,IF(($B636-$AD636)/7-'Guide &amp; Settings'!$C$48&gt;=0,(INT(($B636-$AD636)/7-'Guide &amp; Settings'!$C$48)+1)*'Guide &amp; Settings'!$C$49,0)))))</f>
        <v>0</v>
      </c>
      <c r="AD636" s="142">
        <f t="shared" si="197"/>
        <v>46256</v>
      </c>
      <c r="AE636">
        <f t="shared" si="198"/>
        <v>1</v>
      </c>
      <c r="AF636">
        <f t="shared" si="199"/>
        <v>0</v>
      </c>
    </row>
    <row r="637" spans="1:32" x14ac:dyDescent="0.2">
      <c r="A637" s="117">
        <v>269</v>
      </c>
      <c r="B637" s="118">
        <v>46257</v>
      </c>
      <c r="C637" s="119" t="s">
        <v>44</v>
      </c>
      <c r="D637" s="119" t="s">
        <v>21</v>
      </c>
      <c r="E637" s="117" t="s">
        <v>370</v>
      </c>
      <c r="F637" s="120">
        <f t="shared" si="180"/>
        <v>2</v>
      </c>
      <c r="G637" s="121" t="str">
        <f t="shared" si="181"/>
        <v>Simon</v>
      </c>
      <c r="H637" s="122">
        <f>IF($D637="",0,IFERROR(LOOKUP(2,1/(($D$3:D636=$D637)*($A$3:A636&lt;$A637)),$N$3:N636),'Guide &amp; Settings'!$C$41))</f>
        <v>1052.2545023375583</v>
      </c>
      <c r="I637" s="123">
        <f t="shared" si="182"/>
        <v>0.44736842105263153</v>
      </c>
      <c r="J637" s="124">
        <f>IF($D637="",0,IF($F637&lt;2,0,IF($E637="Win",('Guide &amp; Settings'!$C$42/(($F637-1)*COUNTIFS($A$4:$A$1510,$A637,$E$4:$E$1510,"Win")))*SUMIFS($X$4:$X$1510,$A$4:$A$1510,$A637,$E$4:$E$1510,"Loss"),-('Guide &amp; Settings'!$C$42/($F637-1))*$X637)))</f>
        <v>14.975840294014514</v>
      </c>
      <c r="K637" s="124">
        <f>IF($D637="",0,'Guide &amp; Settings'!$C$43*(IF($E637="Win",1,0)-$I637))</f>
        <v>6.6315789473684212</v>
      </c>
      <c r="L637" s="125">
        <f>IF($D637="",0,'Guide &amp; Settings'!$C$44*IF($F637&gt;=3,$F637,0))</f>
        <v>0</v>
      </c>
      <c r="M637" s="124">
        <f t="shared" si="183"/>
        <v>21.607419241382935</v>
      </c>
      <c r="N637" s="122">
        <f t="shared" si="184"/>
        <v>1073.8619215789413</v>
      </c>
      <c r="O637" s="121" t="str">
        <f t="shared" si="185"/>
        <v>OK</v>
      </c>
      <c r="P637">
        <f t="shared" si="186"/>
        <v>1052.2545023375583</v>
      </c>
      <c r="Q637">
        <f t="shared" si="187"/>
        <v>0.5</v>
      </c>
      <c r="R637">
        <f t="shared" si="188"/>
        <v>0.33333333333333331</v>
      </c>
      <c r="S637">
        <f t="shared" si="189"/>
        <v>0.74509803921568629</v>
      </c>
      <c r="T637" s="89">
        <f t="shared" si="190"/>
        <v>7</v>
      </c>
      <c r="U637" s="126">
        <f>IF($D637="",0,IFERROR(LOOKUP(2,1/(($D$3:D636=$D637)*($C$3:C636=$C637)*($A$3:A636&lt;$A637)),$AB$3:AB636),1000))</f>
        <v>961.20531905325572</v>
      </c>
      <c r="V637" s="126">
        <f t="shared" si="191"/>
        <v>999.1424787550485</v>
      </c>
      <c r="W637">
        <f t="shared" si="192"/>
        <v>999.1424787550485</v>
      </c>
      <c r="X637">
        <f t="shared" si="193"/>
        <v>0.5</v>
      </c>
      <c r="Y637">
        <f t="shared" si="194"/>
        <v>961.20531905325572</v>
      </c>
      <c r="Z637">
        <f t="shared" si="195"/>
        <v>0.5</v>
      </c>
      <c r="AA637">
        <f>IF($D637="",0,IF($F637&lt;2,0,IF($E637="Win",('Guide &amp; Settings'!$C$42/(($F637-1)*COUNTIFS($A$4:$A$1510,$A637,$E$4:$E$1510,"Win")))*SUMIFS($Z$4:$Z$1510,$A$4:$A$1510,$A637,$E$4:$E$1510,"Loss"),-('Guide &amp; Settings'!$C$42/($F637-1))*$Z637)))</f>
        <v>16.241913225484627</v>
      </c>
      <c r="AB637" s="126">
        <f t="shared" si="196"/>
        <v>977.44723227874033</v>
      </c>
      <c r="AC637" s="126">
        <f>IF($D637="","",IF($AD637=0,0,IF(COUNTIFS($D$4:$D637,$D637,$B$4:$B637,$B637)&gt;1,0,IF($B637&lt;'Guide &amp; Settings'!$C$50,0,IF(($B637-$AD637)/7-'Guide &amp; Settings'!$C$48&gt;=0,(INT(($B637-$AD637)/7-'Guide &amp; Settings'!$C$48)+1)*'Guide &amp; Settings'!$C$49,0)))))</f>
        <v>0</v>
      </c>
      <c r="AD637" s="142">
        <f t="shared" si="197"/>
        <v>46255</v>
      </c>
      <c r="AE637">
        <f t="shared" si="198"/>
        <v>1</v>
      </c>
      <c r="AF637">
        <f t="shared" si="199"/>
        <v>0</v>
      </c>
    </row>
    <row r="638" spans="1:32" x14ac:dyDescent="0.2">
      <c r="A638" s="117">
        <v>269</v>
      </c>
      <c r="B638" s="118">
        <v>46257</v>
      </c>
      <c r="C638" s="119" t="s">
        <v>44</v>
      </c>
      <c r="D638" s="119" t="s">
        <v>25</v>
      </c>
      <c r="E638" s="117" t="s">
        <v>371</v>
      </c>
      <c r="F638" s="120">
        <f t="shared" si="180"/>
        <v>2</v>
      </c>
      <c r="G638" s="121" t="str">
        <f t="shared" si="181"/>
        <v>Simon</v>
      </c>
      <c r="H638" s="122">
        <f>IF($D638="",0,IFERROR(LOOKUP(2,1/(($D$3:D637=$D638)*($A$3:A637&lt;$A638)),$N$3:N637),'Guide &amp; Settings'!$C$41))</f>
        <v>1008.1143442933559</v>
      </c>
      <c r="I638" s="123">
        <f t="shared" si="182"/>
        <v>0.55263157894736836</v>
      </c>
      <c r="J638" s="124">
        <f>IF($D638="",0,IF($F638&lt;2,0,IF($E638="Win",('Guide &amp; Settings'!$C$42/(($F638-1)*COUNTIFS($A$4:$A$1510,$A638,$E$4:$E$1510,"Win")))*SUMIFS($X$4:$X$1510,$A$4:$A$1510,$A638,$E$4:$E$1510,"Loss"),-('Guide &amp; Settings'!$C$42/($F638-1))*$X638)))</f>
        <v>-14.975840294014514</v>
      </c>
      <c r="K638" s="124">
        <f>IF($D638="",0,'Guide &amp; Settings'!$C$43*(IF($E638="Win",1,0)-$I638))</f>
        <v>-6.6315789473684204</v>
      </c>
      <c r="L638" s="125">
        <f>IF($D638="",0,'Guide &amp; Settings'!$C$44*IF($F638&gt;=3,$F638,0))</f>
        <v>0</v>
      </c>
      <c r="M638" s="124">
        <f t="shared" si="183"/>
        <v>-21.607419241382935</v>
      </c>
      <c r="N638" s="122">
        <f t="shared" si="184"/>
        <v>986.50692505197298</v>
      </c>
      <c r="O638" s="121" t="str">
        <f t="shared" si="185"/>
        <v>OK</v>
      </c>
      <c r="P638">
        <f t="shared" si="186"/>
        <v>1052.2545023375583</v>
      </c>
      <c r="Q638">
        <f t="shared" si="187"/>
        <v>0.4368167790491036</v>
      </c>
      <c r="R638">
        <f t="shared" si="188"/>
        <v>0.41176470588235292</v>
      </c>
      <c r="S638">
        <f t="shared" si="189"/>
        <v>0.74509803921568629</v>
      </c>
      <c r="T638" s="89">
        <f t="shared" si="190"/>
        <v>15</v>
      </c>
      <c r="U638" s="126">
        <f>IF($D638="",0,IFERROR(LOOKUP(2,1/(($D$3:D637=$D638)*($C$3:C637=$C638)*($A$3:A637&lt;$A638)),$AB$3:AB637),1000))</f>
        <v>966.45879834194898</v>
      </c>
      <c r="V638" s="126">
        <f t="shared" si="191"/>
        <v>976.87268482980073</v>
      </c>
      <c r="W638">
        <f t="shared" si="192"/>
        <v>999.1424787550485</v>
      </c>
      <c r="X638">
        <f t="shared" si="193"/>
        <v>0.46799500918795356</v>
      </c>
      <c r="Y638">
        <f t="shared" si="194"/>
        <v>961.20531905325572</v>
      </c>
      <c r="Z638">
        <f t="shared" si="195"/>
        <v>0.50755978829639459</v>
      </c>
      <c r="AA638">
        <f>IF($D638="",0,IF($F638&lt;2,0,IF($E638="Win",('Guide &amp; Settings'!$C$42/(($F638-1)*COUNTIFS($A$4:$A$1510,$A638,$E$4:$E$1510,"Win")))*SUMIFS($Z$4:$Z$1510,$A$4:$A$1510,$A638,$E$4:$E$1510,"Loss"),-('Guide &amp; Settings'!$C$42/($F638-1))*$Z638)))</f>
        <v>-16.241913225484627</v>
      </c>
      <c r="AB638" s="126">
        <f t="shared" si="196"/>
        <v>950.21688511646437</v>
      </c>
      <c r="AC638" s="126">
        <f>IF($D638="","",IF($AD638=0,0,IF(COUNTIFS($D$4:$D638,$D638,$B$4:$B638,$B638)&gt;1,0,IF($B638&lt;'Guide &amp; Settings'!$C$50,0,IF(($B638-$AD638)/7-'Guide &amp; Settings'!$C$48&gt;=0,(INT(($B638-$AD638)/7-'Guide &amp; Settings'!$C$48)+1)*'Guide &amp; Settings'!$C$49,0)))))</f>
        <v>0</v>
      </c>
      <c r="AD638" s="142">
        <f t="shared" si="197"/>
        <v>46256</v>
      </c>
      <c r="AE638">
        <f t="shared" si="198"/>
        <v>1</v>
      </c>
      <c r="AF638">
        <f t="shared" si="199"/>
        <v>0</v>
      </c>
    </row>
    <row r="639" spans="1:32" x14ac:dyDescent="0.2">
      <c r="A639" s="117">
        <v>270</v>
      </c>
      <c r="B639" s="118">
        <v>46257</v>
      </c>
      <c r="C639" s="119" t="s">
        <v>44</v>
      </c>
      <c r="D639" s="119" t="s">
        <v>21</v>
      </c>
      <c r="E639" s="117" t="s">
        <v>370</v>
      </c>
      <c r="F639" s="120">
        <f t="shared" si="180"/>
        <v>2</v>
      </c>
      <c r="G639" s="121" t="str">
        <f t="shared" si="181"/>
        <v>Simon</v>
      </c>
      <c r="H639" s="122">
        <f>IF($D639="",0,IFERROR(LOOKUP(2,1/(($D$3:D638=$D639)*($A$3:A638&lt;$A639)),$N$3:N638),'Guide &amp; Settings'!$C$41))</f>
        <v>1073.8619215789413</v>
      </c>
      <c r="I639" s="123">
        <f t="shared" si="182"/>
        <v>0.50704225352112675</v>
      </c>
      <c r="J639" s="124">
        <f>IF($D639="",0,IF($F639&lt;2,0,IF($E639="Win",('Guide &amp; Settings'!$C$42/(($F639-1)*COUNTIFS($A$4:$A$1510,$A639,$E$4:$E$1510,"Win")))*SUMIFS($X$4:$X$1510,$A$4:$A$1510,$A639,$E$4:$E$1510,"Loss"),-('Guide &amp; Settings'!$C$42/($F639-1))*$X639)))</f>
        <v>13.457909630670876</v>
      </c>
      <c r="K639" s="124">
        <f>IF($D639="",0,'Guide &amp; Settings'!$C$43*(IF($E639="Win",1,0)-$I639))</f>
        <v>5.915492957746479</v>
      </c>
      <c r="L639" s="125">
        <f>IF($D639="",0,'Guide &amp; Settings'!$C$44*IF($F639&gt;=3,$F639,0))</f>
        <v>0</v>
      </c>
      <c r="M639" s="124">
        <f t="shared" si="183"/>
        <v>19.373402588417356</v>
      </c>
      <c r="N639" s="122">
        <f t="shared" si="184"/>
        <v>1093.2353241673586</v>
      </c>
      <c r="O639" s="121" t="str">
        <f t="shared" si="185"/>
        <v>OK</v>
      </c>
      <c r="P639">
        <f t="shared" si="186"/>
        <v>1073.8619215789413</v>
      </c>
      <c r="Q639">
        <f t="shared" si="187"/>
        <v>0.5</v>
      </c>
      <c r="R639">
        <f t="shared" si="188"/>
        <v>0.4</v>
      </c>
      <c r="S639">
        <f t="shared" si="189"/>
        <v>0.78888888888888897</v>
      </c>
      <c r="T639" s="89">
        <f t="shared" si="190"/>
        <v>8</v>
      </c>
      <c r="U639" s="126">
        <f>IF($D639="",0,IFERROR(LOOKUP(2,1/(($D$3:D638=$D639)*($C$3:C638=$C639)*($A$3:A638&lt;$A639)),$AB$3:AB638),1000))</f>
        <v>977.44723227874033</v>
      </c>
      <c r="V639" s="126">
        <f t="shared" si="191"/>
        <v>1014.5298050865099</v>
      </c>
      <c r="W639">
        <f t="shared" si="192"/>
        <v>1014.5298050865099</v>
      </c>
      <c r="X639">
        <f t="shared" si="193"/>
        <v>0.5</v>
      </c>
      <c r="Y639">
        <f t="shared" si="194"/>
        <v>977.44723227874033</v>
      </c>
      <c r="Z639">
        <f t="shared" si="195"/>
        <v>0.5</v>
      </c>
      <c r="AA639">
        <f>IF($D639="",0,IF($F639&lt;2,0,IF($E639="Win",('Guide &amp; Settings'!$C$42/(($F639-1)*COUNTIFS($A$4:$A$1510,$A639,$E$4:$E$1510,"Win")))*SUMIFS($Z$4:$Z$1510,$A$4:$A$1510,$A639,$E$4:$E$1510,"Loss"),-('Guide &amp; Settings'!$C$42/($F639-1))*$Z639)))</f>
        <v>14.748557524998272</v>
      </c>
      <c r="AB639" s="126">
        <f t="shared" si="196"/>
        <v>992.19578980373865</v>
      </c>
      <c r="AC639" s="126">
        <f>IF($D639="","",IF($AD639=0,0,IF(COUNTIFS($D$4:$D639,$D639,$B$4:$B639,$B639)&gt;1,0,IF($B639&lt;'Guide &amp; Settings'!$C$50,0,IF(($B639-$AD639)/7-'Guide &amp; Settings'!$C$48&gt;=0,(INT(($B639-$AD639)/7-'Guide &amp; Settings'!$C$48)+1)*'Guide &amp; Settings'!$C$49,0)))))</f>
        <v>0</v>
      </c>
      <c r="AD639" s="142">
        <f t="shared" si="197"/>
        <v>46255</v>
      </c>
      <c r="AE639">
        <f t="shared" si="198"/>
        <v>1</v>
      </c>
      <c r="AF639">
        <f t="shared" si="199"/>
        <v>0</v>
      </c>
    </row>
    <row r="640" spans="1:32" x14ac:dyDescent="0.2">
      <c r="A640" s="117">
        <v>270</v>
      </c>
      <c r="B640" s="118">
        <v>46257</v>
      </c>
      <c r="C640" s="119" t="s">
        <v>44</v>
      </c>
      <c r="D640" s="119" t="s">
        <v>25</v>
      </c>
      <c r="E640" s="117" t="s">
        <v>371</v>
      </c>
      <c r="F640" s="120">
        <f t="shared" si="180"/>
        <v>2</v>
      </c>
      <c r="G640" s="121" t="str">
        <f t="shared" si="181"/>
        <v>Simon</v>
      </c>
      <c r="H640" s="122">
        <f>IF($D640="",0,IFERROR(LOOKUP(2,1/(($D$3:D639=$D640)*($A$3:A639&lt;$A640)),$N$3:N639),'Guide &amp; Settings'!$C$41))</f>
        <v>986.50692505197298</v>
      </c>
      <c r="I640" s="123">
        <f t="shared" si="182"/>
        <v>0.49295774647887319</v>
      </c>
      <c r="J640" s="124">
        <f>IF($D640="",0,IF($F640&lt;2,0,IF($E640="Win",('Guide &amp; Settings'!$C$42/(($F640-1)*COUNTIFS($A$4:$A$1510,$A640,$E$4:$E$1510,"Win")))*SUMIFS($X$4:$X$1510,$A$4:$A$1510,$A640,$E$4:$E$1510,"Loss"),-('Guide &amp; Settings'!$C$42/($F640-1))*$X640)))</f>
        <v>-13.457909630670876</v>
      </c>
      <c r="K640" s="124">
        <f>IF($D640="",0,'Guide &amp; Settings'!$C$43*(IF($E640="Win",1,0)-$I640))</f>
        <v>-5.9154929577464781</v>
      </c>
      <c r="L640" s="125">
        <f>IF($D640="",0,'Guide &amp; Settings'!$C$44*IF($F640&gt;=3,$F640,0))</f>
        <v>0</v>
      </c>
      <c r="M640" s="124">
        <f t="shared" si="183"/>
        <v>-19.373402588417356</v>
      </c>
      <c r="N640" s="122">
        <f t="shared" si="184"/>
        <v>967.13352246355566</v>
      </c>
      <c r="O640" s="121" t="str">
        <f t="shared" si="185"/>
        <v>OK</v>
      </c>
      <c r="P640">
        <f t="shared" si="186"/>
        <v>1073.8619215789413</v>
      </c>
      <c r="Q640">
        <f t="shared" si="187"/>
        <v>0.37686978450169606</v>
      </c>
      <c r="R640">
        <f t="shared" si="188"/>
        <v>0.3888888888888889</v>
      </c>
      <c r="S640">
        <f t="shared" si="189"/>
        <v>0.78888888888888897</v>
      </c>
      <c r="T640" s="89">
        <f t="shared" si="190"/>
        <v>16</v>
      </c>
      <c r="U640" s="126">
        <f>IF($D640="",0,IFERROR(LOOKUP(2,1/(($D$3:D639=$D640)*($C$3:C639=$C640)*($A$3:A639&lt;$A640)),$AB$3:AB639),1000))</f>
        <v>950.21688511646437</v>
      </c>
      <c r="V640" s="126">
        <f t="shared" si="191"/>
        <v>958.85737081539503</v>
      </c>
      <c r="W640">
        <f t="shared" si="192"/>
        <v>1014.5298050865099</v>
      </c>
      <c r="X640">
        <f t="shared" si="193"/>
        <v>0.42055967595846488</v>
      </c>
      <c r="Y640">
        <f t="shared" si="194"/>
        <v>977.44723227874033</v>
      </c>
      <c r="Z640">
        <f t="shared" si="195"/>
        <v>0.46089242265619601</v>
      </c>
      <c r="AA640">
        <f>IF($D640="",0,IF($F640&lt;2,0,IF($E640="Win",('Guide &amp; Settings'!$C$42/(($F640-1)*COUNTIFS($A$4:$A$1510,$A640,$E$4:$E$1510,"Win")))*SUMIFS($Z$4:$Z$1510,$A$4:$A$1510,$A640,$E$4:$E$1510,"Loss"),-('Guide &amp; Settings'!$C$42/($F640-1))*$Z640)))</f>
        <v>-14.748557524998272</v>
      </c>
      <c r="AB640" s="126">
        <f t="shared" si="196"/>
        <v>935.46832759146605</v>
      </c>
      <c r="AC640" s="126">
        <f>IF($D640="","",IF($AD640=0,0,IF(COUNTIFS($D$4:$D640,$D640,$B$4:$B640,$B640)&gt;1,0,IF($B640&lt;'Guide &amp; Settings'!$C$50,0,IF(($B640-$AD640)/7-'Guide &amp; Settings'!$C$48&gt;=0,(INT(($B640-$AD640)/7-'Guide &amp; Settings'!$C$48)+1)*'Guide &amp; Settings'!$C$49,0)))))</f>
        <v>0</v>
      </c>
      <c r="AD640" s="142">
        <f t="shared" si="197"/>
        <v>46256</v>
      </c>
      <c r="AE640">
        <f t="shared" si="198"/>
        <v>1</v>
      </c>
      <c r="AF640">
        <f t="shared" si="199"/>
        <v>0</v>
      </c>
    </row>
    <row r="641" spans="1:32" x14ac:dyDescent="0.2">
      <c r="A641" s="117">
        <v>271</v>
      </c>
      <c r="B641" s="118">
        <v>46257</v>
      </c>
      <c r="C641" s="119" t="s">
        <v>44</v>
      </c>
      <c r="D641" s="119" t="s">
        <v>21</v>
      </c>
      <c r="E641" s="117" t="s">
        <v>370</v>
      </c>
      <c r="F641" s="120">
        <f t="shared" si="180"/>
        <v>2</v>
      </c>
      <c r="G641" s="121" t="str">
        <f t="shared" si="181"/>
        <v>Simon</v>
      </c>
      <c r="H641" s="122">
        <f>IF($D641="",0,IFERROR(LOOKUP(2,1/(($D$3:D640=$D641)*($A$3:A640&lt;$A641)),$N$3:N640),'Guide &amp; Settings'!$C$41))</f>
        <v>1093.2353241673586</v>
      </c>
      <c r="I641" s="123">
        <f t="shared" si="182"/>
        <v>0.55232558139534882</v>
      </c>
      <c r="J641" s="124">
        <f>IF($D641="",0,IF($F641&lt;2,0,IF($E641="Win",('Guide &amp; Settings'!$C$42/(($F641-1)*COUNTIFS($A$4:$A$1510,$A641,$E$4:$E$1510,"Win")))*SUMIFS($X$4:$X$1510,$A$4:$A$1510,$A641,$E$4:$E$1510,"Loss"),-('Guide &amp; Settings'!$C$42/($F641-1))*$X641)))</f>
        <v>12.135136185916005</v>
      </c>
      <c r="K641" s="124">
        <f>IF($D641="",0,'Guide &amp; Settings'!$C$43*(IF($E641="Win",1,0)-$I641))</f>
        <v>5.3720930232558146</v>
      </c>
      <c r="L641" s="125">
        <f>IF($D641="",0,'Guide &amp; Settings'!$C$44*IF($F641&gt;=3,$F641,0))</f>
        <v>0</v>
      </c>
      <c r="M641" s="124">
        <f t="shared" si="183"/>
        <v>17.507229209171818</v>
      </c>
      <c r="N641" s="122">
        <f t="shared" si="184"/>
        <v>1110.7425533765304</v>
      </c>
      <c r="O641" s="121" t="str">
        <f t="shared" si="185"/>
        <v>OK</v>
      </c>
      <c r="P641">
        <f t="shared" si="186"/>
        <v>1093.2353241673586</v>
      </c>
      <c r="Q641">
        <f t="shared" si="187"/>
        <v>0.5</v>
      </c>
      <c r="R641">
        <f t="shared" si="188"/>
        <v>0.45454545454545453</v>
      </c>
      <c r="S641">
        <f t="shared" si="189"/>
        <v>0.82296650717703346</v>
      </c>
      <c r="T641" s="89">
        <f t="shared" si="190"/>
        <v>9</v>
      </c>
      <c r="U641" s="126">
        <f>IF($D641="",0,IFERROR(LOOKUP(2,1/(($D$3:D640=$D641)*($C$3:C640=$C641)*($A$3:A640&lt;$A641)),$AB$3:AB640),1000))</f>
        <v>992.19578980373865</v>
      </c>
      <c r="V641" s="126">
        <f t="shared" si="191"/>
        <v>1028.2813377907457</v>
      </c>
      <c r="W641">
        <f t="shared" si="192"/>
        <v>1028.2813377907457</v>
      </c>
      <c r="X641">
        <f t="shared" si="193"/>
        <v>0.5</v>
      </c>
      <c r="Y641">
        <f t="shared" si="194"/>
        <v>992.19578980373865</v>
      </c>
      <c r="Z641">
        <f t="shared" si="195"/>
        <v>0.5</v>
      </c>
      <c r="AA641">
        <f>IF($D641="",0,IF($F641&lt;2,0,IF($E641="Win",('Guide &amp; Settings'!$C$42/(($F641-1)*COUNTIFS($A$4:$A$1510,$A641,$E$4:$E$1510,"Win")))*SUMIFS($Z$4:$Z$1510,$A$4:$A$1510,$A641,$E$4:$E$1510,"Loss"),-('Guide &amp; Settings'!$C$42/($F641-1))*$Z641)))</f>
        <v>13.410573236943664</v>
      </c>
      <c r="AB641" s="126">
        <f t="shared" si="196"/>
        <v>1005.6063630406824</v>
      </c>
      <c r="AC641" s="126">
        <f>IF($D641="","",IF($AD641=0,0,IF(COUNTIFS($D$4:$D641,$D641,$B$4:$B641,$B641)&gt;1,0,IF($B641&lt;'Guide &amp; Settings'!$C$50,0,IF(($B641-$AD641)/7-'Guide &amp; Settings'!$C$48&gt;=0,(INT(($B641-$AD641)/7-'Guide &amp; Settings'!$C$48)+1)*'Guide &amp; Settings'!$C$49,0)))))</f>
        <v>0</v>
      </c>
      <c r="AD641" s="142">
        <f t="shared" si="197"/>
        <v>46255</v>
      </c>
      <c r="AE641">
        <f t="shared" si="198"/>
        <v>1</v>
      </c>
      <c r="AF641">
        <f t="shared" si="199"/>
        <v>0</v>
      </c>
    </row>
    <row r="642" spans="1:32" x14ac:dyDescent="0.2">
      <c r="A642" s="117">
        <v>271</v>
      </c>
      <c r="B642" s="118">
        <v>46257</v>
      </c>
      <c r="C642" s="119" t="s">
        <v>44</v>
      </c>
      <c r="D642" s="119" t="s">
        <v>25</v>
      </c>
      <c r="E642" s="117" t="s">
        <v>371</v>
      </c>
      <c r="F642" s="120">
        <f t="shared" si="180"/>
        <v>2</v>
      </c>
      <c r="G642" s="121" t="str">
        <f t="shared" si="181"/>
        <v>Simon</v>
      </c>
      <c r="H642" s="122">
        <f>IF($D642="",0,IFERROR(LOOKUP(2,1/(($D$3:D641=$D642)*($A$3:A641&lt;$A642)),$N$3:N641),'Guide &amp; Settings'!$C$41))</f>
        <v>967.13352246355566</v>
      </c>
      <c r="I642" s="123">
        <f t="shared" si="182"/>
        <v>0.44767441860465118</v>
      </c>
      <c r="J642" s="124">
        <f>IF($D642="",0,IF($F642&lt;2,0,IF($E642="Win",('Guide &amp; Settings'!$C$42/(($F642-1)*COUNTIFS($A$4:$A$1510,$A642,$E$4:$E$1510,"Win")))*SUMIFS($X$4:$X$1510,$A$4:$A$1510,$A642,$E$4:$E$1510,"Loss"),-('Guide &amp; Settings'!$C$42/($F642-1))*$X642)))</f>
        <v>-12.135136185916005</v>
      </c>
      <c r="K642" s="124">
        <f>IF($D642="",0,'Guide &amp; Settings'!$C$43*(IF($E642="Win",1,0)-$I642))</f>
        <v>-5.3720930232558146</v>
      </c>
      <c r="L642" s="125">
        <f>IF($D642="",0,'Guide &amp; Settings'!$C$44*IF($F642&gt;=3,$F642,0))</f>
        <v>0</v>
      </c>
      <c r="M642" s="124">
        <f t="shared" si="183"/>
        <v>-17.507229209171818</v>
      </c>
      <c r="N642" s="122">
        <f t="shared" si="184"/>
        <v>949.62629325438388</v>
      </c>
      <c r="O642" s="121" t="str">
        <f t="shared" si="185"/>
        <v>OK</v>
      </c>
      <c r="P642">
        <f t="shared" si="186"/>
        <v>1093.2353241673586</v>
      </c>
      <c r="Q642">
        <f t="shared" si="187"/>
        <v>0.32609501746150382</v>
      </c>
      <c r="R642">
        <f t="shared" si="188"/>
        <v>0.36842105263157893</v>
      </c>
      <c r="S642">
        <f t="shared" si="189"/>
        <v>0.82296650717703346</v>
      </c>
      <c r="T642" s="89">
        <f t="shared" si="190"/>
        <v>17</v>
      </c>
      <c r="U642" s="126">
        <f>IF($D642="",0,IFERROR(LOOKUP(2,1/(($D$3:D641=$D642)*($C$3:C641=$C642)*($A$3:A641&lt;$A642)),$AB$3:AB641),1000))</f>
        <v>935.46832759146605</v>
      </c>
      <c r="V642" s="126">
        <f t="shared" si="191"/>
        <v>942.66496278966827</v>
      </c>
      <c r="W642">
        <f t="shared" si="192"/>
        <v>1028.2813377907457</v>
      </c>
      <c r="X642">
        <f t="shared" si="193"/>
        <v>0.37922300580987517</v>
      </c>
      <c r="Y642">
        <f t="shared" si="194"/>
        <v>992.19578980373865</v>
      </c>
      <c r="Z642">
        <f t="shared" si="195"/>
        <v>0.4190804136544895</v>
      </c>
      <c r="AA642">
        <f>IF($D642="",0,IF($F642&lt;2,0,IF($E642="Win",('Guide &amp; Settings'!$C$42/(($F642-1)*COUNTIFS($A$4:$A$1510,$A642,$E$4:$E$1510,"Win")))*SUMIFS($Z$4:$Z$1510,$A$4:$A$1510,$A642,$E$4:$E$1510,"Loss"),-('Guide &amp; Settings'!$C$42/($F642-1))*$Z642)))</f>
        <v>-13.410573236943664</v>
      </c>
      <c r="AB642" s="126">
        <f t="shared" si="196"/>
        <v>922.05775435452233</v>
      </c>
      <c r="AC642" s="126">
        <f>IF($D642="","",IF($AD642=0,0,IF(COUNTIFS($D$4:$D642,$D642,$B$4:$B642,$B642)&gt;1,0,IF($B642&lt;'Guide &amp; Settings'!$C$50,0,IF(($B642-$AD642)/7-'Guide &amp; Settings'!$C$48&gt;=0,(INT(($B642-$AD642)/7-'Guide &amp; Settings'!$C$48)+1)*'Guide &amp; Settings'!$C$49,0)))))</f>
        <v>0</v>
      </c>
      <c r="AD642" s="142">
        <f t="shared" si="197"/>
        <v>46256</v>
      </c>
      <c r="AE642">
        <f t="shared" si="198"/>
        <v>1</v>
      </c>
      <c r="AF642">
        <f t="shared" si="199"/>
        <v>0</v>
      </c>
    </row>
    <row r="643" spans="1:32" x14ac:dyDescent="0.2">
      <c r="A643" s="117">
        <v>272</v>
      </c>
      <c r="B643" s="118">
        <v>46257</v>
      </c>
      <c r="C643" s="119" t="s">
        <v>51</v>
      </c>
      <c r="D643" s="119" t="s">
        <v>20</v>
      </c>
      <c r="E643" s="117" t="s">
        <v>370</v>
      </c>
      <c r="F643" s="120">
        <f t="shared" si="180"/>
        <v>2</v>
      </c>
      <c r="G643" s="121" t="str">
        <f t="shared" si="181"/>
        <v>Shawn</v>
      </c>
      <c r="H643" s="122">
        <f>IF($D643="",0,IFERROR(LOOKUP(2,1/(($D$3:D642=$D643)*($A$3:A642&lt;$A643)),$N$3:N642),'Guide &amp; Settings'!$C$41))</f>
        <v>1256.7969133550798</v>
      </c>
      <c r="I643" s="123">
        <f t="shared" si="182"/>
        <v>0.8</v>
      </c>
      <c r="J643" s="124">
        <f>IF($D643="",0,IF($F643&lt;2,0,IF($E643="Win",('Guide &amp; Settings'!$C$42/(($F643-1)*COUNTIFS($A$4:$A$1510,$A643,$E$4:$E$1510,"Win")))*SUMIFS($X$4:$X$1510,$A$4:$A$1510,$A643,$E$4:$E$1510,"Loss"),-('Guide &amp; Settings'!$C$42/($F643-1))*$X643)))</f>
        <v>10.003001321684229</v>
      </c>
      <c r="K643" s="124">
        <f>IF($D643="",0,'Guide &amp; Settings'!$C$43*(IF($E643="Win",1,0)-$I643))</f>
        <v>2.3999999999999995</v>
      </c>
      <c r="L643" s="125">
        <f>IF($D643="",0,'Guide &amp; Settings'!$C$44*IF($F643&gt;=3,$F643,0))</f>
        <v>0</v>
      </c>
      <c r="M643" s="124">
        <f t="shared" si="183"/>
        <v>12.403001321684229</v>
      </c>
      <c r="N643" s="122">
        <f t="shared" si="184"/>
        <v>1269.1999146767641</v>
      </c>
      <c r="O643" s="121" t="str">
        <f t="shared" si="185"/>
        <v>OK</v>
      </c>
      <c r="P643">
        <f t="shared" si="186"/>
        <v>1256.7969133550798</v>
      </c>
      <c r="Q643">
        <f t="shared" si="187"/>
        <v>0.5</v>
      </c>
      <c r="R643">
        <f t="shared" si="188"/>
        <v>0.5714285714285714</v>
      </c>
      <c r="S643">
        <f t="shared" si="189"/>
        <v>0.71428571428571419</v>
      </c>
      <c r="T643" s="89">
        <f t="shared" si="190"/>
        <v>5</v>
      </c>
      <c r="U643" s="126">
        <f>IF($D643="",0,IFERROR(LOOKUP(2,1/(($D$3:D642=$D643)*($C$3:C642=$C643)*($A$3:A642&lt;$A643)),$AB$3:AB642),1000))</f>
        <v>1030.6102031124524</v>
      </c>
      <c r="V643" s="126">
        <f t="shared" si="191"/>
        <v>1143.7035582337662</v>
      </c>
      <c r="W643">
        <f t="shared" si="192"/>
        <v>1143.7035582337662</v>
      </c>
      <c r="X643">
        <f t="shared" si="193"/>
        <v>0.5</v>
      </c>
      <c r="Y643">
        <f t="shared" si="194"/>
        <v>1030.6102031124524</v>
      </c>
      <c r="Z643">
        <f t="shared" si="195"/>
        <v>0.5</v>
      </c>
      <c r="AA643">
        <f>IF($D643="",0,IF($F643&lt;2,0,IF($E643="Win",('Guide &amp; Settings'!$C$42/(($F643-1)*COUNTIFS($A$4:$A$1510,$A643,$E$4:$E$1510,"Win")))*SUMIFS($Z$4:$Z$1510,$A$4:$A$1510,$A643,$E$4:$E$1510,"Loss"),-('Guide &amp; Settings'!$C$42/($F643-1))*$Z643)))</f>
        <v>13.351907269428308</v>
      </c>
      <c r="AB643" s="126">
        <f t="shared" si="196"/>
        <v>1043.9621103818806</v>
      </c>
      <c r="AC643" s="126">
        <f>IF($D643="","",IF($AD643=0,0,IF(COUNTIFS($D$4:$D643,$D643,$B$4:$B643,$B643)&gt;1,0,IF($B643&lt;'Guide &amp; Settings'!$C$50,0,IF(($B643-$AD643)/7-'Guide &amp; Settings'!$C$48&gt;=0,(INT(($B643-$AD643)/7-'Guide &amp; Settings'!$C$48)+1)*'Guide &amp; Settings'!$C$49,0)))))</f>
        <v>0</v>
      </c>
      <c r="AD643" s="142">
        <f t="shared" si="197"/>
        <v>46256</v>
      </c>
      <c r="AE643">
        <f t="shared" si="198"/>
        <v>1</v>
      </c>
      <c r="AF643">
        <f t="shared" si="199"/>
        <v>0</v>
      </c>
    </row>
    <row r="644" spans="1:32" x14ac:dyDescent="0.2">
      <c r="A644" s="117">
        <v>272</v>
      </c>
      <c r="B644" s="118">
        <v>46257</v>
      </c>
      <c r="C644" s="119" t="s">
        <v>51</v>
      </c>
      <c r="D644" s="119" t="s">
        <v>22</v>
      </c>
      <c r="E644" s="117" t="s">
        <v>371</v>
      </c>
      <c r="F644" s="120">
        <f t="shared" ref="F644:F707" si="200">IF($D644="",0,COUNTIF($A$4:$A$1510,$A644))</f>
        <v>2</v>
      </c>
      <c r="G644" s="121" t="str">
        <f t="shared" ref="G644:G707" si="201">IF($D644="","",IFERROR(LOOKUP(2,1/(($A$4:$A$1510=$A644)*($E$4:$E$1510="Win")),$D$4:$D$1510),"(no winner)"))</f>
        <v>Shawn</v>
      </c>
      <c r="H644" s="122">
        <f>IF($D644="",0,IFERROR(LOOKUP(2,1/(($D$3:D643=$D644)*($A$3:A643&lt;$A644)),$N$3:N643),'Guide &amp; Settings'!$C$41))</f>
        <v>1041.0468763978297</v>
      </c>
      <c r="I644" s="123">
        <f t="shared" ref="I644:I707" si="202">IF($D644="",0,IF($S644=0,0,$R644/$S644))</f>
        <v>0.2</v>
      </c>
      <c r="J644" s="124">
        <f>IF($D644="",0,IF($F644&lt;2,0,IF($E644="Win",('Guide &amp; Settings'!$C$42/(($F644-1)*COUNTIFS($A$4:$A$1510,$A644,$E$4:$E$1510,"Win")))*SUMIFS($X$4:$X$1510,$A$4:$A$1510,$A644,$E$4:$E$1510,"Loss"),-('Guide &amp; Settings'!$C$42/($F644-1))*$X644)))</f>
        <v>-10.003001321684229</v>
      </c>
      <c r="K644" s="124">
        <f>IF($D644="",0,'Guide &amp; Settings'!$C$43*(IF($E644="Win",1,0)-$I644))</f>
        <v>-2.4000000000000004</v>
      </c>
      <c r="L644" s="125">
        <f>IF($D644="",0,'Guide &amp; Settings'!$C$44*IF($F644&gt;=3,$F644,0))</f>
        <v>0</v>
      </c>
      <c r="M644" s="124">
        <f t="shared" ref="M644:M707" si="203">IF($D644="",0,$J644+$K644+$L644)</f>
        <v>-12.403001321684229</v>
      </c>
      <c r="N644" s="122">
        <f t="shared" ref="N644:N707" si="204">IF($D644="",0,$H644+$M644)</f>
        <v>1028.6438750761454</v>
      </c>
      <c r="O644" s="121" t="str">
        <f t="shared" ref="O644:O707" si="205">IF($D644="","",IF($AE644=0,"need a winner",IF($F644-$AE644=0,"need a loser",IF(MOD($AF644,2)=1,"duplicate player",IF(MOD(INT($AF644/2),2)=1,"mixed sports",IF($AF644&gt;=4,"mixed dates",IF($AE644&gt;1,IF($F644&gt;=4,"OK (team)","check winners"),"OK")))))))</f>
        <v>OK</v>
      </c>
      <c r="P644">
        <f t="shared" ref="P644:P707" si="206">IF($D644="",0,IFERROR(SUMIFS($H$4:$H$1510,$A$4:$A$1510,$A644,$E$4:$E$1510,"Win")/COUNTIFS($A$4:$A$1510,$A644,$E$4:$E$1510,"Win"),0))</f>
        <v>1256.7969133550798</v>
      </c>
      <c r="Q644">
        <f t="shared" ref="Q644:Q707" si="207">IF($D644="",0,1/(1+10^(($P644-$H644)/400)))</f>
        <v>0.22409551704667516</v>
      </c>
      <c r="R644">
        <f t="shared" ref="R644:R707" si="208">IF($D644="",0,(COUNTIFS($D$4:$D$1510,$D644,$C$4:$C$1510,$C644,$E$4:$E$1510,"Win",$A$4:$A$1510,"&lt;"&amp;$A644)+1)/(COUNTIFS($D$4:$D$1510,$D644,$C$4:$C$1510,$C644,$A$4:$A$1510,"&lt;"&amp;$A644)+2))</f>
        <v>0.14285714285714285</v>
      </c>
      <c r="S644">
        <f t="shared" ref="S644:S707" si="209">IF($D644="",0,SUMIFS($R$4:$R$1510,$A$4:$A$1510,$A644))</f>
        <v>0.71428571428571419</v>
      </c>
      <c r="T644" s="89">
        <f t="shared" ref="T644:T707" si="210">IF($D644="",0,COUNTIFS($D$4:$D$1510,$D644,$C$4:$C$1510,$C644,$A$4:$A$1510,"&lt;"&amp;$A644))</f>
        <v>5</v>
      </c>
      <c r="U644" s="126">
        <f>IF($D644="",0,IFERROR(LOOKUP(2,1/(($D$3:D643=$D644)*($C$3:C643=$C644)*($A$3:A643&lt;$A644)),$AB$3:AB643),1000))</f>
        <v>972.57375804836579</v>
      </c>
      <c r="V644" s="126">
        <f t="shared" ref="V644:V707" si="211">IF($D644="",0,$U644*($T644/($T644+5))+$H644*(1-$T644/($T644+5)))</f>
        <v>1006.8103172230977</v>
      </c>
      <c r="W644">
        <f t="shared" ref="W644:W707" si="212">IF($D644="",0,IFERROR(SUMIFS($V$4:$V$1510,$A$4:$A$1510,$A644,$E$4:$E$1510,"Win")/COUNTIFS($A$4:$A$1510,$A644,$E$4:$E$1510,"Win"),0))</f>
        <v>1143.7035582337662</v>
      </c>
      <c r="X644">
        <f t="shared" ref="X644:X707" si="213">IF($D644="",0,1/(1+10^(($W644-$V644)/400)))</f>
        <v>0.31259379130263215</v>
      </c>
      <c r="Y644">
        <f t="shared" ref="Y644:Y707" si="214">IF($D644="",0,IFERROR(SUMIFS($U$4:$U$1510,$A$4:$A$1510,$A644,$E$4:$E$1510,"Win")/COUNTIFS($A$4:$A$1510,$A644,$E$4:$E$1510,"Win"),0))</f>
        <v>1030.6102031124524</v>
      </c>
      <c r="Z644">
        <f t="shared" ref="Z644:Z707" si="215">IF($D644="",0,1/(1+10^(($Y644-$U644)/400)))</f>
        <v>0.41724710216963462</v>
      </c>
      <c r="AA644">
        <f>IF($D644="",0,IF($F644&lt;2,0,IF($E644="Win",('Guide &amp; Settings'!$C$42/(($F644-1)*COUNTIFS($A$4:$A$1510,$A644,$E$4:$E$1510,"Win")))*SUMIFS($Z$4:$Z$1510,$A$4:$A$1510,$A644,$E$4:$E$1510,"Loss"),-('Guide &amp; Settings'!$C$42/($F644-1))*$Z644)))</f>
        <v>-13.351907269428308</v>
      </c>
      <c r="AB644" s="126">
        <f t="shared" ref="AB644:AB707" si="216">IF($D644="",0,$U644+$AA644)</f>
        <v>959.22185077893744</v>
      </c>
      <c r="AC644" s="126">
        <f>IF($D644="","",IF($AD644=0,0,IF(COUNTIFS($D$4:$D644,$D644,$B$4:$B644,$B644)&gt;1,0,IF($B644&lt;'Guide &amp; Settings'!$C$50,0,IF(($B644-$AD644)/7-'Guide &amp; Settings'!$C$48&gt;=0,(INT(($B644-$AD644)/7-'Guide &amp; Settings'!$C$48)+1)*'Guide &amp; Settings'!$C$49,0)))))</f>
        <v>0</v>
      </c>
      <c r="AD644" s="142">
        <f t="shared" ref="AD644:AD707" si="217">IF($D644="",0,SUMPRODUCT(MAX(($D$4:$D$1510=$D644)*($B$4:$B$1510&lt;$B644)*$B$4:$B$1510)))</f>
        <v>46256</v>
      </c>
      <c r="AE644">
        <f t="shared" ref="AE644:AE707" si="218">IF($D644="",0,COUNTIFS($A$4:$A$1510,$A644,$E$4:$E$1510,"Win"))</f>
        <v>1</v>
      </c>
      <c r="AF644">
        <f t="shared" ref="AF644:AF707" si="219">IF($D644="",0,(COUNTIFS($A$4:$A$1510,$A644,$D$4:$D$1510,$D644)&gt;1)*1+(COUNTIFS($A$4:$A$1510,$A644,$C$4:$C$1510,"&lt;&gt;"&amp;$C644)&gt;0)*2+(COUNTIFS($A$4:$A$1510,$A644,$B$4:$B$1510,"&lt;&gt;"&amp;$B644)&gt;0)*4)</f>
        <v>0</v>
      </c>
    </row>
    <row r="645" spans="1:32" x14ac:dyDescent="0.2">
      <c r="A645" s="117">
        <v>273</v>
      </c>
      <c r="B645" s="118">
        <v>46257</v>
      </c>
      <c r="C645" s="119" t="s">
        <v>51</v>
      </c>
      <c r="D645" s="119" t="s">
        <v>20</v>
      </c>
      <c r="E645" s="117" t="s">
        <v>370</v>
      </c>
      <c r="F645" s="120">
        <f t="shared" si="200"/>
        <v>2</v>
      </c>
      <c r="G645" s="121" t="str">
        <f t="shared" si="201"/>
        <v>Shawn</v>
      </c>
      <c r="H645" s="122">
        <f>IF($D645="",0,IFERROR(LOOKUP(2,1/(($D$3:D644=$D645)*($A$3:A644&lt;$A645)),$N$3:N644),'Guide &amp; Settings'!$C$41))</f>
        <v>1269.1999146767641</v>
      </c>
      <c r="I645" s="123">
        <f t="shared" si="202"/>
        <v>0.83333333333333337</v>
      </c>
      <c r="J645" s="124">
        <f>IF($D645="",0,IF($F645&lt;2,0,IF($E645="Win",('Guide &amp; Settings'!$C$42/(($F645-1)*COUNTIFS($A$4:$A$1510,$A645,$E$4:$E$1510,"Win")))*SUMIFS($X$4:$X$1510,$A$4:$A$1510,$A645,$E$4:$E$1510,"Loss"),-('Guide &amp; Settings'!$C$42/($F645-1))*$X645)))</f>
        <v>9.2791855582240288</v>
      </c>
      <c r="K645" s="124">
        <f>IF($D645="",0,'Guide &amp; Settings'!$C$43*(IF($E645="Win",1,0)-$I645))</f>
        <v>1.9999999999999996</v>
      </c>
      <c r="L645" s="125">
        <f>IF($D645="",0,'Guide &amp; Settings'!$C$44*IF($F645&gt;=3,$F645,0))</f>
        <v>0</v>
      </c>
      <c r="M645" s="124">
        <f t="shared" si="203"/>
        <v>11.279185558224029</v>
      </c>
      <c r="N645" s="122">
        <f t="shared" si="204"/>
        <v>1280.4791002349882</v>
      </c>
      <c r="O645" s="121" t="str">
        <f t="shared" si="205"/>
        <v>OK</v>
      </c>
      <c r="P645">
        <f t="shared" si="206"/>
        <v>1269.1999146767641</v>
      </c>
      <c r="Q645">
        <f t="shared" si="207"/>
        <v>0.5</v>
      </c>
      <c r="R645">
        <f t="shared" si="208"/>
        <v>0.625</v>
      </c>
      <c r="S645">
        <f t="shared" si="209"/>
        <v>0.75</v>
      </c>
      <c r="T645" s="89">
        <f t="shared" si="210"/>
        <v>6</v>
      </c>
      <c r="U645" s="126">
        <f>IF($D645="",0,IFERROR(LOOKUP(2,1/(($D$3:D644=$D645)*($C$3:C644=$C645)*($A$3:A644&lt;$A645)),$AB$3:AB644),1000))</f>
        <v>1043.9621103818806</v>
      </c>
      <c r="V645" s="126">
        <f t="shared" si="211"/>
        <v>1146.3429305159186</v>
      </c>
      <c r="W645">
        <f t="shared" si="212"/>
        <v>1146.3429305159186</v>
      </c>
      <c r="X645">
        <f t="shared" si="213"/>
        <v>0.5</v>
      </c>
      <c r="Y645">
        <f t="shared" si="214"/>
        <v>1043.9621103818806</v>
      </c>
      <c r="Z645">
        <f t="shared" si="215"/>
        <v>0.5</v>
      </c>
      <c r="AA645">
        <f>IF($D645="",0,IF($F645&lt;2,0,IF($E645="Win",('Guide &amp; Settings'!$C$42/(($F645-1)*COUNTIFS($A$4:$A$1510,$A645,$E$4:$E$1510,"Win")))*SUMIFS($Z$4:$Z$1510,$A$4:$A$1510,$A645,$E$4:$E$1510,"Loss"),-('Guide &amp; Settings'!$C$42/($F645-1))*$Z645)))</f>
        <v>12.173151709375745</v>
      </c>
      <c r="AB645" s="126">
        <f t="shared" si="216"/>
        <v>1056.1352620912564</v>
      </c>
      <c r="AC645" s="126">
        <f>IF($D645="","",IF($AD645=0,0,IF(COUNTIFS($D$4:$D645,$D645,$B$4:$B645,$B645)&gt;1,0,IF($B645&lt;'Guide &amp; Settings'!$C$50,0,IF(($B645-$AD645)/7-'Guide &amp; Settings'!$C$48&gt;=0,(INT(($B645-$AD645)/7-'Guide &amp; Settings'!$C$48)+1)*'Guide &amp; Settings'!$C$49,0)))))</f>
        <v>0</v>
      </c>
      <c r="AD645" s="142">
        <f t="shared" si="217"/>
        <v>46256</v>
      </c>
      <c r="AE645">
        <f t="shared" si="218"/>
        <v>1</v>
      </c>
      <c r="AF645">
        <f t="shared" si="219"/>
        <v>0</v>
      </c>
    </row>
    <row r="646" spans="1:32" x14ac:dyDescent="0.2">
      <c r="A646" s="117">
        <v>273</v>
      </c>
      <c r="B646" s="118">
        <v>46257</v>
      </c>
      <c r="C646" s="119" t="s">
        <v>51</v>
      </c>
      <c r="D646" s="119" t="s">
        <v>22</v>
      </c>
      <c r="E646" s="117" t="s">
        <v>371</v>
      </c>
      <c r="F646" s="120">
        <f t="shared" si="200"/>
        <v>2</v>
      </c>
      <c r="G646" s="121" t="str">
        <f t="shared" si="201"/>
        <v>Shawn</v>
      </c>
      <c r="H646" s="122">
        <f>IF($D646="",0,IFERROR(LOOKUP(2,1/(($D$3:D645=$D646)*($A$3:A645&lt;$A646)),$N$3:N645),'Guide &amp; Settings'!$C$41))</f>
        <v>1028.6438750761454</v>
      </c>
      <c r="I646" s="123">
        <f t="shared" si="202"/>
        <v>0.16666666666666666</v>
      </c>
      <c r="J646" s="124">
        <f>IF($D646="",0,IF($F646&lt;2,0,IF($E646="Win",('Guide &amp; Settings'!$C$42/(($F646-1)*COUNTIFS($A$4:$A$1510,$A646,$E$4:$E$1510,"Win")))*SUMIFS($X$4:$X$1510,$A$4:$A$1510,$A646,$E$4:$E$1510,"Loss"),-('Guide &amp; Settings'!$C$42/($F646-1))*$X646)))</f>
        <v>-9.2791855582240288</v>
      </c>
      <c r="K646" s="124">
        <f>IF($D646="",0,'Guide &amp; Settings'!$C$43*(IF($E646="Win",1,0)-$I646))</f>
        <v>-2</v>
      </c>
      <c r="L646" s="125">
        <f>IF($D646="",0,'Guide &amp; Settings'!$C$44*IF($F646&gt;=3,$F646,0))</f>
        <v>0</v>
      </c>
      <c r="M646" s="124">
        <f t="shared" si="203"/>
        <v>-11.279185558224029</v>
      </c>
      <c r="N646" s="122">
        <f t="shared" si="204"/>
        <v>1017.3646895179213</v>
      </c>
      <c r="O646" s="121" t="str">
        <f t="shared" si="205"/>
        <v>OK</v>
      </c>
      <c r="P646">
        <f t="shared" si="206"/>
        <v>1269.1999146767641</v>
      </c>
      <c r="Q646">
        <f t="shared" si="207"/>
        <v>0.20024691166179148</v>
      </c>
      <c r="R646">
        <f t="shared" si="208"/>
        <v>0.125</v>
      </c>
      <c r="S646">
        <f t="shared" si="209"/>
        <v>0.75</v>
      </c>
      <c r="T646" s="89">
        <f t="shared" si="210"/>
        <v>6</v>
      </c>
      <c r="U646" s="126">
        <f>IF($D646="",0,IFERROR(LOOKUP(2,1/(($D$3:D645=$D646)*($C$3:C645=$C646)*($A$3:A645&lt;$A646)),$AB$3:AB645),1000))</f>
        <v>959.22185077893744</v>
      </c>
      <c r="V646" s="126">
        <f t="shared" si="211"/>
        <v>990.77731636857743</v>
      </c>
      <c r="W646">
        <f t="shared" si="212"/>
        <v>1146.3429305159186</v>
      </c>
      <c r="X646">
        <f t="shared" si="213"/>
        <v>0.2899745486945009</v>
      </c>
      <c r="Y646">
        <f t="shared" si="214"/>
        <v>1043.9621103818806</v>
      </c>
      <c r="Z646">
        <f t="shared" si="215"/>
        <v>0.38041099091799202</v>
      </c>
      <c r="AA646">
        <f>IF($D646="",0,IF($F646&lt;2,0,IF($E646="Win",('Guide &amp; Settings'!$C$42/(($F646-1)*COUNTIFS($A$4:$A$1510,$A646,$E$4:$E$1510,"Win")))*SUMIFS($Z$4:$Z$1510,$A$4:$A$1510,$A646,$E$4:$E$1510,"Loss"),-('Guide &amp; Settings'!$C$42/($F646-1))*$Z646)))</f>
        <v>-12.173151709375745</v>
      </c>
      <c r="AB646" s="126">
        <f t="shared" si="216"/>
        <v>947.04869906956174</v>
      </c>
      <c r="AC646" s="126">
        <f>IF($D646="","",IF($AD646=0,0,IF(COUNTIFS($D$4:$D646,$D646,$B$4:$B646,$B646)&gt;1,0,IF($B646&lt;'Guide &amp; Settings'!$C$50,0,IF(($B646-$AD646)/7-'Guide &amp; Settings'!$C$48&gt;=0,(INT(($B646-$AD646)/7-'Guide &amp; Settings'!$C$48)+1)*'Guide &amp; Settings'!$C$49,0)))))</f>
        <v>0</v>
      </c>
      <c r="AD646" s="142">
        <f t="shared" si="217"/>
        <v>46256</v>
      </c>
      <c r="AE646">
        <f t="shared" si="218"/>
        <v>1</v>
      </c>
      <c r="AF646">
        <f t="shared" si="219"/>
        <v>0</v>
      </c>
    </row>
    <row r="647" spans="1:32" x14ac:dyDescent="0.2">
      <c r="A647" s="117">
        <v>274</v>
      </c>
      <c r="B647" s="118">
        <v>46260</v>
      </c>
      <c r="C647" s="119" t="s">
        <v>35</v>
      </c>
      <c r="D647" s="119" t="s">
        <v>25</v>
      </c>
      <c r="E647" s="117" t="s">
        <v>370</v>
      </c>
      <c r="F647" s="120">
        <f t="shared" si="200"/>
        <v>2</v>
      </c>
      <c r="G647" s="121" t="str">
        <f t="shared" si="201"/>
        <v>Oscar</v>
      </c>
      <c r="H647" s="122">
        <f>IF($D647="",0,IFERROR(LOOKUP(2,1/(($D$3:D646=$D647)*($A$3:A646&lt;$A647)),$N$3:N646),'Guide &amp; Settings'!$C$41))</f>
        <v>949.62629325438388</v>
      </c>
      <c r="I647" s="123">
        <f t="shared" si="202"/>
        <v>0.42857142857142855</v>
      </c>
      <c r="J647" s="124">
        <f>IF($D647="",0,IF($F647&lt;2,0,IF($E647="Win",('Guide &amp; Settings'!$C$42/(($F647-1)*COUNTIFS($A$4:$A$1510,$A647,$E$4:$E$1510,"Win")))*SUMIFS($X$4:$X$1510,$A$4:$A$1510,$A647,$E$4:$E$1510,"Loss"),-('Guide &amp; Settings'!$C$42/($F647-1))*$X647)))</f>
        <v>22.423363435502267</v>
      </c>
      <c r="K647" s="124">
        <f>IF($D647="",0,'Guide &amp; Settings'!$C$43*(IF($E647="Win",1,0)-$I647))</f>
        <v>6.8571428571428568</v>
      </c>
      <c r="L647" s="125">
        <f>IF($D647="",0,'Guide &amp; Settings'!$C$44*IF($F647&gt;=3,$F647,0))</f>
        <v>0</v>
      </c>
      <c r="M647" s="124">
        <f t="shared" si="203"/>
        <v>29.280506292645125</v>
      </c>
      <c r="N647" s="122">
        <f t="shared" si="204"/>
        <v>978.90679954702898</v>
      </c>
      <c r="O647" s="121" t="str">
        <f t="shared" si="205"/>
        <v>OK</v>
      </c>
      <c r="P647">
        <f t="shared" si="206"/>
        <v>949.62629325438388</v>
      </c>
      <c r="Q647">
        <f t="shared" si="207"/>
        <v>0.5</v>
      </c>
      <c r="R647">
        <f t="shared" si="208"/>
        <v>0.375</v>
      </c>
      <c r="S647">
        <f t="shared" si="209"/>
        <v>0.875</v>
      </c>
      <c r="T647" s="89">
        <f t="shared" si="210"/>
        <v>6</v>
      </c>
      <c r="U647" s="126">
        <f>IF($D647="",0,IFERROR(LOOKUP(2,1/(($D$3:D646=$D647)*($C$3:C646=$C647)*($A$3:A646&lt;$A647)),$AB$3:AB646),1000))</f>
        <v>974.04842027638904</v>
      </c>
      <c r="V647" s="126">
        <f t="shared" si="211"/>
        <v>962.9474534482049</v>
      </c>
      <c r="W647">
        <f t="shared" si="212"/>
        <v>962.9474534482049</v>
      </c>
      <c r="X647">
        <f t="shared" si="213"/>
        <v>0.5</v>
      </c>
      <c r="Y647">
        <f t="shared" si="214"/>
        <v>974.04842027638904</v>
      </c>
      <c r="Z647">
        <f t="shared" si="215"/>
        <v>0.5</v>
      </c>
      <c r="AA647">
        <f>IF($D647="",0,IF($F647&lt;2,0,IF($E647="Win",('Guide &amp; Settings'!$C$42/(($F647-1)*COUNTIFS($A$4:$A$1510,$A647,$E$4:$E$1510,"Win")))*SUMIFS($Z$4:$Z$1510,$A$4:$A$1510,$A647,$E$4:$E$1510,"Loss"),-('Guide &amp; Settings'!$C$42/($F647-1))*$Z647)))</f>
        <v>17.192896731025865</v>
      </c>
      <c r="AB647" s="126">
        <f t="shared" si="216"/>
        <v>991.24131700741486</v>
      </c>
      <c r="AC647" s="126">
        <f>IF($D647="","",IF($AD647=0,0,IF(COUNTIFS($D$4:$D647,$D647,$B$4:$B647,$B647)&gt;1,0,IF($B647&lt;'Guide &amp; Settings'!$C$50,0,IF(($B647-$AD647)/7-'Guide &amp; Settings'!$C$48&gt;=0,(INT(($B647-$AD647)/7-'Guide &amp; Settings'!$C$48)+1)*'Guide &amp; Settings'!$C$49,0)))))</f>
        <v>0</v>
      </c>
      <c r="AD647" s="142">
        <f t="shared" si="217"/>
        <v>46257</v>
      </c>
      <c r="AE647">
        <f t="shared" si="218"/>
        <v>1</v>
      </c>
      <c r="AF647">
        <f t="shared" si="219"/>
        <v>0</v>
      </c>
    </row>
    <row r="648" spans="1:32" x14ac:dyDescent="0.2">
      <c r="A648" s="117">
        <v>274</v>
      </c>
      <c r="B648" s="118">
        <v>46260</v>
      </c>
      <c r="C648" s="119" t="s">
        <v>35</v>
      </c>
      <c r="D648" s="119" t="s">
        <v>21</v>
      </c>
      <c r="E648" s="117" t="s">
        <v>371</v>
      </c>
      <c r="F648" s="120">
        <f t="shared" si="200"/>
        <v>2</v>
      </c>
      <c r="G648" s="121" t="str">
        <f t="shared" si="201"/>
        <v>Oscar</v>
      </c>
      <c r="H648" s="122">
        <f>IF($D648="",0,IFERROR(LOOKUP(2,1/(($D$3:D647=$D648)*($A$3:A647&lt;$A648)),$N$3:N647),'Guide &amp; Settings'!$C$41))</f>
        <v>1110.7425533765304</v>
      </c>
      <c r="I648" s="123">
        <f t="shared" si="202"/>
        <v>0.5714285714285714</v>
      </c>
      <c r="J648" s="124">
        <f>IF($D648="",0,IF($F648&lt;2,0,IF($E648="Win",('Guide &amp; Settings'!$C$42/(($F648-1)*COUNTIFS($A$4:$A$1510,$A648,$E$4:$E$1510,"Win")))*SUMIFS($X$4:$X$1510,$A$4:$A$1510,$A648,$E$4:$E$1510,"Loss"),-('Guide &amp; Settings'!$C$42/($F648-1))*$X648)))</f>
        <v>-22.423363435502267</v>
      </c>
      <c r="K648" s="124">
        <f>IF($D648="",0,'Guide &amp; Settings'!$C$43*(IF($E648="Win",1,0)-$I648))</f>
        <v>-6.8571428571428568</v>
      </c>
      <c r="L648" s="125">
        <f>IF($D648="",0,'Guide &amp; Settings'!$C$44*IF($F648&gt;=3,$F648,0))</f>
        <v>0</v>
      </c>
      <c r="M648" s="124">
        <f t="shared" si="203"/>
        <v>-29.280506292645125</v>
      </c>
      <c r="N648" s="122">
        <f t="shared" si="204"/>
        <v>1081.4620470838852</v>
      </c>
      <c r="O648" s="121" t="str">
        <f t="shared" si="205"/>
        <v>OK</v>
      </c>
      <c r="P648">
        <f t="shared" si="206"/>
        <v>949.62629325438388</v>
      </c>
      <c r="Q648">
        <f t="shared" si="207"/>
        <v>0.71655963916536158</v>
      </c>
      <c r="R648">
        <f t="shared" si="208"/>
        <v>0.5</v>
      </c>
      <c r="S648">
        <f t="shared" si="209"/>
        <v>0.875</v>
      </c>
      <c r="T648" s="89">
        <f t="shared" si="210"/>
        <v>0</v>
      </c>
      <c r="U648" s="126">
        <f>IF($D648="",0,IFERROR(LOOKUP(2,1/(($D$3:D647=$D648)*($C$3:C647=$C648)*($A$3:A647&lt;$A648)),$AB$3:AB647),1000))</f>
        <v>1000</v>
      </c>
      <c r="V648" s="126">
        <f t="shared" si="211"/>
        <v>1110.7425533765304</v>
      </c>
      <c r="W648">
        <f t="shared" si="212"/>
        <v>962.9474534482049</v>
      </c>
      <c r="X648">
        <f t="shared" si="213"/>
        <v>0.70073010735944585</v>
      </c>
      <c r="Y648">
        <f t="shared" si="214"/>
        <v>974.04842027638904</v>
      </c>
      <c r="Z648">
        <f t="shared" si="215"/>
        <v>0.53727802284455828</v>
      </c>
      <c r="AA648">
        <f>IF($D648="",0,IF($F648&lt;2,0,IF($E648="Win",('Guide &amp; Settings'!$C$42/(($F648-1)*COUNTIFS($A$4:$A$1510,$A648,$E$4:$E$1510,"Win")))*SUMIFS($Z$4:$Z$1510,$A$4:$A$1510,$A648,$E$4:$E$1510,"Loss"),-('Guide &amp; Settings'!$C$42/($F648-1))*$Z648)))</f>
        <v>-17.192896731025865</v>
      </c>
      <c r="AB648" s="126">
        <f t="shared" si="216"/>
        <v>982.80710326897417</v>
      </c>
      <c r="AC648" s="126">
        <f>IF($D648="","",IF($AD648=0,0,IF(COUNTIFS($D$4:$D648,$D648,$B$4:$B648,$B648)&gt;1,0,IF($B648&lt;'Guide &amp; Settings'!$C$50,0,IF(($B648-$AD648)/7-'Guide &amp; Settings'!$C$48&gt;=0,(INT(($B648-$AD648)/7-'Guide &amp; Settings'!$C$48)+1)*'Guide &amp; Settings'!$C$49,0)))))</f>
        <v>0</v>
      </c>
      <c r="AD648" s="142">
        <f t="shared" si="217"/>
        <v>46257</v>
      </c>
      <c r="AE648">
        <f t="shared" si="218"/>
        <v>1</v>
      </c>
      <c r="AF648">
        <f t="shared" si="219"/>
        <v>0</v>
      </c>
    </row>
    <row r="649" spans="1:32" x14ac:dyDescent="0.2">
      <c r="A649" s="117">
        <v>275</v>
      </c>
      <c r="B649" s="118">
        <v>46260</v>
      </c>
      <c r="C649" s="119" t="s">
        <v>54</v>
      </c>
      <c r="D649" s="119" t="s">
        <v>25</v>
      </c>
      <c r="E649" s="117" t="s">
        <v>371</v>
      </c>
      <c r="F649" s="120">
        <f t="shared" si="200"/>
        <v>3</v>
      </c>
      <c r="G649" s="121" t="str">
        <f t="shared" si="201"/>
        <v>Simon</v>
      </c>
      <c r="H649" s="122">
        <f>IF($D649="",0,IFERROR(LOOKUP(2,1/(($D$3:D648=$D649)*($A$3:A648&lt;$A649)),$N$3:N648),'Guide &amp; Settings'!$C$41))</f>
        <v>978.90679954702898</v>
      </c>
      <c r="I649" s="123">
        <f t="shared" si="202"/>
        <v>0.375</v>
      </c>
      <c r="J649" s="124">
        <f>IF($D649="",0,IF($F649&lt;2,0,IF($E649="Win",('Guide &amp; Settings'!$C$42/(($F649-1)*COUNTIFS($A$4:$A$1510,$A649,$E$4:$E$1510,"Win")))*SUMIFS($X$4:$X$1510,$A$4:$A$1510,$A649,$E$4:$E$1510,"Loss"),-('Guide &amp; Settings'!$C$42/($F649-1))*$X649)))</f>
        <v>-5.7048527892109382</v>
      </c>
      <c r="K649" s="124">
        <f>IF($D649="",0,'Guide &amp; Settings'!$C$43*(IF($E649="Win",1,0)-$I649))</f>
        <v>-4.5</v>
      </c>
      <c r="L649" s="125">
        <f>IF($D649="",0,'Guide &amp; Settings'!$C$44*IF($F649&gt;=3,$F649,0))</f>
        <v>3</v>
      </c>
      <c r="M649" s="124">
        <f t="shared" si="203"/>
        <v>-7.2048527892109391</v>
      </c>
      <c r="N649" s="122">
        <f t="shared" si="204"/>
        <v>971.70194675781806</v>
      </c>
      <c r="O649" s="121" t="str">
        <f t="shared" si="205"/>
        <v>OK</v>
      </c>
      <c r="P649">
        <f t="shared" si="206"/>
        <v>1081.4620470838852</v>
      </c>
      <c r="Q649">
        <f t="shared" si="207"/>
        <v>0.35655329932568364</v>
      </c>
      <c r="R649">
        <f t="shared" si="208"/>
        <v>0.5</v>
      </c>
      <c r="S649">
        <f t="shared" si="209"/>
        <v>1.3333333333333333</v>
      </c>
      <c r="T649" s="89">
        <f t="shared" si="210"/>
        <v>0</v>
      </c>
      <c r="U649" s="126">
        <f>IF($D649="",0,IFERROR(LOOKUP(2,1/(($D$3:D648=$D649)*($C$3:C648=$C649)*($A$3:A648&lt;$A649)),$AB$3:AB648),1000))</f>
        <v>1000</v>
      </c>
      <c r="V649" s="126">
        <f t="shared" si="211"/>
        <v>978.90679954702898</v>
      </c>
      <c r="W649">
        <f t="shared" si="212"/>
        <v>1081.4620470838852</v>
      </c>
      <c r="X649">
        <f t="shared" si="213"/>
        <v>0.35655329932568364</v>
      </c>
      <c r="Y649">
        <f t="shared" si="214"/>
        <v>1000</v>
      </c>
      <c r="Z649">
        <f t="shared" si="215"/>
        <v>0.5</v>
      </c>
      <c r="AA649">
        <f>IF($D649="",0,IF($F649&lt;2,0,IF($E649="Win",('Guide &amp; Settings'!$C$42/(($F649-1)*COUNTIFS($A$4:$A$1510,$A649,$E$4:$E$1510,"Win")))*SUMIFS($Z$4:$Z$1510,$A$4:$A$1510,$A649,$E$4:$E$1510,"Loss"),-('Guide &amp; Settings'!$C$42/($F649-1))*$Z649)))</f>
        <v>-8</v>
      </c>
      <c r="AB649" s="126">
        <f t="shared" si="216"/>
        <v>992</v>
      </c>
      <c r="AC649" s="126">
        <f>IF($D649="","",IF($AD649=0,0,IF(COUNTIFS($D$4:$D649,$D649,$B$4:$B649,$B649)&gt;1,0,IF($B649&lt;'Guide &amp; Settings'!$C$50,0,IF(($B649-$AD649)/7-'Guide &amp; Settings'!$C$48&gt;=0,(INT(($B649-$AD649)/7-'Guide &amp; Settings'!$C$48)+1)*'Guide &amp; Settings'!$C$49,0)))))</f>
        <v>0</v>
      </c>
      <c r="AD649" s="142">
        <f t="shared" si="217"/>
        <v>46257</v>
      </c>
      <c r="AE649">
        <f t="shared" si="218"/>
        <v>1</v>
      </c>
      <c r="AF649">
        <f t="shared" si="219"/>
        <v>0</v>
      </c>
    </row>
    <row r="650" spans="1:32" x14ac:dyDescent="0.2">
      <c r="A650" s="117">
        <v>275</v>
      </c>
      <c r="B650" s="118">
        <v>46260</v>
      </c>
      <c r="C650" s="119" t="s">
        <v>54</v>
      </c>
      <c r="D650" s="119" t="s">
        <v>21</v>
      </c>
      <c r="E650" s="117" t="s">
        <v>370</v>
      </c>
      <c r="F650" s="120">
        <f t="shared" si="200"/>
        <v>3</v>
      </c>
      <c r="G650" s="121" t="str">
        <f t="shared" si="201"/>
        <v>Simon</v>
      </c>
      <c r="H650" s="122">
        <f>IF($D650="",0,IFERROR(LOOKUP(2,1/(($D$3:D649=$D650)*($A$3:A649&lt;$A650)),$N$3:N649),'Guide &amp; Settings'!$C$41))</f>
        <v>1081.4620470838852</v>
      </c>
      <c r="I650" s="123">
        <f t="shared" si="202"/>
        <v>0.375</v>
      </c>
      <c r="J650" s="124">
        <f>IF($D650="",0,IF($F650&lt;2,0,IF($E650="Win",('Guide &amp; Settings'!$C$42/(($F650-1)*COUNTIFS($A$4:$A$1510,$A650,$E$4:$E$1510,"Win")))*SUMIFS($X$4:$X$1510,$A$4:$A$1510,$A650,$E$4:$E$1510,"Loss"),-('Guide &amp; Settings'!$C$42/($F650-1))*$X650)))</f>
        <v>16.977002311417614</v>
      </c>
      <c r="K650" s="124">
        <f>IF($D650="",0,'Guide &amp; Settings'!$C$43*(IF($E650="Win",1,0)-$I650))</f>
        <v>7.5</v>
      </c>
      <c r="L650" s="125">
        <f>IF($D650="",0,'Guide &amp; Settings'!$C$44*IF($F650&gt;=3,$F650,0))</f>
        <v>3</v>
      </c>
      <c r="M650" s="124">
        <f t="shared" si="203"/>
        <v>27.477002311417614</v>
      </c>
      <c r="N650" s="122">
        <f t="shared" si="204"/>
        <v>1108.9390493953028</v>
      </c>
      <c r="O650" s="121" t="str">
        <f t="shared" si="205"/>
        <v>OK</v>
      </c>
      <c r="P650">
        <f t="shared" si="206"/>
        <v>1081.4620470838852</v>
      </c>
      <c r="Q650">
        <f t="shared" si="207"/>
        <v>0.5</v>
      </c>
      <c r="R650">
        <f t="shared" si="208"/>
        <v>0.5</v>
      </c>
      <c r="S650">
        <f t="shared" si="209"/>
        <v>1.3333333333333333</v>
      </c>
      <c r="T650" s="89">
        <f t="shared" si="210"/>
        <v>0</v>
      </c>
      <c r="U650" s="126">
        <f>IF($D650="",0,IFERROR(LOOKUP(2,1/(($D$3:D649=$D650)*($C$3:C649=$C650)*($A$3:A649&lt;$A650)),$AB$3:AB649),1000))</f>
        <v>1000</v>
      </c>
      <c r="V650" s="126">
        <f t="shared" si="211"/>
        <v>1081.4620470838852</v>
      </c>
      <c r="W650">
        <f t="shared" si="212"/>
        <v>1081.4620470838852</v>
      </c>
      <c r="X650">
        <f t="shared" si="213"/>
        <v>0.5</v>
      </c>
      <c r="Y650">
        <f t="shared" si="214"/>
        <v>1000</v>
      </c>
      <c r="Z650">
        <f t="shared" si="215"/>
        <v>0.5</v>
      </c>
      <c r="AA650">
        <f>IF($D650="",0,IF($F650&lt;2,0,IF($E650="Win",('Guide &amp; Settings'!$C$42/(($F650-1)*COUNTIFS($A$4:$A$1510,$A650,$E$4:$E$1510,"Win")))*SUMIFS($Z$4:$Z$1510,$A$4:$A$1510,$A650,$E$4:$E$1510,"Loss"),-('Guide &amp; Settings'!$C$42/($F650-1))*$Z650)))</f>
        <v>15.815825740515333</v>
      </c>
      <c r="AB650" s="126">
        <f t="shared" si="216"/>
        <v>1015.8158257405154</v>
      </c>
      <c r="AC650" s="126">
        <f>IF($D650="","",IF($AD650=0,0,IF(COUNTIFS($D$4:$D650,$D650,$B$4:$B650,$B650)&gt;1,0,IF($B650&lt;'Guide &amp; Settings'!$C$50,0,IF(($B650-$AD650)/7-'Guide &amp; Settings'!$C$48&gt;=0,(INT(($B650-$AD650)/7-'Guide &amp; Settings'!$C$48)+1)*'Guide &amp; Settings'!$C$49,0)))))</f>
        <v>0</v>
      </c>
      <c r="AD650" s="142">
        <f t="shared" si="217"/>
        <v>46257</v>
      </c>
      <c r="AE650">
        <f t="shared" si="218"/>
        <v>1</v>
      </c>
      <c r="AF650">
        <f t="shared" si="219"/>
        <v>0</v>
      </c>
    </row>
    <row r="651" spans="1:32" x14ac:dyDescent="0.2">
      <c r="A651" s="117">
        <v>275</v>
      </c>
      <c r="B651" s="118">
        <v>46260</v>
      </c>
      <c r="C651" s="119" t="s">
        <v>54</v>
      </c>
      <c r="D651" s="119" t="s">
        <v>20</v>
      </c>
      <c r="E651" s="117" t="s">
        <v>371</v>
      </c>
      <c r="F651" s="120">
        <f t="shared" si="200"/>
        <v>3</v>
      </c>
      <c r="G651" s="121" t="str">
        <f t="shared" si="201"/>
        <v>Simon</v>
      </c>
      <c r="H651" s="122">
        <f>IF($D651="",0,IFERROR(LOOKUP(2,1/(($D$3:D650=$D651)*($A$3:A650&lt;$A651)),$N$3:N650),'Guide &amp; Settings'!$C$41))</f>
        <v>1280.4791002349882</v>
      </c>
      <c r="I651" s="123">
        <f t="shared" si="202"/>
        <v>0.25</v>
      </c>
      <c r="J651" s="124">
        <f>IF($D651="",0,IF($F651&lt;2,0,IF($E651="Win",('Guide &amp; Settings'!$C$42/(($F651-1)*COUNTIFS($A$4:$A$1510,$A651,$E$4:$E$1510,"Win")))*SUMIFS($X$4:$X$1510,$A$4:$A$1510,$A651,$E$4:$E$1510,"Loss"),-('Guide &amp; Settings'!$C$42/($F651-1))*$X651)))</f>
        <v>-11.272149522206675</v>
      </c>
      <c r="K651" s="124">
        <f>IF($D651="",0,'Guide &amp; Settings'!$C$43*(IF($E651="Win",1,0)-$I651))</f>
        <v>-3</v>
      </c>
      <c r="L651" s="125">
        <f>IF($D651="",0,'Guide &amp; Settings'!$C$44*IF($F651&gt;=3,$F651,0))</f>
        <v>3</v>
      </c>
      <c r="M651" s="124">
        <f t="shared" si="203"/>
        <v>-11.272149522206675</v>
      </c>
      <c r="N651" s="122">
        <f t="shared" si="204"/>
        <v>1269.2069507127815</v>
      </c>
      <c r="O651" s="121" t="str">
        <f t="shared" si="205"/>
        <v>OK</v>
      </c>
      <c r="P651">
        <f t="shared" si="206"/>
        <v>1081.4620470838852</v>
      </c>
      <c r="Q651">
        <f t="shared" si="207"/>
        <v>0.7587125916050742</v>
      </c>
      <c r="R651">
        <f t="shared" si="208"/>
        <v>0.33333333333333331</v>
      </c>
      <c r="S651">
        <f t="shared" si="209"/>
        <v>1.3333333333333333</v>
      </c>
      <c r="T651" s="89">
        <f t="shared" si="210"/>
        <v>1</v>
      </c>
      <c r="U651" s="126">
        <f>IF($D651="",0,IFERROR(LOOKUP(2,1/(($D$3:D650=$D651)*($C$3:C650=$C651)*($A$3:A650&lt;$A651)),$AB$3:AB650),1000))</f>
        <v>992</v>
      </c>
      <c r="V651" s="126">
        <f t="shared" si="211"/>
        <v>1232.3992501958235</v>
      </c>
      <c r="W651">
        <f t="shared" si="212"/>
        <v>1081.4620470838852</v>
      </c>
      <c r="X651">
        <f t="shared" si="213"/>
        <v>0.70450934513791719</v>
      </c>
      <c r="Y651">
        <f t="shared" si="214"/>
        <v>1000</v>
      </c>
      <c r="Z651">
        <f t="shared" si="215"/>
        <v>0.4884891087822083</v>
      </c>
      <c r="AA651">
        <f>IF($D651="",0,IF($F651&lt;2,0,IF($E651="Win",('Guide &amp; Settings'!$C$42/(($F651-1)*COUNTIFS($A$4:$A$1510,$A651,$E$4:$E$1510,"Win")))*SUMIFS($Z$4:$Z$1510,$A$4:$A$1510,$A651,$E$4:$E$1510,"Loss"),-('Guide &amp; Settings'!$C$42/($F651-1))*$Z651)))</f>
        <v>-7.8158257405153329</v>
      </c>
      <c r="AB651" s="126">
        <f t="shared" si="216"/>
        <v>984.18417425948462</v>
      </c>
      <c r="AC651" s="126">
        <f>IF($D651="","",IF($AD651=0,0,IF(COUNTIFS($D$4:$D651,$D651,$B$4:$B651,$B651)&gt;1,0,IF($B651&lt;'Guide &amp; Settings'!$C$50,0,IF(($B651-$AD651)/7-'Guide &amp; Settings'!$C$48&gt;=0,(INT(($B651-$AD651)/7-'Guide &amp; Settings'!$C$48)+1)*'Guide &amp; Settings'!$C$49,0)))))</f>
        <v>0</v>
      </c>
      <c r="AD651" s="142">
        <f t="shared" si="217"/>
        <v>46257</v>
      </c>
      <c r="AE651">
        <f t="shared" si="218"/>
        <v>1</v>
      </c>
      <c r="AF651">
        <f t="shared" si="219"/>
        <v>0</v>
      </c>
    </row>
    <row r="652" spans="1:32" x14ac:dyDescent="0.2">
      <c r="A652" s="117">
        <v>276</v>
      </c>
      <c r="B652" s="118">
        <v>46260</v>
      </c>
      <c r="C652" s="119" t="s">
        <v>54</v>
      </c>
      <c r="D652" s="119" t="s">
        <v>25</v>
      </c>
      <c r="E652" s="117" t="s">
        <v>371</v>
      </c>
      <c r="F652" s="120">
        <f t="shared" si="200"/>
        <v>3</v>
      </c>
      <c r="G652" s="121" t="str">
        <f t="shared" si="201"/>
        <v>Shawn</v>
      </c>
      <c r="H652" s="122">
        <f>IF($D652="",0,IFERROR(LOOKUP(2,1/(($D$3:D651=$D652)*($A$3:A651&lt;$A652)),$N$3:N651),'Guide &amp; Settings'!$C$41))</f>
        <v>971.70194675781806</v>
      </c>
      <c r="I652" s="123">
        <f t="shared" si="202"/>
        <v>0.26666666666666666</v>
      </c>
      <c r="J652" s="124">
        <f>IF($D652="",0,IF($F652&lt;2,0,IF($E652="Win",('Guide &amp; Settings'!$C$42/(($F652-1)*COUNTIFS($A$4:$A$1510,$A652,$E$4:$E$1510,"Win")))*SUMIFS($X$4:$X$1510,$A$4:$A$1510,$A652,$E$4:$E$1510,"Loss"),-('Guide &amp; Settings'!$C$42/($F652-1))*$X652)))</f>
        <v>-3.6348215750757729</v>
      </c>
      <c r="K652" s="124">
        <f>IF($D652="",0,'Guide &amp; Settings'!$C$43*(IF($E652="Win",1,0)-$I652))</f>
        <v>-3.2</v>
      </c>
      <c r="L652" s="125">
        <f>IF($D652="",0,'Guide &amp; Settings'!$C$44*IF($F652&gt;=3,$F652,0))</f>
        <v>3</v>
      </c>
      <c r="M652" s="124">
        <f t="shared" si="203"/>
        <v>-3.8348215750757735</v>
      </c>
      <c r="N652" s="122">
        <f t="shared" si="204"/>
        <v>967.86712518274226</v>
      </c>
      <c r="O652" s="121" t="str">
        <f t="shared" si="205"/>
        <v>OK</v>
      </c>
      <c r="P652">
        <f t="shared" si="206"/>
        <v>1269.2069507127815</v>
      </c>
      <c r="Q652">
        <f t="shared" si="207"/>
        <v>0.15282983458033306</v>
      </c>
      <c r="R652">
        <f t="shared" si="208"/>
        <v>0.33333333333333331</v>
      </c>
      <c r="S652">
        <f t="shared" si="209"/>
        <v>1.25</v>
      </c>
      <c r="T652" s="89">
        <f t="shared" si="210"/>
        <v>1</v>
      </c>
      <c r="U652" s="126">
        <f>IF($D652="",0,IFERROR(LOOKUP(2,1/(($D$3:D651=$D652)*($C$3:C651=$C652)*($A$3:A651&lt;$A652)),$AB$3:AB651),1000))</f>
        <v>992</v>
      </c>
      <c r="V652" s="126">
        <f t="shared" si="211"/>
        <v>975.08495563151496</v>
      </c>
      <c r="W652">
        <f t="shared" si="212"/>
        <v>1187.7718717261253</v>
      </c>
      <c r="X652">
        <f t="shared" si="213"/>
        <v>0.2271763484422358</v>
      </c>
      <c r="Y652">
        <f t="shared" si="214"/>
        <v>984.18417425948462</v>
      </c>
      <c r="Z652">
        <f t="shared" si="215"/>
        <v>0.51124598042057479</v>
      </c>
      <c r="AA652">
        <f>IF($D652="",0,IF($F652&lt;2,0,IF($E652="Win",('Guide &amp; Settings'!$C$42/(($F652-1)*COUNTIFS($A$4:$A$1510,$A652,$E$4:$E$1510,"Win")))*SUMIFS($Z$4:$Z$1510,$A$4:$A$1510,$A652,$E$4:$E$1510,"Loss"),-('Guide &amp; Settings'!$C$42/($F652-1))*$Z652)))</f>
        <v>-8.1799356867291966</v>
      </c>
      <c r="AB652" s="126">
        <f t="shared" si="216"/>
        <v>983.82006431327079</v>
      </c>
      <c r="AC652" s="126">
        <f>IF($D652="","",IF($AD652=0,0,IF(COUNTIFS($D$4:$D652,$D652,$B$4:$B652,$B652)&gt;1,0,IF($B652&lt;'Guide &amp; Settings'!$C$50,0,IF(($B652-$AD652)/7-'Guide &amp; Settings'!$C$48&gt;=0,(INT(($B652-$AD652)/7-'Guide &amp; Settings'!$C$48)+1)*'Guide &amp; Settings'!$C$49,0)))))</f>
        <v>0</v>
      </c>
      <c r="AD652" s="142">
        <f t="shared" si="217"/>
        <v>46257</v>
      </c>
      <c r="AE652">
        <f t="shared" si="218"/>
        <v>1</v>
      </c>
      <c r="AF652">
        <f t="shared" si="219"/>
        <v>0</v>
      </c>
    </row>
    <row r="653" spans="1:32" x14ac:dyDescent="0.2">
      <c r="A653" s="117">
        <v>276</v>
      </c>
      <c r="B653" s="118">
        <v>46260</v>
      </c>
      <c r="C653" s="119" t="s">
        <v>54</v>
      </c>
      <c r="D653" s="119" t="s">
        <v>21</v>
      </c>
      <c r="E653" s="117" t="s">
        <v>371</v>
      </c>
      <c r="F653" s="120">
        <f t="shared" si="200"/>
        <v>3</v>
      </c>
      <c r="G653" s="121" t="str">
        <f t="shared" si="201"/>
        <v>Shawn</v>
      </c>
      <c r="H653" s="122">
        <f>IF($D653="",0,IFERROR(LOOKUP(2,1/(($D$3:D652=$D653)*($A$3:A652&lt;$A653)),$N$3:N652),'Guide &amp; Settings'!$C$41))</f>
        <v>1108.9390493953028</v>
      </c>
      <c r="I653" s="123">
        <f t="shared" si="202"/>
        <v>0.53333333333333333</v>
      </c>
      <c r="J653" s="124">
        <f>IF($D653="",0,IF($F653&lt;2,0,IF($E653="Win",('Guide &amp; Settings'!$C$42/(($F653-1)*COUNTIFS($A$4:$A$1510,$A653,$E$4:$E$1510,"Win")))*SUMIFS($X$4:$X$1510,$A$4:$A$1510,$A653,$E$4:$E$1510,"Loss"),-('Guide &amp; Settings'!$C$42/($F653-1))*$X653)))</f>
        <v>-5.8793131127595686</v>
      </c>
      <c r="K653" s="124">
        <f>IF($D653="",0,'Guide &amp; Settings'!$C$43*(IF($E653="Win",1,0)-$I653))</f>
        <v>-6.4</v>
      </c>
      <c r="L653" s="125">
        <f>IF($D653="",0,'Guide &amp; Settings'!$C$44*IF($F653&gt;=3,$F653,0))</f>
        <v>3</v>
      </c>
      <c r="M653" s="124">
        <f t="shared" si="203"/>
        <v>-9.2793131127595689</v>
      </c>
      <c r="N653" s="122">
        <f t="shared" si="204"/>
        <v>1099.6597362825432</v>
      </c>
      <c r="O653" s="121" t="str">
        <f t="shared" si="205"/>
        <v>OK</v>
      </c>
      <c r="P653">
        <f t="shared" si="206"/>
        <v>1269.2069507127815</v>
      </c>
      <c r="Q653">
        <f t="shared" si="207"/>
        <v>0.28443326648761436</v>
      </c>
      <c r="R653">
        <f t="shared" si="208"/>
        <v>0.66666666666666663</v>
      </c>
      <c r="S653">
        <f t="shared" si="209"/>
        <v>1.25</v>
      </c>
      <c r="T653" s="89">
        <f t="shared" si="210"/>
        <v>1</v>
      </c>
      <c r="U653" s="126">
        <f>IF($D653="",0,IFERROR(LOOKUP(2,1/(($D$3:D652=$D653)*($C$3:C652=$C653)*($A$3:A652&lt;$A653)),$AB$3:AB652),1000))</f>
        <v>1015.8158257405154</v>
      </c>
      <c r="V653" s="126">
        <f t="shared" si="211"/>
        <v>1093.4185121195051</v>
      </c>
      <c r="W653">
        <f t="shared" si="212"/>
        <v>1187.7718717261253</v>
      </c>
      <c r="X653">
        <f t="shared" si="213"/>
        <v>0.36745706954747304</v>
      </c>
      <c r="Y653">
        <f t="shared" si="214"/>
        <v>984.18417425948462</v>
      </c>
      <c r="Z653">
        <f t="shared" si="215"/>
        <v>0.54539624717641111</v>
      </c>
      <c r="AA653">
        <f>IF($D653="",0,IF($F653&lt;2,0,IF($E653="Win",('Guide &amp; Settings'!$C$42/(($F653-1)*COUNTIFS($A$4:$A$1510,$A653,$E$4:$E$1510,"Win")))*SUMIFS($Z$4:$Z$1510,$A$4:$A$1510,$A653,$E$4:$E$1510,"Loss"),-('Guide &amp; Settings'!$C$42/($F653-1))*$Z653)))</f>
        <v>-8.7263399548225777</v>
      </c>
      <c r="AB653" s="126">
        <f t="shared" si="216"/>
        <v>1007.0894857856928</v>
      </c>
      <c r="AC653" s="126">
        <f>IF($D653="","",IF($AD653=0,0,IF(COUNTIFS($D$4:$D653,$D653,$B$4:$B653,$B653)&gt;1,0,IF($B653&lt;'Guide &amp; Settings'!$C$50,0,IF(($B653-$AD653)/7-'Guide &amp; Settings'!$C$48&gt;=0,(INT(($B653-$AD653)/7-'Guide &amp; Settings'!$C$48)+1)*'Guide &amp; Settings'!$C$49,0)))))</f>
        <v>0</v>
      </c>
      <c r="AD653" s="142">
        <f t="shared" si="217"/>
        <v>46257</v>
      </c>
      <c r="AE653">
        <f t="shared" si="218"/>
        <v>1</v>
      </c>
      <c r="AF653">
        <f t="shared" si="219"/>
        <v>0</v>
      </c>
    </row>
    <row r="654" spans="1:32" x14ac:dyDescent="0.2">
      <c r="A654" s="117">
        <v>276</v>
      </c>
      <c r="B654" s="118">
        <v>46260</v>
      </c>
      <c r="C654" s="119" t="s">
        <v>54</v>
      </c>
      <c r="D654" s="119" t="s">
        <v>20</v>
      </c>
      <c r="E654" s="117" t="s">
        <v>370</v>
      </c>
      <c r="F654" s="120">
        <f t="shared" si="200"/>
        <v>3</v>
      </c>
      <c r="G654" s="121" t="str">
        <f t="shared" si="201"/>
        <v>Shawn</v>
      </c>
      <c r="H654" s="122">
        <f>IF($D654="",0,IFERROR(LOOKUP(2,1/(($D$3:D653=$D654)*($A$3:A653&lt;$A654)),$N$3:N653),'Guide &amp; Settings'!$C$41))</f>
        <v>1269.2069507127815</v>
      </c>
      <c r="I654" s="123">
        <f t="shared" si="202"/>
        <v>0.2</v>
      </c>
      <c r="J654" s="124">
        <f>IF($D654="",0,IF($F654&lt;2,0,IF($E654="Win",('Guide &amp; Settings'!$C$42/(($F654-1)*COUNTIFS($A$4:$A$1510,$A654,$E$4:$E$1510,"Win")))*SUMIFS($X$4:$X$1510,$A$4:$A$1510,$A654,$E$4:$E$1510,"Loss"),-('Guide &amp; Settings'!$C$42/($F654-1))*$X654)))</f>
        <v>9.514134687835341</v>
      </c>
      <c r="K654" s="124">
        <f>IF($D654="",0,'Guide &amp; Settings'!$C$43*(IF($E654="Win",1,0)-$I654))</f>
        <v>9.6000000000000014</v>
      </c>
      <c r="L654" s="125">
        <f>IF($D654="",0,'Guide &amp; Settings'!$C$44*IF($F654&gt;=3,$F654,0))</f>
        <v>3</v>
      </c>
      <c r="M654" s="124">
        <f t="shared" si="203"/>
        <v>22.114134687835342</v>
      </c>
      <c r="N654" s="122">
        <f t="shared" si="204"/>
        <v>1291.3210854006168</v>
      </c>
      <c r="O654" s="121" t="str">
        <f t="shared" si="205"/>
        <v>OK</v>
      </c>
      <c r="P654">
        <f t="shared" si="206"/>
        <v>1269.2069507127815</v>
      </c>
      <c r="Q654">
        <f t="shared" si="207"/>
        <v>0.5</v>
      </c>
      <c r="R654">
        <f t="shared" si="208"/>
        <v>0.25</v>
      </c>
      <c r="S654">
        <f t="shared" si="209"/>
        <v>1.25</v>
      </c>
      <c r="T654" s="89">
        <f t="shared" si="210"/>
        <v>2</v>
      </c>
      <c r="U654" s="126">
        <f>IF($D654="",0,IFERROR(LOOKUP(2,1/(($D$3:D653=$D654)*($C$3:C653=$C654)*($A$3:A653&lt;$A654)),$AB$3:AB653),1000))</f>
        <v>984.18417425948462</v>
      </c>
      <c r="V654" s="126">
        <f t="shared" si="211"/>
        <v>1187.7718717261253</v>
      </c>
      <c r="W654">
        <f t="shared" si="212"/>
        <v>1187.7718717261253</v>
      </c>
      <c r="X654">
        <f t="shared" si="213"/>
        <v>0.5</v>
      </c>
      <c r="Y654">
        <f t="shared" si="214"/>
        <v>984.18417425948462</v>
      </c>
      <c r="Z654">
        <f t="shared" si="215"/>
        <v>0.5</v>
      </c>
      <c r="AA654">
        <f>IF($D654="",0,IF($F654&lt;2,0,IF($E654="Win",('Guide &amp; Settings'!$C$42/(($F654-1)*COUNTIFS($A$4:$A$1510,$A654,$E$4:$E$1510,"Win")))*SUMIFS($Z$4:$Z$1510,$A$4:$A$1510,$A654,$E$4:$E$1510,"Loss"),-('Guide &amp; Settings'!$C$42/($F654-1))*$Z654)))</f>
        <v>16.906275641551773</v>
      </c>
      <c r="AB654" s="126">
        <f t="shared" si="216"/>
        <v>1001.0904499010364</v>
      </c>
      <c r="AC654" s="126">
        <f>IF($D654="","",IF($AD654=0,0,IF(COUNTIFS($D$4:$D654,$D654,$B$4:$B654,$B654)&gt;1,0,IF($B654&lt;'Guide &amp; Settings'!$C$50,0,IF(($B654-$AD654)/7-'Guide &amp; Settings'!$C$48&gt;=0,(INT(($B654-$AD654)/7-'Guide &amp; Settings'!$C$48)+1)*'Guide &amp; Settings'!$C$49,0)))))</f>
        <v>0</v>
      </c>
      <c r="AD654" s="142">
        <f t="shared" si="217"/>
        <v>46257</v>
      </c>
      <c r="AE654">
        <f t="shared" si="218"/>
        <v>1</v>
      </c>
      <c r="AF654">
        <f t="shared" si="219"/>
        <v>0</v>
      </c>
    </row>
    <row r="655" spans="1:32" x14ac:dyDescent="0.2">
      <c r="A655" s="117">
        <v>277</v>
      </c>
      <c r="B655" s="118">
        <v>46264</v>
      </c>
      <c r="C655" s="119" t="s">
        <v>33</v>
      </c>
      <c r="D655" s="119" t="s">
        <v>20</v>
      </c>
      <c r="E655" s="117" t="s">
        <v>370</v>
      </c>
      <c r="F655" s="120">
        <f t="shared" si="200"/>
        <v>2</v>
      </c>
      <c r="G655" s="121" t="str">
        <f t="shared" si="201"/>
        <v>Shawn</v>
      </c>
      <c r="H655" s="122">
        <f>IF($D655="",0,IFERROR(LOOKUP(2,1/(($D$3:D654=$D655)*($A$3:A654&lt;$A655)),$N$3:N654),'Guide &amp; Settings'!$C$41))</f>
        <v>1291.3210854006168</v>
      </c>
      <c r="I655" s="123">
        <f t="shared" si="202"/>
        <v>0.83333333333333337</v>
      </c>
      <c r="J655" s="124">
        <f>IF($D655="",0,IF($F655&lt;2,0,IF($E655="Win",('Guide &amp; Settings'!$C$42/(($F655-1)*COUNTIFS($A$4:$A$1510,$A655,$E$4:$E$1510,"Win")))*SUMIFS($X$4:$X$1510,$A$4:$A$1510,$A655,$E$4:$E$1510,"Loss"),-('Guide &amp; Settings'!$C$42/($F655-1))*$X655)))</f>
        <v>7.627777886874771</v>
      </c>
      <c r="K655" s="124">
        <f>IF($D655="",0,'Guide &amp; Settings'!$C$43*(IF($E655="Win",1,0)-$I655))</f>
        <v>1.9999999999999996</v>
      </c>
      <c r="L655" s="125">
        <f>IF($D655="",0,'Guide &amp; Settings'!$C$44*IF($F655&gt;=3,$F655,0))</f>
        <v>0</v>
      </c>
      <c r="M655" s="124">
        <f t="shared" si="203"/>
        <v>9.627777886874771</v>
      </c>
      <c r="N655" s="122">
        <f t="shared" si="204"/>
        <v>1300.9488632874916</v>
      </c>
      <c r="O655" s="121" t="str">
        <f t="shared" si="205"/>
        <v>OK</v>
      </c>
      <c r="P655">
        <f t="shared" si="206"/>
        <v>1291.3210854006168</v>
      </c>
      <c r="Q655">
        <f t="shared" si="207"/>
        <v>0.5</v>
      </c>
      <c r="R655">
        <f t="shared" si="208"/>
        <v>0.83333333333333337</v>
      </c>
      <c r="S655">
        <f t="shared" si="209"/>
        <v>1</v>
      </c>
      <c r="T655" s="89">
        <f t="shared" si="210"/>
        <v>4</v>
      </c>
      <c r="U655" s="126">
        <f>IF($D655="",0,IFERROR(LOOKUP(2,1/(($D$3:D654=$D655)*($C$3:C654=$C655)*($A$3:A654&lt;$A655)),$AB$3:AB654),1000))</f>
        <v>1055.8009426289977</v>
      </c>
      <c r="V655" s="126">
        <f t="shared" si="211"/>
        <v>1186.6454663910083</v>
      </c>
      <c r="W655">
        <f t="shared" si="212"/>
        <v>1186.6454663910083</v>
      </c>
      <c r="X655">
        <f t="shared" si="213"/>
        <v>0.5</v>
      </c>
      <c r="Y655">
        <f t="shared" si="214"/>
        <v>1055.8009426289977</v>
      </c>
      <c r="Z655">
        <f t="shared" si="215"/>
        <v>0.5</v>
      </c>
      <c r="AA655">
        <f>IF($D655="",0,IF($F655&lt;2,0,IF($E655="Win",('Guide &amp; Settings'!$C$42/(($F655-1)*COUNTIFS($A$4:$A$1510,$A655,$E$4:$E$1510,"Win")))*SUMIFS($Z$4:$Z$1510,$A$4:$A$1510,$A655,$E$4:$E$1510,"Loss"),-('Guide &amp; Settings'!$C$42/($F655-1))*$Z655)))</f>
        <v>11.030302991402337</v>
      </c>
      <c r="AB655" s="126">
        <f t="shared" si="216"/>
        <v>1066.8312456204001</v>
      </c>
      <c r="AC655" s="126">
        <f>IF($D655="","",IF($AD655=0,0,IF(COUNTIFS($D$4:$D655,$D655,$B$4:$B655,$B655)&gt;1,0,IF($B655&lt;'Guide &amp; Settings'!$C$50,0,IF(($B655-$AD655)/7-'Guide &amp; Settings'!$C$48&gt;=0,(INT(($B655-$AD655)/7-'Guide &amp; Settings'!$C$48)+1)*'Guide &amp; Settings'!$C$49,0)))))</f>
        <v>0</v>
      </c>
      <c r="AD655" s="142">
        <f t="shared" si="217"/>
        <v>46260</v>
      </c>
      <c r="AE655">
        <f t="shared" si="218"/>
        <v>1</v>
      </c>
      <c r="AF655">
        <f t="shared" si="219"/>
        <v>0</v>
      </c>
    </row>
    <row r="656" spans="1:32" x14ac:dyDescent="0.2">
      <c r="A656" s="117">
        <v>277</v>
      </c>
      <c r="B656" s="118">
        <v>46264</v>
      </c>
      <c r="C656" s="119" t="s">
        <v>33</v>
      </c>
      <c r="D656" s="119" t="s">
        <v>22</v>
      </c>
      <c r="E656" s="117" t="s">
        <v>371</v>
      </c>
      <c r="F656" s="120">
        <f t="shared" si="200"/>
        <v>2</v>
      </c>
      <c r="G656" s="121" t="str">
        <f t="shared" si="201"/>
        <v>Shawn</v>
      </c>
      <c r="H656" s="122">
        <f>IF($D656="",0,IFERROR(LOOKUP(2,1/(($D$3:D655=$D656)*($A$3:A655&lt;$A656)),$N$3:N655),'Guide &amp; Settings'!$C$41))</f>
        <v>1017.3646895179213</v>
      </c>
      <c r="I656" s="123">
        <f t="shared" si="202"/>
        <v>0.16666666666666666</v>
      </c>
      <c r="J656" s="124">
        <f>IF($D656="",0,IF($F656&lt;2,0,IF($E656="Win",('Guide &amp; Settings'!$C$42/(($F656-1)*COUNTIFS($A$4:$A$1510,$A656,$E$4:$E$1510,"Win")))*SUMIFS($X$4:$X$1510,$A$4:$A$1510,$A656,$E$4:$E$1510,"Loss"),-('Guide &amp; Settings'!$C$42/($F656-1))*$X656)))</f>
        <v>-7.627777886874771</v>
      </c>
      <c r="K656" s="124">
        <f>IF($D656="",0,'Guide &amp; Settings'!$C$43*(IF($E656="Win",1,0)-$I656))</f>
        <v>-2</v>
      </c>
      <c r="L656" s="125">
        <f>IF($D656="",0,'Guide &amp; Settings'!$C$44*IF($F656&gt;=3,$F656,0))</f>
        <v>0</v>
      </c>
      <c r="M656" s="124">
        <f t="shared" si="203"/>
        <v>-9.627777886874771</v>
      </c>
      <c r="N656" s="122">
        <f t="shared" si="204"/>
        <v>1007.7369116310465</v>
      </c>
      <c r="O656" s="121" t="str">
        <f t="shared" si="205"/>
        <v>OK</v>
      </c>
      <c r="P656">
        <f t="shared" si="206"/>
        <v>1291.3210854006168</v>
      </c>
      <c r="Q656">
        <f t="shared" si="207"/>
        <v>0.17121796757959987</v>
      </c>
      <c r="R656">
        <f t="shared" si="208"/>
        <v>0.16666666666666666</v>
      </c>
      <c r="S656">
        <f t="shared" si="209"/>
        <v>1</v>
      </c>
      <c r="T656" s="89">
        <f t="shared" si="210"/>
        <v>4</v>
      </c>
      <c r="U656" s="126">
        <f>IF($D656="",0,IFERROR(LOOKUP(2,1/(($D$3:D655=$D656)*($C$3:C655=$C656)*($A$3:A655&lt;$A656)),$AB$3:AB655),1000))</f>
        <v>944.19905737100225</v>
      </c>
      <c r="V656" s="126">
        <f t="shared" si="211"/>
        <v>984.84663078595725</v>
      </c>
      <c r="W656">
        <f t="shared" si="212"/>
        <v>1186.6454663910083</v>
      </c>
      <c r="X656">
        <f t="shared" si="213"/>
        <v>0.23836805896483659</v>
      </c>
      <c r="Y656">
        <f t="shared" si="214"/>
        <v>1055.8009426289977</v>
      </c>
      <c r="Z656">
        <f t="shared" si="215"/>
        <v>0.34469696848132303</v>
      </c>
      <c r="AA656">
        <f>IF($D656="",0,IF($F656&lt;2,0,IF($E656="Win",('Guide &amp; Settings'!$C$42/(($F656-1)*COUNTIFS($A$4:$A$1510,$A656,$E$4:$E$1510,"Win")))*SUMIFS($Z$4:$Z$1510,$A$4:$A$1510,$A656,$E$4:$E$1510,"Loss"),-('Guide &amp; Settings'!$C$42/($F656-1))*$Z656)))</f>
        <v>-11.030302991402337</v>
      </c>
      <c r="AB656" s="126">
        <f t="shared" si="216"/>
        <v>933.16875437959993</v>
      </c>
      <c r="AC656" s="126">
        <f>IF($D656="","",IF($AD656=0,0,IF(COUNTIFS($D$4:$D656,$D656,$B$4:$B656,$B656)&gt;1,0,IF($B656&lt;'Guide &amp; Settings'!$C$50,0,IF(($B656-$AD656)/7-'Guide &amp; Settings'!$C$48&gt;=0,(INT(($B656-$AD656)/7-'Guide &amp; Settings'!$C$48)+1)*'Guide &amp; Settings'!$C$49,0)))))</f>
        <v>0</v>
      </c>
      <c r="AD656" s="142">
        <f t="shared" si="217"/>
        <v>46257</v>
      </c>
      <c r="AE656">
        <f t="shared" si="218"/>
        <v>1</v>
      </c>
      <c r="AF656">
        <f t="shared" si="219"/>
        <v>0</v>
      </c>
    </row>
    <row r="657" spans="1:32" x14ac:dyDescent="0.2">
      <c r="A657" s="117">
        <v>278</v>
      </c>
      <c r="B657" s="118">
        <v>46271</v>
      </c>
      <c r="C657" s="119" t="s">
        <v>42</v>
      </c>
      <c r="D657" s="119" t="s">
        <v>20</v>
      </c>
      <c r="E657" s="117" t="s">
        <v>370</v>
      </c>
      <c r="F657" s="120">
        <f t="shared" si="200"/>
        <v>3</v>
      </c>
      <c r="G657" s="121" t="str">
        <f t="shared" si="201"/>
        <v>Shawn</v>
      </c>
      <c r="H657" s="122">
        <f>IF($D657="",0,IFERROR(LOOKUP(2,1/(($D$3:D656=$D657)*($A$3:A656&lt;$A657)),$N$3:N656),'Guide &amp; Settings'!$C$41))</f>
        <v>1300.9488632874916</v>
      </c>
      <c r="I657" s="123">
        <f t="shared" si="202"/>
        <v>0.33333333333333331</v>
      </c>
      <c r="J657" s="124">
        <f>IF($D657="",0,IF($F657&lt;2,0,IF($E657="Win",('Guide &amp; Settings'!$C$42/(($F657-1)*COUNTIFS($A$4:$A$1510,$A657,$E$4:$E$1510,"Win")))*SUMIFS($X$4:$X$1510,$A$4:$A$1510,$A657,$E$4:$E$1510,"Loss"),-('Guide &amp; Settings'!$C$42/($F657-1))*$X657)))</f>
        <v>5.872895904951636</v>
      </c>
      <c r="K657" s="124">
        <f>IF($D657="",0,'Guide &amp; Settings'!$C$43*(IF($E657="Win",1,0)-$I657))</f>
        <v>8</v>
      </c>
      <c r="L657" s="125">
        <f>IF($D657="",0,'Guide &amp; Settings'!$C$44*IF($F657&gt;=3,$F657,0))</f>
        <v>3</v>
      </c>
      <c r="M657" s="124">
        <f t="shared" si="203"/>
        <v>16.872895904951637</v>
      </c>
      <c r="N657" s="122">
        <f t="shared" si="204"/>
        <v>1317.8217591924433</v>
      </c>
      <c r="O657" s="121" t="str">
        <f t="shared" si="205"/>
        <v>OK</v>
      </c>
      <c r="P657">
        <f t="shared" si="206"/>
        <v>1300.9488632874916</v>
      </c>
      <c r="Q657">
        <f t="shared" si="207"/>
        <v>0.5</v>
      </c>
      <c r="R657">
        <f t="shared" si="208"/>
        <v>0.5</v>
      </c>
      <c r="S657">
        <f t="shared" si="209"/>
        <v>1.5</v>
      </c>
      <c r="T657" s="89">
        <f t="shared" si="210"/>
        <v>0</v>
      </c>
      <c r="U657" s="126">
        <f>IF($D657="",0,IFERROR(LOOKUP(2,1/(($D$3:D656=$D657)*($C$3:C656=$C657)*($A$3:A656&lt;$A657)),$AB$3:AB656),1000))</f>
        <v>1000</v>
      </c>
      <c r="V657" s="126">
        <f t="shared" si="211"/>
        <v>1300.9488632874916</v>
      </c>
      <c r="W657">
        <f t="shared" si="212"/>
        <v>1300.9488632874916</v>
      </c>
      <c r="X657">
        <f t="shared" si="213"/>
        <v>0.5</v>
      </c>
      <c r="Y657">
        <f t="shared" si="214"/>
        <v>1000</v>
      </c>
      <c r="Z657">
        <f t="shared" si="215"/>
        <v>0.5</v>
      </c>
      <c r="AA657">
        <f>IF($D657="",0,IF($F657&lt;2,0,IF($E657="Win",('Guide &amp; Settings'!$C$42/(($F657-1)*COUNTIFS($A$4:$A$1510,$A657,$E$4:$E$1510,"Win")))*SUMIFS($Z$4:$Z$1510,$A$4:$A$1510,$A657,$E$4:$E$1510,"Loss"),-('Guide &amp; Settings'!$C$42/($F657-1))*$Z657)))</f>
        <v>16</v>
      </c>
      <c r="AB657" s="126">
        <f t="shared" si="216"/>
        <v>1016</v>
      </c>
      <c r="AC657" s="126">
        <f>IF($D657="","",IF($AD657=0,0,IF(COUNTIFS($D$4:$D657,$D657,$B$4:$B657,$B657)&gt;1,0,IF($B657&lt;'Guide &amp; Settings'!$C$50,0,IF(($B657-$AD657)/7-'Guide &amp; Settings'!$C$48&gt;=0,(INT(($B657-$AD657)/7-'Guide &amp; Settings'!$C$48)+1)*'Guide &amp; Settings'!$C$49,0)))))</f>
        <v>0</v>
      </c>
      <c r="AD657" s="142">
        <f t="shared" si="217"/>
        <v>46264</v>
      </c>
      <c r="AE657">
        <f t="shared" si="218"/>
        <v>1</v>
      </c>
      <c r="AF657">
        <f t="shared" si="219"/>
        <v>0</v>
      </c>
    </row>
    <row r="658" spans="1:32" x14ac:dyDescent="0.2">
      <c r="A658" s="117">
        <v>278</v>
      </c>
      <c r="B658" s="118">
        <v>46271</v>
      </c>
      <c r="C658" s="119" t="s">
        <v>42</v>
      </c>
      <c r="D658" s="119" t="s">
        <v>21</v>
      </c>
      <c r="E658" s="117" t="s">
        <v>371</v>
      </c>
      <c r="F658" s="120">
        <f t="shared" si="200"/>
        <v>3</v>
      </c>
      <c r="G658" s="121" t="str">
        <f t="shared" si="201"/>
        <v>Shawn</v>
      </c>
      <c r="H658" s="122">
        <f>IF($D658="",0,IFERROR(LOOKUP(2,1/(($D$3:D657=$D658)*($A$3:A657&lt;$A658)),$N$3:N657),'Guide &amp; Settings'!$C$41))</f>
        <v>1099.6597362825432</v>
      </c>
      <c r="I658" s="123">
        <f t="shared" si="202"/>
        <v>0.33333333333333331</v>
      </c>
      <c r="J658" s="124">
        <f>IF($D658="",0,IF($F658&lt;2,0,IF($E658="Win",('Guide &amp; Settings'!$C$42/(($F658-1)*COUNTIFS($A$4:$A$1510,$A658,$E$4:$E$1510,"Win")))*SUMIFS($X$4:$X$1510,$A$4:$A$1510,$A658,$E$4:$E$1510,"Loss"),-('Guide &amp; Settings'!$C$42/($F658-1))*$X658)))</f>
        <v>-3.8224184529278329</v>
      </c>
      <c r="K658" s="124">
        <f>IF($D658="",0,'Guide &amp; Settings'!$C$43*(IF($E658="Win",1,0)-$I658))</f>
        <v>-4</v>
      </c>
      <c r="L658" s="125">
        <f>IF($D658="",0,'Guide &amp; Settings'!$C$44*IF($F658&gt;=3,$F658,0))</f>
        <v>3</v>
      </c>
      <c r="M658" s="124">
        <f t="shared" si="203"/>
        <v>-4.8224184529278329</v>
      </c>
      <c r="N658" s="122">
        <f t="shared" si="204"/>
        <v>1094.8373178296154</v>
      </c>
      <c r="O658" s="121" t="str">
        <f t="shared" si="205"/>
        <v>OK</v>
      </c>
      <c r="P658">
        <f t="shared" si="206"/>
        <v>1300.9488632874916</v>
      </c>
      <c r="Q658">
        <f t="shared" si="207"/>
        <v>0.23890115330798956</v>
      </c>
      <c r="R658">
        <f t="shared" si="208"/>
        <v>0.5</v>
      </c>
      <c r="S658">
        <f t="shared" si="209"/>
        <v>1.5</v>
      </c>
      <c r="T658" s="89">
        <f t="shared" si="210"/>
        <v>0</v>
      </c>
      <c r="U658" s="126">
        <f>IF($D658="",0,IFERROR(LOOKUP(2,1/(($D$3:D657=$D658)*($C$3:C657=$C658)*($A$3:A657&lt;$A658)),$AB$3:AB657),1000))</f>
        <v>1000</v>
      </c>
      <c r="V658" s="126">
        <f t="shared" si="211"/>
        <v>1099.6597362825432</v>
      </c>
      <c r="W658">
        <f t="shared" si="212"/>
        <v>1300.9488632874916</v>
      </c>
      <c r="X658">
        <f t="shared" si="213"/>
        <v>0.23890115330798956</v>
      </c>
      <c r="Y658">
        <f t="shared" si="214"/>
        <v>1000</v>
      </c>
      <c r="Z658">
        <f t="shared" si="215"/>
        <v>0.5</v>
      </c>
      <c r="AA658">
        <f>IF($D658="",0,IF($F658&lt;2,0,IF($E658="Win",('Guide &amp; Settings'!$C$42/(($F658-1)*COUNTIFS($A$4:$A$1510,$A658,$E$4:$E$1510,"Win")))*SUMIFS($Z$4:$Z$1510,$A$4:$A$1510,$A658,$E$4:$E$1510,"Loss"),-('Guide &amp; Settings'!$C$42/($F658-1))*$Z658)))</f>
        <v>-8</v>
      </c>
      <c r="AB658" s="126">
        <f t="shared" si="216"/>
        <v>992</v>
      </c>
      <c r="AC658" s="126">
        <f>IF($D658="","",IF($AD658=0,0,IF(COUNTIFS($D$4:$D658,$D658,$B$4:$B658,$B658)&gt;1,0,IF($B658&lt;'Guide &amp; Settings'!$C$50,0,IF(($B658-$AD658)/7-'Guide &amp; Settings'!$C$48&gt;=0,(INT(($B658-$AD658)/7-'Guide &amp; Settings'!$C$48)+1)*'Guide &amp; Settings'!$C$49,0)))))</f>
        <v>0</v>
      </c>
      <c r="AD658" s="142">
        <f t="shared" si="217"/>
        <v>46260</v>
      </c>
      <c r="AE658">
        <f t="shared" si="218"/>
        <v>1</v>
      </c>
      <c r="AF658">
        <f t="shared" si="219"/>
        <v>0</v>
      </c>
    </row>
    <row r="659" spans="1:32" x14ac:dyDescent="0.2">
      <c r="A659" s="117">
        <v>278</v>
      </c>
      <c r="B659" s="118">
        <v>46271</v>
      </c>
      <c r="C659" s="119" t="s">
        <v>42</v>
      </c>
      <c r="D659" s="119" t="s">
        <v>25</v>
      </c>
      <c r="E659" s="117" t="s">
        <v>371</v>
      </c>
      <c r="F659" s="120">
        <f t="shared" si="200"/>
        <v>3</v>
      </c>
      <c r="G659" s="121" t="str">
        <f t="shared" si="201"/>
        <v>Shawn</v>
      </c>
      <c r="H659" s="122">
        <f>IF($D659="",0,IFERROR(LOOKUP(2,1/(($D$3:D658=$D659)*($A$3:A658&lt;$A659)),$N$3:N658),'Guide &amp; Settings'!$C$41))</f>
        <v>967.86712518274226</v>
      </c>
      <c r="I659" s="123">
        <f t="shared" si="202"/>
        <v>0.33333333333333331</v>
      </c>
      <c r="J659" s="124">
        <f>IF($D659="",0,IF($F659&lt;2,0,IF($E659="Win",('Guide &amp; Settings'!$C$42/(($F659-1)*COUNTIFS($A$4:$A$1510,$A659,$E$4:$E$1510,"Win")))*SUMIFS($X$4:$X$1510,$A$4:$A$1510,$A659,$E$4:$E$1510,"Loss"),-('Guide &amp; Settings'!$C$42/($F659-1))*$X659)))</f>
        <v>-2.0504774520238032</v>
      </c>
      <c r="K659" s="124">
        <f>IF($D659="",0,'Guide &amp; Settings'!$C$43*(IF($E659="Win",1,0)-$I659))</f>
        <v>-4</v>
      </c>
      <c r="L659" s="125">
        <f>IF($D659="",0,'Guide &amp; Settings'!$C$44*IF($F659&gt;=3,$F659,0))</f>
        <v>3</v>
      </c>
      <c r="M659" s="124">
        <f t="shared" si="203"/>
        <v>-3.0504774520238032</v>
      </c>
      <c r="N659" s="122">
        <f t="shared" si="204"/>
        <v>964.8166477307185</v>
      </c>
      <c r="O659" s="121" t="str">
        <f t="shared" si="205"/>
        <v>OK</v>
      </c>
      <c r="P659">
        <f t="shared" si="206"/>
        <v>1300.9488632874916</v>
      </c>
      <c r="Q659">
        <f t="shared" si="207"/>
        <v>0.1281548407514877</v>
      </c>
      <c r="R659">
        <f t="shared" si="208"/>
        <v>0.5</v>
      </c>
      <c r="S659">
        <f t="shared" si="209"/>
        <v>1.5</v>
      </c>
      <c r="T659" s="89">
        <f t="shared" si="210"/>
        <v>0</v>
      </c>
      <c r="U659" s="126">
        <f>IF($D659="",0,IFERROR(LOOKUP(2,1/(($D$3:D658=$D659)*($C$3:C658=$C659)*($A$3:A658&lt;$A659)),$AB$3:AB658),1000))</f>
        <v>1000</v>
      </c>
      <c r="V659" s="126">
        <f t="shared" si="211"/>
        <v>967.86712518274226</v>
      </c>
      <c r="W659">
        <f t="shared" si="212"/>
        <v>1300.9488632874916</v>
      </c>
      <c r="X659">
        <f t="shared" si="213"/>
        <v>0.1281548407514877</v>
      </c>
      <c r="Y659">
        <f t="shared" si="214"/>
        <v>1000</v>
      </c>
      <c r="Z659">
        <f t="shared" si="215"/>
        <v>0.5</v>
      </c>
      <c r="AA659">
        <f>IF($D659="",0,IF($F659&lt;2,0,IF($E659="Win",('Guide &amp; Settings'!$C$42/(($F659-1)*COUNTIFS($A$4:$A$1510,$A659,$E$4:$E$1510,"Win")))*SUMIFS($Z$4:$Z$1510,$A$4:$A$1510,$A659,$E$4:$E$1510,"Loss"),-('Guide &amp; Settings'!$C$42/($F659-1))*$Z659)))</f>
        <v>-8</v>
      </c>
      <c r="AB659" s="126">
        <f t="shared" si="216"/>
        <v>992</v>
      </c>
      <c r="AC659" s="126">
        <f>IF($D659="","",IF($AD659=0,0,IF(COUNTIFS($D$4:$D659,$D659,$B$4:$B659,$B659)&gt;1,0,IF($B659&lt;'Guide &amp; Settings'!$C$50,0,IF(($B659-$AD659)/7-'Guide &amp; Settings'!$C$48&gt;=0,(INT(($B659-$AD659)/7-'Guide &amp; Settings'!$C$48)+1)*'Guide &amp; Settings'!$C$49,0)))))</f>
        <v>0</v>
      </c>
      <c r="AD659" s="142">
        <f t="shared" si="217"/>
        <v>46260</v>
      </c>
      <c r="AE659">
        <f t="shared" si="218"/>
        <v>1</v>
      </c>
      <c r="AF659">
        <f t="shared" si="219"/>
        <v>0</v>
      </c>
    </row>
    <row r="660" spans="1:32" x14ac:dyDescent="0.2">
      <c r="A660" s="117">
        <v>279</v>
      </c>
      <c r="B660" s="118">
        <v>46271</v>
      </c>
      <c r="C660" s="119" t="s">
        <v>42</v>
      </c>
      <c r="D660" s="119" t="s">
        <v>20</v>
      </c>
      <c r="E660" s="117" t="s">
        <v>371</v>
      </c>
      <c r="F660" s="120">
        <f t="shared" si="200"/>
        <v>3</v>
      </c>
      <c r="G660" s="121" t="str">
        <f t="shared" si="201"/>
        <v>Simon</v>
      </c>
      <c r="H660" s="122">
        <f>IF($D660="",0,IFERROR(LOOKUP(2,1/(($D$3:D659=$D660)*($A$3:A659&lt;$A660)),$N$3:N659),'Guide &amp; Settings'!$C$41))</f>
        <v>1317.8217591924433</v>
      </c>
      <c r="I660" s="123">
        <f t="shared" si="202"/>
        <v>0.5</v>
      </c>
      <c r="J660" s="124">
        <f>IF($D660="",0,IF($F660&lt;2,0,IF($E660="Win",('Guide &amp; Settings'!$C$42/(($F660-1)*COUNTIFS($A$4:$A$1510,$A660,$E$4:$E$1510,"Win")))*SUMIFS($X$4:$X$1510,$A$4:$A$1510,$A660,$E$4:$E$1510,"Loss"),-('Guide &amp; Settings'!$C$42/($F660-1))*$X660)))</f>
        <v>-11.982218495679067</v>
      </c>
      <c r="K660" s="124">
        <f>IF($D660="",0,'Guide &amp; Settings'!$C$43*(IF($E660="Win",1,0)-$I660))</f>
        <v>-6</v>
      </c>
      <c r="L660" s="125">
        <f>IF($D660="",0,'Guide &amp; Settings'!$C$44*IF($F660&gt;=3,$F660,0))</f>
        <v>3</v>
      </c>
      <c r="M660" s="124">
        <f t="shared" si="203"/>
        <v>-14.982218495679067</v>
      </c>
      <c r="N660" s="122">
        <f t="shared" si="204"/>
        <v>1302.8395406967643</v>
      </c>
      <c r="O660" s="121" t="str">
        <f t="shared" si="205"/>
        <v>OK</v>
      </c>
      <c r="P660">
        <f t="shared" si="206"/>
        <v>1094.8373178296154</v>
      </c>
      <c r="Q660">
        <f t="shared" si="207"/>
        <v>0.7830622292598195</v>
      </c>
      <c r="R660">
        <f t="shared" si="208"/>
        <v>0.66666666666666663</v>
      </c>
      <c r="S660">
        <f t="shared" si="209"/>
        <v>1.3333333333333333</v>
      </c>
      <c r="T660" s="89">
        <f t="shared" si="210"/>
        <v>1</v>
      </c>
      <c r="U660" s="126">
        <f>IF($D660="",0,IFERROR(LOOKUP(2,1/(($D$3:D659=$D660)*($C$3:C659=$C660)*($A$3:A659&lt;$A660)),$AB$3:AB659),1000))</f>
        <v>1016</v>
      </c>
      <c r="V660" s="126">
        <f t="shared" si="211"/>
        <v>1267.5181326603695</v>
      </c>
      <c r="W660">
        <f t="shared" si="212"/>
        <v>1077.6977648580128</v>
      </c>
      <c r="X660">
        <f t="shared" si="213"/>
        <v>0.7488886559799417</v>
      </c>
      <c r="Y660">
        <f t="shared" si="214"/>
        <v>992</v>
      </c>
      <c r="Z660">
        <f t="shared" si="215"/>
        <v>0.53448394472683147</v>
      </c>
      <c r="AA660">
        <f>IF($D660="",0,IF($F660&lt;2,0,IF($E660="Win",('Guide &amp; Settings'!$C$42/(($F660-1)*COUNTIFS($A$4:$A$1510,$A660,$E$4:$E$1510,"Win")))*SUMIFS($Z$4:$Z$1510,$A$4:$A$1510,$A660,$E$4:$E$1510,"Loss"),-('Guide &amp; Settings'!$C$42/($F660-1))*$Z660)))</f>
        <v>-8.5517431156293036</v>
      </c>
      <c r="AB660" s="126">
        <f t="shared" si="216"/>
        <v>1007.4482568843707</v>
      </c>
      <c r="AC660" s="126">
        <f>IF($D660="","",IF($AD660=0,0,IF(COUNTIFS($D$4:$D660,$D660,$B$4:$B660,$B660)&gt;1,0,IF($B660&lt;'Guide &amp; Settings'!$C$50,0,IF(($B660-$AD660)/7-'Guide &amp; Settings'!$C$48&gt;=0,(INT(($B660-$AD660)/7-'Guide &amp; Settings'!$C$48)+1)*'Guide &amp; Settings'!$C$49,0)))))</f>
        <v>0</v>
      </c>
      <c r="AD660" s="142">
        <f t="shared" si="217"/>
        <v>46264</v>
      </c>
      <c r="AE660">
        <f t="shared" si="218"/>
        <v>1</v>
      </c>
      <c r="AF660">
        <f t="shared" si="219"/>
        <v>0</v>
      </c>
    </row>
    <row r="661" spans="1:32" x14ac:dyDescent="0.2">
      <c r="A661" s="117">
        <v>279</v>
      </c>
      <c r="B661" s="118">
        <v>46271</v>
      </c>
      <c r="C661" s="119" t="s">
        <v>42</v>
      </c>
      <c r="D661" s="119" t="s">
        <v>21</v>
      </c>
      <c r="E661" s="117" t="s">
        <v>370</v>
      </c>
      <c r="F661" s="120">
        <f t="shared" si="200"/>
        <v>3</v>
      </c>
      <c r="G661" s="121" t="str">
        <f t="shared" si="201"/>
        <v>Simon</v>
      </c>
      <c r="H661" s="122">
        <f>IF($D661="",0,IFERROR(LOOKUP(2,1/(($D$3:D660=$D661)*($A$3:A660&lt;$A661)),$N$3:N660),'Guide &amp; Settings'!$C$41))</f>
        <v>1094.8373178296154</v>
      </c>
      <c r="I661" s="123">
        <f t="shared" si="202"/>
        <v>0.25</v>
      </c>
      <c r="J661" s="124">
        <f>IF($D661="",0,IF($F661&lt;2,0,IF($E661="Win",('Guide &amp; Settings'!$C$42/(($F661-1)*COUNTIFS($A$4:$A$1510,$A661,$E$4:$E$1510,"Win")))*SUMIFS($X$4:$X$1510,$A$4:$A$1510,$A661,$E$4:$E$1510,"Loss"),-('Guide &amp; Settings'!$C$42/($F661-1))*$X661)))</f>
        <v>17.565207115268528</v>
      </c>
      <c r="K661" s="124">
        <f>IF($D661="",0,'Guide &amp; Settings'!$C$43*(IF($E661="Win",1,0)-$I661))</f>
        <v>9</v>
      </c>
      <c r="L661" s="125">
        <f>IF($D661="",0,'Guide &amp; Settings'!$C$44*IF($F661&gt;=3,$F661,0))</f>
        <v>3</v>
      </c>
      <c r="M661" s="124">
        <f t="shared" si="203"/>
        <v>29.565207115268528</v>
      </c>
      <c r="N661" s="122">
        <f t="shared" si="204"/>
        <v>1124.4025249448839</v>
      </c>
      <c r="O661" s="121" t="str">
        <f t="shared" si="205"/>
        <v>OK</v>
      </c>
      <c r="P661">
        <f t="shared" si="206"/>
        <v>1094.8373178296154</v>
      </c>
      <c r="Q661">
        <f t="shared" si="207"/>
        <v>0.5</v>
      </c>
      <c r="R661">
        <f t="shared" si="208"/>
        <v>0.33333333333333331</v>
      </c>
      <c r="S661">
        <f t="shared" si="209"/>
        <v>1.3333333333333333</v>
      </c>
      <c r="T661" s="89">
        <f t="shared" si="210"/>
        <v>1</v>
      </c>
      <c r="U661" s="126">
        <f>IF($D661="",0,IFERROR(LOOKUP(2,1/(($D$3:D660=$D661)*($C$3:C660=$C661)*($A$3:A660&lt;$A661)),$AB$3:AB660),1000))</f>
        <v>992</v>
      </c>
      <c r="V661" s="126">
        <f t="shared" si="211"/>
        <v>1077.6977648580128</v>
      </c>
      <c r="W661">
        <f t="shared" si="212"/>
        <v>1077.6977648580128</v>
      </c>
      <c r="X661">
        <f t="shared" si="213"/>
        <v>0.5</v>
      </c>
      <c r="Y661">
        <f t="shared" si="214"/>
        <v>992</v>
      </c>
      <c r="Z661">
        <f t="shared" si="215"/>
        <v>0.5</v>
      </c>
      <c r="AA661">
        <f>IF($D661="",0,IF($F661&lt;2,0,IF($E661="Win",('Guide &amp; Settings'!$C$42/(($F661-1)*COUNTIFS($A$4:$A$1510,$A661,$E$4:$E$1510,"Win")))*SUMIFS($Z$4:$Z$1510,$A$4:$A$1510,$A661,$E$4:$E$1510,"Loss"),-('Guide &amp; Settings'!$C$42/($F661-1))*$Z661)))</f>
        <v>16.551743115629304</v>
      </c>
      <c r="AB661" s="126">
        <f t="shared" si="216"/>
        <v>1008.5517431156293</v>
      </c>
      <c r="AC661" s="126">
        <f>IF($D661="","",IF($AD661=0,0,IF(COUNTIFS($D$4:$D661,$D661,$B$4:$B661,$B661)&gt;1,0,IF($B661&lt;'Guide &amp; Settings'!$C$50,0,IF(($B661-$AD661)/7-'Guide &amp; Settings'!$C$48&gt;=0,(INT(($B661-$AD661)/7-'Guide &amp; Settings'!$C$48)+1)*'Guide &amp; Settings'!$C$49,0)))))</f>
        <v>0</v>
      </c>
      <c r="AD661" s="142">
        <f t="shared" si="217"/>
        <v>46260</v>
      </c>
      <c r="AE661">
        <f t="shared" si="218"/>
        <v>1</v>
      </c>
      <c r="AF661">
        <f t="shared" si="219"/>
        <v>0</v>
      </c>
    </row>
    <row r="662" spans="1:32" x14ac:dyDescent="0.2">
      <c r="A662" s="117">
        <v>279</v>
      </c>
      <c r="B662" s="118">
        <v>46271</v>
      </c>
      <c r="C662" s="119" t="s">
        <v>42</v>
      </c>
      <c r="D662" s="119" t="s">
        <v>25</v>
      </c>
      <c r="E662" s="117" t="s">
        <v>371</v>
      </c>
      <c r="F662" s="120">
        <f t="shared" si="200"/>
        <v>3</v>
      </c>
      <c r="G662" s="121" t="str">
        <f t="shared" si="201"/>
        <v>Simon</v>
      </c>
      <c r="H662" s="122">
        <f>IF($D662="",0,IFERROR(LOOKUP(2,1/(($D$3:D661=$D662)*($A$3:A661&lt;$A662)),$N$3:N661),'Guide &amp; Settings'!$C$41))</f>
        <v>964.8166477307185</v>
      </c>
      <c r="I662" s="123">
        <f t="shared" si="202"/>
        <v>0.25</v>
      </c>
      <c r="J662" s="124">
        <f>IF($D662="",0,IF($F662&lt;2,0,IF($E662="Win",('Guide &amp; Settings'!$C$42/(($F662-1)*COUNTIFS($A$4:$A$1510,$A662,$E$4:$E$1510,"Win")))*SUMIFS($X$4:$X$1510,$A$4:$A$1510,$A662,$E$4:$E$1510,"Loss"),-('Guide &amp; Settings'!$C$42/($F662-1))*$X662)))</f>
        <v>-5.5829886195894627</v>
      </c>
      <c r="K662" s="124">
        <f>IF($D662="",0,'Guide &amp; Settings'!$C$43*(IF($E662="Win",1,0)-$I662))</f>
        <v>-3</v>
      </c>
      <c r="L662" s="125">
        <f>IF($D662="",0,'Guide &amp; Settings'!$C$44*IF($F662&gt;=3,$F662,0))</f>
        <v>3</v>
      </c>
      <c r="M662" s="124">
        <f t="shared" si="203"/>
        <v>-5.5829886195894627</v>
      </c>
      <c r="N662" s="122">
        <f t="shared" si="204"/>
        <v>959.23365911112899</v>
      </c>
      <c r="O662" s="121" t="str">
        <f t="shared" si="205"/>
        <v>OK</v>
      </c>
      <c r="P662">
        <f t="shared" si="206"/>
        <v>1094.8373178296154</v>
      </c>
      <c r="Q662">
        <f t="shared" si="207"/>
        <v>0.32115713875039187</v>
      </c>
      <c r="R662">
        <f t="shared" si="208"/>
        <v>0.33333333333333331</v>
      </c>
      <c r="S662">
        <f t="shared" si="209"/>
        <v>1.3333333333333333</v>
      </c>
      <c r="T662" s="89">
        <f t="shared" si="210"/>
        <v>1</v>
      </c>
      <c r="U662" s="126">
        <f>IF($D662="",0,IFERROR(LOOKUP(2,1/(($D$3:D661=$D662)*($C$3:C661=$C662)*($A$3:A661&lt;$A662)),$AB$3:AB661),1000))</f>
        <v>992</v>
      </c>
      <c r="V662" s="126">
        <f t="shared" si="211"/>
        <v>969.34720644226536</v>
      </c>
      <c r="W662">
        <f t="shared" si="212"/>
        <v>1077.6977648580128</v>
      </c>
      <c r="X662">
        <f t="shared" si="213"/>
        <v>0.34893678872434142</v>
      </c>
      <c r="Y662">
        <f t="shared" si="214"/>
        <v>992</v>
      </c>
      <c r="Z662">
        <f t="shared" si="215"/>
        <v>0.5</v>
      </c>
      <c r="AA662">
        <f>IF($D662="",0,IF($F662&lt;2,0,IF($E662="Win",('Guide &amp; Settings'!$C$42/(($F662-1)*COUNTIFS($A$4:$A$1510,$A662,$E$4:$E$1510,"Win")))*SUMIFS($Z$4:$Z$1510,$A$4:$A$1510,$A662,$E$4:$E$1510,"Loss"),-('Guide &amp; Settings'!$C$42/($F662-1))*$Z662)))</f>
        <v>-8</v>
      </c>
      <c r="AB662" s="126">
        <f t="shared" si="216"/>
        <v>984</v>
      </c>
      <c r="AC662" s="126">
        <f>IF($D662="","",IF($AD662=0,0,IF(COUNTIFS($D$4:$D662,$D662,$B$4:$B662,$B662)&gt;1,0,IF($B662&lt;'Guide &amp; Settings'!$C$50,0,IF(($B662-$AD662)/7-'Guide &amp; Settings'!$C$48&gt;=0,(INT(($B662-$AD662)/7-'Guide &amp; Settings'!$C$48)+1)*'Guide &amp; Settings'!$C$49,0)))))</f>
        <v>0</v>
      </c>
      <c r="AD662" s="142">
        <f t="shared" si="217"/>
        <v>46260</v>
      </c>
      <c r="AE662">
        <f t="shared" si="218"/>
        <v>1</v>
      </c>
      <c r="AF662">
        <f t="shared" si="219"/>
        <v>0</v>
      </c>
    </row>
    <row r="663" spans="1:32" x14ac:dyDescent="0.2">
      <c r="A663" s="117">
        <v>280</v>
      </c>
      <c r="B663" s="118">
        <v>46271</v>
      </c>
      <c r="C663" s="119" t="s">
        <v>42</v>
      </c>
      <c r="D663" s="119" t="s">
        <v>20</v>
      </c>
      <c r="E663" s="117" t="s">
        <v>371</v>
      </c>
      <c r="F663" s="120">
        <f t="shared" si="200"/>
        <v>3</v>
      </c>
      <c r="G663" s="121" t="str">
        <f t="shared" si="201"/>
        <v>Simon</v>
      </c>
      <c r="H663" s="122">
        <f>IF($D663="",0,IFERROR(LOOKUP(2,1/(($D$3:D662=$D663)*($A$3:A662&lt;$A663)),$N$3:N662),'Guide &amp; Settings'!$C$41))</f>
        <v>1302.8395406967643</v>
      </c>
      <c r="I663" s="123">
        <f t="shared" si="202"/>
        <v>0.4</v>
      </c>
      <c r="J663" s="124">
        <f>IF($D663="",0,IF($F663&lt;2,0,IF($E663="Win",('Guide &amp; Settings'!$C$42/(($F663-1)*COUNTIFS($A$4:$A$1510,$A663,$E$4:$E$1510,"Win")))*SUMIFS($X$4:$X$1510,$A$4:$A$1510,$A663,$E$4:$E$1510,"Loss"),-('Guide &amp; Settings'!$C$42/($F663-1))*$X663)))</f>
        <v>-10.803465897676393</v>
      </c>
      <c r="K663" s="124">
        <f>IF($D663="",0,'Guide &amp; Settings'!$C$43*(IF($E663="Win",1,0)-$I663))</f>
        <v>-4.8000000000000007</v>
      </c>
      <c r="L663" s="125">
        <f>IF($D663="",0,'Guide &amp; Settings'!$C$44*IF($F663&gt;=3,$F663,0))</f>
        <v>3</v>
      </c>
      <c r="M663" s="124">
        <f t="shared" si="203"/>
        <v>-12.603465897676394</v>
      </c>
      <c r="N663" s="122">
        <f t="shared" si="204"/>
        <v>1290.2360747990879</v>
      </c>
      <c r="O663" s="121" t="str">
        <f t="shared" si="205"/>
        <v>OK</v>
      </c>
      <c r="P663">
        <f t="shared" si="206"/>
        <v>1124.4025249448839</v>
      </c>
      <c r="Q663">
        <f t="shared" si="207"/>
        <v>0.7363661031140426</v>
      </c>
      <c r="R663">
        <f t="shared" si="208"/>
        <v>0.5</v>
      </c>
      <c r="S663">
        <f t="shared" si="209"/>
        <v>1.25</v>
      </c>
      <c r="T663" s="89">
        <f t="shared" si="210"/>
        <v>2</v>
      </c>
      <c r="U663" s="126">
        <f>IF($D663="",0,IFERROR(LOOKUP(2,1/(($D$3:D662=$D663)*($C$3:C662=$C663)*($A$3:A662&lt;$A663)),$AB$3:AB662),1000))</f>
        <v>1007.4482568843707</v>
      </c>
      <c r="V663" s="126">
        <f t="shared" si="211"/>
        <v>1218.4420310360804</v>
      </c>
      <c r="W663">
        <f t="shared" si="212"/>
        <v>1091.302301565097</v>
      </c>
      <c r="X663">
        <f t="shared" si="213"/>
        <v>0.67521661860477455</v>
      </c>
      <c r="Y663">
        <f t="shared" si="214"/>
        <v>1008.5517431156293</v>
      </c>
      <c r="Z663">
        <f t="shared" si="215"/>
        <v>0.49841196099828572</v>
      </c>
      <c r="AA663">
        <f>IF($D663="",0,IF($F663&lt;2,0,IF($E663="Win",('Guide &amp; Settings'!$C$42/(($F663-1)*COUNTIFS($A$4:$A$1510,$A663,$E$4:$E$1510,"Win")))*SUMIFS($Z$4:$Z$1510,$A$4:$A$1510,$A663,$E$4:$E$1510,"Loss"),-('Guide &amp; Settings'!$C$42/($F663-1))*$Z663)))</f>
        <v>-7.9745913759725715</v>
      </c>
      <c r="AB663" s="126">
        <f t="shared" si="216"/>
        <v>999.4736655083982</v>
      </c>
      <c r="AC663" s="126">
        <f>IF($D663="","",IF($AD663=0,0,IF(COUNTIFS($D$4:$D663,$D663,$B$4:$B663,$B663)&gt;1,0,IF($B663&lt;'Guide &amp; Settings'!$C$50,0,IF(($B663-$AD663)/7-'Guide &amp; Settings'!$C$48&gt;=0,(INT(($B663-$AD663)/7-'Guide &amp; Settings'!$C$48)+1)*'Guide &amp; Settings'!$C$49,0)))))</f>
        <v>0</v>
      </c>
      <c r="AD663" s="142">
        <f t="shared" si="217"/>
        <v>46264</v>
      </c>
      <c r="AE663">
        <f t="shared" si="218"/>
        <v>1</v>
      </c>
      <c r="AF663">
        <f t="shared" si="219"/>
        <v>0</v>
      </c>
    </row>
    <row r="664" spans="1:32" x14ac:dyDescent="0.2">
      <c r="A664" s="117">
        <v>280</v>
      </c>
      <c r="B664" s="118">
        <v>46271</v>
      </c>
      <c r="C664" s="119" t="s">
        <v>42</v>
      </c>
      <c r="D664" s="119" t="s">
        <v>21</v>
      </c>
      <c r="E664" s="117" t="s">
        <v>370</v>
      </c>
      <c r="F664" s="120">
        <f t="shared" si="200"/>
        <v>3</v>
      </c>
      <c r="G664" s="121" t="str">
        <f t="shared" si="201"/>
        <v>Simon</v>
      </c>
      <c r="H664" s="122">
        <f>IF($D664="",0,IFERROR(LOOKUP(2,1/(($D$3:D663=$D664)*($A$3:A663&lt;$A664)),$N$3:N663),'Guide &amp; Settings'!$C$41))</f>
        <v>1124.4025249448839</v>
      </c>
      <c r="I664" s="123">
        <f t="shared" si="202"/>
        <v>0.4</v>
      </c>
      <c r="J664" s="124">
        <f>IF($D664="",0,IF($F664&lt;2,0,IF($E664="Win",('Guide &amp; Settings'!$C$42/(($F664-1)*COUNTIFS($A$4:$A$1510,$A664,$E$4:$E$1510,"Win")))*SUMIFS($X$4:$X$1510,$A$4:$A$1510,$A664,$E$4:$E$1510,"Loss"),-('Guide &amp; Settings'!$C$42/($F664-1))*$X664)))</f>
        <v>16.043462828151164</v>
      </c>
      <c r="K664" s="124">
        <f>IF($D664="",0,'Guide &amp; Settings'!$C$43*(IF($E664="Win",1,0)-$I664))</f>
        <v>7.1999999999999993</v>
      </c>
      <c r="L664" s="125">
        <f>IF($D664="",0,'Guide &amp; Settings'!$C$44*IF($F664&gt;=3,$F664,0))</f>
        <v>3</v>
      </c>
      <c r="M664" s="124">
        <f t="shared" si="203"/>
        <v>26.243462828151163</v>
      </c>
      <c r="N664" s="122">
        <f t="shared" si="204"/>
        <v>1150.6459877730351</v>
      </c>
      <c r="O664" s="121" t="str">
        <f t="shared" si="205"/>
        <v>OK</v>
      </c>
      <c r="P664">
        <f t="shared" si="206"/>
        <v>1124.4025249448839</v>
      </c>
      <c r="Q664">
        <f t="shared" si="207"/>
        <v>0.5</v>
      </c>
      <c r="R664">
        <f t="shared" si="208"/>
        <v>0.5</v>
      </c>
      <c r="S664">
        <f t="shared" si="209"/>
        <v>1.25</v>
      </c>
      <c r="T664" s="89">
        <f t="shared" si="210"/>
        <v>2</v>
      </c>
      <c r="U664" s="126">
        <f>IF($D664="",0,IFERROR(LOOKUP(2,1/(($D$3:D663=$D664)*($C$3:C663=$C664)*($A$3:A663&lt;$A664)),$AB$3:AB663),1000))</f>
        <v>1008.5517431156293</v>
      </c>
      <c r="V664" s="126">
        <f t="shared" si="211"/>
        <v>1091.302301565097</v>
      </c>
      <c r="W664">
        <f t="shared" si="212"/>
        <v>1091.302301565097</v>
      </c>
      <c r="X664">
        <f t="shared" si="213"/>
        <v>0.5</v>
      </c>
      <c r="Y664">
        <f t="shared" si="214"/>
        <v>1008.5517431156293</v>
      </c>
      <c r="Z664">
        <f t="shared" si="215"/>
        <v>0.5</v>
      </c>
      <c r="AA664">
        <f>IF($D664="",0,IF($F664&lt;2,0,IF($E664="Win",('Guide &amp; Settings'!$C$42/(($F664-1)*COUNTIFS($A$4:$A$1510,$A664,$E$4:$E$1510,"Win")))*SUMIFS($Z$4:$Z$1510,$A$4:$A$1510,$A664,$E$4:$E$1510,"Loss"),-('Guide &amp; Settings'!$C$42/($F664-1))*$Z664)))</f>
        <v>15.410205730049903</v>
      </c>
      <c r="AB664" s="126">
        <f t="shared" si="216"/>
        <v>1023.9619488456792</v>
      </c>
      <c r="AC664" s="126">
        <f>IF($D664="","",IF($AD664=0,0,IF(COUNTIFS($D$4:$D664,$D664,$B$4:$B664,$B664)&gt;1,0,IF($B664&lt;'Guide &amp; Settings'!$C$50,0,IF(($B664-$AD664)/7-'Guide &amp; Settings'!$C$48&gt;=0,(INT(($B664-$AD664)/7-'Guide &amp; Settings'!$C$48)+1)*'Guide &amp; Settings'!$C$49,0)))))</f>
        <v>0</v>
      </c>
      <c r="AD664" s="142">
        <f t="shared" si="217"/>
        <v>46260</v>
      </c>
      <c r="AE664">
        <f t="shared" si="218"/>
        <v>1</v>
      </c>
      <c r="AF664">
        <f t="shared" si="219"/>
        <v>0</v>
      </c>
    </row>
    <row r="665" spans="1:32" x14ac:dyDescent="0.2">
      <c r="A665" s="117">
        <v>280</v>
      </c>
      <c r="B665" s="118">
        <v>46271</v>
      </c>
      <c r="C665" s="119" t="s">
        <v>42</v>
      </c>
      <c r="D665" s="119" t="s">
        <v>25</v>
      </c>
      <c r="E665" s="117" t="s">
        <v>371</v>
      </c>
      <c r="F665" s="120">
        <f t="shared" si="200"/>
        <v>3</v>
      </c>
      <c r="G665" s="121" t="str">
        <f t="shared" si="201"/>
        <v>Simon</v>
      </c>
      <c r="H665" s="122">
        <f>IF($D665="",0,IFERROR(LOOKUP(2,1/(($D$3:D664=$D665)*($A$3:A664&lt;$A665)),$N$3:N664),'Guide &amp; Settings'!$C$41))</f>
        <v>959.23365911112899</v>
      </c>
      <c r="I665" s="123">
        <f t="shared" si="202"/>
        <v>0.2</v>
      </c>
      <c r="J665" s="124">
        <f>IF($D665="",0,IF($F665&lt;2,0,IF($E665="Win",('Guide &amp; Settings'!$C$42/(($F665-1)*COUNTIFS($A$4:$A$1510,$A665,$E$4:$E$1510,"Win")))*SUMIFS($X$4:$X$1510,$A$4:$A$1510,$A665,$E$4:$E$1510,"Loss"),-('Guide &amp; Settings'!$C$42/($F665-1))*$X665)))</f>
        <v>-5.2399969304747716</v>
      </c>
      <c r="K665" s="124">
        <f>IF($D665="",0,'Guide &amp; Settings'!$C$43*(IF($E665="Win",1,0)-$I665))</f>
        <v>-2.4000000000000004</v>
      </c>
      <c r="L665" s="125">
        <f>IF($D665="",0,'Guide &amp; Settings'!$C$44*IF($F665&gt;=3,$F665,0))</f>
        <v>3</v>
      </c>
      <c r="M665" s="124">
        <f t="shared" si="203"/>
        <v>-4.6399969304747719</v>
      </c>
      <c r="N665" s="122">
        <f t="shared" si="204"/>
        <v>954.59366218065418</v>
      </c>
      <c r="O665" s="121" t="str">
        <f t="shared" si="205"/>
        <v>OK</v>
      </c>
      <c r="P665">
        <f t="shared" si="206"/>
        <v>1124.4025249448839</v>
      </c>
      <c r="Q665">
        <f t="shared" si="207"/>
        <v>0.27872629184270925</v>
      </c>
      <c r="R665">
        <f t="shared" si="208"/>
        <v>0.25</v>
      </c>
      <c r="S665">
        <f t="shared" si="209"/>
        <v>1.25</v>
      </c>
      <c r="T665" s="89">
        <f t="shared" si="210"/>
        <v>2</v>
      </c>
      <c r="U665" s="126">
        <f>IF($D665="",0,IFERROR(LOOKUP(2,1/(($D$3:D664=$D665)*($C$3:C664=$C665)*($A$3:A664&lt;$A665)),$AB$3:AB664),1000))</f>
        <v>984</v>
      </c>
      <c r="V665" s="126">
        <f t="shared" si="211"/>
        <v>966.30975650794926</v>
      </c>
      <c r="W665">
        <f t="shared" si="212"/>
        <v>1091.302301565097</v>
      </c>
      <c r="X665">
        <f t="shared" si="213"/>
        <v>0.32749980815467322</v>
      </c>
      <c r="Y665">
        <f t="shared" si="214"/>
        <v>1008.5517431156293</v>
      </c>
      <c r="Z665">
        <f t="shared" si="215"/>
        <v>0.4647258971298332</v>
      </c>
      <c r="AA665">
        <f>IF($D665="",0,IF($F665&lt;2,0,IF($E665="Win",('Guide &amp; Settings'!$C$42/(($F665-1)*COUNTIFS($A$4:$A$1510,$A665,$E$4:$E$1510,"Win")))*SUMIFS($Z$4:$Z$1510,$A$4:$A$1510,$A665,$E$4:$E$1510,"Loss"),-('Guide &amp; Settings'!$C$42/($F665-1))*$Z665)))</f>
        <v>-7.4356143540773312</v>
      </c>
      <c r="AB665" s="126">
        <f t="shared" si="216"/>
        <v>976.5643856459227</v>
      </c>
      <c r="AC665" s="126">
        <f>IF($D665="","",IF($AD665=0,0,IF(COUNTIFS($D$4:$D665,$D665,$B$4:$B665,$B665)&gt;1,0,IF($B665&lt;'Guide &amp; Settings'!$C$50,0,IF(($B665-$AD665)/7-'Guide &amp; Settings'!$C$48&gt;=0,(INT(($B665-$AD665)/7-'Guide &amp; Settings'!$C$48)+1)*'Guide &amp; Settings'!$C$49,0)))))</f>
        <v>0</v>
      </c>
      <c r="AD665" s="142">
        <f t="shared" si="217"/>
        <v>46260</v>
      </c>
      <c r="AE665">
        <f t="shared" si="218"/>
        <v>1</v>
      </c>
      <c r="AF665">
        <f t="shared" si="219"/>
        <v>0</v>
      </c>
    </row>
    <row r="666" spans="1:32" x14ac:dyDescent="0.2">
      <c r="A666" s="117">
        <v>281</v>
      </c>
      <c r="B666" s="118">
        <v>46271</v>
      </c>
      <c r="C666" s="119" t="s">
        <v>42</v>
      </c>
      <c r="D666" s="119" t="s">
        <v>20</v>
      </c>
      <c r="E666" s="117" t="s">
        <v>371</v>
      </c>
      <c r="F666" s="120">
        <f>IF($D666="",0,COUNTIF($A$4:$A$1510,$A666))</f>
        <v>3</v>
      </c>
      <c r="G666" s="121" t="str">
        <f>IF($D666="","",IFERROR(LOOKUP(2,1/(($A$4:$A$1510=$A666)*($E$4:$E$1510="Win")),$D$4:$D$1510),"(no winner)"))</f>
        <v>Simon</v>
      </c>
      <c r="H666" s="122">
        <f>IF($D666="",0,IFERROR(LOOKUP(2,1/(($D$3:D665=$D666)*($A$3:A665&lt;$A666)),$N$3:N665),'Guide &amp; Settings'!$C$41))</f>
        <v>1290.2360747990879</v>
      </c>
      <c r="I666" s="123">
        <f t="shared" si="202"/>
        <v>0.33333333333333337</v>
      </c>
      <c r="J666" s="124">
        <f>IF($D666="",0,IF($F666&lt;2,0,IF($E666="Win",('Guide &amp; Settings'!$C$42/(($F666-1)*COUNTIFS($A$4:$A$1510,$A666,$E$4:$E$1510,"Win")))*SUMIFS($X$4:$X$1510,$A$4:$A$1510,$A666,$E$4:$E$1510,"Loss"),-('Guide &amp; Settings'!$C$42/($F666-1))*$X666)))</f>
        <v>-9.7677681875743581</v>
      </c>
      <c r="K666" s="124">
        <f>IF($D666="",0,'Guide &amp; Settings'!$C$43*(IF($E666="Win",1,0)-$I666))</f>
        <v>-4</v>
      </c>
      <c r="L666" s="125">
        <f>IF($D666="",0,'Guide &amp; Settings'!$C$44*IF($F666&gt;=3,$F666,0))</f>
        <v>3</v>
      </c>
      <c r="M666" s="124">
        <f t="shared" si="203"/>
        <v>-10.767768187574358</v>
      </c>
      <c r="N666" s="122">
        <f t="shared" si="204"/>
        <v>1279.4683066115135</v>
      </c>
      <c r="O666" s="121" t="str">
        <f t="shared" si="205"/>
        <v>OK</v>
      </c>
      <c r="P666">
        <f>IF($D666="",0,IFERROR(SUMIFS($H$4:$H$1510,$A$4:$A$1510,$A666,$E$4:$E$1510,"Win")/COUNTIFS($A$4:$A$1510,$A666,$E$4:$E$1510,"Win"),0))</f>
        <v>1150.6459877730351</v>
      </c>
      <c r="Q666">
        <f t="shared" si="207"/>
        <v>0.69073230844172961</v>
      </c>
      <c r="R666">
        <f>IF($D666="",0,(COUNTIFS($D$4:$D$1510,$D666,$C$4:$C$1510,$C666,$E$4:$E$1510,"Win",$A$4:$A$1510,"&lt;"&amp;$A666)+1)/(COUNTIFS($D$4:$D$1510,$D666,$C$4:$C$1510,$C666,$A$4:$A$1510,"&lt;"&amp;$A666)+2))</f>
        <v>0.4</v>
      </c>
      <c r="S666">
        <f>IF($D666="",0,SUMIFS($R$4:$R$1510,$A$4:$A$1510,$A666))</f>
        <v>1.2</v>
      </c>
      <c r="T666" s="89">
        <f>IF($D666="",0,COUNTIFS($D$4:$D$1510,$D666,$C$4:$C$1510,$C666,$A$4:$A$1510,"&lt;"&amp;$A666))</f>
        <v>3</v>
      </c>
      <c r="U666" s="126">
        <f>IF($D666="",0,IFERROR(LOOKUP(2,1/(($D$3:D665=$D666)*($C$3:C665=$C666)*($A$3:A665&lt;$A666)),$AB$3:AB665),1000))</f>
        <v>999.4736655083982</v>
      </c>
      <c r="V666" s="126">
        <f t="shared" si="211"/>
        <v>1181.2001713150794</v>
      </c>
      <c r="W666">
        <f>IF($D666="",0,IFERROR(SUMIFS($V$4:$V$1510,$A$4:$A$1510,$A666,$E$4:$E$1510,"Win")/COUNTIFS($A$4:$A$1510,$A666,$E$4:$E$1510,"Win"),0))</f>
        <v>1103.1394731752766</v>
      </c>
      <c r="X666">
        <f t="shared" si="213"/>
        <v>0.61048551172339738</v>
      </c>
      <c r="Y666">
        <f>IF($D666="",0,IFERROR(SUMIFS($U$4:$U$1510,$A$4:$A$1510,$A666,$E$4:$E$1510,"Win")/COUNTIFS($A$4:$A$1510,$A666,$E$4:$E$1510,"Win"),0))</f>
        <v>1023.9619488456792</v>
      </c>
      <c r="Z666">
        <f t="shared" si="215"/>
        <v>0.46481676972823432</v>
      </c>
      <c r="AA666">
        <f>IF($D666="",0,IF($F666&lt;2,0,IF($E666="Win",('Guide &amp; Settings'!$C$42/(($F666-1)*COUNTIFS($A$4:$A$1510,$A666,$E$4:$E$1510,"Win")))*SUMIFS($Z$4:$Z$1510,$A$4:$A$1510,$A666,$E$4:$E$1510,"Loss"),-('Guide &amp; Settings'!$C$42/($F666-1))*$Z666)))</f>
        <v>-7.4370683156517492</v>
      </c>
      <c r="AB666" s="126">
        <f t="shared" si="216"/>
        <v>992.0365971927464</v>
      </c>
      <c r="AC666" s="126">
        <f>IF($D666="","",IF($AD666=0,0,IF(COUNTIFS($D$4:$D666,$D666,$B$4:$B666,$B666)&gt;1,0,IF($B666&lt;'Guide &amp; Settings'!$C$50,0,IF(($B666-$AD666)/7-'Guide &amp; Settings'!$C$48&gt;=0,(INT(($B666-$AD666)/7-'Guide &amp; Settings'!$C$48)+1)*'Guide &amp; Settings'!$C$49,0)))))</f>
        <v>0</v>
      </c>
      <c r="AD666" s="142">
        <f t="shared" si="217"/>
        <v>46264</v>
      </c>
      <c r="AE666">
        <f t="shared" si="218"/>
        <v>1</v>
      </c>
      <c r="AF666">
        <f t="shared" si="219"/>
        <v>0</v>
      </c>
    </row>
    <row r="667" spans="1:32" x14ac:dyDescent="0.2">
      <c r="A667" s="117">
        <v>281</v>
      </c>
      <c r="B667" s="118">
        <v>46271</v>
      </c>
      <c r="C667" s="119" t="s">
        <v>42</v>
      </c>
      <c r="D667" s="119" t="s">
        <v>21</v>
      </c>
      <c r="E667" s="117" t="s">
        <v>370</v>
      </c>
      <c r="F667" s="120">
        <f>IF($D667="",0,COUNTIF($A$4:$A$1510,$A667))</f>
        <v>3</v>
      </c>
      <c r="G667" s="121" t="str">
        <f>IF($D667="","",IFERROR(LOOKUP(2,1/(($A$4:$A$1510=$A667)*($E$4:$E$1510="Win")),$D$4:$D$1510),"(no winner)"))</f>
        <v>Simon</v>
      </c>
      <c r="H667" s="122">
        <f>IF($D667="",0,IFERROR(LOOKUP(2,1/(($D$3:D666=$D667)*($A$3:A666&lt;$A667)),$N$3:N666),'Guide &amp; Settings'!$C$41))</f>
        <v>1150.6459877730351</v>
      </c>
      <c r="I667" s="123">
        <f t="shared" si="202"/>
        <v>0.5</v>
      </c>
      <c r="J667" s="124">
        <f>IF($D667="",0,IF($F667&lt;2,0,IF($E667="Win",('Guide &amp; Settings'!$C$42/(($F667-1)*COUNTIFS($A$4:$A$1510,$A667,$E$4:$E$1510,"Win")))*SUMIFS($X$4:$X$1510,$A$4:$A$1510,$A667,$E$4:$E$1510,"Loss"),-('Guide &amp; Settings'!$C$42/($F667-1))*$X667)))</f>
        <v>14.701961064182044</v>
      </c>
      <c r="K667" s="124">
        <f>IF($D667="",0,'Guide &amp; Settings'!$C$43*(IF($E667="Win",1,0)-$I667))</f>
        <v>6</v>
      </c>
      <c r="L667" s="125">
        <f>IF($D667="",0,'Guide &amp; Settings'!$C$44*IF($F667&gt;=3,$F667,0))</f>
        <v>3</v>
      </c>
      <c r="M667" s="124">
        <f t="shared" si="203"/>
        <v>23.701961064182044</v>
      </c>
      <c r="N667" s="122">
        <f t="shared" si="204"/>
        <v>1174.3479488372172</v>
      </c>
      <c r="O667" s="121" t="str">
        <f t="shared" si="205"/>
        <v>OK</v>
      </c>
      <c r="P667">
        <f>IF($D667="",0,IFERROR(SUMIFS($H$4:$H$1510,$A$4:$A$1510,$A667,$E$4:$E$1510,"Win")/COUNTIFS($A$4:$A$1510,$A667,$E$4:$E$1510,"Win"),0))</f>
        <v>1150.6459877730351</v>
      </c>
      <c r="Q667">
        <f t="shared" si="207"/>
        <v>0.5</v>
      </c>
      <c r="R667">
        <f>IF($D667="",0,(COUNTIFS($D$4:$D$1510,$D667,$C$4:$C$1510,$C667,$E$4:$E$1510,"Win",$A$4:$A$1510,"&lt;"&amp;$A667)+1)/(COUNTIFS($D$4:$D$1510,$D667,$C$4:$C$1510,$C667,$A$4:$A$1510,"&lt;"&amp;$A667)+2))</f>
        <v>0.6</v>
      </c>
      <c r="S667">
        <f>IF($D667="",0,SUMIFS($R$4:$R$1510,$A$4:$A$1510,$A667))</f>
        <v>1.2</v>
      </c>
      <c r="T667" s="89">
        <f>IF($D667="",0,COUNTIFS($D$4:$D$1510,$D667,$C$4:$C$1510,$C667,$A$4:$A$1510,"&lt;"&amp;$A667))</f>
        <v>3</v>
      </c>
      <c r="U667" s="126">
        <f>IF($D667="",0,IFERROR(LOOKUP(2,1/(($D$3:D666=$D667)*($C$3:C666=$C667)*($A$3:A666&lt;$A667)),$AB$3:AB666),1000))</f>
        <v>1023.9619488456792</v>
      </c>
      <c r="V667" s="126">
        <f t="shared" si="211"/>
        <v>1103.1394731752766</v>
      </c>
      <c r="W667">
        <f>IF($D667="",0,IFERROR(SUMIFS($V$4:$V$1510,$A$4:$A$1510,$A667,$E$4:$E$1510,"Win")/COUNTIFS($A$4:$A$1510,$A667,$E$4:$E$1510,"Win"),0))</f>
        <v>1103.1394731752766</v>
      </c>
      <c r="X667">
        <f t="shared" si="213"/>
        <v>0.5</v>
      </c>
      <c r="Y667">
        <f>IF($D667="",0,IFERROR(SUMIFS($U$4:$U$1510,$A$4:$A$1510,$A667,$E$4:$E$1510,"Win")/COUNTIFS($A$4:$A$1510,$A667,$E$4:$E$1510,"Win"),0))</f>
        <v>1023.9619488456792</v>
      </c>
      <c r="Z667">
        <f t="shared" si="215"/>
        <v>0.5</v>
      </c>
      <c r="AA667">
        <f>IF($D667="",0,IF($F667&lt;2,0,IF($E667="Win",('Guide &amp; Settings'!$C$42/(($F667-1)*COUNTIFS($A$4:$A$1510,$A667,$E$4:$E$1510,"Win")))*SUMIFS($Z$4:$Z$1510,$A$4:$A$1510,$A667,$E$4:$E$1510,"Loss"),-('Guide &amp; Settings'!$C$42/($F667-1))*$Z667)))</f>
        <v>14.352419460033371</v>
      </c>
      <c r="AB667" s="126">
        <f t="shared" si="216"/>
        <v>1038.3143683057126</v>
      </c>
      <c r="AC667" s="126">
        <f>IF($D667="","",IF($AD667=0,0,IF(COUNTIFS($D$4:$D667,$D667,$B$4:$B667,$B667)&gt;1,0,IF($B667&lt;'Guide &amp; Settings'!$C$50,0,IF(($B667-$AD667)/7-'Guide &amp; Settings'!$C$48&gt;=0,(INT(($B667-$AD667)/7-'Guide &amp; Settings'!$C$48)+1)*'Guide &amp; Settings'!$C$49,0)))))</f>
        <v>0</v>
      </c>
      <c r="AD667" s="142">
        <f t="shared" si="217"/>
        <v>46260</v>
      </c>
      <c r="AE667">
        <f t="shared" si="218"/>
        <v>1</v>
      </c>
      <c r="AF667">
        <f t="shared" si="219"/>
        <v>0</v>
      </c>
    </row>
    <row r="668" spans="1:32" x14ac:dyDescent="0.2">
      <c r="A668" s="117">
        <v>281</v>
      </c>
      <c r="B668" s="118">
        <v>46271</v>
      </c>
      <c r="C668" s="119" t="s">
        <v>42</v>
      </c>
      <c r="D668" s="119" t="s">
        <v>25</v>
      </c>
      <c r="E668" s="117" t="s">
        <v>371</v>
      </c>
      <c r="F668" s="120">
        <f t="shared" si="200"/>
        <v>3</v>
      </c>
      <c r="G668" s="121" t="str">
        <f t="shared" si="201"/>
        <v>Simon</v>
      </c>
      <c r="H668" s="122">
        <f>IF($D668="",0,IFERROR(LOOKUP(2,1/(($D$3:D667=$D668)*($A$3:A667&lt;$A668)),$N$3:N667),'Guide &amp; Settings'!$C$41))</f>
        <v>954.59366218065418</v>
      </c>
      <c r="I668" s="123">
        <f t="shared" si="202"/>
        <v>0.16666666666666669</v>
      </c>
      <c r="J668" s="124">
        <f>IF($D668="",0,IF($F668&lt;2,0,IF($E668="Win",('Guide &amp; Settings'!$C$42/(($F668-1)*COUNTIFS($A$4:$A$1510,$A668,$E$4:$E$1510,"Win")))*SUMIFS($X$4:$X$1510,$A$4:$A$1510,$A668,$E$4:$E$1510,"Loss"),-('Guide &amp; Settings'!$C$42/($F668-1))*$X668)))</f>
        <v>-4.9341928766076855</v>
      </c>
      <c r="K668" s="124">
        <f>IF($D668="",0,'Guide &amp; Settings'!$C$43*(IF($E668="Win",1,0)-$I668))</f>
        <v>-2</v>
      </c>
      <c r="L668" s="125">
        <f>IF($D668="",0,'Guide &amp; Settings'!$C$44*IF($F668&gt;=3,$F668,0))</f>
        <v>3</v>
      </c>
      <c r="M668" s="124">
        <f t="shared" si="203"/>
        <v>-3.9341928766076855</v>
      </c>
      <c r="N668" s="122">
        <f t="shared" si="204"/>
        <v>950.65946930404652</v>
      </c>
      <c r="O668" s="121" t="str">
        <f t="shared" si="205"/>
        <v>OK</v>
      </c>
      <c r="P668">
        <f t="shared" si="206"/>
        <v>1150.6459877730351</v>
      </c>
      <c r="Q668">
        <f t="shared" si="207"/>
        <v>0.24442548562189817</v>
      </c>
      <c r="R668">
        <f t="shared" si="208"/>
        <v>0.2</v>
      </c>
      <c r="S668">
        <f t="shared" si="209"/>
        <v>1.2</v>
      </c>
      <c r="T668" s="89">
        <f t="shared" si="210"/>
        <v>3</v>
      </c>
      <c r="U668" s="126">
        <f>IF($D668="",0,IFERROR(LOOKUP(2,1/(($D$3:D667=$D668)*($C$3:C667=$C668)*($A$3:A667&lt;$A668)),$AB$3:AB667),1000))</f>
        <v>976.5643856459227</v>
      </c>
      <c r="V668" s="126">
        <f t="shared" si="211"/>
        <v>962.83268348012984</v>
      </c>
      <c r="W668">
        <f t="shared" si="212"/>
        <v>1103.1394731752766</v>
      </c>
      <c r="X668">
        <f t="shared" si="213"/>
        <v>0.30838705478798034</v>
      </c>
      <c r="Y668">
        <f t="shared" si="214"/>
        <v>1023.9619488456792</v>
      </c>
      <c r="Z668">
        <f t="shared" si="215"/>
        <v>0.43220944652385129</v>
      </c>
      <c r="AA668">
        <f>IF($D668="",0,IF($F668&lt;2,0,IF($E668="Win",('Guide &amp; Settings'!$C$42/(($F668-1)*COUNTIFS($A$4:$A$1510,$A668,$E$4:$E$1510,"Win")))*SUMIFS($Z$4:$Z$1510,$A$4:$A$1510,$A668,$E$4:$E$1510,"Loss"),-('Guide &amp; Settings'!$C$42/($F668-1))*$Z668)))</f>
        <v>-6.9153511443816207</v>
      </c>
      <c r="AB668" s="126">
        <f t="shared" si="216"/>
        <v>969.64903450154111</v>
      </c>
      <c r="AC668" s="126">
        <f>IF($D668="","",IF($AD668=0,0,IF(COUNTIFS($D$4:$D668,$D668,$B$4:$B668,$B668)&gt;1,0,IF($B668&lt;'Guide &amp; Settings'!$C$50,0,IF(($B668-$AD668)/7-'Guide &amp; Settings'!$C$48&gt;=0,(INT(($B668-$AD668)/7-'Guide &amp; Settings'!$C$48)+1)*'Guide &amp; Settings'!$C$49,0)))))</f>
        <v>0</v>
      </c>
      <c r="AD668" s="142">
        <f t="shared" si="217"/>
        <v>46260</v>
      </c>
      <c r="AE668">
        <f t="shared" si="218"/>
        <v>1</v>
      </c>
      <c r="AF668">
        <f t="shared" si="219"/>
        <v>0</v>
      </c>
    </row>
    <row r="669" spans="1:32" x14ac:dyDescent="0.2">
      <c r="A669" s="117">
        <v>282</v>
      </c>
      <c r="B669" s="118">
        <v>46271</v>
      </c>
      <c r="C669" s="119" t="s">
        <v>42</v>
      </c>
      <c r="D669" s="119" t="s">
        <v>20</v>
      </c>
      <c r="E669" s="117" t="s">
        <v>371</v>
      </c>
      <c r="F669" s="120">
        <f t="shared" si="200"/>
        <v>3</v>
      </c>
      <c r="G669" s="121" t="str">
        <f t="shared" si="201"/>
        <v>Simon</v>
      </c>
      <c r="H669" s="122">
        <f>IF($D669="",0,IFERROR(LOOKUP(2,1/(($D$3:D668=$D669)*($A$3:A668&lt;$A669)),$N$3:N668),'Guide &amp; Settings'!$C$41))</f>
        <v>1279.4683066115135</v>
      </c>
      <c r="I669" s="123">
        <f t="shared" si="202"/>
        <v>0.2857142857142857</v>
      </c>
      <c r="J669" s="124">
        <f>IF($D669="",0,IF($F669&lt;2,0,IF($E669="Win",('Guide &amp; Settings'!$C$42/(($F669-1)*COUNTIFS($A$4:$A$1510,$A669,$E$4:$E$1510,"Win")))*SUMIFS($X$4:$X$1510,$A$4:$A$1510,$A669,$E$4:$E$1510,"Loss"),-('Guide &amp; Settings'!$C$42/($F669-1))*$X669)))</f>
        <v>-8.8676941861363439</v>
      </c>
      <c r="K669" s="124">
        <f>IF($D669="",0,'Guide &amp; Settings'!$C$43*(IF($E669="Win",1,0)-$I669))</f>
        <v>-3.4285714285714284</v>
      </c>
      <c r="L669" s="125">
        <f>IF($D669="",0,'Guide &amp; Settings'!$C$44*IF($F669&gt;=3,$F669,0))</f>
        <v>3</v>
      </c>
      <c r="M669" s="124">
        <f t="shared" si="203"/>
        <v>-9.2962656147077727</v>
      </c>
      <c r="N669" s="122">
        <f t="shared" si="204"/>
        <v>1270.1720409968057</v>
      </c>
      <c r="O669" s="121" t="str">
        <f t="shared" si="205"/>
        <v>OK</v>
      </c>
      <c r="P669">
        <f t="shared" si="206"/>
        <v>1174.3479488372172</v>
      </c>
      <c r="Q669">
        <f t="shared" si="207"/>
        <v>0.64682713090125588</v>
      </c>
      <c r="R669">
        <f t="shared" si="208"/>
        <v>0.33333333333333331</v>
      </c>
      <c r="S669">
        <f t="shared" si="209"/>
        <v>1.1666666666666667</v>
      </c>
      <c r="T669" s="89">
        <f t="shared" si="210"/>
        <v>4</v>
      </c>
      <c r="U669" s="126">
        <f>IF($D669="",0,IFERROR(LOOKUP(2,1/(($D$3:D668=$D669)*($C$3:C668=$C669)*($A$3:A668&lt;$A669)),$AB$3:AB668),1000))</f>
        <v>992.0365971927464</v>
      </c>
      <c r="V669" s="126">
        <f t="shared" si="211"/>
        <v>1151.7208802031726</v>
      </c>
      <c r="W669">
        <f t="shared" si="212"/>
        <v>1113.888579712104</v>
      </c>
      <c r="X669">
        <f t="shared" si="213"/>
        <v>0.55423088663352149</v>
      </c>
      <c r="Y669">
        <f t="shared" si="214"/>
        <v>1038.3143683057126</v>
      </c>
      <c r="Z669">
        <f t="shared" si="215"/>
        <v>0.43379201978738685</v>
      </c>
      <c r="AA669">
        <f>IF($D669="",0,IF($F669&lt;2,0,IF($E669="Win",('Guide &amp; Settings'!$C$42/(($F669-1)*COUNTIFS($A$4:$A$1510,$A669,$E$4:$E$1510,"Win")))*SUMIFS($Z$4:$Z$1510,$A$4:$A$1510,$A669,$E$4:$E$1510,"Loss"),-('Guide &amp; Settings'!$C$42/($F669-1))*$Z669)))</f>
        <v>-6.9406723165981896</v>
      </c>
      <c r="AB669" s="126">
        <f t="shared" si="216"/>
        <v>985.09592487614816</v>
      </c>
      <c r="AC669" s="126">
        <f>IF($D669="","",IF($AD669=0,0,IF(COUNTIFS($D$4:$D669,$D669,$B$4:$B669,$B669)&gt;1,0,IF($B669&lt;'Guide &amp; Settings'!$C$50,0,IF(($B669-$AD669)/7-'Guide &amp; Settings'!$C$48&gt;=0,(INT(($B669-$AD669)/7-'Guide &amp; Settings'!$C$48)+1)*'Guide &amp; Settings'!$C$49,0)))))</f>
        <v>0</v>
      </c>
      <c r="AD669" s="142">
        <f t="shared" si="217"/>
        <v>46264</v>
      </c>
      <c r="AE669">
        <f t="shared" si="218"/>
        <v>1</v>
      </c>
      <c r="AF669">
        <f t="shared" si="219"/>
        <v>0</v>
      </c>
    </row>
    <row r="670" spans="1:32" x14ac:dyDescent="0.2">
      <c r="A670" s="117">
        <v>282</v>
      </c>
      <c r="B670" s="118">
        <v>46271</v>
      </c>
      <c r="C670" s="119" t="s">
        <v>42</v>
      </c>
      <c r="D670" s="119" t="s">
        <v>21</v>
      </c>
      <c r="E670" s="117" t="s">
        <v>370</v>
      </c>
      <c r="F670" s="120">
        <f t="shared" si="200"/>
        <v>3</v>
      </c>
      <c r="G670" s="121" t="str">
        <f t="shared" si="201"/>
        <v>Simon</v>
      </c>
      <c r="H670" s="122">
        <f>IF($D670="",0,IFERROR(LOOKUP(2,1/(($D$3:D669=$D670)*($A$3:A669&lt;$A670)),$N$3:N669),'Guide &amp; Settings'!$C$41))</f>
        <v>1174.3479488372172</v>
      </c>
      <c r="I670" s="123">
        <f t="shared" si="202"/>
        <v>0.5714285714285714</v>
      </c>
      <c r="J670" s="124">
        <f>IF($D670="",0,IF($F670&lt;2,0,IF($E670="Win",('Guide &amp; Settings'!$C$42/(($F670-1)*COUNTIFS($A$4:$A$1510,$A670,$E$4:$E$1510,"Win")))*SUMIFS($X$4:$X$1510,$A$4:$A$1510,$A670,$E$4:$E$1510,"Loss"),-('Guide &amp; Settings'!$C$42/($F670-1))*$X670)))</f>
        <v>13.522022028855051</v>
      </c>
      <c r="K670" s="124">
        <f>IF($D670="",0,'Guide &amp; Settings'!$C$43*(IF($E670="Win",1,0)-$I670))</f>
        <v>5.1428571428571432</v>
      </c>
      <c r="L670" s="125">
        <f>IF($D670="",0,'Guide &amp; Settings'!$C$44*IF($F670&gt;=3,$F670,0))</f>
        <v>3</v>
      </c>
      <c r="M670" s="124">
        <f t="shared" si="203"/>
        <v>21.664879171712194</v>
      </c>
      <c r="N670" s="122">
        <f t="shared" si="204"/>
        <v>1196.0128280089295</v>
      </c>
      <c r="O670" s="121" t="str">
        <f t="shared" si="205"/>
        <v>OK</v>
      </c>
      <c r="P670">
        <f t="shared" si="206"/>
        <v>1174.3479488372172</v>
      </c>
      <c r="Q670">
        <f t="shared" si="207"/>
        <v>0.5</v>
      </c>
      <c r="R670">
        <f t="shared" si="208"/>
        <v>0.66666666666666663</v>
      </c>
      <c r="S670">
        <f t="shared" si="209"/>
        <v>1.1666666666666667</v>
      </c>
      <c r="T670" s="89">
        <f t="shared" si="210"/>
        <v>4</v>
      </c>
      <c r="U670" s="126">
        <f>IF($D670="",0,IFERROR(LOOKUP(2,1/(($D$3:D669=$D670)*($C$3:C669=$C670)*($A$3:A669&lt;$A670)),$AB$3:AB669),1000))</f>
        <v>1038.3143683057126</v>
      </c>
      <c r="V670" s="126">
        <f t="shared" si="211"/>
        <v>1113.888579712104</v>
      </c>
      <c r="W670">
        <f t="shared" si="212"/>
        <v>1113.888579712104</v>
      </c>
      <c r="X670">
        <f t="shared" si="213"/>
        <v>0.5</v>
      </c>
      <c r="Y670">
        <f t="shared" si="214"/>
        <v>1038.3143683057126</v>
      </c>
      <c r="Z670">
        <f t="shared" si="215"/>
        <v>0.5</v>
      </c>
      <c r="AA670">
        <f>IF($D670="",0,IF($F670&lt;2,0,IF($E670="Win",('Guide &amp; Settings'!$C$42/(($F670-1)*COUNTIFS($A$4:$A$1510,$A670,$E$4:$E$1510,"Win")))*SUMIFS($Z$4:$Z$1510,$A$4:$A$1510,$A670,$E$4:$E$1510,"Loss"),-('Guide &amp; Settings'!$C$42/($F670-1))*$Z670)))</f>
        <v>13.379863319481272</v>
      </c>
      <c r="AB670" s="126">
        <f t="shared" si="216"/>
        <v>1051.6942316251939</v>
      </c>
      <c r="AC670" s="126">
        <f>IF($D670="","",IF($AD670=0,0,IF(COUNTIFS($D$4:$D670,$D670,$B$4:$B670,$B670)&gt;1,0,IF($B670&lt;'Guide &amp; Settings'!$C$50,0,IF(($B670-$AD670)/7-'Guide &amp; Settings'!$C$48&gt;=0,(INT(($B670-$AD670)/7-'Guide &amp; Settings'!$C$48)+1)*'Guide &amp; Settings'!$C$49,0)))))</f>
        <v>0</v>
      </c>
      <c r="AD670" s="142">
        <f t="shared" si="217"/>
        <v>46260</v>
      </c>
      <c r="AE670">
        <f t="shared" si="218"/>
        <v>1</v>
      </c>
      <c r="AF670">
        <f t="shared" si="219"/>
        <v>0</v>
      </c>
    </row>
    <row r="671" spans="1:32" x14ac:dyDescent="0.2">
      <c r="A671" s="117">
        <v>282</v>
      </c>
      <c r="B671" s="118">
        <v>46271</v>
      </c>
      <c r="C671" s="119" t="s">
        <v>42</v>
      </c>
      <c r="D671" s="119" t="s">
        <v>25</v>
      </c>
      <c r="E671" s="117" t="s">
        <v>371</v>
      </c>
      <c r="F671" s="120">
        <f t="shared" si="200"/>
        <v>3</v>
      </c>
      <c r="G671" s="121" t="str">
        <f t="shared" si="201"/>
        <v>Simon</v>
      </c>
      <c r="H671" s="122">
        <f>IF($D671="",0,IFERROR(LOOKUP(2,1/(($D$3:D670=$D671)*($A$3:A670&lt;$A671)),$N$3:N670),'Guide &amp; Settings'!$C$41))</f>
        <v>950.65946930404652</v>
      </c>
      <c r="I671" s="123">
        <f t="shared" si="202"/>
        <v>0.14285714285714285</v>
      </c>
      <c r="J671" s="124">
        <f>IF($D671="",0,IF($F671&lt;2,0,IF($E671="Win",('Guide &amp; Settings'!$C$42/(($F671-1)*COUNTIFS($A$4:$A$1510,$A671,$E$4:$E$1510,"Win")))*SUMIFS($X$4:$X$1510,$A$4:$A$1510,$A671,$E$4:$E$1510,"Loss"),-('Guide &amp; Settings'!$C$42/($F671-1))*$X671)))</f>
        <v>-4.6543278427187067</v>
      </c>
      <c r="K671" s="124">
        <f>IF($D671="",0,'Guide &amp; Settings'!$C$43*(IF($E671="Win",1,0)-$I671))</f>
        <v>-1.7142857142857142</v>
      </c>
      <c r="L671" s="125">
        <f>IF($D671="",0,'Guide &amp; Settings'!$C$44*IF($F671&gt;=3,$F671,0))</f>
        <v>3</v>
      </c>
      <c r="M671" s="124">
        <f t="shared" si="203"/>
        <v>-3.3686135570044211</v>
      </c>
      <c r="N671" s="122">
        <f t="shared" si="204"/>
        <v>947.29085574704209</v>
      </c>
      <c r="O671" s="121" t="str">
        <f t="shared" si="205"/>
        <v>OK</v>
      </c>
      <c r="P671">
        <f t="shared" si="206"/>
        <v>1174.3479488372172</v>
      </c>
      <c r="Q671">
        <f t="shared" si="207"/>
        <v>0.21625009322002334</v>
      </c>
      <c r="R671">
        <f t="shared" si="208"/>
        <v>0.16666666666666666</v>
      </c>
      <c r="S671">
        <f t="shared" si="209"/>
        <v>1.1666666666666667</v>
      </c>
      <c r="T671" s="89">
        <f t="shared" si="210"/>
        <v>4</v>
      </c>
      <c r="U671" s="126">
        <f>IF($D671="",0,IFERROR(LOOKUP(2,1/(($D$3:D670=$D671)*($C$3:C670=$C671)*($A$3:A670&lt;$A671)),$AB$3:AB670),1000))</f>
        <v>969.64903450154111</v>
      </c>
      <c r="V671" s="126">
        <f t="shared" si="211"/>
        <v>959.09927605848861</v>
      </c>
      <c r="W671">
        <f t="shared" si="212"/>
        <v>1113.888579712104</v>
      </c>
      <c r="X671">
        <f t="shared" si="213"/>
        <v>0.29089549016991917</v>
      </c>
      <c r="Y671">
        <f t="shared" si="214"/>
        <v>1038.3143683057126</v>
      </c>
      <c r="Z671">
        <f t="shared" si="215"/>
        <v>0.40244943768019265</v>
      </c>
      <c r="AA671">
        <f>IF($D671="",0,IF($F671&lt;2,0,IF($E671="Win",('Guide &amp; Settings'!$C$42/(($F671-1)*COUNTIFS($A$4:$A$1510,$A671,$E$4:$E$1510,"Win")))*SUMIFS($Z$4:$Z$1510,$A$4:$A$1510,$A671,$E$4:$E$1510,"Loss"),-('Guide &amp; Settings'!$C$42/($F671-1))*$Z671)))</f>
        <v>-6.4391910028830823</v>
      </c>
      <c r="AB671" s="126">
        <f t="shared" si="216"/>
        <v>963.20984349865807</v>
      </c>
      <c r="AC671" s="126">
        <f>IF($D671="","",IF($AD671=0,0,IF(COUNTIFS($D$4:$D671,$D671,$B$4:$B671,$B671)&gt;1,0,IF($B671&lt;'Guide &amp; Settings'!$C$50,0,IF(($B671-$AD671)/7-'Guide &amp; Settings'!$C$48&gt;=0,(INT(($B671-$AD671)/7-'Guide &amp; Settings'!$C$48)+1)*'Guide &amp; Settings'!$C$49,0)))))</f>
        <v>0</v>
      </c>
      <c r="AD671" s="142">
        <f t="shared" si="217"/>
        <v>46260</v>
      </c>
      <c r="AE671">
        <f t="shared" si="218"/>
        <v>1</v>
      </c>
      <c r="AF671">
        <f t="shared" si="219"/>
        <v>0</v>
      </c>
    </row>
    <row r="672" spans="1:32" x14ac:dyDescent="0.2">
      <c r="A672" s="117">
        <v>283</v>
      </c>
      <c r="B672" s="118">
        <v>46271</v>
      </c>
      <c r="C672" s="119" t="s">
        <v>42</v>
      </c>
      <c r="D672" s="119" t="s">
        <v>20</v>
      </c>
      <c r="E672" s="117" t="s">
        <v>371</v>
      </c>
      <c r="F672" s="120">
        <f t="shared" si="200"/>
        <v>3</v>
      </c>
      <c r="G672" s="121" t="str">
        <f t="shared" si="201"/>
        <v>Simon</v>
      </c>
      <c r="H672" s="122">
        <f>IF($D672="",0,IFERROR(LOOKUP(2,1/(($D$3:D671=$D672)*($A$3:A671&lt;$A672)),$N$3:N671),'Guide &amp; Settings'!$C$41))</f>
        <v>1270.1720409968057</v>
      </c>
      <c r="I672" s="123">
        <f t="shared" si="202"/>
        <v>0.25</v>
      </c>
      <c r="J672" s="124">
        <f>IF($D672="",0,IF($F672&lt;2,0,IF($E672="Win",('Guide &amp; Settings'!$C$42/(($F672-1)*COUNTIFS($A$4:$A$1510,$A672,$E$4:$E$1510,"Win")))*SUMIFS($X$4:$X$1510,$A$4:$A$1510,$A672,$E$4:$E$1510,"Loss"),-('Guide &amp; Settings'!$C$42/($F672-1))*$X672)))</f>
        <v>-8.0870447147372051</v>
      </c>
      <c r="K672" s="124">
        <f>IF($D672="",0,'Guide &amp; Settings'!$C$43*(IF($E672="Win",1,0)-$I672))</f>
        <v>-3</v>
      </c>
      <c r="L672" s="125">
        <f>IF($D672="",0,'Guide &amp; Settings'!$C$44*IF($F672&gt;=3,$F672,0))</f>
        <v>3</v>
      </c>
      <c r="M672" s="124">
        <f t="shared" si="203"/>
        <v>-8.0870447147372051</v>
      </c>
      <c r="N672" s="122">
        <f t="shared" si="204"/>
        <v>1262.0849962820685</v>
      </c>
      <c r="O672" s="121" t="str">
        <f t="shared" si="205"/>
        <v>OK</v>
      </c>
      <c r="P672">
        <f t="shared" si="206"/>
        <v>1196.0128280089295</v>
      </c>
      <c r="Q672">
        <f t="shared" si="207"/>
        <v>0.60513191914516262</v>
      </c>
      <c r="R672">
        <f t="shared" si="208"/>
        <v>0.2857142857142857</v>
      </c>
      <c r="S672">
        <f t="shared" si="209"/>
        <v>1.1428571428571428</v>
      </c>
      <c r="T672" s="89">
        <f t="shared" si="210"/>
        <v>5</v>
      </c>
      <c r="U672" s="126">
        <f>IF($D672="",0,IFERROR(LOOKUP(2,1/(($D$3:D671=$D672)*($C$3:C671=$C672)*($A$3:A671&lt;$A672)),$AB$3:AB671),1000))</f>
        <v>985.09592487614816</v>
      </c>
      <c r="V672" s="126">
        <f t="shared" si="211"/>
        <v>1127.633982936477</v>
      </c>
      <c r="W672">
        <f t="shared" si="212"/>
        <v>1123.8535298170618</v>
      </c>
      <c r="X672">
        <f t="shared" si="213"/>
        <v>0.50544029467107532</v>
      </c>
      <c r="Y672">
        <f t="shared" si="214"/>
        <v>1051.6942316251939</v>
      </c>
      <c r="Z672">
        <f t="shared" si="215"/>
        <v>0.40531419016534254</v>
      </c>
      <c r="AA672">
        <f>IF($D672="",0,IF($F672&lt;2,0,IF($E672="Win",('Guide &amp; Settings'!$C$42/(($F672-1)*COUNTIFS($A$4:$A$1510,$A672,$E$4:$E$1510,"Win")))*SUMIFS($Z$4:$Z$1510,$A$4:$A$1510,$A672,$E$4:$E$1510,"Loss"),-('Guide &amp; Settings'!$C$42/($F672-1))*$Z672)))</f>
        <v>-6.4850270426454806</v>
      </c>
      <c r="AB672" s="126">
        <f t="shared" si="216"/>
        <v>978.61089783350269</v>
      </c>
      <c r="AC672" s="126">
        <f>IF($D672="","",IF($AD672=0,0,IF(COUNTIFS($D$4:$D672,$D672,$B$4:$B672,$B672)&gt;1,0,IF($B672&lt;'Guide &amp; Settings'!$C$50,0,IF(($B672-$AD672)/7-'Guide &amp; Settings'!$C$48&gt;=0,(INT(($B672-$AD672)/7-'Guide &amp; Settings'!$C$48)+1)*'Guide &amp; Settings'!$C$49,0)))))</f>
        <v>0</v>
      </c>
      <c r="AD672" s="142">
        <f t="shared" si="217"/>
        <v>46264</v>
      </c>
      <c r="AE672">
        <f t="shared" si="218"/>
        <v>1</v>
      </c>
      <c r="AF672">
        <f t="shared" si="219"/>
        <v>0</v>
      </c>
    </row>
    <row r="673" spans="1:32" x14ac:dyDescent="0.2">
      <c r="A673" s="117">
        <v>283</v>
      </c>
      <c r="B673" s="118">
        <v>46271</v>
      </c>
      <c r="C673" s="119" t="s">
        <v>42</v>
      </c>
      <c r="D673" s="119" t="s">
        <v>21</v>
      </c>
      <c r="E673" s="117" t="s">
        <v>370</v>
      </c>
      <c r="F673" s="120">
        <f t="shared" si="200"/>
        <v>3</v>
      </c>
      <c r="G673" s="121" t="str">
        <f t="shared" si="201"/>
        <v>Simon</v>
      </c>
      <c r="H673" s="122">
        <f>IF($D673="",0,IFERROR(LOOKUP(2,1/(($D$3:D672=$D673)*($A$3:A672&lt;$A673)),$N$3:N672),'Guide &amp; Settings'!$C$41))</f>
        <v>1196.0128280089295</v>
      </c>
      <c r="I673" s="123">
        <f t="shared" si="202"/>
        <v>0.625</v>
      </c>
      <c r="J673" s="124">
        <f>IF($D673="",0,IF($F673&lt;2,0,IF($E673="Win",('Guide &amp; Settings'!$C$42/(($F673-1)*COUNTIFS($A$4:$A$1510,$A673,$E$4:$E$1510,"Win")))*SUMIFS($X$4:$X$1510,$A$4:$A$1510,$A673,$E$4:$E$1510,"Loss"),-('Guide &amp; Settings'!$C$42/($F673-1))*$X673)))</f>
        <v>12.483353678213472</v>
      </c>
      <c r="K673" s="124">
        <f>IF($D673="",0,'Guide &amp; Settings'!$C$43*(IF($E673="Win",1,0)-$I673))</f>
        <v>4.5</v>
      </c>
      <c r="L673" s="125">
        <f>IF($D673="",0,'Guide &amp; Settings'!$C$44*IF($F673&gt;=3,$F673,0))</f>
        <v>3</v>
      </c>
      <c r="M673" s="124">
        <f t="shared" si="203"/>
        <v>19.983353678213472</v>
      </c>
      <c r="N673" s="122">
        <f t="shared" si="204"/>
        <v>1215.996181687143</v>
      </c>
      <c r="O673" s="121" t="str">
        <f t="shared" si="205"/>
        <v>OK</v>
      </c>
      <c r="P673">
        <f t="shared" si="206"/>
        <v>1196.0128280089295</v>
      </c>
      <c r="Q673">
        <f t="shared" si="207"/>
        <v>0.5</v>
      </c>
      <c r="R673">
        <f t="shared" si="208"/>
        <v>0.7142857142857143</v>
      </c>
      <c r="S673">
        <f t="shared" si="209"/>
        <v>1.1428571428571428</v>
      </c>
      <c r="T673" s="89">
        <f t="shared" si="210"/>
        <v>5</v>
      </c>
      <c r="U673" s="126">
        <f>IF($D673="",0,IFERROR(LOOKUP(2,1/(($D$3:D672=$D673)*($C$3:C672=$C673)*($A$3:A672&lt;$A673)),$AB$3:AB672),1000))</f>
        <v>1051.6942316251939</v>
      </c>
      <c r="V673" s="126">
        <f t="shared" si="211"/>
        <v>1123.8535298170618</v>
      </c>
      <c r="W673">
        <f t="shared" si="212"/>
        <v>1123.8535298170618</v>
      </c>
      <c r="X673">
        <f t="shared" si="213"/>
        <v>0.5</v>
      </c>
      <c r="Y673">
        <f t="shared" si="214"/>
        <v>1051.6942316251939</v>
      </c>
      <c r="Z673">
        <f t="shared" si="215"/>
        <v>0.5</v>
      </c>
      <c r="AA673">
        <f>IF($D673="",0,IF($F673&lt;2,0,IF($E673="Win",('Guide &amp; Settings'!$C$42/(($F673-1)*COUNTIFS($A$4:$A$1510,$A673,$E$4:$E$1510,"Win")))*SUMIFS($Z$4:$Z$1510,$A$4:$A$1510,$A673,$E$4:$E$1510,"Loss"),-('Guide &amp; Settings'!$C$42/($F673-1))*$Z673)))</f>
        <v>12.490535081911496</v>
      </c>
      <c r="AB673" s="126">
        <f t="shared" si="216"/>
        <v>1064.1847667071054</v>
      </c>
      <c r="AC673" s="126">
        <f>IF($D673="","",IF($AD673=0,0,IF(COUNTIFS($D$4:$D673,$D673,$B$4:$B673,$B673)&gt;1,0,IF($B673&lt;'Guide &amp; Settings'!$C$50,0,IF(($B673-$AD673)/7-'Guide &amp; Settings'!$C$48&gt;=0,(INT(($B673-$AD673)/7-'Guide &amp; Settings'!$C$48)+1)*'Guide &amp; Settings'!$C$49,0)))))</f>
        <v>0</v>
      </c>
      <c r="AD673" s="142">
        <f t="shared" si="217"/>
        <v>46260</v>
      </c>
      <c r="AE673">
        <f t="shared" si="218"/>
        <v>1</v>
      </c>
      <c r="AF673">
        <f t="shared" si="219"/>
        <v>0</v>
      </c>
    </row>
    <row r="674" spans="1:32" x14ac:dyDescent="0.2">
      <c r="A674" s="117">
        <v>283</v>
      </c>
      <c r="B674" s="118">
        <v>46271</v>
      </c>
      <c r="C674" s="119" t="s">
        <v>42</v>
      </c>
      <c r="D674" s="119" t="s">
        <v>25</v>
      </c>
      <c r="E674" s="117" t="s">
        <v>371</v>
      </c>
      <c r="F674" s="120">
        <f t="shared" si="200"/>
        <v>3</v>
      </c>
      <c r="G674" s="121" t="str">
        <f t="shared" si="201"/>
        <v>Simon</v>
      </c>
      <c r="H674" s="122">
        <f>IF($D674="",0,IFERROR(LOOKUP(2,1/(($D$3:D673=$D674)*($A$3:A673&lt;$A674)),$N$3:N673),'Guide &amp; Settings'!$C$41))</f>
        <v>947.29085574704209</v>
      </c>
      <c r="I674" s="123">
        <f t="shared" si="202"/>
        <v>0.125</v>
      </c>
      <c r="J674" s="124">
        <f>IF($D674="",0,IF($F674&lt;2,0,IF($E674="Win",('Guide &amp; Settings'!$C$42/(($F674-1)*COUNTIFS($A$4:$A$1510,$A674,$E$4:$E$1510,"Win")))*SUMIFS($X$4:$X$1510,$A$4:$A$1510,$A674,$E$4:$E$1510,"Loss"),-('Guide &amp; Settings'!$C$42/($F674-1))*$X674)))</f>
        <v>-4.3963089634762662</v>
      </c>
      <c r="K674" s="124">
        <f>IF($D674="",0,'Guide &amp; Settings'!$C$43*(IF($E674="Win",1,0)-$I674))</f>
        <v>-1.5</v>
      </c>
      <c r="L674" s="125">
        <f>IF($D674="",0,'Guide &amp; Settings'!$C$44*IF($F674&gt;=3,$F674,0))</f>
        <v>3</v>
      </c>
      <c r="M674" s="124">
        <f t="shared" si="203"/>
        <v>-2.8963089634762662</v>
      </c>
      <c r="N674" s="122">
        <f t="shared" si="204"/>
        <v>944.39454678356583</v>
      </c>
      <c r="O674" s="121" t="str">
        <f t="shared" si="205"/>
        <v>OK</v>
      </c>
      <c r="P674">
        <f t="shared" si="206"/>
        <v>1196.0128280089295</v>
      </c>
      <c r="Q674">
        <f t="shared" si="207"/>
        <v>0.1928247963257963</v>
      </c>
      <c r="R674">
        <f t="shared" si="208"/>
        <v>0.14285714285714285</v>
      </c>
      <c r="S674">
        <f t="shared" si="209"/>
        <v>1.1428571428571428</v>
      </c>
      <c r="T674" s="89">
        <f t="shared" si="210"/>
        <v>5</v>
      </c>
      <c r="U674" s="126">
        <f>IF($D674="",0,IFERROR(LOOKUP(2,1/(($D$3:D673=$D674)*($C$3:C673=$C674)*($A$3:A673&lt;$A674)),$AB$3:AB673),1000))</f>
        <v>963.20984349865807</v>
      </c>
      <c r="V674" s="126">
        <f t="shared" si="211"/>
        <v>955.25034962285008</v>
      </c>
      <c r="W674">
        <f t="shared" si="212"/>
        <v>1123.8535298170618</v>
      </c>
      <c r="X674">
        <f t="shared" si="213"/>
        <v>0.27476931021726664</v>
      </c>
      <c r="Y674">
        <f t="shared" si="214"/>
        <v>1051.6942316251939</v>
      </c>
      <c r="Z674">
        <f t="shared" si="215"/>
        <v>0.375344252454126</v>
      </c>
      <c r="AA674">
        <f>IF($D674="",0,IF($F674&lt;2,0,IF($E674="Win",('Guide &amp; Settings'!$C$42/(($F674-1)*COUNTIFS($A$4:$A$1510,$A674,$E$4:$E$1510,"Win")))*SUMIFS($Z$4:$Z$1510,$A$4:$A$1510,$A674,$E$4:$E$1510,"Loss"),-('Guide &amp; Settings'!$C$42/($F674-1))*$Z674)))</f>
        <v>-6.0055080392660161</v>
      </c>
      <c r="AB674" s="126">
        <f t="shared" si="216"/>
        <v>957.20433545939204</v>
      </c>
      <c r="AC674" s="126">
        <f>IF($D674="","",IF($AD674=0,0,IF(COUNTIFS($D$4:$D674,$D674,$B$4:$B674,$B674)&gt;1,0,IF($B674&lt;'Guide &amp; Settings'!$C$50,0,IF(($B674-$AD674)/7-'Guide &amp; Settings'!$C$48&gt;=0,(INT(($B674-$AD674)/7-'Guide &amp; Settings'!$C$48)+1)*'Guide &amp; Settings'!$C$49,0)))))</f>
        <v>0</v>
      </c>
      <c r="AD674" s="142">
        <f t="shared" si="217"/>
        <v>46260</v>
      </c>
      <c r="AE674">
        <f t="shared" si="218"/>
        <v>1</v>
      </c>
      <c r="AF674">
        <f t="shared" si="219"/>
        <v>0</v>
      </c>
    </row>
    <row r="675" spans="1:32" x14ac:dyDescent="0.2">
      <c r="A675" s="117">
        <v>284</v>
      </c>
      <c r="B675" s="118">
        <v>46272</v>
      </c>
      <c r="C675" s="119" t="s">
        <v>37</v>
      </c>
      <c r="D675" s="119" t="s">
        <v>19</v>
      </c>
      <c r="E675" s="117" t="s">
        <v>370</v>
      </c>
      <c r="F675" s="120">
        <f t="shared" si="200"/>
        <v>2</v>
      </c>
      <c r="G675" s="121" t="str">
        <f t="shared" si="201"/>
        <v>Josh</v>
      </c>
      <c r="H675" s="122">
        <f>IF($D675="",0,IFERROR(LOOKUP(2,1/(($D$3:D674=$D675)*($A$3:A674&lt;$A675)),$N$3:N674),'Guide &amp; Settings'!$C$41))</f>
        <v>1155.9112046633588</v>
      </c>
      <c r="I675" s="123">
        <f t="shared" si="202"/>
        <v>0.33333333333333331</v>
      </c>
      <c r="J675" s="124">
        <f>IF($D675="",0,IF($F675&lt;2,0,IF($E675="Win",('Guide &amp; Settings'!$C$42/(($F675-1)*COUNTIFS($A$4:$A$1510,$A675,$E$4:$E$1510,"Win")))*SUMIFS($X$4:$X$1510,$A$4:$A$1510,$A675,$E$4:$E$1510,"Loss"),-('Guide &amp; Settings'!$C$42/($F675-1))*$X675)))</f>
        <v>11.469950293031152</v>
      </c>
      <c r="K675" s="124">
        <f>IF($D675="",0,'Guide &amp; Settings'!$C$43*(IF($E675="Win",1,0)-$I675))</f>
        <v>8</v>
      </c>
      <c r="L675" s="125">
        <f>IF($D675="",0,'Guide &amp; Settings'!$C$44*IF($F675&gt;=3,$F675,0))</f>
        <v>0</v>
      </c>
      <c r="M675" s="124">
        <f t="shared" si="203"/>
        <v>19.469950293031154</v>
      </c>
      <c r="N675" s="122">
        <f t="shared" si="204"/>
        <v>1175.38115495639</v>
      </c>
      <c r="O675" s="121" t="str">
        <f t="shared" si="205"/>
        <v>OK</v>
      </c>
      <c r="P675">
        <f t="shared" si="206"/>
        <v>1155.9112046633588</v>
      </c>
      <c r="Q675">
        <f t="shared" si="207"/>
        <v>0.5</v>
      </c>
      <c r="R675">
        <f t="shared" si="208"/>
        <v>0.25</v>
      </c>
      <c r="S675">
        <f t="shared" si="209"/>
        <v>0.75</v>
      </c>
      <c r="T675" s="89">
        <f t="shared" si="210"/>
        <v>2</v>
      </c>
      <c r="U675" s="126">
        <f>IF($D675="",0,IFERROR(LOOKUP(2,1/(($D$3:D674=$D675)*($C$3:C674=$C675)*($A$3:A674&lt;$A675)),$AB$3:AB674),1000))</f>
        <v>968.56830839539452</v>
      </c>
      <c r="V675" s="126">
        <f t="shared" si="211"/>
        <v>1102.3846628725119</v>
      </c>
      <c r="W675">
        <f t="shared" si="212"/>
        <v>1102.3846628725119</v>
      </c>
      <c r="X675">
        <f t="shared" si="213"/>
        <v>0.5</v>
      </c>
      <c r="Y675">
        <f t="shared" si="214"/>
        <v>968.56830839539452</v>
      </c>
      <c r="Z675">
        <f t="shared" si="215"/>
        <v>0.5</v>
      </c>
      <c r="AA675">
        <f>IF($D675="",0,IF($F675&lt;2,0,IF($E675="Win",('Guide &amp; Settings'!$C$42/(($F675-1)*COUNTIFS($A$4:$A$1510,$A675,$E$4:$E$1510,"Win")))*SUMIFS($Z$4:$Z$1510,$A$4:$A$1510,$A675,$E$4:$E$1510,"Loss"),-('Guide &amp; Settings'!$C$42/($F675-1))*$Z675)))</f>
        <v>17.253803826088745</v>
      </c>
      <c r="AB675" s="126">
        <f t="shared" si="216"/>
        <v>985.82211222148328</v>
      </c>
      <c r="AC675" s="126">
        <f>IF($D675="","",IF($AD675=0,0,IF(COUNTIFS($D$4:$D675,$D675,$B$4:$B675,$B675)&gt;1,0,IF($B675&lt;'Guide &amp; Settings'!$C$50,0,IF(($B675-$AD675)/7-'Guide &amp; Settings'!$C$48&gt;=0,(INT(($B675-$AD675)/7-'Guide &amp; Settings'!$C$48)+1)*'Guide &amp; Settings'!$C$49,0)))))</f>
        <v>0</v>
      </c>
      <c r="AD675" s="142">
        <f t="shared" si="217"/>
        <v>46253</v>
      </c>
      <c r="AE675">
        <f t="shared" si="218"/>
        <v>1</v>
      </c>
      <c r="AF675">
        <f t="shared" si="219"/>
        <v>0</v>
      </c>
    </row>
    <row r="676" spans="1:32" x14ac:dyDescent="0.2">
      <c r="A676" s="117">
        <v>284</v>
      </c>
      <c r="B676" s="118">
        <v>46272</v>
      </c>
      <c r="C676" s="119" t="s">
        <v>37</v>
      </c>
      <c r="D676" s="119" t="s">
        <v>22</v>
      </c>
      <c r="E676" s="117" t="s">
        <v>371</v>
      </c>
      <c r="F676" s="120">
        <f t="shared" si="200"/>
        <v>2</v>
      </c>
      <c r="G676" s="121" t="str">
        <f t="shared" si="201"/>
        <v>Josh</v>
      </c>
      <c r="H676" s="122">
        <f>IF($D676="",0,IFERROR(LOOKUP(2,1/(($D$3:D675=$D676)*($A$3:A675&lt;$A676)),$N$3:N675),'Guide &amp; Settings'!$C$41))</f>
        <v>1007.7369116310465</v>
      </c>
      <c r="I676" s="123">
        <f t="shared" si="202"/>
        <v>0.66666666666666663</v>
      </c>
      <c r="J676" s="124">
        <f>IF($D676="",0,IF($F676&lt;2,0,IF($E676="Win",('Guide &amp; Settings'!$C$42/(($F676-1)*COUNTIFS($A$4:$A$1510,$A676,$E$4:$E$1510,"Win")))*SUMIFS($X$4:$X$1510,$A$4:$A$1510,$A676,$E$4:$E$1510,"Loss"),-('Guide &amp; Settings'!$C$42/($F676-1))*$X676)))</f>
        <v>-11.469950293031152</v>
      </c>
      <c r="K676" s="124">
        <f>IF($D676="",0,'Guide &amp; Settings'!$C$43*(IF($E676="Win",1,0)-$I676))</f>
        <v>-8</v>
      </c>
      <c r="L676" s="125">
        <f>IF($D676="",0,'Guide &amp; Settings'!$C$44*IF($F676&gt;=3,$F676,0))</f>
        <v>0</v>
      </c>
      <c r="M676" s="124">
        <f t="shared" si="203"/>
        <v>-19.469950293031154</v>
      </c>
      <c r="N676" s="122">
        <f t="shared" si="204"/>
        <v>988.26696133801534</v>
      </c>
      <c r="O676" s="121" t="str">
        <f t="shared" si="205"/>
        <v>OK</v>
      </c>
      <c r="P676">
        <f t="shared" si="206"/>
        <v>1155.9112046633588</v>
      </c>
      <c r="Q676">
        <f t="shared" si="207"/>
        <v>0.29881234163497661</v>
      </c>
      <c r="R676">
        <f t="shared" si="208"/>
        <v>0.5</v>
      </c>
      <c r="S676">
        <f t="shared" si="209"/>
        <v>0.75</v>
      </c>
      <c r="T676" s="89">
        <f t="shared" si="210"/>
        <v>6</v>
      </c>
      <c r="U676" s="126">
        <f>IF($D676="",0,IFERROR(LOOKUP(2,1/(($D$3:D675=$D676)*($C$3:C675=$C676)*($A$3:A675&lt;$A676)),$AB$3:AB675),1000))</f>
        <v>995.85024786256349</v>
      </c>
      <c r="V676" s="126">
        <f t="shared" si="211"/>
        <v>1001.2532768482375</v>
      </c>
      <c r="W676">
        <f t="shared" si="212"/>
        <v>1102.3846628725119</v>
      </c>
      <c r="X676">
        <f t="shared" si="213"/>
        <v>0.3584359466572235</v>
      </c>
      <c r="Y676">
        <f t="shared" si="214"/>
        <v>968.56830839539452</v>
      </c>
      <c r="Z676">
        <f t="shared" si="215"/>
        <v>0.53918136956527329</v>
      </c>
      <c r="AA676">
        <f>IF($D676="",0,IF($F676&lt;2,0,IF($E676="Win",('Guide &amp; Settings'!$C$42/(($F676-1)*COUNTIFS($A$4:$A$1510,$A676,$E$4:$E$1510,"Win")))*SUMIFS($Z$4:$Z$1510,$A$4:$A$1510,$A676,$E$4:$E$1510,"Loss"),-('Guide &amp; Settings'!$C$42/($F676-1))*$Z676)))</f>
        <v>-17.253803826088745</v>
      </c>
      <c r="AB676" s="126">
        <f t="shared" si="216"/>
        <v>978.59644403647474</v>
      </c>
      <c r="AC676" s="126">
        <f>IF($D676="","",IF($AD676=0,0,IF(COUNTIFS($D$4:$D676,$D676,$B$4:$B676,$B676)&gt;1,0,IF($B676&lt;'Guide &amp; Settings'!$C$50,0,IF(($B676-$AD676)/7-'Guide &amp; Settings'!$C$48&gt;=0,(INT(($B676-$AD676)/7-'Guide &amp; Settings'!$C$48)+1)*'Guide &amp; Settings'!$C$49,0)))))</f>
        <v>0</v>
      </c>
      <c r="AD676" s="142">
        <f t="shared" si="217"/>
        <v>46264</v>
      </c>
      <c r="AE676">
        <f t="shared" si="218"/>
        <v>1</v>
      </c>
      <c r="AF676">
        <f t="shared" si="219"/>
        <v>0</v>
      </c>
    </row>
    <row r="677" spans="1:32" x14ac:dyDescent="0.2">
      <c r="A677" s="117">
        <v>285</v>
      </c>
      <c r="B677" s="118">
        <v>46272</v>
      </c>
      <c r="C677" s="119" t="s">
        <v>37</v>
      </c>
      <c r="D677" s="119" t="s">
        <v>19</v>
      </c>
      <c r="E677" s="117" t="s">
        <v>370</v>
      </c>
      <c r="F677" s="120">
        <f t="shared" si="200"/>
        <v>2</v>
      </c>
      <c r="G677" s="121" t="str">
        <f t="shared" si="201"/>
        <v>Josh</v>
      </c>
      <c r="H677" s="122">
        <f>IF($D677="",0,IFERROR(LOOKUP(2,1/(($D$3:D676=$D677)*($A$3:A676&lt;$A677)),$N$3:N676),'Guide &amp; Settings'!$C$41))</f>
        <v>1175.38115495639</v>
      </c>
      <c r="I677" s="123">
        <f t="shared" si="202"/>
        <v>0.47368421052631582</v>
      </c>
      <c r="J677" s="124">
        <f>IF($D677="",0,IF($F677&lt;2,0,IF($E677="Win",('Guide &amp; Settings'!$C$42/(($F677-1)*COUNTIFS($A$4:$A$1510,$A677,$E$4:$E$1510,"Win")))*SUMIFS($X$4:$X$1510,$A$4:$A$1510,$A677,$E$4:$E$1510,"Loss"),-('Guide &amp; Settings'!$C$42/($F677-1))*$X677)))</f>
        <v>10.615204779488243</v>
      </c>
      <c r="K677" s="124">
        <f>IF($D677="",0,'Guide &amp; Settings'!$C$43*(IF($E677="Win",1,0)-$I677))</f>
        <v>6.3157894736842106</v>
      </c>
      <c r="L677" s="125">
        <f>IF($D677="",0,'Guide &amp; Settings'!$C$44*IF($F677&gt;=3,$F677,0))</f>
        <v>0</v>
      </c>
      <c r="M677" s="124">
        <f t="shared" si="203"/>
        <v>16.930994253172454</v>
      </c>
      <c r="N677" s="122">
        <f t="shared" si="204"/>
        <v>1192.3121492095624</v>
      </c>
      <c r="O677" s="121" t="str">
        <f t="shared" si="205"/>
        <v>OK</v>
      </c>
      <c r="P677">
        <f t="shared" si="206"/>
        <v>1175.38115495639</v>
      </c>
      <c r="Q677">
        <f t="shared" si="207"/>
        <v>0.5</v>
      </c>
      <c r="R677">
        <f t="shared" si="208"/>
        <v>0.4</v>
      </c>
      <c r="S677">
        <f t="shared" si="209"/>
        <v>0.84444444444444444</v>
      </c>
      <c r="T677" s="89">
        <f t="shared" si="210"/>
        <v>3</v>
      </c>
      <c r="U677" s="126">
        <f>IF($D677="",0,IFERROR(LOOKUP(2,1/(($D$3:D676=$D677)*($C$3:C676=$C677)*($A$3:A676&lt;$A677)),$AB$3:AB676),1000))</f>
        <v>985.82211222148328</v>
      </c>
      <c r="V677" s="126">
        <f t="shared" si="211"/>
        <v>1104.2965139307998</v>
      </c>
      <c r="W677">
        <f t="shared" si="212"/>
        <v>1104.2965139307998</v>
      </c>
      <c r="X677">
        <f t="shared" si="213"/>
        <v>0.5</v>
      </c>
      <c r="Y677">
        <f t="shared" si="214"/>
        <v>985.82211222148328</v>
      </c>
      <c r="Z677">
        <f t="shared" si="215"/>
        <v>0.5</v>
      </c>
      <c r="AA677">
        <f>IF($D677="",0,IF($F677&lt;2,0,IF($E677="Win",('Guide &amp; Settings'!$C$42/(($F677-1)*COUNTIFS($A$4:$A$1510,$A677,$E$4:$E$1510,"Win")))*SUMIFS($Z$4:$Z$1510,$A$4:$A$1510,$A677,$E$4:$E$1510,"Loss"),-('Guide &amp; Settings'!$C$42/($F677-1))*$Z677)))</f>
        <v>15.667293649142781</v>
      </c>
      <c r="AB677" s="126">
        <f t="shared" si="216"/>
        <v>1001.4894058706261</v>
      </c>
      <c r="AC677" s="126">
        <f>IF($D677="","",IF($AD677=0,0,IF(COUNTIFS($D$4:$D677,$D677,$B$4:$B677,$B677)&gt;1,0,IF($B677&lt;'Guide &amp; Settings'!$C$50,0,IF(($B677-$AD677)/7-'Guide &amp; Settings'!$C$48&gt;=0,(INT(($B677-$AD677)/7-'Guide &amp; Settings'!$C$48)+1)*'Guide &amp; Settings'!$C$49,0)))))</f>
        <v>0</v>
      </c>
      <c r="AD677" s="142">
        <f t="shared" si="217"/>
        <v>46253</v>
      </c>
      <c r="AE677">
        <f t="shared" si="218"/>
        <v>1</v>
      </c>
      <c r="AF677">
        <f t="shared" si="219"/>
        <v>0</v>
      </c>
    </row>
    <row r="678" spans="1:32" x14ac:dyDescent="0.2">
      <c r="A678" s="117">
        <v>285</v>
      </c>
      <c r="B678" s="118">
        <v>46272</v>
      </c>
      <c r="C678" s="119" t="s">
        <v>37</v>
      </c>
      <c r="D678" s="119" t="s">
        <v>22</v>
      </c>
      <c r="E678" s="117" t="s">
        <v>371</v>
      </c>
      <c r="F678" s="120">
        <f t="shared" si="200"/>
        <v>2</v>
      </c>
      <c r="G678" s="121" t="str">
        <f t="shared" si="201"/>
        <v>Josh</v>
      </c>
      <c r="H678" s="122">
        <f>IF($D678="",0,IFERROR(LOOKUP(2,1/(($D$3:D677=$D678)*($A$3:A677&lt;$A678)),$N$3:N677),'Guide &amp; Settings'!$C$41))</f>
        <v>988.26696133801534</v>
      </c>
      <c r="I678" s="123">
        <f t="shared" si="202"/>
        <v>0.52631578947368418</v>
      </c>
      <c r="J678" s="124">
        <f>IF($D678="",0,IF($F678&lt;2,0,IF($E678="Win",('Guide &amp; Settings'!$C$42/(($F678-1)*COUNTIFS($A$4:$A$1510,$A678,$E$4:$E$1510,"Win")))*SUMIFS($X$4:$X$1510,$A$4:$A$1510,$A678,$E$4:$E$1510,"Loss"),-('Guide &amp; Settings'!$C$42/($F678-1))*$X678)))</f>
        <v>-10.615204779488243</v>
      </c>
      <c r="K678" s="124">
        <f>IF($D678="",0,'Guide &amp; Settings'!$C$43*(IF($E678="Win",1,0)-$I678))</f>
        <v>-6.3157894736842106</v>
      </c>
      <c r="L678" s="125">
        <f>IF($D678="",0,'Guide &amp; Settings'!$C$44*IF($F678&gt;=3,$F678,0))</f>
        <v>0</v>
      </c>
      <c r="M678" s="124">
        <f t="shared" si="203"/>
        <v>-16.930994253172454</v>
      </c>
      <c r="N678" s="122">
        <f t="shared" si="204"/>
        <v>971.33596708484288</v>
      </c>
      <c r="O678" s="121" t="str">
        <f t="shared" si="205"/>
        <v>OK</v>
      </c>
      <c r="P678">
        <f t="shared" si="206"/>
        <v>1175.38115495639</v>
      </c>
      <c r="Q678">
        <f t="shared" si="207"/>
        <v>0.25405219707531534</v>
      </c>
      <c r="R678">
        <f t="shared" si="208"/>
        <v>0.44444444444444442</v>
      </c>
      <c r="S678">
        <f t="shared" si="209"/>
        <v>0.84444444444444444</v>
      </c>
      <c r="T678" s="89">
        <f t="shared" si="210"/>
        <v>7</v>
      </c>
      <c r="U678" s="126">
        <f>IF($D678="",0,IFERROR(LOOKUP(2,1/(($D$3:D677=$D678)*($C$3:C677=$C678)*($A$3:A677&lt;$A678)),$AB$3:AB677),1000))</f>
        <v>978.59644403647474</v>
      </c>
      <c r="V678" s="126">
        <f t="shared" si="211"/>
        <v>982.62582624545007</v>
      </c>
      <c r="W678">
        <f t="shared" si="212"/>
        <v>1104.2965139307998</v>
      </c>
      <c r="X678">
        <f t="shared" si="213"/>
        <v>0.3317251493590076</v>
      </c>
      <c r="Y678">
        <f t="shared" si="214"/>
        <v>985.82211222148328</v>
      </c>
      <c r="Z678">
        <f t="shared" si="215"/>
        <v>0.48960292653571191</v>
      </c>
      <c r="AA678">
        <f>IF($D678="",0,IF($F678&lt;2,0,IF($E678="Win",('Guide &amp; Settings'!$C$42/(($F678-1)*COUNTIFS($A$4:$A$1510,$A678,$E$4:$E$1510,"Win")))*SUMIFS($Z$4:$Z$1510,$A$4:$A$1510,$A678,$E$4:$E$1510,"Loss"),-('Guide &amp; Settings'!$C$42/($F678-1))*$Z678)))</f>
        <v>-15.667293649142781</v>
      </c>
      <c r="AB678" s="126">
        <f t="shared" si="216"/>
        <v>962.9291503873319</v>
      </c>
      <c r="AC678" s="126">
        <f>IF($D678="","",IF($AD678=0,0,IF(COUNTIFS($D$4:$D678,$D678,$B$4:$B678,$B678)&gt;1,0,IF($B678&lt;'Guide &amp; Settings'!$C$50,0,IF(($B678-$AD678)/7-'Guide &amp; Settings'!$C$48&gt;=0,(INT(($B678-$AD678)/7-'Guide &amp; Settings'!$C$48)+1)*'Guide &amp; Settings'!$C$49,0)))))</f>
        <v>0</v>
      </c>
      <c r="AD678" s="142">
        <f t="shared" si="217"/>
        <v>46264</v>
      </c>
      <c r="AE678">
        <f t="shared" si="218"/>
        <v>1</v>
      </c>
      <c r="AF678">
        <f t="shared" si="219"/>
        <v>0</v>
      </c>
    </row>
    <row r="679" spans="1:32" x14ac:dyDescent="0.2">
      <c r="A679" s="117">
        <v>286</v>
      </c>
      <c r="B679" s="118">
        <v>46274</v>
      </c>
      <c r="C679" s="119" t="s">
        <v>33</v>
      </c>
      <c r="D679" s="119" t="s">
        <v>20</v>
      </c>
      <c r="E679" s="117" t="s">
        <v>370</v>
      </c>
      <c r="F679" s="120">
        <f t="shared" si="200"/>
        <v>2</v>
      </c>
      <c r="G679" s="121" t="str">
        <f t="shared" si="201"/>
        <v>Shawn</v>
      </c>
      <c r="H679" s="122">
        <f>IF($D679="",0,IFERROR(LOOKUP(2,1/(($D$3:D678=$D679)*($A$3:A678&lt;$A679)),$N$3:N678),'Guide &amp; Settings'!$C$41))</f>
        <v>1262.0849962820685</v>
      </c>
      <c r="I679" s="123">
        <f t="shared" si="202"/>
        <v>0.5625</v>
      </c>
      <c r="J679" s="124">
        <f>IF($D679="",0,IF($F679&lt;2,0,IF($E679="Win",('Guide &amp; Settings'!$C$42/(($F679-1)*COUNTIFS($A$4:$A$1510,$A679,$E$4:$E$1510,"Win")))*SUMIFS($X$4:$X$1510,$A$4:$A$1510,$A679,$E$4:$E$1510,"Loss"),-('Guide &amp; Settings'!$C$42/($F679-1))*$X679)))</f>
        <v>12.406408941571216</v>
      </c>
      <c r="K679" s="124">
        <f>IF($D679="",0,'Guide &amp; Settings'!$C$43*(IF($E679="Win",1,0)-$I679))</f>
        <v>5.25</v>
      </c>
      <c r="L679" s="125">
        <f>IF($D679="",0,'Guide &amp; Settings'!$C$44*IF($F679&gt;=3,$F679,0))</f>
        <v>0</v>
      </c>
      <c r="M679" s="124">
        <f t="shared" si="203"/>
        <v>17.656408941571215</v>
      </c>
      <c r="N679" s="122">
        <f t="shared" si="204"/>
        <v>1279.7414052236397</v>
      </c>
      <c r="O679" s="121" t="str">
        <f t="shared" si="205"/>
        <v>OK</v>
      </c>
      <c r="P679">
        <f t="shared" si="206"/>
        <v>1262.0849962820685</v>
      </c>
      <c r="Q679">
        <f t="shared" si="207"/>
        <v>0.5</v>
      </c>
      <c r="R679">
        <f t="shared" si="208"/>
        <v>0.8571428571428571</v>
      </c>
      <c r="S679">
        <f t="shared" si="209"/>
        <v>1.5238095238095237</v>
      </c>
      <c r="T679" s="89">
        <f t="shared" si="210"/>
        <v>5</v>
      </c>
      <c r="U679" s="126">
        <f>IF($D679="",0,IFERROR(LOOKUP(2,1/(($D$3:D678=$D679)*($C$3:C678=$C679)*($A$3:A678&lt;$A679)),$AB$3:AB678),1000))</f>
        <v>1066.8312456204001</v>
      </c>
      <c r="V679" s="126">
        <f t="shared" si="211"/>
        <v>1164.4581209512344</v>
      </c>
      <c r="W679">
        <f t="shared" si="212"/>
        <v>1164.4581209512344</v>
      </c>
      <c r="X679">
        <f t="shared" si="213"/>
        <v>0.5</v>
      </c>
      <c r="Y679">
        <f t="shared" si="214"/>
        <v>1066.8312456204001</v>
      </c>
      <c r="Z679">
        <f t="shared" si="215"/>
        <v>0.5</v>
      </c>
      <c r="AA679">
        <f>IF($D679="",0,IF($F679&lt;2,0,IF($E679="Win",('Guide &amp; Settings'!$C$42/(($F679-1)*COUNTIFS($A$4:$A$1510,$A679,$E$4:$E$1510,"Win")))*SUMIFS($Z$4:$Z$1510,$A$4:$A$1510,$A679,$E$4:$E$1510,"Loss"),-('Guide &amp; Settings'!$C$42/($F679-1))*$Z679)))</f>
        <v>13.675694843204152</v>
      </c>
      <c r="AB679" s="126">
        <f t="shared" si="216"/>
        <v>1080.5069404636042</v>
      </c>
      <c r="AC679" s="126">
        <f>IF($D679="","",IF($AD679=0,0,IF(COUNTIFS($D$4:$D679,$D679,$B$4:$B679,$B679)&gt;1,0,IF($B679&lt;'Guide &amp; Settings'!$C$50,0,IF(($B679-$AD679)/7-'Guide &amp; Settings'!$C$48&gt;=0,(INT(($B679-$AD679)/7-'Guide &amp; Settings'!$C$48)+1)*'Guide &amp; Settings'!$C$49,0)))))</f>
        <v>0</v>
      </c>
      <c r="AD679" s="142">
        <f t="shared" si="217"/>
        <v>46271</v>
      </c>
      <c r="AE679">
        <f t="shared" si="218"/>
        <v>1</v>
      </c>
      <c r="AF679">
        <f t="shared" si="219"/>
        <v>0</v>
      </c>
    </row>
    <row r="680" spans="1:32" x14ac:dyDescent="0.2">
      <c r="A680" s="117">
        <v>286</v>
      </c>
      <c r="B680" s="118">
        <v>46274</v>
      </c>
      <c r="C680" s="119" t="s">
        <v>33</v>
      </c>
      <c r="D680" s="119" t="s">
        <v>17</v>
      </c>
      <c r="E680" s="117" t="s">
        <v>371</v>
      </c>
      <c r="F680" s="120">
        <f t="shared" si="200"/>
        <v>2</v>
      </c>
      <c r="G680" s="121" t="str">
        <f t="shared" si="201"/>
        <v>Shawn</v>
      </c>
      <c r="H680" s="122">
        <f>IF($D680="",0,IFERROR(LOOKUP(2,1/(($D$3:D679=$D680)*($A$3:A679&lt;$A680)),$N$3:N679),'Guide &amp; Settings'!$C$41))</f>
        <v>1098.8851304702137</v>
      </c>
      <c r="I680" s="123">
        <f t="shared" si="202"/>
        <v>0.4375</v>
      </c>
      <c r="J680" s="124">
        <f>IF($D680="",0,IF($F680&lt;2,0,IF($E680="Win",('Guide &amp; Settings'!$C$42/(($F680-1)*COUNTIFS($A$4:$A$1510,$A680,$E$4:$E$1510,"Win")))*SUMIFS($X$4:$X$1510,$A$4:$A$1510,$A680,$E$4:$E$1510,"Loss"),-('Guide &amp; Settings'!$C$42/($F680-1))*$X680)))</f>
        <v>-12.406408941571216</v>
      </c>
      <c r="K680" s="124">
        <f>IF($D680="",0,'Guide &amp; Settings'!$C$43*(IF($E680="Win",1,0)-$I680))</f>
        <v>-5.25</v>
      </c>
      <c r="L680" s="125">
        <f>IF($D680="",0,'Guide &amp; Settings'!$C$44*IF($F680&gt;=3,$F680,0))</f>
        <v>0</v>
      </c>
      <c r="M680" s="124">
        <f t="shared" si="203"/>
        <v>-17.656408941571215</v>
      </c>
      <c r="N680" s="122">
        <f t="shared" si="204"/>
        <v>1081.2287215286424</v>
      </c>
      <c r="O680" s="121" t="str">
        <f t="shared" si="205"/>
        <v>OK</v>
      </c>
      <c r="P680">
        <f t="shared" si="206"/>
        <v>1262.0849962820685</v>
      </c>
      <c r="Q680">
        <f t="shared" si="207"/>
        <v>0.28101065624480442</v>
      </c>
      <c r="R680">
        <f t="shared" si="208"/>
        <v>0.66666666666666663</v>
      </c>
      <c r="S680">
        <f t="shared" si="209"/>
        <v>1.5238095238095237</v>
      </c>
      <c r="T680" s="89">
        <f t="shared" si="210"/>
        <v>1</v>
      </c>
      <c r="U680" s="126">
        <f>IF($D680="",0,IFERROR(LOOKUP(2,1/(($D$3:D679=$D680)*($C$3:C679=$C680)*($A$3:A679&lt;$A680)),$AB$3:AB679),1000))</f>
        <v>1016</v>
      </c>
      <c r="V680" s="126">
        <f t="shared" si="211"/>
        <v>1085.0709420585115</v>
      </c>
      <c r="W680">
        <f t="shared" si="212"/>
        <v>1164.4581209512344</v>
      </c>
      <c r="X680">
        <f t="shared" si="213"/>
        <v>0.38770027942410051</v>
      </c>
      <c r="Y680">
        <f t="shared" si="214"/>
        <v>1066.8312456204001</v>
      </c>
      <c r="Z680">
        <f t="shared" si="215"/>
        <v>0.42736546385012975</v>
      </c>
      <c r="AA680">
        <f>IF($D680="",0,IF($F680&lt;2,0,IF($E680="Win",('Guide &amp; Settings'!$C$42/(($F680-1)*COUNTIFS($A$4:$A$1510,$A680,$E$4:$E$1510,"Win")))*SUMIFS($Z$4:$Z$1510,$A$4:$A$1510,$A680,$E$4:$E$1510,"Loss"),-('Guide &amp; Settings'!$C$42/($F680-1))*$Z680)))</f>
        <v>-13.675694843204152</v>
      </c>
      <c r="AB680" s="126">
        <f t="shared" si="216"/>
        <v>1002.3243051567958</v>
      </c>
      <c r="AC680" s="126">
        <f>IF($D680="","",IF($AD680=0,0,IF(COUNTIFS($D$4:$D680,$D680,$B$4:$B680,$B680)&gt;1,0,IF($B680&lt;'Guide &amp; Settings'!$C$50,0,IF(($B680-$AD680)/7-'Guide &amp; Settings'!$C$48&gt;=0,(INT(($B680-$AD680)/7-'Guide &amp; Settings'!$C$48)+1)*'Guide &amp; Settings'!$C$49,0)))))</f>
        <v>0</v>
      </c>
      <c r="AD680" s="142">
        <f t="shared" si="217"/>
        <v>46256</v>
      </c>
      <c r="AE680">
        <f t="shared" si="218"/>
        <v>1</v>
      </c>
      <c r="AF680">
        <f t="shared" si="219"/>
        <v>0</v>
      </c>
    </row>
    <row r="681" spans="1:32" x14ac:dyDescent="0.2">
      <c r="A681" s="117">
        <v>287</v>
      </c>
      <c r="B681" s="118">
        <v>46285</v>
      </c>
      <c r="C681" s="119" t="s">
        <v>50</v>
      </c>
      <c r="D681" s="119" t="s">
        <v>22</v>
      </c>
      <c r="E681" s="117" t="s">
        <v>370</v>
      </c>
      <c r="F681" s="120">
        <f t="shared" si="200"/>
        <v>2</v>
      </c>
      <c r="G681" s="121" t="str">
        <f t="shared" si="201"/>
        <v>Daniel (Ferret)</v>
      </c>
      <c r="H681" s="122">
        <f>IF($D681="",0,IFERROR(LOOKUP(2,1/(($D$3:D680=$D681)*($A$3:A680&lt;$A681)),$N$3:N680),'Guide &amp; Settings'!$C$41))</f>
        <v>971.33596708484288</v>
      </c>
      <c r="I681" s="123">
        <f t="shared" si="202"/>
        <v>0.41538461538461541</v>
      </c>
      <c r="J681" s="124">
        <f>IF($D681="",0,IF($F681&lt;2,0,IF($E681="Win",('Guide &amp; Settings'!$C$42/(($F681-1)*COUNTIFS($A$4:$A$1510,$A681,$E$4:$E$1510,"Win")))*SUMIFS($X$4:$X$1510,$A$4:$A$1510,$A681,$E$4:$E$1510,"Loss"),-('Guide &amp; Settings'!$C$42/($F681-1))*$X681)))</f>
        <v>19.901718889570279</v>
      </c>
      <c r="K681" s="124">
        <f>IF($D681="",0,'Guide &amp; Settings'!$C$43*(IF($E681="Win",1,0)-$I681))</f>
        <v>7.0153846153846144</v>
      </c>
      <c r="L681" s="125">
        <f>IF($D681="",0,'Guide &amp; Settings'!$C$44*IF($F681&gt;=3,$F681,0))</f>
        <v>0</v>
      </c>
      <c r="M681" s="124">
        <f t="shared" si="203"/>
        <v>26.917103504954895</v>
      </c>
      <c r="N681" s="122">
        <f t="shared" si="204"/>
        <v>998.25307058979774</v>
      </c>
      <c r="O681" s="121" t="str">
        <f t="shared" si="205"/>
        <v>OK</v>
      </c>
      <c r="P681">
        <f t="shared" si="206"/>
        <v>971.33596708484288</v>
      </c>
      <c r="Q681">
        <f t="shared" si="207"/>
        <v>0.5</v>
      </c>
      <c r="R681">
        <f t="shared" si="208"/>
        <v>0.42105263157894735</v>
      </c>
      <c r="S681">
        <f t="shared" si="209"/>
        <v>1.0136452241715399</v>
      </c>
      <c r="T681" s="89">
        <f t="shared" si="210"/>
        <v>17</v>
      </c>
      <c r="U681" s="126">
        <f>IF($D681="",0,IFERROR(LOOKUP(2,1/(($D$3:D680=$D681)*($C$3:C680=$C681)*($A$3:A680&lt;$A681)),$AB$3:AB680),1000))</f>
        <v>1008.1001580975385</v>
      </c>
      <c r="V681" s="126">
        <f t="shared" si="211"/>
        <v>999.74466014010773</v>
      </c>
      <c r="W681">
        <f t="shared" si="212"/>
        <v>999.74466014010773</v>
      </c>
      <c r="X681">
        <f t="shared" si="213"/>
        <v>0.5</v>
      </c>
      <c r="Y681">
        <f t="shared" si="214"/>
        <v>1008.1001580975385</v>
      </c>
      <c r="Z681">
        <f t="shared" si="215"/>
        <v>0.5</v>
      </c>
      <c r="AA681">
        <f>IF($D681="",0,IF($F681&lt;2,0,IF($E681="Win",('Guide &amp; Settings'!$C$42/(($F681-1)*COUNTIFS($A$4:$A$1510,$A681,$E$4:$E$1510,"Win")))*SUMIFS($Z$4:$Z$1510,$A$4:$A$1510,$A681,$E$4:$E$1510,"Loss"),-('Guide &amp; Settings'!$C$42/($F681-1))*$Z681)))</f>
        <v>17.806938642628371</v>
      </c>
      <c r="AB681" s="126">
        <f t="shared" si="216"/>
        <v>1025.9070967401669</v>
      </c>
      <c r="AC681" s="126">
        <f>IF($D681="","",IF($AD681=0,0,IF(COUNTIFS($D$4:$D681,$D681,$B$4:$B681,$B681)&gt;1,0,IF($B681&lt;'Guide &amp; Settings'!$C$50,0,IF(($B681-$AD681)/7-'Guide &amp; Settings'!$C$48&gt;=0,(INT(($B681-$AD681)/7-'Guide &amp; Settings'!$C$48)+1)*'Guide &amp; Settings'!$C$49,0)))))</f>
        <v>0</v>
      </c>
      <c r="AD681" s="142">
        <f t="shared" si="217"/>
        <v>46272</v>
      </c>
      <c r="AE681">
        <f t="shared" si="218"/>
        <v>1</v>
      </c>
      <c r="AF681">
        <f t="shared" si="219"/>
        <v>0</v>
      </c>
    </row>
    <row r="682" spans="1:32" x14ac:dyDescent="0.2">
      <c r="A682" s="117">
        <v>287</v>
      </c>
      <c r="B682" s="118">
        <v>46285</v>
      </c>
      <c r="C682" s="119" t="s">
        <v>50</v>
      </c>
      <c r="D682" s="119" t="s">
        <v>20</v>
      </c>
      <c r="E682" s="117" t="s">
        <v>371</v>
      </c>
      <c r="F682" s="120">
        <f t="shared" si="200"/>
        <v>2</v>
      </c>
      <c r="G682" s="121" t="str">
        <f t="shared" si="201"/>
        <v>Daniel (Ferret)</v>
      </c>
      <c r="H682" s="122">
        <f>IF($D682="",0,IFERROR(LOOKUP(2,1/(($D$3:D681=$D682)*($A$3:A681&lt;$A682)),$N$3:N681),'Guide &amp; Settings'!$C$41))</f>
        <v>1279.7414052236397</v>
      </c>
      <c r="I682" s="123">
        <f t="shared" si="202"/>
        <v>0.58461538461538465</v>
      </c>
      <c r="J682" s="124">
        <f>IF($D682="",0,IF($F682&lt;2,0,IF($E682="Win",('Guide &amp; Settings'!$C$42/(($F682-1)*COUNTIFS($A$4:$A$1510,$A682,$E$4:$E$1510,"Win")))*SUMIFS($X$4:$X$1510,$A$4:$A$1510,$A682,$E$4:$E$1510,"Loss"),-('Guide &amp; Settings'!$C$42/($F682-1))*$X682)))</f>
        <v>-19.901718889570279</v>
      </c>
      <c r="K682" s="124">
        <f>IF($D682="",0,'Guide &amp; Settings'!$C$43*(IF($E682="Win",1,0)-$I682))</f>
        <v>-7.0153846153846153</v>
      </c>
      <c r="L682" s="125">
        <f>IF($D682="",0,'Guide &amp; Settings'!$C$44*IF($F682&gt;=3,$F682,0))</f>
        <v>0</v>
      </c>
      <c r="M682" s="124">
        <f t="shared" si="203"/>
        <v>-26.917103504954895</v>
      </c>
      <c r="N682" s="122">
        <f t="shared" si="204"/>
        <v>1252.8243017186849</v>
      </c>
      <c r="O682" s="121" t="str">
        <f t="shared" si="205"/>
        <v>OK</v>
      </c>
      <c r="P682">
        <f t="shared" si="206"/>
        <v>971.33596708484288</v>
      </c>
      <c r="Q682">
        <f t="shared" si="207"/>
        <v>0.8551185647001045</v>
      </c>
      <c r="R682">
        <f t="shared" si="208"/>
        <v>0.59259259259259256</v>
      </c>
      <c r="S682">
        <f t="shared" si="209"/>
        <v>1.0136452241715399</v>
      </c>
      <c r="T682" s="89">
        <f t="shared" si="210"/>
        <v>25</v>
      </c>
      <c r="U682" s="126">
        <f>IF($D682="",0,IFERROR(LOOKUP(2,1/(($D$3:D681=$D682)*($C$3:C681=$C682)*($A$3:A681&lt;$A682)),$AB$3:AB681),1000))</f>
        <v>1047.5054308988927</v>
      </c>
      <c r="V682" s="126">
        <f t="shared" si="211"/>
        <v>1086.2114266196838</v>
      </c>
      <c r="W682">
        <f t="shared" si="212"/>
        <v>999.74466014010773</v>
      </c>
      <c r="X682">
        <f t="shared" si="213"/>
        <v>0.62192871529907123</v>
      </c>
      <c r="Y682">
        <f t="shared" si="214"/>
        <v>1008.1001580975385</v>
      </c>
      <c r="Z682">
        <f t="shared" si="215"/>
        <v>0.55646683258213658</v>
      </c>
      <c r="AA682">
        <f>IF($D682="",0,IF($F682&lt;2,0,IF($E682="Win",('Guide &amp; Settings'!$C$42/(($F682-1)*COUNTIFS($A$4:$A$1510,$A682,$E$4:$E$1510,"Win")))*SUMIFS($Z$4:$Z$1510,$A$4:$A$1510,$A682,$E$4:$E$1510,"Loss"),-('Guide &amp; Settings'!$C$42/($F682-1))*$Z682)))</f>
        <v>-17.806938642628371</v>
      </c>
      <c r="AB682" s="126">
        <f t="shared" si="216"/>
        <v>1029.6984922562642</v>
      </c>
      <c r="AC682" s="126">
        <f>IF($D682="","",IF($AD682=0,0,IF(COUNTIFS($D$4:$D682,$D682,$B$4:$B682,$B682)&gt;1,0,IF($B682&lt;'Guide &amp; Settings'!$C$50,0,IF(($B682-$AD682)/7-'Guide &amp; Settings'!$C$48&gt;=0,(INT(($B682-$AD682)/7-'Guide &amp; Settings'!$C$48)+1)*'Guide &amp; Settings'!$C$49,0)))))</f>
        <v>0</v>
      </c>
      <c r="AD682" s="142">
        <f t="shared" si="217"/>
        <v>46274</v>
      </c>
      <c r="AE682">
        <f t="shared" si="218"/>
        <v>1</v>
      </c>
      <c r="AF682">
        <f t="shared" si="219"/>
        <v>0</v>
      </c>
    </row>
    <row r="683" spans="1:32" x14ac:dyDescent="0.2">
      <c r="A683" s="117">
        <v>288</v>
      </c>
      <c r="B683" s="118">
        <v>46285</v>
      </c>
      <c r="C683" s="119" t="s">
        <v>50</v>
      </c>
      <c r="D683" s="119" t="s">
        <v>22</v>
      </c>
      <c r="E683" s="117" t="s">
        <v>370</v>
      </c>
      <c r="F683" s="120">
        <f t="shared" si="200"/>
        <v>2</v>
      </c>
      <c r="G683" s="121" t="str">
        <f t="shared" si="201"/>
        <v>Daniel (Ferret)</v>
      </c>
      <c r="H683" s="122">
        <f>IF($D683="",0,IFERROR(LOOKUP(2,1/(($D$3:D682=$D683)*($A$3:A682&lt;$A683)),$N$3:N682),'Guide &amp; Settings'!$C$41))</f>
        <v>998.25307058979774</v>
      </c>
      <c r="I683" s="123">
        <f t="shared" si="202"/>
        <v>0.44055944055944063</v>
      </c>
      <c r="J683" s="124">
        <f>IF($D683="",0,IF($F683&lt;2,0,IF($E683="Win",('Guide &amp; Settings'!$C$42/(($F683-1)*COUNTIFS($A$4:$A$1510,$A683,$E$4:$E$1510,"Win")))*SUMIFS($X$4:$X$1510,$A$4:$A$1510,$A683,$E$4:$E$1510,"Loss"),-('Guide &amp; Settings'!$C$42/($F683-1))*$X683)))</f>
        <v>18.096635590145805</v>
      </c>
      <c r="K683" s="124">
        <f>IF($D683="",0,'Guide &amp; Settings'!$C$43*(IF($E683="Win",1,0)-$I683))</f>
        <v>6.7132867132867124</v>
      </c>
      <c r="L683" s="125">
        <f>IF($D683="",0,'Guide &amp; Settings'!$C$44*IF($F683&gt;=3,$F683,0))</f>
        <v>0</v>
      </c>
      <c r="M683" s="124">
        <f t="shared" si="203"/>
        <v>24.809922303432518</v>
      </c>
      <c r="N683" s="122">
        <f t="shared" si="204"/>
        <v>1023.0629928932302</v>
      </c>
      <c r="O683" s="121" t="str">
        <f t="shared" si="205"/>
        <v>OK</v>
      </c>
      <c r="P683">
        <f t="shared" si="206"/>
        <v>998.25307058979774</v>
      </c>
      <c r="Q683">
        <f t="shared" si="207"/>
        <v>0.5</v>
      </c>
      <c r="R683">
        <f t="shared" si="208"/>
        <v>0.45</v>
      </c>
      <c r="S683">
        <f t="shared" si="209"/>
        <v>1.0214285714285714</v>
      </c>
      <c r="T683" s="89">
        <f t="shared" si="210"/>
        <v>18</v>
      </c>
      <c r="U683" s="126">
        <f>IF($D683="",0,IFERROR(LOOKUP(2,1/(($D$3:D682=$D683)*($C$3:C682=$C683)*($A$3:A682&lt;$A683)),$AB$3:AB682),1000))</f>
        <v>1025.9070967401669</v>
      </c>
      <c r="V683" s="126">
        <f t="shared" si="211"/>
        <v>1019.8953519248693</v>
      </c>
      <c r="W683">
        <f t="shared" si="212"/>
        <v>1019.8953519248693</v>
      </c>
      <c r="X683">
        <f t="shared" si="213"/>
        <v>0.5</v>
      </c>
      <c r="Y683">
        <f t="shared" si="214"/>
        <v>1025.9070967401669</v>
      </c>
      <c r="Z683">
        <f t="shared" si="215"/>
        <v>0.5</v>
      </c>
      <c r="AA683">
        <f>IF($D683="",0,IF($F683&lt;2,0,IF($E683="Win",('Guide &amp; Settings'!$C$42/(($F683-1)*COUNTIFS($A$4:$A$1510,$A683,$E$4:$E$1510,"Win")))*SUMIFS($Z$4:$Z$1510,$A$4:$A$1510,$A683,$E$4:$E$1510,"Loss"),-('Guide &amp; Settings'!$C$42/($F683-1))*$Z683)))</f>
        <v>16.174593285634003</v>
      </c>
      <c r="AB683" s="126">
        <f t="shared" si="216"/>
        <v>1042.081690025801</v>
      </c>
      <c r="AC683" s="126">
        <f>IF($D683="","",IF($AD683=0,0,IF(COUNTIFS($D$4:$D683,$D683,$B$4:$B683,$B683)&gt;1,0,IF($B683&lt;'Guide &amp; Settings'!$C$50,0,IF(($B683-$AD683)/7-'Guide &amp; Settings'!$C$48&gt;=0,(INT(($B683-$AD683)/7-'Guide &amp; Settings'!$C$48)+1)*'Guide &amp; Settings'!$C$49,0)))))</f>
        <v>0</v>
      </c>
      <c r="AD683" s="142">
        <f t="shared" si="217"/>
        <v>46272</v>
      </c>
      <c r="AE683">
        <f t="shared" si="218"/>
        <v>1</v>
      </c>
      <c r="AF683">
        <f t="shared" si="219"/>
        <v>0</v>
      </c>
    </row>
    <row r="684" spans="1:32" x14ac:dyDescent="0.2">
      <c r="A684" s="117">
        <v>288</v>
      </c>
      <c r="B684" s="118">
        <v>46285</v>
      </c>
      <c r="C684" s="119" t="s">
        <v>50</v>
      </c>
      <c r="D684" s="119" t="s">
        <v>20</v>
      </c>
      <c r="E684" s="117" t="s">
        <v>371</v>
      </c>
      <c r="F684" s="120">
        <f t="shared" si="200"/>
        <v>2</v>
      </c>
      <c r="G684" s="121" t="str">
        <f t="shared" si="201"/>
        <v>Daniel (Ferret)</v>
      </c>
      <c r="H684" s="122">
        <f>IF($D684="",0,IFERROR(LOOKUP(2,1/(($D$3:D683=$D684)*($A$3:A683&lt;$A684)),$N$3:N683),'Guide &amp; Settings'!$C$41))</f>
        <v>1252.8243017186849</v>
      </c>
      <c r="I684" s="123">
        <f t="shared" si="202"/>
        <v>0.55944055944055948</v>
      </c>
      <c r="J684" s="124">
        <f>IF($D684="",0,IF($F684&lt;2,0,IF($E684="Win",('Guide &amp; Settings'!$C$42/(($F684-1)*COUNTIFS($A$4:$A$1510,$A684,$E$4:$E$1510,"Win")))*SUMIFS($X$4:$X$1510,$A$4:$A$1510,$A684,$E$4:$E$1510,"Loss"),-('Guide &amp; Settings'!$C$42/($F684-1))*$X684)))</f>
        <v>-18.096635590145805</v>
      </c>
      <c r="K684" s="124">
        <f>IF($D684="",0,'Guide &amp; Settings'!$C$43*(IF($E684="Win",1,0)-$I684))</f>
        <v>-6.7132867132867133</v>
      </c>
      <c r="L684" s="125">
        <f>IF($D684="",0,'Guide &amp; Settings'!$C$44*IF($F684&gt;=3,$F684,0))</f>
        <v>0</v>
      </c>
      <c r="M684" s="124">
        <f t="shared" si="203"/>
        <v>-24.809922303432518</v>
      </c>
      <c r="N684" s="122">
        <f t="shared" si="204"/>
        <v>1228.0143794152523</v>
      </c>
      <c r="O684" s="121" t="str">
        <f t="shared" si="205"/>
        <v>OK</v>
      </c>
      <c r="P684">
        <f t="shared" si="206"/>
        <v>998.25307058979774</v>
      </c>
      <c r="Q684">
        <f t="shared" si="207"/>
        <v>0.81236174480571199</v>
      </c>
      <c r="R684">
        <f t="shared" si="208"/>
        <v>0.5714285714285714</v>
      </c>
      <c r="S684">
        <f t="shared" si="209"/>
        <v>1.0214285714285714</v>
      </c>
      <c r="T684" s="89">
        <f t="shared" si="210"/>
        <v>26</v>
      </c>
      <c r="U684" s="126">
        <f>IF($D684="",0,IFERROR(LOOKUP(2,1/(($D$3:D683=$D684)*($C$3:C683=$C684)*($A$3:A683&lt;$A684)),$AB$3:AB683),1000))</f>
        <v>1029.6984922562642</v>
      </c>
      <c r="V684" s="126">
        <f t="shared" si="211"/>
        <v>1065.6865260405257</v>
      </c>
      <c r="W684">
        <f t="shared" si="212"/>
        <v>1019.8953519248693</v>
      </c>
      <c r="X684">
        <f t="shared" si="213"/>
        <v>0.56551986219205641</v>
      </c>
      <c r="Y684">
        <f t="shared" si="214"/>
        <v>1025.9070967401669</v>
      </c>
      <c r="Z684">
        <f t="shared" si="215"/>
        <v>0.5054560401760626</v>
      </c>
      <c r="AA684">
        <f>IF($D684="",0,IF($F684&lt;2,0,IF($E684="Win",('Guide &amp; Settings'!$C$42/(($F684-1)*COUNTIFS($A$4:$A$1510,$A684,$E$4:$E$1510,"Win")))*SUMIFS($Z$4:$Z$1510,$A$4:$A$1510,$A684,$E$4:$E$1510,"Loss"),-('Guide &amp; Settings'!$C$42/($F684-1))*$Z684)))</f>
        <v>-16.174593285634003</v>
      </c>
      <c r="AB684" s="126">
        <f t="shared" si="216"/>
        <v>1013.5238989706302</v>
      </c>
      <c r="AC684" s="126">
        <f>IF($D684="","",IF($AD684=0,0,IF(COUNTIFS($D$4:$D684,$D684,$B$4:$B684,$B684)&gt;1,0,IF($B684&lt;'Guide &amp; Settings'!$C$50,0,IF(($B684-$AD684)/7-'Guide &amp; Settings'!$C$48&gt;=0,(INT(($B684-$AD684)/7-'Guide &amp; Settings'!$C$48)+1)*'Guide &amp; Settings'!$C$49,0)))))</f>
        <v>0</v>
      </c>
      <c r="AD684" s="142">
        <f t="shared" si="217"/>
        <v>46274</v>
      </c>
      <c r="AE684">
        <f t="shared" si="218"/>
        <v>1</v>
      </c>
      <c r="AF684">
        <f t="shared" si="219"/>
        <v>0</v>
      </c>
    </row>
    <row r="685" spans="1:32" x14ac:dyDescent="0.2">
      <c r="A685" s="117">
        <v>289</v>
      </c>
      <c r="B685" s="118">
        <v>46285</v>
      </c>
      <c r="C685" s="119" t="s">
        <v>50</v>
      </c>
      <c r="D685" s="119" t="s">
        <v>22</v>
      </c>
      <c r="E685" s="117" t="s">
        <v>370</v>
      </c>
      <c r="F685" s="120">
        <f t="shared" si="200"/>
        <v>2</v>
      </c>
      <c r="G685" s="121" t="str">
        <f t="shared" si="201"/>
        <v>Daniel (Ferret)</v>
      </c>
      <c r="H685" s="122">
        <f>IF($D685="",0,IFERROR(LOOKUP(2,1/(($D$3:D684=$D685)*($A$3:A684&lt;$A685)),$N$3:N684),'Guide &amp; Settings'!$C$41))</f>
        <v>1023.0629928932302</v>
      </c>
      <c r="I685" s="123">
        <f t="shared" si="202"/>
        <v>0.46325878594249204</v>
      </c>
      <c r="J685" s="124">
        <f>IF($D685="",0,IF($F685&lt;2,0,IF($E685="Win",('Guide &amp; Settings'!$C$42/(($F685-1)*COUNTIFS($A$4:$A$1510,$A685,$E$4:$E$1510,"Win")))*SUMIFS($X$4:$X$1510,$A$4:$A$1510,$A685,$E$4:$E$1510,"Loss"),-('Guide &amp; Settings'!$C$42/($F685-1))*$X685)))</f>
        <v>16.410625372963178</v>
      </c>
      <c r="K685" s="124">
        <f>IF($D685="",0,'Guide &amp; Settings'!$C$43*(IF($E685="Win",1,0)-$I685))</f>
        <v>6.440894568690096</v>
      </c>
      <c r="L685" s="125">
        <f>IF($D685="",0,'Guide &amp; Settings'!$C$44*IF($F685&gt;=3,$F685,0))</f>
        <v>0</v>
      </c>
      <c r="M685" s="124">
        <f t="shared" si="203"/>
        <v>22.851519941653272</v>
      </c>
      <c r="N685" s="122">
        <f t="shared" si="204"/>
        <v>1045.9145128348835</v>
      </c>
      <c r="O685" s="121" t="str">
        <f t="shared" si="205"/>
        <v>OK</v>
      </c>
      <c r="P685">
        <f t="shared" si="206"/>
        <v>1023.0629928932302</v>
      </c>
      <c r="Q685">
        <f t="shared" si="207"/>
        <v>0.5</v>
      </c>
      <c r="R685">
        <f t="shared" si="208"/>
        <v>0.47619047619047616</v>
      </c>
      <c r="S685">
        <f t="shared" si="209"/>
        <v>1.0279146141215105</v>
      </c>
      <c r="T685" s="89">
        <f t="shared" si="210"/>
        <v>19</v>
      </c>
      <c r="U685" s="126">
        <f>IF($D685="",0,IFERROR(LOOKUP(2,1/(($D$3:D684=$D685)*($C$3:C684=$C685)*($A$3:A684&lt;$A685)),$AB$3:AB684),1000))</f>
        <v>1042.081690025801</v>
      </c>
      <c r="V685" s="126">
        <f t="shared" si="211"/>
        <v>1038.1194614565154</v>
      </c>
      <c r="W685">
        <f t="shared" si="212"/>
        <v>1038.1194614565154</v>
      </c>
      <c r="X685">
        <f t="shared" si="213"/>
        <v>0.5</v>
      </c>
      <c r="Y685">
        <f t="shared" si="214"/>
        <v>1042.081690025801</v>
      </c>
      <c r="Z685">
        <f t="shared" si="215"/>
        <v>0.5</v>
      </c>
      <c r="AA685">
        <f>IF($D685="",0,IF($F685&lt;2,0,IF($E685="Win",('Guide &amp; Settings'!$C$42/(($F685-1)*COUNTIFS($A$4:$A$1510,$A685,$E$4:$E$1510,"Win")))*SUMIFS($Z$4:$Z$1510,$A$4:$A$1510,$A685,$E$4:$E$1510,"Loss"),-('Guide &amp; Settings'!$C$42/($F685-1))*$Z685)))</f>
        <v>14.687818896988514</v>
      </c>
      <c r="AB685" s="126">
        <f t="shared" si="216"/>
        <v>1056.7695089227896</v>
      </c>
      <c r="AC685" s="126">
        <f>IF($D685="","",IF($AD685=0,0,IF(COUNTIFS($D$4:$D685,$D685,$B$4:$B685,$B685)&gt;1,0,IF($B685&lt;'Guide &amp; Settings'!$C$50,0,IF(($B685-$AD685)/7-'Guide &amp; Settings'!$C$48&gt;=0,(INT(($B685-$AD685)/7-'Guide &amp; Settings'!$C$48)+1)*'Guide &amp; Settings'!$C$49,0)))))</f>
        <v>0</v>
      </c>
      <c r="AD685" s="142">
        <f t="shared" si="217"/>
        <v>46272</v>
      </c>
      <c r="AE685">
        <f t="shared" si="218"/>
        <v>1</v>
      </c>
      <c r="AF685">
        <f t="shared" si="219"/>
        <v>0</v>
      </c>
    </row>
    <row r="686" spans="1:32" x14ac:dyDescent="0.2">
      <c r="A686" s="117">
        <v>289</v>
      </c>
      <c r="B686" s="118">
        <v>46285</v>
      </c>
      <c r="C686" s="119" t="s">
        <v>50</v>
      </c>
      <c r="D686" s="119" t="s">
        <v>20</v>
      </c>
      <c r="E686" s="117" t="s">
        <v>371</v>
      </c>
      <c r="F686" s="120">
        <f t="shared" si="200"/>
        <v>2</v>
      </c>
      <c r="G686" s="121" t="str">
        <f t="shared" si="201"/>
        <v>Daniel (Ferret)</v>
      </c>
      <c r="H686" s="122">
        <f>IF($D686="",0,IFERROR(LOOKUP(2,1/(($D$3:D685=$D686)*($A$3:A685&lt;$A686)),$N$3:N685),'Guide &amp; Settings'!$C$41))</f>
        <v>1228.0143794152523</v>
      </c>
      <c r="I686" s="123">
        <f t="shared" si="202"/>
        <v>0.53674121405750808</v>
      </c>
      <c r="J686" s="124">
        <f>IF($D686="",0,IF($F686&lt;2,0,IF($E686="Win",('Guide &amp; Settings'!$C$42/(($F686-1)*COUNTIFS($A$4:$A$1510,$A686,$E$4:$E$1510,"Win")))*SUMIFS($X$4:$X$1510,$A$4:$A$1510,$A686,$E$4:$E$1510,"Loss"),-('Guide &amp; Settings'!$C$42/($F686-1))*$X686)))</f>
        <v>-16.410625372963178</v>
      </c>
      <c r="K686" s="124">
        <f>IF($D686="",0,'Guide &amp; Settings'!$C$43*(IF($E686="Win",1,0)-$I686))</f>
        <v>-6.4408945686900969</v>
      </c>
      <c r="L686" s="125">
        <f>IF($D686="",0,'Guide &amp; Settings'!$C$44*IF($F686&gt;=3,$F686,0))</f>
        <v>0</v>
      </c>
      <c r="M686" s="124">
        <f t="shared" si="203"/>
        <v>-22.851519941653276</v>
      </c>
      <c r="N686" s="122">
        <f t="shared" si="204"/>
        <v>1205.1628594735989</v>
      </c>
      <c r="O686" s="121" t="str">
        <f t="shared" si="205"/>
        <v>OK</v>
      </c>
      <c r="P686">
        <f t="shared" si="206"/>
        <v>1023.0629928932302</v>
      </c>
      <c r="Q686">
        <f t="shared" si="207"/>
        <v>0.76491094554026628</v>
      </c>
      <c r="R686">
        <f t="shared" si="208"/>
        <v>0.55172413793103448</v>
      </c>
      <c r="S686">
        <f t="shared" si="209"/>
        <v>1.0279146141215105</v>
      </c>
      <c r="T686" s="89">
        <f t="shared" si="210"/>
        <v>27</v>
      </c>
      <c r="U686" s="126">
        <f>IF($D686="",0,IFERROR(LOOKUP(2,1/(($D$3:D685=$D686)*($C$3:C685=$C686)*($A$3:A685&lt;$A686)),$AB$3:AB685),1000))</f>
        <v>1013.5238989706302</v>
      </c>
      <c r="V686" s="126">
        <f t="shared" si="211"/>
        <v>1047.0380365401024</v>
      </c>
      <c r="W686">
        <f t="shared" si="212"/>
        <v>1038.1194614565154</v>
      </c>
      <c r="X686">
        <f t="shared" si="213"/>
        <v>0.51283204290509932</v>
      </c>
      <c r="Y686">
        <f t="shared" si="214"/>
        <v>1042.081690025801</v>
      </c>
      <c r="Z686">
        <f t="shared" si="215"/>
        <v>0.45899434053089105</v>
      </c>
      <c r="AA686">
        <f>IF($D686="",0,IF($F686&lt;2,0,IF($E686="Win",('Guide &amp; Settings'!$C$42/(($F686-1)*COUNTIFS($A$4:$A$1510,$A686,$E$4:$E$1510,"Win")))*SUMIFS($Z$4:$Z$1510,$A$4:$A$1510,$A686,$E$4:$E$1510,"Loss"),-('Guide &amp; Settings'!$C$42/($F686-1))*$Z686)))</f>
        <v>-14.687818896988514</v>
      </c>
      <c r="AB686" s="126">
        <f t="shared" si="216"/>
        <v>998.83608007364171</v>
      </c>
      <c r="AC686" s="126">
        <f>IF($D686="","",IF($AD686=0,0,IF(COUNTIFS($D$4:$D686,$D686,$B$4:$B686,$B686)&gt;1,0,IF($B686&lt;'Guide &amp; Settings'!$C$50,0,IF(($B686-$AD686)/7-'Guide &amp; Settings'!$C$48&gt;=0,(INT(($B686-$AD686)/7-'Guide &amp; Settings'!$C$48)+1)*'Guide &amp; Settings'!$C$49,0)))))</f>
        <v>0</v>
      </c>
      <c r="AD686" s="142">
        <f t="shared" si="217"/>
        <v>46274</v>
      </c>
      <c r="AE686">
        <f t="shared" si="218"/>
        <v>1</v>
      </c>
      <c r="AF686">
        <f t="shared" si="219"/>
        <v>0</v>
      </c>
    </row>
    <row r="687" spans="1:32" x14ac:dyDescent="0.2">
      <c r="A687" s="117">
        <v>290</v>
      </c>
      <c r="B687" s="118">
        <v>46285</v>
      </c>
      <c r="C687" s="119" t="s">
        <v>50</v>
      </c>
      <c r="D687" s="119" t="s">
        <v>22</v>
      </c>
      <c r="E687" s="117" t="s">
        <v>371</v>
      </c>
      <c r="F687" s="120">
        <f t="shared" si="200"/>
        <v>2</v>
      </c>
      <c r="G687" s="121" t="str">
        <f t="shared" si="201"/>
        <v>Shawn</v>
      </c>
      <c r="H687" s="122">
        <f>IF($D687="",0,IFERROR(LOOKUP(2,1/(($D$3:D686=$D687)*($A$3:A686&lt;$A687)),$N$3:N686),'Guide &amp; Settings'!$C$41))</f>
        <v>1045.9145128348835</v>
      </c>
      <c r="I687" s="123">
        <f t="shared" si="202"/>
        <v>0.48387096774193555</v>
      </c>
      <c r="J687" s="124">
        <f>IF($D687="",0,IF($F687&lt;2,0,IF($E687="Win",('Guide &amp; Settings'!$C$42/(($F687-1)*COUNTIFS($A$4:$A$1510,$A687,$E$4:$E$1510,"Win")))*SUMIFS($X$4:$X$1510,$A$4:$A$1510,$A687,$E$4:$E$1510,"Loss"),-('Guide &amp; Settings'!$C$42/($F687-1))*$X687)))</f>
        <v>-17.126436761323703</v>
      </c>
      <c r="K687" s="124">
        <f>IF($D687="",0,'Guide &amp; Settings'!$C$43*(IF($E687="Win",1,0)-$I687))</f>
        <v>-5.8064516129032269</v>
      </c>
      <c r="L687" s="125">
        <f>IF($D687="",0,'Guide &amp; Settings'!$C$44*IF($F687&gt;=3,$F687,0))</f>
        <v>0</v>
      </c>
      <c r="M687" s="124">
        <f t="shared" si="203"/>
        <v>-22.93288837422693</v>
      </c>
      <c r="N687" s="122">
        <f t="shared" si="204"/>
        <v>1022.9816244606566</v>
      </c>
      <c r="O687" s="121" t="str">
        <f t="shared" si="205"/>
        <v>OK</v>
      </c>
      <c r="P687">
        <f t="shared" si="206"/>
        <v>1205.1628594735989</v>
      </c>
      <c r="Q687">
        <f t="shared" si="207"/>
        <v>0.28562930538842274</v>
      </c>
      <c r="R687">
        <f t="shared" si="208"/>
        <v>0.5</v>
      </c>
      <c r="S687">
        <f t="shared" si="209"/>
        <v>1.0333333333333332</v>
      </c>
      <c r="T687" s="89">
        <f t="shared" si="210"/>
        <v>20</v>
      </c>
      <c r="U687" s="126">
        <f>IF($D687="",0,IFERROR(LOOKUP(2,1/(($D$3:D686=$D687)*($C$3:C686=$C687)*($A$3:A686&lt;$A687)),$AB$3:AB686),1000))</f>
        <v>1056.7695089227896</v>
      </c>
      <c r="V687" s="126">
        <f t="shared" si="211"/>
        <v>1054.5985097052085</v>
      </c>
      <c r="W687">
        <f t="shared" si="212"/>
        <v>1030.0977133160595</v>
      </c>
      <c r="X687">
        <f t="shared" si="213"/>
        <v>0.53520114879136571</v>
      </c>
      <c r="Y687">
        <f t="shared" si="214"/>
        <v>998.83608007364171</v>
      </c>
      <c r="Z687">
        <f t="shared" si="215"/>
        <v>0.58260869945839133</v>
      </c>
      <c r="AA687">
        <f>IF($D687="",0,IF($F687&lt;2,0,IF($E687="Win",('Guide &amp; Settings'!$C$42/(($F687-1)*COUNTIFS($A$4:$A$1510,$A687,$E$4:$E$1510,"Win")))*SUMIFS($Z$4:$Z$1510,$A$4:$A$1510,$A687,$E$4:$E$1510,"Loss"),-('Guide &amp; Settings'!$C$42/($F687-1))*$Z687)))</f>
        <v>-18.643478382668523</v>
      </c>
      <c r="AB687" s="126">
        <f t="shared" si="216"/>
        <v>1038.1260305401211</v>
      </c>
      <c r="AC687" s="126">
        <f>IF($D687="","",IF($AD687=0,0,IF(COUNTIFS($D$4:$D687,$D687,$B$4:$B687,$B687)&gt;1,0,IF($B687&lt;'Guide &amp; Settings'!$C$50,0,IF(($B687-$AD687)/7-'Guide &amp; Settings'!$C$48&gt;=0,(INT(($B687-$AD687)/7-'Guide &amp; Settings'!$C$48)+1)*'Guide &amp; Settings'!$C$49,0)))))</f>
        <v>0</v>
      </c>
      <c r="AD687" s="142">
        <f t="shared" si="217"/>
        <v>46272</v>
      </c>
      <c r="AE687">
        <f t="shared" si="218"/>
        <v>1</v>
      </c>
      <c r="AF687">
        <f t="shared" si="219"/>
        <v>0</v>
      </c>
    </row>
    <row r="688" spans="1:32" x14ac:dyDescent="0.2">
      <c r="A688" s="117">
        <v>290</v>
      </c>
      <c r="B688" s="118">
        <v>46285</v>
      </c>
      <c r="C688" s="119" t="s">
        <v>50</v>
      </c>
      <c r="D688" s="119" t="s">
        <v>20</v>
      </c>
      <c r="E688" s="117" t="s">
        <v>370</v>
      </c>
      <c r="F688" s="120">
        <f t="shared" si="200"/>
        <v>2</v>
      </c>
      <c r="G688" s="121" t="str">
        <f t="shared" si="201"/>
        <v>Shawn</v>
      </c>
      <c r="H688" s="122">
        <f>IF($D688="",0,IFERROR(LOOKUP(2,1/(($D$3:D687=$D688)*($A$3:A687&lt;$A688)),$N$3:N687),'Guide &amp; Settings'!$C$41))</f>
        <v>1205.1628594735989</v>
      </c>
      <c r="I688" s="123">
        <f t="shared" si="202"/>
        <v>0.51612903225806461</v>
      </c>
      <c r="J688" s="124">
        <f>IF($D688="",0,IF($F688&lt;2,0,IF($E688="Win",('Guide &amp; Settings'!$C$42/(($F688-1)*COUNTIFS($A$4:$A$1510,$A688,$E$4:$E$1510,"Win")))*SUMIFS($X$4:$X$1510,$A$4:$A$1510,$A688,$E$4:$E$1510,"Loss"),-('Guide &amp; Settings'!$C$42/($F688-1))*$X688)))</f>
        <v>17.126436761323703</v>
      </c>
      <c r="K688" s="124">
        <f>IF($D688="",0,'Guide &amp; Settings'!$C$43*(IF($E688="Win",1,0)-$I688))</f>
        <v>5.8064516129032242</v>
      </c>
      <c r="L688" s="125">
        <f>IF($D688="",0,'Guide &amp; Settings'!$C$44*IF($F688&gt;=3,$F688,0))</f>
        <v>0</v>
      </c>
      <c r="M688" s="124">
        <f t="shared" si="203"/>
        <v>22.932888374226927</v>
      </c>
      <c r="N688" s="122">
        <f t="shared" si="204"/>
        <v>1228.0957478478258</v>
      </c>
      <c r="O688" s="121" t="str">
        <f t="shared" si="205"/>
        <v>OK</v>
      </c>
      <c r="P688">
        <f t="shared" si="206"/>
        <v>1205.1628594735989</v>
      </c>
      <c r="Q688">
        <f t="shared" si="207"/>
        <v>0.5</v>
      </c>
      <c r="R688">
        <f t="shared" si="208"/>
        <v>0.53333333333333333</v>
      </c>
      <c r="S688">
        <f t="shared" si="209"/>
        <v>1.0333333333333332</v>
      </c>
      <c r="T688" s="89">
        <f t="shared" si="210"/>
        <v>28</v>
      </c>
      <c r="U688" s="126">
        <f>IF($D688="",0,IFERROR(LOOKUP(2,1/(($D$3:D687=$D688)*($C$3:C687=$C688)*($A$3:A687&lt;$A688)),$AB$3:AB687),1000))</f>
        <v>998.83608007364171</v>
      </c>
      <c r="V688" s="126">
        <f t="shared" si="211"/>
        <v>1030.0977133160595</v>
      </c>
      <c r="W688">
        <f t="shared" si="212"/>
        <v>1030.0977133160595</v>
      </c>
      <c r="X688">
        <f t="shared" si="213"/>
        <v>0.5</v>
      </c>
      <c r="Y688">
        <f t="shared" si="214"/>
        <v>998.83608007364171</v>
      </c>
      <c r="Z688">
        <f t="shared" si="215"/>
        <v>0.5</v>
      </c>
      <c r="AA688">
        <f>IF($D688="",0,IF($F688&lt;2,0,IF($E688="Win",('Guide &amp; Settings'!$C$42/(($F688-1)*COUNTIFS($A$4:$A$1510,$A688,$E$4:$E$1510,"Win")))*SUMIFS($Z$4:$Z$1510,$A$4:$A$1510,$A688,$E$4:$E$1510,"Loss"),-('Guide &amp; Settings'!$C$42/($F688-1))*$Z688)))</f>
        <v>18.643478382668523</v>
      </c>
      <c r="AB688" s="126">
        <f t="shared" si="216"/>
        <v>1017.4795584563102</v>
      </c>
      <c r="AC688" s="126">
        <f>IF($D688="","",IF($AD688=0,0,IF(COUNTIFS($D$4:$D688,$D688,$B$4:$B688,$B688)&gt;1,0,IF($B688&lt;'Guide &amp; Settings'!$C$50,0,IF(($B688-$AD688)/7-'Guide &amp; Settings'!$C$48&gt;=0,(INT(($B688-$AD688)/7-'Guide &amp; Settings'!$C$48)+1)*'Guide &amp; Settings'!$C$49,0)))))</f>
        <v>0</v>
      </c>
      <c r="AD688" s="142">
        <f t="shared" si="217"/>
        <v>46274</v>
      </c>
      <c r="AE688">
        <f t="shared" si="218"/>
        <v>1</v>
      </c>
      <c r="AF688">
        <f t="shared" si="219"/>
        <v>0</v>
      </c>
    </row>
    <row r="689" spans="1:32" x14ac:dyDescent="0.2">
      <c r="A689" s="117">
        <v>291</v>
      </c>
      <c r="B689" s="118">
        <v>46287</v>
      </c>
      <c r="C689" s="119" t="s">
        <v>50</v>
      </c>
      <c r="D689" s="119" t="s">
        <v>20</v>
      </c>
      <c r="E689" s="117" t="s">
        <v>370</v>
      </c>
      <c r="F689" s="120">
        <f t="shared" si="200"/>
        <v>3</v>
      </c>
      <c r="G689" s="121" t="str">
        <f t="shared" si="201"/>
        <v>Daniel (Ferret)</v>
      </c>
      <c r="H689" s="122">
        <f>IF($D689="",0,IFERROR(LOOKUP(2,1/(($D$3:D688=$D689)*($A$3:A688&lt;$A689)),$N$3:N688),'Guide &amp; Settings'!$C$41))</f>
        <v>1228.0957478478258</v>
      </c>
      <c r="I689" s="123">
        <f t="shared" si="202"/>
        <v>0.39444240645634626</v>
      </c>
      <c r="J689" s="124">
        <f>IF($D689="",0,IF($F689&lt;2,0,IF($E689="Win",('Guide &amp; Settings'!$C$42/(($F689-1)*COUNTIFS($A$4:$A$1510,$A689,$E$4:$E$1510,"Win")))*SUMIFS($X$4:$X$1510,$A$4:$A$1510,$A689,$E$4:$E$1510,"Loss"),-('Guide &amp; Settings'!$C$42/($F689-1))*$X689)))</f>
        <v>4.4341418612906605</v>
      </c>
      <c r="K689" s="124">
        <f>IF($D689="",0,'Guide &amp; Settings'!$C$43*(IF($E689="Win",1,0)-$I689))</f>
        <v>7.2666911225238442</v>
      </c>
      <c r="L689" s="125">
        <f>IF($D689="",0,'Guide &amp; Settings'!$C$44*IF($F689&gt;=3,$F689,0))</f>
        <v>3</v>
      </c>
      <c r="M689" s="124">
        <f t="shared" si="203"/>
        <v>14.700832983814504</v>
      </c>
      <c r="N689" s="122">
        <f t="shared" si="204"/>
        <v>1242.7965808316403</v>
      </c>
      <c r="O689" s="121" t="str">
        <f t="shared" si="205"/>
        <v>check winners</v>
      </c>
      <c r="P689">
        <f t="shared" si="206"/>
        <v>1125.5386861542411</v>
      </c>
      <c r="Q689">
        <f t="shared" si="207"/>
        <v>0.64344909656439164</v>
      </c>
      <c r="R689">
        <f t="shared" si="208"/>
        <v>0.54838709677419351</v>
      </c>
      <c r="S689">
        <f t="shared" si="209"/>
        <v>1.3902843299757746</v>
      </c>
      <c r="T689" s="89">
        <f t="shared" si="210"/>
        <v>29</v>
      </c>
      <c r="U689" s="126">
        <f>IF($D689="",0,IFERROR(LOOKUP(2,1/(($D$3:D688=$D689)*($C$3:C688=$C689)*($A$3:A688&lt;$A689)),$AB$3:AB688),1000))</f>
        <v>1017.4795584563102</v>
      </c>
      <c r="V689" s="126">
        <f t="shared" si="211"/>
        <v>1048.4525274844743</v>
      </c>
      <c r="W689">
        <f t="shared" si="212"/>
        <v>1041.8330861200416</v>
      </c>
      <c r="X689">
        <f t="shared" si="213"/>
        <v>0.50952498941851065</v>
      </c>
      <c r="Y689">
        <f t="shared" si="214"/>
        <v>1027.8027944982157</v>
      </c>
      <c r="Z689">
        <f t="shared" si="215"/>
        <v>0.48514803950048635</v>
      </c>
      <c r="AA689">
        <f>IF($D689="",0,IF($F689&lt;2,0,IF($E689="Win",('Guide &amp; Settings'!$C$42/(($F689-1)*COUNTIFS($A$4:$A$1510,$A689,$E$4:$E$1510,"Win")))*SUMIFS($Z$4:$Z$1510,$A$4:$A$1510,$A689,$E$4:$E$1510,"Loss"),-('Guide &amp; Settings'!$C$42/($F689-1))*$Z689)))</f>
        <v>3.4130686878429808</v>
      </c>
      <c r="AB689" s="126">
        <f t="shared" si="216"/>
        <v>1020.8926271441532</v>
      </c>
      <c r="AC689" s="126">
        <f>IF($D689="","",IF($AD689=0,0,IF(COUNTIFS($D$4:$D689,$D689,$B$4:$B689,$B689)&gt;1,0,IF($B689&lt;'Guide &amp; Settings'!$C$50,0,IF(($B689-$AD689)/7-'Guide &amp; Settings'!$C$48&gt;=0,(INT(($B689-$AD689)/7-'Guide &amp; Settings'!$C$48)+1)*'Guide &amp; Settings'!$C$49,0)))))</f>
        <v>0</v>
      </c>
      <c r="AD689" s="142">
        <f t="shared" si="217"/>
        <v>46285</v>
      </c>
      <c r="AE689">
        <f t="shared" si="218"/>
        <v>2</v>
      </c>
      <c r="AF689">
        <f t="shared" si="219"/>
        <v>0</v>
      </c>
    </row>
    <row r="690" spans="1:32" x14ac:dyDescent="0.2">
      <c r="A690" s="117">
        <v>291</v>
      </c>
      <c r="B690" s="118">
        <v>46287</v>
      </c>
      <c r="C690" s="119" t="s">
        <v>50</v>
      </c>
      <c r="D690" s="119" t="s">
        <v>22</v>
      </c>
      <c r="E690" s="117" t="s">
        <v>370</v>
      </c>
      <c r="F690" s="120">
        <f t="shared" si="200"/>
        <v>3</v>
      </c>
      <c r="G690" s="121" t="str">
        <f t="shared" si="201"/>
        <v>Daniel (Ferret)</v>
      </c>
      <c r="H690" s="122">
        <f>IF($D690="",0,IFERROR(LOOKUP(2,1/(($D$3:D689=$D690)*($A$3:A689&lt;$A690)),$N$3:N689),'Guide &amp; Settings'!$C$41))</f>
        <v>1022.9816244606566</v>
      </c>
      <c r="I690" s="123">
        <f t="shared" si="202"/>
        <v>0.34400220102714602</v>
      </c>
      <c r="J690" s="124">
        <f>IF($D690="",0,IF($F690&lt;2,0,IF($E690="Win",('Guide &amp; Settings'!$C$42/(($F690-1)*COUNTIFS($A$4:$A$1510,$A690,$E$4:$E$1510,"Win")))*SUMIFS($X$4:$X$1510,$A$4:$A$1510,$A690,$E$4:$E$1510,"Loss"),-('Guide &amp; Settings'!$C$42/($F690-1))*$X690)))</f>
        <v>4.4341418612906605</v>
      </c>
      <c r="K690" s="124">
        <f>IF($D690="",0,'Guide &amp; Settings'!$C$43*(IF($E690="Win",1,0)-$I690))</f>
        <v>7.8719735876742485</v>
      </c>
      <c r="L690" s="125">
        <f>IF($D690="",0,'Guide &amp; Settings'!$C$44*IF($F690&gt;=3,$F690,0))</f>
        <v>3</v>
      </c>
      <c r="M690" s="124">
        <f t="shared" si="203"/>
        <v>15.30611544896491</v>
      </c>
      <c r="N690" s="122">
        <f t="shared" si="204"/>
        <v>1038.2877399096215</v>
      </c>
      <c r="O690" s="121" t="str">
        <f t="shared" si="205"/>
        <v>check winners</v>
      </c>
      <c r="P690">
        <f t="shared" si="206"/>
        <v>1125.5386861542411</v>
      </c>
      <c r="Q690">
        <f t="shared" si="207"/>
        <v>0.35655090343560863</v>
      </c>
      <c r="R690">
        <f t="shared" si="208"/>
        <v>0.47826086956521741</v>
      </c>
      <c r="S690">
        <f t="shared" si="209"/>
        <v>1.3902843299757746</v>
      </c>
      <c r="T690" s="89">
        <f t="shared" si="210"/>
        <v>21</v>
      </c>
      <c r="U690" s="126">
        <f>IF($D690="",0,IFERROR(LOOKUP(2,1/(($D$3:D689=$D690)*($C$3:C689=$C690)*($A$3:A689&lt;$A690)),$AB$3:AB689),1000))</f>
        <v>1038.1260305401211</v>
      </c>
      <c r="V690" s="126">
        <f t="shared" si="211"/>
        <v>1035.2136447556086</v>
      </c>
      <c r="W690">
        <f t="shared" si="212"/>
        <v>1041.8330861200416</v>
      </c>
      <c r="X690">
        <f t="shared" si="213"/>
        <v>0.49047501058148901</v>
      </c>
      <c r="Y690">
        <f t="shared" si="214"/>
        <v>1027.8027944982157</v>
      </c>
      <c r="Z690">
        <f t="shared" si="215"/>
        <v>0.51485196049951343</v>
      </c>
      <c r="AA690">
        <f>IF($D690="",0,IF($F690&lt;2,0,IF($E690="Win",('Guide &amp; Settings'!$C$42/(($F690-1)*COUNTIFS($A$4:$A$1510,$A690,$E$4:$E$1510,"Win")))*SUMIFS($Z$4:$Z$1510,$A$4:$A$1510,$A690,$E$4:$E$1510,"Loss"),-('Guide &amp; Settings'!$C$42/($F690-1))*$Z690)))</f>
        <v>3.4130686878429808</v>
      </c>
      <c r="AB690" s="126">
        <f t="shared" si="216"/>
        <v>1041.539099227964</v>
      </c>
      <c r="AC690" s="126">
        <f>IF($D690="","",IF($AD690=0,0,IF(COUNTIFS($D$4:$D690,$D690,$B$4:$B690,$B690)&gt;1,0,IF($B690&lt;'Guide &amp; Settings'!$C$50,0,IF(($B690-$AD690)/7-'Guide &amp; Settings'!$C$48&gt;=0,(INT(($B690-$AD690)/7-'Guide &amp; Settings'!$C$48)+1)*'Guide &amp; Settings'!$C$49,0)))))</f>
        <v>0</v>
      </c>
      <c r="AD690" s="142">
        <f t="shared" si="217"/>
        <v>46285</v>
      </c>
      <c r="AE690">
        <f t="shared" si="218"/>
        <v>2</v>
      </c>
      <c r="AF690">
        <f t="shared" si="219"/>
        <v>0</v>
      </c>
    </row>
    <row r="691" spans="1:32" x14ac:dyDescent="0.2">
      <c r="A691" s="117">
        <v>291</v>
      </c>
      <c r="B691" s="118">
        <v>46287</v>
      </c>
      <c r="C691" s="119" t="s">
        <v>50</v>
      </c>
      <c r="D691" s="119" t="s">
        <v>15</v>
      </c>
      <c r="E691" s="117" t="s">
        <v>371</v>
      </c>
      <c r="F691" s="120">
        <f t="shared" si="200"/>
        <v>3</v>
      </c>
      <c r="G691" s="121" t="str">
        <f t="shared" si="201"/>
        <v>Daniel (Ferret)</v>
      </c>
      <c r="H691" s="122">
        <f>IF($D691="",0,IFERROR(LOOKUP(2,1/(($D$3:D690=$D691)*($A$3:A690&lt;$A691)),$N$3:N690),'Guide &amp; Settings'!$C$41))</f>
        <v>1265.5221853966827</v>
      </c>
      <c r="I691" s="123">
        <f t="shared" si="202"/>
        <v>0.26155539251650772</v>
      </c>
      <c r="J691" s="124">
        <f>IF($D691="",0,IF($F691&lt;2,0,IF($E691="Win",('Guide &amp; Settings'!$C$42/(($F691-1)*COUNTIFS($A$4:$A$1510,$A691,$E$4:$E$1510,"Win")))*SUMIFS($X$4:$X$1510,$A$4:$A$1510,$A691,$E$4:$E$1510,"Loss"),-('Guide &amp; Settings'!$C$42/($F691-1))*$X691)))</f>
        <v>-8.8682837225813209</v>
      </c>
      <c r="K691" s="124">
        <f>IF($D691="",0,'Guide &amp; Settings'!$C$43*(IF($E691="Win",1,0)-$I691))</f>
        <v>-3.1386647101980927</v>
      </c>
      <c r="L691" s="125">
        <f>IF($D691="",0,'Guide &amp; Settings'!$C$44*IF($F691&gt;=3,$F691,0))</f>
        <v>3</v>
      </c>
      <c r="M691" s="124">
        <f t="shared" si="203"/>
        <v>-9.0069484327794136</v>
      </c>
      <c r="N691" s="122">
        <f t="shared" si="204"/>
        <v>1256.5152369639034</v>
      </c>
      <c r="O691" s="121" t="str">
        <f t="shared" si="205"/>
        <v>check winners</v>
      </c>
      <c r="P691">
        <f t="shared" si="206"/>
        <v>1125.5386861542411</v>
      </c>
      <c r="Q691">
        <f t="shared" si="207"/>
        <v>0.69121587930565964</v>
      </c>
      <c r="R691">
        <f t="shared" si="208"/>
        <v>0.36363636363636365</v>
      </c>
      <c r="S691">
        <f t="shared" si="209"/>
        <v>1.3902843299757746</v>
      </c>
      <c r="T691" s="89">
        <f t="shared" si="210"/>
        <v>9</v>
      </c>
      <c r="U691" s="126">
        <f>IF($D691="",0,IFERROR(LOOKUP(2,1/(($D$3:D690=$D691)*($C$3:C690=$C691)*($A$3:A690&lt;$A691)),$AB$3:AB690),1000))</f>
        <v>976.45191120369645</v>
      </c>
      <c r="V691" s="126">
        <f t="shared" si="211"/>
        <v>1079.6912948440486</v>
      </c>
      <c r="W691">
        <f t="shared" si="212"/>
        <v>1041.8330861200416</v>
      </c>
      <c r="X691">
        <f t="shared" si="213"/>
        <v>0.55426773266133256</v>
      </c>
      <c r="Y691">
        <f t="shared" si="214"/>
        <v>1027.8027944982157</v>
      </c>
      <c r="Z691">
        <f t="shared" si="215"/>
        <v>0.4266335859803726</v>
      </c>
      <c r="AA691">
        <f>IF($D691="",0,IF($F691&lt;2,0,IF($E691="Win",('Guide &amp; Settings'!$C$42/(($F691-1)*COUNTIFS($A$4:$A$1510,$A691,$E$4:$E$1510,"Win")))*SUMIFS($Z$4:$Z$1510,$A$4:$A$1510,$A691,$E$4:$E$1510,"Loss"),-('Guide &amp; Settings'!$C$42/($F691-1))*$Z691)))</f>
        <v>-6.8261373756859616</v>
      </c>
      <c r="AB691" s="126">
        <f t="shared" si="216"/>
        <v>969.62577382801044</v>
      </c>
      <c r="AC691" s="126">
        <f>IF($D691="","",IF($AD691=0,0,IF(COUNTIFS($D$4:$D691,$D691,$B$4:$B691,$B691)&gt;1,0,IF($B691&lt;'Guide &amp; Settings'!$C$50,0,IF(($B691-$AD691)/7-'Guide &amp; Settings'!$C$48&gt;=0,(INT(($B691-$AD691)/7-'Guide &amp; Settings'!$C$48)+1)*'Guide &amp; Settings'!$C$49,0)))))</f>
        <v>10</v>
      </c>
      <c r="AD691" s="142">
        <f t="shared" si="217"/>
        <v>46256</v>
      </c>
      <c r="AE691">
        <f t="shared" si="218"/>
        <v>2</v>
      </c>
      <c r="AF691">
        <f t="shared" si="219"/>
        <v>0</v>
      </c>
    </row>
    <row r="692" spans="1:32" x14ac:dyDescent="0.2">
      <c r="A692" s="117">
        <v>292</v>
      </c>
      <c r="B692" s="118">
        <v>46287</v>
      </c>
      <c r="C692" s="119" t="s">
        <v>50</v>
      </c>
      <c r="D692" s="119" t="s">
        <v>20</v>
      </c>
      <c r="E692" s="117" t="s">
        <v>371</v>
      </c>
      <c r="F692" s="120">
        <f t="shared" si="200"/>
        <v>3</v>
      </c>
      <c r="G692" s="121" t="str">
        <f t="shared" si="201"/>
        <v>Daniel (Ferret)</v>
      </c>
      <c r="H692" s="122">
        <f>IF($D692="",0,IFERROR(LOOKUP(2,1/(($D$3:D691=$D692)*($A$3:A691&lt;$A692)),$N$3:N691),'Guide &amp; Settings'!$C$41))</f>
        <v>1242.7965808316403</v>
      </c>
      <c r="I692" s="123">
        <f t="shared" si="202"/>
        <v>0.40298507462686567</v>
      </c>
      <c r="J692" s="124">
        <f>IF($D692="",0,IF($F692&lt;2,0,IF($E692="Win",('Guide &amp; Settings'!$C$42/(($F692-1)*COUNTIFS($A$4:$A$1510,$A692,$E$4:$E$1510,"Win")))*SUMIFS($X$4:$X$1510,$A$4:$A$1510,$A692,$E$4:$E$1510,"Loss"),-('Guide &amp; Settings'!$C$42/($F692-1))*$X692)))</f>
        <v>-8.2682931869024063</v>
      </c>
      <c r="K692" s="124">
        <f>IF($D692="",0,'Guide &amp; Settings'!$C$43*(IF($E692="Win",1,0)-$I692))</f>
        <v>-4.8358208955223878</v>
      </c>
      <c r="L692" s="125">
        <f>IF($D692="",0,'Guide &amp; Settings'!$C$44*IF($F692&gt;=3,$F692,0))</f>
        <v>3</v>
      </c>
      <c r="M692" s="124">
        <f t="shared" si="203"/>
        <v>-10.104114082424793</v>
      </c>
      <c r="N692" s="122">
        <f t="shared" si="204"/>
        <v>1232.6924667492156</v>
      </c>
      <c r="O692" s="121" t="str">
        <f t="shared" si="205"/>
        <v>OK</v>
      </c>
      <c r="P692">
        <f t="shared" si="206"/>
        <v>1038.2877399096215</v>
      </c>
      <c r="Q692">
        <f t="shared" si="207"/>
        <v>0.76445253989100215</v>
      </c>
      <c r="R692">
        <f t="shared" si="208"/>
        <v>0.5625</v>
      </c>
      <c r="S692">
        <f t="shared" si="209"/>
        <v>1.3958333333333333</v>
      </c>
      <c r="T692" s="89">
        <f t="shared" si="210"/>
        <v>30</v>
      </c>
      <c r="U692" s="126">
        <f>IF($D692="",0,IFERROR(LOOKUP(2,1/(($D$3:D691=$D692)*($C$3:C691=$C692)*($A$3:A691&lt;$A692)),$AB$3:AB691),1000))</f>
        <v>1020.8926271441532</v>
      </c>
      <c r="V692" s="126">
        <f t="shared" si="211"/>
        <v>1052.5931919566513</v>
      </c>
      <c r="W692">
        <f t="shared" si="212"/>
        <v>1040.9369956504931</v>
      </c>
      <c r="X692">
        <f t="shared" si="213"/>
        <v>0.5167683241814004</v>
      </c>
      <c r="Y692">
        <f t="shared" si="214"/>
        <v>1041.539099227964</v>
      </c>
      <c r="Z692">
        <f t="shared" si="215"/>
        <v>0.47032226434743341</v>
      </c>
      <c r="AA692">
        <f>IF($D692="",0,IF($F692&lt;2,0,IF($E692="Win",('Guide &amp; Settings'!$C$42/(($F692-1)*COUNTIFS($A$4:$A$1510,$A692,$E$4:$E$1510,"Win")))*SUMIFS($Z$4:$Z$1510,$A$4:$A$1510,$A692,$E$4:$E$1510,"Loss"),-('Guide &amp; Settings'!$C$42/($F692-1))*$Z692)))</f>
        <v>-7.5251562295589345</v>
      </c>
      <c r="AB692" s="126">
        <f t="shared" si="216"/>
        <v>1013.3674709145943</v>
      </c>
      <c r="AC692" s="126">
        <f>IF($D692="","",IF($AD692=0,0,IF(COUNTIFS($D$4:$D692,$D692,$B$4:$B692,$B692)&gt;1,0,IF($B692&lt;'Guide &amp; Settings'!$C$50,0,IF(($B692-$AD692)/7-'Guide &amp; Settings'!$C$48&gt;=0,(INT(($B692-$AD692)/7-'Guide &amp; Settings'!$C$48)+1)*'Guide &amp; Settings'!$C$49,0)))))</f>
        <v>0</v>
      </c>
      <c r="AD692" s="142">
        <f t="shared" si="217"/>
        <v>46285</v>
      </c>
      <c r="AE692">
        <f t="shared" si="218"/>
        <v>1</v>
      </c>
      <c r="AF692">
        <f t="shared" si="219"/>
        <v>0</v>
      </c>
    </row>
    <row r="693" spans="1:32" x14ac:dyDescent="0.2">
      <c r="A693" s="117">
        <v>292</v>
      </c>
      <c r="B693" s="118">
        <v>46287</v>
      </c>
      <c r="C693" s="119" t="s">
        <v>50</v>
      </c>
      <c r="D693" s="119" t="s">
        <v>22</v>
      </c>
      <c r="E693" s="117" t="s">
        <v>370</v>
      </c>
      <c r="F693" s="120">
        <f t="shared" si="200"/>
        <v>3</v>
      </c>
      <c r="G693" s="121" t="str">
        <f t="shared" si="201"/>
        <v>Daniel (Ferret)</v>
      </c>
      <c r="H693" s="122">
        <f>IF($D693="",0,IFERROR(LOOKUP(2,1/(($D$3:D692=$D693)*($A$3:A692&lt;$A693)),$N$3:N692),'Guide &amp; Settings'!$C$41))</f>
        <v>1038.2877399096215</v>
      </c>
      <c r="I693" s="123">
        <f t="shared" si="202"/>
        <v>0.35820895522388063</v>
      </c>
      <c r="J693" s="124">
        <f>IF($D693="",0,IF($F693&lt;2,0,IF($E693="Win",('Guide &amp; Settings'!$C$42/(($F693-1)*COUNTIFS($A$4:$A$1510,$A693,$E$4:$E$1510,"Win")))*SUMIFS($X$4:$X$1510,$A$4:$A$1510,$A693,$E$4:$E$1510,"Loss"),-('Guide &amp; Settings'!$C$42/($F693-1))*$X693)))</f>
        <v>16.827336962692943</v>
      </c>
      <c r="K693" s="124">
        <f>IF($D693="",0,'Guide &amp; Settings'!$C$43*(IF($E693="Win",1,0)-$I693))</f>
        <v>7.7014925373134329</v>
      </c>
      <c r="L693" s="125">
        <f>IF($D693="",0,'Guide &amp; Settings'!$C$44*IF($F693&gt;=3,$F693,0))</f>
        <v>3</v>
      </c>
      <c r="M693" s="124">
        <f t="shared" si="203"/>
        <v>27.528829500006374</v>
      </c>
      <c r="N693" s="122">
        <f t="shared" si="204"/>
        <v>1065.8165694096278</v>
      </c>
      <c r="O693" s="121" t="str">
        <f t="shared" si="205"/>
        <v>OK</v>
      </c>
      <c r="P693">
        <f t="shared" si="206"/>
        <v>1038.2877399096215</v>
      </c>
      <c r="Q693">
        <f t="shared" si="207"/>
        <v>0.5</v>
      </c>
      <c r="R693">
        <f t="shared" si="208"/>
        <v>0.5</v>
      </c>
      <c r="S693">
        <f t="shared" si="209"/>
        <v>1.3958333333333333</v>
      </c>
      <c r="T693" s="89">
        <f t="shared" si="210"/>
        <v>22</v>
      </c>
      <c r="U693" s="126">
        <f>IF($D693="",0,IFERROR(LOOKUP(2,1/(($D$3:D692=$D693)*($C$3:C692=$C693)*($A$3:A692&lt;$A693)),$AB$3:AB692),1000))</f>
        <v>1041.539099227964</v>
      </c>
      <c r="V693" s="126">
        <f t="shared" si="211"/>
        <v>1040.9369956504931</v>
      </c>
      <c r="W693">
        <f t="shared" si="212"/>
        <v>1040.9369956504931</v>
      </c>
      <c r="X693">
        <f t="shared" si="213"/>
        <v>0.5</v>
      </c>
      <c r="Y693">
        <f t="shared" si="214"/>
        <v>1041.539099227964</v>
      </c>
      <c r="Z693">
        <f t="shared" si="215"/>
        <v>0.5</v>
      </c>
      <c r="AA693">
        <f>IF($D693="",0,IF($F693&lt;2,0,IF($E693="Win",('Guide &amp; Settings'!$C$42/(($F693-1)*COUNTIFS($A$4:$A$1510,$A693,$E$4:$E$1510,"Win")))*SUMIFS($Z$4:$Z$1510,$A$4:$A$1510,$A693,$E$4:$E$1510,"Loss"),-('Guide &amp; Settings'!$C$42/($F693-1))*$Z693)))</f>
        <v>13.892539279568027</v>
      </c>
      <c r="AB693" s="126">
        <f t="shared" si="216"/>
        <v>1055.4316385075319</v>
      </c>
      <c r="AC693" s="126">
        <f>IF($D693="","",IF($AD693=0,0,IF(COUNTIFS($D$4:$D693,$D693,$B$4:$B693,$B693)&gt;1,0,IF($B693&lt;'Guide &amp; Settings'!$C$50,0,IF(($B693-$AD693)/7-'Guide &amp; Settings'!$C$48&gt;=0,(INT(($B693-$AD693)/7-'Guide &amp; Settings'!$C$48)+1)*'Guide &amp; Settings'!$C$49,0)))))</f>
        <v>0</v>
      </c>
      <c r="AD693" s="142">
        <f t="shared" si="217"/>
        <v>46285</v>
      </c>
      <c r="AE693">
        <f t="shared" si="218"/>
        <v>1</v>
      </c>
      <c r="AF693">
        <f t="shared" si="219"/>
        <v>0</v>
      </c>
    </row>
    <row r="694" spans="1:32" x14ac:dyDescent="0.2">
      <c r="A694" s="117">
        <v>292</v>
      </c>
      <c r="B694" s="118">
        <v>46287</v>
      </c>
      <c r="C694" s="119" t="s">
        <v>50</v>
      </c>
      <c r="D694" s="119" t="s">
        <v>15</v>
      </c>
      <c r="E694" s="117" t="s">
        <v>371</v>
      </c>
      <c r="F694" s="120">
        <f t="shared" si="200"/>
        <v>3</v>
      </c>
      <c r="G694" s="121" t="str">
        <f t="shared" si="201"/>
        <v>Daniel (Ferret)</v>
      </c>
      <c r="H694" s="122">
        <f>IF($D694="",0,IFERROR(LOOKUP(2,1/(($D$3:D693=$D694)*($A$3:A693&lt;$A694)),$N$3:N693),'Guide &amp; Settings'!$C$41))</f>
        <v>1256.5152369639034</v>
      </c>
      <c r="I694" s="123">
        <f t="shared" si="202"/>
        <v>0.23880597014925373</v>
      </c>
      <c r="J694" s="124">
        <f>IF($D694="",0,IF($F694&lt;2,0,IF($E694="Win",('Guide &amp; Settings'!$C$42/(($F694-1)*COUNTIFS($A$4:$A$1510,$A694,$E$4:$E$1510,"Win")))*SUMIFS($X$4:$X$1510,$A$4:$A$1510,$A694,$E$4:$E$1510,"Loss"),-('Guide &amp; Settings'!$C$42/($F694-1))*$X694)))</f>
        <v>-8.5590437757905367</v>
      </c>
      <c r="K694" s="124">
        <f>IF($D694="",0,'Guide &amp; Settings'!$C$43*(IF($E694="Win",1,0)-$I694))</f>
        <v>-2.8656716417910446</v>
      </c>
      <c r="L694" s="125">
        <f>IF($D694="",0,'Guide &amp; Settings'!$C$44*IF($F694&gt;=3,$F694,0))</f>
        <v>3</v>
      </c>
      <c r="M694" s="124">
        <f t="shared" si="203"/>
        <v>-8.4247154175815808</v>
      </c>
      <c r="N694" s="122">
        <f t="shared" si="204"/>
        <v>1248.0905215463217</v>
      </c>
      <c r="O694" s="121" t="str">
        <f t="shared" si="205"/>
        <v>OK</v>
      </c>
      <c r="P694">
        <f t="shared" si="206"/>
        <v>1038.2877399096215</v>
      </c>
      <c r="Q694">
        <f t="shared" si="207"/>
        <v>0.77837444887269358</v>
      </c>
      <c r="R694">
        <f t="shared" si="208"/>
        <v>0.33333333333333331</v>
      </c>
      <c r="S694">
        <f t="shared" si="209"/>
        <v>1.3958333333333333</v>
      </c>
      <c r="T694" s="89">
        <f t="shared" si="210"/>
        <v>10</v>
      </c>
      <c r="U694" s="126">
        <f>IF($D694="",0,IFERROR(LOOKUP(2,1/(($D$3:D693=$D694)*($C$3:C693=$C694)*($A$3:A693&lt;$A694)),$AB$3:AB693),1000))</f>
        <v>969.62577382801044</v>
      </c>
      <c r="V694" s="126">
        <f t="shared" si="211"/>
        <v>1065.2555948733082</v>
      </c>
      <c r="W694">
        <f t="shared" si="212"/>
        <v>1040.9369956504931</v>
      </c>
      <c r="X694">
        <f t="shared" si="213"/>
        <v>0.53494023598690854</v>
      </c>
      <c r="Y694">
        <f t="shared" si="214"/>
        <v>1041.539099227964</v>
      </c>
      <c r="Z694">
        <f t="shared" si="215"/>
        <v>0.39796144062556821</v>
      </c>
      <c r="AA694">
        <f>IF($D694="",0,IF($F694&lt;2,0,IF($E694="Win",('Guide &amp; Settings'!$C$42/(($F694-1)*COUNTIFS($A$4:$A$1510,$A694,$E$4:$E$1510,"Win")))*SUMIFS($Z$4:$Z$1510,$A$4:$A$1510,$A694,$E$4:$E$1510,"Loss"),-('Guide &amp; Settings'!$C$42/($F694-1))*$Z694)))</f>
        <v>-6.3673830500090913</v>
      </c>
      <c r="AB694" s="126">
        <f t="shared" si="216"/>
        <v>963.2583907780014</v>
      </c>
      <c r="AC694" s="126">
        <f>IF($D694="","",IF($AD694=0,0,IF(COUNTIFS($D$4:$D694,$D694,$B$4:$B694,$B694)&gt;1,0,IF($B694&lt;'Guide &amp; Settings'!$C$50,0,IF(($B694-$AD694)/7-'Guide &amp; Settings'!$C$48&gt;=0,(INT(($B694-$AD694)/7-'Guide &amp; Settings'!$C$48)+1)*'Guide &amp; Settings'!$C$49,0)))))</f>
        <v>0</v>
      </c>
      <c r="AD694" s="142">
        <f t="shared" si="217"/>
        <v>46256</v>
      </c>
      <c r="AE694">
        <f t="shared" si="218"/>
        <v>1</v>
      </c>
      <c r="AF694">
        <f t="shared" si="219"/>
        <v>0</v>
      </c>
    </row>
    <row r="695" spans="1:32" x14ac:dyDescent="0.2">
      <c r="A695" s="117">
        <v>293</v>
      </c>
      <c r="B695" s="118">
        <v>46287</v>
      </c>
      <c r="C695" s="119" t="s">
        <v>50</v>
      </c>
      <c r="D695" s="119" t="s">
        <v>20</v>
      </c>
      <c r="E695" s="117" t="s">
        <v>371</v>
      </c>
      <c r="F695" s="120">
        <f t="shared" si="200"/>
        <v>3</v>
      </c>
      <c r="G695" s="121" t="str">
        <f t="shared" si="201"/>
        <v>Daniel (Ferret)</v>
      </c>
      <c r="H695" s="122">
        <f>IF($D695="",0,IFERROR(LOOKUP(2,1/(($D$3:D694=$D695)*($A$3:A694&lt;$A695)),$N$3:N694),'Guide &amp; Settings'!$C$41))</f>
        <v>1232.6924667492156</v>
      </c>
      <c r="I695" s="123">
        <f t="shared" si="202"/>
        <v>0.39722957832552452</v>
      </c>
      <c r="J695" s="124">
        <f>IF($D695="",0,IF($F695&lt;2,0,IF($E695="Win",('Guide &amp; Settings'!$C$42/(($F695-1)*COUNTIFS($A$4:$A$1510,$A695,$E$4:$E$1510,"Win")))*SUMIFS($X$4:$X$1510,$A$4:$A$1510,$A695,$E$4:$E$1510,"Loss"),-('Guide &amp; Settings'!$C$42/($F695-1))*$X695)))</f>
        <v>-7.6903002442108077</v>
      </c>
      <c r="K695" s="124">
        <f>IF($D695="",0,'Guide &amp; Settings'!$C$43*(IF($E695="Win",1,0)-$I695))</f>
        <v>-4.7667549399062938</v>
      </c>
      <c r="L695" s="125">
        <f>IF($D695="",0,'Guide &amp; Settings'!$C$44*IF($F695&gt;=3,$F695,0))</f>
        <v>3</v>
      </c>
      <c r="M695" s="124">
        <f t="shared" si="203"/>
        <v>-9.4570551841171024</v>
      </c>
      <c r="N695" s="122">
        <f t="shared" si="204"/>
        <v>1223.2354115650985</v>
      </c>
      <c r="O695" s="121" t="str">
        <f t="shared" si="205"/>
        <v>OK</v>
      </c>
      <c r="P695">
        <f t="shared" si="206"/>
        <v>1065.8165694096278</v>
      </c>
      <c r="Q695">
        <f t="shared" si="207"/>
        <v>0.723244898250752</v>
      </c>
      <c r="R695">
        <f t="shared" si="208"/>
        <v>0.54545454545454541</v>
      </c>
      <c r="S695">
        <f t="shared" si="209"/>
        <v>1.3731468531468531</v>
      </c>
      <c r="T695" s="89">
        <f t="shared" si="210"/>
        <v>31</v>
      </c>
      <c r="U695" s="126">
        <f>IF($D695="",0,IFERROR(LOOKUP(2,1/(($D$3:D694=$D695)*($C$3:C694=$C695)*($A$3:A694&lt;$A695)),$AB$3:AB694),1000))</f>
        <v>1013.3674709145943</v>
      </c>
      <c r="V695" s="126">
        <f t="shared" si="211"/>
        <v>1043.829275891625</v>
      </c>
      <c r="W695">
        <f t="shared" si="212"/>
        <v>1057.2860904543347</v>
      </c>
      <c r="X695">
        <f t="shared" si="213"/>
        <v>0.48064376526317548</v>
      </c>
      <c r="Y695">
        <f t="shared" si="214"/>
        <v>1055.4316385075319</v>
      </c>
      <c r="Z695">
        <f t="shared" si="215"/>
        <v>0.4397588486274378</v>
      </c>
      <c r="AA695">
        <f>IF($D695="",0,IF($F695&lt;2,0,IF($E695="Win",('Guide &amp; Settings'!$C$42/(($F695-1)*COUNTIFS($A$4:$A$1510,$A695,$E$4:$E$1510,"Win")))*SUMIFS($Z$4:$Z$1510,$A$4:$A$1510,$A695,$E$4:$E$1510,"Loss"),-('Guide &amp; Settings'!$C$42/($F695-1))*$Z695)))</f>
        <v>-7.0361415780390049</v>
      </c>
      <c r="AB695" s="126">
        <f t="shared" si="216"/>
        <v>1006.3313293365553</v>
      </c>
      <c r="AC695" s="126">
        <f>IF($D695="","",IF($AD695=0,0,IF(COUNTIFS($D$4:$D695,$D695,$B$4:$B695,$B695)&gt;1,0,IF($B695&lt;'Guide &amp; Settings'!$C$50,0,IF(($B695-$AD695)/7-'Guide &amp; Settings'!$C$48&gt;=0,(INT(($B695-$AD695)/7-'Guide &amp; Settings'!$C$48)+1)*'Guide &amp; Settings'!$C$49,0)))))</f>
        <v>0</v>
      </c>
      <c r="AD695" s="142">
        <f t="shared" si="217"/>
        <v>46285</v>
      </c>
      <c r="AE695">
        <f t="shared" si="218"/>
        <v>1</v>
      </c>
      <c r="AF695">
        <f t="shared" si="219"/>
        <v>0</v>
      </c>
    </row>
    <row r="696" spans="1:32" x14ac:dyDescent="0.2">
      <c r="A696" s="117">
        <v>293</v>
      </c>
      <c r="B696" s="118">
        <v>46287</v>
      </c>
      <c r="C696" s="119" t="s">
        <v>50</v>
      </c>
      <c r="D696" s="119" t="s">
        <v>22</v>
      </c>
      <c r="E696" s="117" t="s">
        <v>370</v>
      </c>
      <c r="F696" s="120">
        <f t="shared" si="200"/>
        <v>3</v>
      </c>
      <c r="G696" s="121" t="str">
        <f t="shared" si="201"/>
        <v>Daniel (Ferret)</v>
      </c>
      <c r="H696" s="122">
        <f>IF($D696="",0,IFERROR(LOOKUP(2,1/(($D$3:D695=$D696)*($A$3:A695&lt;$A696)),$N$3:N695),'Guide &amp; Settings'!$C$41))</f>
        <v>1065.8165694096278</v>
      </c>
      <c r="I696" s="123">
        <f t="shared" si="202"/>
        <v>0.37869219800366677</v>
      </c>
      <c r="J696" s="124">
        <f>IF($D696="",0,IF($F696&lt;2,0,IF($E696="Win",('Guide &amp; Settings'!$C$42/(($F696-1)*COUNTIFS($A$4:$A$1510,$A696,$E$4:$E$1510,"Win")))*SUMIFS($X$4:$X$1510,$A$4:$A$1510,$A696,$E$4:$E$1510,"Loss"),-('Guide &amp; Settings'!$C$42/($F696-1))*$X696)))</f>
        <v>15.574772412207931</v>
      </c>
      <c r="K696" s="124">
        <f>IF($D696="",0,'Guide &amp; Settings'!$C$43*(IF($E696="Win",1,0)-$I696))</f>
        <v>7.4556936239559981</v>
      </c>
      <c r="L696" s="125">
        <f>IF($D696="",0,'Guide &amp; Settings'!$C$44*IF($F696&gt;=3,$F696,0))</f>
        <v>3</v>
      </c>
      <c r="M696" s="124">
        <f t="shared" si="203"/>
        <v>26.030466036163929</v>
      </c>
      <c r="N696" s="122">
        <f t="shared" si="204"/>
        <v>1091.8470354457918</v>
      </c>
      <c r="O696" s="121" t="str">
        <f t="shared" si="205"/>
        <v>OK</v>
      </c>
      <c r="P696">
        <f t="shared" si="206"/>
        <v>1065.8165694096278</v>
      </c>
      <c r="Q696">
        <f t="shared" si="207"/>
        <v>0.5</v>
      </c>
      <c r="R696">
        <f t="shared" si="208"/>
        <v>0.52</v>
      </c>
      <c r="S696">
        <f t="shared" si="209"/>
        <v>1.3731468531468531</v>
      </c>
      <c r="T696" s="89">
        <f t="shared" si="210"/>
        <v>23</v>
      </c>
      <c r="U696" s="126">
        <f>IF($D696="",0,IFERROR(LOOKUP(2,1/(($D$3:D695=$D696)*($C$3:C695=$C696)*($A$3:A695&lt;$A696)),$AB$3:AB695),1000))</f>
        <v>1055.4316385075319</v>
      </c>
      <c r="V696" s="126">
        <f t="shared" si="211"/>
        <v>1057.2860904543347</v>
      </c>
      <c r="W696">
        <f t="shared" si="212"/>
        <v>1057.2860904543347</v>
      </c>
      <c r="X696">
        <f t="shared" si="213"/>
        <v>0.5</v>
      </c>
      <c r="Y696">
        <f t="shared" si="214"/>
        <v>1055.4316385075319</v>
      </c>
      <c r="Z696">
        <f t="shared" si="215"/>
        <v>0.5</v>
      </c>
      <c r="AA696">
        <f>IF($D696="",0,IF($F696&lt;2,0,IF($E696="Win",('Guide &amp; Settings'!$C$42/(($F696-1)*COUNTIFS($A$4:$A$1510,$A696,$E$4:$E$1510,"Win")))*SUMIFS($Z$4:$Z$1510,$A$4:$A$1510,$A696,$E$4:$E$1510,"Loss"),-('Guide &amp; Settings'!$C$42/($F696-1))*$Z696)))</f>
        <v>12.962203264226684</v>
      </c>
      <c r="AB696" s="126">
        <f t="shared" si="216"/>
        <v>1068.3938417717586</v>
      </c>
      <c r="AC696" s="126">
        <f>IF($D696="","",IF($AD696=0,0,IF(COUNTIFS($D$4:$D696,$D696,$B$4:$B696,$B696)&gt;1,0,IF($B696&lt;'Guide &amp; Settings'!$C$50,0,IF(($B696-$AD696)/7-'Guide &amp; Settings'!$C$48&gt;=0,(INT(($B696-$AD696)/7-'Guide &amp; Settings'!$C$48)+1)*'Guide &amp; Settings'!$C$49,0)))))</f>
        <v>0</v>
      </c>
      <c r="AD696" s="142">
        <f t="shared" si="217"/>
        <v>46285</v>
      </c>
      <c r="AE696">
        <f t="shared" si="218"/>
        <v>1</v>
      </c>
      <c r="AF696">
        <f t="shared" si="219"/>
        <v>0</v>
      </c>
    </row>
    <row r="697" spans="1:32" x14ac:dyDescent="0.2">
      <c r="A697" s="117">
        <v>293</v>
      </c>
      <c r="B697" s="118">
        <v>46287</v>
      </c>
      <c r="C697" s="119" t="s">
        <v>50</v>
      </c>
      <c r="D697" s="119" t="s">
        <v>15</v>
      </c>
      <c r="E697" s="117" t="s">
        <v>371</v>
      </c>
      <c r="F697" s="120">
        <f t="shared" si="200"/>
        <v>3</v>
      </c>
      <c r="G697" s="121" t="str">
        <f t="shared" si="201"/>
        <v>Daniel (Ferret)</v>
      </c>
      <c r="H697" s="122">
        <f>IF($D697="",0,IFERROR(LOOKUP(2,1/(($D$3:D696=$D697)*($A$3:A696&lt;$A697)),$N$3:N696),'Guide &amp; Settings'!$C$41))</f>
        <v>1248.0905215463217</v>
      </c>
      <c r="I697" s="123">
        <f t="shared" si="202"/>
        <v>0.22407822367080873</v>
      </c>
      <c r="J697" s="124">
        <f>IF($D697="",0,IF($F697&lt;2,0,IF($E697="Win",('Guide &amp; Settings'!$C$42/(($F697-1)*COUNTIFS($A$4:$A$1510,$A697,$E$4:$E$1510,"Win")))*SUMIFS($X$4:$X$1510,$A$4:$A$1510,$A697,$E$4:$E$1510,"Loss"),-('Guide &amp; Settings'!$C$42/($F697-1))*$X697)))</f>
        <v>-7.8844721679971226</v>
      </c>
      <c r="K697" s="124">
        <f>IF($D697="",0,'Guide &amp; Settings'!$C$43*(IF($E697="Win",1,0)-$I697))</f>
        <v>-2.6889386840497047</v>
      </c>
      <c r="L697" s="125">
        <f>IF($D697="",0,'Guide &amp; Settings'!$C$44*IF($F697&gt;=3,$F697,0))</f>
        <v>3</v>
      </c>
      <c r="M697" s="124">
        <f t="shared" si="203"/>
        <v>-7.5734108520468268</v>
      </c>
      <c r="N697" s="122">
        <f t="shared" si="204"/>
        <v>1240.5171106942748</v>
      </c>
      <c r="O697" s="121" t="str">
        <f t="shared" si="205"/>
        <v>OK</v>
      </c>
      <c r="P697">
        <f t="shared" si="206"/>
        <v>1065.8165694096278</v>
      </c>
      <c r="Q697">
        <f t="shared" si="207"/>
        <v>0.74063146971624749</v>
      </c>
      <c r="R697">
        <f t="shared" si="208"/>
        <v>0.30769230769230771</v>
      </c>
      <c r="S697">
        <f t="shared" si="209"/>
        <v>1.3731468531468531</v>
      </c>
      <c r="T697" s="89">
        <f t="shared" si="210"/>
        <v>11</v>
      </c>
      <c r="U697" s="126">
        <f>IF($D697="",0,IFERROR(LOOKUP(2,1/(($D$3:D696=$D697)*($C$3:C696=$C697)*($A$3:A696&lt;$A697)),$AB$3:AB696),1000))</f>
        <v>963.2583907780014</v>
      </c>
      <c r="V697" s="126">
        <f t="shared" si="211"/>
        <v>1052.2684316431014</v>
      </c>
      <c r="W697">
        <f t="shared" si="212"/>
        <v>1057.2860904543347</v>
      </c>
      <c r="X697">
        <f t="shared" si="213"/>
        <v>0.49277951049982016</v>
      </c>
      <c r="Y697">
        <f t="shared" si="214"/>
        <v>1055.4316385075319</v>
      </c>
      <c r="Z697">
        <f t="shared" si="215"/>
        <v>0.37037885538672993</v>
      </c>
      <c r="AA697">
        <f>IF($D697="",0,IF($F697&lt;2,0,IF($E697="Win",('Guide &amp; Settings'!$C$42/(($F697-1)*COUNTIFS($A$4:$A$1510,$A697,$E$4:$E$1510,"Win")))*SUMIFS($Z$4:$Z$1510,$A$4:$A$1510,$A697,$E$4:$E$1510,"Loss"),-('Guide &amp; Settings'!$C$42/($F697-1))*$Z697)))</f>
        <v>-5.9260616861876789</v>
      </c>
      <c r="AB697" s="126">
        <f t="shared" si="216"/>
        <v>957.33232909181368</v>
      </c>
      <c r="AC697" s="126">
        <f>IF($D697="","",IF($AD697=0,0,IF(COUNTIFS($D$4:$D697,$D697,$B$4:$B697,$B697)&gt;1,0,IF($B697&lt;'Guide &amp; Settings'!$C$50,0,IF(($B697-$AD697)/7-'Guide &amp; Settings'!$C$48&gt;=0,(INT(($B697-$AD697)/7-'Guide &amp; Settings'!$C$48)+1)*'Guide &amp; Settings'!$C$49,0)))))</f>
        <v>0</v>
      </c>
      <c r="AD697" s="142">
        <f t="shared" si="217"/>
        <v>46256</v>
      </c>
      <c r="AE697">
        <f t="shared" si="218"/>
        <v>1</v>
      </c>
      <c r="AF697">
        <f t="shared" si="219"/>
        <v>0</v>
      </c>
    </row>
    <row r="698" spans="1:32" x14ac:dyDescent="0.2">
      <c r="A698" s="117">
        <v>294</v>
      </c>
      <c r="B698" s="118">
        <v>46287</v>
      </c>
      <c r="C698" s="119" t="s">
        <v>50</v>
      </c>
      <c r="D698" s="119" t="s">
        <v>20</v>
      </c>
      <c r="E698" s="117" t="s">
        <v>370</v>
      </c>
      <c r="F698" s="120">
        <f t="shared" si="200"/>
        <v>3</v>
      </c>
      <c r="G698" s="121" t="str">
        <f t="shared" si="201"/>
        <v>Shawn</v>
      </c>
      <c r="H698" s="122">
        <f>IF($D698="",0,IFERROR(LOOKUP(2,1/(($D$3:D697=$D698)*($A$3:A697&lt;$A698)),$N$3:N697),'Guide &amp; Settings'!$C$41))</f>
        <v>1223.2354115650985</v>
      </c>
      <c r="I698" s="123">
        <f t="shared" si="202"/>
        <v>0.39111747851002865</v>
      </c>
      <c r="J698" s="124">
        <f>IF($D698="",0,IF($F698&lt;2,0,IF($E698="Win",('Guide &amp; Settings'!$C$42/(($F698-1)*COUNTIFS($A$4:$A$1510,$A698,$E$4:$E$1510,"Win")))*SUMIFS($X$4:$X$1510,$A$4:$A$1510,$A698,$E$4:$E$1510,"Loss"),-('Guide &amp; Settings'!$C$42/($F698-1))*$X698)))</f>
        <v>16.958722686901687</v>
      </c>
      <c r="K698" s="124">
        <f>IF($D698="",0,'Guide &amp; Settings'!$C$43*(IF($E698="Win",1,0)-$I698))</f>
        <v>7.3065902578796562</v>
      </c>
      <c r="L698" s="125">
        <f>IF($D698="",0,'Guide &amp; Settings'!$C$44*IF($F698&gt;=3,$F698,0))</f>
        <v>3</v>
      </c>
      <c r="M698" s="124">
        <f t="shared" si="203"/>
        <v>27.265312944781343</v>
      </c>
      <c r="N698" s="122">
        <f t="shared" si="204"/>
        <v>1250.5007245098798</v>
      </c>
      <c r="O698" s="121" t="str">
        <f t="shared" si="205"/>
        <v>OK</v>
      </c>
      <c r="P698">
        <f t="shared" si="206"/>
        <v>1223.2354115650985</v>
      </c>
      <c r="Q698">
        <f t="shared" si="207"/>
        <v>0.5</v>
      </c>
      <c r="R698">
        <f t="shared" si="208"/>
        <v>0.52941176470588236</v>
      </c>
      <c r="S698">
        <f t="shared" si="209"/>
        <v>1.3535875888817066</v>
      </c>
      <c r="T698" s="89">
        <f t="shared" si="210"/>
        <v>32</v>
      </c>
      <c r="U698" s="126">
        <f>IF($D698="",0,IFERROR(LOOKUP(2,1/(($D$3:D697=$D698)*($C$3:C697=$C698)*($A$3:A697&lt;$A698)),$AB$3:AB697),1000))</f>
        <v>1006.3313293365553</v>
      </c>
      <c r="V698" s="126">
        <f t="shared" si="211"/>
        <v>1035.642691799872</v>
      </c>
      <c r="W698">
        <f t="shared" si="212"/>
        <v>1035.642691799872</v>
      </c>
      <c r="X698">
        <f t="shared" si="213"/>
        <v>0.5</v>
      </c>
      <c r="Y698">
        <f t="shared" si="214"/>
        <v>1006.3313293365553</v>
      </c>
      <c r="Z698">
        <f t="shared" si="215"/>
        <v>0.5</v>
      </c>
      <c r="AA698">
        <f>IF($D698="",0,IF($F698&lt;2,0,IF($E698="Win",('Guide &amp; Settings'!$C$42/(($F698-1)*COUNTIFS($A$4:$A$1510,$A698,$E$4:$E$1510,"Win")))*SUMIFS($Z$4:$Z$1510,$A$4:$A$1510,$A698,$E$4:$E$1510,"Loss"),-('Guide &amp; Settings'!$C$42/($F698-1))*$Z698)))</f>
        <v>16.293211417268303</v>
      </c>
      <c r="AB698" s="126">
        <f t="shared" si="216"/>
        <v>1022.6245407538236</v>
      </c>
      <c r="AC698" s="126">
        <f>IF($D698="","",IF($AD698=0,0,IF(COUNTIFS($D$4:$D698,$D698,$B$4:$B698,$B698)&gt;1,0,IF($B698&lt;'Guide &amp; Settings'!$C$50,0,IF(($B698-$AD698)/7-'Guide &amp; Settings'!$C$48&gt;=0,(INT(($B698-$AD698)/7-'Guide &amp; Settings'!$C$48)+1)*'Guide &amp; Settings'!$C$49,0)))))</f>
        <v>0</v>
      </c>
      <c r="AD698" s="142">
        <f t="shared" si="217"/>
        <v>46285</v>
      </c>
      <c r="AE698">
        <f t="shared" si="218"/>
        <v>1</v>
      </c>
      <c r="AF698">
        <f t="shared" si="219"/>
        <v>0</v>
      </c>
    </row>
    <row r="699" spans="1:32" x14ac:dyDescent="0.2">
      <c r="A699" s="117">
        <v>294</v>
      </c>
      <c r="B699" s="118">
        <v>46287</v>
      </c>
      <c r="C699" s="119" t="s">
        <v>50</v>
      </c>
      <c r="D699" s="119" t="s">
        <v>22</v>
      </c>
      <c r="E699" s="117" t="s">
        <v>371</v>
      </c>
      <c r="F699" s="120">
        <f t="shared" si="200"/>
        <v>3</v>
      </c>
      <c r="G699" s="121" t="str">
        <f t="shared" si="201"/>
        <v>Shawn</v>
      </c>
      <c r="H699" s="122">
        <f>IF($D699="",0,IFERROR(LOOKUP(2,1/(($D$3:D698=$D699)*($A$3:A698&lt;$A699)),$N$3:N698),'Guide &amp; Settings'!$C$41))</f>
        <v>1091.8470354457918</v>
      </c>
      <c r="I699" s="123">
        <f t="shared" si="202"/>
        <v>0.39780324737344791</v>
      </c>
      <c r="J699" s="124">
        <f>IF($D699="",0,IF($F699&lt;2,0,IF($E699="Win",('Guide &amp; Settings'!$C$42/(($F699-1)*COUNTIFS($A$4:$A$1510,$A699,$E$4:$E$1510,"Win")))*SUMIFS($X$4:$X$1510,$A$4:$A$1510,$A699,$E$4:$E$1510,"Loss"),-('Guide &amp; Settings'!$C$42/($F699-1))*$X699)))</f>
        <v>-8.8440784012102149</v>
      </c>
      <c r="K699" s="124">
        <f>IF($D699="",0,'Guide &amp; Settings'!$C$43*(IF($E699="Win",1,0)-$I699))</f>
        <v>-4.7736389684813751</v>
      </c>
      <c r="L699" s="125">
        <f>IF($D699="",0,'Guide &amp; Settings'!$C$44*IF($F699&gt;=3,$F699,0))</f>
        <v>3</v>
      </c>
      <c r="M699" s="124">
        <f t="shared" si="203"/>
        <v>-10.61771736969159</v>
      </c>
      <c r="N699" s="122">
        <f t="shared" si="204"/>
        <v>1081.2293180761003</v>
      </c>
      <c r="O699" s="121" t="str">
        <f t="shared" si="205"/>
        <v>OK</v>
      </c>
      <c r="P699">
        <f t="shared" si="206"/>
        <v>1223.2354115650985</v>
      </c>
      <c r="Q699">
        <f t="shared" si="207"/>
        <v>0.31944309473496346</v>
      </c>
      <c r="R699">
        <f t="shared" si="208"/>
        <v>0.53846153846153844</v>
      </c>
      <c r="S699">
        <f t="shared" si="209"/>
        <v>1.3535875888817066</v>
      </c>
      <c r="T699" s="89">
        <f t="shared" si="210"/>
        <v>24</v>
      </c>
      <c r="U699" s="126">
        <f>IF($D699="",0,IFERROR(LOOKUP(2,1/(($D$3:D698=$D699)*($C$3:C698=$C699)*($A$3:A698&lt;$A699)),$AB$3:AB698),1000))</f>
        <v>1068.3938417717586</v>
      </c>
      <c r="V699" s="126">
        <f t="shared" si="211"/>
        <v>1072.4374958534886</v>
      </c>
      <c r="W699">
        <f t="shared" si="212"/>
        <v>1035.642691799872</v>
      </c>
      <c r="X699">
        <f t="shared" si="213"/>
        <v>0.55275490007563843</v>
      </c>
      <c r="Y699">
        <f t="shared" si="214"/>
        <v>1006.3313293365553</v>
      </c>
      <c r="Z699">
        <f t="shared" si="215"/>
        <v>0.5883771266415575</v>
      </c>
      <c r="AA699">
        <f>IF($D699="",0,IF($F699&lt;2,0,IF($E699="Win",('Guide &amp; Settings'!$C$42/(($F699-1)*COUNTIFS($A$4:$A$1510,$A699,$E$4:$E$1510,"Win")))*SUMIFS($Z$4:$Z$1510,$A$4:$A$1510,$A699,$E$4:$E$1510,"Loss"),-('Guide &amp; Settings'!$C$42/($F699-1))*$Z699)))</f>
        <v>-9.41403402626492</v>
      </c>
      <c r="AB699" s="126">
        <f t="shared" si="216"/>
        <v>1058.9798077454936</v>
      </c>
      <c r="AC699" s="126">
        <f>IF($D699="","",IF($AD699=0,0,IF(COUNTIFS($D$4:$D699,$D699,$B$4:$B699,$B699)&gt;1,0,IF($B699&lt;'Guide &amp; Settings'!$C$50,0,IF(($B699-$AD699)/7-'Guide &amp; Settings'!$C$48&gt;=0,(INT(($B699-$AD699)/7-'Guide &amp; Settings'!$C$48)+1)*'Guide &amp; Settings'!$C$49,0)))))</f>
        <v>0</v>
      </c>
      <c r="AD699" s="142">
        <f t="shared" si="217"/>
        <v>46285</v>
      </c>
      <c r="AE699">
        <f t="shared" si="218"/>
        <v>1</v>
      </c>
      <c r="AF699">
        <f t="shared" si="219"/>
        <v>0</v>
      </c>
    </row>
    <row r="700" spans="1:32" x14ac:dyDescent="0.2">
      <c r="A700" s="117">
        <v>294</v>
      </c>
      <c r="B700" s="118">
        <v>46287</v>
      </c>
      <c r="C700" s="119" t="s">
        <v>50</v>
      </c>
      <c r="D700" s="119" t="s">
        <v>15</v>
      </c>
      <c r="E700" s="117" t="s">
        <v>371</v>
      </c>
      <c r="F700" s="120">
        <f t="shared" si="200"/>
        <v>3</v>
      </c>
      <c r="G700" s="121" t="str">
        <f t="shared" si="201"/>
        <v>Shawn</v>
      </c>
      <c r="H700" s="122">
        <f>IF($D700="",0,IFERROR(LOOKUP(2,1/(($D$3:D699=$D700)*($A$3:A699&lt;$A700)),$N$3:N699),'Guide &amp; Settings'!$C$41))</f>
        <v>1240.5171106942748</v>
      </c>
      <c r="I700" s="123">
        <f t="shared" si="202"/>
        <v>0.21107927411652339</v>
      </c>
      <c r="J700" s="124">
        <f>IF($D700="",0,IF($F700&lt;2,0,IF($E700="Win",('Guide &amp; Settings'!$C$42/(($F700-1)*COUNTIFS($A$4:$A$1510,$A700,$E$4:$E$1510,"Win")))*SUMIFS($X$4:$X$1510,$A$4:$A$1510,$A700,$E$4:$E$1510,"Loss"),-('Guide &amp; Settings'!$C$42/($F700-1))*$X700)))</f>
        <v>-8.1146442856914742</v>
      </c>
      <c r="K700" s="124">
        <f>IF($D700="",0,'Guide &amp; Settings'!$C$43*(IF($E700="Win",1,0)-$I700))</f>
        <v>-2.5329512893982806</v>
      </c>
      <c r="L700" s="125">
        <f>IF($D700="",0,'Guide &amp; Settings'!$C$44*IF($F700&gt;=3,$F700,0))</f>
        <v>3</v>
      </c>
      <c r="M700" s="124">
        <f t="shared" si="203"/>
        <v>-7.6475955750897544</v>
      </c>
      <c r="N700" s="122">
        <f t="shared" si="204"/>
        <v>1232.8695151191851</v>
      </c>
      <c r="O700" s="121" t="str">
        <f t="shared" si="205"/>
        <v>OK</v>
      </c>
      <c r="P700">
        <f t="shared" si="206"/>
        <v>1223.2354115650985</v>
      </c>
      <c r="Q700">
        <f t="shared" si="207"/>
        <v>0.52484987360463975</v>
      </c>
      <c r="R700">
        <f t="shared" si="208"/>
        <v>0.2857142857142857</v>
      </c>
      <c r="S700">
        <f t="shared" si="209"/>
        <v>1.3535875888817066</v>
      </c>
      <c r="T700" s="89">
        <f t="shared" si="210"/>
        <v>12</v>
      </c>
      <c r="U700" s="126">
        <f>IF($D700="",0,IFERROR(LOOKUP(2,1/(($D$3:D699=$D700)*($C$3:C699=$C700)*($A$3:A699&lt;$A700)),$AB$3:AB699),1000))</f>
        <v>957.33232909181368</v>
      </c>
      <c r="V700" s="126">
        <f t="shared" si="211"/>
        <v>1040.6219707395965</v>
      </c>
      <c r="W700">
        <f t="shared" si="212"/>
        <v>1035.642691799872</v>
      </c>
      <c r="X700">
        <f t="shared" si="213"/>
        <v>0.50716526785571714</v>
      </c>
      <c r="Y700">
        <f t="shared" si="214"/>
        <v>1006.3313293365553</v>
      </c>
      <c r="Z700">
        <f t="shared" si="215"/>
        <v>0.42994858693771154</v>
      </c>
      <c r="AA700">
        <f>IF($D700="",0,IF($F700&lt;2,0,IF($E700="Win",('Guide &amp; Settings'!$C$42/(($F700-1)*COUNTIFS($A$4:$A$1510,$A700,$E$4:$E$1510,"Win")))*SUMIFS($Z$4:$Z$1510,$A$4:$A$1510,$A700,$E$4:$E$1510,"Loss"),-('Guide &amp; Settings'!$C$42/($F700-1))*$Z700)))</f>
        <v>-6.8791773910033847</v>
      </c>
      <c r="AB700" s="126">
        <f t="shared" si="216"/>
        <v>950.45315170081028</v>
      </c>
      <c r="AC700" s="126">
        <f>IF($D700="","",IF($AD700=0,0,IF(COUNTIFS($D$4:$D700,$D700,$B$4:$B700,$B700)&gt;1,0,IF($B700&lt;'Guide &amp; Settings'!$C$50,0,IF(($B700-$AD700)/7-'Guide &amp; Settings'!$C$48&gt;=0,(INT(($B700-$AD700)/7-'Guide &amp; Settings'!$C$48)+1)*'Guide &amp; Settings'!$C$49,0)))))</f>
        <v>0</v>
      </c>
      <c r="AD700" s="142">
        <f t="shared" si="217"/>
        <v>46256</v>
      </c>
      <c r="AE700">
        <f t="shared" si="218"/>
        <v>1</v>
      </c>
      <c r="AF700">
        <f t="shared" si="219"/>
        <v>0</v>
      </c>
    </row>
    <row r="701" spans="1:32" x14ac:dyDescent="0.2">
      <c r="A701" s="117">
        <v>295</v>
      </c>
      <c r="B701" s="118">
        <v>46287</v>
      </c>
      <c r="C701" s="119" t="s">
        <v>50</v>
      </c>
      <c r="D701" s="119" t="s">
        <v>20</v>
      </c>
      <c r="E701" s="117" t="s">
        <v>371</v>
      </c>
      <c r="F701" s="120">
        <f t="shared" si="200"/>
        <v>2</v>
      </c>
      <c r="G701" s="121" t="str">
        <f t="shared" si="201"/>
        <v>Daniel (Ferret)</v>
      </c>
      <c r="H701" s="122">
        <f>IF($D701="",0,IFERROR(LOOKUP(2,1/(($D$3:D700=$D701)*($A$3:A700&lt;$A701)),$N$3:N700),'Guide &amp; Settings'!$C$41))</f>
        <v>1250.5007245098798</v>
      </c>
      <c r="I701" s="123">
        <f t="shared" si="202"/>
        <v>0.51146560319042866</v>
      </c>
      <c r="J701" s="124">
        <f>IF($D701="",0,IF($F701&lt;2,0,IF($E701="Win",('Guide &amp; Settings'!$C$42/(($F701-1)*COUNTIFS($A$4:$A$1510,$A701,$E$4:$E$1510,"Win")))*SUMIFS($X$4:$X$1510,$A$4:$A$1510,$A701,$E$4:$E$1510,"Loss"),-('Guide &amp; Settings'!$C$42/($F701-1))*$X701)))</f>
        <v>-15.535937772858658</v>
      </c>
      <c r="K701" s="124">
        <f>IF($D701="",0,'Guide &amp; Settings'!$C$43*(IF($E701="Win",1,0)-$I701))</f>
        <v>-6.1375872382851444</v>
      </c>
      <c r="L701" s="125">
        <f>IF($D701="",0,'Guide &amp; Settings'!$C$44*IF($F701&gt;=3,$F701,0))</f>
        <v>0</v>
      </c>
      <c r="M701" s="124">
        <f t="shared" si="203"/>
        <v>-21.673525011143802</v>
      </c>
      <c r="N701" s="122">
        <f t="shared" si="204"/>
        <v>1228.827199498736</v>
      </c>
      <c r="O701" s="121" t="str">
        <f t="shared" si="205"/>
        <v>OK</v>
      </c>
      <c r="P701">
        <f t="shared" si="206"/>
        <v>1081.2293180761003</v>
      </c>
      <c r="Q701">
        <f t="shared" si="207"/>
        <v>0.72599654554678883</v>
      </c>
      <c r="R701">
        <f t="shared" si="208"/>
        <v>0.54285714285714282</v>
      </c>
      <c r="S701">
        <f t="shared" si="209"/>
        <v>1.0613756613756613</v>
      </c>
      <c r="T701" s="89">
        <f t="shared" si="210"/>
        <v>33</v>
      </c>
      <c r="U701" s="126">
        <f>IF($D701="",0,IFERROR(LOOKUP(2,1/(($D$3:D700=$D701)*($C$3:C700=$C701)*($A$3:A700&lt;$A701)),$AB$3:AB700),1000))</f>
        <v>1022.6245407538236</v>
      </c>
      <c r="V701" s="126">
        <f t="shared" si="211"/>
        <v>1052.6082491427783</v>
      </c>
      <c r="W701">
        <f t="shared" si="212"/>
        <v>1062.6880594672614</v>
      </c>
      <c r="X701">
        <f t="shared" si="213"/>
        <v>0.48549805540183305</v>
      </c>
      <c r="Y701">
        <f t="shared" si="214"/>
        <v>1058.9798077454936</v>
      </c>
      <c r="Z701">
        <f t="shared" si="215"/>
        <v>0.4478706860841285</v>
      </c>
      <c r="AA701">
        <f>IF($D701="",0,IF($F701&lt;2,0,IF($E701="Win",('Guide &amp; Settings'!$C$42/(($F701-1)*COUNTIFS($A$4:$A$1510,$A701,$E$4:$E$1510,"Win")))*SUMIFS($Z$4:$Z$1510,$A$4:$A$1510,$A701,$E$4:$E$1510,"Loss"),-('Guide &amp; Settings'!$C$42/($F701-1))*$Z701)))</f>
        <v>-14.331861954692112</v>
      </c>
      <c r="AB701" s="126">
        <f t="shared" si="216"/>
        <v>1008.2926787991314</v>
      </c>
      <c r="AC701" s="126">
        <f>IF($D701="","",IF($AD701=0,0,IF(COUNTIFS($D$4:$D701,$D701,$B$4:$B701,$B701)&gt;1,0,IF($B701&lt;'Guide &amp; Settings'!$C$50,0,IF(($B701-$AD701)/7-'Guide &amp; Settings'!$C$48&gt;=0,(INT(($B701-$AD701)/7-'Guide &amp; Settings'!$C$48)+1)*'Guide &amp; Settings'!$C$49,0)))))</f>
        <v>0</v>
      </c>
      <c r="AD701" s="142">
        <f t="shared" si="217"/>
        <v>46285</v>
      </c>
      <c r="AE701">
        <f t="shared" si="218"/>
        <v>1</v>
      </c>
      <c r="AF701">
        <f t="shared" si="219"/>
        <v>0</v>
      </c>
    </row>
    <row r="702" spans="1:32" x14ac:dyDescent="0.2">
      <c r="A702" s="117">
        <v>295</v>
      </c>
      <c r="B702" s="118">
        <v>46287</v>
      </c>
      <c r="C702" s="119" t="s">
        <v>50</v>
      </c>
      <c r="D702" s="119" t="s">
        <v>22</v>
      </c>
      <c r="E702" s="117" t="s">
        <v>370</v>
      </c>
      <c r="F702" s="120">
        <f t="shared" si="200"/>
        <v>2</v>
      </c>
      <c r="G702" s="121" t="str">
        <f t="shared" si="201"/>
        <v>Daniel (Ferret)</v>
      </c>
      <c r="H702" s="122">
        <f>IF($D702="",0,IFERROR(LOOKUP(2,1/(($D$3:D701=$D702)*($A$3:A701&lt;$A702)),$N$3:N701),'Guide &amp; Settings'!$C$41))</f>
        <v>1081.2293180761003</v>
      </c>
      <c r="I702" s="123">
        <f t="shared" si="202"/>
        <v>0.48853439680957128</v>
      </c>
      <c r="J702" s="124">
        <f>IF($D702="",0,IF($F702&lt;2,0,IF($E702="Win",('Guide &amp; Settings'!$C$42/(($F702-1)*COUNTIFS($A$4:$A$1510,$A702,$E$4:$E$1510,"Win")))*SUMIFS($X$4:$X$1510,$A$4:$A$1510,$A702,$E$4:$E$1510,"Loss"),-('Guide &amp; Settings'!$C$42/($F702-1))*$X702)))</f>
        <v>15.535937772858658</v>
      </c>
      <c r="K702" s="124">
        <f>IF($D702="",0,'Guide &amp; Settings'!$C$43*(IF($E702="Win",1,0)-$I702))</f>
        <v>6.1375872382851453</v>
      </c>
      <c r="L702" s="125">
        <f>IF($D702="",0,'Guide &amp; Settings'!$C$44*IF($F702&gt;=3,$F702,0))</f>
        <v>0</v>
      </c>
      <c r="M702" s="124">
        <f t="shared" si="203"/>
        <v>21.673525011143802</v>
      </c>
      <c r="N702" s="122">
        <f t="shared" si="204"/>
        <v>1102.902843087244</v>
      </c>
      <c r="O702" s="121" t="str">
        <f t="shared" si="205"/>
        <v>OK</v>
      </c>
      <c r="P702">
        <f t="shared" si="206"/>
        <v>1081.2293180761003</v>
      </c>
      <c r="Q702">
        <f t="shared" si="207"/>
        <v>0.5</v>
      </c>
      <c r="R702">
        <f t="shared" si="208"/>
        <v>0.51851851851851849</v>
      </c>
      <c r="S702">
        <f t="shared" si="209"/>
        <v>1.0613756613756613</v>
      </c>
      <c r="T702" s="89">
        <f t="shared" si="210"/>
        <v>25</v>
      </c>
      <c r="U702" s="126">
        <f>IF($D702="",0,IFERROR(LOOKUP(2,1/(($D$3:D701=$D702)*($C$3:C701=$C702)*($A$3:A701&lt;$A702)),$AB$3:AB701),1000))</f>
        <v>1058.9798077454936</v>
      </c>
      <c r="V702" s="126">
        <f t="shared" si="211"/>
        <v>1062.6880594672614</v>
      </c>
      <c r="W702">
        <f t="shared" si="212"/>
        <v>1062.6880594672614</v>
      </c>
      <c r="X702">
        <f t="shared" si="213"/>
        <v>0.5</v>
      </c>
      <c r="Y702">
        <f t="shared" si="214"/>
        <v>1058.9798077454936</v>
      </c>
      <c r="Z702">
        <f t="shared" si="215"/>
        <v>0.5</v>
      </c>
      <c r="AA702">
        <f>IF($D702="",0,IF($F702&lt;2,0,IF($E702="Win",('Guide &amp; Settings'!$C$42/(($F702-1)*COUNTIFS($A$4:$A$1510,$A702,$E$4:$E$1510,"Win")))*SUMIFS($Z$4:$Z$1510,$A$4:$A$1510,$A702,$E$4:$E$1510,"Loss"),-('Guide &amp; Settings'!$C$42/($F702-1))*$Z702)))</f>
        <v>14.331861954692112</v>
      </c>
      <c r="AB702" s="126">
        <f t="shared" si="216"/>
        <v>1073.3116697001858</v>
      </c>
      <c r="AC702" s="126">
        <f>IF($D702="","",IF($AD702=0,0,IF(COUNTIFS($D$4:$D702,$D702,$B$4:$B702,$B702)&gt;1,0,IF($B702&lt;'Guide &amp; Settings'!$C$50,0,IF(($B702-$AD702)/7-'Guide &amp; Settings'!$C$48&gt;=0,(INT(($B702-$AD702)/7-'Guide &amp; Settings'!$C$48)+1)*'Guide &amp; Settings'!$C$49,0)))))</f>
        <v>0</v>
      </c>
      <c r="AD702" s="142">
        <f t="shared" si="217"/>
        <v>46285</v>
      </c>
      <c r="AE702">
        <f t="shared" si="218"/>
        <v>1</v>
      </c>
      <c r="AF702">
        <f t="shared" si="219"/>
        <v>0</v>
      </c>
    </row>
    <row r="703" spans="1:32" x14ac:dyDescent="0.2">
      <c r="A703" s="117">
        <v>296</v>
      </c>
      <c r="B703" s="118">
        <v>46287</v>
      </c>
      <c r="C703" s="119" t="s">
        <v>50</v>
      </c>
      <c r="D703" s="119" t="s">
        <v>20</v>
      </c>
      <c r="E703" s="117" t="s">
        <v>371</v>
      </c>
      <c r="F703" s="120">
        <f t="shared" si="200"/>
        <v>2</v>
      </c>
      <c r="G703" s="121" t="str">
        <f t="shared" si="201"/>
        <v>Daniel (Ferret)</v>
      </c>
      <c r="H703" s="122">
        <f>IF($D703="",0,IFERROR(LOOKUP(2,1/(($D$3:D702=$D703)*($A$3:A702&lt;$A703)),$N$3:N702),'Guide &amp; Settings'!$C$41))</f>
        <v>1228.827199498736</v>
      </c>
      <c r="I703" s="123">
        <f t="shared" si="202"/>
        <v>0.4962686567164179</v>
      </c>
      <c r="J703" s="124">
        <f>IF($D703="",0,IF($F703&lt;2,0,IF($E703="Win",('Guide &amp; Settings'!$C$42/(($F703-1)*COUNTIFS($A$4:$A$1510,$A703,$E$4:$E$1510,"Win")))*SUMIFS($X$4:$X$1510,$A$4:$A$1510,$A703,$E$4:$E$1510,"Loss"),-('Guide &amp; Settings'!$C$42/($F703-1))*$X703)))</f>
        <v>-14.097069937622958</v>
      </c>
      <c r="K703" s="124">
        <f>IF($D703="",0,'Guide &amp; Settings'!$C$43*(IF($E703="Win",1,0)-$I703))</f>
        <v>-5.955223880597015</v>
      </c>
      <c r="L703" s="125">
        <f>IF($D703="",0,'Guide &amp; Settings'!$C$44*IF($F703&gt;=3,$F703,0))</f>
        <v>0</v>
      </c>
      <c r="M703" s="124">
        <f t="shared" si="203"/>
        <v>-20.052293818219972</v>
      </c>
      <c r="N703" s="122">
        <f t="shared" si="204"/>
        <v>1208.774905680516</v>
      </c>
      <c r="O703" s="121" t="str">
        <f t="shared" si="205"/>
        <v>OK</v>
      </c>
      <c r="P703">
        <f t="shared" si="206"/>
        <v>1102.902843087244</v>
      </c>
      <c r="Q703">
        <f t="shared" si="207"/>
        <v>0.6736804702455762</v>
      </c>
      <c r="R703">
        <f t="shared" si="208"/>
        <v>0.52777777777777779</v>
      </c>
      <c r="S703">
        <f t="shared" si="209"/>
        <v>1.0634920634920635</v>
      </c>
      <c r="T703" s="89">
        <f t="shared" si="210"/>
        <v>34</v>
      </c>
      <c r="U703" s="126">
        <f>IF($D703="",0,IFERROR(LOOKUP(2,1/(($D$3:D702=$D703)*($C$3:C702=$C703)*($A$3:A702&lt;$A703)),$AB$3:AB702),1000))</f>
        <v>1008.2926787991314</v>
      </c>
      <c r="V703" s="126">
        <f t="shared" si="211"/>
        <v>1036.5663352990807</v>
      </c>
      <c r="W703">
        <f t="shared" si="212"/>
        <v>1078.0844396013242</v>
      </c>
      <c r="X703">
        <f t="shared" si="213"/>
        <v>0.44053343555071744</v>
      </c>
      <c r="Y703">
        <f t="shared" si="214"/>
        <v>1073.3116697001858</v>
      </c>
      <c r="Z703">
        <f t="shared" si="215"/>
        <v>0.40750737426892092</v>
      </c>
      <c r="AA703">
        <f>IF($D703="",0,IF($F703&lt;2,0,IF($E703="Win",('Guide &amp; Settings'!$C$42/(($F703-1)*COUNTIFS($A$4:$A$1510,$A703,$E$4:$E$1510,"Win")))*SUMIFS($Z$4:$Z$1510,$A$4:$A$1510,$A703,$E$4:$E$1510,"Loss"),-('Guide &amp; Settings'!$C$42/($F703-1))*$Z703)))</f>
        <v>-13.040235976605469</v>
      </c>
      <c r="AB703" s="126">
        <f t="shared" si="216"/>
        <v>995.25244282252595</v>
      </c>
      <c r="AC703" s="126">
        <f>IF($D703="","",IF($AD703=0,0,IF(COUNTIFS($D$4:$D703,$D703,$B$4:$B703,$B703)&gt;1,0,IF($B703&lt;'Guide &amp; Settings'!$C$50,0,IF(($B703-$AD703)/7-'Guide &amp; Settings'!$C$48&gt;=0,(INT(($B703-$AD703)/7-'Guide &amp; Settings'!$C$48)+1)*'Guide &amp; Settings'!$C$49,0)))))</f>
        <v>0</v>
      </c>
      <c r="AD703" s="142">
        <f t="shared" si="217"/>
        <v>46285</v>
      </c>
      <c r="AE703">
        <f t="shared" si="218"/>
        <v>1</v>
      </c>
      <c r="AF703">
        <f t="shared" si="219"/>
        <v>0</v>
      </c>
    </row>
    <row r="704" spans="1:32" x14ac:dyDescent="0.2">
      <c r="A704" s="117">
        <v>296</v>
      </c>
      <c r="B704" s="118">
        <v>46287</v>
      </c>
      <c r="C704" s="119" t="s">
        <v>50</v>
      </c>
      <c r="D704" s="119" t="s">
        <v>22</v>
      </c>
      <c r="E704" s="117" t="s">
        <v>370</v>
      </c>
      <c r="F704" s="120">
        <f t="shared" si="200"/>
        <v>2</v>
      </c>
      <c r="G704" s="121" t="str">
        <f t="shared" si="201"/>
        <v>Daniel (Ferret)</v>
      </c>
      <c r="H704" s="122">
        <f>IF($D704="",0,IFERROR(LOOKUP(2,1/(($D$3:D703=$D704)*($A$3:A703&lt;$A704)),$N$3:N703),'Guide &amp; Settings'!$C$41))</f>
        <v>1102.902843087244</v>
      </c>
      <c r="I704" s="123">
        <f t="shared" si="202"/>
        <v>0.50373134328358204</v>
      </c>
      <c r="J704" s="124">
        <f>IF($D704="",0,IF($F704&lt;2,0,IF($E704="Win",('Guide &amp; Settings'!$C$42/(($F704-1)*COUNTIFS($A$4:$A$1510,$A704,$E$4:$E$1510,"Win")))*SUMIFS($X$4:$X$1510,$A$4:$A$1510,$A704,$E$4:$E$1510,"Loss"),-('Guide &amp; Settings'!$C$42/($F704-1))*$X704)))</f>
        <v>14.097069937622958</v>
      </c>
      <c r="K704" s="124">
        <f>IF($D704="",0,'Guide &amp; Settings'!$C$43*(IF($E704="Win",1,0)-$I704))</f>
        <v>5.9552238805970159</v>
      </c>
      <c r="L704" s="125">
        <f>IF($D704="",0,'Guide &amp; Settings'!$C$44*IF($F704&gt;=3,$F704,0))</f>
        <v>0</v>
      </c>
      <c r="M704" s="124">
        <f t="shared" si="203"/>
        <v>20.052293818219972</v>
      </c>
      <c r="N704" s="122">
        <f t="shared" si="204"/>
        <v>1122.9551369054641</v>
      </c>
      <c r="O704" s="121" t="str">
        <f t="shared" si="205"/>
        <v>OK</v>
      </c>
      <c r="P704">
        <f t="shared" si="206"/>
        <v>1102.902843087244</v>
      </c>
      <c r="Q704">
        <f t="shared" si="207"/>
        <v>0.5</v>
      </c>
      <c r="R704">
        <f t="shared" si="208"/>
        <v>0.5357142857142857</v>
      </c>
      <c r="S704">
        <f t="shared" si="209"/>
        <v>1.0634920634920635</v>
      </c>
      <c r="T704" s="89">
        <f t="shared" si="210"/>
        <v>26</v>
      </c>
      <c r="U704" s="126">
        <f>IF($D704="",0,IFERROR(LOOKUP(2,1/(($D$3:D703=$D704)*($C$3:C703=$C704)*($A$3:A703&lt;$A704)),$AB$3:AB703),1000))</f>
        <v>1073.3116697001858</v>
      </c>
      <c r="V704" s="126">
        <f t="shared" si="211"/>
        <v>1078.0844396013242</v>
      </c>
      <c r="W704">
        <f t="shared" si="212"/>
        <v>1078.0844396013242</v>
      </c>
      <c r="X704">
        <f t="shared" si="213"/>
        <v>0.5</v>
      </c>
      <c r="Y704">
        <f t="shared" si="214"/>
        <v>1073.3116697001858</v>
      </c>
      <c r="Z704">
        <f t="shared" si="215"/>
        <v>0.5</v>
      </c>
      <c r="AA704">
        <f>IF($D704="",0,IF($F704&lt;2,0,IF($E704="Win",('Guide &amp; Settings'!$C$42/(($F704-1)*COUNTIFS($A$4:$A$1510,$A704,$E$4:$E$1510,"Win")))*SUMIFS($Z$4:$Z$1510,$A$4:$A$1510,$A704,$E$4:$E$1510,"Loss"),-('Guide &amp; Settings'!$C$42/($F704-1))*$Z704)))</f>
        <v>13.040235976605469</v>
      </c>
      <c r="AB704" s="126">
        <f t="shared" si="216"/>
        <v>1086.3519056767914</v>
      </c>
      <c r="AC704" s="126">
        <f>IF($D704="","",IF($AD704=0,0,IF(COUNTIFS($D$4:$D704,$D704,$B$4:$B704,$B704)&gt;1,0,IF($B704&lt;'Guide &amp; Settings'!$C$50,0,IF(($B704-$AD704)/7-'Guide &amp; Settings'!$C$48&gt;=0,(INT(($B704-$AD704)/7-'Guide &amp; Settings'!$C$48)+1)*'Guide &amp; Settings'!$C$49,0)))))</f>
        <v>0</v>
      </c>
      <c r="AD704" s="142">
        <f t="shared" si="217"/>
        <v>46285</v>
      </c>
      <c r="AE704">
        <f t="shared" si="218"/>
        <v>1</v>
      </c>
      <c r="AF704">
        <f t="shared" si="219"/>
        <v>0</v>
      </c>
    </row>
    <row r="705" spans="1:32" x14ac:dyDescent="0.2">
      <c r="A705" s="117">
        <v>297</v>
      </c>
      <c r="B705" s="118">
        <v>46289</v>
      </c>
      <c r="C705" s="119" t="s">
        <v>50</v>
      </c>
      <c r="D705" s="119" t="s">
        <v>20</v>
      </c>
      <c r="E705" s="117" t="s">
        <v>371</v>
      </c>
      <c r="F705" s="120">
        <f t="shared" si="200"/>
        <v>2</v>
      </c>
      <c r="G705" s="121" t="str">
        <f t="shared" si="201"/>
        <v>Daniel (Ferret)</v>
      </c>
      <c r="H705" s="122">
        <f>IF($D705="",0,IFERROR(LOOKUP(2,1/(($D$3:D704=$D705)*($A$3:A704&lt;$A705)),$N$3:N704),'Guide &amp; Settings'!$C$41))</f>
        <v>1208.774905680516</v>
      </c>
      <c r="I705" s="123">
        <f t="shared" si="202"/>
        <v>0.48206474190726162</v>
      </c>
      <c r="J705" s="124">
        <f>IF($D705="",0,IF($F705&lt;2,0,IF($E705="Win",('Guide &amp; Settings'!$C$42/(($F705-1)*COUNTIFS($A$4:$A$1510,$A705,$E$4:$E$1510,"Win")))*SUMIFS($X$4:$X$1510,$A$4:$A$1510,$A705,$E$4:$E$1510,"Loss"),-('Guide &amp; Settings'!$C$42/($F705-1))*$X705)))</f>
        <v>-12.813623124203657</v>
      </c>
      <c r="K705" s="124">
        <f>IF($D705="",0,'Guide &amp; Settings'!$C$43*(IF($E705="Win",1,0)-$I705))</f>
        <v>-5.7847769028871392</v>
      </c>
      <c r="L705" s="125">
        <f>IF($D705="",0,'Guide &amp; Settings'!$C$44*IF($F705&gt;=3,$F705,0))</f>
        <v>0</v>
      </c>
      <c r="M705" s="124">
        <f t="shared" si="203"/>
        <v>-18.598400027090797</v>
      </c>
      <c r="N705" s="122">
        <f t="shared" si="204"/>
        <v>1190.1765056534252</v>
      </c>
      <c r="O705" s="121" t="str">
        <f t="shared" si="205"/>
        <v>OK</v>
      </c>
      <c r="P705">
        <f t="shared" si="206"/>
        <v>1122.9551369054641</v>
      </c>
      <c r="Q705">
        <f t="shared" si="207"/>
        <v>0.62105258338343672</v>
      </c>
      <c r="R705">
        <f t="shared" si="208"/>
        <v>0.51351351351351349</v>
      </c>
      <c r="S705">
        <f t="shared" si="209"/>
        <v>1.0652376514445479</v>
      </c>
      <c r="T705" s="89">
        <f t="shared" si="210"/>
        <v>35</v>
      </c>
      <c r="U705" s="126">
        <f>IF($D705="",0,IFERROR(LOOKUP(2,1/(($D$3:D704=$D705)*($C$3:C704=$C705)*($A$3:A704&lt;$A705)),$AB$3:AB704),1000))</f>
        <v>995.25244282252595</v>
      </c>
      <c r="V705" s="126">
        <f t="shared" si="211"/>
        <v>1021.9427506797747</v>
      </c>
      <c r="W705">
        <f t="shared" si="212"/>
        <v>1092.0711605562715</v>
      </c>
      <c r="X705">
        <f t="shared" si="213"/>
        <v>0.40042572263136428</v>
      </c>
      <c r="Y705">
        <f t="shared" si="214"/>
        <v>1086.3519056767914</v>
      </c>
      <c r="Z705">
        <f t="shared" si="215"/>
        <v>0.3718214529299057</v>
      </c>
      <c r="AA705">
        <f>IF($D705="",0,IF($F705&lt;2,0,IF($E705="Win",('Guide &amp; Settings'!$C$42/(($F705-1)*COUNTIFS($A$4:$A$1510,$A705,$E$4:$E$1510,"Win")))*SUMIFS($Z$4:$Z$1510,$A$4:$A$1510,$A705,$E$4:$E$1510,"Loss"),-('Guide &amp; Settings'!$C$42/($F705-1))*$Z705)))</f>
        <v>-11.898286493756983</v>
      </c>
      <c r="AB705" s="126">
        <f t="shared" si="216"/>
        <v>983.35415632876902</v>
      </c>
      <c r="AC705" s="126">
        <f>IF($D705="","",IF($AD705=0,0,IF(COUNTIFS($D$4:$D705,$D705,$B$4:$B705,$B705)&gt;1,0,IF($B705&lt;'Guide &amp; Settings'!$C$50,0,IF(($B705-$AD705)/7-'Guide &amp; Settings'!$C$48&gt;=0,(INT(($B705-$AD705)/7-'Guide &amp; Settings'!$C$48)+1)*'Guide &amp; Settings'!$C$49,0)))))</f>
        <v>0</v>
      </c>
      <c r="AD705" s="142">
        <f t="shared" si="217"/>
        <v>46287</v>
      </c>
      <c r="AE705">
        <f t="shared" si="218"/>
        <v>1</v>
      </c>
      <c r="AF705">
        <f t="shared" si="219"/>
        <v>0</v>
      </c>
    </row>
    <row r="706" spans="1:32" x14ac:dyDescent="0.2">
      <c r="A706" s="117">
        <v>297</v>
      </c>
      <c r="B706" s="118">
        <v>46289</v>
      </c>
      <c r="C706" s="119" t="s">
        <v>50</v>
      </c>
      <c r="D706" s="119" t="s">
        <v>22</v>
      </c>
      <c r="E706" s="117" t="s">
        <v>370</v>
      </c>
      <c r="F706" s="120">
        <f t="shared" si="200"/>
        <v>2</v>
      </c>
      <c r="G706" s="121" t="str">
        <f t="shared" si="201"/>
        <v>Daniel (Ferret)</v>
      </c>
      <c r="H706" s="122">
        <f>IF($D706="",0,IFERROR(LOOKUP(2,1/(($D$3:D705=$D706)*($A$3:A705&lt;$A706)),$N$3:N705),'Guide &amp; Settings'!$C$41))</f>
        <v>1122.9551369054641</v>
      </c>
      <c r="I706" s="123">
        <f t="shared" si="202"/>
        <v>0.51793525809273844</v>
      </c>
      <c r="J706" s="124">
        <f>IF($D706="",0,IF($F706&lt;2,0,IF($E706="Win",('Guide &amp; Settings'!$C$42/(($F706-1)*COUNTIFS($A$4:$A$1510,$A706,$E$4:$E$1510,"Win")))*SUMIFS($X$4:$X$1510,$A$4:$A$1510,$A706,$E$4:$E$1510,"Loss"),-('Guide &amp; Settings'!$C$42/($F706-1))*$X706)))</f>
        <v>12.813623124203657</v>
      </c>
      <c r="K706" s="124">
        <f>IF($D706="",0,'Guide &amp; Settings'!$C$43*(IF($E706="Win",1,0)-$I706))</f>
        <v>5.7847769028871383</v>
      </c>
      <c r="L706" s="125">
        <f>IF($D706="",0,'Guide &amp; Settings'!$C$44*IF($F706&gt;=3,$F706,0))</f>
        <v>0</v>
      </c>
      <c r="M706" s="124">
        <f t="shared" si="203"/>
        <v>18.598400027090797</v>
      </c>
      <c r="N706" s="122">
        <f t="shared" si="204"/>
        <v>1141.5535369325548</v>
      </c>
      <c r="O706" s="121" t="str">
        <f t="shared" si="205"/>
        <v>OK</v>
      </c>
      <c r="P706">
        <f t="shared" si="206"/>
        <v>1122.9551369054641</v>
      </c>
      <c r="Q706">
        <f t="shared" si="207"/>
        <v>0.5</v>
      </c>
      <c r="R706">
        <f t="shared" si="208"/>
        <v>0.55172413793103448</v>
      </c>
      <c r="S706">
        <f t="shared" si="209"/>
        <v>1.0652376514445479</v>
      </c>
      <c r="T706" s="89">
        <f t="shared" si="210"/>
        <v>27</v>
      </c>
      <c r="U706" s="126">
        <f>IF($D706="",0,IFERROR(LOOKUP(2,1/(($D$3:D705=$D706)*($C$3:C705=$C706)*($A$3:A705&lt;$A706)),$AB$3:AB705),1000))</f>
        <v>1086.3519056767914</v>
      </c>
      <c r="V706" s="126">
        <f t="shared" si="211"/>
        <v>1092.0711605562715</v>
      </c>
      <c r="W706">
        <f t="shared" si="212"/>
        <v>1092.0711605562715</v>
      </c>
      <c r="X706">
        <f t="shared" si="213"/>
        <v>0.5</v>
      </c>
      <c r="Y706">
        <f t="shared" si="214"/>
        <v>1086.3519056767914</v>
      </c>
      <c r="Z706">
        <f t="shared" si="215"/>
        <v>0.5</v>
      </c>
      <c r="AA706">
        <f>IF($D706="",0,IF($F706&lt;2,0,IF($E706="Win",('Guide &amp; Settings'!$C$42/(($F706-1)*COUNTIFS($A$4:$A$1510,$A706,$E$4:$E$1510,"Win")))*SUMIFS($Z$4:$Z$1510,$A$4:$A$1510,$A706,$E$4:$E$1510,"Loss"),-('Guide &amp; Settings'!$C$42/($F706-1))*$Z706)))</f>
        <v>11.898286493756983</v>
      </c>
      <c r="AB706" s="126">
        <f t="shared" si="216"/>
        <v>1098.2501921705484</v>
      </c>
      <c r="AC706" s="126">
        <f>IF($D706="","",IF($AD706=0,0,IF(COUNTIFS($D$4:$D706,$D706,$B$4:$B706,$B706)&gt;1,0,IF($B706&lt;'Guide &amp; Settings'!$C$50,0,IF(($B706-$AD706)/7-'Guide &amp; Settings'!$C$48&gt;=0,(INT(($B706-$AD706)/7-'Guide &amp; Settings'!$C$48)+1)*'Guide &amp; Settings'!$C$49,0)))))</f>
        <v>0</v>
      </c>
      <c r="AD706" s="142">
        <f t="shared" si="217"/>
        <v>46287</v>
      </c>
      <c r="AE706">
        <f t="shared" si="218"/>
        <v>1</v>
      </c>
      <c r="AF706">
        <f t="shared" si="219"/>
        <v>0</v>
      </c>
    </row>
    <row r="707" spans="1:32" x14ac:dyDescent="0.2">
      <c r="A707" s="117">
        <v>298</v>
      </c>
      <c r="B707" s="118">
        <v>46289</v>
      </c>
      <c r="C707" s="119" t="s">
        <v>50</v>
      </c>
      <c r="D707" s="119" t="s">
        <v>20</v>
      </c>
      <c r="E707" s="117" t="s">
        <v>371</v>
      </c>
      <c r="F707" s="120">
        <f t="shared" si="200"/>
        <v>2</v>
      </c>
      <c r="G707" s="121" t="str">
        <f t="shared" si="201"/>
        <v>Daniel (Ferret)</v>
      </c>
      <c r="H707" s="122">
        <f>IF($D707="",0,IFERROR(LOOKUP(2,1/(($D$3:D706=$D707)*($A$3:A706&lt;$A707)),$N$3:N706),'Guide &amp; Settings'!$C$41))</f>
        <v>1190.1765056534252</v>
      </c>
      <c r="I707" s="123">
        <f t="shared" si="202"/>
        <v>0.46875</v>
      </c>
      <c r="J707" s="124">
        <f>IF($D707="",0,IF($F707&lt;2,0,IF($E707="Win",('Guide &amp; Settings'!$C$42/(($F707-1)*COUNTIFS($A$4:$A$1510,$A707,$E$4:$E$1510,"Win")))*SUMIFS($X$4:$X$1510,$A$4:$A$1510,$A707,$E$4:$E$1510,"Loss"),-('Guide &amp; Settings'!$C$42/($F707-1))*$X707)))</f>
        <v>-11.678182697838462</v>
      </c>
      <c r="K707" s="124">
        <f>IF($D707="",0,'Guide &amp; Settings'!$C$43*(IF($E707="Win",1,0)-$I707))</f>
        <v>-5.625</v>
      </c>
      <c r="L707" s="125">
        <f>IF($D707="",0,'Guide &amp; Settings'!$C$44*IF($F707&gt;=3,$F707,0))</f>
        <v>0</v>
      </c>
      <c r="M707" s="124">
        <f t="shared" si="203"/>
        <v>-17.303182697838462</v>
      </c>
      <c r="N707" s="122">
        <f t="shared" si="204"/>
        <v>1172.8733229555867</v>
      </c>
      <c r="O707" s="121" t="str">
        <f t="shared" si="205"/>
        <v>OK</v>
      </c>
      <c r="P707">
        <f t="shared" si="206"/>
        <v>1141.5535369325548</v>
      </c>
      <c r="Q707">
        <f t="shared" si="207"/>
        <v>0.5695208021297602</v>
      </c>
      <c r="R707">
        <f t="shared" si="208"/>
        <v>0.5</v>
      </c>
      <c r="S707">
        <f t="shared" si="209"/>
        <v>1.0666666666666667</v>
      </c>
      <c r="T707" s="89">
        <f t="shared" si="210"/>
        <v>36</v>
      </c>
      <c r="U707" s="126">
        <f>IF($D707="",0,IFERROR(LOOKUP(2,1/(($D$3:D706=$D707)*($C$3:C706=$C707)*($A$3:A706&lt;$A707)),$AB$3:AB706),1000))</f>
        <v>983.35415632876902</v>
      </c>
      <c r="V707" s="126">
        <f t="shared" si="211"/>
        <v>1008.5763940512882</v>
      </c>
      <c r="W707">
        <f t="shared" si="212"/>
        <v>1104.8113050132768</v>
      </c>
      <c r="X707">
        <f t="shared" si="213"/>
        <v>0.36494320930745194</v>
      </c>
      <c r="Y707">
        <f t="shared" si="214"/>
        <v>1098.2501921705484</v>
      </c>
      <c r="Z707">
        <f t="shared" si="215"/>
        <v>0.34042637029053863</v>
      </c>
      <c r="AA707">
        <f>IF($D707="",0,IF($F707&lt;2,0,IF($E707="Win",('Guide &amp; Settings'!$C$42/(($F707-1)*COUNTIFS($A$4:$A$1510,$A707,$E$4:$E$1510,"Win")))*SUMIFS($Z$4:$Z$1510,$A$4:$A$1510,$A707,$E$4:$E$1510,"Loss"),-('Guide &amp; Settings'!$C$42/($F707-1))*$Z707)))</f>
        <v>-10.893643849297236</v>
      </c>
      <c r="AB707" s="126">
        <f t="shared" si="216"/>
        <v>972.46051247947173</v>
      </c>
      <c r="AC707" s="126">
        <f>IF($D707="","",IF($AD707=0,0,IF(COUNTIFS($D$4:$D707,$D707,$B$4:$B707,$B707)&gt;1,0,IF($B707&lt;'Guide &amp; Settings'!$C$50,0,IF(($B707-$AD707)/7-'Guide &amp; Settings'!$C$48&gt;=0,(INT(($B707-$AD707)/7-'Guide &amp; Settings'!$C$48)+1)*'Guide &amp; Settings'!$C$49,0)))))</f>
        <v>0</v>
      </c>
      <c r="AD707" s="142">
        <f t="shared" si="217"/>
        <v>46287</v>
      </c>
      <c r="AE707">
        <f t="shared" si="218"/>
        <v>1</v>
      </c>
      <c r="AF707">
        <f t="shared" si="219"/>
        <v>0</v>
      </c>
    </row>
    <row r="708" spans="1:32" x14ac:dyDescent="0.2">
      <c r="A708" s="117">
        <v>298</v>
      </c>
      <c r="B708" s="118">
        <v>46289</v>
      </c>
      <c r="C708" s="119" t="s">
        <v>50</v>
      </c>
      <c r="D708" s="119" t="s">
        <v>22</v>
      </c>
      <c r="E708" s="117" t="s">
        <v>370</v>
      </c>
      <c r="F708" s="120">
        <f t="shared" ref="F708:F771" si="220">IF($D708="",0,COUNTIF($A$4:$A$1510,$A708))</f>
        <v>2</v>
      </c>
      <c r="G708" s="121" t="str">
        <f t="shared" ref="G708:G771" si="221">IF($D708="","",IFERROR(LOOKUP(2,1/(($A$4:$A$1510=$A708)*($E$4:$E$1510="Win")),$D$4:$D$1510),"(no winner)"))</f>
        <v>Daniel (Ferret)</v>
      </c>
      <c r="H708" s="122">
        <f>IF($D708="",0,IFERROR(LOOKUP(2,1/(($D$3:D707=$D708)*($A$3:A707&lt;$A708)),$N$3:N707),'Guide &amp; Settings'!$C$41))</f>
        <v>1141.5535369325548</v>
      </c>
      <c r="I708" s="123">
        <f t="shared" ref="I708:I771" si="222">IF($D708="",0,IF($S708=0,0,$R708/$S708))</f>
        <v>0.53125</v>
      </c>
      <c r="J708" s="124">
        <f>IF($D708="",0,IF($F708&lt;2,0,IF($E708="Win",('Guide &amp; Settings'!$C$42/(($F708-1)*COUNTIFS($A$4:$A$1510,$A708,$E$4:$E$1510,"Win")))*SUMIFS($X$4:$X$1510,$A$4:$A$1510,$A708,$E$4:$E$1510,"Loss"),-('Guide &amp; Settings'!$C$42/($F708-1))*$X708)))</f>
        <v>11.678182697838462</v>
      </c>
      <c r="K708" s="124">
        <f>IF($D708="",0,'Guide &amp; Settings'!$C$43*(IF($E708="Win",1,0)-$I708))</f>
        <v>5.625</v>
      </c>
      <c r="L708" s="125">
        <f>IF($D708="",0,'Guide &amp; Settings'!$C$44*IF($F708&gt;=3,$F708,0))</f>
        <v>0</v>
      </c>
      <c r="M708" s="124">
        <f t="shared" ref="M708:M771" si="223">IF($D708="",0,$J708+$K708+$L708)</f>
        <v>17.303182697838462</v>
      </c>
      <c r="N708" s="122">
        <f t="shared" ref="N708:N771" si="224">IF($D708="",0,$H708+$M708)</f>
        <v>1158.8567196303934</v>
      </c>
      <c r="O708" s="121" t="str">
        <f t="shared" ref="O708:O771" si="225">IF($D708="","",IF($AE708=0,"need a winner",IF($F708-$AE708=0,"need a loser",IF(MOD($AF708,2)=1,"duplicate player",IF(MOD(INT($AF708/2),2)=1,"mixed sports",IF($AF708&gt;=4,"mixed dates",IF($AE708&gt;1,IF($F708&gt;=4,"OK (team)","check winners"),"OK")))))))</f>
        <v>OK</v>
      </c>
      <c r="P708">
        <f t="shared" ref="P708:P771" si="226">IF($D708="",0,IFERROR(SUMIFS($H$4:$H$1510,$A$4:$A$1510,$A708,$E$4:$E$1510,"Win")/COUNTIFS($A$4:$A$1510,$A708,$E$4:$E$1510,"Win"),0))</f>
        <v>1141.5535369325548</v>
      </c>
      <c r="Q708">
        <f t="shared" ref="Q708:Q771" si="227">IF($D708="",0,1/(1+10^(($P708-$H708)/400)))</f>
        <v>0.5</v>
      </c>
      <c r="R708">
        <f t="shared" ref="R708:R771" si="228">IF($D708="",0,(COUNTIFS($D$4:$D$1510,$D708,$C$4:$C$1510,$C708,$E$4:$E$1510,"Win",$A$4:$A$1510,"&lt;"&amp;$A708)+1)/(COUNTIFS($D$4:$D$1510,$D708,$C$4:$C$1510,$C708,$A$4:$A$1510,"&lt;"&amp;$A708)+2))</f>
        <v>0.56666666666666665</v>
      </c>
      <c r="S708">
        <f t="shared" ref="S708:S771" si="229">IF($D708="",0,SUMIFS($R$4:$R$1510,$A$4:$A$1510,$A708))</f>
        <v>1.0666666666666667</v>
      </c>
      <c r="T708" s="89">
        <f t="shared" ref="T708:T771" si="230">IF($D708="",0,COUNTIFS($D$4:$D$1510,$D708,$C$4:$C$1510,$C708,$A$4:$A$1510,"&lt;"&amp;$A708))</f>
        <v>28</v>
      </c>
      <c r="U708" s="126">
        <f>IF($D708="",0,IFERROR(LOOKUP(2,1/(($D$3:D707=$D708)*($C$3:C707=$C708)*($A$3:A707&lt;$A708)),$AB$3:AB707),1000))</f>
        <v>1098.2501921705484</v>
      </c>
      <c r="V708" s="126">
        <f t="shared" ref="V708:V771" si="231">IF($D708="",0,$U708*($T708/($T708+5))+$H708*(1-$T708/($T708+5)))</f>
        <v>1104.8113050132768</v>
      </c>
      <c r="W708">
        <f t="shared" ref="W708:W771" si="232">IF($D708="",0,IFERROR(SUMIFS($V$4:$V$1510,$A$4:$A$1510,$A708,$E$4:$E$1510,"Win")/COUNTIFS($A$4:$A$1510,$A708,$E$4:$E$1510,"Win"),0))</f>
        <v>1104.8113050132768</v>
      </c>
      <c r="X708">
        <f t="shared" ref="X708:X771" si="233">IF($D708="",0,1/(1+10^(($W708-$V708)/400)))</f>
        <v>0.5</v>
      </c>
      <c r="Y708">
        <f t="shared" ref="Y708:Y771" si="234">IF($D708="",0,IFERROR(SUMIFS($U$4:$U$1510,$A$4:$A$1510,$A708,$E$4:$E$1510,"Win")/COUNTIFS($A$4:$A$1510,$A708,$E$4:$E$1510,"Win"),0))</f>
        <v>1098.2501921705484</v>
      </c>
      <c r="Z708">
        <f t="shared" ref="Z708:Z771" si="235">IF($D708="",0,1/(1+10^(($Y708-$U708)/400)))</f>
        <v>0.5</v>
      </c>
      <c r="AA708">
        <f>IF($D708="",0,IF($F708&lt;2,0,IF($E708="Win",('Guide &amp; Settings'!$C$42/(($F708-1)*COUNTIFS($A$4:$A$1510,$A708,$E$4:$E$1510,"Win")))*SUMIFS($Z$4:$Z$1510,$A$4:$A$1510,$A708,$E$4:$E$1510,"Loss"),-('Guide &amp; Settings'!$C$42/($F708-1))*$Z708)))</f>
        <v>10.893643849297236</v>
      </c>
      <c r="AB708" s="126">
        <f t="shared" ref="AB708:AB771" si="236">IF($D708="",0,$U708+$AA708)</f>
        <v>1109.1438360198456</v>
      </c>
      <c r="AC708" s="126">
        <f>IF($D708="","",IF($AD708=0,0,IF(COUNTIFS($D$4:$D708,$D708,$B$4:$B708,$B708)&gt;1,0,IF($B708&lt;'Guide &amp; Settings'!$C$50,0,IF(($B708-$AD708)/7-'Guide &amp; Settings'!$C$48&gt;=0,(INT(($B708-$AD708)/7-'Guide &amp; Settings'!$C$48)+1)*'Guide &amp; Settings'!$C$49,0)))))</f>
        <v>0</v>
      </c>
      <c r="AD708" s="142">
        <f t="shared" ref="AD708:AD771" si="237">IF($D708="",0,SUMPRODUCT(MAX(($D$4:$D$1510=$D708)*($B$4:$B$1510&lt;$B708)*$B$4:$B$1510)))</f>
        <v>46287</v>
      </c>
      <c r="AE708">
        <f t="shared" ref="AE708:AE771" si="238">IF($D708="",0,COUNTIFS($A$4:$A$1510,$A708,$E$4:$E$1510,"Win"))</f>
        <v>1</v>
      </c>
      <c r="AF708">
        <f t="shared" ref="AF708:AF771" si="239">IF($D708="",0,(COUNTIFS($A$4:$A$1510,$A708,$D$4:$D$1510,$D708)&gt;1)*1+(COUNTIFS($A$4:$A$1510,$A708,$C$4:$C$1510,"&lt;&gt;"&amp;$C708)&gt;0)*2+(COUNTIFS($A$4:$A$1510,$A708,$B$4:$B$1510,"&lt;&gt;"&amp;$B708)&gt;0)*4)</f>
        <v>0</v>
      </c>
    </row>
    <row r="709" spans="1:32" x14ac:dyDescent="0.2">
      <c r="A709" s="117">
        <v>299</v>
      </c>
      <c r="B709" s="118">
        <v>46289</v>
      </c>
      <c r="C709" s="119" t="s">
        <v>50</v>
      </c>
      <c r="D709" s="119" t="s">
        <v>20</v>
      </c>
      <c r="E709" s="117" t="s">
        <v>371</v>
      </c>
      <c r="F709" s="120">
        <f t="shared" si="220"/>
        <v>2</v>
      </c>
      <c r="G709" s="121" t="str">
        <f t="shared" si="221"/>
        <v>Daniel (Ferret)</v>
      </c>
      <c r="H709" s="122">
        <f>IF($D709="",0,IFERROR(LOOKUP(2,1/(($D$3:D708=$D709)*($A$3:A708&lt;$A709)),$N$3:N708),'Guide &amp; Settings'!$C$41))</f>
        <v>1172.8733229555867</v>
      </c>
      <c r="I709" s="123">
        <f t="shared" si="222"/>
        <v>0.45623547637490319</v>
      </c>
      <c r="J709" s="124">
        <f>IF($D709="",0,IF($F709&lt;2,0,IF($E709="Win",('Guide &amp; Settings'!$C$42/(($F709-1)*COUNTIFS($A$4:$A$1510,$A709,$E$4:$E$1510,"Win")))*SUMIFS($X$4:$X$1510,$A$4:$A$1510,$A709,$E$4:$E$1510,"Loss"),-('Guide &amp; Settings'!$C$42/($F709-1))*$X709)))</f>
        <v>-10.677993250046457</v>
      </c>
      <c r="K709" s="124">
        <f>IF($D709="",0,'Guide &amp; Settings'!$C$43*(IF($E709="Win",1,0)-$I709))</f>
        <v>-5.4748257164988381</v>
      </c>
      <c r="L709" s="125">
        <f>IF($D709="",0,'Guide &amp; Settings'!$C$44*IF($F709&gt;=3,$F709,0))</f>
        <v>0</v>
      </c>
      <c r="M709" s="124">
        <f t="shared" si="223"/>
        <v>-16.152818966545297</v>
      </c>
      <c r="N709" s="122">
        <f t="shared" si="224"/>
        <v>1156.7205039890414</v>
      </c>
      <c r="O709" s="121" t="str">
        <f t="shared" si="225"/>
        <v>OK</v>
      </c>
      <c r="P709">
        <f t="shared" si="226"/>
        <v>1158.8567196303934</v>
      </c>
      <c r="Q709">
        <f t="shared" si="227"/>
        <v>0.52016057734051235</v>
      </c>
      <c r="R709">
        <f t="shared" si="228"/>
        <v>0.48717948717948717</v>
      </c>
      <c r="S709">
        <f t="shared" si="229"/>
        <v>1.0678246484698097</v>
      </c>
      <c r="T709" s="89">
        <f t="shared" si="230"/>
        <v>37</v>
      </c>
      <c r="U709" s="126">
        <f>IF($D709="",0,IFERROR(LOOKUP(2,1/(($D$3:D708=$D709)*($C$3:C708=$C709)*($A$3:A708&lt;$A709)),$AB$3:AB708),1000))</f>
        <v>972.46051247947173</v>
      </c>
      <c r="V709" s="126">
        <f t="shared" si="231"/>
        <v>996.31918039329491</v>
      </c>
      <c r="W709">
        <f t="shared" si="232"/>
        <v>1116.4545541978673</v>
      </c>
      <c r="X709">
        <f t="shared" si="233"/>
        <v>0.33368728906395179</v>
      </c>
      <c r="Y709">
        <f t="shared" si="234"/>
        <v>1109.1438360198456</v>
      </c>
      <c r="Z709">
        <f t="shared" si="235"/>
        <v>0.31285350591647748</v>
      </c>
      <c r="AA709">
        <f>IF($D709="",0,IF($F709&lt;2,0,IF($E709="Win",('Guide &amp; Settings'!$C$42/(($F709-1)*COUNTIFS($A$4:$A$1510,$A709,$E$4:$E$1510,"Win")))*SUMIFS($Z$4:$Z$1510,$A$4:$A$1510,$A709,$E$4:$E$1510,"Loss"),-('Guide &amp; Settings'!$C$42/($F709-1))*$Z709)))</f>
        <v>-10.011312189327279</v>
      </c>
      <c r="AB709" s="126">
        <f t="shared" si="236"/>
        <v>962.4492002901444</v>
      </c>
      <c r="AC709" s="126">
        <f>IF($D709="","",IF($AD709=0,0,IF(COUNTIFS($D$4:$D709,$D709,$B$4:$B709,$B709)&gt;1,0,IF($B709&lt;'Guide &amp; Settings'!$C$50,0,IF(($B709-$AD709)/7-'Guide &amp; Settings'!$C$48&gt;=0,(INT(($B709-$AD709)/7-'Guide &amp; Settings'!$C$48)+1)*'Guide &amp; Settings'!$C$49,0)))))</f>
        <v>0</v>
      </c>
      <c r="AD709" s="142">
        <f t="shared" si="237"/>
        <v>46287</v>
      </c>
      <c r="AE709">
        <f t="shared" si="238"/>
        <v>1</v>
      </c>
      <c r="AF709">
        <f t="shared" si="239"/>
        <v>0</v>
      </c>
    </row>
    <row r="710" spans="1:32" x14ac:dyDescent="0.2">
      <c r="A710" s="117">
        <v>299</v>
      </c>
      <c r="B710" s="118">
        <v>46289</v>
      </c>
      <c r="C710" s="119" t="s">
        <v>50</v>
      </c>
      <c r="D710" s="119" t="s">
        <v>22</v>
      </c>
      <c r="E710" s="117" t="s">
        <v>370</v>
      </c>
      <c r="F710" s="120">
        <f t="shared" si="220"/>
        <v>2</v>
      </c>
      <c r="G710" s="121" t="str">
        <f t="shared" si="221"/>
        <v>Daniel (Ferret)</v>
      </c>
      <c r="H710" s="122">
        <f>IF($D710="",0,IFERROR(LOOKUP(2,1/(($D$3:D709=$D710)*($A$3:A709&lt;$A710)),$N$3:N709),'Guide &amp; Settings'!$C$41))</f>
        <v>1158.8567196303934</v>
      </c>
      <c r="I710" s="123">
        <f t="shared" si="222"/>
        <v>0.54376452362509686</v>
      </c>
      <c r="J710" s="124">
        <f>IF($D710="",0,IF($F710&lt;2,0,IF($E710="Win",('Guide &amp; Settings'!$C$42/(($F710-1)*COUNTIFS($A$4:$A$1510,$A710,$E$4:$E$1510,"Win")))*SUMIFS($X$4:$X$1510,$A$4:$A$1510,$A710,$E$4:$E$1510,"Loss"),-('Guide &amp; Settings'!$C$42/($F710-1))*$X710)))</f>
        <v>10.677993250046457</v>
      </c>
      <c r="K710" s="124">
        <f>IF($D710="",0,'Guide &amp; Settings'!$C$43*(IF($E710="Win",1,0)-$I710))</f>
        <v>5.4748257164988381</v>
      </c>
      <c r="L710" s="125">
        <f>IF($D710="",0,'Guide &amp; Settings'!$C$44*IF($F710&gt;=3,$F710,0))</f>
        <v>0</v>
      </c>
      <c r="M710" s="124">
        <f t="shared" si="223"/>
        <v>16.152818966545297</v>
      </c>
      <c r="N710" s="122">
        <f t="shared" si="224"/>
        <v>1175.0095385969387</v>
      </c>
      <c r="O710" s="121" t="str">
        <f t="shared" si="225"/>
        <v>OK</v>
      </c>
      <c r="P710">
        <f t="shared" si="226"/>
        <v>1158.8567196303934</v>
      </c>
      <c r="Q710">
        <f t="shared" si="227"/>
        <v>0.5</v>
      </c>
      <c r="R710">
        <f t="shared" si="228"/>
        <v>0.58064516129032262</v>
      </c>
      <c r="S710">
        <f t="shared" si="229"/>
        <v>1.0678246484698097</v>
      </c>
      <c r="T710" s="89">
        <f t="shared" si="230"/>
        <v>29</v>
      </c>
      <c r="U710" s="126">
        <f>IF($D710="",0,IFERROR(LOOKUP(2,1/(($D$3:D709=$D710)*($C$3:C709=$C710)*($A$3:A709&lt;$A710)),$AB$3:AB709),1000))</f>
        <v>1109.1438360198456</v>
      </c>
      <c r="V710" s="126">
        <f t="shared" si="231"/>
        <v>1116.4545541978673</v>
      </c>
      <c r="W710">
        <f t="shared" si="232"/>
        <v>1116.4545541978673</v>
      </c>
      <c r="X710">
        <f t="shared" si="233"/>
        <v>0.5</v>
      </c>
      <c r="Y710">
        <f t="shared" si="234"/>
        <v>1109.1438360198456</v>
      </c>
      <c r="Z710">
        <f t="shared" si="235"/>
        <v>0.5</v>
      </c>
      <c r="AA710">
        <f>IF($D710="",0,IF($F710&lt;2,0,IF($E710="Win",('Guide &amp; Settings'!$C$42/(($F710-1)*COUNTIFS($A$4:$A$1510,$A710,$E$4:$E$1510,"Win")))*SUMIFS($Z$4:$Z$1510,$A$4:$A$1510,$A710,$E$4:$E$1510,"Loss"),-('Guide &amp; Settings'!$C$42/($F710-1))*$Z710)))</f>
        <v>10.011312189327279</v>
      </c>
      <c r="AB710" s="126">
        <f t="shared" si="236"/>
        <v>1119.1551482091729</v>
      </c>
      <c r="AC710" s="126">
        <f>IF($D710="","",IF($AD710=0,0,IF(COUNTIFS($D$4:$D710,$D710,$B$4:$B710,$B710)&gt;1,0,IF($B710&lt;'Guide &amp; Settings'!$C$50,0,IF(($B710-$AD710)/7-'Guide &amp; Settings'!$C$48&gt;=0,(INT(($B710-$AD710)/7-'Guide &amp; Settings'!$C$48)+1)*'Guide &amp; Settings'!$C$49,0)))))</f>
        <v>0</v>
      </c>
      <c r="AD710" s="142">
        <f t="shared" si="237"/>
        <v>46287</v>
      </c>
      <c r="AE710">
        <f t="shared" si="238"/>
        <v>1</v>
      </c>
      <c r="AF710">
        <f t="shared" si="239"/>
        <v>0</v>
      </c>
    </row>
    <row r="711" spans="1:32" x14ac:dyDescent="0.2">
      <c r="A711" s="117">
        <v>300</v>
      </c>
      <c r="B711" s="118">
        <v>46290</v>
      </c>
      <c r="C711" s="119" t="s">
        <v>50</v>
      </c>
      <c r="D711" s="119" t="s">
        <v>22</v>
      </c>
      <c r="E711" s="117" t="s">
        <v>370</v>
      </c>
      <c r="F711" s="120">
        <f t="shared" si="220"/>
        <v>2</v>
      </c>
      <c r="G711" s="121" t="str">
        <f t="shared" si="221"/>
        <v>Daniel (Ferret)</v>
      </c>
      <c r="H711" s="122">
        <f>IF($D711="",0,IFERROR(LOOKUP(2,1/(($D$3:D710=$D711)*($A$3:A710&lt;$A711)),$N$3:N710),'Guide &amp; Settings'!$C$41))</f>
        <v>1175.0095385969387</v>
      </c>
      <c r="I711" s="123">
        <f t="shared" si="222"/>
        <v>0.69007263922518169</v>
      </c>
      <c r="J711" s="124">
        <f>IF($D711="",0,IF($F711&lt;2,0,IF($E711="Win",('Guide &amp; Settings'!$C$42/(($F711-1)*COUNTIFS($A$4:$A$1510,$A711,$E$4:$E$1510,"Win")))*SUMIFS($X$4:$X$1510,$A$4:$A$1510,$A711,$E$4:$E$1510,"Loss"),-('Guide &amp; Settings'!$C$42/($F711-1))*$X711)))</f>
        <v>11.593047926662692</v>
      </c>
      <c r="K711" s="124">
        <f>IF($D711="",0,'Guide &amp; Settings'!$C$43*(IF($E711="Win",1,0)-$I711))</f>
        <v>3.7191283292978197</v>
      </c>
      <c r="L711" s="125">
        <f>IF($D711="",0,'Guide &amp; Settings'!$C$44*IF($F711&gt;=3,$F711,0))</f>
        <v>0</v>
      </c>
      <c r="M711" s="124">
        <f t="shared" si="223"/>
        <v>15.312176255960512</v>
      </c>
      <c r="N711" s="122">
        <f t="shared" si="224"/>
        <v>1190.3217148528993</v>
      </c>
      <c r="O711" s="121" t="str">
        <f t="shared" si="225"/>
        <v>OK</v>
      </c>
      <c r="P711">
        <f t="shared" si="226"/>
        <v>1175.0095385969387</v>
      </c>
      <c r="Q711">
        <f t="shared" si="227"/>
        <v>0.5</v>
      </c>
      <c r="R711">
        <f t="shared" si="228"/>
        <v>0.59375</v>
      </c>
      <c r="S711">
        <f t="shared" si="229"/>
        <v>0.86041666666666661</v>
      </c>
      <c r="T711" s="89">
        <f t="shared" si="230"/>
        <v>30</v>
      </c>
      <c r="U711" s="126">
        <f>IF($D711="",0,IFERROR(LOOKUP(2,1/(($D$3:D710=$D711)*($C$3:C710=$C711)*($A$3:A710&lt;$A711)),$AB$3:AB710),1000))</f>
        <v>1119.1551482091729</v>
      </c>
      <c r="V711" s="126">
        <f t="shared" si="231"/>
        <v>1127.1343468359967</v>
      </c>
      <c r="W711">
        <f t="shared" si="232"/>
        <v>1127.1343468359967</v>
      </c>
      <c r="X711">
        <f t="shared" si="233"/>
        <v>0.5</v>
      </c>
      <c r="Y711">
        <f t="shared" si="234"/>
        <v>1119.1551482091729</v>
      </c>
      <c r="Z711">
        <f t="shared" si="235"/>
        <v>0.5</v>
      </c>
      <c r="AA711">
        <f>IF($D711="",0,IF($F711&lt;2,0,IF($E711="Win",('Guide &amp; Settings'!$C$42/(($F711-1)*COUNTIFS($A$4:$A$1510,$A711,$E$4:$E$1510,"Win")))*SUMIFS($Z$4:$Z$1510,$A$4:$A$1510,$A711,$E$4:$E$1510,"Loss"),-('Guide &amp; Settings'!$C$42/($F711-1))*$Z711)))</f>
        <v>8.7889911313999161</v>
      </c>
      <c r="AB711" s="126">
        <f t="shared" si="236"/>
        <v>1127.9441393405727</v>
      </c>
      <c r="AC711" s="126">
        <f>IF($D711="","",IF($AD711=0,0,IF(COUNTIFS($D$4:$D711,$D711,$B$4:$B711,$B711)&gt;1,0,IF($B711&lt;'Guide &amp; Settings'!$C$50,0,IF(($B711-$AD711)/7-'Guide &amp; Settings'!$C$48&gt;=0,(INT(($B711-$AD711)/7-'Guide &amp; Settings'!$C$48)+1)*'Guide &amp; Settings'!$C$49,0)))))</f>
        <v>0</v>
      </c>
      <c r="AD711" s="142">
        <f t="shared" si="237"/>
        <v>46289</v>
      </c>
      <c r="AE711">
        <f t="shared" si="238"/>
        <v>1</v>
      </c>
      <c r="AF711">
        <f t="shared" si="239"/>
        <v>0</v>
      </c>
    </row>
    <row r="712" spans="1:32" x14ac:dyDescent="0.2">
      <c r="A712" s="117">
        <v>300</v>
      </c>
      <c r="B712" s="118">
        <v>46290</v>
      </c>
      <c r="C712" s="119" t="s">
        <v>50</v>
      </c>
      <c r="D712" s="119" t="s">
        <v>15</v>
      </c>
      <c r="E712" s="117" t="s">
        <v>371</v>
      </c>
      <c r="F712" s="120">
        <f t="shared" si="220"/>
        <v>2</v>
      </c>
      <c r="G712" s="121" t="str">
        <f t="shared" si="221"/>
        <v>Daniel (Ferret)</v>
      </c>
      <c r="H712" s="122">
        <f>IF($D712="",0,IFERROR(LOOKUP(2,1/(($D$3:D711=$D712)*($A$3:A711&lt;$A712)),$N$3:N711),'Guide &amp; Settings'!$C$41))</f>
        <v>1232.8695151191851</v>
      </c>
      <c r="I712" s="123">
        <f t="shared" si="222"/>
        <v>0.30992736077481842</v>
      </c>
      <c r="J712" s="124">
        <f>IF($D712="",0,IF($F712&lt;2,0,IF($E712="Win",('Guide &amp; Settings'!$C$42/(($F712-1)*COUNTIFS($A$4:$A$1510,$A712,$E$4:$E$1510,"Win")))*SUMIFS($X$4:$X$1510,$A$4:$A$1510,$A712,$E$4:$E$1510,"Loss"),-('Guide &amp; Settings'!$C$42/($F712-1))*$X712)))</f>
        <v>-11.593047926662692</v>
      </c>
      <c r="K712" s="124">
        <f>IF($D712="",0,'Guide &amp; Settings'!$C$43*(IF($E712="Win",1,0)-$I712))</f>
        <v>-3.719128329297821</v>
      </c>
      <c r="L712" s="125">
        <f>IF($D712="",0,'Guide &amp; Settings'!$C$44*IF($F712&gt;=3,$F712,0))</f>
        <v>0</v>
      </c>
      <c r="M712" s="124">
        <f t="shared" si="223"/>
        <v>-15.312176255960512</v>
      </c>
      <c r="N712" s="122">
        <f t="shared" si="224"/>
        <v>1217.5573388632245</v>
      </c>
      <c r="O712" s="121" t="str">
        <f t="shared" si="225"/>
        <v>OK</v>
      </c>
      <c r="P712">
        <f t="shared" si="226"/>
        <v>1175.0095385969387</v>
      </c>
      <c r="Q712">
        <f t="shared" si="227"/>
        <v>0.58250587491791872</v>
      </c>
      <c r="R712">
        <f t="shared" si="228"/>
        <v>0.26666666666666666</v>
      </c>
      <c r="S712">
        <f t="shared" si="229"/>
        <v>0.86041666666666661</v>
      </c>
      <c r="T712" s="89">
        <f t="shared" si="230"/>
        <v>13</v>
      </c>
      <c r="U712" s="126">
        <f>IF($D712="",0,IFERROR(LOOKUP(2,1/(($D$3:D711=$D712)*($C$3:C711=$C712)*($A$3:A711&lt;$A712)),$AB$3:AB711),1000))</f>
        <v>950.45315170081028</v>
      </c>
      <c r="V712" s="126">
        <f t="shared" si="231"/>
        <v>1028.9021415392476</v>
      </c>
      <c r="W712">
        <f t="shared" si="232"/>
        <v>1127.1343468359967</v>
      </c>
      <c r="X712">
        <f t="shared" si="233"/>
        <v>0.36228274770820912</v>
      </c>
      <c r="Y712">
        <f t="shared" si="234"/>
        <v>1119.1551482091729</v>
      </c>
      <c r="Z712">
        <f t="shared" si="235"/>
        <v>0.27465597285624738</v>
      </c>
      <c r="AA712">
        <f>IF($D712="",0,IF($F712&lt;2,0,IF($E712="Win",('Guide &amp; Settings'!$C$42/(($F712-1)*COUNTIFS($A$4:$A$1510,$A712,$E$4:$E$1510,"Win")))*SUMIFS($Z$4:$Z$1510,$A$4:$A$1510,$A712,$E$4:$E$1510,"Loss"),-('Guide &amp; Settings'!$C$42/($F712-1))*$Z712)))</f>
        <v>-8.7889911313999161</v>
      </c>
      <c r="AB712" s="126">
        <f t="shared" si="236"/>
        <v>941.66416056941034</v>
      </c>
      <c r="AC712" s="126">
        <f>IF($D712="","",IF($AD712=0,0,IF(COUNTIFS($D$4:$D712,$D712,$B$4:$B712,$B712)&gt;1,0,IF($B712&lt;'Guide &amp; Settings'!$C$50,0,IF(($B712-$AD712)/7-'Guide &amp; Settings'!$C$48&gt;=0,(INT(($B712-$AD712)/7-'Guide &amp; Settings'!$C$48)+1)*'Guide &amp; Settings'!$C$49,0)))))</f>
        <v>0</v>
      </c>
      <c r="AD712" s="142">
        <f t="shared" si="237"/>
        <v>46287</v>
      </c>
      <c r="AE712">
        <f t="shared" si="238"/>
        <v>1</v>
      </c>
      <c r="AF712">
        <f t="shared" si="239"/>
        <v>0</v>
      </c>
    </row>
    <row r="713" spans="1:32" x14ac:dyDescent="0.2">
      <c r="A713" s="117">
        <v>301</v>
      </c>
      <c r="B713" s="118">
        <v>46290</v>
      </c>
      <c r="C713" s="119" t="s">
        <v>37</v>
      </c>
      <c r="D713" s="119" t="s">
        <v>22</v>
      </c>
      <c r="E713" s="117" t="s">
        <v>370</v>
      </c>
      <c r="F713" s="120">
        <f t="shared" si="220"/>
        <v>2</v>
      </c>
      <c r="G713" s="121" t="str">
        <f t="shared" si="221"/>
        <v>Daniel (Ferret)</v>
      </c>
      <c r="H713" s="122">
        <f>IF($D713="",0,IFERROR(LOOKUP(2,1/(($D$3:D712=$D713)*($A$3:A712&lt;$A713)),$N$3:N712),'Guide &amp; Settings'!$C$41))</f>
        <v>1190.3217148528993</v>
      </c>
      <c r="I713" s="123">
        <f t="shared" si="222"/>
        <v>0.39393939393939398</v>
      </c>
      <c r="J713" s="124">
        <f>IF($D713="",0,IF($F713&lt;2,0,IF($E713="Win",('Guide &amp; Settings'!$C$42/(($F713-1)*COUNTIFS($A$4:$A$1510,$A713,$E$4:$E$1510,"Win")))*SUMIFS($X$4:$X$1510,$A$4:$A$1510,$A713,$E$4:$E$1510,"Loss"),-('Guide &amp; Settings'!$C$42/($F713-1))*$X713)))</f>
        <v>18.720603005005113</v>
      </c>
      <c r="K713" s="124">
        <f>IF($D713="",0,'Guide &amp; Settings'!$C$43*(IF($E713="Win",1,0)-$I713))</f>
        <v>7.2727272727272716</v>
      </c>
      <c r="L713" s="125">
        <f>IF($D713="",0,'Guide &amp; Settings'!$C$44*IF($F713&gt;=3,$F713,0))</f>
        <v>0</v>
      </c>
      <c r="M713" s="124">
        <f t="shared" si="223"/>
        <v>25.993330277732383</v>
      </c>
      <c r="N713" s="122">
        <f t="shared" si="224"/>
        <v>1216.3150451306317</v>
      </c>
      <c r="O713" s="121" t="str">
        <f t="shared" si="225"/>
        <v>OK</v>
      </c>
      <c r="P713">
        <f t="shared" si="226"/>
        <v>1190.3217148528993</v>
      </c>
      <c r="Q713">
        <f t="shared" si="227"/>
        <v>0.5</v>
      </c>
      <c r="R713">
        <f t="shared" si="228"/>
        <v>0.4</v>
      </c>
      <c r="S713">
        <f t="shared" si="229"/>
        <v>1.0153846153846153</v>
      </c>
      <c r="T713" s="89">
        <f t="shared" si="230"/>
        <v>8</v>
      </c>
      <c r="U713" s="126">
        <f>IF($D713="",0,IFERROR(LOOKUP(2,1/(($D$3:D712=$D713)*($C$3:C712=$C713)*($A$3:A712&lt;$A713)),$AB$3:AB712),1000))</f>
        <v>962.9291503873319</v>
      </c>
      <c r="V713" s="126">
        <f t="shared" si="231"/>
        <v>1050.3878290279347</v>
      </c>
      <c r="W713">
        <f t="shared" si="232"/>
        <v>1050.3878290279347</v>
      </c>
      <c r="X713">
        <f t="shared" si="233"/>
        <v>0.5</v>
      </c>
      <c r="Y713">
        <f t="shared" si="234"/>
        <v>962.9291503873319</v>
      </c>
      <c r="Z713">
        <f t="shared" si="235"/>
        <v>0.5</v>
      </c>
      <c r="AA713">
        <f>IF($D713="",0,IF($F713&lt;2,0,IF($E713="Win",('Guide &amp; Settings'!$C$42/(($F713-1)*COUNTIFS($A$4:$A$1510,$A713,$E$4:$E$1510,"Win")))*SUMIFS($Z$4:$Z$1510,$A$4:$A$1510,$A713,$E$4:$E$1510,"Loss"),-('Guide &amp; Settings'!$C$42/($F713-1))*$Z713)))</f>
        <v>19.79408352168409</v>
      </c>
      <c r="AB713" s="126">
        <f t="shared" si="236"/>
        <v>982.72323390901602</v>
      </c>
      <c r="AC713" s="126">
        <f>IF($D713="","",IF($AD713=0,0,IF(COUNTIFS($D$4:$D713,$D713,$B$4:$B713,$B713)&gt;1,0,IF($B713&lt;'Guide &amp; Settings'!$C$50,0,IF(($B713-$AD713)/7-'Guide &amp; Settings'!$C$48&gt;=0,(INT(($B713-$AD713)/7-'Guide &amp; Settings'!$C$48)+1)*'Guide &amp; Settings'!$C$49,0)))))</f>
        <v>0</v>
      </c>
      <c r="AD713" s="142">
        <f t="shared" si="237"/>
        <v>46289</v>
      </c>
      <c r="AE713">
        <f t="shared" si="238"/>
        <v>1</v>
      </c>
      <c r="AF713">
        <f t="shared" si="239"/>
        <v>0</v>
      </c>
    </row>
    <row r="714" spans="1:32" x14ac:dyDescent="0.2">
      <c r="A714" s="117">
        <v>301</v>
      </c>
      <c r="B714" s="118">
        <v>46290</v>
      </c>
      <c r="C714" s="119" t="s">
        <v>37</v>
      </c>
      <c r="D714" s="119" t="s">
        <v>23</v>
      </c>
      <c r="E714" s="117" t="s">
        <v>371</v>
      </c>
      <c r="F714" s="120">
        <f t="shared" si="220"/>
        <v>2</v>
      </c>
      <c r="G714" s="121" t="str">
        <f t="shared" si="221"/>
        <v>Daniel (Ferret)</v>
      </c>
      <c r="H714" s="122">
        <f>IF($D714="",0,IFERROR(LOOKUP(2,1/(($D$3:D713=$D714)*($A$3:A713&lt;$A714)),$N$3:N713),'Guide &amp; Settings'!$C$41))</f>
        <v>1248.9288111472574</v>
      </c>
      <c r="I714" s="123">
        <f t="shared" si="222"/>
        <v>0.60606060606060608</v>
      </c>
      <c r="J714" s="124">
        <f>IF($D714="",0,IF($F714&lt;2,0,IF($E714="Win",('Guide &amp; Settings'!$C$42/(($F714-1)*COUNTIFS($A$4:$A$1510,$A714,$E$4:$E$1510,"Win")))*SUMIFS($X$4:$X$1510,$A$4:$A$1510,$A714,$E$4:$E$1510,"Loss"),-('Guide &amp; Settings'!$C$42/($F714-1))*$X714)))</f>
        <v>-18.720603005005113</v>
      </c>
      <c r="K714" s="124">
        <f>IF($D714="",0,'Guide &amp; Settings'!$C$43*(IF($E714="Win",1,0)-$I714))</f>
        <v>-7.2727272727272734</v>
      </c>
      <c r="L714" s="125">
        <f>IF($D714="",0,'Guide &amp; Settings'!$C$44*IF($F714&gt;=3,$F714,0))</f>
        <v>0</v>
      </c>
      <c r="M714" s="124">
        <f t="shared" si="223"/>
        <v>-25.993330277732387</v>
      </c>
      <c r="N714" s="122">
        <f t="shared" si="224"/>
        <v>1222.935480869525</v>
      </c>
      <c r="O714" s="121" t="str">
        <f t="shared" si="225"/>
        <v>OK</v>
      </c>
      <c r="P714">
        <f t="shared" si="226"/>
        <v>1190.3217148528993</v>
      </c>
      <c r="Q714">
        <f t="shared" si="227"/>
        <v>0.58355141782322995</v>
      </c>
      <c r="R714">
        <f t="shared" si="228"/>
        <v>0.61538461538461542</v>
      </c>
      <c r="S714">
        <f t="shared" si="229"/>
        <v>1.0153846153846153</v>
      </c>
      <c r="T714" s="89">
        <f t="shared" si="230"/>
        <v>11</v>
      </c>
      <c r="U714" s="126">
        <f>IF($D714="",0,IFERROR(LOOKUP(2,1/(($D$3:D713=$D714)*($C$3:C713=$C714)*($A$3:A713&lt;$A714)),$AB$3:AB713),1000))</f>
        <v>1046.915152217651</v>
      </c>
      <c r="V714" s="126">
        <f t="shared" si="231"/>
        <v>1110.0444206331531</v>
      </c>
      <c r="W714">
        <f t="shared" si="232"/>
        <v>1050.3878290279347</v>
      </c>
      <c r="X714">
        <f t="shared" si="233"/>
        <v>0.58501884390640979</v>
      </c>
      <c r="Y714">
        <f t="shared" si="234"/>
        <v>962.9291503873319</v>
      </c>
      <c r="Z714">
        <f t="shared" si="235"/>
        <v>0.61856511005262782</v>
      </c>
      <c r="AA714">
        <f>IF($D714="",0,IF($F714&lt;2,0,IF($E714="Win",('Guide &amp; Settings'!$C$42/(($F714-1)*COUNTIFS($A$4:$A$1510,$A714,$E$4:$E$1510,"Win")))*SUMIFS($Z$4:$Z$1510,$A$4:$A$1510,$A714,$E$4:$E$1510,"Loss"),-('Guide &amp; Settings'!$C$42/($F714-1))*$Z714)))</f>
        <v>-19.79408352168409</v>
      </c>
      <c r="AB714" s="126">
        <f t="shared" si="236"/>
        <v>1027.1210686959669</v>
      </c>
      <c r="AC714" s="126">
        <f>IF($D714="","",IF($AD714=0,0,IF(COUNTIFS($D$4:$D714,$D714,$B$4:$B714,$B714)&gt;1,0,IF($B714&lt;'Guide &amp; Settings'!$C$50,0,IF(($B714-$AD714)/7-'Guide &amp; Settings'!$C$48&gt;=0,(INT(($B714-$AD714)/7-'Guide &amp; Settings'!$C$48)+1)*'Guide &amp; Settings'!$C$49,0)))))</f>
        <v>10</v>
      </c>
      <c r="AD714" s="142">
        <f t="shared" si="237"/>
        <v>46256</v>
      </c>
      <c r="AE714">
        <f t="shared" si="238"/>
        <v>1</v>
      </c>
      <c r="AF714">
        <f t="shared" si="239"/>
        <v>0</v>
      </c>
    </row>
    <row r="715" spans="1:32" x14ac:dyDescent="0.2">
      <c r="A715" s="117">
        <v>302</v>
      </c>
      <c r="B715" s="118">
        <v>46290</v>
      </c>
      <c r="C715" s="119" t="s">
        <v>37</v>
      </c>
      <c r="D715" s="119" t="s">
        <v>23</v>
      </c>
      <c r="E715" s="117" t="s">
        <v>370</v>
      </c>
      <c r="F715" s="120">
        <f t="shared" si="220"/>
        <v>2</v>
      </c>
      <c r="G715" s="121" t="str">
        <f t="shared" si="221"/>
        <v>Dean B</v>
      </c>
      <c r="H715" s="122">
        <f>IF($D715="",0,IFERROR(LOOKUP(2,1/(($D$3:D714=$D715)*($A$3:A714&lt;$A715)),$N$3:N714),'Guide &amp; Settings'!$C$41))</f>
        <v>1222.935480869525</v>
      </c>
      <c r="I715" s="123">
        <f t="shared" si="222"/>
        <v>0.55696202531645567</v>
      </c>
      <c r="J715" s="124">
        <f>IF($D715="",0,IF($F715&lt;2,0,IF($E715="Win",('Guide &amp; Settings'!$C$42/(($F715-1)*COUNTIFS($A$4:$A$1510,$A715,$E$4:$E$1510,"Win")))*SUMIFS($X$4:$X$1510,$A$4:$A$1510,$A715,$E$4:$E$1510,"Loss"),-('Guide &amp; Settings'!$C$42/($F715-1))*$X715)))</f>
        <v>15.145878436893158</v>
      </c>
      <c r="K715" s="124">
        <f>IF($D715="",0,'Guide &amp; Settings'!$C$43*(IF($E715="Win",1,0)-$I715))</f>
        <v>5.3164556962025316</v>
      </c>
      <c r="L715" s="125">
        <f>IF($D715="",0,'Guide &amp; Settings'!$C$44*IF($F715&gt;=3,$F715,0))</f>
        <v>0</v>
      </c>
      <c r="M715" s="124">
        <f t="shared" si="223"/>
        <v>20.462334133095688</v>
      </c>
      <c r="N715" s="122">
        <f t="shared" si="224"/>
        <v>1243.3978150026207</v>
      </c>
      <c r="O715" s="121" t="str">
        <f t="shared" si="225"/>
        <v>OK</v>
      </c>
      <c r="P715">
        <f t="shared" si="226"/>
        <v>1222.935480869525</v>
      </c>
      <c r="Q715">
        <f t="shared" si="227"/>
        <v>0.5</v>
      </c>
      <c r="R715">
        <f t="shared" si="228"/>
        <v>0.5714285714285714</v>
      </c>
      <c r="S715">
        <f t="shared" si="229"/>
        <v>1.025974025974026</v>
      </c>
      <c r="T715" s="89">
        <f t="shared" si="230"/>
        <v>12</v>
      </c>
      <c r="U715" s="126">
        <f>IF($D715="",0,IFERROR(LOOKUP(2,1/(($D$3:D714=$D715)*($C$3:C714=$C715)*($A$3:A714&lt;$A715)),$AB$3:AB714),1000))</f>
        <v>1027.1210686959669</v>
      </c>
      <c r="V715" s="126">
        <f t="shared" si="231"/>
        <v>1084.7135428646604</v>
      </c>
      <c r="W715">
        <f t="shared" si="232"/>
        <v>1084.7135428646604</v>
      </c>
      <c r="X715">
        <f t="shared" si="233"/>
        <v>0.5</v>
      </c>
      <c r="Y715">
        <f t="shared" si="234"/>
        <v>1027.1210686959669</v>
      </c>
      <c r="Z715">
        <f t="shared" si="235"/>
        <v>0.5</v>
      </c>
      <c r="AA715">
        <f>IF($D715="",0,IF($F715&lt;2,0,IF($E715="Win",('Guide &amp; Settings'!$C$42/(($F715-1)*COUNTIFS($A$4:$A$1510,$A715,$E$4:$E$1510,"Win")))*SUMIFS($Z$4:$Z$1510,$A$4:$A$1510,$A715,$E$4:$E$1510,"Loss"),-('Guide &amp; Settings'!$C$42/($F715-1))*$Z715)))</f>
        <v>13.966461062624001</v>
      </c>
      <c r="AB715" s="126">
        <f t="shared" si="236"/>
        <v>1041.0875297585908</v>
      </c>
      <c r="AC715" s="126">
        <f>IF($D715="","",IF($AD715=0,0,IF(COUNTIFS($D$4:$D715,$D715,$B$4:$B715,$B715)&gt;1,0,IF($B715&lt;'Guide &amp; Settings'!$C$50,0,IF(($B715-$AD715)/7-'Guide &amp; Settings'!$C$48&gt;=0,(INT(($B715-$AD715)/7-'Guide &amp; Settings'!$C$48)+1)*'Guide &amp; Settings'!$C$49,0)))))</f>
        <v>0</v>
      </c>
      <c r="AD715" s="142">
        <f t="shared" si="237"/>
        <v>46256</v>
      </c>
      <c r="AE715">
        <f t="shared" si="238"/>
        <v>1</v>
      </c>
      <c r="AF715">
        <f t="shared" si="239"/>
        <v>0</v>
      </c>
    </row>
    <row r="716" spans="1:32" x14ac:dyDescent="0.2">
      <c r="A716" s="117">
        <v>302</v>
      </c>
      <c r="B716" s="118">
        <v>46290</v>
      </c>
      <c r="C716" s="119" t="s">
        <v>37</v>
      </c>
      <c r="D716" s="119" t="s">
        <v>22</v>
      </c>
      <c r="E716" s="117" t="s">
        <v>371</v>
      </c>
      <c r="F716" s="120">
        <f t="shared" si="220"/>
        <v>2</v>
      </c>
      <c r="G716" s="121" t="str">
        <f t="shared" si="221"/>
        <v>Dean B</v>
      </c>
      <c r="H716" s="122">
        <f>IF($D716="",0,IFERROR(LOOKUP(2,1/(($D$3:D715=$D716)*($A$3:A715&lt;$A716)),$N$3:N715),'Guide &amp; Settings'!$C$41))</f>
        <v>1216.3150451306317</v>
      </c>
      <c r="I716" s="123">
        <f t="shared" si="222"/>
        <v>0.44303797468354428</v>
      </c>
      <c r="J716" s="124">
        <f>IF($D716="",0,IF($F716&lt;2,0,IF($E716="Win",('Guide &amp; Settings'!$C$42/(($F716-1)*COUNTIFS($A$4:$A$1510,$A716,$E$4:$E$1510,"Win")))*SUMIFS($X$4:$X$1510,$A$4:$A$1510,$A716,$E$4:$E$1510,"Loss"),-('Guide &amp; Settings'!$C$42/($F716-1))*$X716)))</f>
        <v>-15.145878436893158</v>
      </c>
      <c r="K716" s="124">
        <f>IF($D716="",0,'Guide &amp; Settings'!$C$43*(IF($E716="Win",1,0)-$I716))</f>
        <v>-5.3164556962025316</v>
      </c>
      <c r="L716" s="125">
        <f>IF($D716="",0,'Guide &amp; Settings'!$C$44*IF($F716&gt;=3,$F716,0))</f>
        <v>0</v>
      </c>
      <c r="M716" s="124">
        <f t="shared" si="223"/>
        <v>-20.462334133095688</v>
      </c>
      <c r="N716" s="122">
        <f t="shared" si="224"/>
        <v>1195.852710997536</v>
      </c>
      <c r="O716" s="121" t="str">
        <f t="shared" si="225"/>
        <v>OK</v>
      </c>
      <c r="P716">
        <f t="shared" si="226"/>
        <v>1222.935480869525</v>
      </c>
      <c r="Q716">
        <f t="shared" si="227"/>
        <v>0.49047358008100578</v>
      </c>
      <c r="R716">
        <f t="shared" si="228"/>
        <v>0.45454545454545453</v>
      </c>
      <c r="S716">
        <f t="shared" si="229"/>
        <v>1.025974025974026</v>
      </c>
      <c r="T716" s="89">
        <f t="shared" si="230"/>
        <v>9</v>
      </c>
      <c r="U716" s="126">
        <f>IF($D716="",0,IFERROR(LOOKUP(2,1/(($D$3:D715=$D716)*($C$3:C715=$C716)*($A$3:A715&lt;$A716)),$AB$3:AB715),1000))</f>
        <v>982.72323390901602</v>
      </c>
      <c r="V716" s="126">
        <f t="shared" si="231"/>
        <v>1066.1488807738788</v>
      </c>
      <c r="W716">
        <f t="shared" si="232"/>
        <v>1084.7135428646604</v>
      </c>
      <c r="X716">
        <f t="shared" si="233"/>
        <v>0.47330870115291118</v>
      </c>
      <c r="Y716">
        <f t="shared" si="234"/>
        <v>1027.1210686959669</v>
      </c>
      <c r="Z716">
        <f t="shared" si="235"/>
        <v>0.43645190820700003</v>
      </c>
      <c r="AA716">
        <f>IF($D716="",0,IF($F716&lt;2,0,IF($E716="Win",('Guide &amp; Settings'!$C$42/(($F716-1)*COUNTIFS($A$4:$A$1510,$A716,$E$4:$E$1510,"Win")))*SUMIFS($Z$4:$Z$1510,$A$4:$A$1510,$A716,$E$4:$E$1510,"Loss"),-('Guide &amp; Settings'!$C$42/($F716-1))*$Z716)))</f>
        <v>-13.966461062624001</v>
      </c>
      <c r="AB716" s="126">
        <f t="shared" si="236"/>
        <v>968.75677284639198</v>
      </c>
      <c r="AC716" s="126">
        <f>IF($D716="","",IF($AD716=0,0,IF(COUNTIFS($D$4:$D716,$D716,$B$4:$B716,$B716)&gt;1,0,IF($B716&lt;'Guide &amp; Settings'!$C$50,0,IF(($B716-$AD716)/7-'Guide &amp; Settings'!$C$48&gt;=0,(INT(($B716-$AD716)/7-'Guide &amp; Settings'!$C$48)+1)*'Guide &amp; Settings'!$C$49,0)))))</f>
        <v>0</v>
      </c>
      <c r="AD716" s="142">
        <f t="shared" si="237"/>
        <v>46289</v>
      </c>
      <c r="AE716">
        <f t="shared" si="238"/>
        <v>1</v>
      </c>
      <c r="AF716">
        <f t="shared" si="239"/>
        <v>0</v>
      </c>
    </row>
    <row r="717" spans="1:32" x14ac:dyDescent="0.2">
      <c r="A717" s="117">
        <v>303</v>
      </c>
      <c r="B717" s="118">
        <v>46290</v>
      </c>
      <c r="C717" s="119" t="s">
        <v>37</v>
      </c>
      <c r="D717" s="119" t="s">
        <v>22</v>
      </c>
      <c r="E717" s="117" t="s">
        <v>370</v>
      </c>
      <c r="F717" s="120">
        <f t="shared" si="220"/>
        <v>2</v>
      </c>
      <c r="G717" s="121" t="str">
        <f t="shared" si="221"/>
        <v>Daniel (Ferret)</v>
      </c>
      <c r="H717" s="122">
        <f>IF($D717="",0,IFERROR(LOOKUP(2,1/(($D$3:D716=$D717)*($A$3:A716&lt;$A717)),$N$3:N716),'Guide &amp; Settings'!$C$41))</f>
        <v>1195.852710997536</v>
      </c>
      <c r="I717" s="123">
        <f t="shared" si="222"/>
        <v>0.40983606557377056</v>
      </c>
      <c r="J717" s="124">
        <f>IF($D717="",0,IF($F717&lt;2,0,IF($E717="Win",('Guide &amp; Settings'!$C$42/(($F717-1)*COUNTIFS($A$4:$A$1510,$A717,$E$4:$E$1510,"Win")))*SUMIFS($X$4:$X$1510,$A$4:$A$1510,$A717,$E$4:$E$1510,"Loss"),-('Guide &amp; Settings'!$C$42/($F717-1))*$X717)))</f>
        <v>18.414306062557849</v>
      </c>
      <c r="K717" s="124">
        <f>IF($D717="",0,'Guide &amp; Settings'!$C$43*(IF($E717="Win",1,0)-$I717))</f>
        <v>7.081967213114754</v>
      </c>
      <c r="L717" s="125">
        <f>IF($D717="",0,'Guide &amp; Settings'!$C$44*IF($F717&gt;=3,$F717,0))</f>
        <v>0</v>
      </c>
      <c r="M717" s="124">
        <f t="shared" si="223"/>
        <v>25.496273275672603</v>
      </c>
      <c r="N717" s="122">
        <f t="shared" si="224"/>
        <v>1221.3489842732085</v>
      </c>
      <c r="O717" s="121" t="str">
        <f t="shared" si="225"/>
        <v>OK</v>
      </c>
      <c r="P717">
        <f t="shared" si="226"/>
        <v>1195.852710997536</v>
      </c>
      <c r="Q717">
        <f t="shared" si="227"/>
        <v>0.5</v>
      </c>
      <c r="R717">
        <f t="shared" si="228"/>
        <v>0.41666666666666669</v>
      </c>
      <c r="S717">
        <f t="shared" si="229"/>
        <v>1.0166666666666666</v>
      </c>
      <c r="T717" s="89">
        <f t="shared" si="230"/>
        <v>10</v>
      </c>
      <c r="U717" s="126">
        <f>IF($D717="",0,IFERROR(LOOKUP(2,1/(($D$3:D716=$D717)*($C$3:C716=$C717)*($A$3:A716&lt;$A717)),$AB$3:AB716),1000))</f>
        <v>968.75677284639198</v>
      </c>
      <c r="V717" s="126">
        <f t="shared" si="231"/>
        <v>1044.4554188967734</v>
      </c>
      <c r="W717">
        <f t="shared" si="232"/>
        <v>1044.4554188967734</v>
      </c>
      <c r="X717">
        <f t="shared" si="233"/>
        <v>0.5</v>
      </c>
      <c r="Y717">
        <f t="shared" si="234"/>
        <v>968.75677284639198</v>
      </c>
      <c r="Z717">
        <f t="shared" si="235"/>
        <v>0.5</v>
      </c>
      <c r="AA717">
        <f>IF($D717="",0,IF($F717&lt;2,0,IF($E717="Win",('Guide &amp; Settings'!$C$42/(($F717-1)*COUNTIFS($A$4:$A$1510,$A717,$E$4:$E$1510,"Win")))*SUMIFS($Z$4:$Z$1510,$A$4:$A$1510,$A717,$E$4:$E$1510,"Loss"),-('Guide &amp; Settings'!$C$42/($F717-1))*$Z717)))</f>
        <v>19.283652199363168</v>
      </c>
      <c r="AB717" s="126">
        <f t="shared" si="236"/>
        <v>988.04042504575511</v>
      </c>
      <c r="AC717" s="126">
        <f>IF($D717="","",IF($AD717=0,0,IF(COUNTIFS($D$4:$D717,$D717,$B$4:$B717,$B717)&gt;1,0,IF($B717&lt;'Guide &amp; Settings'!$C$50,0,IF(($B717-$AD717)/7-'Guide &amp; Settings'!$C$48&gt;=0,(INT(($B717-$AD717)/7-'Guide &amp; Settings'!$C$48)+1)*'Guide &amp; Settings'!$C$49,0)))))</f>
        <v>0</v>
      </c>
      <c r="AD717" s="142">
        <f t="shared" si="237"/>
        <v>46289</v>
      </c>
      <c r="AE717">
        <f t="shared" si="238"/>
        <v>1</v>
      </c>
      <c r="AF717">
        <f t="shared" si="239"/>
        <v>0</v>
      </c>
    </row>
    <row r="718" spans="1:32" x14ac:dyDescent="0.2">
      <c r="A718" s="117">
        <v>303</v>
      </c>
      <c r="B718" s="118">
        <v>46290</v>
      </c>
      <c r="C718" s="119" t="s">
        <v>37</v>
      </c>
      <c r="D718" s="119" t="s">
        <v>23</v>
      </c>
      <c r="E718" s="117" t="s">
        <v>371</v>
      </c>
      <c r="F718" s="120">
        <f t="shared" si="220"/>
        <v>2</v>
      </c>
      <c r="G718" s="121" t="str">
        <f t="shared" si="221"/>
        <v>Daniel (Ferret)</v>
      </c>
      <c r="H718" s="122">
        <f>IF($D718="",0,IFERROR(LOOKUP(2,1/(($D$3:D717=$D718)*($A$3:A717&lt;$A718)),$N$3:N717),'Guide &amp; Settings'!$C$41))</f>
        <v>1243.3978150026207</v>
      </c>
      <c r="I718" s="123">
        <f t="shared" si="222"/>
        <v>0.5901639344262295</v>
      </c>
      <c r="J718" s="124">
        <f>IF($D718="",0,IF($F718&lt;2,0,IF($E718="Win",('Guide &amp; Settings'!$C$42/(($F718-1)*COUNTIFS($A$4:$A$1510,$A718,$E$4:$E$1510,"Win")))*SUMIFS($X$4:$X$1510,$A$4:$A$1510,$A718,$E$4:$E$1510,"Loss"),-('Guide &amp; Settings'!$C$42/($F718-1))*$X718)))</f>
        <v>-18.414306062557849</v>
      </c>
      <c r="K718" s="124">
        <f>IF($D718="",0,'Guide &amp; Settings'!$C$43*(IF($E718="Win",1,0)-$I718))</f>
        <v>-7.081967213114754</v>
      </c>
      <c r="L718" s="125">
        <f>IF($D718="",0,'Guide &amp; Settings'!$C$44*IF($F718&gt;=3,$F718,0))</f>
        <v>0</v>
      </c>
      <c r="M718" s="124">
        <f t="shared" si="223"/>
        <v>-25.496273275672603</v>
      </c>
      <c r="N718" s="122">
        <f t="shared" si="224"/>
        <v>1217.9015417269482</v>
      </c>
      <c r="O718" s="121" t="str">
        <f t="shared" si="225"/>
        <v>OK</v>
      </c>
      <c r="P718">
        <f t="shared" si="226"/>
        <v>1195.852710997536</v>
      </c>
      <c r="Q718">
        <f t="shared" si="227"/>
        <v>0.56799896668219585</v>
      </c>
      <c r="R718">
        <f t="shared" si="228"/>
        <v>0.6</v>
      </c>
      <c r="S718">
        <f t="shared" si="229"/>
        <v>1.0166666666666666</v>
      </c>
      <c r="T718" s="89">
        <f t="shared" si="230"/>
        <v>13</v>
      </c>
      <c r="U718" s="126">
        <f>IF($D718="",0,IFERROR(LOOKUP(2,1/(($D$3:D717=$D718)*($C$3:C717=$C718)*($A$3:A717&lt;$A718)),$AB$3:AB717),1000))</f>
        <v>1041.0875297585908</v>
      </c>
      <c r="V718" s="126">
        <f t="shared" si="231"/>
        <v>1097.2848312152657</v>
      </c>
      <c r="W718">
        <f t="shared" si="232"/>
        <v>1044.4554188967734</v>
      </c>
      <c r="X718">
        <f t="shared" si="233"/>
        <v>0.57544706445493277</v>
      </c>
      <c r="Y718">
        <f t="shared" si="234"/>
        <v>968.75677284639198</v>
      </c>
      <c r="Z718">
        <f t="shared" si="235"/>
        <v>0.60261413123009899</v>
      </c>
      <c r="AA718">
        <f>IF($D718="",0,IF($F718&lt;2,0,IF($E718="Win",('Guide &amp; Settings'!$C$42/(($F718-1)*COUNTIFS($A$4:$A$1510,$A718,$E$4:$E$1510,"Win")))*SUMIFS($Z$4:$Z$1510,$A$4:$A$1510,$A718,$E$4:$E$1510,"Loss"),-('Guide &amp; Settings'!$C$42/($F718-1))*$Z718)))</f>
        <v>-19.283652199363168</v>
      </c>
      <c r="AB718" s="126">
        <f t="shared" si="236"/>
        <v>1021.8038775592277</v>
      </c>
      <c r="AC718" s="126">
        <f>IF($D718="","",IF($AD718=0,0,IF(COUNTIFS($D$4:$D718,$D718,$B$4:$B718,$B718)&gt;1,0,IF($B718&lt;'Guide &amp; Settings'!$C$50,0,IF(($B718-$AD718)/7-'Guide &amp; Settings'!$C$48&gt;=0,(INT(($B718-$AD718)/7-'Guide &amp; Settings'!$C$48)+1)*'Guide &amp; Settings'!$C$49,0)))))</f>
        <v>0</v>
      </c>
      <c r="AD718" s="142">
        <f t="shared" si="237"/>
        <v>46256</v>
      </c>
      <c r="AE718">
        <f t="shared" si="238"/>
        <v>1</v>
      </c>
      <c r="AF718">
        <f t="shared" si="239"/>
        <v>0</v>
      </c>
    </row>
    <row r="719" spans="1:32" x14ac:dyDescent="0.2">
      <c r="A719" s="117">
        <v>304</v>
      </c>
      <c r="B719" s="118">
        <v>46291</v>
      </c>
      <c r="C719" s="119" t="s">
        <v>35</v>
      </c>
      <c r="D719" s="119" t="s">
        <v>25</v>
      </c>
      <c r="E719" s="117" t="s">
        <v>370</v>
      </c>
      <c r="F719" s="120">
        <f t="shared" si="220"/>
        <v>2</v>
      </c>
      <c r="G719" s="121" t="str">
        <f t="shared" si="221"/>
        <v>Oscar</v>
      </c>
      <c r="H719" s="122">
        <f>IF($D719="",0,IFERROR(LOOKUP(2,1/(($D$3:D718=$D719)*($A$3:A718&lt;$A719)),$N$3:N718),'Guide &amp; Settings'!$C$41))</f>
        <v>944.39454678356583</v>
      </c>
      <c r="I719" s="123">
        <f t="shared" si="222"/>
        <v>0.49230769230769234</v>
      </c>
      <c r="J719" s="124">
        <f>IF($D719="",0,IF($F719&lt;2,0,IF($E719="Win",('Guide &amp; Settings'!$C$42/(($F719-1)*COUNTIFS($A$4:$A$1510,$A719,$E$4:$E$1510,"Win")))*SUMIFS($X$4:$X$1510,$A$4:$A$1510,$A719,$E$4:$E$1510,"Loss"),-('Guide &amp; Settings'!$C$42/($F719-1))*$X719)))</f>
        <v>17.774468880312611</v>
      </c>
      <c r="K719" s="124">
        <f>IF($D719="",0,'Guide &amp; Settings'!$C$43*(IF($E719="Win",1,0)-$I719))</f>
        <v>6.092307692307692</v>
      </c>
      <c r="L719" s="125">
        <f>IF($D719="",0,'Guide &amp; Settings'!$C$44*IF($F719&gt;=3,$F719,0))</f>
        <v>0</v>
      </c>
      <c r="M719" s="124">
        <f t="shared" si="223"/>
        <v>23.866776572620303</v>
      </c>
      <c r="N719" s="122">
        <f t="shared" si="224"/>
        <v>968.26132335618615</v>
      </c>
      <c r="O719" s="121" t="str">
        <f t="shared" si="225"/>
        <v>OK</v>
      </c>
      <c r="P719">
        <f t="shared" si="226"/>
        <v>944.39454678356583</v>
      </c>
      <c r="Q719">
        <f t="shared" si="227"/>
        <v>0.5</v>
      </c>
      <c r="R719">
        <f t="shared" si="228"/>
        <v>0.44444444444444442</v>
      </c>
      <c r="S719">
        <f t="shared" si="229"/>
        <v>0.90277777777777768</v>
      </c>
      <c r="T719" s="89">
        <f t="shared" si="230"/>
        <v>7</v>
      </c>
      <c r="U719" s="126">
        <f>IF($D719="",0,IFERROR(LOOKUP(2,1/(($D$3:D718=$D719)*($C$3:C718=$C719)*($A$3:A718&lt;$A719)),$AB$3:AB718),1000))</f>
        <v>991.24131700741486</v>
      </c>
      <c r="V719" s="126">
        <f t="shared" si="231"/>
        <v>971.72182941414439</v>
      </c>
      <c r="W719">
        <f t="shared" si="232"/>
        <v>971.72182941414439</v>
      </c>
      <c r="X719">
        <f t="shared" si="233"/>
        <v>0.5</v>
      </c>
      <c r="Y719">
        <f t="shared" si="234"/>
        <v>991.24131700741486</v>
      </c>
      <c r="Z719">
        <f t="shared" si="235"/>
        <v>0.5</v>
      </c>
      <c r="AA719">
        <f>IF($D719="",0,IF($F719&lt;2,0,IF($E719="Win",('Guide &amp; Settings'!$C$42/(($F719-1)*COUNTIFS($A$4:$A$1510,$A719,$E$4:$E$1510,"Win")))*SUMIFS($Z$4:$Z$1510,$A$4:$A$1510,$A719,$E$4:$E$1510,"Loss"),-('Guide &amp; Settings'!$C$42/($F719-1))*$Z719)))</f>
        <v>15.351950608983211</v>
      </c>
      <c r="AB719" s="126">
        <f t="shared" si="236"/>
        <v>1006.5932676163981</v>
      </c>
      <c r="AC719" s="126">
        <f>IF($D719="","",IF($AD719=0,0,IF(COUNTIFS($D$4:$D719,$D719,$B$4:$B719,$B719)&gt;1,0,IF($B719&lt;'Guide &amp; Settings'!$C$50,0,IF(($B719-$AD719)/7-'Guide &amp; Settings'!$C$48&gt;=0,(INT(($B719-$AD719)/7-'Guide &amp; Settings'!$C$48)+1)*'Guide &amp; Settings'!$C$49,0)))))</f>
        <v>0</v>
      </c>
      <c r="AD719" s="142">
        <f t="shared" si="237"/>
        <v>46271</v>
      </c>
      <c r="AE719">
        <f t="shared" si="238"/>
        <v>1</v>
      </c>
      <c r="AF719">
        <f t="shared" si="239"/>
        <v>0</v>
      </c>
    </row>
    <row r="720" spans="1:32" x14ac:dyDescent="0.2">
      <c r="A720" s="117">
        <v>304</v>
      </c>
      <c r="B720" s="118">
        <v>46291</v>
      </c>
      <c r="C720" s="119" t="s">
        <v>35</v>
      </c>
      <c r="D720" s="119" t="s">
        <v>20</v>
      </c>
      <c r="E720" s="117" t="s">
        <v>371</v>
      </c>
      <c r="F720" s="120">
        <f t="shared" si="220"/>
        <v>2</v>
      </c>
      <c r="G720" s="121" t="str">
        <f t="shared" si="221"/>
        <v>Oscar</v>
      </c>
      <c r="H720" s="122">
        <f>IF($D720="",0,IFERROR(LOOKUP(2,1/(($D$3:D719=$D720)*($A$3:A719&lt;$A720)),$N$3:N719),'Guide &amp; Settings'!$C$41))</f>
        <v>1156.7205039890414</v>
      </c>
      <c r="I720" s="123">
        <f t="shared" si="222"/>
        <v>0.50769230769230778</v>
      </c>
      <c r="J720" s="124">
        <f>IF($D720="",0,IF($F720&lt;2,0,IF($E720="Win",('Guide &amp; Settings'!$C$42/(($F720-1)*COUNTIFS($A$4:$A$1510,$A720,$E$4:$E$1510,"Win")))*SUMIFS($X$4:$X$1510,$A$4:$A$1510,$A720,$E$4:$E$1510,"Loss"),-('Guide &amp; Settings'!$C$42/($F720-1))*$X720)))</f>
        <v>-17.774468880312611</v>
      </c>
      <c r="K720" s="124">
        <f>IF($D720="",0,'Guide &amp; Settings'!$C$43*(IF($E720="Win",1,0)-$I720))</f>
        <v>-6.0923076923076938</v>
      </c>
      <c r="L720" s="125">
        <f>IF($D720="",0,'Guide &amp; Settings'!$C$44*IF($F720&gt;=3,$F720,0))</f>
        <v>0</v>
      </c>
      <c r="M720" s="124">
        <f t="shared" si="223"/>
        <v>-23.866776572620303</v>
      </c>
      <c r="N720" s="122">
        <f t="shared" si="224"/>
        <v>1132.8537274164212</v>
      </c>
      <c r="O720" s="121" t="str">
        <f t="shared" si="225"/>
        <v>OK</v>
      </c>
      <c r="P720">
        <f t="shared" si="226"/>
        <v>944.39454678356583</v>
      </c>
      <c r="Q720">
        <f t="shared" si="227"/>
        <v>0.77245864298307987</v>
      </c>
      <c r="R720">
        <f t="shared" si="228"/>
        <v>0.45833333333333331</v>
      </c>
      <c r="S720">
        <f t="shared" si="229"/>
        <v>0.90277777777777768</v>
      </c>
      <c r="T720" s="89">
        <f t="shared" si="230"/>
        <v>22</v>
      </c>
      <c r="U720" s="126">
        <f>IF($D720="",0,IFERROR(LOOKUP(2,1/(($D$3:D719=$D720)*($C$3:C719=$C720)*($A$3:A719&lt;$A720)),$AB$3:AB719),1000))</f>
        <v>977.16140054243726</v>
      </c>
      <c r="V720" s="126">
        <f t="shared" si="231"/>
        <v>1010.4130863658825</v>
      </c>
      <c r="W720">
        <f t="shared" si="232"/>
        <v>971.72182941414439</v>
      </c>
      <c r="X720">
        <f t="shared" si="233"/>
        <v>0.55545215250976909</v>
      </c>
      <c r="Y720">
        <f t="shared" si="234"/>
        <v>991.24131700741486</v>
      </c>
      <c r="Z720">
        <f t="shared" si="235"/>
        <v>0.47974845653072534</v>
      </c>
      <c r="AA720">
        <f>IF($D720="",0,IF($F720&lt;2,0,IF($E720="Win",('Guide &amp; Settings'!$C$42/(($F720-1)*COUNTIFS($A$4:$A$1510,$A720,$E$4:$E$1510,"Win")))*SUMIFS($Z$4:$Z$1510,$A$4:$A$1510,$A720,$E$4:$E$1510,"Loss"),-('Guide &amp; Settings'!$C$42/($F720-1))*$Z720)))</f>
        <v>-15.351950608983211</v>
      </c>
      <c r="AB720" s="126">
        <f t="shared" si="236"/>
        <v>961.80944993345406</v>
      </c>
      <c r="AC720" s="126">
        <f>IF($D720="","",IF($AD720=0,0,IF(COUNTIFS($D$4:$D720,$D720,$B$4:$B720,$B720)&gt;1,0,IF($B720&lt;'Guide &amp; Settings'!$C$50,0,IF(($B720-$AD720)/7-'Guide &amp; Settings'!$C$48&gt;=0,(INT(($B720-$AD720)/7-'Guide &amp; Settings'!$C$48)+1)*'Guide &amp; Settings'!$C$49,0)))))</f>
        <v>0</v>
      </c>
      <c r="AD720" s="142">
        <f t="shared" si="237"/>
        <v>46289</v>
      </c>
      <c r="AE720">
        <f t="shared" si="238"/>
        <v>1</v>
      </c>
      <c r="AF720">
        <f t="shared" si="239"/>
        <v>0</v>
      </c>
    </row>
    <row r="721" spans="1:32" x14ac:dyDescent="0.2">
      <c r="A721" s="117">
        <v>305</v>
      </c>
      <c r="B721" s="118">
        <v>46292</v>
      </c>
      <c r="C721" s="119" t="s">
        <v>45</v>
      </c>
      <c r="D721" s="119" t="s">
        <v>19</v>
      </c>
      <c r="E721" s="117" t="s">
        <v>370</v>
      </c>
      <c r="F721" s="120">
        <f t="shared" si="220"/>
        <v>2</v>
      </c>
      <c r="G721" s="121" t="str">
        <f t="shared" si="221"/>
        <v>Josh</v>
      </c>
      <c r="H721" s="122">
        <f>IF($D721="",0,IFERROR(LOOKUP(2,1/(($D$3:D720=$D721)*($A$3:A720&lt;$A721)),$N$3:N720),'Guide &amp; Settings'!$C$41))</f>
        <v>1192.3121492095624</v>
      </c>
      <c r="I721" s="123">
        <f t="shared" si="222"/>
        <v>0.55555555555555558</v>
      </c>
      <c r="J721" s="124">
        <f>IF($D721="",0,IF($F721&lt;2,0,IF($E721="Win",('Guide &amp; Settings'!$C$42/(($F721-1)*COUNTIFS($A$4:$A$1510,$A721,$E$4:$E$1510,"Win")))*SUMIFS($X$4:$X$1510,$A$4:$A$1510,$A721,$E$4:$E$1510,"Loss"),-('Guide &amp; Settings'!$C$42/($F721-1))*$X721)))</f>
        <v>16.410300291575602</v>
      </c>
      <c r="K721" s="124">
        <f>IF($D721="",0,'Guide &amp; Settings'!$C$43*(IF($E721="Win",1,0)-$I721))</f>
        <v>5.333333333333333</v>
      </c>
      <c r="L721" s="125">
        <f>IF($D721="",0,'Guide &amp; Settings'!$C$44*IF($F721&gt;=3,$F721,0))</f>
        <v>0</v>
      </c>
      <c r="M721" s="124">
        <f t="shared" si="223"/>
        <v>21.743633624908934</v>
      </c>
      <c r="N721" s="122">
        <f t="shared" si="224"/>
        <v>1214.0557828344713</v>
      </c>
      <c r="O721" s="121" t="str">
        <f t="shared" si="225"/>
        <v>OK</v>
      </c>
      <c r="P721">
        <f t="shared" si="226"/>
        <v>1192.3121492095624</v>
      </c>
      <c r="Q721">
        <f t="shared" si="227"/>
        <v>0.5</v>
      </c>
      <c r="R721">
        <f t="shared" si="228"/>
        <v>0.7142857142857143</v>
      </c>
      <c r="S721">
        <f t="shared" si="229"/>
        <v>1.2857142857142856</v>
      </c>
      <c r="T721" s="89">
        <f t="shared" si="230"/>
        <v>5</v>
      </c>
      <c r="U721" s="126">
        <f>IF($D721="",0,IFERROR(LOOKUP(2,1/(($D$3:D720=$D721)*($C$3:C720=$C721)*($A$3:A720&lt;$A721)),$AB$3:AB720),1000))</f>
        <v>1025.9268866328202</v>
      </c>
      <c r="V721" s="126">
        <f t="shared" si="231"/>
        <v>1109.1195179211913</v>
      </c>
      <c r="W721">
        <f t="shared" si="232"/>
        <v>1109.1195179211913</v>
      </c>
      <c r="X721">
        <f t="shared" si="233"/>
        <v>0.5</v>
      </c>
      <c r="Y721">
        <f t="shared" si="234"/>
        <v>1025.9268866328202</v>
      </c>
      <c r="Z721">
        <f t="shared" si="235"/>
        <v>0.5</v>
      </c>
      <c r="AA721">
        <f>IF($D721="",0,IF($F721&lt;2,0,IF($E721="Win",('Guide &amp; Settings'!$C$42/(($F721-1)*COUNTIFS($A$4:$A$1510,$A721,$E$4:$E$1510,"Win")))*SUMIFS($Z$4:$Z$1510,$A$4:$A$1510,$A721,$E$4:$E$1510,"Loss"),-('Guide &amp; Settings'!$C$42/($F721-1))*$Z721)))</f>
        <v>15.483764107456754</v>
      </c>
      <c r="AB721" s="126">
        <f t="shared" si="236"/>
        <v>1041.4106507402771</v>
      </c>
      <c r="AC721" s="126">
        <f>IF($D721="","",IF($AD721=0,0,IF(COUNTIFS($D$4:$D721,$D721,$B$4:$B721,$B721)&gt;1,0,IF($B721&lt;'Guide &amp; Settings'!$C$50,0,IF(($B721-$AD721)/7-'Guide &amp; Settings'!$C$48&gt;=0,(INT(($B721-$AD721)/7-'Guide &amp; Settings'!$C$48)+1)*'Guide &amp; Settings'!$C$49,0)))))</f>
        <v>0</v>
      </c>
      <c r="AD721" s="142">
        <f t="shared" si="237"/>
        <v>46272</v>
      </c>
      <c r="AE721">
        <f t="shared" si="238"/>
        <v>1</v>
      </c>
      <c r="AF721">
        <f t="shared" si="239"/>
        <v>0</v>
      </c>
    </row>
    <row r="722" spans="1:32" x14ac:dyDescent="0.2">
      <c r="A722" s="117">
        <v>305</v>
      </c>
      <c r="B722" s="118">
        <v>46292</v>
      </c>
      <c r="C722" s="119" t="s">
        <v>45</v>
      </c>
      <c r="D722" s="119" t="s">
        <v>22</v>
      </c>
      <c r="E722" s="117" t="s">
        <v>371</v>
      </c>
      <c r="F722" s="120">
        <f t="shared" si="220"/>
        <v>2</v>
      </c>
      <c r="G722" s="121" t="str">
        <f t="shared" si="221"/>
        <v>Josh</v>
      </c>
      <c r="H722" s="122">
        <f>IF($D722="",0,IFERROR(LOOKUP(2,1/(($D$3:D721=$D722)*($A$3:A721&lt;$A722)),$N$3:N721),'Guide &amp; Settings'!$C$41))</f>
        <v>1221.3489842732085</v>
      </c>
      <c r="I722" s="123">
        <f t="shared" si="222"/>
        <v>0.44444444444444448</v>
      </c>
      <c r="J722" s="124">
        <f>IF($D722="",0,IF($F722&lt;2,0,IF($E722="Win",('Guide &amp; Settings'!$C$42/(($F722-1)*COUNTIFS($A$4:$A$1510,$A722,$E$4:$E$1510,"Win")))*SUMIFS($X$4:$X$1510,$A$4:$A$1510,$A722,$E$4:$E$1510,"Loss"),-('Guide &amp; Settings'!$C$42/($F722-1))*$X722)))</f>
        <v>-16.410300291575602</v>
      </c>
      <c r="K722" s="124">
        <f>IF($D722="",0,'Guide &amp; Settings'!$C$43*(IF($E722="Win",1,0)-$I722))</f>
        <v>-5.3333333333333339</v>
      </c>
      <c r="L722" s="125">
        <f>IF($D722="",0,'Guide &amp; Settings'!$C$44*IF($F722&gt;=3,$F722,0))</f>
        <v>0</v>
      </c>
      <c r="M722" s="124">
        <f t="shared" si="223"/>
        <v>-21.743633624908938</v>
      </c>
      <c r="N722" s="122">
        <f t="shared" si="224"/>
        <v>1199.6053506482997</v>
      </c>
      <c r="O722" s="121" t="str">
        <f t="shared" si="225"/>
        <v>OK</v>
      </c>
      <c r="P722">
        <f t="shared" si="226"/>
        <v>1192.3121492095624</v>
      </c>
      <c r="Q722">
        <f t="shared" si="227"/>
        <v>0.54169034455476672</v>
      </c>
      <c r="R722">
        <f t="shared" si="228"/>
        <v>0.5714285714285714</v>
      </c>
      <c r="S722">
        <f t="shared" si="229"/>
        <v>1.2857142857142856</v>
      </c>
      <c r="T722" s="89">
        <f t="shared" si="230"/>
        <v>5</v>
      </c>
      <c r="U722" s="126">
        <f>IF($D722="",0,IFERROR(LOOKUP(2,1/(($D$3:D721=$D722)*($C$3:C721=$C722)*($A$3:A721&lt;$A722)),$AB$3:AB721),1000))</f>
        <v>1014.7130743334857</v>
      </c>
      <c r="V722" s="126">
        <f t="shared" si="231"/>
        <v>1118.0310293033472</v>
      </c>
      <c r="W722">
        <f t="shared" si="232"/>
        <v>1109.1195179211913</v>
      </c>
      <c r="X722">
        <f t="shared" si="233"/>
        <v>0.51282188411173757</v>
      </c>
      <c r="Y722">
        <f t="shared" si="234"/>
        <v>1025.9268866328202</v>
      </c>
      <c r="Z722">
        <f t="shared" si="235"/>
        <v>0.48386762835802355</v>
      </c>
      <c r="AA722">
        <f>IF($D722="",0,IF($F722&lt;2,0,IF($E722="Win",('Guide &amp; Settings'!$C$42/(($F722-1)*COUNTIFS($A$4:$A$1510,$A722,$E$4:$E$1510,"Win")))*SUMIFS($Z$4:$Z$1510,$A$4:$A$1510,$A722,$E$4:$E$1510,"Loss"),-('Guide &amp; Settings'!$C$42/($F722-1))*$Z722)))</f>
        <v>-15.483764107456754</v>
      </c>
      <c r="AB722" s="126">
        <f t="shared" si="236"/>
        <v>999.22931022602893</v>
      </c>
      <c r="AC722" s="126">
        <f>IF($D722="","",IF($AD722=0,0,IF(COUNTIFS($D$4:$D722,$D722,$B$4:$B722,$B722)&gt;1,0,IF($B722&lt;'Guide &amp; Settings'!$C$50,0,IF(($B722-$AD722)/7-'Guide &amp; Settings'!$C$48&gt;=0,(INT(($B722-$AD722)/7-'Guide &amp; Settings'!$C$48)+1)*'Guide &amp; Settings'!$C$49,0)))))</f>
        <v>0</v>
      </c>
      <c r="AD722" s="142">
        <f t="shared" si="237"/>
        <v>46290</v>
      </c>
      <c r="AE722">
        <f t="shared" si="238"/>
        <v>1</v>
      </c>
      <c r="AF722">
        <f t="shared" si="239"/>
        <v>0</v>
      </c>
    </row>
    <row r="723" spans="1:32" x14ac:dyDescent="0.2">
      <c r="A723" s="117">
        <v>306</v>
      </c>
      <c r="B723" s="118">
        <v>46292</v>
      </c>
      <c r="C723" s="119" t="s">
        <v>45</v>
      </c>
      <c r="D723" s="119" t="s">
        <v>19</v>
      </c>
      <c r="E723" s="117" t="s">
        <v>370</v>
      </c>
      <c r="F723" s="120">
        <f t="shared" si="220"/>
        <v>2</v>
      </c>
      <c r="G723" s="121" t="str">
        <f t="shared" si="221"/>
        <v>Josh</v>
      </c>
      <c r="H723" s="122">
        <f>IF($D723="",0,IFERROR(LOOKUP(2,1/(($D$3:D722=$D723)*($A$3:A722&lt;$A723)),$N$3:N722),'Guide &amp; Settings'!$C$41))</f>
        <v>1214.0557828344713</v>
      </c>
      <c r="I723" s="123">
        <f t="shared" si="222"/>
        <v>0.6</v>
      </c>
      <c r="J723" s="124">
        <f>IF($D723="",0,IF($F723&lt;2,0,IF($E723="Win",('Guide &amp; Settings'!$C$42/(($F723-1)*COUNTIFS($A$4:$A$1510,$A723,$E$4:$E$1510,"Win")))*SUMIFS($X$4:$X$1510,$A$4:$A$1510,$A723,$E$4:$E$1510,"Loss"),-('Guide &amp; Settings'!$C$42/($F723-1))*$X723)))</f>
        <v>14.64123787074567</v>
      </c>
      <c r="K723" s="124">
        <f>IF($D723="",0,'Guide &amp; Settings'!$C$43*(IF($E723="Win",1,0)-$I723))</f>
        <v>4.8000000000000007</v>
      </c>
      <c r="L723" s="125">
        <f>IF($D723="",0,'Guide &amp; Settings'!$C$44*IF($F723&gt;=3,$F723,0))</f>
        <v>0</v>
      </c>
      <c r="M723" s="124">
        <f t="shared" si="223"/>
        <v>19.44123787074567</v>
      </c>
      <c r="N723" s="122">
        <f t="shared" si="224"/>
        <v>1233.497020705217</v>
      </c>
      <c r="O723" s="121" t="str">
        <f t="shared" si="225"/>
        <v>OK</v>
      </c>
      <c r="P723">
        <f t="shared" si="226"/>
        <v>1214.0557828344713</v>
      </c>
      <c r="Q723">
        <f t="shared" si="227"/>
        <v>0.5</v>
      </c>
      <c r="R723">
        <f t="shared" si="228"/>
        <v>0.75</v>
      </c>
      <c r="S723">
        <f t="shared" si="229"/>
        <v>1.25</v>
      </c>
      <c r="T723" s="89">
        <f t="shared" si="230"/>
        <v>6</v>
      </c>
      <c r="U723" s="126">
        <f>IF($D723="",0,IFERROR(LOOKUP(2,1/(($D$3:D722=$D723)*($C$3:C722=$C723)*($A$3:A722&lt;$A723)),$AB$3:AB722),1000))</f>
        <v>1041.4106507402771</v>
      </c>
      <c r="V723" s="126">
        <f t="shared" si="231"/>
        <v>1119.8857107830927</v>
      </c>
      <c r="W723">
        <f t="shared" si="232"/>
        <v>1119.8857107830927</v>
      </c>
      <c r="X723">
        <f t="shared" si="233"/>
        <v>0.5</v>
      </c>
      <c r="Y723">
        <f t="shared" si="234"/>
        <v>1041.4106507402771</v>
      </c>
      <c r="Z723">
        <f t="shared" si="235"/>
        <v>0.5</v>
      </c>
      <c r="AA723">
        <f>IF($D723="",0,IF($F723&lt;2,0,IF($E723="Win",('Guide &amp; Settings'!$C$42/(($F723-1)*COUNTIFS($A$4:$A$1510,$A723,$E$4:$E$1510,"Win")))*SUMIFS($Z$4:$Z$1510,$A$4:$A$1510,$A723,$E$4:$E$1510,"Loss"),-('Guide &amp; Settings'!$C$42/($F723-1))*$Z723)))</f>
        <v>14.066965688341803</v>
      </c>
      <c r="AB723" s="126">
        <f t="shared" si="236"/>
        <v>1055.4776164286188</v>
      </c>
      <c r="AC723" s="126">
        <f>IF($D723="","",IF($AD723=0,0,IF(COUNTIFS($D$4:$D723,$D723,$B$4:$B723,$B723)&gt;1,0,IF($B723&lt;'Guide &amp; Settings'!$C$50,0,IF(($B723-$AD723)/7-'Guide &amp; Settings'!$C$48&gt;=0,(INT(($B723-$AD723)/7-'Guide &amp; Settings'!$C$48)+1)*'Guide &amp; Settings'!$C$49,0)))))</f>
        <v>0</v>
      </c>
      <c r="AD723" s="142">
        <f t="shared" si="237"/>
        <v>46272</v>
      </c>
      <c r="AE723">
        <f t="shared" si="238"/>
        <v>1</v>
      </c>
      <c r="AF723">
        <f t="shared" si="239"/>
        <v>0</v>
      </c>
    </row>
    <row r="724" spans="1:32" x14ac:dyDescent="0.2">
      <c r="A724" s="117">
        <v>306</v>
      </c>
      <c r="B724" s="118">
        <v>46292</v>
      </c>
      <c r="C724" s="119" t="s">
        <v>45</v>
      </c>
      <c r="D724" s="119" t="s">
        <v>22</v>
      </c>
      <c r="E724" s="117" t="s">
        <v>371</v>
      </c>
      <c r="F724" s="120">
        <f t="shared" si="220"/>
        <v>2</v>
      </c>
      <c r="G724" s="121" t="str">
        <f t="shared" si="221"/>
        <v>Josh</v>
      </c>
      <c r="H724" s="122">
        <f>IF($D724="",0,IFERROR(LOOKUP(2,1/(($D$3:D723=$D724)*($A$3:A723&lt;$A724)),$N$3:N723),'Guide &amp; Settings'!$C$41))</f>
        <v>1199.6053506482997</v>
      </c>
      <c r="I724" s="123">
        <f t="shared" si="222"/>
        <v>0.4</v>
      </c>
      <c r="J724" s="124">
        <f>IF($D724="",0,IF($F724&lt;2,0,IF($E724="Win",('Guide &amp; Settings'!$C$42/(($F724-1)*COUNTIFS($A$4:$A$1510,$A724,$E$4:$E$1510,"Win")))*SUMIFS($X$4:$X$1510,$A$4:$A$1510,$A724,$E$4:$E$1510,"Loss"),-('Guide &amp; Settings'!$C$42/($F724-1))*$X724)))</f>
        <v>-14.64123787074567</v>
      </c>
      <c r="K724" s="124">
        <f>IF($D724="",0,'Guide &amp; Settings'!$C$43*(IF($E724="Win",1,0)-$I724))</f>
        <v>-4.8000000000000007</v>
      </c>
      <c r="L724" s="125">
        <f>IF($D724="",0,'Guide &amp; Settings'!$C$44*IF($F724&gt;=3,$F724,0))</f>
        <v>0</v>
      </c>
      <c r="M724" s="124">
        <f t="shared" si="223"/>
        <v>-19.44123787074567</v>
      </c>
      <c r="N724" s="122">
        <f t="shared" si="224"/>
        <v>1180.164112777554</v>
      </c>
      <c r="O724" s="121" t="str">
        <f t="shared" si="225"/>
        <v>OK</v>
      </c>
      <c r="P724">
        <f t="shared" si="226"/>
        <v>1214.0557828344713</v>
      </c>
      <c r="Q724">
        <f t="shared" si="227"/>
        <v>0.4792161394792655</v>
      </c>
      <c r="R724">
        <f t="shared" si="228"/>
        <v>0.5</v>
      </c>
      <c r="S724">
        <f t="shared" si="229"/>
        <v>1.25</v>
      </c>
      <c r="T724" s="89">
        <f t="shared" si="230"/>
        <v>6</v>
      </c>
      <c r="U724" s="126">
        <f>IF($D724="",0,IFERROR(LOOKUP(2,1/(($D$3:D723=$D724)*($C$3:C723=$C724)*($A$3:A723&lt;$A724)),$AB$3:AB723),1000))</f>
        <v>999.22931022602893</v>
      </c>
      <c r="V724" s="126">
        <f t="shared" si="231"/>
        <v>1090.3093285997884</v>
      </c>
      <c r="W724">
        <f t="shared" si="232"/>
        <v>1119.8857107830927</v>
      </c>
      <c r="X724">
        <f t="shared" si="233"/>
        <v>0.45753868346080218</v>
      </c>
      <c r="Y724">
        <f t="shared" si="234"/>
        <v>1041.4106507402771</v>
      </c>
      <c r="Z724">
        <f t="shared" si="235"/>
        <v>0.43959267776068134</v>
      </c>
      <c r="AA724">
        <f>IF($D724="",0,IF($F724&lt;2,0,IF($E724="Win",('Guide &amp; Settings'!$C$42/(($F724-1)*COUNTIFS($A$4:$A$1510,$A724,$E$4:$E$1510,"Win")))*SUMIFS($Z$4:$Z$1510,$A$4:$A$1510,$A724,$E$4:$E$1510,"Loss"),-('Guide &amp; Settings'!$C$42/($F724-1))*$Z724)))</f>
        <v>-14.066965688341803</v>
      </c>
      <c r="AB724" s="126">
        <f t="shared" si="236"/>
        <v>985.16234453768709</v>
      </c>
      <c r="AC724" s="126">
        <f>IF($D724="","",IF($AD724=0,0,IF(COUNTIFS($D$4:$D724,$D724,$B$4:$B724,$B724)&gt;1,0,IF($B724&lt;'Guide &amp; Settings'!$C$50,0,IF(($B724-$AD724)/7-'Guide &amp; Settings'!$C$48&gt;=0,(INT(($B724-$AD724)/7-'Guide &amp; Settings'!$C$48)+1)*'Guide &amp; Settings'!$C$49,0)))))</f>
        <v>0</v>
      </c>
      <c r="AD724" s="142">
        <f t="shared" si="237"/>
        <v>46290</v>
      </c>
      <c r="AE724">
        <f t="shared" si="238"/>
        <v>1</v>
      </c>
      <c r="AF724">
        <f t="shared" si="239"/>
        <v>0</v>
      </c>
    </row>
    <row r="725" spans="1:32" x14ac:dyDescent="0.2">
      <c r="A725" s="117">
        <v>307</v>
      </c>
      <c r="B725" s="118">
        <v>46293</v>
      </c>
      <c r="C725" s="119" t="s">
        <v>33</v>
      </c>
      <c r="D725" s="119" t="s">
        <v>20</v>
      </c>
      <c r="E725" s="117" t="s">
        <v>370</v>
      </c>
      <c r="F725" s="120">
        <f t="shared" si="220"/>
        <v>2</v>
      </c>
      <c r="G725" s="121" t="str">
        <f t="shared" si="221"/>
        <v>Shawn</v>
      </c>
      <c r="H725" s="122">
        <f>IF($D725="",0,IFERROR(LOOKUP(2,1/(($D$3:D724=$D725)*($A$3:A724&lt;$A725)),$N$3:N724),'Guide &amp; Settings'!$C$41))</f>
        <v>1132.8537274164212</v>
      </c>
      <c r="I725" s="123">
        <f t="shared" si="222"/>
        <v>0.63636363636363635</v>
      </c>
      <c r="J725" s="124">
        <f>IF($D725="",0,IF($F725&lt;2,0,IF($E725="Win",('Guide &amp; Settings'!$C$42/(($F725-1)*COUNTIFS($A$4:$A$1510,$A725,$E$4:$E$1510,"Win")))*SUMIFS($X$4:$X$1510,$A$4:$A$1510,$A725,$E$4:$E$1510,"Loss"),-('Guide &amp; Settings'!$C$42/($F725-1))*$X725)))</f>
        <v>13.911278449150011</v>
      </c>
      <c r="K725" s="124">
        <f>IF($D725="",0,'Guide &amp; Settings'!$C$43*(IF($E725="Win",1,0)-$I725))</f>
        <v>4.3636363636363633</v>
      </c>
      <c r="L725" s="125">
        <f>IF($D725="",0,'Guide &amp; Settings'!$C$44*IF($F725&gt;=3,$F725,0))</f>
        <v>0</v>
      </c>
      <c r="M725" s="124">
        <f t="shared" si="223"/>
        <v>18.274914812786374</v>
      </c>
      <c r="N725" s="122">
        <f t="shared" si="224"/>
        <v>1151.1286422292076</v>
      </c>
      <c r="O725" s="121" t="str">
        <f t="shared" si="225"/>
        <v>OK</v>
      </c>
      <c r="P725">
        <f t="shared" si="226"/>
        <v>1132.8537274164212</v>
      </c>
      <c r="Q725">
        <f t="shared" si="227"/>
        <v>0.5</v>
      </c>
      <c r="R725">
        <f t="shared" si="228"/>
        <v>0.875</v>
      </c>
      <c r="S725">
        <f t="shared" si="229"/>
        <v>1.375</v>
      </c>
      <c r="T725" s="89">
        <f t="shared" si="230"/>
        <v>6</v>
      </c>
      <c r="U725" s="126">
        <f>IF($D725="",0,IFERROR(LOOKUP(2,1/(($D$3:D724=$D725)*($C$3:C724=$C725)*($A$3:A724&lt;$A725)),$AB$3:AB724),1000))</f>
        <v>1080.5069404636042</v>
      </c>
      <c r="V725" s="126">
        <f t="shared" si="231"/>
        <v>1104.3009345330665</v>
      </c>
      <c r="W725">
        <f t="shared" si="232"/>
        <v>1104.3009345330665</v>
      </c>
      <c r="X725">
        <f t="shared" si="233"/>
        <v>0.5</v>
      </c>
      <c r="Y725">
        <f t="shared" si="234"/>
        <v>1080.5069404636042</v>
      </c>
      <c r="Z725">
        <f t="shared" si="235"/>
        <v>0.5</v>
      </c>
      <c r="AA725">
        <f>IF($D725="",0,IF($F725&lt;2,0,IF($E725="Win",('Guide &amp; Settings'!$C$42/(($F725-1)*COUNTIFS($A$4:$A$1510,$A725,$E$4:$E$1510,"Win")))*SUMIFS($Z$4:$Z$1510,$A$4:$A$1510,$A725,$E$4:$E$1510,"Loss"),-('Guide &amp; Settings'!$C$42/($F725-1))*$Z725)))</f>
        <v>12.459122815727019</v>
      </c>
      <c r="AB725" s="126">
        <f t="shared" si="236"/>
        <v>1092.9660632793311</v>
      </c>
      <c r="AC725" s="126">
        <f>IF($D725="","",IF($AD725=0,0,IF(COUNTIFS($D$4:$D725,$D725,$B$4:$B725,$B725)&gt;1,0,IF($B725&lt;'Guide &amp; Settings'!$C$50,0,IF(($B725-$AD725)/7-'Guide &amp; Settings'!$C$48&gt;=0,(INT(($B725-$AD725)/7-'Guide &amp; Settings'!$C$48)+1)*'Guide &amp; Settings'!$C$49,0)))))</f>
        <v>0</v>
      </c>
      <c r="AD725" s="142">
        <f t="shared" si="237"/>
        <v>46291</v>
      </c>
      <c r="AE725">
        <f t="shared" si="238"/>
        <v>1</v>
      </c>
      <c r="AF725">
        <f t="shared" si="239"/>
        <v>0</v>
      </c>
    </row>
    <row r="726" spans="1:32" x14ac:dyDescent="0.2">
      <c r="A726" s="117">
        <v>307</v>
      </c>
      <c r="B726" s="118">
        <v>46293</v>
      </c>
      <c r="C726" s="119" t="s">
        <v>33</v>
      </c>
      <c r="D726" s="119" t="s">
        <v>17</v>
      </c>
      <c r="E726" s="117" t="s">
        <v>371</v>
      </c>
      <c r="F726" s="120">
        <f t="shared" si="220"/>
        <v>2</v>
      </c>
      <c r="G726" s="121" t="str">
        <f t="shared" si="221"/>
        <v>Shawn</v>
      </c>
      <c r="H726" s="122">
        <f>IF($D726="",0,IFERROR(LOOKUP(2,1/(($D$3:D725=$D726)*($A$3:A725&lt;$A726)),$N$3:N725),'Guide &amp; Settings'!$C$41))</f>
        <v>1081.2287215286424</v>
      </c>
      <c r="I726" s="123">
        <f t="shared" si="222"/>
        <v>0.36363636363636365</v>
      </c>
      <c r="J726" s="124">
        <f>IF($D726="",0,IF($F726&lt;2,0,IF($E726="Win",('Guide &amp; Settings'!$C$42/(($F726-1)*COUNTIFS($A$4:$A$1510,$A726,$E$4:$E$1510,"Win")))*SUMIFS($X$4:$X$1510,$A$4:$A$1510,$A726,$E$4:$E$1510,"Loss"),-('Guide &amp; Settings'!$C$42/($F726-1))*$X726)))</f>
        <v>-13.911278449150011</v>
      </c>
      <c r="K726" s="124">
        <f>IF($D726="",0,'Guide &amp; Settings'!$C$43*(IF($E726="Win",1,0)-$I726))</f>
        <v>-4.3636363636363633</v>
      </c>
      <c r="L726" s="125">
        <f>IF($D726="",0,'Guide &amp; Settings'!$C$44*IF($F726&gt;=3,$F726,0))</f>
        <v>0</v>
      </c>
      <c r="M726" s="124">
        <f t="shared" si="223"/>
        <v>-18.274914812786374</v>
      </c>
      <c r="N726" s="122">
        <f t="shared" si="224"/>
        <v>1062.953806715856</v>
      </c>
      <c r="O726" s="121" t="str">
        <f t="shared" si="225"/>
        <v>OK</v>
      </c>
      <c r="P726">
        <f t="shared" si="226"/>
        <v>1132.8537274164212</v>
      </c>
      <c r="Q726">
        <f t="shared" si="227"/>
        <v>0.42624763028439649</v>
      </c>
      <c r="R726">
        <f t="shared" si="228"/>
        <v>0.5</v>
      </c>
      <c r="S726">
        <f t="shared" si="229"/>
        <v>1.375</v>
      </c>
      <c r="T726" s="89">
        <f t="shared" si="230"/>
        <v>2</v>
      </c>
      <c r="U726" s="126">
        <f>IF($D726="",0,IFERROR(LOOKUP(2,1/(($D$3:D725=$D726)*($C$3:C725=$C726)*($A$3:A725&lt;$A726)),$AB$3:AB725),1000))</f>
        <v>1002.3243051567958</v>
      </c>
      <c r="V726" s="126">
        <f t="shared" si="231"/>
        <v>1058.6846025652576</v>
      </c>
      <c r="W726">
        <f t="shared" si="232"/>
        <v>1104.3009345330665</v>
      </c>
      <c r="X726">
        <f t="shared" si="233"/>
        <v>0.43472745153593784</v>
      </c>
      <c r="Y726">
        <f t="shared" si="234"/>
        <v>1080.5069404636042</v>
      </c>
      <c r="Z726">
        <f t="shared" si="235"/>
        <v>0.38934758799146935</v>
      </c>
      <c r="AA726">
        <f>IF($D726="",0,IF($F726&lt;2,0,IF($E726="Win",('Guide &amp; Settings'!$C$42/(($F726-1)*COUNTIFS($A$4:$A$1510,$A726,$E$4:$E$1510,"Win")))*SUMIFS($Z$4:$Z$1510,$A$4:$A$1510,$A726,$E$4:$E$1510,"Loss"),-('Guide &amp; Settings'!$C$42/($F726-1))*$Z726)))</f>
        <v>-12.459122815727019</v>
      </c>
      <c r="AB726" s="126">
        <f t="shared" si="236"/>
        <v>989.86518234106882</v>
      </c>
      <c r="AC726" s="126">
        <f>IF($D726="","",IF($AD726=0,0,IF(COUNTIFS($D$4:$D726,$D726,$B$4:$B726,$B726)&gt;1,0,IF($B726&lt;'Guide &amp; Settings'!$C$50,0,IF(($B726-$AD726)/7-'Guide &amp; Settings'!$C$48&gt;=0,(INT(($B726-$AD726)/7-'Guide &amp; Settings'!$C$48)+1)*'Guide &amp; Settings'!$C$49,0)))))</f>
        <v>0</v>
      </c>
      <c r="AD726" s="142">
        <f t="shared" si="237"/>
        <v>46274</v>
      </c>
      <c r="AE726">
        <f t="shared" si="238"/>
        <v>1</v>
      </c>
      <c r="AF726">
        <f t="shared" si="239"/>
        <v>0</v>
      </c>
    </row>
    <row r="727" spans="1:32" x14ac:dyDescent="0.2">
      <c r="A727" s="117">
        <v>308</v>
      </c>
      <c r="B727" s="118">
        <v>46297</v>
      </c>
      <c r="C727" s="119" t="s">
        <v>50</v>
      </c>
      <c r="D727" s="119" t="s">
        <v>20</v>
      </c>
      <c r="E727" s="117" t="s">
        <v>371</v>
      </c>
      <c r="F727" s="120">
        <f t="shared" si="220"/>
        <v>3</v>
      </c>
      <c r="G727" s="121" t="str">
        <f t="shared" si="221"/>
        <v>Daniel (Ferret)</v>
      </c>
      <c r="H727" s="122">
        <f>IF($D727="",0,IFERROR(LOOKUP(2,1/(($D$3:D726=$D727)*($A$3:A726&lt;$A727)),$N$3:N726),'Guide &amp; Settings'!$C$41))</f>
        <v>1151.1286422292076</v>
      </c>
      <c r="I727" s="123">
        <f t="shared" si="222"/>
        <v>0.35685828116106999</v>
      </c>
      <c r="J727" s="124">
        <f>IF($D727="",0,IF($F727&lt;2,0,IF($E727="Win",('Guide &amp; Settings'!$C$42/(($F727-1)*COUNTIFS($A$4:$A$1510,$A727,$E$4:$E$1510,"Win")))*SUMIFS($X$4:$X$1510,$A$4:$A$1510,$A727,$E$4:$E$1510,"Loss"),-('Guide &amp; Settings'!$C$42/($F727-1))*$X727)))</f>
        <v>-4.7303234943132466</v>
      </c>
      <c r="K727" s="124">
        <f>IF($D727="",0,'Guide &amp; Settings'!$C$43*(IF($E727="Win",1,0)-$I727))</f>
        <v>-4.2822993739328403</v>
      </c>
      <c r="L727" s="125">
        <f>IF($D727="",0,'Guide &amp; Settings'!$C$44*IF($F727&gt;=3,$F727,0))</f>
        <v>3</v>
      </c>
      <c r="M727" s="124">
        <f t="shared" si="223"/>
        <v>-6.0126228682460869</v>
      </c>
      <c r="N727" s="122">
        <f t="shared" si="224"/>
        <v>1145.1160193609614</v>
      </c>
      <c r="O727" s="121" t="str">
        <f t="shared" si="225"/>
        <v>OK</v>
      </c>
      <c r="P727">
        <f t="shared" si="226"/>
        <v>1180.164112777554</v>
      </c>
      <c r="Q727">
        <f t="shared" si="227"/>
        <v>0.45831160548896299</v>
      </c>
      <c r="R727">
        <f t="shared" si="228"/>
        <v>0.47499999999999998</v>
      </c>
      <c r="S727">
        <f t="shared" si="229"/>
        <v>1.3310606060606061</v>
      </c>
      <c r="T727" s="89">
        <f t="shared" si="230"/>
        <v>38</v>
      </c>
      <c r="U727" s="126">
        <f>IF($D727="",0,IFERROR(LOOKUP(2,1/(($D$3:D726=$D727)*($C$3:C726=$C727)*($A$3:A726&lt;$A727)),$AB$3:AB726),1000))</f>
        <v>962.4492002901444</v>
      </c>
      <c r="V727" s="126">
        <f t="shared" si="231"/>
        <v>984.38867028305867</v>
      </c>
      <c r="W727">
        <f t="shared" si="232"/>
        <v>1135.1969134290423</v>
      </c>
      <c r="X727">
        <f t="shared" si="233"/>
        <v>0.29564521839457791</v>
      </c>
      <c r="Y727">
        <f t="shared" si="234"/>
        <v>1127.9441393405727</v>
      </c>
      <c r="Z727">
        <f t="shared" si="235"/>
        <v>0.27834909469923974</v>
      </c>
      <c r="AA727">
        <f>IF($D727="",0,IF($F727&lt;2,0,IF($E727="Win",('Guide &amp; Settings'!$C$42/(($F727-1)*COUNTIFS($A$4:$A$1510,$A727,$E$4:$E$1510,"Win")))*SUMIFS($Z$4:$Z$1510,$A$4:$A$1510,$A727,$E$4:$E$1510,"Loss"),-('Guide &amp; Settings'!$C$42/($F727-1))*$Z727)))</f>
        <v>-4.4535855151878359</v>
      </c>
      <c r="AB727" s="126">
        <f t="shared" si="236"/>
        <v>957.99561477495661</v>
      </c>
      <c r="AC727" s="126">
        <f>IF($D727="","",IF($AD727=0,0,IF(COUNTIFS($D$4:$D727,$D727,$B$4:$B727,$B727)&gt;1,0,IF($B727&lt;'Guide &amp; Settings'!$C$50,0,IF(($B727-$AD727)/7-'Guide &amp; Settings'!$C$48&gt;=0,(INT(($B727-$AD727)/7-'Guide &amp; Settings'!$C$48)+1)*'Guide &amp; Settings'!$C$49,0)))))</f>
        <v>0</v>
      </c>
      <c r="AD727" s="142">
        <f t="shared" si="237"/>
        <v>46293</v>
      </c>
      <c r="AE727">
        <f t="shared" si="238"/>
        <v>1</v>
      </c>
      <c r="AF727">
        <f t="shared" si="239"/>
        <v>0</v>
      </c>
    </row>
    <row r="728" spans="1:32" x14ac:dyDescent="0.2">
      <c r="A728" s="117">
        <v>308</v>
      </c>
      <c r="B728" s="118">
        <v>46297</v>
      </c>
      <c r="C728" s="119" t="s">
        <v>50</v>
      </c>
      <c r="D728" s="119" t="s">
        <v>15</v>
      </c>
      <c r="E728" s="117" t="s">
        <v>371</v>
      </c>
      <c r="F728" s="120">
        <f t="shared" si="220"/>
        <v>3</v>
      </c>
      <c r="G728" s="121" t="str">
        <f t="shared" si="221"/>
        <v>Daniel (Ferret)</v>
      </c>
      <c r="H728" s="122">
        <f>IF($D728="",0,IFERROR(LOOKUP(2,1/(($D$3:D727=$D728)*($A$3:A727&lt;$A728)),$N$3:N727),'Guide &amp; Settings'!$C$41))</f>
        <v>1217.5573388632245</v>
      </c>
      <c r="I728" s="123">
        <f t="shared" si="222"/>
        <v>0.18782014797951052</v>
      </c>
      <c r="J728" s="124">
        <f>IF($D728="",0,IF($F728&lt;2,0,IF($E728="Win",('Guide &amp; Settings'!$C$42/(($F728-1)*COUNTIFS($A$4:$A$1510,$A728,$E$4:$E$1510,"Win")))*SUMIFS($X$4:$X$1510,$A$4:$A$1510,$A728,$E$4:$E$1510,"Loss"),-('Guide &amp; Settings'!$C$42/($F728-1))*$X728)))</f>
        <v>-5.3227510688971282</v>
      </c>
      <c r="K728" s="124">
        <f>IF($D728="",0,'Guide &amp; Settings'!$C$43*(IF($E728="Win",1,0)-$I728))</f>
        <v>-2.2538417757541263</v>
      </c>
      <c r="L728" s="125">
        <f>IF($D728="",0,'Guide &amp; Settings'!$C$44*IF($F728&gt;=3,$F728,0))</f>
        <v>3</v>
      </c>
      <c r="M728" s="124">
        <f t="shared" si="223"/>
        <v>-4.5765928446512545</v>
      </c>
      <c r="N728" s="122">
        <f t="shared" si="224"/>
        <v>1212.9807460185732</v>
      </c>
      <c r="O728" s="121" t="str">
        <f t="shared" si="225"/>
        <v>OK</v>
      </c>
      <c r="P728">
        <f t="shared" si="226"/>
        <v>1180.164112777554</v>
      </c>
      <c r="Q728">
        <f t="shared" si="227"/>
        <v>0.55360635589438034</v>
      </c>
      <c r="R728">
        <f t="shared" si="228"/>
        <v>0.25</v>
      </c>
      <c r="S728">
        <f t="shared" si="229"/>
        <v>1.3310606060606061</v>
      </c>
      <c r="T728" s="89">
        <f t="shared" si="230"/>
        <v>14</v>
      </c>
      <c r="U728" s="126">
        <f>IF($D728="",0,IFERROR(LOOKUP(2,1/(($D$3:D727=$D728)*($C$3:C727=$C728)*($A$3:A727&lt;$A728)),$AB$3:AB727),1000))</f>
        <v>941.66416056941034</v>
      </c>
      <c r="V728" s="126">
        <f t="shared" si="231"/>
        <v>1014.2676285414668</v>
      </c>
      <c r="W728">
        <f t="shared" si="232"/>
        <v>1135.1969134290423</v>
      </c>
      <c r="X728">
        <f t="shared" si="233"/>
        <v>0.33267194180607051</v>
      </c>
      <c r="Y728">
        <f t="shared" si="234"/>
        <v>1127.9441393405727</v>
      </c>
      <c r="Z728">
        <f t="shared" si="235"/>
        <v>0.25496332090948021</v>
      </c>
      <c r="AA728">
        <f>IF($D728="",0,IF($F728&lt;2,0,IF($E728="Win",('Guide &amp; Settings'!$C$42/(($F728-1)*COUNTIFS($A$4:$A$1510,$A728,$E$4:$E$1510,"Win")))*SUMIFS($Z$4:$Z$1510,$A$4:$A$1510,$A728,$E$4:$E$1510,"Loss"),-('Guide &amp; Settings'!$C$42/($F728-1))*$Z728)))</f>
        <v>-4.0794131345516833</v>
      </c>
      <c r="AB728" s="126">
        <f t="shared" si="236"/>
        <v>937.58474743485863</v>
      </c>
      <c r="AC728" s="126">
        <f>IF($D728="","",IF($AD728=0,0,IF(COUNTIFS($D$4:$D728,$D728,$B$4:$B728,$B728)&gt;1,0,IF($B728&lt;'Guide &amp; Settings'!$C$50,0,IF(($B728-$AD728)/7-'Guide &amp; Settings'!$C$48&gt;=0,(INT(($B728-$AD728)/7-'Guide &amp; Settings'!$C$48)+1)*'Guide &amp; Settings'!$C$49,0)))))</f>
        <v>0</v>
      </c>
      <c r="AD728" s="142">
        <f t="shared" si="237"/>
        <v>46290</v>
      </c>
      <c r="AE728">
        <f t="shared" si="238"/>
        <v>1</v>
      </c>
      <c r="AF728">
        <f t="shared" si="239"/>
        <v>0</v>
      </c>
    </row>
    <row r="729" spans="1:32" x14ac:dyDescent="0.2">
      <c r="A729" s="117">
        <v>308</v>
      </c>
      <c r="B729" s="118">
        <v>46297</v>
      </c>
      <c r="C729" s="119" t="s">
        <v>50</v>
      </c>
      <c r="D729" s="119" t="s">
        <v>22</v>
      </c>
      <c r="E729" s="117" t="s">
        <v>370</v>
      </c>
      <c r="F729" s="120">
        <f t="shared" si="220"/>
        <v>3</v>
      </c>
      <c r="G729" s="121" t="str">
        <f t="shared" si="221"/>
        <v>Daniel (Ferret)</v>
      </c>
      <c r="H729" s="122">
        <f>IF($D729="",0,IFERROR(LOOKUP(2,1/(($D$3:D728=$D729)*($A$3:A728&lt;$A729)),$N$3:N728),'Guide &amp; Settings'!$C$41))</f>
        <v>1180.164112777554</v>
      </c>
      <c r="I729" s="123">
        <f t="shared" si="222"/>
        <v>0.45532157085941949</v>
      </c>
      <c r="J729" s="124">
        <f>IF($D729="",0,IF($F729&lt;2,0,IF($E729="Win",('Guide &amp; Settings'!$C$42/(($F729-1)*COUNTIFS($A$4:$A$1510,$A729,$E$4:$E$1510,"Win")))*SUMIFS($X$4:$X$1510,$A$4:$A$1510,$A729,$E$4:$E$1510,"Loss"),-('Guide &amp; Settings'!$C$42/($F729-1))*$X729)))</f>
        <v>10.053074563210375</v>
      </c>
      <c r="K729" s="124">
        <f>IF($D729="",0,'Guide &amp; Settings'!$C$43*(IF($E729="Win",1,0)-$I729))</f>
        <v>6.5361411496869657</v>
      </c>
      <c r="L729" s="125">
        <f>IF($D729="",0,'Guide &amp; Settings'!$C$44*IF($F729&gt;=3,$F729,0))</f>
        <v>3</v>
      </c>
      <c r="M729" s="124">
        <f t="shared" si="223"/>
        <v>19.589215712897342</v>
      </c>
      <c r="N729" s="122">
        <f t="shared" si="224"/>
        <v>1199.7533284904514</v>
      </c>
      <c r="O729" s="121" t="str">
        <f t="shared" si="225"/>
        <v>OK</v>
      </c>
      <c r="P729">
        <f t="shared" si="226"/>
        <v>1180.164112777554</v>
      </c>
      <c r="Q729">
        <f t="shared" si="227"/>
        <v>0.5</v>
      </c>
      <c r="R729">
        <f t="shared" si="228"/>
        <v>0.60606060606060608</v>
      </c>
      <c r="S729">
        <f t="shared" si="229"/>
        <v>1.3310606060606061</v>
      </c>
      <c r="T729" s="89">
        <f t="shared" si="230"/>
        <v>31</v>
      </c>
      <c r="U729" s="126">
        <f>IF($D729="",0,IFERROR(LOOKUP(2,1/(($D$3:D728=$D729)*($C$3:C728=$C729)*($A$3:A728&lt;$A729)),$AB$3:AB728),1000))</f>
        <v>1127.9441393405727</v>
      </c>
      <c r="V729" s="126">
        <f t="shared" si="231"/>
        <v>1135.1969134290423</v>
      </c>
      <c r="W729">
        <f t="shared" si="232"/>
        <v>1135.1969134290423</v>
      </c>
      <c r="X729">
        <f t="shared" si="233"/>
        <v>0.5</v>
      </c>
      <c r="Y729">
        <f t="shared" si="234"/>
        <v>1127.9441393405727</v>
      </c>
      <c r="Z729">
        <f t="shared" si="235"/>
        <v>0.5</v>
      </c>
      <c r="AA729">
        <f>IF($D729="",0,IF($F729&lt;2,0,IF($E729="Win",('Guide &amp; Settings'!$C$42/(($F729-1)*COUNTIFS($A$4:$A$1510,$A729,$E$4:$E$1510,"Win")))*SUMIFS($Z$4:$Z$1510,$A$4:$A$1510,$A729,$E$4:$E$1510,"Loss"),-('Guide &amp; Settings'!$C$42/($F729-1))*$Z729)))</f>
        <v>8.5329986497395183</v>
      </c>
      <c r="AB729" s="126">
        <f t="shared" si="236"/>
        <v>1136.4771379903123</v>
      </c>
      <c r="AC729" s="126">
        <f>IF($D729="","",IF($AD729=0,0,IF(COUNTIFS($D$4:$D729,$D729,$B$4:$B729,$B729)&gt;1,0,IF($B729&lt;'Guide &amp; Settings'!$C$50,0,IF(($B729-$AD729)/7-'Guide &amp; Settings'!$C$48&gt;=0,(INT(($B729-$AD729)/7-'Guide &amp; Settings'!$C$48)+1)*'Guide &amp; Settings'!$C$49,0)))))</f>
        <v>0</v>
      </c>
      <c r="AD729" s="142">
        <f t="shared" si="237"/>
        <v>46292</v>
      </c>
      <c r="AE729">
        <f t="shared" si="238"/>
        <v>1</v>
      </c>
      <c r="AF729">
        <f t="shared" si="239"/>
        <v>0</v>
      </c>
    </row>
    <row r="730" spans="1:32" x14ac:dyDescent="0.2">
      <c r="A730" s="117">
        <v>309</v>
      </c>
      <c r="B730" s="118">
        <v>46297</v>
      </c>
      <c r="C730" s="119" t="s">
        <v>50</v>
      </c>
      <c r="D730" s="119" t="s">
        <v>20</v>
      </c>
      <c r="E730" s="117" t="s">
        <v>370</v>
      </c>
      <c r="F730" s="120">
        <f t="shared" si="220"/>
        <v>4</v>
      </c>
      <c r="G730" s="121" t="str">
        <f t="shared" si="221"/>
        <v>Shawn</v>
      </c>
      <c r="H730" s="122">
        <f>IF($D730="",0,IFERROR(LOOKUP(2,1/(($D$3:D729=$D730)*($A$3:A729&lt;$A730)),$N$3:N729),'Guide &amp; Settings'!$C$41))</f>
        <v>1145.1160193609614</v>
      </c>
      <c r="I730" s="123">
        <f t="shared" si="222"/>
        <v>0.25513428120063192</v>
      </c>
      <c r="J730" s="124">
        <f>IF($D730="",0,IF($F730&lt;2,0,IF($E730="Win",('Guide &amp; Settings'!$C$42/(($F730-1)*COUNTIFS($A$4:$A$1510,$A730,$E$4:$E$1510,"Win")))*SUMIFS($X$4:$X$1510,$A$4:$A$1510,$A730,$E$4:$E$1510,"Loss"),-('Guide &amp; Settings'!$C$42/($F730-1))*$X730)))</f>
        <v>19.702307961326877</v>
      </c>
      <c r="K730" s="124">
        <f>IF($D730="",0,'Guide &amp; Settings'!$C$43*(IF($E730="Win",1,0)-$I730))</f>
        <v>8.9383886255924168</v>
      </c>
      <c r="L730" s="125">
        <f>IF($D730="",0,'Guide &amp; Settings'!$C$44*IF($F730&gt;=3,$F730,0))</f>
        <v>4</v>
      </c>
      <c r="M730" s="124">
        <f t="shared" si="223"/>
        <v>32.64069658691929</v>
      </c>
      <c r="N730" s="122">
        <f t="shared" si="224"/>
        <v>1177.7567159478808</v>
      </c>
      <c r="O730" s="121" t="str">
        <f t="shared" si="225"/>
        <v>OK</v>
      </c>
      <c r="P730">
        <f t="shared" si="226"/>
        <v>1145.1160193609614</v>
      </c>
      <c r="Q730">
        <f t="shared" si="227"/>
        <v>0.5</v>
      </c>
      <c r="R730">
        <f t="shared" si="228"/>
        <v>0.46341463414634149</v>
      </c>
      <c r="S730">
        <f t="shared" si="229"/>
        <v>1.8163558106169297</v>
      </c>
      <c r="T730" s="89">
        <f t="shared" si="230"/>
        <v>39</v>
      </c>
      <c r="U730" s="126">
        <f>IF($D730="",0,IFERROR(LOOKUP(2,1/(($D$3:D729=$D730)*($C$3:C729=$C730)*($A$3:A729&lt;$A730)),$AB$3:AB729),1000))</f>
        <v>957.99561477495661</v>
      </c>
      <c r="V730" s="126">
        <f t="shared" si="231"/>
        <v>979.25929711427534</v>
      </c>
      <c r="W730">
        <f t="shared" si="232"/>
        <v>979.25929711427534</v>
      </c>
      <c r="X730">
        <f t="shared" si="233"/>
        <v>0.5</v>
      </c>
      <c r="Y730">
        <f t="shared" si="234"/>
        <v>957.99561477495661</v>
      </c>
      <c r="Z730">
        <f t="shared" si="235"/>
        <v>0.5</v>
      </c>
      <c r="AA730">
        <f>IF($D730="",0,IF($F730&lt;2,0,IF($E730="Win",('Guide &amp; Settings'!$C$42/(($F730-1)*COUNTIFS($A$4:$A$1510,$A730,$E$4:$E$1510,"Win")))*SUMIFS($Z$4:$Z$1510,$A$4:$A$1510,$A730,$E$4:$E$1510,"Loss"),-('Guide &amp; Settings'!$C$42/($F730-1))*$Z730)))</f>
        <v>19.226955779671385</v>
      </c>
      <c r="AB730" s="126">
        <f t="shared" si="236"/>
        <v>977.22257055462796</v>
      </c>
      <c r="AC730" s="126">
        <f>IF($D730="","",IF($AD730=0,0,IF(COUNTIFS($D$4:$D730,$D730,$B$4:$B730,$B730)&gt;1,0,IF($B730&lt;'Guide &amp; Settings'!$C$50,0,IF(($B730-$AD730)/7-'Guide &amp; Settings'!$C$48&gt;=0,(INT(($B730-$AD730)/7-'Guide &amp; Settings'!$C$48)+1)*'Guide &amp; Settings'!$C$49,0)))))</f>
        <v>0</v>
      </c>
      <c r="AD730" s="142">
        <f t="shared" si="237"/>
        <v>46293</v>
      </c>
      <c r="AE730">
        <f t="shared" si="238"/>
        <v>1</v>
      </c>
      <c r="AF730">
        <f t="shared" si="239"/>
        <v>0</v>
      </c>
    </row>
    <row r="731" spans="1:32" x14ac:dyDescent="0.2">
      <c r="A731" s="117">
        <v>309</v>
      </c>
      <c r="B731" s="118">
        <v>46297</v>
      </c>
      <c r="C731" s="119" t="s">
        <v>50</v>
      </c>
      <c r="D731" s="119" t="s">
        <v>17</v>
      </c>
      <c r="E731" s="117" t="s">
        <v>371</v>
      </c>
      <c r="F731" s="120">
        <f t="shared" si="220"/>
        <v>4</v>
      </c>
      <c r="G731" s="121" t="str">
        <f t="shared" si="221"/>
        <v>Shawn</v>
      </c>
      <c r="H731" s="122">
        <f>IF($D731="",0,IFERROR(LOOKUP(2,1/(($D$3:D730=$D731)*($A$3:A730&lt;$A731)),$N$3:N730),'Guide &amp; Settings'!$C$41))</f>
        <v>1062.953806715856</v>
      </c>
      <c r="I731" s="123">
        <f t="shared" si="222"/>
        <v>0.27527646129541866</v>
      </c>
      <c r="J731" s="124">
        <f>IF($D731="",0,IF($F731&lt;2,0,IF($E731="Win",('Guide &amp; Settings'!$C$42/(($F731-1)*COUNTIFS($A$4:$A$1510,$A731,$E$4:$E$1510,"Win")))*SUMIFS($X$4:$X$1510,$A$4:$A$1510,$A731,$E$4:$E$1510,"Loss"),-('Guide &amp; Settings'!$C$42/($F731-1))*$X731)))</f>
        <v>-6.251695205093541</v>
      </c>
      <c r="K731" s="124">
        <f>IF($D731="",0,'Guide &amp; Settings'!$C$43*(IF($E731="Win",1,0)-$I731))</f>
        <v>-3.3033175355450242</v>
      </c>
      <c r="L731" s="125">
        <f>IF($D731="",0,'Guide &amp; Settings'!$C$44*IF($F731&gt;=3,$F731,0))</f>
        <v>4</v>
      </c>
      <c r="M731" s="124">
        <f t="shared" si="223"/>
        <v>-5.5550127406385652</v>
      </c>
      <c r="N731" s="122">
        <f t="shared" si="224"/>
        <v>1057.3987939752174</v>
      </c>
      <c r="O731" s="121" t="str">
        <f t="shared" si="225"/>
        <v>OK</v>
      </c>
      <c r="P731">
        <f t="shared" si="226"/>
        <v>1145.1160193609614</v>
      </c>
      <c r="Q731">
        <f t="shared" si="227"/>
        <v>0.38391501229890679</v>
      </c>
      <c r="R731">
        <f t="shared" si="228"/>
        <v>0.5</v>
      </c>
      <c r="S731">
        <f t="shared" si="229"/>
        <v>1.8163558106169297</v>
      </c>
      <c r="T731" s="89">
        <f t="shared" si="230"/>
        <v>8</v>
      </c>
      <c r="U731" s="126">
        <f>IF($D731="",0,IFERROR(LOOKUP(2,1/(($D$3:D730=$D731)*($C$3:C730=$C731)*($A$3:A730&lt;$A731)),$AB$3:AB730),1000))</f>
        <v>1025.1456607850155</v>
      </c>
      <c r="V731" s="126">
        <f t="shared" si="231"/>
        <v>1039.6872553738003</v>
      </c>
      <c r="W731">
        <f t="shared" si="232"/>
        <v>979.25929711427534</v>
      </c>
      <c r="X731">
        <f t="shared" si="233"/>
        <v>0.5860964254775195</v>
      </c>
      <c r="Y731">
        <f t="shared" si="234"/>
        <v>957.99561477495661</v>
      </c>
      <c r="Z731">
        <f t="shared" si="235"/>
        <v>0.59545112094928054</v>
      </c>
      <c r="AA731">
        <f>IF($D731="",0,IF($F731&lt;2,0,IF($E731="Win",('Guide &amp; Settings'!$C$42/(($F731-1)*COUNTIFS($A$4:$A$1510,$A731,$E$4:$E$1510,"Win")))*SUMIFS($Z$4:$Z$1510,$A$4:$A$1510,$A731,$E$4:$E$1510,"Loss"),-('Guide &amp; Settings'!$C$42/($F731-1))*$Z731)))</f>
        <v>-6.3514786234589922</v>
      </c>
      <c r="AB731" s="126">
        <f t="shared" si="236"/>
        <v>1018.7941821615565</v>
      </c>
      <c r="AC731" s="126">
        <f>IF($D731="","",IF($AD731=0,0,IF(COUNTIFS($D$4:$D731,$D731,$B$4:$B731,$B731)&gt;1,0,IF($B731&lt;'Guide &amp; Settings'!$C$50,0,IF(($B731-$AD731)/7-'Guide &amp; Settings'!$C$48&gt;=0,(INT(($B731-$AD731)/7-'Guide &amp; Settings'!$C$48)+1)*'Guide &amp; Settings'!$C$49,0)))))</f>
        <v>0</v>
      </c>
      <c r="AD731" s="142">
        <f t="shared" si="237"/>
        <v>46293</v>
      </c>
      <c r="AE731">
        <f t="shared" si="238"/>
        <v>1</v>
      </c>
      <c r="AF731">
        <f t="shared" si="239"/>
        <v>0</v>
      </c>
    </row>
    <row r="732" spans="1:32" x14ac:dyDescent="0.2">
      <c r="A732" s="117">
        <v>309</v>
      </c>
      <c r="B732" s="118">
        <v>46297</v>
      </c>
      <c r="C732" s="119" t="s">
        <v>50</v>
      </c>
      <c r="D732" s="119" t="s">
        <v>15</v>
      </c>
      <c r="E732" s="117" t="s">
        <v>371</v>
      </c>
      <c r="F732" s="120">
        <f t="shared" si="220"/>
        <v>4</v>
      </c>
      <c r="G732" s="121" t="str">
        <f t="shared" si="221"/>
        <v>Shawn</v>
      </c>
      <c r="H732" s="122">
        <f>IF($D732="",0,IFERROR(LOOKUP(2,1/(($D$3:D731=$D732)*($A$3:A731&lt;$A732)),$N$3:N731),'Guide &amp; Settings'!$C$41))</f>
        <v>1212.9807460185732</v>
      </c>
      <c r="I732" s="123">
        <f t="shared" si="222"/>
        <v>0.12954186413902052</v>
      </c>
      <c r="J732" s="124">
        <f>IF($D732="",0,IF($F732&lt;2,0,IF($E732="Win",('Guide &amp; Settings'!$C$42/(($F732-1)*COUNTIFS($A$4:$A$1510,$A732,$E$4:$E$1510,"Win")))*SUMIFS($X$4:$X$1510,$A$4:$A$1510,$A732,$E$4:$E$1510,"Loss"),-('Guide &amp; Settings'!$C$42/($F732-1))*$X732)))</f>
        <v>-5.7496280098497383</v>
      </c>
      <c r="K732" s="124">
        <f>IF($D732="",0,'Guide &amp; Settings'!$C$43*(IF($E732="Win",1,0)-$I732))</f>
        <v>-1.5545023696682463</v>
      </c>
      <c r="L732" s="125">
        <f>IF($D732="",0,'Guide &amp; Settings'!$C$44*IF($F732&gt;=3,$F732,0))</f>
        <v>4</v>
      </c>
      <c r="M732" s="124">
        <f t="shared" si="223"/>
        <v>-3.3041303795179848</v>
      </c>
      <c r="N732" s="122">
        <f t="shared" si="224"/>
        <v>1209.6766156390552</v>
      </c>
      <c r="O732" s="121" t="str">
        <f t="shared" si="225"/>
        <v>OK</v>
      </c>
      <c r="P732">
        <f t="shared" si="226"/>
        <v>1145.1160193609614</v>
      </c>
      <c r="Q732">
        <f t="shared" si="227"/>
        <v>0.59644175606217342</v>
      </c>
      <c r="R732">
        <f t="shared" si="228"/>
        <v>0.23529411764705882</v>
      </c>
      <c r="S732">
        <f t="shared" si="229"/>
        <v>1.8163558106169297</v>
      </c>
      <c r="T732" s="89">
        <f t="shared" si="230"/>
        <v>15</v>
      </c>
      <c r="U732" s="126">
        <f>IF($D732="",0,IFERROR(LOOKUP(2,1/(($D$3:D731=$D732)*($C$3:C731=$C732)*($A$3:A731&lt;$A732)),$AB$3:AB731),1000))</f>
        <v>937.58474743485863</v>
      </c>
      <c r="V732" s="126">
        <f t="shared" si="231"/>
        <v>1006.4337470807873</v>
      </c>
      <c r="W732">
        <f t="shared" si="232"/>
        <v>979.25929711427534</v>
      </c>
      <c r="X732">
        <f t="shared" si="233"/>
        <v>0.53902762592341302</v>
      </c>
      <c r="Y732">
        <f t="shared" si="234"/>
        <v>957.99561477495661</v>
      </c>
      <c r="Z732">
        <f t="shared" si="235"/>
        <v>0.47066014583568389</v>
      </c>
      <c r="AA732">
        <f>IF($D732="",0,IF($F732&lt;2,0,IF($E732="Win",('Guide &amp; Settings'!$C$42/(($F732-1)*COUNTIFS($A$4:$A$1510,$A732,$E$4:$E$1510,"Win")))*SUMIFS($Z$4:$Z$1510,$A$4:$A$1510,$A732,$E$4:$E$1510,"Loss"),-('Guide &amp; Settings'!$C$42/($F732-1))*$Z732)))</f>
        <v>-5.0203748889139614</v>
      </c>
      <c r="AB732" s="126">
        <f t="shared" si="236"/>
        <v>932.56437254594471</v>
      </c>
      <c r="AC732" s="126">
        <f>IF($D732="","",IF($AD732=0,0,IF(COUNTIFS($D$4:$D732,$D732,$B$4:$B732,$B732)&gt;1,0,IF($B732&lt;'Guide &amp; Settings'!$C$50,0,IF(($B732-$AD732)/7-'Guide &amp; Settings'!$C$48&gt;=0,(INT(($B732-$AD732)/7-'Guide &amp; Settings'!$C$48)+1)*'Guide &amp; Settings'!$C$49,0)))))</f>
        <v>0</v>
      </c>
      <c r="AD732" s="142">
        <f t="shared" si="237"/>
        <v>46290</v>
      </c>
      <c r="AE732">
        <f t="shared" si="238"/>
        <v>1</v>
      </c>
      <c r="AF732">
        <f t="shared" si="239"/>
        <v>0</v>
      </c>
    </row>
    <row r="733" spans="1:32" x14ac:dyDescent="0.2">
      <c r="A733" s="117">
        <v>309</v>
      </c>
      <c r="B733" s="118">
        <v>46297</v>
      </c>
      <c r="C733" s="119" t="s">
        <v>50</v>
      </c>
      <c r="D733" s="119" t="s">
        <v>22</v>
      </c>
      <c r="E733" s="117" t="s">
        <v>371</v>
      </c>
      <c r="F733" s="120">
        <f t="shared" si="220"/>
        <v>4</v>
      </c>
      <c r="G733" s="121" t="str">
        <f t="shared" si="221"/>
        <v>Shawn</v>
      </c>
      <c r="H733" s="122">
        <f>IF($D733="",0,IFERROR(LOOKUP(2,1/(($D$3:D732=$D733)*($A$3:A732&lt;$A733)),$N$3:N732),'Guide &amp; Settings'!$C$41))</f>
        <v>1199.7533284904514</v>
      </c>
      <c r="I733" s="123">
        <f t="shared" si="222"/>
        <v>0.3400473933649289</v>
      </c>
      <c r="J733" s="124">
        <f>IF($D733="",0,IF($F733&lt;2,0,IF($E733="Win",('Guide &amp; Settings'!$C$42/(($F733-1)*COUNTIFS($A$4:$A$1510,$A733,$E$4:$E$1510,"Win")))*SUMIFS($X$4:$X$1510,$A$4:$A$1510,$A733,$E$4:$E$1510,"Loss"),-('Guide &amp; Settings'!$C$42/($F733-1))*$X733)))</f>
        <v>-7.7009847463835985</v>
      </c>
      <c r="K733" s="124">
        <f>IF($D733="",0,'Guide &amp; Settings'!$C$43*(IF($E733="Win",1,0)-$I733))</f>
        <v>-4.080568720379147</v>
      </c>
      <c r="L733" s="125">
        <f>IF($D733="",0,'Guide &amp; Settings'!$C$44*IF($F733&gt;=3,$F733,0))</f>
        <v>4</v>
      </c>
      <c r="M733" s="124">
        <f t="shared" si="223"/>
        <v>-7.7815534667627446</v>
      </c>
      <c r="N733" s="122">
        <f t="shared" si="224"/>
        <v>1191.9717750236887</v>
      </c>
      <c r="O733" s="121" t="str">
        <f t="shared" si="225"/>
        <v>OK</v>
      </c>
      <c r="P733">
        <f t="shared" si="226"/>
        <v>1145.1160193609614</v>
      </c>
      <c r="Q733">
        <f t="shared" si="227"/>
        <v>0.57798757954569868</v>
      </c>
      <c r="R733">
        <f t="shared" si="228"/>
        <v>0.61764705882352944</v>
      </c>
      <c r="S733">
        <f t="shared" si="229"/>
        <v>1.8163558106169297</v>
      </c>
      <c r="T733" s="89">
        <f t="shared" si="230"/>
        <v>32</v>
      </c>
      <c r="U733" s="126">
        <f>IF($D733="",0,IFERROR(LOOKUP(2,1/(($D$3:D732=$D733)*($C$3:C732=$C733)*($A$3:A732&lt;$A733)),$AB$3:AB732),1000))</f>
        <v>1136.4771379903123</v>
      </c>
      <c r="V733" s="126">
        <f t="shared" si="231"/>
        <v>1145.027974544385</v>
      </c>
      <c r="W733">
        <f t="shared" si="232"/>
        <v>979.25929711427534</v>
      </c>
      <c r="X733">
        <f t="shared" si="233"/>
        <v>0.72196731997346242</v>
      </c>
      <c r="Y733">
        <f t="shared" si="234"/>
        <v>957.99561477495661</v>
      </c>
      <c r="Z733">
        <f t="shared" si="235"/>
        <v>0.73641583755922801</v>
      </c>
      <c r="AA733">
        <f>IF($D733="",0,IF($F733&lt;2,0,IF($E733="Win",('Guide &amp; Settings'!$C$42/(($F733-1)*COUNTIFS($A$4:$A$1510,$A733,$E$4:$E$1510,"Win")))*SUMIFS($Z$4:$Z$1510,$A$4:$A$1510,$A733,$E$4:$E$1510,"Loss"),-('Guide &amp; Settings'!$C$42/($F733-1))*$Z733)))</f>
        <v>-7.8551022672984319</v>
      </c>
      <c r="AB733" s="126">
        <f t="shared" si="236"/>
        <v>1128.6220357230138</v>
      </c>
      <c r="AC733" s="126">
        <f>IF($D733="","",IF($AD733=0,0,IF(COUNTIFS($D$4:$D733,$D733,$B$4:$B733,$B733)&gt;1,0,IF($B733&lt;'Guide &amp; Settings'!$C$50,0,IF(($B733-$AD733)/7-'Guide &amp; Settings'!$C$48&gt;=0,(INT(($B733-$AD733)/7-'Guide &amp; Settings'!$C$48)+1)*'Guide &amp; Settings'!$C$49,0)))))</f>
        <v>0</v>
      </c>
      <c r="AD733" s="142">
        <f t="shared" si="237"/>
        <v>46292</v>
      </c>
      <c r="AE733">
        <f t="shared" si="238"/>
        <v>1</v>
      </c>
      <c r="AF733">
        <f t="shared" si="239"/>
        <v>0</v>
      </c>
    </row>
    <row r="734" spans="1:32" x14ac:dyDescent="0.2">
      <c r="A734" s="117">
        <v>310</v>
      </c>
      <c r="B734" s="118">
        <v>46297</v>
      </c>
      <c r="C734" s="119" t="s">
        <v>50</v>
      </c>
      <c r="D734" s="119" t="s">
        <v>20</v>
      </c>
      <c r="E734" s="117" t="s">
        <v>370</v>
      </c>
      <c r="F734" s="120">
        <f t="shared" si="220"/>
        <v>3</v>
      </c>
      <c r="G734" s="121" t="str">
        <f t="shared" si="221"/>
        <v>Shawn</v>
      </c>
      <c r="H734" s="122">
        <f>IF($D734="",0,IFERROR(LOOKUP(2,1/(($D$3:D733=$D734)*($A$3:A733&lt;$A734)),$N$3:N733),'Guide &amp; Settings'!$C$41))</f>
        <v>1177.7567159478808</v>
      </c>
      <c r="I734" s="123">
        <f t="shared" si="222"/>
        <v>0.31108597285067874</v>
      </c>
      <c r="J734" s="124">
        <f>IF($D734="",0,IF($F734&lt;2,0,IF($E734="Win",('Guide &amp; Settings'!$C$42/(($F734-1)*COUNTIFS($A$4:$A$1510,$A734,$E$4:$E$1510,"Win")))*SUMIFS($X$4:$X$1510,$A$4:$A$1510,$A734,$E$4:$E$1510,"Loss"),-('Guide &amp; Settings'!$C$42/($F734-1))*$X734)))</f>
        <v>19.768920997132291</v>
      </c>
      <c r="K734" s="124">
        <f>IF($D734="",0,'Guide &amp; Settings'!$C$43*(IF($E734="Win",1,0)-$I734))</f>
        <v>8.2669683257918543</v>
      </c>
      <c r="L734" s="125">
        <f>IF($D734="",0,'Guide &amp; Settings'!$C$44*IF($F734&gt;=3,$F734,0))</f>
        <v>3</v>
      </c>
      <c r="M734" s="124">
        <f t="shared" si="223"/>
        <v>31.035889322924145</v>
      </c>
      <c r="N734" s="122">
        <f t="shared" si="224"/>
        <v>1208.7926052708049</v>
      </c>
      <c r="O734" s="121" t="str">
        <f t="shared" si="225"/>
        <v>OK</v>
      </c>
      <c r="P734">
        <f t="shared" si="226"/>
        <v>1177.7567159478808</v>
      </c>
      <c r="Q734">
        <f t="shared" si="227"/>
        <v>0.5</v>
      </c>
      <c r="R734">
        <f t="shared" si="228"/>
        <v>0.47619047619047616</v>
      </c>
      <c r="S734">
        <f t="shared" si="229"/>
        <v>1.5307359307359305</v>
      </c>
      <c r="T734" s="89">
        <f t="shared" si="230"/>
        <v>40</v>
      </c>
      <c r="U734" s="126">
        <f>IF($D734="",0,IFERROR(LOOKUP(2,1/(($D$3:D733=$D734)*($C$3:C733=$C734)*($A$3:A733&lt;$A734)),$AB$3:AB733),1000))</f>
        <v>977.22257055462796</v>
      </c>
      <c r="V734" s="126">
        <f t="shared" si="231"/>
        <v>999.50414226498935</v>
      </c>
      <c r="W734">
        <f t="shared" si="232"/>
        <v>999.50414226498935</v>
      </c>
      <c r="X734">
        <f t="shared" si="233"/>
        <v>0.5</v>
      </c>
      <c r="Y734">
        <f t="shared" si="234"/>
        <v>977.22257055462796</v>
      </c>
      <c r="Z734">
        <f t="shared" si="235"/>
        <v>0.5</v>
      </c>
      <c r="AA734">
        <f>IF($D734="",0,IF($F734&lt;2,0,IF($E734="Win",('Guide &amp; Settings'!$C$42/(($F734-1)*COUNTIFS($A$4:$A$1510,$A734,$E$4:$E$1510,"Win")))*SUMIFS($Z$4:$Z$1510,$A$4:$A$1510,$A734,$E$4:$E$1510,"Loss"),-('Guide &amp; Settings'!$C$42/($F734-1))*$Z734)))</f>
        <v>20.23368760822008</v>
      </c>
      <c r="AB734" s="126">
        <f t="shared" si="236"/>
        <v>997.45625816284803</v>
      </c>
      <c r="AC734" s="126">
        <f>IF($D734="","",IF($AD734=0,0,IF(COUNTIFS($D$4:$D734,$D734,$B$4:$B734,$B734)&gt;1,0,IF($B734&lt;'Guide &amp; Settings'!$C$50,0,IF(($B734-$AD734)/7-'Guide &amp; Settings'!$C$48&gt;=0,(INT(($B734-$AD734)/7-'Guide &amp; Settings'!$C$48)+1)*'Guide &amp; Settings'!$C$49,0)))))</f>
        <v>0</v>
      </c>
      <c r="AD734" s="142">
        <f t="shared" si="237"/>
        <v>46293</v>
      </c>
      <c r="AE734">
        <f t="shared" si="238"/>
        <v>1</v>
      </c>
      <c r="AF734">
        <f t="shared" si="239"/>
        <v>0</v>
      </c>
    </row>
    <row r="735" spans="1:32" x14ac:dyDescent="0.2">
      <c r="A735" s="117">
        <v>310</v>
      </c>
      <c r="B735" s="118">
        <v>46297</v>
      </c>
      <c r="C735" s="119" t="s">
        <v>50</v>
      </c>
      <c r="D735" s="119" t="s">
        <v>17</v>
      </c>
      <c r="E735" s="117" t="s">
        <v>371</v>
      </c>
      <c r="F735" s="120">
        <f t="shared" si="220"/>
        <v>3</v>
      </c>
      <c r="G735" s="121" t="str">
        <f t="shared" si="221"/>
        <v>Shawn</v>
      </c>
      <c r="H735" s="122">
        <f>IF($D735="",0,IFERROR(LOOKUP(2,1/(($D$3:D734=$D735)*($A$3:A734&lt;$A735)),$N$3:N734),'Guide &amp; Settings'!$C$41))</f>
        <v>1057.3987939752174</v>
      </c>
      <c r="I735" s="123">
        <f t="shared" si="222"/>
        <v>0.29694570135746612</v>
      </c>
      <c r="J735" s="124">
        <f>IF($D735="",0,IF($F735&lt;2,0,IF($E735="Win",('Guide &amp; Settings'!$C$42/(($F735-1)*COUNTIFS($A$4:$A$1510,$A735,$E$4:$E$1510,"Win")))*SUMIFS($X$4:$X$1510,$A$4:$A$1510,$A735,$E$4:$E$1510,"Loss"),-('Guide &amp; Settings'!$C$42/($F735-1))*$X735)))</f>
        <v>-8.7593424990886799</v>
      </c>
      <c r="K735" s="124">
        <f>IF($D735="",0,'Guide &amp; Settings'!$C$43*(IF($E735="Win",1,0)-$I735))</f>
        <v>-3.5633484162895934</v>
      </c>
      <c r="L735" s="125">
        <f>IF($D735="",0,'Guide &amp; Settings'!$C$44*IF($F735&gt;=3,$F735,0))</f>
        <v>3</v>
      </c>
      <c r="M735" s="124">
        <f t="shared" si="223"/>
        <v>-9.3226909153782742</v>
      </c>
      <c r="N735" s="122">
        <f t="shared" si="224"/>
        <v>1048.0761030598392</v>
      </c>
      <c r="O735" s="121" t="str">
        <f t="shared" si="225"/>
        <v>OK</v>
      </c>
      <c r="P735">
        <f t="shared" si="226"/>
        <v>1177.7567159478808</v>
      </c>
      <c r="Q735">
        <f t="shared" si="227"/>
        <v>0.33340251206962984</v>
      </c>
      <c r="R735">
        <f t="shared" si="228"/>
        <v>0.45454545454545453</v>
      </c>
      <c r="S735">
        <f t="shared" si="229"/>
        <v>1.5307359307359305</v>
      </c>
      <c r="T735" s="89">
        <f t="shared" si="230"/>
        <v>9</v>
      </c>
      <c r="U735" s="126">
        <f>IF($D735="",0,IFERROR(LOOKUP(2,1/(($D$3:D734=$D735)*($C$3:C734=$C735)*($A$3:A734&lt;$A735)),$AB$3:AB734),1000))</f>
        <v>1018.7941821615565</v>
      </c>
      <c r="V735" s="126">
        <f t="shared" si="231"/>
        <v>1032.5815435235781</v>
      </c>
      <c r="W735">
        <f t="shared" si="232"/>
        <v>999.50414226498935</v>
      </c>
      <c r="X735">
        <f t="shared" si="233"/>
        <v>0.54745890619304249</v>
      </c>
      <c r="Y735">
        <f t="shared" si="234"/>
        <v>977.22257055462796</v>
      </c>
      <c r="Z735">
        <f t="shared" si="235"/>
        <v>0.55954247704241833</v>
      </c>
      <c r="AA735">
        <f>IF($D735="",0,IF($F735&lt;2,0,IF($E735="Win",('Guide &amp; Settings'!$C$42/(($F735-1)*COUNTIFS($A$4:$A$1510,$A735,$E$4:$E$1510,"Win")))*SUMIFS($Z$4:$Z$1510,$A$4:$A$1510,$A735,$E$4:$E$1510,"Loss"),-('Guide &amp; Settings'!$C$42/($F735-1))*$Z735)))</f>
        <v>-8.9526796326786933</v>
      </c>
      <c r="AB735" s="126">
        <f t="shared" si="236"/>
        <v>1009.8415025288778</v>
      </c>
      <c r="AC735" s="126">
        <f>IF($D735="","",IF($AD735=0,0,IF(COUNTIFS($D$4:$D735,$D735,$B$4:$B735,$B735)&gt;1,0,IF($B735&lt;'Guide &amp; Settings'!$C$50,0,IF(($B735-$AD735)/7-'Guide &amp; Settings'!$C$48&gt;=0,(INT(($B735-$AD735)/7-'Guide &amp; Settings'!$C$48)+1)*'Guide &amp; Settings'!$C$49,0)))))</f>
        <v>0</v>
      </c>
      <c r="AD735" s="142">
        <f t="shared" si="237"/>
        <v>46293</v>
      </c>
      <c r="AE735">
        <f t="shared" si="238"/>
        <v>1</v>
      </c>
      <c r="AF735">
        <f t="shared" si="239"/>
        <v>0</v>
      </c>
    </row>
    <row r="736" spans="1:32" x14ac:dyDescent="0.2">
      <c r="A736" s="117">
        <v>310</v>
      </c>
      <c r="B736" s="118">
        <v>46297</v>
      </c>
      <c r="C736" s="119" t="s">
        <v>50</v>
      </c>
      <c r="D736" s="119" t="s">
        <v>22</v>
      </c>
      <c r="E736" s="117" t="s">
        <v>371</v>
      </c>
      <c r="F736" s="120">
        <f t="shared" si="220"/>
        <v>3</v>
      </c>
      <c r="G736" s="121" t="str">
        <f t="shared" si="221"/>
        <v>Shawn</v>
      </c>
      <c r="H736" s="122">
        <f>IF($D736="",0,IFERROR(LOOKUP(2,1/(($D$3:D735=$D736)*($A$3:A735&lt;$A736)),$N$3:N735),'Guide &amp; Settings'!$C$41))</f>
        <v>1191.9717750236887</v>
      </c>
      <c r="I736" s="123">
        <f t="shared" si="222"/>
        <v>0.39196832579185525</v>
      </c>
      <c r="J736" s="124">
        <f>IF($D736="",0,IF($F736&lt;2,0,IF($E736="Win",('Guide &amp; Settings'!$C$42/(($F736-1)*COUNTIFS($A$4:$A$1510,$A736,$E$4:$E$1510,"Win")))*SUMIFS($X$4:$X$1510,$A$4:$A$1510,$A736,$E$4:$E$1510,"Loss"),-('Guide &amp; Settings'!$C$42/($F736-1))*$X736)))</f>
        <v>-11.009578498043609</v>
      </c>
      <c r="K736" s="124">
        <f>IF($D736="",0,'Guide &amp; Settings'!$C$43*(IF($E736="Win",1,0)-$I736))</f>
        <v>-4.7036199095022635</v>
      </c>
      <c r="L736" s="125">
        <f>IF($D736="",0,'Guide &amp; Settings'!$C$44*IF($F736&gt;=3,$F736,0))</f>
        <v>3</v>
      </c>
      <c r="M736" s="124">
        <f t="shared" si="223"/>
        <v>-12.713198407545873</v>
      </c>
      <c r="N736" s="122">
        <f t="shared" si="224"/>
        <v>1179.2585766161428</v>
      </c>
      <c r="O736" s="121" t="str">
        <f t="shared" si="225"/>
        <v>OK</v>
      </c>
      <c r="P736">
        <f t="shared" si="226"/>
        <v>1177.7567159478808</v>
      </c>
      <c r="Q736">
        <f t="shared" si="227"/>
        <v>0.52044570719717509</v>
      </c>
      <c r="R736">
        <f t="shared" si="228"/>
        <v>0.6</v>
      </c>
      <c r="S736">
        <f t="shared" si="229"/>
        <v>1.5307359307359305</v>
      </c>
      <c r="T736" s="89">
        <f t="shared" si="230"/>
        <v>33</v>
      </c>
      <c r="U736" s="126">
        <f>IF($D736="",0,IFERROR(LOOKUP(2,1/(($D$3:D735=$D736)*($C$3:C735=$C736)*($A$3:A735&lt;$A736)),$AB$3:AB735),1000))</f>
        <v>1128.6220357230138</v>
      </c>
      <c r="V736" s="126">
        <f t="shared" si="231"/>
        <v>1136.9575277362605</v>
      </c>
      <c r="W736">
        <f t="shared" si="232"/>
        <v>999.50414226498935</v>
      </c>
      <c r="X736">
        <f t="shared" si="233"/>
        <v>0.68809865612772558</v>
      </c>
      <c r="Y736">
        <f t="shared" si="234"/>
        <v>977.22257055462796</v>
      </c>
      <c r="Z736">
        <f t="shared" si="235"/>
        <v>0.70506299847133669</v>
      </c>
      <c r="AA736">
        <f>IF($D736="",0,IF($F736&lt;2,0,IF($E736="Win",('Guide &amp; Settings'!$C$42/(($F736-1)*COUNTIFS($A$4:$A$1510,$A736,$E$4:$E$1510,"Win")))*SUMIFS($Z$4:$Z$1510,$A$4:$A$1510,$A736,$E$4:$E$1510,"Loss"),-('Guide &amp; Settings'!$C$42/($F736-1))*$Z736)))</f>
        <v>-11.281007975541387</v>
      </c>
      <c r="AB736" s="126">
        <f t="shared" si="236"/>
        <v>1117.3410277474725</v>
      </c>
      <c r="AC736" s="126">
        <f>IF($D736="","",IF($AD736=0,0,IF(COUNTIFS($D$4:$D736,$D736,$B$4:$B736,$B736)&gt;1,0,IF($B736&lt;'Guide &amp; Settings'!$C$50,0,IF(($B736-$AD736)/7-'Guide &amp; Settings'!$C$48&gt;=0,(INT(($B736-$AD736)/7-'Guide &amp; Settings'!$C$48)+1)*'Guide &amp; Settings'!$C$49,0)))))</f>
        <v>0</v>
      </c>
      <c r="AD736" s="142">
        <f t="shared" si="237"/>
        <v>46292</v>
      </c>
      <c r="AE736">
        <f t="shared" si="238"/>
        <v>1</v>
      </c>
      <c r="AF736">
        <f t="shared" si="239"/>
        <v>0</v>
      </c>
    </row>
    <row r="737" spans="1:32" x14ac:dyDescent="0.2">
      <c r="A737" s="117">
        <v>311</v>
      </c>
      <c r="B737" s="118">
        <v>46297</v>
      </c>
      <c r="C737" s="119" t="s">
        <v>50</v>
      </c>
      <c r="D737" s="119" t="s">
        <v>20</v>
      </c>
      <c r="E737" s="117" t="s">
        <v>370</v>
      </c>
      <c r="F737" s="120">
        <f t="shared" si="220"/>
        <v>2</v>
      </c>
      <c r="G737" s="121" t="str">
        <f t="shared" si="221"/>
        <v>Shawn</v>
      </c>
      <c r="H737" s="122">
        <f>IF($D737="",0,IFERROR(LOOKUP(2,1/(($D$3:D736=$D737)*($A$3:A736&lt;$A737)),$N$3:N736),'Guide &amp; Settings'!$C$41))</f>
        <v>1208.7926052708049</v>
      </c>
      <c r="I737" s="123">
        <f t="shared" si="222"/>
        <v>0.4556962025316455</v>
      </c>
      <c r="J737" s="124">
        <f>IF($D737="",0,IF($F737&lt;2,0,IF($E737="Win",('Guide &amp; Settings'!$C$42/(($F737-1)*COUNTIFS($A$4:$A$1510,$A737,$E$4:$E$1510,"Win")))*SUMIFS($X$4:$X$1510,$A$4:$A$1510,$A737,$E$4:$E$1510,"Loss"),-('Guide &amp; Settings'!$C$42/($F737-1))*$X737)))</f>
        <v>20.687155090011228</v>
      </c>
      <c r="K737" s="124">
        <f>IF($D737="",0,'Guide &amp; Settings'!$C$43*(IF($E737="Win",1,0)-$I737))</f>
        <v>6.5316455696202533</v>
      </c>
      <c r="L737" s="125">
        <f>IF($D737="",0,'Guide &amp; Settings'!$C$44*IF($F737&gt;=3,$F737,0))</f>
        <v>0</v>
      </c>
      <c r="M737" s="124">
        <f t="shared" si="223"/>
        <v>27.21880065963148</v>
      </c>
      <c r="N737" s="122">
        <f t="shared" si="224"/>
        <v>1236.0114059304362</v>
      </c>
      <c r="O737" s="121" t="str">
        <f t="shared" si="225"/>
        <v>OK</v>
      </c>
      <c r="P737">
        <f t="shared" si="226"/>
        <v>1208.7926052708049</v>
      </c>
      <c r="Q737">
        <f t="shared" si="227"/>
        <v>0.5</v>
      </c>
      <c r="R737">
        <f t="shared" si="228"/>
        <v>0.48837209302325579</v>
      </c>
      <c r="S737">
        <f t="shared" si="229"/>
        <v>1.0717054263565893</v>
      </c>
      <c r="T737" s="89">
        <f t="shared" si="230"/>
        <v>41</v>
      </c>
      <c r="U737" s="126">
        <f>IF($D737="",0,IFERROR(LOOKUP(2,1/(($D$3:D736=$D737)*($C$3:C736=$C737)*($A$3:A736&lt;$A737)),$AB$3:AB736),1000))</f>
        <v>997.45625816284803</v>
      </c>
      <c r="V737" s="126">
        <f t="shared" si="231"/>
        <v>1020.4276002397999</v>
      </c>
      <c r="W737">
        <f t="shared" si="232"/>
        <v>1020.4276002397999</v>
      </c>
      <c r="X737">
        <f t="shared" si="233"/>
        <v>0.5</v>
      </c>
      <c r="Y737">
        <f t="shared" si="234"/>
        <v>997.45625816284803</v>
      </c>
      <c r="Z737">
        <f t="shared" si="235"/>
        <v>0.5</v>
      </c>
      <c r="AA737">
        <f>IF($D737="",0,IF($F737&lt;2,0,IF($E737="Win",('Guide &amp; Settings'!$C$42/(($F737-1)*COUNTIFS($A$4:$A$1510,$A737,$E$4:$E$1510,"Win")))*SUMIFS($Z$4:$Z$1510,$A$4:$A$1510,$A737,$E$4:$E$1510,"Loss"),-('Guide &amp; Settings'!$C$42/($F737-1))*$Z737)))</f>
        <v>21.311740402669862</v>
      </c>
      <c r="AB737" s="126">
        <f t="shared" si="236"/>
        <v>1018.7679985655179</v>
      </c>
      <c r="AC737" s="126">
        <f>IF($D737="","",IF($AD737=0,0,IF(COUNTIFS($D$4:$D737,$D737,$B$4:$B737,$B737)&gt;1,0,IF($B737&lt;'Guide &amp; Settings'!$C$50,0,IF(($B737-$AD737)/7-'Guide &amp; Settings'!$C$48&gt;=0,(INT(($B737-$AD737)/7-'Guide &amp; Settings'!$C$48)+1)*'Guide &amp; Settings'!$C$49,0)))))</f>
        <v>0</v>
      </c>
      <c r="AD737" s="142">
        <f t="shared" si="237"/>
        <v>46293</v>
      </c>
      <c r="AE737">
        <f t="shared" si="238"/>
        <v>1</v>
      </c>
      <c r="AF737">
        <f t="shared" si="239"/>
        <v>0</v>
      </c>
    </row>
    <row r="738" spans="1:32" x14ac:dyDescent="0.2">
      <c r="A738" s="117">
        <v>311</v>
      </c>
      <c r="B738" s="118">
        <v>46297</v>
      </c>
      <c r="C738" s="119" t="s">
        <v>50</v>
      </c>
      <c r="D738" s="119" t="s">
        <v>22</v>
      </c>
      <c r="E738" s="117" t="s">
        <v>371</v>
      </c>
      <c r="F738" s="120">
        <f t="shared" si="220"/>
        <v>2</v>
      </c>
      <c r="G738" s="121" t="str">
        <f t="shared" si="221"/>
        <v>Shawn</v>
      </c>
      <c r="H738" s="122">
        <f>IF($D738="",0,IFERROR(LOOKUP(2,1/(($D$3:D737=$D738)*($A$3:A737&lt;$A738)),$N$3:N737),'Guide &amp; Settings'!$C$41))</f>
        <v>1179.2585766161428</v>
      </c>
      <c r="I738" s="123">
        <f t="shared" si="222"/>
        <v>0.54430379746835444</v>
      </c>
      <c r="J738" s="124">
        <f>IF($D738="",0,IF($F738&lt;2,0,IF($E738="Win",('Guide &amp; Settings'!$C$42/(($F738-1)*COUNTIFS($A$4:$A$1510,$A738,$E$4:$E$1510,"Win")))*SUMIFS($X$4:$X$1510,$A$4:$A$1510,$A738,$E$4:$E$1510,"Loss"),-('Guide &amp; Settings'!$C$42/($F738-1))*$X738)))</f>
        <v>-20.687155090011228</v>
      </c>
      <c r="K738" s="124">
        <f>IF($D738="",0,'Guide &amp; Settings'!$C$43*(IF($E738="Win",1,0)-$I738))</f>
        <v>-6.5316455696202533</v>
      </c>
      <c r="L738" s="125">
        <f>IF($D738="",0,'Guide &amp; Settings'!$C$44*IF($F738&gt;=3,$F738,0))</f>
        <v>0</v>
      </c>
      <c r="M738" s="124">
        <f t="shared" si="223"/>
        <v>-27.21880065963148</v>
      </c>
      <c r="N738" s="122">
        <f t="shared" si="224"/>
        <v>1152.0397759565114</v>
      </c>
      <c r="O738" s="121" t="str">
        <f t="shared" si="225"/>
        <v>OK</v>
      </c>
      <c r="P738">
        <f t="shared" si="226"/>
        <v>1208.7926052708049</v>
      </c>
      <c r="Q738">
        <f t="shared" si="227"/>
        <v>0.4575991961400418</v>
      </c>
      <c r="R738">
        <f t="shared" si="228"/>
        <v>0.58333333333333337</v>
      </c>
      <c r="S738">
        <f t="shared" si="229"/>
        <v>1.0717054263565893</v>
      </c>
      <c r="T738" s="89">
        <f t="shared" si="230"/>
        <v>34</v>
      </c>
      <c r="U738" s="126">
        <f>IF($D738="",0,IFERROR(LOOKUP(2,1/(($D$3:D737=$D738)*($C$3:C737=$C738)*($A$3:A737&lt;$A738)),$AB$3:AB737),1000))</f>
        <v>1117.3410277474725</v>
      </c>
      <c r="V738" s="126">
        <f t="shared" si="231"/>
        <v>1125.2791750383276</v>
      </c>
      <c r="W738">
        <f t="shared" si="232"/>
        <v>1020.4276002397999</v>
      </c>
      <c r="X738">
        <f t="shared" si="233"/>
        <v>0.64647359656285086</v>
      </c>
      <c r="Y738">
        <f t="shared" si="234"/>
        <v>997.45625816284803</v>
      </c>
      <c r="Z738">
        <f t="shared" si="235"/>
        <v>0.6659918875834332</v>
      </c>
      <c r="AA738">
        <f>IF($D738="",0,IF($F738&lt;2,0,IF($E738="Win",('Guide &amp; Settings'!$C$42/(($F738-1)*COUNTIFS($A$4:$A$1510,$A738,$E$4:$E$1510,"Win")))*SUMIFS($Z$4:$Z$1510,$A$4:$A$1510,$A738,$E$4:$E$1510,"Loss"),-('Guide &amp; Settings'!$C$42/($F738-1))*$Z738)))</f>
        <v>-21.311740402669862</v>
      </c>
      <c r="AB738" s="126">
        <f t="shared" si="236"/>
        <v>1096.0292873448027</v>
      </c>
      <c r="AC738" s="126">
        <f>IF($D738="","",IF($AD738=0,0,IF(COUNTIFS($D$4:$D738,$D738,$B$4:$B738,$B738)&gt;1,0,IF($B738&lt;'Guide &amp; Settings'!$C$50,0,IF(($B738-$AD738)/7-'Guide &amp; Settings'!$C$48&gt;=0,(INT(($B738-$AD738)/7-'Guide &amp; Settings'!$C$48)+1)*'Guide &amp; Settings'!$C$49,0)))))</f>
        <v>0</v>
      </c>
      <c r="AD738" s="142">
        <f t="shared" si="237"/>
        <v>46292</v>
      </c>
      <c r="AE738">
        <f t="shared" si="238"/>
        <v>1</v>
      </c>
      <c r="AF738">
        <f t="shared" si="239"/>
        <v>0</v>
      </c>
    </row>
    <row r="739" spans="1:32" x14ac:dyDescent="0.2">
      <c r="A739" s="117">
        <v>312</v>
      </c>
      <c r="B739" s="118">
        <v>46298</v>
      </c>
      <c r="C739" s="119" t="s">
        <v>50</v>
      </c>
      <c r="D739" s="119" t="s">
        <v>20</v>
      </c>
      <c r="E739" s="117" t="s">
        <v>371</v>
      </c>
      <c r="F739" s="120">
        <f t="shared" si="220"/>
        <v>2</v>
      </c>
      <c r="G739" s="121" t="str">
        <f t="shared" si="221"/>
        <v>Daniel (Ferret)</v>
      </c>
      <c r="H739" s="122">
        <f>IF($D739="",0,IFERROR(LOOKUP(2,1/(($D$3:D738=$D739)*($A$3:A738&lt;$A739)),$N$3:N738),'Guide &amp; Settings'!$C$41))</f>
        <v>1236.0114059304362</v>
      </c>
      <c r="I739" s="123">
        <f t="shared" si="222"/>
        <v>0.46835443037974683</v>
      </c>
      <c r="J739" s="124">
        <f>IF($D739="",0,IF($F739&lt;2,0,IF($E739="Win",('Guide &amp; Settings'!$C$42/(($F739-1)*COUNTIFS($A$4:$A$1510,$A739,$E$4:$E$1510,"Win")))*SUMIFS($X$4:$X$1510,$A$4:$A$1510,$A739,$E$4:$E$1510,"Loss"),-('Guide &amp; Settings'!$C$42/($F739-1))*$X739)))</f>
        <v>-13.212589229343518</v>
      </c>
      <c r="K739" s="124">
        <f>IF($D739="",0,'Guide &amp; Settings'!$C$43*(IF($E739="Win",1,0)-$I739))</f>
        <v>-5.6202531645569618</v>
      </c>
      <c r="L739" s="125">
        <f>IF($D739="",0,'Guide &amp; Settings'!$C$44*IF($F739&gt;=3,$F739,0))</f>
        <v>0</v>
      </c>
      <c r="M739" s="124">
        <f t="shared" si="223"/>
        <v>-18.832842393900478</v>
      </c>
      <c r="N739" s="122">
        <f t="shared" si="224"/>
        <v>1217.1785635365359</v>
      </c>
      <c r="O739" s="121" t="str">
        <f t="shared" si="225"/>
        <v>OK</v>
      </c>
      <c r="P739">
        <f t="shared" si="226"/>
        <v>1152.0397759565114</v>
      </c>
      <c r="Q739">
        <f t="shared" si="227"/>
        <v>0.6185455901043827</v>
      </c>
      <c r="R739">
        <f t="shared" si="228"/>
        <v>0.5</v>
      </c>
      <c r="S739">
        <f t="shared" si="229"/>
        <v>1.0675675675675675</v>
      </c>
      <c r="T739" s="89">
        <f t="shared" si="230"/>
        <v>42</v>
      </c>
      <c r="U739" s="126">
        <f>IF($D739="",0,IFERROR(LOOKUP(2,1/(($D$3:D738=$D739)*($C$3:C738=$C739)*($A$3:A738&lt;$A739)),$AB$3:AB738),1000))</f>
        <v>1018.7679985655179</v>
      </c>
      <c r="V739" s="126">
        <f t="shared" si="231"/>
        <v>1041.87899934902</v>
      </c>
      <c r="W739">
        <f t="shared" si="232"/>
        <v>1103.0305984212664</v>
      </c>
      <c r="X739">
        <f t="shared" si="233"/>
        <v>0.41289341341698493</v>
      </c>
      <c r="Y739">
        <f t="shared" si="234"/>
        <v>1096.0292873448027</v>
      </c>
      <c r="Z739">
        <f t="shared" si="235"/>
        <v>0.39060931150133921</v>
      </c>
      <c r="AA739">
        <f>IF($D739="",0,IF($F739&lt;2,0,IF($E739="Win",('Guide &amp; Settings'!$C$42/(($F739-1)*COUNTIFS($A$4:$A$1510,$A739,$E$4:$E$1510,"Win")))*SUMIFS($Z$4:$Z$1510,$A$4:$A$1510,$A739,$E$4:$E$1510,"Loss"),-('Guide &amp; Settings'!$C$42/($F739-1))*$Z739)))</f>
        <v>-12.499497968042855</v>
      </c>
      <c r="AB739" s="126">
        <f t="shared" si="236"/>
        <v>1006.2685005974751</v>
      </c>
      <c r="AC739" s="126">
        <f>IF($D739="","",IF($AD739=0,0,IF(COUNTIFS($D$4:$D739,$D739,$B$4:$B739,$B739)&gt;1,0,IF($B739&lt;'Guide &amp; Settings'!$C$50,0,IF(($B739-$AD739)/7-'Guide &amp; Settings'!$C$48&gt;=0,(INT(($B739-$AD739)/7-'Guide &amp; Settings'!$C$48)+1)*'Guide &amp; Settings'!$C$49,0)))))</f>
        <v>0</v>
      </c>
      <c r="AD739" s="142">
        <f t="shared" si="237"/>
        <v>46297</v>
      </c>
      <c r="AE739">
        <f t="shared" si="238"/>
        <v>1</v>
      </c>
      <c r="AF739">
        <f t="shared" si="239"/>
        <v>0</v>
      </c>
    </row>
    <row r="740" spans="1:32" x14ac:dyDescent="0.2">
      <c r="A740" s="117">
        <v>312</v>
      </c>
      <c r="B740" s="118">
        <v>46298</v>
      </c>
      <c r="C740" s="119" t="s">
        <v>50</v>
      </c>
      <c r="D740" s="119" t="s">
        <v>22</v>
      </c>
      <c r="E740" s="117" t="s">
        <v>370</v>
      </c>
      <c r="F740" s="120">
        <f t="shared" si="220"/>
        <v>2</v>
      </c>
      <c r="G740" s="121" t="str">
        <f t="shared" si="221"/>
        <v>Daniel (Ferret)</v>
      </c>
      <c r="H740" s="122">
        <f>IF($D740="",0,IFERROR(LOOKUP(2,1/(($D$3:D739=$D740)*($A$3:A739&lt;$A740)),$N$3:N739),'Guide &amp; Settings'!$C$41))</f>
        <v>1152.0397759565114</v>
      </c>
      <c r="I740" s="123">
        <f t="shared" si="222"/>
        <v>0.53164556962025311</v>
      </c>
      <c r="J740" s="124">
        <f>IF($D740="",0,IF($F740&lt;2,0,IF($E740="Win",('Guide &amp; Settings'!$C$42/(($F740-1)*COUNTIFS($A$4:$A$1510,$A740,$E$4:$E$1510,"Win")))*SUMIFS($X$4:$X$1510,$A$4:$A$1510,$A740,$E$4:$E$1510,"Loss"),-('Guide &amp; Settings'!$C$42/($F740-1))*$X740)))</f>
        <v>13.212589229343518</v>
      </c>
      <c r="K740" s="124">
        <f>IF($D740="",0,'Guide &amp; Settings'!$C$43*(IF($E740="Win",1,0)-$I740))</f>
        <v>5.6202531645569627</v>
      </c>
      <c r="L740" s="125">
        <f>IF($D740="",0,'Guide &amp; Settings'!$C$44*IF($F740&gt;=3,$F740,0))</f>
        <v>0</v>
      </c>
      <c r="M740" s="124">
        <f t="shared" si="223"/>
        <v>18.832842393900481</v>
      </c>
      <c r="N740" s="122">
        <f t="shared" si="224"/>
        <v>1170.872618350412</v>
      </c>
      <c r="O740" s="121" t="str">
        <f t="shared" si="225"/>
        <v>OK</v>
      </c>
      <c r="P740">
        <f t="shared" si="226"/>
        <v>1152.0397759565114</v>
      </c>
      <c r="Q740">
        <f t="shared" si="227"/>
        <v>0.5</v>
      </c>
      <c r="R740">
        <f t="shared" si="228"/>
        <v>0.56756756756756754</v>
      </c>
      <c r="S740">
        <f t="shared" si="229"/>
        <v>1.0675675675675675</v>
      </c>
      <c r="T740" s="89">
        <f t="shared" si="230"/>
        <v>35</v>
      </c>
      <c r="U740" s="126">
        <f>IF($D740="",0,IFERROR(LOOKUP(2,1/(($D$3:D739=$D740)*($C$3:C739=$C740)*($A$3:A739&lt;$A740)),$AB$3:AB739),1000))</f>
        <v>1096.0292873448027</v>
      </c>
      <c r="V740" s="126">
        <f t="shared" si="231"/>
        <v>1103.0305984212664</v>
      </c>
      <c r="W740">
        <f t="shared" si="232"/>
        <v>1103.0305984212664</v>
      </c>
      <c r="X740">
        <f t="shared" si="233"/>
        <v>0.5</v>
      </c>
      <c r="Y740">
        <f t="shared" si="234"/>
        <v>1096.0292873448027</v>
      </c>
      <c r="Z740">
        <f t="shared" si="235"/>
        <v>0.5</v>
      </c>
      <c r="AA740">
        <f>IF($D740="",0,IF($F740&lt;2,0,IF($E740="Win",('Guide &amp; Settings'!$C$42/(($F740-1)*COUNTIFS($A$4:$A$1510,$A740,$E$4:$E$1510,"Win")))*SUMIFS($Z$4:$Z$1510,$A$4:$A$1510,$A740,$E$4:$E$1510,"Loss"),-('Guide &amp; Settings'!$C$42/($F740-1))*$Z740)))</f>
        <v>12.499497968042855</v>
      </c>
      <c r="AB740" s="126">
        <f t="shared" si="236"/>
        <v>1108.5287853128455</v>
      </c>
      <c r="AC740" s="126">
        <f>IF($D740="","",IF($AD740=0,0,IF(COUNTIFS($D$4:$D740,$D740,$B$4:$B740,$B740)&gt;1,0,IF($B740&lt;'Guide &amp; Settings'!$C$50,0,IF(($B740-$AD740)/7-'Guide &amp; Settings'!$C$48&gt;=0,(INT(($B740-$AD740)/7-'Guide &amp; Settings'!$C$48)+1)*'Guide &amp; Settings'!$C$49,0)))))</f>
        <v>0</v>
      </c>
      <c r="AD740" s="142">
        <f t="shared" si="237"/>
        <v>46297</v>
      </c>
      <c r="AE740">
        <f t="shared" si="238"/>
        <v>1</v>
      </c>
      <c r="AF740">
        <f t="shared" si="239"/>
        <v>0</v>
      </c>
    </row>
    <row r="741" spans="1:32" x14ac:dyDescent="0.2">
      <c r="A741" s="117">
        <v>313</v>
      </c>
      <c r="B741" s="118">
        <v>46298</v>
      </c>
      <c r="C741" s="119" t="s">
        <v>50</v>
      </c>
      <c r="D741" s="119" t="s">
        <v>20</v>
      </c>
      <c r="E741" s="117" t="s">
        <v>371</v>
      </c>
      <c r="F741" s="120">
        <f t="shared" si="220"/>
        <v>2</v>
      </c>
      <c r="G741" s="121" t="str">
        <f t="shared" si="221"/>
        <v>Daniel (Ferret)</v>
      </c>
      <c r="H741" s="122">
        <f>IF($D741="",0,IFERROR(LOOKUP(2,1/(($D$3:D740=$D741)*($A$3:A740&lt;$A741)),$N$3:N740),'Guide &amp; Settings'!$C$41))</f>
        <v>1217.1785635365359</v>
      </c>
      <c r="I741" s="123">
        <f t="shared" si="222"/>
        <v>0.45783132530120479</v>
      </c>
      <c r="J741" s="124">
        <f>IF($D741="",0,IF($F741&lt;2,0,IF($E741="Win",('Guide &amp; Settings'!$C$42/(($F741-1)*COUNTIFS($A$4:$A$1510,$A741,$E$4:$E$1510,"Win")))*SUMIFS($X$4:$X$1510,$A$4:$A$1510,$A741,$E$4:$E$1510,"Loss"),-('Guide &amp; Settings'!$C$42/($F741-1))*$X741)))</f>
        <v>-12.036551551838691</v>
      </c>
      <c r="K741" s="124">
        <f>IF($D741="",0,'Guide &amp; Settings'!$C$43*(IF($E741="Win",1,0)-$I741))</f>
        <v>-5.4939759036144578</v>
      </c>
      <c r="L741" s="125">
        <f>IF($D741="",0,'Guide &amp; Settings'!$C$44*IF($F741&gt;=3,$F741,0))</f>
        <v>0</v>
      </c>
      <c r="M741" s="124">
        <f t="shared" si="223"/>
        <v>-17.53052745545315</v>
      </c>
      <c r="N741" s="122">
        <f t="shared" si="224"/>
        <v>1199.6480360810826</v>
      </c>
      <c r="O741" s="121" t="str">
        <f t="shared" si="225"/>
        <v>OK</v>
      </c>
      <c r="P741">
        <f t="shared" si="226"/>
        <v>1170.872618350412</v>
      </c>
      <c r="Q741">
        <f t="shared" si="227"/>
        <v>0.56624781460668461</v>
      </c>
      <c r="R741">
        <f t="shared" si="228"/>
        <v>0.48888888888888887</v>
      </c>
      <c r="S741">
        <f t="shared" si="229"/>
        <v>1.0678362573099416</v>
      </c>
      <c r="T741" s="89">
        <f t="shared" si="230"/>
        <v>43</v>
      </c>
      <c r="U741" s="126">
        <f>IF($D741="",0,IFERROR(LOOKUP(2,1/(($D$3:D740=$D741)*($C$3:C740=$C741)*($A$3:A740&lt;$A741)),$AB$3:AB740),1000))</f>
        <v>1006.2685005974751</v>
      </c>
      <c r="V741" s="126">
        <f t="shared" si="231"/>
        <v>1028.2382988202939</v>
      </c>
      <c r="W741">
        <f t="shared" si="232"/>
        <v>1116.1316917808413</v>
      </c>
      <c r="X741">
        <f t="shared" si="233"/>
        <v>0.37614223599495911</v>
      </c>
      <c r="Y741">
        <f t="shared" si="234"/>
        <v>1108.5287853128455</v>
      </c>
      <c r="Z741">
        <f t="shared" si="235"/>
        <v>0.35694294126947435</v>
      </c>
      <c r="AA741">
        <f>IF($D741="",0,IF($F741&lt;2,0,IF($E741="Win",('Guide &amp; Settings'!$C$42/(($F741-1)*COUNTIFS($A$4:$A$1510,$A741,$E$4:$E$1510,"Win")))*SUMIFS($Z$4:$Z$1510,$A$4:$A$1510,$A741,$E$4:$E$1510,"Loss"),-('Guide &amp; Settings'!$C$42/($F741-1))*$Z741)))</f>
        <v>-11.422174120623179</v>
      </c>
      <c r="AB741" s="126">
        <f t="shared" si="236"/>
        <v>994.84632647685191</v>
      </c>
      <c r="AC741" s="126">
        <f>IF($D741="","",IF($AD741=0,0,IF(COUNTIFS($D$4:$D741,$D741,$B$4:$B741,$B741)&gt;1,0,IF($B741&lt;'Guide &amp; Settings'!$C$50,0,IF(($B741-$AD741)/7-'Guide &amp; Settings'!$C$48&gt;=0,(INT(($B741-$AD741)/7-'Guide &amp; Settings'!$C$48)+1)*'Guide &amp; Settings'!$C$49,0)))))</f>
        <v>0</v>
      </c>
      <c r="AD741" s="142">
        <f t="shared" si="237"/>
        <v>46297</v>
      </c>
      <c r="AE741">
        <f t="shared" si="238"/>
        <v>1</v>
      </c>
      <c r="AF741">
        <f t="shared" si="239"/>
        <v>0</v>
      </c>
    </row>
    <row r="742" spans="1:32" x14ac:dyDescent="0.2">
      <c r="A742" s="117">
        <v>313</v>
      </c>
      <c r="B742" s="118">
        <v>46298</v>
      </c>
      <c r="C742" s="119" t="s">
        <v>50</v>
      </c>
      <c r="D742" s="119" t="s">
        <v>22</v>
      </c>
      <c r="E742" s="117" t="s">
        <v>370</v>
      </c>
      <c r="F742" s="120">
        <f t="shared" si="220"/>
        <v>2</v>
      </c>
      <c r="G742" s="121" t="str">
        <f t="shared" si="221"/>
        <v>Daniel (Ferret)</v>
      </c>
      <c r="H742" s="122">
        <f>IF($D742="",0,IFERROR(LOOKUP(2,1/(($D$3:D741=$D742)*($A$3:A741&lt;$A742)),$N$3:N741),'Guide &amp; Settings'!$C$41))</f>
        <v>1170.872618350412</v>
      </c>
      <c r="I742" s="123">
        <f t="shared" si="222"/>
        <v>0.54216867469879515</v>
      </c>
      <c r="J742" s="124">
        <f>IF($D742="",0,IF($F742&lt;2,0,IF($E742="Win",('Guide &amp; Settings'!$C$42/(($F742-1)*COUNTIFS($A$4:$A$1510,$A742,$E$4:$E$1510,"Win")))*SUMIFS($X$4:$X$1510,$A$4:$A$1510,$A742,$E$4:$E$1510,"Loss"),-('Guide &amp; Settings'!$C$42/($F742-1))*$X742)))</f>
        <v>12.036551551838691</v>
      </c>
      <c r="K742" s="124">
        <f>IF($D742="",0,'Guide &amp; Settings'!$C$43*(IF($E742="Win",1,0)-$I742))</f>
        <v>5.4939759036144586</v>
      </c>
      <c r="L742" s="125">
        <f>IF($D742="",0,'Guide &amp; Settings'!$C$44*IF($F742&gt;=3,$F742,0))</f>
        <v>0</v>
      </c>
      <c r="M742" s="124">
        <f t="shared" si="223"/>
        <v>17.53052745545315</v>
      </c>
      <c r="N742" s="122">
        <f t="shared" si="224"/>
        <v>1188.4031458058653</v>
      </c>
      <c r="O742" s="121" t="str">
        <f t="shared" si="225"/>
        <v>OK</v>
      </c>
      <c r="P742">
        <f t="shared" si="226"/>
        <v>1170.872618350412</v>
      </c>
      <c r="Q742">
        <f t="shared" si="227"/>
        <v>0.5</v>
      </c>
      <c r="R742">
        <f t="shared" si="228"/>
        <v>0.57894736842105265</v>
      </c>
      <c r="S742">
        <f t="shared" si="229"/>
        <v>1.0678362573099416</v>
      </c>
      <c r="T742" s="89">
        <f t="shared" si="230"/>
        <v>36</v>
      </c>
      <c r="U742" s="126">
        <f>IF($D742="",0,IFERROR(LOOKUP(2,1/(($D$3:D741=$D742)*($C$3:C741=$C742)*($A$3:A741&lt;$A742)),$AB$3:AB741),1000))</f>
        <v>1108.5287853128455</v>
      </c>
      <c r="V742" s="126">
        <f t="shared" si="231"/>
        <v>1116.1316917808413</v>
      </c>
      <c r="W742">
        <f t="shared" si="232"/>
        <v>1116.1316917808413</v>
      </c>
      <c r="X742">
        <f t="shared" si="233"/>
        <v>0.5</v>
      </c>
      <c r="Y742">
        <f t="shared" si="234"/>
        <v>1108.5287853128455</v>
      </c>
      <c r="Z742">
        <f t="shared" si="235"/>
        <v>0.5</v>
      </c>
      <c r="AA742">
        <f>IF($D742="",0,IF($F742&lt;2,0,IF($E742="Win",('Guide &amp; Settings'!$C$42/(($F742-1)*COUNTIFS($A$4:$A$1510,$A742,$E$4:$E$1510,"Win")))*SUMIFS($Z$4:$Z$1510,$A$4:$A$1510,$A742,$E$4:$E$1510,"Loss"),-('Guide &amp; Settings'!$C$42/($F742-1))*$Z742)))</f>
        <v>11.422174120623179</v>
      </c>
      <c r="AB742" s="126">
        <f t="shared" si="236"/>
        <v>1119.9509594334686</v>
      </c>
      <c r="AC742" s="126">
        <f>IF($D742="","",IF($AD742=0,0,IF(COUNTIFS($D$4:$D742,$D742,$B$4:$B742,$B742)&gt;1,0,IF($B742&lt;'Guide &amp; Settings'!$C$50,0,IF(($B742-$AD742)/7-'Guide &amp; Settings'!$C$48&gt;=0,(INT(($B742-$AD742)/7-'Guide &amp; Settings'!$C$48)+1)*'Guide &amp; Settings'!$C$49,0)))))</f>
        <v>0</v>
      </c>
      <c r="AD742" s="142">
        <f t="shared" si="237"/>
        <v>46297</v>
      </c>
      <c r="AE742">
        <f t="shared" si="238"/>
        <v>1</v>
      </c>
      <c r="AF742">
        <f t="shared" si="239"/>
        <v>0</v>
      </c>
    </row>
    <row r="743" spans="1:32" x14ac:dyDescent="0.2">
      <c r="A743" s="117">
        <v>314</v>
      </c>
      <c r="B743" s="118">
        <v>46298</v>
      </c>
      <c r="C743" s="119" t="s">
        <v>50</v>
      </c>
      <c r="D743" s="119" t="s">
        <v>20</v>
      </c>
      <c r="E743" s="117" t="s">
        <v>371</v>
      </c>
      <c r="F743" s="120">
        <f t="shared" si="220"/>
        <v>2</v>
      </c>
      <c r="G743" s="121" t="str">
        <f t="shared" si="221"/>
        <v>Daniel (Ferret)</v>
      </c>
      <c r="H743" s="122">
        <f>IF($D743="",0,IFERROR(LOOKUP(2,1/(($D$3:D742=$D743)*($A$3:A742&lt;$A743)),$N$3:N742),'Guide &amp; Settings'!$C$41))</f>
        <v>1199.6480360810826</v>
      </c>
      <c r="I743" s="123">
        <f t="shared" si="222"/>
        <v>0.44780793319415452</v>
      </c>
      <c r="J743" s="124">
        <f>IF($D743="",0,IF($F743&lt;2,0,IF($E743="Win",('Guide &amp; Settings'!$C$42/(($F743-1)*COUNTIFS($A$4:$A$1510,$A743,$E$4:$E$1510,"Win")))*SUMIFS($X$4:$X$1510,$A$4:$A$1510,$A743,$E$4:$E$1510,"Loss"),-('Guide &amp; Settings'!$C$42/($F743-1))*$X743)))</f>
        <v>-10.998964265727814</v>
      </c>
      <c r="K743" s="124">
        <f>IF($D743="",0,'Guide &amp; Settings'!$C$43*(IF($E743="Win",1,0)-$I743))</f>
        <v>-5.3736951983298544</v>
      </c>
      <c r="L743" s="125">
        <f>IF($D743="",0,'Guide &amp; Settings'!$C$44*IF($F743&gt;=3,$F743,0))</f>
        <v>0</v>
      </c>
      <c r="M743" s="124">
        <f t="shared" si="223"/>
        <v>-16.372659464057669</v>
      </c>
      <c r="N743" s="122">
        <f t="shared" si="224"/>
        <v>1183.2753766170249</v>
      </c>
      <c r="O743" s="121" t="str">
        <f t="shared" si="225"/>
        <v>OK</v>
      </c>
      <c r="P743">
        <f t="shared" si="226"/>
        <v>1188.4031458058653</v>
      </c>
      <c r="Q743">
        <f t="shared" si="227"/>
        <v>0.51617704975627554</v>
      </c>
      <c r="R743">
        <f t="shared" si="228"/>
        <v>0.47826086956521741</v>
      </c>
      <c r="S743">
        <f t="shared" si="229"/>
        <v>1.0680044593088072</v>
      </c>
      <c r="T743" s="89">
        <f t="shared" si="230"/>
        <v>44</v>
      </c>
      <c r="U743" s="126">
        <f>IF($D743="",0,IFERROR(LOOKUP(2,1/(($D$3:D742=$D743)*($C$3:C742=$C743)*($A$3:A742&lt;$A743)),$AB$3:AB742),1000))</f>
        <v>994.84632647685191</v>
      </c>
      <c r="V743" s="126">
        <f t="shared" si="231"/>
        <v>1015.7444601099367</v>
      </c>
      <c r="W743">
        <f t="shared" si="232"/>
        <v>1128.1000292397064</v>
      </c>
      <c r="X743">
        <f t="shared" si="233"/>
        <v>0.34371763330399419</v>
      </c>
      <c r="Y743">
        <f t="shared" si="234"/>
        <v>1119.9509594334686</v>
      </c>
      <c r="Z743">
        <f t="shared" si="235"/>
        <v>0.32735771618316711</v>
      </c>
      <c r="AA743">
        <f>IF($D743="",0,IF($F743&lt;2,0,IF($E743="Win",('Guide &amp; Settings'!$C$42/(($F743-1)*COUNTIFS($A$4:$A$1510,$A743,$E$4:$E$1510,"Win")))*SUMIFS($Z$4:$Z$1510,$A$4:$A$1510,$A743,$E$4:$E$1510,"Loss"),-('Guide &amp; Settings'!$C$42/($F743-1))*$Z743)))</f>
        <v>-10.475446917861348</v>
      </c>
      <c r="AB743" s="126">
        <f t="shared" si="236"/>
        <v>984.37087955899051</v>
      </c>
      <c r="AC743" s="126">
        <f>IF($D743="","",IF($AD743=0,0,IF(COUNTIFS($D$4:$D743,$D743,$B$4:$B743,$B743)&gt;1,0,IF($B743&lt;'Guide &amp; Settings'!$C$50,0,IF(($B743-$AD743)/7-'Guide &amp; Settings'!$C$48&gt;=0,(INT(($B743-$AD743)/7-'Guide &amp; Settings'!$C$48)+1)*'Guide &amp; Settings'!$C$49,0)))))</f>
        <v>0</v>
      </c>
      <c r="AD743" s="142">
        <f t="shared" si="237"/>
        <v>46297</v>
      </c>
      <c r="AE743">
        <f t="shared" si="238"/>
        <v>1</v>
      </c>
      <c r="AF743">
        <f t="shared" si="239"/>
        <v>0</v>
      </c>
    </row>
    <row r="744" spans="1:32" x14ac:dyDescent="0.2">
      <c r="A744" s="117">
        <v>314</v>
      </c>
      <c r="B744" s="118">
        <v>46298</v>
      </c>
      <c r="C744" s="119" t="s">
        <v>50</v>
      </c>
      <c r="D744" s="119" t="s">
        <v>22</v>
      </c>
      <c r="E744" s="117" t="s">
        <v>370</v>
      </c>
      <c r="F744" s="120">
        <f t="shared" si="220"/>
        <v>2</v>
      </c>
      <c r="G744" s="121" t="str">
        <f t="shared" si="221"/>
        <v>Daniel (Ferret)</v>
      </c>
      <c r="H744" s="122">
        <f>IF($D744="",0,IFERROR(LOOKUP(2,1/(($D$3:D743=$D744)*($A$3:A743&lt;$A744)),$N$3:N743),'Guide &amp; Settings'!$C$41))</f>
        <v>1188.4031458058653</v>
      </c>
      <c r="I744" s="123">
        <f t="shared" si="222"/>
        <v>0.55219206680584554</v>
      </c>
      <c r="J744" s="124">
        <f>IF($D744="",0,IF($F744&lt;2,0,IF($E744="Win",('Guide &amp; Settings'!$C$42/(($F744-1)*COUNTIFS($A$4:$A$1510,$A744,$E$4:$E$1510,"Win")))*SUMIFS($X$4:$X$1510,$A$4:$A$1510,$A744,$E$4:$E$1510,"Loss"),-('Guide &amp; Settings'!$C$42/($F744-1))*$X744)))</f>
        <v>10.998964265727814</v>
      </c>
      <c r="K744" s="124">
        <f>IF($D744="",0,'Guide &amp; Settings'!$C$43*(IF($E744="Win",1,0)-$I744))</f>
        <v>5.3736951983298535</v>
      </c>
      <c r="L744" s="125">
        <f>IF($D744="",0,'Guide &amp; Settings'!$C$44*IF($F744&gt;=3,$F744,0))</f>
        <v>0</v>
      </c>
      <c r="M744" s="124">
        <f t="shared" si="223"/>
        <v>16.372659464057669</v>
      </c>
      <c r="N744" s="122">
        <f t="shared" si="224"/>
        <v>1204.775805269923</v>
      </c>
      <c r="O744" s="121" t="str">
        <f t="shared" si="225"/>
        <v>OK</v>
      </c>
      <c r="P744">
        <f t="shared" si="226"/>
        <v>1188.4031458058653</v>
      </c>
      <c r="Q744">
        <f t="shared" si="227"/>
        <v>0.5</v>
      </c>
      <c r="R744">
        <f t="shared" si="228"/>
        <v>0.58974358974358976</v>
      </c>
      <c r="S744">
        <f t="shared" si="229"/>
        <v>1.0680044593088072</v>
      </c>
      <c r="T744" s="89">
        <f t="shared" si="230"/>
        <v>37</v>
      </c>
      <c r="U744" s="126">
        <f>IF($D744="",0,IFERROR(LOOKUP(2,1/(($D$3:D743=$D744)*($C$3:C743=$C744)*($A$3:A743&lt;$A744)),$AB$3:AB743),1000))</f>
        <v>1119.9509594334686</v>
      </c>
      <c r="V744" s="126">
        <f t="shared" si="231"/>
        <v>1128.1000292397064</v>
      </c>
      <c r="W744">
        <f t="shared" si="232"/>
        <v>1128.1000292397064</v>
      </c>
      <c r="X744">
        <f t="shared" si="233"/>
        <v>0.5</v>
      </c>
      <c r="Y744">
        <f t="shared" si="234"/>
        <v>1119.9509594334686</v>
      </c>
      <c r="Z744">
        <f t="shared" si="235"/>
        <v>0.5</v>
      </c>
      <c r="AA744">
        <f>IF($D744="",0,IF($F744&lt;2,0,IF($E744="Win",('Guide &amp; Settings'!$C$42/(($F744-1)*COUNTIFS($A$4:$A$1510,$A744,$E$4:$E$1510,"Win")))*SUMIFS($Z$4:$Z$1510,$A$4:$A$1510,$A744,$E$4:$E$1510,"Loss"),-('Guide &amp; Settings'!$C$42/($F744-1))*$Z744)))</f>
        <v>10.475446917861348</v>
      </c>
      <c r="AB744" s="126">
        <f t="shared" si="236"/>
        <v>1130.4264063513299</v>
      </c>
      <c r="AC744" s="126">
        <f>IF($D744="","",IF($AD744=0,0,IF(COUNTIFS($D$4:$D744,$D744,$B$4:$B744,$B744)&gt;1,0,IF($B744&lt;'Guide &amp; Settings'!$C$50,0,IF(($B744-$AD744)/7-'Guide &amp; Settings'!$C$48&gt;=0,(INT(($B744-$AD744)/7-'Guide &amp; Settings'!$C$48)+1)*'Guide &amp; Settings'!$C$49,0)))))</f>
        <v>0</v>
      </c>
      <c r="AD744" s="142">
        <f t="shared" si="237"/>
        <v>46297</v>
      </c>
      <c r="AE744">
        <f t="shared" si="238"/>
        <v>1</v>
      </c>
      <c r="AF744">
        <f t="shared" si="239"/>
        <v>0</v>
      </c>
    </row>
    <row r="745" spans="1:32" x14ac:dyDescent="0.2">
      <c r="A745" s="117">
        <v>315</v>
      </c>
      <c r="B745" s="118">
        <v>46298</v>
      </c>
      <c r="C745" s="119" t="s">
        <v>50</v>
      </c>
      <c r="D745" s="119" t="s">
        <v>20</v>
      </c>
      <c r="E745" s="117" t="s">
        <v>371</v>
      </c>
      <c r="F745" s="120">
        <f t="shared" si="220"/>
        <v>3</v>
      </c>
      <c r="G745" s="121" t="str">
        <f t="shared" si="221"/>
        <v>Daniel (Ferret)</v>
      </c>
      <c r="H745" s="122">
        <f>IF($D745="",0,IFERROR(LOOKUP(2,1/(($D$3:D744=$D745)*($A$3:A744&lt;$A745)),$N$3:N744),'Guide &amp; Settings'!$C$41))</f>
        <v>1183.2753766170249</v>
      </c>
      <c r="I745" s="123">
        <f t="shared" si="222"/>
        <v>0.29850746268656714</v>
      </c>
      <c r="J745" s="124">
        <f>IF($D745="",0,IF($F745&lt;2,0,IF($E745="Win",('Guide &amp; Settings'!$C$42/(($F745-1)*COUNTIFS($A$4:$A$1510,$A745,$E$4:$E$1510,"Win")))*SUMIFS($X$4:$X$1510,$A$4:$A$1510,$A745,$E$4:$E$1510,"Loss"),-('Guide &amp; Settings'!$C$42/($F745-1))*$X745)))</f>
        <v>-5.0428155425800805</v>
      </c>
      <c r="K745" s="124">
        <f>IF($D745="",0,'Guide &amp; Settings'!$C$43*(IF($E745="Win",1,0)-$I745))</f>
        <v>-3.5820895522388057</v>
      </c>
      <c r="L745" s="125">
        <f>IF($D745="",0,'Guide &amp; Settings'!$C$44*IF($F745&gt;=3,$F745,0))</f>
        <v>3</v>
      </c>
      <c r="M745" s="124">
        <f t="shared" si="223"/>
        <v>-5.6249050948188852</v>
      </c>
      <c r="N745" s="122">
        <f t="shared" si="224"/>
        <v>1177.6504715222061</v>
      </c>
      <c r="O745" s="121" t="str">
        <f t="shared" si="225"/>
        <v>OK</v>
      </c>
      <c r="P745">
        <f t="shared" si="226"/>
        <v>1204.775805269923</v>
      </c>
      <c r="Q745">
        <f t="shared" si="227"/>
        <v>0.46909783280494377</v>
      </c>
      <c r="R745">
        <f t="shared" si="228"/>
        <v>0.46808510638297873</v>
      </c>
      <c r="S745">
        <f t="shared" si="229"/>
        <v>1.5680851063829788</v>
      </c>
      <c r="T745" s="89">
        <f t="shared" si="230"/>
        <v>45</v>
      </c>
      <c r="U745" s="126">
        <f>IF($D745="",0,IFERROR(LOOKUP(2,1/(($D$3:D744=$D745)*($C$3:C744=$C745)*($A$3:A744&lt;$A745)),$AB$3:AB744),1000))</f>
        <v>984.37087955899051</v>
      </c>
      <c r="V745" s="126">
        <f t="shared" si="231"/>
        <v>1004.2613292647939</v>
      </c>
      <c r="W745">
        <f t="shared" si="232"/>
        <v>1139.0716852953524</v>
      </c>
      <c r="X745">
        <f t="shared" si="233"/>
        <v>0.31517597141125503</v>
      </c>
      <c r="Y745">
        <f t="shared" si="234"/>
        <v>1130.4264063513299</v>
      </c>
      <c r="Z745">
        <f t="shared" si="235"/>
        <v>0.30137407026983154</v>
      </c>
      <c r="AA745">
        <f>IF($D745="",0,IF($F745&lt;2,0,IF($E745="Win",('Guide &amp; Settings'!$C$42/(($F745-1)*COUNTIFS($A$4:$A$1510,$A745,$E$4:$E$1510,"Win")))*SUMIFS($Z$4:$Z$1510,$A$4:$A$1510,$A745,$E$4:$E$1510,"Loss"),-('Guide &amp; Settings'!$C$42/($F745-1))*$Z745)))</f>
        <v>-4.8219851243173046</v>
      </c>
      <c r="AB745" s="126">
        <f t="shared" si="236"/>
        <v>979.54889443467323</v>
      </c>
      <c r="AC745" s="126">
        <f>IF($D745="","",IF($AD745=0,0,IF(COUNTIFS($D$4:$D745,$D745,$B$4:$B745,$B745)&gt;1,0,IF($B745&lt;'Guide &amp; Settings'!$C$50,0,IF(($B745-$AD745)/7-'Guide &amp; Settings'!$C$48&gt;=0,(INT(($B745-$AD745)/7-'Guide &amp; Settings'!$C$48)+1)*'Guide &amp; Settings'!$C$49,0)))))</f>
        <v>0</v>
      </c>
      <c r="AD745" s="142">
        <f t="shared" si="237"/>
        <v>46297</v>
      </c>
      <c r="AE745">
        <f t="shared" si="238"/>
        <v>1</v>
      </c>
      <c r="AF745">
        <f t="shared" si="239"/>
        <v>0</v>
      </c>
    </row>
    <row r="746" spans="1:32" x14ac:dyDescent="0.2">
      <c r="A746" s="117">
        <v>315</v>
      </c>
      <c r="B746" s="118">
        <v>46298</v>
      </c>
      <c r="C746" s="119" t="s">
        <v>50</v>
      </c>
      <c r="D746" s="119" t="s">
        <v>22</v>
      </c>
      <c r="E746" s="117" t="s">
        <v>370</v>
      </c>
      <c r="F746" s="120">
        <f t="shared" si="220"/>
        <v>3</v>
      </c>
      <c r="G746" s="121" t="str">
        <f t="shared" si="221"/>
        <v>Daniel (Ferret)</v>
      </c>
      <c r="H746" s="122">
        <f>IF($D746="",0,IFERROR(LOOKUP(2,1/(($D$3:D745=$D746)*($A$3:A745&lt;$A746)),$N$3:N745),'Guide &amp; Settings'!$C$41))</f>
        <v>1204.775805269923</v>
      </c>
      <c r="I746" s="123">
        <f t="shared" si="222"/>
        <v>0.38263229308005425</v>
      </c>
      <c r="J746" s="124">
        <f>IF($D746="",0,IF($F746&lt;2,0,IF($E746="Win",('Guide &amp; Settings'!$C$42/(($F746-1)*COUNTIFS($A$4:$A$1510,$A746,$E$4:$E$1510,"Win")))*SUMIFS($X$4:$X$1510,$A$4:$A$1510,$A746,$E$4:$E$1510,"Loss"),-('Guide &amp; Settings'!$C$42/($F746-1))*$X746)))</f>
        <v>10.469876225282881</v>
      </c>
      <c r="K746" s="124">
        <f>IF($D746="",0,'Guide &amp; Settings'!$C$43*(IF($E746="Win",1,0)-$I746))</f>
        <v>7.4084124830393483</v>
      </c>
      <c r="L746" s="125">
        <f>IF($D746="",0,'Guide &amp; Settings'!$C$44*IF($F746&gt;=3,$F746,0))</f>
        <v>3</v>
      </c>
      <c r="M746" s="124">
        <f t="shared" si="223"/>
        <v>20.878288708322231</v>
      </c>
      <c r="N746" s="122">
        <f t="shared" si="224"/>
        <v>1225.6540939782453</v>
      </c>
      <c r="O746" s="121" t="str">
        <f t="shared" si="225"/>
        <v>OK</v>
      </c>
      <c r="P746">
        <f t="shared" si="226"/>
        <v>1204.775805269923</v>
      </c>
      <c r="Q746">
        <f t="shared" si="227"/>
        <v>0.5</v>
      </c>
      <c r="R746">
        <f t="shared" si="228"/>
        <v>0.6</v>
      </c>
      <c r="S746">
        <f t="shared" si="229"/>
        <v>1.5680851063829788</v>
      </c>
      <c r="T746" s="89">
        <f t="shared" si="230"/>
        <v>38</v>
      </c>
      <c r="U746" s="126">
        <f>IF($D746="",0,IFERROR(LOOKUP(2,1/(($D$3:D745=$D746)*($C$3:C745=$C746)*($A$3:A745&lt;$A746)),$AB$3:AB745),1000))</f>
        <v>1130.4264063513299</v>
      </c>
      <c r="V746" s="126">
        <f t="shared" si="231"/>
        <v>1139.0716852953524</v>
      </c>
      <c r="W746">
        <f t="shared" si="232"/>
        <v>1139.0716852953524</v>
      </c>
      <c r="X746">
        <f t="shared" si="233"/>
        <v>0.5</v>
      </c>
      <c r="Y746">
        <f t="shared" si="234"/>
        <v>1130.4264063513299</v>
      </c>
      <c r="Z746">
        <f t="shared" si="235"/>
        <v>0.5</v>
      </c>
      <c r="AA746">
        <f>IF($D746="",0,IF($F746&lt;2,0,IF($E746="Win",('Guide &amp; Settings'!$C$42/(($F746-1)*COUNTIFS($A$4:$A$1510,$A746,$E$4:$E$1510,"Win")))*SUMIFS($Z$4:$Z$1510,$A$4:$A$1510,$A746,$E$4:$E$1510,"Loss"),-('Guide &amp; Settings'!$C$42/($F746-1))*$Z746)))</f>
        <v>9.9523555881577987</v>
      </c>
      <c r="AB746" s="126">
        <f t="shared" si="236"/>
        <v>1140.3787619394877</v>
      </c>
      <c r="AC746" s="126">
        <f>IF($D746="","",IF($AD746=0,0,IF(COUNTIFS($D$4:$D746,$D746,$B$4:$B746,$B746)&gt;1,0,IF($B746&lt;'Guide &amp; Settings'!$C$50,0,IF(($B746-$AD746)/7-'Guide &amp; Settings'!$C$48&gt;=0,(INT(($B746-$AD746)/7-'Guide &amp; Settings'!$C$48)+1)*'Guide &amp; Settings'!$C$49,0)))))</f>
        <v>0</v>
      </c>
      <c r="AD746" s="142">
        <f t="shared" si="237"/>
        <v>46297</v>
      </c>
      <c r="AE746">
        <f t="shared" si="238"/>
        <v>1</v>
      </c>
      <c r="AF746">
        <f t="shared" si="239"/>
        <v>0</v>
      </c>
    </row>
    <row r="747" spans="1:32" x14ac:dyDescent="0.2">
      <c r="A747" s="117">
        <v>315</v>
      </c>
      <c r="B747" s="118">
        <v>46298</v>
      </c>
      <c r="C747" s="119" t="s">
        <v>50</v>
      </c>
      <c r="D747" s="119" t="s">
        <v>27</v>
      </c>
      <c r="E747" s="117" t="s">
        <v>371</v>
      </c>
      <c r="F747" s="120">
        <f t="shared" si="220"/>
        <v>3</v>
      </c>
      <c r="G747" s="121" t="str">
        <f t="shared" si="221"/>
        <v>Daniel (Ferret)</v>
      </c>
      <c r="H747" s="122">
        <f>IF($D747="",0,IFERROR(LOOKUP(2,1/(($D$3:D746=$D747)*($A$3:A746&lt;$A747)),$N$3:N746),'Guide &amp; Settings'!$C$41))</f>
        <v>1023.2192605207141</v>
      </c>
      <c r="I747" s="123">
        <f t="shared" si="222"/>
        <v>0.31886024423337855</v>
      </c>
      <c r="J747" s="124">
        <f>IF($D747="",0,IF($F747&lt;2,0,IF($E747="Win",('Guide &amp; Settings'!$C$42/(($F747-1)*COUNTIFS($A$4:$A$1510,$A747,$E$4:$E$1510,"Win")))*SUMIFS($X$4:$X$1510,$A$4:$A$1510,$A747,$E$4:$E$1510,"Loss"),-('Guide &amp; Settings'!$C$42/($F747-1))*$X747)))</f>
        <v>-5.4270606827028018</v>
      </c>
      <c r="K747" s="124">
        <f>IF($D747="",0,'Guide &amp; Settings'!$C$43*(IF($E747="Win",1,0)-$I747))</f>
        <v>-3.8263229308005426</v>
      </c>
      <c r="L747" s="125">
        <f>IF($D747="",0,'Guide &amp; Settings'!$C$44*IF($F747&gt;=3,$F747,0))</f>
        <v>3</v>
      </c>
      <c r="M747" s="124">
        <f t="shared" si="223"/>
        <v>-6.2533836135033454</v>
      </c>
      <c r="N747" s="122">
        <f t="shared" si="224"/>
        <v>1016.9658769072107</v>
      </c>
      <c r="O747" s="121" t="str">
        <f t="shared" si="225"/>
        <v>OK</v>
      </c>
      <c r="P747">
        <f t="shared" si="226"/>
        <v>1204.775805269923</v>
      </c>
      <c r="Q747">
        <f t="shared" si="227"/>
        <v>0.26016262472906471</v>
      </c>
      <c r="R747">
        <f t="shared" si="228"/>
        <v>0.5</v>
      </c>
      <c r="S747">
        <f t="shared" si="229"/>
        <v>1.5680851063829788</v>
      </c>
      <c r="T747" s="89">
        <f t="shared" si="230"/>
        <v>0</v>
      </c>
      <c r="U747" s="126">
        <f>IF($D747="",0,IFERROR(LOOKUP(2,1/(($D$3:D746=$D747)*($C$3:C746=$C747)*($A$3:A746&lt;$A747)),$AB$3:AB746),1000))</f>
        <v>1000</v>
      </c>
      <c r="V747" s="126">
        <f t="shared" si="231"/>
        <v>1023.2192605207141</v>
      </c>
      <c r="W747">
        <f t="shared" si="232"/>
        <v>1139.0716852953524</v>
      </c>
      <c r="X747">
        <f t="shared" si="233"/>
        <v>0.33919129266892512</v>
      </c>
      <c r="Y747">
        <f t="shared" si="234"/>
        <v>1130.4264063513299</v>
      </c>
      <c r="Z747">
        <f t="shared" si="235"/>
        <v>0.32064815399003088</v>
      </c>
      <c r="AA747">
        <f>IF($D747="",0,IF($F747&lt;2,0,IF($E747="Win",('Guide &amp; Settings'!$C$42/(($F747-1)*COUNTIFS($A$4:$A$1510,$A747,$E$4:$E$1510,"Win")))*SUMIFS($Z$4:$Z$1510,$A$4:$A$1510,$A747,$E$4:$E$1510,"Loss"),-('Guide &amp; Settings'!$C$42/($F747-1))*$Z747)))</f>
        <v>-5.1303704638404941</v>
      </c>
      <c r="AB747" s="126">
        <f t="shared" si="236"/>
        <v>994.86962953615955</v>
      </c>
      <c r="AC747" s="126">
        <f>IF($D747="","",IF($AD747=0,0,IF(COUNTIFS($D$4:$D747,$D747,$B$4:$B747,$B747)&gt;1,0,IF($B747&lt;'Guide &amp; Settings'!$C$50,0,IF(($B747-$AD747)/7-'Guide &amp; Settings'!$C$48&gt;=0,(INT(($B747-$AD747)/7-'Guide &amp; Settings'!$C$48)+1)*'Guide &amp; Settings'!$C$49,0)))))</f>
        <v>40</v>
      </c>
      <c r="AD747" s="142">
        <f t="shared" si="237"/>
        <v>46249</v>
      </c>
      <c r="AE747">
        <f t="shared" si="238"/>
        <v>1</v>
      </c>
      <c r="AF747">
        <f t="shared" si="239"/>
        <v>0</v>
      </c>
    </row>
    <row r="748" spans="1:32" x14ac:dyDescent="0.2">
      <c r="A748" s="117">
        <v>316</v>
      </c>
      <c r="B748" s="118">
        <v>46298</v>
      </c>
      <c r="C748" s="119" t="s">
        <v>50</v>
      </c>
      <c r="D748" s="119" t="s">
        <v>20</v>
      </c>
      <c r="E748" s="117" t="s">
        <v>370</v>
      </c>
      <c r="F748" s="120">
        <f t="shared" si="220"/>
        <v>3</v>
      </c>
      <c r="G748" s="121" t="str">
        <f t="shared" si="221"/>
        <v>Daniel (Ferret)</v>
      </c>
      <c r="H748" s="122">
        <f>IF($D748="",0,IFERROR(LOOKUP(2,1/(($D$3:D747=$D748)*($A$3:A747&lt;$A748)),$N$3:N747),'Guide &amp; Settings'!$C$41))</f>
        <v>1177.6504715222061</v>
      </c>
      <c r="I748" s="123">
        <f t="shared" si="222"/>
        <v>0.32704858593183467</v>
      </c>
      <c r="J748" s="124">
        <f>IF($D748="",0,IF($F748&lt;2,0,IF($E748="Win",('Guide &amp; Settings'!$C$42/(($F748-1)*COUNTIFS($A$4:$A$1510,$A748,$E$4:$E$1510,"Win")))*SUMIFS($X$4:$X$1510,$A$4:$A$1510,$A748,$E$4:$E$1510,"Loss"),-('Guide &amp; Settings'!$C$42/($F748-1))*$X748)))</f>
        <v>3.3021972102789765</v>
      </c>
      <c r="K748" s="124">
        <f>IF($D748="",0,'Guide &amp; Settings'!$C$43*(IF($E748="Win",1,0)-$I748))</f>
        <v>8.0754169688179847</v>
      </c>
      <c r="L748" s="125">
        <f>IF($D748="",0,'Guide &amp; Settings'!$C$44*IF($F748&gt;=3,$F748,0))</f>
        <v>3</v>
      </c>
      <c r="M748" s="124">
        <f t="shared" si="223"/>
        <v>14.377614179096961</v>
      </c>
      <c r="N748" s="122">
        <f t="shared" si="224"/>
        <v>1192.0280857013031</v>
      </c>
      <c r="O748" s="121" t="str">
        <f t="shared" si="225"/>
        <v>check winners</v>
      </c>
      <c r="P748">
        <f t="shared" si="226"/>
        <v>1201.6522827502258</v>
      </c>
      <c r="Q748">
        <f t="shared" si="227"/>
        <v>0.46551346110576852</v>
      </c>
      <c r="R748">
        <f t="shared" si="228"/>
        <v>0.45833333333333331</v>
      </c>
      <c r="S748">
        <f t="shared" si="229"/>
        <v>1.4014227642276422</v>
      </c>
      <c r="T748" s="89">
        <f t="shared" si="230"/>
        <v>46</v>
      </c>
      <c r="U748" s="126">
        <f>IF($D748="",0,IFERROR(LOOKUP(2,1/(($D$3:D747=$D748)*($C$3:C747=$C748)*($A$3:A747&lt;$A748)),$AB$3:AB747),1000))</f>
        <v>979.54889443467323</v>
      </c>
      <c r="V748" s="126">
        <f t="shared" si="231"/>
        <v>998.97061767854905</v>
      </c>
      <c r="W748">
        <f t="shared" si="232"/>
        <v>1074.5198791294024</v>
      </c>
      <c r="X748">
        <f t="shared" si="233"/>
        <v>0.39295769883578885</v>
      </c>
      <c r="Y748">
        <f t="shared" si="234"/>
        <v>1059.9638281870805</v>
      </c>
      <c r="Z748">
        <f t="shared" si="235"/>
        <v>0.3862967688141663</v>
      </c>
      <c r="AA748">
        <f>IF($D748="",0,IF($F748&lt;2,0,IF($E748="Win",('Guide &amp; Settings'!$C$42/(($F748-1)*COUNTIFS($A$4:$A$1510,$A748,$E$4:$E$1510,"Win")))*SUMIFS($Z$4:$Z$1510,$A$4:$A$1510,$A748,$E$4:$E$1510,"Loss"),-('Guide &amp; Settings'!$C$42/($F748-1))*$Z748)))</f>
        <v>3.2592227958050497</v>
      </c>
      <c r="AB748" s="126">
        <f t="shared" si="236"/>
        <v>982.80811723047827</v>
      </c>
      <c r="AC748" s="126">
        <f>IF($D748="","",IF($AD748=0,0,IF(COUNTIFS($D$4:$D748,$D748,$B$4:$B748,$B748)&gt;1,0,IF($B748&lt;'Guide &amp; Settings'!$C$50,0,IF(($B748-$AD748)/7-'Guide &amp; Settings'!$C$48&gt;=0,(INT(($B748-$AD748)/7-'Guide &amp; Settings'!$C$48)+1)*'Guide &amp; Settings'!$C$49,0)))))</f>
        <v>0</v>
      </c>
      <c r="AD748" s="142">
        <f t="shared" si="237"/>
        <v>46297</v>
      </c>
      <c r="AE748">
        <f t="shared" si="238"/>
        <v>2</v>
      </c>
      <c r="AF748">
        <f t="shared" si="239"/>
        <v>0</v>
      </c>
    </row>
    <row r="749" spans="1:32" x14ac:dyDescent="0.2">
      <c r="A749" s="117">
        <v>316</v>
      </c>
      <c r="B749" s="118">
        <v>46298</v>
      </c>
      <c r="C749" s="119" t="s">
        <v>50</v>
      </c>
      <c r="D749" s="119" t="s">
        <v>27</v>
      </c>
      <c r="E749" s="117" t="s">
        <v>371</v>
      </c>
      <c r="F749" s="120">
        <f t="shared" si="220"/>
        <v>3</v>
      </c>
      <c r="G749" s="121" t="str">
        <f t="shared" si="221"/>
        <v>Daniel (Ferret)</v>
      </c>
      <c r="H749" s="122">
        <f>IF($D749="",0,IFERROR(LOOKUP(2,1/(($D$3:D748=$D749)*($A$3:A748&lt;$A749)),$N$3:N748),'Guide &amp; Settings'!$C$41))</f>
        <v>1016.9658769072107</v>
      </c>
      <c r="I749" s="123">
        <f t="shared" si="222"/>
        <v>0.23785351704133428</v>
      </c>
      <c r="J749" s="124">
        <f>IF($D749="",0,IF($F749&lt;2,0,IF($E749="Win",('Guide &amp; Settings'!$C$42/(($F749-1)*COUNTIFS($A$4:$A$1510,$A749,$E$4:$E$1510,"Win")))*SUMIFS($X$4:$X$1510,$A$4:$A$1510,$A749,$E$4:$E$1510,"Loss"),-('Guide &amp; Settings'!$C$42/($F749-1))*$X749)))</f>
        <v>-6.604394420557953</v>
      </c>
      <c r="K749" s="124">
        <f>IF($D749="",0,'Guide &amp; Settings'!$C$43*(IF($E749="Win",1,0)-$I749))</f>
        <v>-2.8542422044960114</v>
      </c>
      <c r="L749" s="125">
        <f>IF($D749="",0,'Guide &amp; Settings'!$C$44*IF($F749&gt;=3,$F749,0))</f>
        <v>3</v>
      </c>
      <c r="M749" s="124">
        <f t="shared" si="223"/>
        <v>-6.4586366250539644</v>
      </c>
      <c r="N749" s="122">
        <f t="shared" si="224"/>
        <v>1010.5072402821568</v>
      </c>
      <c r="O749" s="121" t="str">
        <f t="shared" si="225"/>
        <v>check winners</v>
      </c>
      <c r="P749">
        <f t="shared" si="226"/>
        <v>1201.6522827502258</v>
      </c>
      <c r="Q749">
        <f t="shared" si="227"/>
        <v>0.25670977533899492</v>
      </c>
      <c r="R749">
        <f t="shared" si="228"/>
        <v>0.33333333333333331</v>
      </c>
      <c r="S749">
        <f t="shared" si="229"/>
        <v>1.4014227642276422</v>
      </c>
      <c r="T749" s="89">
        <f t="shared" si="230"/>
        <v>1</v>
      </c>
      <c r="U749" s="126">
        <f>IF($D749="",0,IFERROR(LOOKUP(2,1/(($D$3:D748=$D749)*($C$3:C748=$C749)*($A$3:A748&lt;$A749)),$AB$3:AB748),1000))</f>
        <v>994.86962953615955</v>
      </c>
      <c r="V749" s="126">
        <f t="shared" si="231"/>
        <v>1013.2831690120356</v>
      </c>
      <c r="W749">
        <f t="shared" si="232"/>
        <v>1074.5198791294024</v>
      </c>
      <c r="X749">
        <f t="shared" si="233"/>
        <v>0.41277465128487206</v>
      </c>
      <c r="Y749">
        <f t="shared" si="234"/>
        <v>1059.9638281870805</v>
      </c>
      <c r="Z749">
        <f t="shared" si="235"/>
        <v>0.40740284947563121</v>
      </c>
      <c r="AA749">
        <f>IF($D749="",0,IF($F749&lt;2,0,IF($E749="Win",('Guide &amp; Settings'!$C$42/(($F749-1)*COUNTIFS($A$4:$A$1510,$A749,$E$4:$E$1510,"Win")))*SUMIFS($Z$4:$Z$1510,$A$4:$A$1510,$A749,$E$4:$E$1510,"Loss"),-('Guide &amp; Settings'!$C$42/($F749-1))*$Z749)))</f>
        <v>-6.5184455916100994</v>
      </c>
      <c r="AB749" s="126">
        <f t="shared" si="236"/>
        <v>988.35118394454946</v>
      </c>
      <c r="AC749" s="126">
        <f>IF($D749="","",IF($AD749=0,0,IF(COUNTIFS($D$4:$D749,$D749,$B$4:$B749,$B749)&gt;1,0,IF($B749&lt;'Guide &amp; Settings'!$C$50,0,IF(($B749-$AD749)/7-'Guide &amp; Settings'!$C$48&gt;=0,(INT(($B749-$AD749)/7-'Guide &amp; Settings'!$C$48)+1)*'Guide &amp; Settings'!$C$49,0)))))</f>
        <v>0</v>
      </c>
      <c r="AD749" s="142">
        <f t="shared" si="237"/>
        <v>46249</v>
      </c>
      <c r="AE749">
        <f t="shared" si="238"/>
        <v>2</v>
      </c>
      <c r="AF749">
        <f t="shared" si="239"/>
        <v>0</v>
      </c>
    </row>
    <row r="750" spans="1:32" x14ac:dyDescent="0.2">
      <c r="A750" s="117">
        <v>316</v>
      </c>
      <c r="B750" s="118">
        <v>46298</v>
      </c>
      <c r="C750" s="119" t="s">
        <v>50</v>
      </c>
      <c r="D750" s="119" t="s">
        <v>22</v>
      </c>
      <c r="E750" s="117" t="s">
        <v>370</v>
      </c>
      <c r="F750" s="120">
        <f t="shared" si="220"/>
        <v>3</v>
      </c>
      <c r="G750" s="121" t="str">
        <f t="shared" si="221"/>
        <v>Daniel (Ferret)</v>
      </c>
      <c r="H750" s="122">
        <f>IF($D750="",0,IFERROR(LOOKUP(2,1/(($D$3:D749=$D750)*($A$3:A749&lt;$A750)),$N$3:N749),'Guide &amp; Settings'!$C$41))</f>
        <v>1225.6540939782453</v>
      </c>
      <c r="I750" s="123">
        <f t="shared" si="222"/>
        <v>0.43509789702683105</v>
      </c>
      <c r="J750" s="124">
        <f>IF($D750="",0,IF($F750&lt;2,0,IF($E750="Win",('Guide &amp; Settings'!$C$42/(($F750-1)*COUNTIFS($A$4:$A$1510,$A750,$E$4:$E$1510,"Win")))*SUMIFS($X$4:$X$1510,$A$4:$A$1510,$A750,$E$4:$E$1510,"Loss"),-('Guide &amp; Settings'!$C$42/($F750-1))*$X750)))</f>
        <v>3.3021972102789765</v>
      </c>
      <c r="K750" s="124">
        <f>IF($D750="",0,'Guide &amp; Settings'!$C$43*(IF($E750="Win",1,0)-$I750))</f>
        <v>6.7788252356780268</v>
      </c>
      <c r="L750" s="125">
        <f>IF($D750="",0,'Guide &amp; Settings'!$C$44*IF($F750&gt;=3,$F750,0))</f>
        <v>3</v>
      </c>
      <c r="M750" s="124">
        <f t="shared" si="223"/>
        <v>13.081022445957004</v>
      </c>
      <c r="N750" s="122">
        <f t="shared" si="224"/>
        <v>1238.7351164242023</v>
      </c>
      <c r="O750" s="121" t="str">
        <f t="shared" si="225"/>
        <v>check winners</v>
      </c>
      <c r="P750">
        <f t="shared" si="226"/>
        <v>1201.6522827502258</v>
      </c>
      <c r="Q750">
        <f t="shared" si="227"/>
        <v>0.53448653889423114</v>
      </c>
      <c r="R750">
        <f t="shared" si="228"/>
        <v>0.6097560975609756</v>
      </c>
      <c r="S750">
        <f t="shared" si="229"/>
        <v>1.4014227642276422</v>
      </c>
      <c r="T750" s="89">
        <f t="shared" si="230"/>
        <v>39</v>
      </c>
      <c r="U750" s="126">
        <f>IF($D750="",0,IFERROR(LOOKUP(2,1/(($D$3:D749=$D750)*($C$3:C749=$C750)*($A$3:A749&lt;$A750)),$AB$3:AB749),1000))</f>
        <v>1140.3787619394877</v>
      </c>
      <c r="V750" s="126">
        <f t="shared" si="231"/>
        <v>1150.0691405802556</v>
      </c>
      <c r="W750">
        <f t="shared" si="232"/>
        <v>1074.5198791294024</v>
      </c>
      <c r="X750">
        <f t="shared" si="233"/>
        <v>0.60704230116421098</v>
      </c>
      <c r="Y750">
        <f t="shared" si="234"/>
        <v>1059.9638281870805</v>
      </c>
      <c r="Z750">
        <f t="shared" si="235"/>
        <v>0.6137032311858337</v>
      </c>
      <c r="AA750">
        <f>IF($D750="",0,IF($F750&lt;2,0,IF($E750="Win",('Guide &amp; Settings'!$C$42/(($F750-1)*COUNTIFS($A$4:$A$1510,$A750,$E$4:$E$1510,"Win")))*SUMIFS($Z$4:$Z$1510,$A$4:$A$1510,$A750,$E$4:$E$1510,"Loss"),-('Guide &amp; Settings'!$C$42/($F750-1))*$Z750)))</f>
        <v>3.2592227958050497</v>
      </c>
      <c r="AB750" s="126">
        <f t="shared" si="236"/>
        <v>1143.6379847352928</v>
      </c>
      <c r="AC750" s="126">
        <f>IF($D750="","",IF($AD750=0,0,IF(COUNTIFS($D$4:$D750,$D750,$B$4:$B750,$B750)&gt;1,0,IF($B750&lt;'Guide &amp; Settings'!$C$50,0,IF(($B750-$AD750)/7-'Guide &amp; Settings'!$C$48&gt;=0,(INT(($B750-$AD750)/7-'Guide &amp; Settings'!$C$48)+1)*'Guide &amp; Settings'!$C$49,0)))))</f>
        <v>0</v>
      </c>
      <c r="AD750" s="142">
        <f t="shared" si="237"/>
        <v>46297</v>
      </c>
      <c r="AE750">
        <f t="shared" si="238"/>
        <v>2</v>
      </c>
      <c r="AF750">
        <f t="shared" si="239"/>
        <v>0</v>
      </c>
    </row>
    <row r="751" spans="1:32" x14ac:dyDescent="0.2">
      <c r="A751" s="117">
        <v>317</v>
      </c>
      <c r="B751" s="118">
        <v>46298</v>
      </c>
      <c r="C751" s="119" t="s">
        <v>50</v>
      </c>
      <c r="D751" s="119" t="s">
        <v>20</v>
      </c>
      <c r="E751" s="117" t="s">
        <v>370</v>
      </c>
      <c r="F751" s="120">
        <f t="shared" si="220"/>
        <v>2</v>
      </c>
      <c r="G751" s="121" t="str">
        <f t="shared" si="221"/>
        <v>Shawn</v>
      </c>
      <c r="H751" s="122">
        <f>IF($D751="",0,IFERROR(LOOKUP(2,1/(($D$3:D750=$D751)*($A$3:A750&lt;$A751)),$N$3:N750),'Guide &amp; Settings'!$C$41))</f>
        <v>1192.0280857013031</v>
      </c>
      <c r="I751" s="123">
        <f t="shared" si="222"/>
        <v>0.43124999999999997</v>
      </c>
      <c r="J751" s="124">
        <f>IF($D751="",0,IF($F751&lt;2,0,IF($E751="Win",('Guide &amp; Settings'!$C$42/(($F751-1)*COUNTIFS($A$4:$A$1510,$A751,$E$4:$E$1510,"Win")))*SUMIFS($X$4:$X$1510,$A$4:$A$1510,$A751,$E$4:$E$1510,"Loss"),-('Guide &amp; Settings'!$C$42/($F751-1))*$X751)))</f>
        <v>22.557397380686719</v>
      </c>
      <c r="K751" s="124">
        <f>IF($D751="",0,'Guide &amp; Settings'!$C$43*(IF($E751="Win",1,0)-$I751))</f>
        <v>6.8250000000000011</v>
      </c>
      <c r="L751" s="125">
        <f>IF($D751="",0,'Guide &amp; Settings'!$C$44*IF($F751&gt;=3,$F751,0))</f>
        <v>0</v>
      </c>
      <c r="M751" s="124">
        <f t="shared" si="223"/>
        <v>29.382397380686719</v>
      </c>
      <c r="N751" s="122">
        <f t="shared" si="224"/>
        <v>1221.4104830819899</v>
      </c>
      <c r="O751" s="121" t="str">
        <f t="shared" si="225"/>
        <v>OK</v>
      </c>
      <c r="P751">
        <f t="shared" si="226"/>
        <v>1192.0280857013031</v>
      </c>
      <c r="Q751">
        <f t="shared" si="227"/>
        <v>0.5</v>
      </c>
      <c r="R751">
        <f t="shared" si="228"/>
        <v>0.46938775510204084</v>
      </c>
      <c r="S751">
        <f t="shared" si="229"/>
        <v>1.08843537414966</v>
      </c>
      <c r="T751" s="89">
        <f t="shared" si="230"/>
        <v>47</v>
      </c>
      <c r="U751" s="126">
        <f>IF($D751="",0,IFERROR(LOOKUP(2,1/(($D$3:D750=$D751)*($C$3:C750=$C751)*($A$3:A750&lt;$A751)),$AB$3:AB750),1000))</f>
        <v>982.80811723047827</v>
      </c>
      <c r="V751" s="126">
        <f t="shared" si="231"/>
        <v>1002.9254218911344</v>
      </c>
      <c r="W751">
        <f t="shared" si="232"/>
        <v>1002.9254218911344</v>
      </c>
      <c r="X751">
        <f t="shared" si="233"/>
        <v>0.5</v>
      </c>
      <c r="Y751">
        <f t="shared" si="234"/>
        <v>982.80811723047827</v>
      </c>
      <c r="Z751">
        <f t="shared" si="235"/>
        <v>0.5</v>
      </c>
      <c r="AA751">
        <f>IF($D751="",0,IF($F751&lt;2,0,IF($E751="Win",('Guide &amp; Settings'!$C$42/(($F751-1)*COUNTIFS($A$4:$A$1510,$A751,$E$4:$E$1510,"Win")))*SUMIFS($Z$4:$Z$1510,$A$4:$A$1510,$A751,$E$4:$E$1510,"Loss"),-('Guide &amp; Settings'!$C$42/($F751-1))*$Z751)))</f>
        <v>22.919189891625589</v>
      </c>
      <c r="AB751" s="126">
        <f t="shared" si="236"/>
        <v>1005.7273071221039</v>
      </c>
      <c r="AC751" s="126">
        <f>IF($D751="","",IF($AD751=0,0,IF(COUNTIFS($D$4:$D751,$D751,$B$4:$B751,$B751)&gt;1,0,IF($B751&lt;'Guide &amp; Settings'!$C$50,0,IF(($B751-$AD751)/7-'Guide &amp; Settings'!$C$48&gt;=0,(INT(($B751-$AD751)/7-'Guide &amp; Settings'!$C$48)+1)*'Guide &amp; Settings'!$C$49,0)))))</f>
        <v>0</v>
      </c>
      <c r="AD751" s="142">
        <f t="shared" si="237"/>
        <v>46297</v>
      </c>
      <c r="AE751">
        <f t="shared" si="238"/>
        <v>1</v>
      </c>
      <c r="AF751">
        <f t="shared" si="239"/>
        <v>0</v>
      </c>
    </row>
    <row r="752" spans="1:32" x14ac:dyDescent="0.2">
      <c r="A752" s="117">
        <v>317</v>
      </c>
      <c r="B752" s="118">
        <v>46298</v>
      </c>
      <c r="C752" s="119" t="s">
        <v>50</v>
      </c>
      <c r="D752" s="119" t="s">
        <v>22</v>
      </c>
      <c r="E752" s="117" t="s">
        <v>371</v>
      </c>
      <c r="F752" s="120">
        <f t="shared" si="220"/>
        <v>2</v>
      </c>
      <c r="G752" s="121" t="str">
        <f t="shared" si="221"/>
        <v>Shawn</v>
      </c>
      <c r="H752" s="122">
        <f>IF($D752="",0,IFERROR(LOOKUP(2,1/(($D$3:D751=$D752)*($A$3:A751&lt;$A752)),$N$3:N751),'Guide &amp; Settings'!$C$41))</f>
        <v>1238.7351164242023</v>
      </c>
      <c r="I752" s="123">
        <f t="shared" si="222"/>
        <v>0.56874999999999998</v>
      </c>
      <c r="J752" s="124">
        <f>IF($D752="",0,IF($F752&lt;2,0,IF($E752="Win",('Guide &amp; Settings'!$C$42/(($F752-1)*COUNTIFS($A$4:$A$1510,$A752,$E$4:$E$1510,"Win")))*SUMIFS($X$4:$X$1510,$A$4:$A$1510,$A752,$E$4:$E$1510,"Loss"),-('Guide &amp; Settings'!$C$42/($F752-1))*$X752)))</f>
        <v>-22.557397380686719</v>
      </c>
      <c r="K752" s="124">
        <f>IF($D752="",0,'Guide &amp; Settings'!$C$43*(IF($E752="Win",1,0)-$I752))</f>
        <v>-6.8249999999999993</v>
      </c>
      <c r="L752" s="125">
        <f>IF($D752="",0,'Guide &amp; Settings'!$C$44*IF($F752&gt;=3,$F752,0))</f>
        <v>0</v>
      </c>
      <c r="M752" s="124">
        <f t="shared" si="223"/>
        <v>-29.382397380686719</v>
      </c>
      <c r="N752" s="122">
        <f t="shared" si="224"/>
        <v>1209.3527190435154</v>
      </c>
      <c r="O752" s="121" t="str">
        <f t="shared" si="225"/>
        <v>OK</v>
      </c>
      <c r="P752">
        <f t="shared" si="226"/>
        <v>1192.0280857013031</v>
      </c>
      <c r="Q752">
        <f t="shared" si="227"/>
        <v>0.56681480316926813</v>
      </c>
      <c r="R752">
        <f t="shared" si="228"/>
        <v>0.61904761904761907</v>
      </c>
      <c r="S752">
        <f t="shared" si="229"/>
        <v>1.08843537414966</v>
      </c>
      <c r="T752" s="89">
        <f t="shared" si="230"/>
        <v>40</v>
      </c>
      <c r="U752" s="126">
        <f>IF($D752="",0,IFERROR(LOOKUP(2,1/(($D$3:D751=$D752)*($C$3:C751=$C752)*($A$3:A751&lt;$A752)),$AB$3:AB751),1000))</f>
        <v>1143.6379847352928</v>
      </c>
      <c r="V752" s="126">
        <f t="shared" si="231"/>
        <v>1154.2043327007273</v>
      </c>
      <c r="W752">
        <f t="shared" si="232"/>
        <v>1002.9254218911344</v>
      </c>
      <c r="X752">
        <f t="shared" si="233"/>
        <v>0.70491866814645998</v>
      </c>
      <c r="Y752">
        <f t="shared" si="234"/>
        <v>982.80811723047827</v>
      </c>
      <c r="Z752">
        <f t="shared" si="235"/>
        <v>0.71622468411329965</v>
      </c>
      <c r="AA752">
        <f>IF($D752="",0,IF($F752&lt;2,0,IF($E752="Win",('Guide &amp; Settings'!$C$42/(($F752-1)*COUNTIFS($A$4:$A$1510,$A752,$E$4:$E$1510,"Win")))*SUMIFS($Z$4:$Z$1510,$A$4:$A$1510,$A752,$E$4:$E$1510,"Loss"),-('Guide &amp; Settings'!$C$42/($F752-1))*$Z752)))</f>
        <v>-22.919189891625589</v>
      </c>
      <c r="AB752" s="126">
        <f t="shared" si="236"/>
        <v>1120.7187948436672</v>
      </c>
      <c r="AC752" s="126">
        <f>IF($D752="","",IF($AD752=0,0,IF(COUNTIFS($D$4:$D752,$D752,$B$4:$B752,$B752)&gt;1,0,IF($B752&lt;'Guide &amp; Settings'!$C$50,0,IF(($B752-$AD752)/7-'Guide &amp; Settings'!$C$48&gt;=0,(INT(($B752-$AD752)/7-'Guide &amp; Settings'!$C$48)+1)*'Guide &amp; Settings'!$C$49,0)))))</f>
        <v>0</v>
      </c>
      <c r="AD752" s="142">
        <f t="shared" si="237"/>
        <v>46297</v>
      </c>
      <c r="AE752">
        <f t="shared" si="238"/>
        <v>1</v>
      </c>
      <c r="AF752">
        <f t="shared" si="239"/>
        <v>0</v>
      </c>
    </row>
    <row r="753" spans="1:32" x14ac:dyDescent="0.2">
      <c r="A753" s="117">
        <v>318</v>
      </c>
      <c r="B753" s="118">
        <v>46303</v>
      </c>
      <c r="C753" s="119" t="s">
        <v>45</v>
      </c>
      <c r="D753" s="119" t="s">
        <v>20</v>
      </c>
      <c r="E753" s="117" t="s">
        <v>371</v>
      </c>
      <c r="F753" s="120">
        <f t="shared" si="220"/>
        <v>2</v>
      </c>
      <c r="G753" s="121" t="str">
        <f t="shared" si="221"/>
        <v>Oscar</v>
      </c>
      <c r="H753" s="122">
        <f>IF($D753="",0,IFERROR(LOOKUP(2,1/(($D$3:D752=$D753)*($A$3:A752&lt;$A753)),$N$3:N752),'Guide &amp; Settings'!$C$41))</f>
        <v>1221.4104830819899</v>
      </c>
      <c r="I753" s="123">
        <f t="shared" si="222"/>
        <v>8.2802547770700632E-2</v>
      </c>
      <c r="J753" s="124">
        <f>IF($D753="",0,IF($F753&lt;2,0,IF($E753="Win",('Guide &amp; Settings'!$C$42/(($F753-1)*COUNTIFS($A$4:$A$1510,$A753,$E$4:$E$1510,"Win")))*SUMIFS($X$4:$X$1510,$A$4:$A$1510,$A753,$E$4:$E$1510,"Loss"),-('Guide &amp; Settings'!$C$42/($F753-1))*$X753)))</f>
        <v>-11.962442899404918</v>
      </c>
      <c r="K753" s="124">
        <f>IF($D753="",0,'Guide &amp; Settings'!$C$43*(IF($E753="Win",1,0)-$I753))</f>
        <v>-0.99363057324840764</v>
      </c>
      <c r="L753" s="125">
        <f>IF($D753="",0,'Guide &amp; Settings'!$C$44*IF($F753&gt;=3,$F753,0))</f>
        <v>0</v>
      </c>
      <c r="M753" s="124">
        <f t="shared" si="223"/>
        <v>-12.956073472653326</v>
      </c>
      <c r="N753" s="122">
        <f t="shared" si="224"/>
        <v>1208.4544096093366</v>
      </c>
      <c r="O753" s="121" t="str">
        <f t="shared" si="225"/>
        <v>OK</v>
      </c>
      <c r="P753">
        <f t="shared" si="226"/>
        <v>968.26132335618615</v>
      </c>
      <c r="Q753">
        <f t="shared" si="227"/>
        <v>0.81111074442281417</v>
      </c>
      <c r="R753">
        <f t="shared" si="228"/>
        <v>6.25E-2</v>
      </c>
      <c r="S753">
        <f t="shared" si="229"/>
        <v>0.75480769230769229</v>
      </c>
      <c r="T753" s="89">
        <f t="shared" si="230"/>
        <v>14</v>
      </c>
      <c r="U753" s="126">
        <f>IF($D753="",0,IFERROR(LOOKUP(2,1/(($D$3:D752=$D753)*($C$3:C752=$C753)*($A$3:A752&lt;$A753)),$AB$3:AB752),1000))</f>
        <v>844.70538647951662</v>
      </c>
      <c r="V753" s="126">
        <f t="shared" si="231"/>
        <v>943.83830663806225</v>
      </c>
      <c r="W753">
        <f t="shared" si="232"/>
        <v>1033.4482647185719</v>
      </c>
      <c r="X753">
        <f t="shared" si="233"/>
        <v>0.37382634060640368</v>
      </c>
      <c r="Y753">
        <f t="shared" si="234"/>
        <v>1063.0786926105654</v>
      </c>
      <c r="Z753">
        <f t="shared" si="235"/>
        <v>0.2214807915954829</v>
      </c>
      <c r="AA753">
        <f>IF($D753="",0,IF($F753&lt;2,0,IF($E753="Win",('Guide &amp; Settings'!$C$42/(($F753-1)*COUNTIFS($A$4:$A$1510,$A753,$E$4:$E$1510,"Win")))*SUMIFS($Z$4:$Z$1510,$A$4:$A$1510,$A753,$E$4:$E$1510,"Loss"),-('Guide &amp; Settings'!$C$42/($F753-1))*$Z753)))</f>
        <v>-7.0873853310554527</v>
      </c>
      <c r="AB753" s="126">
        <f t="shared" si="236"/>
        <v>837.61800114846119</v>
      </c>
      <c r="AC753" s="126">
        <f>IF($D753="","",IF($AD753=0,0,IF(COUNTIFS($D$4:$D753,$D753,$B$4:$B753,$B753)&gt;1,0,IF($B753&lt;'Guide &amp; Settings'!$C$50,0,IF(($B753-$AD753)/7-'Guide &amp; Settings'!$C$48&gt;=0,(INT(($B753-$AD753)/7-'Guide &amp; Settings'!$C$48)+1)*'Guide &amp; Settings'!$C$49,0)))))</f>
        <v>0</v>
      </c>
      <c r="AD753" s="142">
        <f t="shared" si="237"/>
        <v>46298</v>
      </c>
      <c r="AE753">
        <f t="shared" si="238"/>
        <v>1</v>
      </c>
      <c r="AF753">
        <f t="shared" si="239"/>
        <v>0</v>
      </c>
    </row>
    <row r="754" spans="1:32" x14ac:dyDescent="0.2">
      <c r="A754" s="117">
        <v>318</v>
      </c>
      <c r="B754" s="118">
        <v>46303</v>
      </c>
      <c r="C754" s="119" t="s">
        <v>45</v>
      </c>
      <c r="D754" s="119" t="s">
        <v>25</v>
      </c>
      <c r="E754" s="117" t="s">
        <v>370</v>
      </c>
      <c r="F754" s="120">
        <f t="shared" si="220"/>
        <v>2</v>
      </c>
      <c r="G754" s="121" t="str">
        <f t="shared" si="221"/>
        <v>Oscar</v>
      </c>
      <c r="H754" s="122">
        <f>IF($D754="",0,IFERROR(LOOKUP(2,1/(($D$3:D753=$D754)*($A$3:A753&lt;$A754)),$N$3:N753),'Guide &amp; Settings'!$C$41))</f>
        <v>968.26132335618615</v>
      </c>
      <c r="I754" s="123">
        <f t="shared" si="222"/>
        <v>0.91719745222929938</v>
      </c>
      <c r="J754" s="124">
        <f>IF($D754="",0,IF($F754&lt;2,0,IF($E754="Win",('Guide &amp; Settings'!$C$42/(($F754-1)*COUNTIFS($A$4:$A$1510,$A754,$E$4:$E$1510,"Win")))*SUMIFS($X$4:$X$1510,$A$4:$A$1510,$A754,$E$4:$E$1510,"Loss"),-('Guide &amp; Settings'!$C$42/($F754-1))*$X754)))</f>
        <v>11.962442899404918</v>
      </c>
      <c r="K754" s="124">
        <f>IF($D754="",0,'Guide &amp; Settings'!$C$43*(IF($E754="Win",1,0)-$I754))</f>
        <v>0.99363057324840742</v>
      </c>
      <c r="L754" s="125">
        <f>IF($D754="",0,'Guide &amp; Settings'!$C$44*IF($F754&gt;=3,$F754,0))</f>
        <v>0</v>
      </c>
      <c r="M754" s="124">
        <f t="shared" si="223"/>
        <v>12.956073472653326</v>
      </c>
      <c r="N754" s="122">
        <f t="shared" si="224"/>
        <v>981.21739682883947</v>
      </c>
      <c r="O754" s="121" t="str">
        <f t="shared" si="225"/>
        <v>OK</v>
      </c>
      <c r="P754">
        <f t="shared" si="226"/>
        <v>968.26132335618615</v>
      </c>
      <c r="Q754">
        <f t="shared" si="227"/>
        <v>0.5</v>
      </c>
      <c r="R754">
        <f t="shared" si="228"/>
        <v>0.69230769230769229</v>
      </c>
      <c r="S754">
        <f t="shared" si="229"/>
        <v>0.75480769230769229</v>
      </c>
      <c r="T754" s="89">
        <f t="shared" si="230"/>
        <v>11</v>
      </c>
      <c r="U754" s="126">
        <f>IF($D754="",0,IFERROR(LOOKUP(2,1/(($D$3:D753=$D754)*($C$3:C753=$C754)*($A$3:A753&lt;$A754)),$AB$3:AB753),1000))</f>
        <v>1063.0786926105654</v>
      </c>
      <c r="V754" s="126">
        <f t="shared" si="231"/>
        <v>1033.4482647185719</v>
      </c>
      <c r="W754">
        <f t="shared" si="232"/>
        <v>1033.4482647185719</v>
      </c>
      <c r="X754">
        <f t="shared" si="233"/>
        <v>0.5</v>
      </c>
      <c r="Y754">
        <f t="shared" si="234"/>
        <v>1063.0786926105654</v>
      </c>
      <c r="Z754">
        <f t="shared" si="235"/>
        <v>0.5</v>
      </c>
      <c r="AA754">
        <f>IF($D754="",0,IF($F754&lt;2,0,IF($E754="Win",('Guide &amp; Settings'!$C$42/(($F754-1)*COUNTIFS($A$4:$A$1510,$A754,$E$4:$E$1510,"Win")))*SUMIFS($Z$4:$Z$1510,$A$4:$A$1510,$A754,$E$4:$E$1510,"Loss"),-('Guide &amp; Settings'!$C$42/($F754-1))*$Z754)))</f>
        <v>7.0873853310554527</v>
      </c>
      <c r="AB754" s="126">
        <f t="shared" si="236"/>
        <v>1070.1660779416209</v>
      </c>
      <c r="AC754" s="126">
        <f>IF($D754="","",IF($AD754=0,0,IF(COUNTIFS($D$4:$D754,$D754,$B$4:$B754,$B754)&gt;1,0,IF($B754&lt;'Guide &amp; Settings'!$C$50,0,IF(($B754-$AD754)/7-'Guide &amp; Settings'!$C$48&gt;=0,(INT(($B754-$AD754)/7-'Guide &amp; Settings'!$C$48)+1)*'Guide &amp; Settings'!$C$49,0)))))</f>
        <v>0</v>
      </c>
      <c r="AD754" s="142">
        <f t="shared" si="237"/>
        <v>46291</v>
      </c>
      <c r="AE754">
        <f t="shared" si="238"/>
        <v>1</v>
      </c>
      <c r="AF754">
        <f t="shared" si="239"/>
        <v>0</v>
      </c>
    </row>
    <row r="755" spans="1:32" x14ac:dyDescent="0.2">
      <c r="A755" s="117">
        <v>319</v>
      </c>
      <c r="B755" s="118">
        <v>46303</v>
      </c>
      <c r="C755" s="119" t="s">
        <v>45</v>
      </c>
      <c r="D755" s="119" t="s">
        <v>20</v>
      </c>
      <c r="E755" s="117" t="s">
        <v>370</v>
      </c>
      <c r="F755" s="120">
        <f t="shared" si="220"/>
        <v>2</v>
      </c>
      <c r="G755" s="121" t="str">
        <f t="shared" si="221"/>
        <v>Shawn</v>
      </c>
      <c r="H755" s="122">
        <f>IF($D755="",0,IFERROR(LOOKUP(2,1/(($D$3:D754=$D755)*($A$3:A754&lt;$A755)),$N$3:N754),'Guide &amp; Settings'!$C$41))</f>
        <v>1208.4544096093366</v>
      </c>
      <c r="I755" s="123">
        <f t="shared" si="222"/>
        <v>7.6086956521739121E-2</v>
      </c>
      <c r="J755" s="124">
        <f>IF($D755="",0,IF($F755&lt;2,0,IF($E755="Win",('Guide &amp; Settings'!$C$42/(($F755-1)*COUNTIFS($A$4:$A$1510,$A755,$E$4:$E$1510,"Win")))*SUMIFS($X$4:$X$1510,$A$4:$A$1510,$A755,$E$4:$E$1510,"Loss"),-('Guide &amp; Settings'!$C$42/($F755-1))*$X755)))</f>
        <v>21.055903946888161</v>
      </c>
      <c r="K755" s="124">
        <f>IF($D755="",0,'Guide &amp; Settings'!$C$43*(IF($E755="Win",1,0)-$I755))</f>
        <v>11.086956521739131</v>
      </c>
      <c r="L755" s="125">
        <f>IF($D755="",0,'Guide &amp; Settings'!$C$44*IF($F755&gt;=3,$F755,0))</f>
        <v>0</v>
      </c>
      <c r="M755" s="124">
        <f t="shared" si="223"/>
        <v>32.142860468627291</v>
      </c>
      <c r="N755" s="122">
        <f t="shared" si="224"/>
        <v>1240.5972700779639</v>
      </c>
      <c r="O755" s="121" t="str">
        <f t="shared" si="225"/>
        <v>OK</v>
      </c>
      <c r="P755">
        <f t="shared" si="226"/>
        <v>1208.4544096093366</v>
      </c>
      <c r="Q755">
        <f t="shared" si="227"/>
        <v>0.5</v>
      </c>
      <c r="R755">
        <f t="shared" si="228"/>
        <v>5.8823529411764705E-2</v>
      </c>
      <c r="S755">
        <f t="shared" si="229"/>
        <v>0.77310924369747902</v>
      </c>
      <c r="T755" s="89">
        <f t="shared" si="230"/>
        <v>15</v>
      </c>
      <c r="U755" s="126">
        <f>IF($D755="",0,IFERROR(LOOKUP(2,1/(($D$3:D754=$D755)*($C$3:C754=$C755)*($A$3:A754&lt;$A755)),$AB$3:AB754),1000))</f>
        <v>837.61800114846119</v>
      </c>
      <c r="V755" s="126">
        <f t="shared" si="231"/>
        <v>930.3271032636801</v>
      </c>
      <c r="W755">
        <f t="shared" si="232"/>
        <v>930.3271032636801</v>
      </c>
      <c r="X755">
        <f t="shared" si="233"/>
        <v>0.5</v>
      </c>
      <c r="Y755">
        <f t="shared" si="234"/>
        <v>837.61800114846119</v>
      </c>
      <c r="Z755">
        <f t="shared" si="235"/>
        <v>0.5</v>
      </c>
      <c r="AA755">
        <f>IF($D755="",0,IF($F755&lt;2,0,IF($E755="Win",('Guide &amp; Settings'!$C$42/(($F755-1)*COUNTIFS($A$4:$A$1510,$A755,$E$4:$E$1510,"Win")))*SUMIFS($Z$4:$Z$1510,$A$4:$A$1510,$A755,$E$4:$E$1510,"Loss"),-('Guide &amp; Settings'!$C$42/($F755-1))*$Z755)))</f>
        <v>25.352593940663649</v>
      </c>
      <c r="AB755" s="126">
        <f t="shared" si="236"/>
        <v>862.9705950891248</v>
      </c>
      <c r="AC755" s="126">
        <f>IF($D755="","",IF($AD755=0,0,IF(COUNTIFS($D$4:$D755,$D755,$B$4:$B755,$B755)&gt;1,0,IF($B755&lt;'Guide &amp; Settings'!$C$50,0,IF(($B755-$AD755)/7-'Guide &amp; Settings'!$C$48&gt;=0,(INT(($B755-$AD755)/7-'Guide &amp; Settings'!$C$48)+1)*'Guide &amp; Settings'!$C$49,0)))))</f>
        <v>0</v>
      </c>
      <c r="AD755" s="142">
        <f t="shared" si="237"/>
        <v>46298</v>
      </c>
      <c r="AE755">
        <f t="shared" si="238"/>
        <v>1</v>
      </c>
      <c r="AF755">
        <f t="shared" si="239"/>
        <v>0</v>
      </c>
    </row>
    <row r="756" spans="1:32" x14ac:dyDescent="0.2">
      <c r="A756" s="117">
        <v>319</v>
      </c>
      <c r="B756" s="118">
        <v>46303</v>
      </c>
      <c r="C756" s="119" t="s">
        <v>45</v>
      </c>
      <c r="D756" s="119" t="s">
        <v>25</v>
      </c>
      <c r="E756" s="117" t="s">
        <v>371</v>
      </c>
      <c r="F756" s="120">
        <f t="shared" si="220"/>
        <v>2</v>
      </c>
      <c r="G756" s="121" t="str">
        <f t="shared" si="221"/>
        <v>Shawn</v>
      </c>
      <c r="H756" s="122">
        <f>IF($D756="",0,IFERROR(LOOKUP(2,1/(($D$3:D755=$D756)*($A$3:A755&lt;$A756)),$N$3:N755),'Guide &amp; Settings'!$C$41))</f>
        <v>981.21739682883947</v>
      </c>
      <c r="I756" s="123">
        <f t="shared" si="222"/>
        <v>0.92391304347826086</v>
      </c>
      <c r="J756" s="124">
        <f>IF($D756="",0,IF($F756&lt;2,0,IF($E756="Win",('Guide &amp; Settings'!$C$42/(($F756-1)*COUNTIFS($A$4:$A$1510,$A756,$E$4:$E$1510,"Win")))*SUMIFS($X$4:$X$1510,$A$4:$A$1510,$A756,$E$4:$E$1510,"Loss"),-('Guide &amp; Settings'!$C$42/($F756-1))*$X756)))</f>
        <v>-21.055903946888161</v>
      </c>
      <c r="K756" s="124">
        <f>IF($D756="",0,'Guide &amp; Settings'!$C$43*(IF($E756="Win",1,0)-$I756))</f>
        <v>-11.086956521739131</v>
      </c>
      <c r="L756" s="125">
        <f>IF($D756="",0,'Guide &amp; Settings'!$C$44*IF($F756&gt;=3,$F756,0))</f>
        <v>0</v>
      </c>
      <c r="M756" s="124">
        <f t="shared" si="223"/>
        <v>-32.142860468627291</v>
      </c>
      <c r="N756" s="122">
        <f t="shared" si="224"/>
        <v>949.07453636021216</v>
      </c>
      <c r="O756" s="121" t="str">
        <f t="shared" si="225"/>
        <v>OK</v>
      </c>
      <c r="P756">
        <f t="shared" si="226"/>
        <v>1208.4544096093366</v>
      </c>
      <c r="Q756">
        <f t="shared" si="227"/>
        <v>0.2128080731775624</v>
      </c>
      <c r="R756">
        <f t="shared" si="228"/>
        <v>0.7142857142857143</v>
      </c>
      <c r="S756">
        <f t="shared" si="229"/>
        <v>0.77310924369747902</v>
      </c>
      <c r="T756" s="89">
        <f t="shared" si="230"/>
        <v>12</v>
      </c>
      <c r="U756" s="126">
        <f>IF($D756="",0,IFERROR(LOOKUP(2,1/(($D$3:D755=$D756)*($C$3:C755=$C756)*($A$3:A755&lt;$A756)),$AB$3:AB755),1000))</f>
        <v>1070.1660779416209</v>
      </c>
      <c r="V756" s="126">
        <f t="shared" si="231"/>
        <v>1044.0047011437441</v>
      </c>
      <c r="W756">
        <f t="shared" si="232"/>
        <v>930.3271032636801</v>
      </c>
      <c r="X756">
        <f t="shared" si="233"/>
        <v>0.65799699834025505</v>
      </c>
      <c r="Y756">
        <f t="shared" si="234"/>
        <v>837.61800114846119</v>
      </c>
      <c r="Z756">
        <f t="shared" si="235"/>
        <v>0.79226856064573903</v>
      </c>
      <c r="AA756">
        <f>IF($D756="",0,IF($F756&lt;2,0,IF($E756="Win",('Guide &amp; Settings'!$C$42/(($F756-1)*COUNTIFS($A$4:$A$1510,$A756,$E$4:$E$1510,"Win")))*SUMIFS($Z$4:$Z$1510,$A$4:$A$1510,$A756,$E$4:$E$1510,"Loss"),-('Guide &amp; Settings'!$C$42/($F756-1))*$Z756)))</f>
        <v>-25.352593940663649</v>
      </c>
      <c r="AB756" s="126">
        <f t="shared" si="236"/>
        <v>1044.8134840009573</v>
      </c>
      <c r="AC756" s="126">
        <f>IF($D756="","",IF($AD756=0,0,IF(COUNTIFS($D$4:$D756,$D756,$B$4:$B756,$B756)&gt;1,0,IF($B756&lt;'Guide &amp; Settings'!$C$50,0,IF(($B756-$AD756)/7-'Guide &amp; Settings'!$C$48&gt;=0,(INT(($B756-$AD756)/7-'Guide &amp; Settings'!$C$48)+1)*'Guide &amp; Settings'!$C$49,0)))))</f>
        <v>0</v>
      </c>
      <c r="AD756" s="142">
        <f t="shared" si="237"/>
        <v>46291</v>
      </c>
      <c r="AE756">
        <f t="shared" si="238"/>
        <v>1</v>
      </c>
      <c r="AF756">
        <f t="shared" si="239"/>
        <v>0</v>
      </c>
    </row>
    <row r="757" spans="1:32" x14ac:dyDescent="0.2">
      <c r="A757" s="117">
        <v>320</v>
      </c>
      <c r="B757" s="118">
        <v>46303</v>
      </c>
      <c r="C757" s="119" t="s">
        <v>37</v>
      </c>
      <c r="D757" s="119" t="s">
        <v>19</v>
      </c>
      <c r="E757" s="117" t="s">
        <v>370</v>
      </c>
      <c r="F757" s="120">
        <f t="shared" si="220"/>
        <v>2</v>
      </c>
      <c r="G757" s="121" t="str">
        <f t="shared" si="221"/>
        <v>Josh</v>
      </c>
      <c r="H757" s="122">
        <f>IF($D757="",0,IFERROR(LOOKUP(2,1/(($D$3:D756=$D757)*($A$3:A756&lt;$A757)),$N$3:N756),'Guide &amp; Settings'!$C$41))</f>
        <v>1233.497020705217</v>
      </c>
      <c r="I757" s="123">
        <f t="shared" si="222"/>
        <v>0.52</v>
      </c>
      <c r="J757" s="124">
        <f>IF($D757="",0,IF($F757&lt;2,0,IF($E757="Win",('Guide &amp; Settings'!$C$42/(($F757-1)*COUNTIFS($A$4:$A$1510,$A757,$E$4:$E$1510,"Win")))*SUMIFS($X$4:$X$1510,$A$4:$A$1510,$A757,$E$4:$E$1510,"Loss"),-('Guide &amp; Settings'!$C$42/($F757-1))*$X757)))</f>
        <v>12.678816289448276</v>
      </c>
      <c r="K757" s="124">
        <f>IF($D757="",0,'Guide &amp; Settings'!$C$43*(IF($E757="Win",1,0)-$I757))</f>
        <v>5.76</v>
      </c>
      <c r="L757" s="125">
        <f>IF($D757="",0,'Guide &amp; Settings'!$C$44*IF($F757&gt;=3,$F757,0))</f>
        <v>0</v>
      </c>
      <c r="M757" s="124">
        <f t="shared" si="223"/>
        <v>18.438816289448276</v>
      </c>
      <c r="N757" s="122">
        <f t="shared" si="224"/>
        <v>1251.9358369946654</v>
      </c>
      <c r="O757" s="121" t="str">
        <f t="shared" si="225"/>
        <v>OK</v>
      </c>
      <c r="P757">
        <f t="shared" si="226"/>
        <v>1233.497020705217</v>
      </c>
      <c r="Q757">
        <f t="shared" si="227"/>
        <v>0.5</v>
      </c>
      <c r="R757">
        <f t="shared" si="228"/>
        <v>0.5</v>
      </c>
      <c r="S757">
        <f t="shared" si="229"/>
        <v>0.96153846153846156</v>
      </c>
      <c r="T757" s="89">
        <f t="shared" si="230"/>
        <v>4</v>
      </c>
      <c r="U757" s="126">
        <f>IF($D757="",0,IFERROR(LOOKUP(2,1/(($D$3:D756=$D757)*($C$3:C756=$C757)*($A$3:A756&lt;$A757)),$AB$3:AB756),1000))</f>
        <v>1001.4894058706261</v>
      </c>
      <c r="V757" s="126">
        <f t="shared" si="231"/>
        <v>1130.3825252231766</v>
      </c>
      <c r="W757">
        <f t="shared" si="232"/>
        <v>1130.3825252231766</v>
      </c>
      <c r="X757">
        <f t="shared" si="233"/>
        <v>0.5</v>
      </c>
      <c r="Y757">
        <f t="shared" si="234"/>
        <v>1001.4894058706261</v>
      </c>
      <c r="Z757">
        <f t="shared" si="235"/>
        <v>0.5</v>
      </c>
      <c r="AA757">
        <f>IF($D757="",0,IF($F757&lt;2,0,IF($E757="Win",('Guide &amp; Settings'!$C$42/(($F757-1)*COUNTIFS($A$4:$A$1510,$A757,$E$4:$E$1510,"Win")))*SUMIFS($Z$4:$Z$1510,$A$4:$A$1510,$A757,$E$4:$E$1510,"Loss"),-('Guide &amp; Settings'!$C$42/($F757-1))*$Z757)))</f>
        <v>15.380960705045043</v>
      </c>
      <c r="AB757" s="126">
        <f t="shared" si="236"/>
        <v>1016.8703665756711</v>
      </c>
      <c r="AC757" s="126">
        <f>IF($D757="","",IF($AD757=0,0,IF(COUNTIFS($D$4:$D757,$D757,$B$4:$B757,$B757)&gt;1,0,IF($B757&lt;'Guide &amp; Settings'!$C$50,0,IF(($B757-$AD757)/7-'Guide &amp; Settings'!$C$48&gt;=0,(INT(($B757-$AD757)/7-'Guide &amp; Settings'!$C$48)+1)*'Guide &amp; Settings'!$C$49,0)))))</f>
        <v>0</v>
      </c>
      <c r="AD757" s="142">
        <f t="shared" si="237"/>
        <v>46292</v>
      </c>
      <c r="AE757">
        <f t="shared" si="238"/>
        <v>1</v>
      </c>
      <c r="AF757">
        <f t="shared" si="239"/>
        <v>0</v>
      </c>
    </row>
    <row r="758" spans="1:32" x14ac:dyDescent="0.2">
      <c r="A758" s="117">
        <v>320</v>
      </c>
      <c r="B758" s="118">
        <v>46303</v>
      </c>
      <c r="C758" s="119" t="s">
        <v>37</v>
      </c>
      <c r="D758" s="119" t="s">
        <v>22</v>
      </c>
      <c r="E758" s="117" t="s">
        <v>371</v>
      </c>
      <c r="F758" s="120">
        <f t="shared" si="220"/>
        <v>2</v>
      </c>
      <c r="G758" s="121" t="str">
        <f t="shared" si="221"/>
        <v>Josh</v>
      </c>
      <c r="H758" s="122">
        <f>IF($D758="",0,IFERROR(LOOKUP(2,1/(($D$3:D757=$D758)*($A$3:A757&lt;$A758)),$N$3:N757),'Guide &amp; Settings'!$C$41))</f>
        <v>1209.3527190435154</v>
      </c>
      <c r="I758" s="123">
        <f t="shared" si="222"/>
        <v>0.48000000000000004</v>
      </c>
      <c r="J758" s="124">
        <f>IF($D758="",0,IF($F758&lt;2,0,IF($E758="Win",('Guide &amp; Settings'!$C$42/(($F758-1)*COUNTIFS($A$4:$A$1510,$A758,$E$4:$E$1510,"Win")))*SUMIFS($X$4:$X$1510,$A$4:$A$1510,$A758,$E$4:$E$1510,"Loss"),-('Guide &amp; Settings'!$C$42/($F758-1))*$X758)))</f>
        <v>-12.678816289448276</v>
      </c>
      <c r="K758" s="124">
        <f>IF($D758="",0,'Guide &amp; Settings'!$C$43*(IF($E758="Win",1,0)-$I758))</f>
        <v>-5.7600000000000007</v>
      </c>
      <c r="L758" s="125">
        <f>IF($D758="",0,'Guide &amp; Settings'!$C$44*IF($F758&gt;=3,$F758,0))</f>
        <v>0</v>
      </c>
      <c r="M758" s="124">
        <f t="shared" si="223"/>
        <v>-18.438816289448276</v>
      </c>
      <c r="N758" s="122">
        <f t="shared" si="224"/>
        <v>1190.9139027540671</v>
      </c>
      <c r="O758" s="121" t="str">
        <f t="shared" si="225"/>
        <v>OK</v>
      </c>
      <c r="P758">
        <f t="shared" si="226"/>
        <v>1233.497020705217</v>
      </c>
      <c r="Q758">
        <f t="shared" si="227"/>
        <v>0.46530938220223139</v>
      </c>
      <c r="R758">
        <f t="shared" si="228"/>
        <v>0.46153846153846156</v>
      </c>
      <c r="S758">
        <f t="shared" si="229"/>
        <v>0.96153846153846156</v>
      </c>
      <c r="T758" s="89">
        <f t="shared" si="230"/>
        <v>11</v>
      </c>
      <c r="U758" s="126">
        <f>IF($D758="",0,IFERROR(LOOKUP(2,1/(($D$3:D757=$D758)*($C$3:C757=$C758)*($A$3:A757&lt;$A758)),$AB$3:AB757),1000))</f>
        <v>988.04042504575511</v>
      </c>
      <c r="V758" s="126">
        <f t="shared" si="231"/>
        <v>1057.2005169200552</v>
      </c>
      <c r="W758">
        <f t="shared" si="232"/>
        <v>1130.3825252231766</v>
      </c>
      <c r="X758">
        <f t="shared" si="233"/>
        <v>0.39621300904525864</v>
      </c>
      <c r="Y758">
        <f t="shared" si="234"/>
        <v>1001.4894058706261</v>
      </c>
      <c r="Z758">
        <f t="shared" si="235"/>
        <v>0.48065502203265759</v>
      </c>
      <c r="AA758">
        <f>IF($D758="",0,IF($F758&lt;2,0,IF($E758="Win",('Guide &amp; Settings'!$C$42/(($F758-1)*COUNTIFS($A$4:$A$1510,$A758,$E$4:$E$1510,"Win")))*SUMIFS($Z$4:$Z$1510,$A$4:$A$1510,$A758,$E$4:$E$1510,"Loss"),-('Guide &amp; Settings'!$C$42/($F758-1))*$Z758)))</f>
        <v>-15.380960705045043</v>
      </c>
      <c r="AB758" s="126">
        <f t="shared" si="236"/>
        <v>972.65946434071009</v>
      </c>
      <c r="AC758" s="126">
        <f>IF($D758="","",IF($AD758=0,0,IF(COUNTIFS($D$4:$D758,$D758,$B$4:$B758,$B758)&gt;1,0,IF($B758&lt;'Guide &amp; Settings'!$C$50,0,IF(($B758-$AD758)/7-'Guide &amp; Settings'!$C$48&gt;=0,(INT(($B758-$AD758)/7-'Guide &amp; Settings'!$C$48)+1)*'Guide &amp; Settings'!$C$49,0)))))</f>
        <v>0</v>
      </c>
      <c r="AD758" s="142">
        <f t="shared" si="237"/>
        <v>46298</v>
      </c>
      <c r="AE758">
        <f t="shared" si="238"/>
        <v>1</v>
      </c>
      <c r="AF758">
        <f t="shared" si="239"/>
        <v>0</v>
      </c>
    </row>
    <row r="759" spans="1:32" x14ac:dyDescent="0.2">
      <c r="A759" s="117">
        <v>321</v>
      </c>
      <c r="B759" s="118">
        <v>46319</v>
      </c>
      <c r="C759" s="119" t="s">
        <v>34</v>
      </c>
      <c r="D759" s="119" t="s">
        <v>21</v>
      </c>
      <c r="E759" s="117" t="s">
        <v>371</v>
      </c>
      <c r="F759" s="120">
        <f t="shared" si="220"/>
        <v>2</v>
      </c>
      <c r="G759" s="121" t="str">
        <f t="shared" si="221"/>
        <v>Oscar</v>
      </c>
      <c r="H759" s="122">
        <f>IF($D759="",0,IFERROR(LOOKUP(2,1/(($D$3:D758=$D759)*($A$3:A758&lt;$A759)),$N$3:N758),'Guide &amp; Settings'!$C$41))</f>
        <v>1215.996181687143</v>
      </c>
      <c r="I759" s="123">
        <f t="shared" si="222"/>
        <v>0.33333333333333331</v>
      </c>
      <c r="J759" s="124">
        <f>IF($D759="",0,IF($F759&lt;2,0,IF($E759="Win",('Guide &amp; Settings'!$C$42/(($F759-1)*COUNTIFS($A$4:$A$1510,$A759,$E$4:$E$1510,"Win")))*SUMIFS($X$4:$X$1510,$A$4:$A$1510,$A759,$E$4:$E$1510,"Loss"),-('Guide &amp; Settings'!$C$42/($F759-1))*$X759)))</f>
        <v>-22.814989876150666</v>
      </c>
      <c r="K759" s="124">
        <f>IF($D759="",0,'Guide &amp; Settings'!$C$43*(IF($E759="Win",1,0)-$I759))</f>
        <v>-4</v>
      </c>
      <c r="L759" s="125">
        <f>IF($D759="",0,'Guide &amp; Settings'!$C$44*IF($F759&gt;=3,$F759,0))</f>
        <v>0</v>
      </c>
      <c r="M759" s="124">
        <f t="shared" si="223"/>
        <v>-26.814989876150666</v>
      </c>
      <c r="N759" s="122">
        <f t="shared" si="224"/>
        <v>1189.1811918109922</v>
      </c>
      <c r="O759" s="121" t="str">
        <f t="shared" si="225"/>
        <v>OK</v>
      </c>
      <c r="P759">
        <f t="shared" si="226"/>
        <v>949.07453636021216</v>
      </c>
      <c r="Q759">
        <f t="shared" si="227"/>
        <v>0.82295892223975453</v>
      </c>
      <c r="R759">
        <f t="shared" si="228"/>
        <v>0.2</v>
      </c>
      <c r="S759">
        <f t="shared" si="229"/>
        <v>0.60000000000000009</v>
      </c>
      <c r="T759" s="89">
        <f t="shared" si="230"/>
        <v>3</v>
      </c>
      <c r="U759" s="126">
        <f>IF($D759="",0,IFERROR(LOOKUP(2,1/(($D$3:D758=$D759)*($C$3:C758=$C759)*($A$3:A758&lt;$A759)),$AB$3:AB758),1000))</f>
        <v>984.18398397467593</v>
      </c>
      <c r="V759" s="126">
        <f t="shared" si="231"/>
        <v>1129.0666075449678</v>
      </c>
      <c r="W759">
        <f t="shared" si="232"/>
        <v>971.01035111751526</v>
      </c>
      <c r="X759">
        <f t="shared" si="233"/>
        <v>0.7129684336297083</v>
      </c>
      <c r="Y759">
        <f t="shared" si="234"/>
        <v>1007.570042379687</v>
      </c>
      <c r="Z759">
        <f t="shared" si="235"/>
        <v>0.46639549192708279</v>
      </c>
      <c r="AA759">
        <f>IF($D759="",0,IF($F759&lt;2,0,IF($E759="Win",('Guide &amp; Settings'!$C$42/(($F759-1)*COUNTIFS($A$4:$A$1510,$A759,$E$4:$E$1510,"Win")))*SUMIFS($Z$4:$Z$1510,$A$4:$A$1510,$A759,$E$4:$E$1510,"Loss"),-('Guide &amp; Settings'!$C$42/($F759-1))*$Z759)))</f>
        <v>-14.924655741666649</v>
      </c>
      <c r="AB759" s="126">
        <f t="shared" si="236"/>
        <v>969.25932823300923</v>
      </c>
      <c r="AC759" s="126">
        <f>IF($D759="","",IF($AD759=0,0,IF(COUNTIFS($D$4:$D759,$D759,$B$4:$B759,$B759)&gt;1,0,IF($B759&lt;'Guide &amp; Settings'!$C$50,0,IF(($B759-$AD759)/7-'Guide &amp; Settings'!$C$48&gt;=0,(INT(($B759-$AD759)/7-'Guide &amp; Settings'!$C$48)+1)*'Guide &amp; Settings'!$C$49,0)))))</f>
        <v>30</v>
      </c>
      <c r="AD759" s="142">
        <f t="shared" si="237"/>
        <v>46271</v>
      </c>
      <c r="AE759">
        <f t="shared" si="238"/>
        <v>1</v>
      </c>
      <c r="AF759">
        <f t="shared" si="239"/>
        <v>0</v>
      </c>
    </row>
    <row r="760" spans="1:32" x14ac:dyDescent="0.2">
      <c r="A760" s="117">
        <v>321</v>
      </c>
      <c r="B760" s="118">
        <v>46319</v>
      </c>
      <c r="C760" s="119" t="s">
        <v>34</v>
      </c>
      <c r="D760" s="119" t="s">
        <v>25</v>
      </c>
      <c r="E760" s="117" t="s">
        <v>370</v>
      </c>
      <c r="F760" s="120">
        <f t="shared" si="220"/>
        <v>2</v>
      </c>
      <c r="G760" s="121" t="str">
        <f t="shared" si="221"/>
        <v>Oscar</v>
      </c>
      <c r="H760" s="122">
        <f>IF($D760="",0,IFERROR(LOOKUP(2,1/(($D$3:D759=$D760)*($A$3:A759&lt;$A760)),$N$3:N759),'Guide &amp; Settings'!$C$41))</f>
        <v>949.07453636021216</v>
      </c>
      <c r="I760" s="123">
        <f t="shared" si="222"/>
        <v>0.66666666666666663</v>
      </c>
      <c r="J760" s="124">
        <f>IF($D760="",0,IF($F760&lt;2,0,IF($E760="Win",('Guide &amp; Settings'!$C$42/(($F760-1)*COUNTIFS($A$4:$A$1510,$A760,$E$4:$E$1510,"Win")))*SUMIFS($X$4:$X$1510,$A$4:$A$1510,$A760,$E$4:$E$1510,"Loss"),-('Guide &amp; Settings'!$C$42/($F760-1))*$X760)))</f>
        <v>22.814989876150666</v>
      </c>
      <c r="K760" s="124">
        <f>IF($D760="",0,'Guide &amp; Settings'!$C$43*(IF($E760="Win",1,0)-$I760))</f>
        <v>4</v>
      </c>
      <c r="L760" s="125">
        <f>IF($D760="",0,'Guide &amp; Settings'!$C$44*IF($F760&gt;=3,$F760,0))</f>
        <v>0</v>
      </c>
      <c r="M760" s="124">
        <f t="shared" si="223"/>
        <v>26.814989876150666</v>
      </c>
      <c r="N760" s="122">
        <f t="shared" si="224"/>
        <v>975.88952623636283</v>
      </c>
      <c r="O760" s="121" t="str">
        <f t="shared" si="225"/>
        <v>OK</v>
      </c>
      <c r="P760">
        <f t="shared" si="226"/>
        <v>949.07453636021216</v>
      </c>
      <c r="Q760">
        <f t="shared" si="227"/>
        <v>0.5</v>
      </c>
      <c r="R760">
        <f t="shared" si="228"/>
        <v>0.4</v>
      </c>
      <c r="S760">
        <f t="shared" si="229"/>
        <v>0.60000000000000009</v>
      </c>
      <c r="T760" s="89">
        <f t="shared" si="230"/>
        <v>3</v>
      </c>
      <c r="U760" s="126">
        <f>IF($D760="",0,IFERROR(LOOKUP(2,1/(($D$3:D759=$D760)*($C$3:C759=$C760)*($A$3:A759&lt;$A760)),$AB$3:AB759),1000))</f>
        <v>1007.570042379687</v>
      </c>
      <c r="V760" s="126">
        <f t="shared" si="231"/>
        <v>971.01035111751526</v>
      </c>
      <c r="W760">
        <f t="shared" si="232"/>
        <v>971.01035111751526</v>
      </c>
      <c r="X760">
        <f t="shared" si="233"/>
        <v>0.5</v>
      </c>
      <c r="Y760">
        <f t="shared" si="234"/>
        <v>1007.570042379687</v>
      </c>
      <c r="Z760">
        <f t="shared" si="235"/>
        <v>0.5</v>
      </c>
      <c r="AA760">
        <f>IF($D760="",0,IF($F760&lt;2,0,IF($E760="Win",('Guide &amp; Settings'!$C$42/(($F760-1)*COUNTIFS($A$4:$A$1510,$A760,$E$4:$E$1510,"Win")))*SUMIFS($Z$4:$Z$1510,$A$4:$A$1510,$A760,$E$4:$E$1510,"Loss"),-('Guide &amp; Settings'!$C$42/($F760-1))*$Z760)))</f>
        <v>14.924655741666649</v>
      </c>
      <c r="AB760" s="126">
        <f t="shared" si="236"/>
        <v>1022.4946981213537</v>
      </c>
      <c r="AC760" s="126">
        <f>IF($D760="","",IF($AD760=0,0,IF(COUNTIFS($D$4:$D760,$D760,$B$4:$B760,$B760)&gt;1,0,IF($B760&lt;'Guide &amp; Settings'!$C$50,0,IF(($B760-$AD760)/7-'Guide &amp; Settings'!$C$48&gt;=0,(INT(($B760-$AD760)/7-'Guide &amp; Settings'!$C$48)+1)*'Guide &amp; Settings'!$C$49,0)))))</f>
        <v>0</v>
      </c>
      <c r="AD760" s="142">
        <f t="shared" si="237"/>
        <v>46303</v>
      </c>
      <c r="AE760">
        <f t="shared" si="238"/>
        <v>1</v>
      </c>
      <c r="AF760">
        <f t="shared" si="239"/>
        <v>0</v>
      </c>
    </row>
    <row r="761" spans="1:32" x14ac:dyDescent="0.2">
      <c r="A761" s="117">
        <v>322</v>
      </c>
      <c r="B761" s="118">
        <v>46319</v>
      </c>
      <c r="C761" s="119" t="s">
        <v>34</v>
      </c>
      <c r="D761" s="119" t="s">
        <v>21</v>
      </c>
      <c r="E761" s="117" t="s">
        <v>370</v>
      </c>
      <c r="F761" s="120">
        <f t="shared" si="220"/>
        <v>2</v>
      </c>
      <c r="G761" s="121" t="str">
        <f t="shared" si="221"/>
        <v>Simon</v>
      </c>
      <c r="H761" s="122">
        <f>IF($D761="",0,IFERROR(LOOKUP(2,1/(($D$3:D760=$D761)*($A$3:A760&lt;$A761)),$N$3:N760),'Guide &amp; Settings'!$C$41))</f>
        <v>1189.1811918109922</v>
      </c>
      <c r="I761" s="123">
        <f t="shared" si="222"/>
        <v>0.25</v>
      </c>
      <c r="J761" s="124">
        <f>IF($D761="",0,IF($F761&lt;2,0,IF($E761="Win",('Guide &amp; Settings'!$C$42/(($F761-1)*COUNTIFS($A$4:$A$1510,$A761,$E$4:$E$1510,"Win")))*SUMIFS($X$4:$X$1510,$A$4:$A$1510,$A761,$E$4:$E$1510,"Loss"),-('Guide &amp; Settings'!$C$42/($F761-1))*$X761)))</f>
        <v>11.738003292993543</v>
      </c>
      <c r="K761" s="124">
        <f>IF($D761="",0,'Guide &amp; Settings'!$C$43*(IF($E761="Win",1,0)-$I761))</f>
        <v>9</v>
      </c>
      <c r="L761" s="125">
        <f>IF($D761="",0,'Guide &amp; Settings'!$C$44*IF($F761&gt;=3,$F761,0))</f>
        <v>0</v>
      </c>
      <c r="M761" s="124">
        <f t="shared" si="223"/>
        <v>20.738003292993543</v>
      </c>
      <c r="N761" s="122">
        <f t="shared" si="224"/>
        <v>1209.9191951039859</v>
      </c>
      <c r="O761" s="121" t="str">
        <f t="shared" si="225"/>
        <v>OK</v>
      </c>
      <c r="P761">
        <f t="shared" si="226"/>
        <v>1189.1811918109922</v>
      </c>
      <c r="Q761">
        <f t="shared" si="227"/>
        <v>0.5</v>
      </c>
      <c r="R761">
        <f t="shared" si="228"/>
        <v>0.16666666666666666</v>
      </c>
      <c r="S761">
        <f t="shared" si="229"/>
        <v>0.66666666666666663</v>
      </c>
      <c r="T761" s="89">
        <f t="shared" si="230"/>
        <v>4</v>
      </c>
      <c r="U761" s="126">
        <f>IF($D761="",0,IFERROR(LOOKUP(2,1/(($D$3:D760=$D761)*($C$3:C760=$C761)*($A$3:A760&lt;$A761)),$AB$3:AB760),1000))</f>
        <v>969.25932823300923</v>
      </c>
      <c r="V761" s="126">
        <f t="shared" si="231"/>
        <v>1091.4381413318886</v>
      </c>
      <c r="W761">
        <f t="shared" si="232"/>
        <v>1091.4381413318886</v>
      </c>
      <c r="X761">
        <f t="shared" si="233"/>
        <v>0.5</v>
      </c>
      <c r="Y761">
        <f t="shared" si="234"/>
        <v>969.25932823300923</v>
      </c>
      <c r="Z761">
        <f t="shared" si="235"/>
        <v>0.5</v>
      </c>
      <c r="AA761">
        <f>IF($D761="",0,IF($F761&lt;2,0,IF($E761="Win",('Guide &amp; Settings'!$C$42/(($F761-1)*COUNTIFS($A$4:$A$1510,$A761,$E$4:$E$1510,"Win")))*SUMIFS($Z$4:$Z$1510,$A$4:$A$1510,$A761,$E$4:$E$1510,"Loss"),-('Guide &amp; Settings'!$C$42/($F761-1))*$Z761)))</f>
        <v>18.43257220269383</v>
      </c>
      <c r="AB761" s="126">
        <f t="shared" si="236"/>
        <v>987.69190043570302</v>
      </c>
      <c r="AC761" s="126">
        <f>IF($D761="","",IF($AD761=0,0,IF(COUNTIFS($D$4:$D761,$D761,$B$4:$B761,$B761)&gt;1,0,IF($B761&lt;'Guide &amp; Settings'!$C$50,0,IF(($B761-$AD761)/7-'Guide &amp; Settings'!$C$48&gt;=0,(INT(($B761-$AD761)/7-'Guide &amp; Settings'!$C$48)+1)*'Guide &amp; Settings'!$C$49,0)))))</f>
        <v>0</v>
      </c>
      <c r="AD761" s="142">
        <f t="shared" si="237"/>
        <v>46271</v>
      </c>
      <c r="AE761">
        <f t="shared" si="238"/>
        <v>1</v>
      </c>
      <c r="AF761">
        <f t="shared" si="239"/>
        <v>0</v>
      </c>
    </row>
    <row r="762" spans="1:32" x14ac:dyDescent="0.2">
      <c r="A762" s="117">
        <v>322</v>
      </c>
      <c r="B762" s="118">
        <v>46319</v>
      </c>
      <c r="C762" s="119" t="s">
        <v>34</v>
      </c>
      <c r="D762" s="119" t="s">
        <v>25</v>
      </c>
      <c r="E762" s="117" t="s">
        <v>371</v>
      </c>
      <c r="F762" s="120">
        <f t="shared" si="220"/>
        <v>2</v>
      </c>
      <c r="G762" s="121" t="str">
        <f t="shared" si="221"/>
        <v>Simon</v>
      </c>
      <c r="H762" s="122">
        <f>IF($D762="",0,IFERROR(LOOKUP(2,1/(($D$3:D761=$D762)*($A$3:A761&lt;$A762)),$N$3:N761),'Guide &amp; Settings'!$C$41))</f>
        <v>975.88952623636283</v>
      </c>
      <c r="I762" s="123">
        <f t="shared" si="222"/>
        <v>0.75</v>
      </c>
      <c r="J762" s="124">
        <f>IF($D762="",0,IF($F762&lt;2,0,IF($E762="Win",('Guide &amp; Settings'!$C$42/(($F762-1)*COUNTIFS($A$4:$A$1510,$A762,$E$4:$E$1510,"Win")))*SUMIFS($X$4:$X$1510,$A$4:$A$1510,$A762,$E$4:$E$1510,"Loss"),-('Guide &amp; Settings'!$C$42/($F762-1))*$X762)))</f>
        <v>-11.738003292993543</v>
      </c>
      <c r="K762" s="124">
        <f>IF($D762="",0,'Guide &amp; Settings'!$C$43*(IF($E762="Win",1,0)-$I762))</f>
        <v>-9</v>
      </c>
      <c r="L762" s="125">
        <f>IF($D762="",0,'Guide &amp; Settings'!$C$44*IF($F762&gt;=3,$F762,0))</f>
        <v>0</v>
      </c>
      <c r="M762" s="124">
        <f t="shared" si="223"/>
        <v>-20.738003292993543</v>
      </c>
      <c r="N762" s="122">
        <f t="shared" si="224"/>
        <v>955.15152294336929</v>
      </c>
      <c r="O762" s="121" t="str">
        <f t="shared" si="225"/>
        <v>OK</v>
      </c>
      <c r="P762">
        <f t="shared" si="226"/>
        <v>1189.1811918109922</v>
      </c>
      <c r="Q762">
        <f t="shared" si="227"/>
        <v>0.22656574112692776</v>
      </c>
      <c r="R762">
        <f t="shared" si="228"/>
        <v>0.5</v>
      </c>
      <c r="S762">
        <f t="shared" si="229"/>
        <v>0.66666666666666663</v>
      </c>
      <c r="T762" s="89">
        <f t="shared" si="230"/>
        <v>4</v>
      </c>
      <c r="U762" s="126">
        <f>IF($D762="",0,IFERROR(LOOKUP(2,1/(($D$3:D761=$D762)*($C$3:C761=$C762)*($A$3:A761&lt;$A762)),$AB$3:AB761),1000))</f>
        <v>1022.4946981213537</v>
      </c>
      <c r="V762" s="126">
        <f t="shared" si="231"/>
        <v>996.60293596302552</v>
      </c>
      <c r="W762">
        <f t="shared" si="232"/>
        <v>1091.4381413318886</v>
      </c>
      <c r="X762">
        <f t="shared" si="233"/>
        <v>0.36681260290604822</v>
      </c>
      <c r="Y762">
        <f t="shared" si="234"/>
        <v>969.25932823300923</v>
      </c>
      <c r="Z762">
        <f t="shared" si="235"/>
        <v>0.57601788133418219</v>
      </c>
      <c r="AA762">
        <f>IF($D762="",0,IF($F762&lt;2,0,IF($E762="Win",('Guide &amp; Settings'!$C$42/(($F762-1)*COUNTIFS($A$4:$A$1510,$A762,$E$4:$E$1510,"Win")))*SUMIFS($Z$4:$Z$1510,$A$4:$A$1510,$A762,$E$4:$E$1510,"Loss"),-('Guide &amp; Settings'!$C$42/($F762-1))*$Z762)))</f>
        <v>-18.43257220269383</v>
      </c>
      <c r="AB762" s="126">
        <f t="shared" si="236"/>
        <v>1004.0621259186599</v>
      </c>
      <c r="AC762" s="126">
        <f>IF($D762="","",IF($AD762=0,0,IF(COUNTIFS($D$4:$D762,$D762,$B$4:$B762,$B762)&gt;1,0,IF($B762&lt;'Guide &amp; Settings'!$C$50,0,IF(($B762-$AD762)/7-'Guide &amp; Settings'!$C$48&gt;=0,(INT(($B762-$AD762)/7-'Guide &amp; Settings'!$C$48)+1)*'Guide &amp; Settings'!$C$49,0)))))</f>
        <v>0</v>
      </c>
      <c r="AD762" s="142">
        <f t="shared" si="237"/>
        <v>46303</v>
      </c>
      <c r="AE762">
        <f t="shared" si="238"/>
        <v>1</v>
      </c>
      <c r="AF762">
        <f t="shared" si="239"/>
        <v>0</v>
      </c>
    </row>
    <row r="763" spans="1:32" x14ac:dyDescent="0.2">
      <c r="A763" s="117">
        <v>323</v>
      </c>
      <c r="B763" s="118">
        <v>46319</v>
      </c>
      <c r="C763" s="119" t="s">
        <v>34</v>
      </c>
      <c r="D763" s="119" t="s">
        <v>21</v>
      </c>
      <c r="E763" s="117" t="s">
        <v>371</v>
      </c>
      <c r="F763" s="120">
        <f t="shared" si="220"/>
        <v>2</v>
      </c>
      <c r="G763" s="121" t="str">
        <f t="shared" si="221"/>
        <v>Oscar</v>
      </c>
      <c r="H763" s="122">
        <f>IF($D763="",0,IFERROR(LOOKUP(2,1/(($D$3:D762=$D763)*($A$3:A762&lt;$A763)),$N$3:N762),'Guide &amp; Settings'!$C$41))</f>
        <v>1209.9191951039859</v>
      </c>
      <c r="I763" s="123">
        <f t="shared" si="222"/>
        <v>0.4</v>
      </c>
      <c r="J763" s="124">
        <f>IF($D763="",0,IF($F763&lt;2,0,IF($E763="Win",('Guide &amp; Settings'!$C$42/(($F763-1)*COUNTIFS($A$4:$A$1510,$A763,$E$4:$E$1510,"Win")))*SUMIFS($X$4:$X$1510,$A$4:$A$1510,$A763,$E$4:$E$1510,"Loss"),-('Guide &amp; Settings'!$C$42/($F763-1))*$X763)))</f>
        <v>-21.283610434170811</v>
      </c>
      <c r="K763" s="124">
        <f>IF($D763="",0,'Guide &amp; Settings'!$C$43*(IF($E763="Win",1,0)-$I763))</f>
        <v>-4.8000000000000007</v>
      </c>
      <c r="L763" s="125">
        <f>IF($D763="",0,'Guide &amp; Settings'!$C$44*IF($F763&gt;=3,$F763,0))</f>
        <v>0</v>
      </c>
      <c r="M763" s="124">
        <f t="shared" si="223"/>
        <v>-26.083610434170811</v>
      </c>
      <c r="N763" s="122">
        <f t="shared" si="224"/>
        <v>1183.835584669815</v>
      </c>
      <c r="O763" s="121" t="str">
        <f t="shared" si="225"/>
        <v>OK</v>
      </c>
      <c r="P763">
        <f t="shared" si="226"/>
        <v>955.15152294336929</v>
      </c>
      <c r="Q763">
        <f t="shared" si="227"/>
        <v>0.81253405276246937</v>
      </c>
      <c r="R763">
        <f t="shared" si="228"/>
        <v>0.2857142857142857</v>
      </c>
      <c r="S763">
        <f t="shared" si="229"/>
        <v>0.71428571428571419</v>
      </c>
      <c r="T763" s="89">
        <f t="shared" si="230"/>
        <v>5</v>
      </c>
      <c r="U763" s="126">
        <f>IF($D763="",0,IFERROR(LOOKUP(2,1/(($D$3:D762=$D763)*($C$3:C762=$C763)*($A$3:A762&lt;$A763)),$AB$3:AB762),1000))</f>
        <v>987.69190043570302</v>
      </c>
      <c r="V763" s="126">
        <f t="shared" si="231"/>
        <v>1098.8055477698445</v>
      </c>
      <c r="W763">
        <f t="shared" si="232"/>
        <v>979.60682443101462</v>
      </c>
      <c r="X763">
        <f t="shared" si="233"/>
        <v>0.66511282606783784</v>
      </c>
      <c r="Y763">
        <f t="shared" si="234"/>
        <v>1004.0621259186599</v>
      </c>
      <c r="Z763">
        <f t="shared" si="235"/>
        <v>0.47645877001459574</v>
      </c>
      <c r="AA763">
        <f>IF($D763="",0,IF($F763&lt;2,0,IF($E763="Win",('Guide &amp; Settings'!$C$42/(($F763-1)*COUNTIFS($A$4:$A$1510,$A763,$E$4:$E$1510,"Win")))*SUMIFS($Z$4:$Z$1510,$A$4:$A$1510,$A763,$E$4:$E$1510,"Loss"),-('Guide &amp; Settings'!$C$42/($F763-1))*$Z763)))</f>
        <v>-15.246680640467064</v>
      </c>
      <c r="AB763" s="126">
        <f t="shared" si="236"/>
        <v>972.44521979523597</v>
      </c>
      <c r="AC763" s="126">
        <f>IF($D763="","",IF($AD763=0,0,IF(COUNTIFS($D$4:$D763,$D763,$B$4:$B763,$B763)&gt;1,0,IF($B763&lt;'Guide &amp; Settings'!$C$50,0,IF(($B763-$AD763)/7-'Guide &amp; Settings'!$C$48&gt;=0,(INT(($B763-$AD763)/7-'Guide &amp; Settings'!$C$48)+1)*'Guide &amp; Settings'!$C$49,0)))))</f>
        <v>0</v>
      </c>
      <c r="AD763" s="142">
        <f t="shared" si="237"/>
        <v>46271</v>
      </c>
      <c r="AE763">
        <f t="shared" si="238"/>
        <v>1</v>
      </c>
      <c r="AF763">
        <f t="shared" si="239"/>
        <v>0</v>
      </c>
    </row>
    <row r="764" spans="1:32" x14ac:dyDescent="0.2">
      <c r="A764" s="117">
        <v>323</v>
      </c>
      <c r="B764" s="118">
        <v>46319</v>
      </c>
      <c r="C764" s="119" t="s">
        <v>34</v>
      </c>
      <c r="D764" s="119" t="s">
        <v>25</v>
      </c>
      <c r="E764" s="117" t="s">
        <v>370</v>
      </c>
      <c r="F764" s="120">
        <f t="shared" si="220"/>
        <v>2</v>
      </c>
      <c r="G764" s="121" t="str">
        <f t="shared" si="221"/>
        <v>Oscar</v>
      </c>
      <c r="H764" s="122">
        <f>IF($D764="",0,IFERROR(LOOKUP(2,1/(($D$3:D763=$D764)*($A$3:A763&lt;$A764)),$N$3:N763),'Guide &amp; Settings'!$C$41))</f>
        <v>955.15152294336929</v>
      </c>
      <c r="I764" s="123">
        <f t="shared" si="222"/>
        <v>0.60000000000000009</v>
      </c>
      <c r="J764" s="124">
        <f>IF($D764="",0,IF($F764&lt;2,0,IF($E764="Win",('Guide &amp; Settings'!$C$42/(($F764-1)*COUNTIFS($A$4:$A$1510,$A764,$E$4:$E$1510,"Win")))*SUMIFS($X$4:$X$1510,$A$4:$A$1510,$A764,$E$4:$E$1510,"Loss"),-('Guide &amp; Settings'!$C$42/($F764-1))*$X764)))</f>
        <v>21.283610434170811</v>
      </c>
      <c r="K764" s="124">
        <f>IF($D764="",0,'Guide &amp; Settings'!$C$43*(IF($E764="Win",1,0)-$I764))</f>
        <v>4.7999999999999989</v>
      </c>
      <c r="L764" s="125">
        <f>IF($D764="",0,'Guide &amp; Settings'!$C$44*IF($F764&gt;=3,$F764,0))</f>
        <v>0</v>
      </c>
      <c r="M764" s="124">
        <f t="shared" si="223"/>
        <v>26.083610434170808</v>
      </c>
      <c r="N764" s="122">
        <f t="shared" si="224"/>
        <v>981.23513337754014</v>
      </c>
      <c r="O764" s="121" t="str">
        <f t="shared" si="225"/>
        <v>OK</v>
      </c>
      <c r="P764">
        <f t="shared" si="226"/>
        <v>955.15152294336929</v>
      </c>
      <c r="Q764">
        <f t="shared" si="227"/>
        <v>0.5</v>
      </c>
      <c r="R764">
        <f t="shared" si="228"/>
        <v>0.42857142857142855</v>
      </c>
      <c r="S764">
        <f t="shared" si="229"/>
        <v>0.71428571428571419</v>
      </c>
      <c r="T764" s="89">
        <f t="shared" si="230"/>
        <v>5</v>
      </c>
      <c r="U764" s="126">
        <f>IF($D764="",0,IFERROR(LOOKUP(2,1/(($D$3:D763=$D764)*($C$3:C763=$C764)*($A$3:A763&lt;$A764)),$AB$3:AB763),1000))</f>
        <v>1004.0621259186599</v>
      </c>
      <c r="V764" s="126">
        <f t="shared" si="231"/>
        <v>979.60682443101462</v>
      </c>
      <c r="W764">
        <f t="shared" si="232"/>
        <v>979.60682443101462</v>
      </c>
      <c r="X764">
        <f t="shared" si="233"/>
        <v>0.5</v>
      </c>
      <c r="Y764">
        <f t="shared" si="234"/>
        <v>1004.0621259186599</v>
      </c>
      <c r="Z764">
        <f t="shared" si="235"/>
        <v>0.5</v>
      </c>
      <c r="AA764">
        <f>IF($D764="",0,IF($F764&lt;2,0,IF($E764="Win",('Guide &amp; Settings'!$C$42/(($F764-1)*COUNTIFS($A$4:$A$1510,$A764,$E$4:$E$1510,"Win")))*SUMIFS($Z$4:$Z$1510,$A$4:$A$1510,$A764,$E$4:$E$1510,"Loss"),-('Guide &amp; Settings'!$C$42/($F764-1))*$Z764)))</f>
        <v>15.246680640467064</v>
      </c>
      <c r="AB764" s="126">
        <f t="shared" si="236"/>
        <v>1019.308806559127</v>
      </c>
      <c r="AC764" s="126">
        <f>IF($D764="","",IF($AD764=0,0,IF(COUNTIFS($D$4:$D764,$D764,$B$4:$B764,$B764)&gt;1,0,IF($B764&lt;'Guide &amp; Settings'!$C$50,0,IF(($B764-$AD764)/7-'Guide &amp; Settings'!$C$48&gt;=0,(INT(($B764-$AD764)/7-'Guide &amp; Settings'!$C$48)+1)*'Guide &amp; Settings'!$C$49,0)))))</f>
        <v>0</v>
      </c>
      <c r="AD764" s="142">
        <f t="shared" si="237"/>
        <v>46303</v>
      </c>
      <c r="AE764">
        <f t="shared" si="238"/>
        <v>1</v>
      </c>
      <c r="AF764">
        <f t="shared" si="239"/>
        <v>0</v>
      </c>
    </row>
    <row r="765" spans="1:32" x14ac:dyDescent="0.2">
      <c r="A765" s="117">
        <v>324</v>
      </c>
      <c r="B765" s="118">
        <v>46319</v>
      </c>
      <c r="C765" s="119" t="s">
        <v>34</v>
      </c>
      <c r="D765" s="119" t="s">
        <v>21</v>
      </c>
      <c r="E765" s="117" t="s">
        <v>370</v>
      </c>
      <c r="F765" s="120">
        <f t="shared" si="220"/>
        <v>3</v>
      </c>
      <c r="G765" s="121" t="str">
        <f t="shared" si="221"/>
        <v>Simon</v>
      </c>
      <c r="H765" s="122">
        <f>IF($D765="",0,IFERROR(LOOKUP(2,1/(($D$3:D764=$D765)*($A$3:A764&lt;$A765)),$N$3:N764),'Guide &amp; Settings'!$C$41))</f>
        <v>1183.835584669815</v>
      </c>
      <c r="I765" s="123">
        <f t="shared" si="222"/>
        <v>0.23076923076923078</v>
      </c>
      <c r="J765" s="124">
        <f>IF($D765="",0,IF($F765&lt;2,0,IF($E765="Win",('Guide &amp; Settings'!$C$42/(($F765-1)*COUNTIFS($A$4:$A$1510,$A765,$E$4:$E$1510,"Win")))*SUMIFS($X$4:$X$1510,$A$4:$A$1510,$A765,$E$4:$E$1510,"Loss"),-('Guide &amp; Settings'!$C$42/($F765-1))*$X765)))</f>
        <v>14.478195384343579</v>
      </c>
      <c r="K765" s="124">
        <f>IF($D765="",0,'Guide &amp; Settings'!$C$43*(IF($E765="Win",1,0)-$I765))</f>
        <v>9.2307692307692299</v>
      </c>
      <c r="L765" s="125">
        <f>IF($D765="",0,'Guide &amp; Settings'!$C$44*IF($F765&gt;=3,$F765,0))</f>
        <v>3</v>
      </c>
      <c r="M765" s="124">
        <f t="shared" si="223"/>
        <v>26.708964615112809</v>
      </c>
      <c r="N765" s="122">
        <f t="shared" si="224"/>
        <v>1210.5445492849278</v>
      </c>
      <c r="O765" s="121" t="str">
        <f t="shared" si="225"/>
        <v>OK</v>
      </c>
      <c r="P765">
        <f t="shared" si="226"/>
        <v>1183.835584669815</v>
      </c>
      <c r="Q765">
        <f t="shared" si="227"/>
        <v>0.5</v>
      </c>
      <c r="R765">
        <f t="shared" si="228"/>
        <v>0.25</v>
      </c>
      <c r="S765">
        <f t="shared" si="229"/>
        <v>1.0833333333333333</v>
      </c>
      <c r="T765" s="89">
        <f t="shared" si="230"/>
        <v>6</v>
      </c>
      <c r="U765" s="126">
        <f>IF($D765="",0,IFERROR(LOOKUP(2,1/(($D$3:D764=$D765)*($C$3:C764=$C765)*($A$3:A764&lt;$A765)),$AB$3:AB764),1000))</f>
        <v>972.44521979523597</v>
      </c>
      <c r="V765" s="126">
        <f t="shared" si="231"/>
        <v>1068.5317492836812</v>
      </c>
      <c r="W765">
        <f t="shared" si="232"/>
        <v>1068.5317492836812</v>
      </c>
      <c r="X765">
        <f t="shared" si="233"/>
        <v>0.5</v>
      </c>
      <c r="Y765">
        <f t="shared" si="234"/>
        <v>972.44521979523597</v>
      </c>
      <c r="Z765">
        <f t="shared" si="235"/>
        <v>0.5</v>
      </c>
      <c r="AA765">
        <f>IF($D765="",0,IF($F765&lt;2,0,IF($E765="Win",('Guide &amp; Settings'!$C$42/(($F765-1)*COUNTIFS($A$4:$A$1510,$A765,$E$4:$E$1510,"Win")))*SUMIFS($Z$4:$Z$1510,$A$4:$A$1510,$A765,$E$4:$E$1510,"Loss"),-('Guide &amp; Settings'!$C$42/($F765-1))*$Z765)))</f>
        <v>17.291468792066425</v>
      </c>
      <c r="AB765" s="126">
        <f t="shared" si="236"/>
        <v>989.73668858730241</v>
      </c>
      <c r="AC765" s="126">
        <f>IF($D765="","",IF($AD765=0,0,IF(COUNTIFS($D$4:$D765,$D765,$B$4:$B765,$B765)&gt;1,0,IF($B765&lt;'Guide &amp; Settings'!$C$50,0,IF(($B765-$AD765)/7-'Guide &amp; Settings'!$C$48&gt;=0,(INT(($B765-$AD765)/7-'Guide &amp; Settings'!$C$48)+1)*'Guide &amp; Settings'!$C$49,0)))))</f>
        <v>0</v>
      </c>
      <c r="AD765" s="142">
        <f t="shared" si="237"/>
        <v>46271</v>
      </c>
      <c r="AE765">
        <f t="shared" si="238"/>
        <v>1</v>
      </c>
      <c r="AF765">
        <f t="shared" si="239"/>
        <v>0</v>
      </c>
    </row>
    <row r="766" spans="1:32" x14ac:dyDescent="0.2">
      <c r="A766" s="117">
        <v>324</v>
      </c>
      <c r="B766" s="118">
        <v>46319</v>
      </c>
      <c r="C766" s="119" t="s">
        <v>34</v>
      </c>
      <c r="D766" s="119" t="s">
        <v>25</v>
      </c>
      <c r="E766" s="117" t="s">
        <v>371</v>
      </c>
      <c r="F766" s="120">
        <f t="shared" si="220"/>
        <v>3</v>
      </c>
      <c r="G766" s="121" t="str">
        <f t="shared" si="221"/>
        <v>Simon</v>
      </c>
      <c r="H766" s="122">
        <f>IF($D766="",0,IFERROR(LOOKUP(2,1/(($D$3:D765=$D766)*($A$3:A765&lt;$A766)),$N$3:N765),'Guide &amp; Settings'!$C$41))</f>
        <v>981.23513337754014</v>
      </c>
      <c r="I766" s="123">
        <f t="shared" si="222"/>
        <v>0.46153846153846156</v>
      </c>
      <c r="J766" s="124">
        <f>IF($D766="",0,IF($F766&lt;2,0,IF($E766="Win",('Guide &amp; Settings'!$C$42/(($F766-1)*COUNTIFS($A$4:$A$1510,$A766,$E$4:$E$1510,"Win")))*SUMIFS($X$4:$X$1510,$A$4:$A$1510,$A766,$E$4:$E$1510,"Loss"),-('Guide &amp; Settings'!$C$42/($F766-1))*$X766)))</f>
        <v>-6.486562214384783</v>
      </c>
      <c r="K766" s="124">
        <f>IF($D766="",0,'Guide &amp; Settings'!$C$43*(IF($E766="Win",1,0)-$I766))</f>
        <v>-5.5384615384615383</v>
      </c>
      <c r="L766" s="125">
        <f>IF($D766="",0,'Guide &amp; Settings'!$C$44*IF($F766&gt;=3,$F766,0))</f>
        <v>3</v>
      </c>
      <c r="M766" s="124">
        <f t="shared" si="223"/>
        <v>-9.0250237528463213</v>
      </c>
      <c r="N766" s="122">
        <f t="shared" si="224"/>
        <v>972.21010962469381</v>
      </c>
      <c r="O766" s="121" t="str">
        <f t="shared" si="225"/>
        <v>OK</v>
      </c>
      <c r="P766">
        <f t="shared" si="226"/>
        <v>1183.835584669815</v>
      </c>
      <c r="Q766">
        <f t="shared" si="227"/>
        <v>0.23753131933263247</v>
      </c>
      <c r="R766">
        <f t="shared" si="228"/>
        <v>0.5</v>
      </c>
      <c r="S766">
        <f t="shared" si="229"/>
        <v>1.0833333333333333</v>
      </c>
      <c r="T766" s="89">
        <f t="shared" si="230"/>
        <v>6</v>
      </c>
      <c r="U766" s="126">
        <f>IF($D766="",0,IFERROR(LOOKUP(2,1/(($D$3:D765=$D766)*($C$3:C765=$C766)*($A$3:A765&lt;$A766)),$AB$3:AB765),1000))</f>
        <v>1019.308806559127</v>
      </c>
      <c r="V766" s="126">
        <f t="shared" si="231"/>
        <v>1002.0025914765876</v>
      </c>
      <c r="W766">
        <f t="shared" si="232"/>
        <v>1068.5317492836812</v>
      </c>
      <c r="X766">
        <f t="shared" si="233"/>
        <v>0.40541013839904894</v>
      </c>
      <c r="Y766">
        <f t="shared" si="234"/>
        <v>972.44521979523597</v>
      </c>
      <c r="Z766">
        <f t="shared" si="235"/>
        <v>0.56703606889141522</v>
      </c>
      <c r="AA766">
        <f>IF($D766="",0,IF($F766&lt;2,0,IF($E766="Win",('Guide &amp; Settings'!$C$42/(($F766-1)*COUNTIFS($A$4:$A$1510,$A766,$E$4:$E$1510,"Win")))*SUMIFS($Z$4:$Z$1510,$A$4:$A$1510,$A766,$E$4:$E$1510,"Loss"),-('Guide &amp; Settings'!$C$42/($F766-1))*$Z766)))</f>
        <v>-9.0725771022626436</v>
      </c>
      <c r="AB766" s="126">
        <f t="shared" si="236"/>
        <v>1010.2362294568643</v>
      </c>
      <c r="AC766" s="126">
        <f>IF($D766="","",IF($AD766=0,0,IF(COUNTIFS($D$4:$D766,$D766,$B$4:$B766,$B766)&gt;1,0,IF($B766&lt;'Guide &amp; Settings'!$C$50,0,IF(($B766-$AD766)/7-'Guide &amp; Settings'!$C$48&gt;=0,(INT(($B766-$AD766)/7-'Guide &amp; Settings'!$C$48)+1)*'Guide &amp; Settings'!$C$49,0)))))</f>
        <v>0</v>
      </c>
      <c r="AD766" s="142">
        <f t="shared" si="237"/>
        <v>46303</v>
      </c>
      <c r="AE766">
        <f t="shared" si="238"/>
        <v>1</v>
      </c>
      <c r="AF766">
        <f t="shared" si="239"/>
        <v>0</v>
      </c>
    </row>
    <row r="767" spans="1:32" x14ac:dyDescent="0.2">
      <c r="A767" s="117">
        <v>324</v>
      </c>
      <c r="B767" s="118">
        <v>46319</v>
      </c>
      <c r="C767" s="119" t="s">
        <v>34</v>
      </c>
      <c r="D767" s="119" t="s">
        <v>20</v>
      </c>
      <c r="E767" s="117" t="s">
        <v>371</v>
      </c>
      <c r="F767" s="120">
        <f t="shared" si="220"/>
        <v>3</v>
      </c>
      <c r="G767" s="121" t="str">
        <f t="shared" si="221"/>
        <v>Simon</v>
      </c>
      <c r="H767" s="122">
        <f>IF($D767="",0,IFERROR(LOOKUP(2,1/(($D$3:D766=$D767)*($A$3:A766&lt;$A767)),$N$3:N766),'Guide &amp; Settings'!$C$41))</f>
        <v>1240.5972700779639</v>
      </c>
      <c r="I767" s="123">
        <f t="shared" si="222"/>
        <v>0.30769230769230771</v>
      </c>
      <c r="J767" s="124">
        <f>IF($D767="",0,IF($F767&lt;2,0,IF($E767="Win",('Guide &amp; Settings'!$C$42/(($F767-1)*COUNTIFS($A$4:$A$1510,$A767,$E$4:$E$1510,"Win")))*SUMIFS($X$4:$X$1510,$A$4:$A$1510,$A767,$E$4:$E$1510,"Loss"),-('Guide &amp; Settings'!$C$42/($F767-1))*$X767)))</f>
        <v>-7.9916331699587957</v>
      </c>
      <c r="K767" s="124">
        <f>IF($D767="",0,'Guide &amp; Settings'!$C$43*(IF($E767="Win",1,0)-$I767))</f>
        <v>-3.6923076923076925</v>
      </c>
      <c r="L767" s="125">
        <f>IF($D767="",0,'Guide &amp; Settings'!$C$44*IF($F767&gt;=3,$F767,0))</f>
        <v>3</v>
      </c>
      <c r="M767" s="124">
        <f t="shared" si="223"/>
        <v>-8.6839408622664891</v>
      </c>
      <c r="N767" s="122">
        <f t="shared" si="224"/>
        <v>1231.9133292156973</v>
      </c>
      <c r="O767" s="121" t="str">
        <f t="shared" si="225"/>
        <v>OK</v>
      </c>
      <c r="P767">
        <f t="shared" si="226"/>
        <v>1183.835584669815</v>
      </c>
      <c r="Q767">
        <f t="shared" si="227"/>
        <v>0.58096754673694906</v>
      </c>
      <c r="R767">
        <f t="shared" si="228"/>
        <v>0.33333333333333331</v>
      </c>
      <c r="S767">
        <f t="shared" si="229"/>
        <v>1.0833333333333333</v>
      </c>
      <c r="T767" s="89">
        <f t="shared" si="230"/>
        <v>10</v>
      </c>
      <c r="U767" s="126">
        <f>IF($D767="",0,IFERROR(LOOKUP(2,1/(($D$3:D766=$D767)*($C$3:C766=$C767)*($A$3:A766&lt;$A767)),$AB$3:AB766),1000))</f>
        <v>981.95393847012519</v>
      </c>
      <c r="V767" s="126">
        <f t="shared" si="231"/>
        <v>1068.1683823394046</v>
      </c>
      <c r="W767">
        <f t="shared" si="232"/>
        <v>1068.5317492836812</v>
      </c>
      <c r="X767">
        <f t="shared" si="233"/>
        <v>0.49947707312242473</v>
      </c>
      <c r="Y767">
        <f t="shared" si="234"/>
        <v>972.44521979523597</v>
      </c>
      <c r="Z767">
        <f t="shared" si="235"/>
        <v>0.51368073061273634</v>
      </c>
      <c r="AA767">
        <f>IF($D767="",0,IF($F767&lt;2,0,IF($E767="Win",('Guide &amp; Settings'!$C$42/(($F767-1)*COUNTIFS($A$4:$A$1510,$A767,$E$4:$E$1510,"Win")))*SUMIFS($Z$4:$Z$1510,$A$4:$A$1510,$A767,$E$4:$E$1510,"Loss"),-('Guide &amp; Settings'!$C$42/($F767-1))*$Z767)))</f>
        <v>-8.2188916898037814</v>
      </c>
      <c r="AB767" s="126">
        <f t="shared" si="236"/>
        <v>973.73504678032145</v>
      </c>
      <c r="AC767" s="126">
        <f>IF($D767="","",IF($AD767=0,0,IF(COUNTIFS($D$4:$D767,$D767,$B$4:$B767,$B767)&gt;1,0,IF($B767&lt;'Guide &amp; Settings'!$C$50,0,IF(($B767-$AD767)/7-'Guide &amp; Settings'!$C$48&gt;=0,(INT(($B767-$AD767)/7-'Guide &amp; Settings'!$C$48)+1)*'Guide &amp; Settings'!$C$49,0)))))</f>
        <v>0</v>
      </c>
      <c r="AD767" s="142">
        <f t="shared" si="237"/>
        <v>46303</v>
      </c>
      <c r="AE767">
        <f t="shared" si="238"/>
        <v>1</v>
      </c>
      <c r="AF767">
        <f t="shared" si="239"/>
        <v>0</v>
      </c>
    </row>
    <row r="768" spans="1:32" x14ac:dyDescent="0.2">
      <c r="A768" s="117">
        <v>325</v>
      </c>
      <c r="B768" s="118">
        <v>46319</v>
      </c>
      <c r="C768" s="119" t="s">
        <v>47</v>
      </c>
      <c r="D768" s="119" t="s">
        <v>22</v>
      </c>
      <c r="E768" s="117" t="s">
        <v>370</v>
      </c>
      <c r="F768" s="120">
        <f t="shared" si="220"/>
        <v>2</v>
      </c>
      <c r="G768" s="121" t="str">
        <f t="shared" si="221"/>
        <v>Daniel (Ferret)</v>
      </c>
      <c r="H768" s="122">
        <f>IF($D768="",0,IFERROR(LOOKUP(2,1/(($D$3:D767=$D768)*($A$3:A767&lt;$A768)),$N$3:N767),'Guide &amp; Settings'!$C$41))</f>
        <v>1190.9139027540671</v>
      </c>
      <c r="I768" s="123">
        <f t="shared" si="222"/>
        <v>0.66666666666666674</v>
      </c>
      <c r="J768" s="124">
        <f>IF($D768="",0,IF($F768&lt;2,0,IF($E768="Win",('Guide &amp; Settings'!$C$42/(($F768-1)*COUNTIFS($A$4:$A$1510,$A768,$E$4:$E$1510,"Win")))*SUMIFS($X$4:$X$1510,$A$4:$A$1510,$A768,$E$4:$E$1510,"Loss"),-('Guide &amp; Settings'!$C$42/($F768-1))*$X768)))</f>
        <v>14.073222444015233</v>
      </c>
      <c r="K768" s="124">
        <f>IF($D768="",0,'Guide &amp; Settings'!$C$43*(IF($E768="Win",1,0)-$I768))</f>
        <v>3.9999999999999991</v>
      </c>
      <c r="L768" s="125">
        <f>IF($D768="",0,'Guide &amp; Settings'!$C$44*IF($F768&gt;=3,$F768,0))</f>
        <v>0</v>
      </c>
      <c r="M768" s="124">
        <f t="shared" si="223"/>
        <v>18.073222444015233</v>
      </c>
      <c r="N768" s="122">
        <f t="shared" si="224"/>
        <v>1208.9871251980824</v>
      </c>
      <c r="O768" s="121" t="str">
        <f t="shared" si="225"/>
        <v>OK</v>
      </c>
      <c r="P768">
        <f t="shared" si="226"/>
        <v>1190.9139027540671</v>
      </c>
      <c r="Q768">
        <f t="shared" si="227"/>
        <v>0.5</v>
      </c>
      <c r="R768">
        <f t="shared" si="228"/>
        <v>0.72727272727272729</v>
      </c>
      <c r="S768">
        <f t="shared" si="229"/>
        <v>1.0909090909090908</v>
      </c>
      <c r="T768" s="89">
        <f t="shared" si="230"/>
        <v>9</v>
      </c>
      <c r="U768" s="126">
        <f>IF($D768="",0,IFERROR(LOOKUP(2,1/(($D$3:D767=$D768)*($C$3:C767=$C768)*($A$3:A767&lt;$A768)),$AB$3:AB767),1000))</f>
        <v>1053.5611427473693</v>
      </c>
      <c r="V768" s="126">
        <f t="shared" si="231"/>
        <v>1102.6156998926185</v>
      </c>
      <c r="W768">
        <f t="shared" si="232"/>
        <v>1102.6156998926185</v>
      </c>
      <c r="X768">
        <f t="shared" si="233"/>
        <v>0.5</v>
      </c>
      <c r="Y768">
        <f t="shared" si="234"/>
        <v>1053.5611427473693</v>
      </c>
      <c r="Z768">
        <f t="shared" si="235"/>
        <v>0.5</v>
      </c>
      <c r="AA768">
        <f>IF($D768="",0,IF($F768&lt;2,0,IF($E768="Win",('Guide &amp; Settings'!$C$42/(($F768-1)*COUNTIFS($A$4:$A$1510,$A768,$E$4:$E$1510,"Win")))*SUMIFS($Z$4:$Z$1510,$A$4:$A$1510,$A768,$E$4:$E$1510,"Loss"),-('Guide &amp; Settings'!$C$42/($F768-1))*$Z768)))</f>
        <v>12.562546055815295</v>
      </c>
      <c r="AB768" s="126">
        <f t="shared" si="236"/>
        <v>1066.1236888031847</v>
      </c>
      <c r="AC768" s="126">
        <f>IF($D768="","",IF($AD768=0,0,IF(COUNTIFS($D$4:$D768,$D768,$B$4:$B768,$B768)&gt;1,0,IF($B768&lt;'Guide &amp; Settings'!$C$50,0,IF(($B768-$AD768)/7-'Guide &amp; Settings'!$C$48&gt;=0,(INT(($B768-$AD768)/7-'Guide &amp; Settings'!$C$48)+1)*'Guide &amp; Settings'!$C$49,0)))))</f>
        <v>0</v>
      </c>
      <c r="AD768" s="142">
        <f t="shared" si="237"/>
        <v>46303</v>
      </c>
      <c r="AE768">
        <f t="shared" si="238"/>
        <v>1</v>
      </c>
      <c r="AF768">
        <f t="shared" si="239"/>
        <v>0</v>
      </c>
    </row>
    <row r="769" spans="1:32" x14ac:dyDescent="0.2">
      <c r="A769" s="117">
        <v>325</v>
      </c>
      <c r="B769" s="118">
        <v>46319</v>
      </c>
      <c r="C769" s="119" t="s">
        <v>47</v>
      </c>
      <c r="D769" s="119" t="s">
        <v>15</v>
      </c>
      <c r="E769" s="117" t="s">
        <v>371</v>
      </c>
      <c r="F769" s="120">
        <f t="shared" si="220"/>
        <v>2</v>
      </c>
      <c r="G769" s="121" t="str">
        <f t="shared" si="221"/>
        <v>Daniel (Ferret)</v>
      </c>
      <c r="H769" s="122">
        <f>IF($D769="",0,IFERROR(LOOKUP(2,1/(($D$3:D768=$D769)*($A$3:A768&lt;$A769)),$N$3:N768),'Guide &amp; Settings'!$C$41))</f>
        <v>1209.6766156390552</v>
      </c>
      <c r="I769" s="123">
        <f t="shared" si="222"/>
        <v>0.33333333333333337</v>
      </c>
      <c r="J769" s="124">
        <f>IF($D769="",0,IF($F769&lt;2,0,IF($E769="Win",('Guide &amp; Settings'!$C$42/(($F769-1)*COUNTIFS($A$4:$A$1510,$A769,$E$4:$E$1510,"Win")))*SUMIFS($X$4:$X$1510,$A$4:$A$1510,$A769,$E$4:$E$1510,"Loss"),-('Guide &amp; Settings'!$C$42/($F769-1))*$X769)))</f>
        <v>-14.073222444015233</v>
      </c>
      <c r="K769" s="124">
        <f>IF($D769="",0,'Guide &amp; Settings'!$C$43*(IF($E769="Win",1,0)-$I769))</f>
        <v>-4</v>
      </c>
      <c r="L769" s="125">
        <f>IF($D769="",0,'Guide &amp; Settings'!$C$44*IF($F769&gt;=3,$F769,0))</f>
        <v>0</v>
      </c>
      <c r="M769" s="124">
        <f t="shared" si="223"/>
        <v>-18.073222444015233</v>
      </c>
      <c r="N769" s="122">
        <f t="shared" si="224"/>
        <v>1191.6033931950399</v>
      </c>
      <c r="O769" s="121" t="str">
        <f t="shared" si="225"/>
        <v>OK</v>
      </c>
      <c r="P769">
        <f t="shared" si="226"/>
        <v>1190.9139027540671</v>
      </c>
      <c r="Q769">
        <f t="shared" si="227"/>
        <v>0.52697549595588367</v>
      </c>
      <c r="R769">
        <f t="shared" si="228"/>
        <v>0.36363636363636365</v>
      </c>
      <c r="S769">
        <f t="shared" si="229"/>
        <v>1.0909090909090908</v>
      </c>
      <c r="T769" s="89">
        <f t="shared" si="230"/>
        <v>9</v>
      </c>
      <c r="U769" s="126">
        <f>IF($D769="",0,IFERROR(LOOKUP(2,1/(($D$3:D768=$D769)*($C$3:C768=$C769)*($A$3:A768&lt;$A769)),$AB$3:AB768),1000))</f>
        <v>977.73645858927773</v>
      </c>
      <c r="V769" s="126">
        <f t="shared" si="231"/>
        <v>1060.5722289641981</v>
      </c>
      <c r="W769">
        <f t="shared" si="232"/>
        <v>1102.6156998926185</v>
      </c>
      <c r="X769">
        <f t="shared" si="233"/>
        <v>0.43978820137547603</v>
      </c>
      <c r="Y769">
        <f t="shared" si="234"/>
        <v>1053.5611427473693</v>
      </c>
      <c r="Z769">
        <f t="shared" si="235"/>
        <v>0.39257956424422796</v>
      </c>
      <c r="AA769">
        <f>IF($D769="",0,IF($F769&lt;2,0,IF($E769="Win",('Guide &amp; Settings'!$C$42/(($F769-1)*COUNTIFS($A$4:$A$1510,$A769,$E$4:$E$1510,"Win")))*SUMIFS($Z$4:$Z$1510,$A$4:$A$1510,$A769,$E$4:$E$1510,"Loss"),-('Guide &amp; Settings'!$C$42/($F769-1))*$Z769)))</f>
        <v>-12.562546055815295</v>
      </c>
      <c r="AB769" s="126">
        <f t="shared" si="236"/>
        <v>965.17391253346238</v>
      </c>
      <c r="AC769" s="126">
        <f>IF($D769="","",IF($AD769=0,0,IF(COUNTIFS($D$4:$D769,$D769,$B$4:$B769,$B769)&gt;1,0,IF($B769&lt;'Guide &amp; Settings'!$C$50,0,IF(($B769-$AD769)/7-'Guide &amp; Settings'!$C$48&gt;=0,(INT(($B769-$AD769)/7-'Guide &amp; Settings'!$C$48)+1)*'Guide &amp; Settings'!$C$49,0)))))</f>
        <v>0</v>
      </c>
      <c r="AD769" s="142">
        <f t="shared" si="237"/>
        <v>46297</v>
      </c>
      <c r="AE769">
        <f t="shared" si="238"/>
        <v>1</v>
      </c>
      <c r="AF769">
        <f t="shared" si="239"/>
        <v>0</v>
      </c>
    </row>
    <row r="770" spans="1:32" x14ac:dyDescent="0.2">
      <c r="A770" s="117">
        <v>326</v>
      </c>
      <c r="B770" s="118">
        <v>46319</v>
      </c>
      <c r="C770" s="119" t="s">
        <v>47</v>
      </c>
      <c r="D770" s="119" t="s">
        <v>22</v>
      </c>
      <c r="E770" s="117" t="s">
        <v>371</v>
      </c>
      <c r="F770" s="120">
        <f t="shared" si="220"/>
        <v>2</v>
      </c>
      <c r="G770" s="121" t="str">
        <f t="shared" si="221"/>
        <v>Aaron</v>
      </c>
      <c r="H770" s="122">
        <f>IF($D770="",0,IFERROR(LOOKUP(2,1/(($D$3:D769=$D770)*($A$3:A769&lt;$A770)),$N$3:N769),'Guide &amp; Settings'!$C$41))</f>
        <v>1208.9871251980824</v>
      </c>
      <c r="I770" s="123">
        <f t="shared" si="222"/>
        <v>0.6923076923076924</v>
      </c>
      <c r="J770" s="124">
        <f>IF($D770="",0,IF($F770&lt;2,0,IF($E770="Win",('Guide &amp; Settings'!$C$42/(($F770-1)*COUNTIFS($A$4:$A$1510,$A770,$E$4:$E$1510,"Win")))*SUMIFS($X$4:$X$1510,$A$4:$A$1510,$A770,$E$4:$E$1510,"Loss"),-('Guide &amp; Settings'!$C$42/($F770-1))*$X770)))</f>
        <v>-19.317324073908001</v>
      </c>
      <c r="K770" s="124">
        <f>IF($D770="",0,'Guide &amp; Settings'!$C$43*(IF($E770="Win",1,0)-$I770))</f>
        <v>-8.3076923076923084</v>
      </c>
      <c r="L770" s="125">
        <f>IF($D770="",0,'Guide &amp; Settings'!$C$44*IF($F770&gt;=3,$F770,0))</f>
        <v>0</v>
      </c>
      <c r="M770" s="124">
        <f t="shared" si="223"/>
        <v>-27.625016381600311</v>
      </c>
      <c r="N770" s="122">
        <f t="shared" si="224"/>
        <v>1181.3621088164821</v>
      </c>
      <c r="O770" s="121" t="str">
        <f t="shared" si="225"/>
        <v>OK</v>
      </c>
      <c r="P770">
        <f t="shared" si="226"/>
        <v>1191.6033931950399</v>
      </c>
      <c r="Q770">
        <f t="shared" si="227"/>
        <v>0.52499634587437782</v>
      </c>
      <c r="R770">
        <f t="shared" si="228"/>
        <v>0.75</v>
      </c>
      <c r="S770">
        <f t="shared" si="229"/>
        <v>1.0833333333333333</v>
      </c>
      <c r="T770" s="89">
        <f t="shared" si="230"/>
        <v>10</v>
      </c>
      <c r="U770" s="126">
        <f>IF($D770="",0,IFERROR(LOOKUP(2,1/(($D$3:D769=$D770)*($C$3:C769=$C770)*($A$3:A769&lt;$A770)),$AB$3:AB769),1000))</f>
        <v>1066.1236888031847</v>
      </c>
      <c r="V770" s="126">
        <f t="shared" si="231"/>
        <v>1113.7448342681505</v>
      </c>
      <c r="W770">
        <f t="shared" si="232"/>
        <v>1040.6504060873217</v>
      </c>
      <c r="X770">
        <f t="shared" si="233"/>
        <v>0.60366637730962502</v>
      </c>
      <c r="Y770">
        <f t="shared" si="234"/>
        <v>965.17391253346238</v>
      </c>
      <c r="Z770">
        <f t="shared" si="235"/>
        <v>0.64132361114576852</v>
      </c>
      <c r="AA770">
        <f>IF($D770="",0,IF($F770&lt;2,0,IF($E770="Win",('Guide &amp; Settings'!$C$42/(($F770-1)*COUNTIFS($A$4:$A$1510,$A770,$E$4:$E$1510,"Win")))*SUMIFS($Z$4:$Z$1510,$A$4:$A$1510,$A770,$E$4:$E$1510,"Loss"),-('Guide &amp; Settings'!$C$42/($F770-1))*$Z770)))</f>
        <v>-20.522355556664593</v>
      </c>
      <c r="AB770" s="126">
        <f t="shared" si="236"/>
        <v>1045.60133324652</v>
      </c>
      <c r="AC770" s="126">
        <f>IF($D770="","",IF($AD770=0,0,IF(COUNTIFS($D$4:$D770,$D770,$B$4:$B770,$B770)&gt;1,0,IF($B770&lt;'Guide &amp; Settings'!$C$50,0,IF(($B770-$AD770)/7-'Guide &amp; Settings'!$C$48&gt;=0,(INT(($B770-$AD770)/7-'Guide &amp; Settings'!$C$48)+1)*'Guide &amp; Settings'!$C$49,0)))))</f>
        <v>0</v>
      </c>
      <c r="AD770" s="142">
        <f t="shared" si="237"/>
        <v>46303</v>
      </c>
      <c r="AE770">
        <f t="shared" si="238"/>
        <v>1</v>
      </c>
      <c r="AF770">
        <f t="shared" si="239"/>
        <v>0</v>
      </c>
    </row>
    <row r="771" spans="1:32" x14ac:dyDescent="0.2">
      <c r="A771" s="117">
        <v>326</v>
      </c>
      <c r="B771" s="118">
        <v>46319</v>
      </c>
      <c r="C771" s="119" t="s">
        <v>47</v>
      </c>
      <c r="D771" s="119" t="s">
        <v>15</v>
      </c>
      <c r="E771" s="117" t="s">
        <v>370</v>
      </c>
      <c r="F771" s="120">
        <f t="shared" si="220"/>
        <v>2</v>
      </c>
      <c r="G771" s="121" t="str">
        <f t="shared" si="221"/>
        <v>Aaron</v>
      </c>
      <c r="H771" s="122">
        <f>IF($D771="",0,IFERROR(LOOKUP(2,1/(($D$3:D770=$D771)*($A$3:A770&lt;$A771)),$N$3:N770),'Guide &amp; Settings'!$C$41))</f>
        <v>1191.6033931950399</v>
      </c>
      <c r="I771" s="123">
        <f t="shared" si="222"/>
        <v>0.30769230769230771</v>
      </c>
      <c r="J771" s="124">
        <f>IF($D771="",0,IF($F771&lt;2,0,IF($E771="Win",('Guide &amp; Settings'!$C$42/(($F771-1)*COUNTIFS($A$4:$A$1510,$A771,$E$4:$E$1510,"Win")))*SUMIFS($X$4:$X$1510,$A$4:$A$1510,$A771,$E$4:$E$1510,"Loss"),-('Guide &amp; Settings'!$C$42/($F771-1))*$X771)))</f>
        <v>19.317324073908001</v>
      </c>
      <c r="K771" s="124">
        <f>IF($D771="",0,'Guide &amp; Settings'!$C$43*(IF($E771="Win",1,0)-$I771))</f>
        <v>8.3076923076923066</v>
      </c>
      <c r="L771" s="125">
        <f>IF($D771="",0,'Guide &amp; Settings'!$C$44*IF($F771&gt;=3,$F771,0))</f>
        <v>0</v>
      </c>
      <c r="M771" s="124">
        <f t="shared" si="223"/>
        <v>27.625016381600307</v>
      </c>
      <c r="N771" s="122">
        <f t="shared" si="224"/>
        <v>1219.2284095766402</v>
      </c>
      <c r="O771" s="121" t="str">
        <f t="shared" si="225"/>
        <v>OK</v>
      </c>
      <c r="P771">
        <f t="shared" si="226"/>
        <v>1191.6033931950399</v>
      </c>
      <c r="Q771">
        <f t="shared" si="227"/>
        <v>0.5</v>
      </c>
      <c r="R771">
        <f t="shared" si="228"/>
        <v>0.33333333333333331</v>
      </c>
      <c r="S771">
        <f t="shared" si="229"/>
        <v>1.0833333333333333</v>
      </c>
      <c r="T771" s="89">
        <f t="shared" si="230"/>
        <v>10</v>
      </c>
      <c r="U771" s="126">
        <f>IF($D771="",0,IFERROR(LOOKUP(2,1/(($D$3:D770=$D771)*($C$3:C770=$C771)*($A$3:A770&lt;$A771)),$AB$3:AB770),1000))</f>
        <v>965.17391253346238</v>
      </c>
      <c r="V771" s="126">
        <f t="shared" si="231"/>
        <v>1040.6504060873217</v>
      </c>
      <c r="W771">
        <f t="shared" si="232"/>
        <v>1040.6504060873217</v>
      </c>
      <c r="X771">
        <f t="shared" si="233"/>
        <v>0.5</v>
      </c>
      <c r="Y771">
        <f t="shared" si="234"/>
        <v>965.17391253346238</v>
      </c>
      <c r="Z771">
        <f t="shared" si="235"/>
        <v>0.5</v>
      </c>
      <c r="AA771">
        <f>IF($D771="",0,IF($F771&lt;2,0,IF($E771="Win",('Guide &amp; Settings'!$C$42/(($F771-1)*COUNTIFS($A$4:$A$1510,$A771,$E$4:$E$1510,"Win")))*SUMIFS($Z$4:$Z$1510,$A$4:$A$1510,$A771,$E$4:$E$1510,"Loss"),-('Guide &amp; Settings'!$C$42/($F771-1))*$Z771)))</f>
        <v>20.522355556664593</v>
      </c>
      <c r="AB771" s="126">
        <f t="shared" si="236"/>
        <v>985.69626809012698</v>
      </c>
      <c r="AC771" s="126">
        <f>IF($D771="","",IF($AD771=0,0,IF(COUNTIFS($D$4:$D771,$D771,$B$4:$B771,$B771)&gt;1,0,IF($B771&lt;'Guide &amp; Settings'!$C$50,0,IF(($B771-$AD771)/7-'Guide &amp; Settings'!$C$48&gt;=0,(INT(($B771-$AD771)/7-'Guide &amp; Settings'!$C$48)+1)*'Guide &amp; Settings'!$C$49,0)))))</f>
        <v>0</v>
      </c>
      <c r="AD771" s="142">
        <f t="shared" si="237"/>
        <v>46297</v>
      </c>
      <c r="AE771">
        <f t="shared" si="238"/>
        <v>1</v>
      </c>
      <c r="AF771">
        <f t="shared" si="239"/>
        <v>0</v>
      </c>
    </row>
    <row r="772" spans="1:32" x14ac:dyDescent="0.2">
      <c r="A772" s="117">
        <v>327</v>
      </c>
      <c r="B772" s="118">
        <v>46319</v>
      </c>
      <c r="C772" s="119" t="s">
        <v>47</v>
      </c>
      <c r="D772" s="119" t="s">
        <v>22</v>
      </c>
      <c r="E772" s="117" t="s">
        <v>371</v>
      </c>
      <c r="F772" s="120">
        <f t="shared" ref="F772:F835" si="240">IF($D772="",0,COUNTIF($A$4:$A$1510,$A772))</f>
        <v>2</v>
      </c>
      <c r="G772" s="121" t="str">
        <f t="shared" ref="G772:G835" si="241">IF($D772="","",IFERROR(LOOKUP(2,1/(($A$4:$A$1510=$A772)*($E$4:$E$1510="Win")),$D$4:$D$1510),"(no winner)"))</f>
        <v>Aaron</v>
      </c>
      <c r="H772" s="122">
        <f>IF($D772="",0,IFERROR(LOOKUP(2,1/(($D$3:D771=$D772)*($A$3:A771&lt;$A772)),$N$3:N771),'Guide &amp; Settings'!$C$41))</f>
        <v>1181.3621088164821</v>
      </c>
      <c r="I772" s="123">
        <f t="shared" ref="I772:I835" si="242">IF($D772="",0,IF($S772=0,0,$R772/$S772))</f>
        <v>0.6428571428571429</v>
      </c>
      <c r="J772" s="124">
        <f>IF($D772="",0,IF($F772&lt;2,0,IF($E772="Win",('Guide &amp; Settings'!$C$42/(($F772-1)*COUNTIFS($A$4:$A$1510,$A772,$E$4:$E$1510,"Win")))*SUMIFS($X$4:$X$1510,$A$4:$A$1510,$A772,$E$4:$E$1510,"Loss"),-('Guide &amp; Settings'!$C$42/($F772-1))*$X772)))</f>
        <v>-17.348480654182346</v>
      </c>
      <c r="K772" s="124">
        <f>IF($D772="",0,'Guide &amp; Settings'!$C$43*(IF($E772="Win",1,0)-$I772))</f>
        <v>-7.7142857142857153</v>
      </c>
      <c r="L772" s="125">
        <f>IF($D772="",0,'Guide &amp; Settings'!$C$44*IF($F772&gt;=3,$F772,0))</f>
        <v>0</v>
      </c>
      <c r="M772" s="124">
        <f t="shared" ref="M772:M835" si="243">IF($D772="",0,$J772+$K772+$L772)</f>
        <v>-25.062766368468061</v>
      </c>
      <c r="N772" s="122">
        <f t="shared" ref="N772:N835" si="244">IF($D772="",0,$H772+$M772)</f>
        <v>1156.2993424480139</v>
      </c>
      <c r="O772" s="121" t="str">
        <f t="shared" ref="O772:O835" si="245">IF($D772="","",IF($AE772=0,"need a winner",IF($F772-$AE772=0,"need a loser",IF(MOD($AF772,2)=1,"duplicate player",IF(MOD(INT($AF772/2),2)=1,"mixed sports",IF($AF772&gt;=4,"mixed dates",IF($AE772&gt;1,IF($F772&gt;=4,"OK (team)","check winners"),"OK")))))))</f>
        <v>OK</v>
      </c>
      <c r="P772">
        <f t="shared" ref="P772:P835" si="246">IF($D772="",0,IFERROR(SUMIFS($H$4:$H$1510,$A$4:$A$1510,$A772,$E$4:$E$1510,"Win")/COUNTIFS($A$4:$A$1510,$A772,$E$4:$E$1510,"Win"),0))</f>
        <v>1219.2284095766402</v>
      </c>
      <c r="Q772">
        <f t="shared" ref="Q772:Q835" si="247">IF($D772="",0,1/(1+10^(($P772-$H772)/400)))</f>
        <v>0.4457207591735437</v>
      </c>
      <c r="R772">
        <f t="shared" ref="R772:R835" si="248">IF($D772="",0,(COUNTIFS($D$4:$D$1510,$D772,$C$4:$C$1510,$C772,$E$4:$E$1510,"Win",$A$4:$A$1510,"&lt;"&amp;$A772)+1)/(COUNTIFS($D$4:$D$1510,$D772,$C$4:$C$1510,$C772,$A$4:$A$1510,"&lt;"&amp;$A772)+2))</f>
        <v>0.69230769230769229</v>
      </c>
      <c r="S772">
        <f t="shared" ref="S772:S835" si="249">IF($D772="",0,SUMIFS($R$4:$R$1510,$A$4:$A$1510,$A772))</f>
        <v>1.0769230769230769</v>
      </c>
      <c r="T772" s="89">
        <f t="shared" ref="T772:T835" si="250">IF($D772="",0,COUNTIFS($D$4:$D$1510,$D772,$C$4:$C$1510,$C772,$A$4:$A$1510,"&lt;"&amp;$A772))</f>
        <v>11</v>
      </c>
      <c r="U772" s="126">
        <f>IF($D772="",0,IFERROR(LOOKUP(2,1/(($D$3:D771=$D772)*($C$3:C771=$C772)*($A$3:A771&lt;$A772)),$AB$3:AB771),1000))</f>
        <v>1045.60133324652</v>
      </c>
      <c r="V772" s="126">
        <f t="shared" ref="V772:V835" si="251">IF($D772="",0,$U772*($T772/($T772+5))+$H772*(1-$T772/($T772+5)))</f>
        <v>1088.0265756121332</v>
      </c>
      <c r="W772">
        <f t="shared" ref="W772:W835" si="252">IF($D772="",0,IFERROR(SUMIFS($V$4:$V$1510,$A$4:$A$1510,$A772,$E$4:$E$1510,"Win")/COUNTIFS($A$4:$A$1510,$A772,$E$4:$E$1510,"Win"),0))</f>
        <v>1058.6750623046623</v>
      </c>
      <c r="X772">
        <f t="shared" ref="X772:X835" si="253">IF($D772="",0,1/(1+10^(($W772-$V772)/400)))</f>
        <v>0.54214002044319831</v>
      </c>
      <c r="Y772">
        <f t="shared" ref="Y772:Y835" si="254">IF($D772="",0,IFERROR(SUMIFS($U$4:$U$1510,$A$4:$A$1510,$A772,$E$4:$E$1510,"Win")/COUNTIFS($A$4:$A$1510,$A772,$E$4:$E$1510,"Win"),0))</f>
        <v>985.69626809012698</v>
      </c>
      <c r="Z772">
        <f t="shared" ref="Z772:Z835" si="255">IF($D772="",0,1/(1+10^(($Y772-$U772)/400)))</f>
        <v>0.58536604510254553</v>
      </c>
      <c r="AA772">
        <f>IF($D772="",0,IF($F772&lt;2,0,IF($E772="Win",('Guide &amp; Settings'!$C$42/(($F772-1)*COUNTIFS($A$4:$A$1510,$A772,$E$4:$E$1510,"Win")))*SUMIFS($Z$4:$Z$1510,$A$4:$A$1510,$A772,$E$4:$E$1510,"Loss"),-('Guide &amp; Settings'!$C$42/($F772-1))*$Z772)))</f>
        <v>-18.731713443281457</v>
      </c>
      <c r="AB772" s="126">
        <f t="shared" ref="AB772:AB835" si="256">IF($D772="",0,$U772+$AA772)</f>
        <v>1026.8696198032385</v>
      </c>
      <c r="AC772" s="126">
        <f>IF($D772="","",IF($AD772=0,0,IF(COUNTIFS($D$4:$D772,$D772,$B$4:$B772,$B772)&gt;1,0,IF($B772&lt;'Guide &amp; Settings'!$C$50,0,IF(($B772-$AD772)/7-'Guide &amp; Settings'!$C$48&gt;=0,(INT(($B772-$AD772)/7-'Guide &amp; Settings'!$C$48)+1)*'Guide &amp; Settings'!$C$49,0)))))</f>
        <v>0</v>
      </c>
      <c r="AD772" s="142">
        <f t="shared" ref="AD772:AD835" si="257">IF($D772="",0,SUMPRODUCT(MAX(($D$4:$D$1510=$D772)*($B$4:$B$1510&lt;$B772)*$B$4:$B$1510)))</f>
        <v>46303</v>
      </c>
      <c r="AE772">
        <f t="shared" ref="AE772:AE835" si="258">IF($D772="",0,COUNTIFS($A$4:$A$1510,$A772,$E$4:$E$1510,"Win"))</f>
        <v>1</v>
      </c>
      <c r="AF772">
        <f t="shared" ref="AF772:AF835" si="259">IF($D772="",0,(COUNTIFS($A$4:$A$1510,$A772,$D$4:$D$1510,$D772)&gt;1)*1+(COUNTIFS($A$4:$A$1510,$A772,$C$4:$C$1510,"&lt;&gt;"&amp;$C772)&gt;0)*2+(COUNTIFS($A$4:$A$1510,$A772,$B$4:$B$1510,"&lt;&gt;"&amp;$B772)&gt;0)*4)</f>
        <v>0</v>
      </c>
    </row>
    <row r="773" spans="1:32" x14ac:dyDescent="0.2">
      <c r="A773" s="117">
        <v>327</v>
      </c>
      <c r="B773" s="118">
        <v>46319</v>
      </c>
      <c r="C773" s="119" t="s">
        <v>47</v>
      </c>
      <c r="D773" s="119" t="s">
        <v>15</v>
      </c>
      <c r="E773" s="117" t="s">
        <v>370</v>
      </c>
      <c r="F773" s="120">
        <f t="shared" si="240"/>
        <v>2</v>
      </c>
      <c r="G773" s="121" t="str">
        <f t="shared" si="241"/>
        <v>Aaron</v>
      </c>
      <c r="H773" s="122">
        <f>IF($D773="",0,IFERROR(LOOKUP(2,1/(($D$3:D772=$D773)*($A$3:A772&lt;$A773)),$N$3:N772),'Guide &amp; Settings'!$C$41))</f>
        <v>1219.2284095766402</v>
      </c>
      <c r="I773" s="123">
        <f t="shared" si="242"/>
        <v>0.35714285714285721</v>
      </c>
      <c r="J773" s="124">
        <f>IF($D773="",0,IF($F773&lt;2,0,IF($E773="Win",('Guide &amp; Settings'!$C$42/(($F773-1)*COUNTIFS($A$4:$A$1510,$A773,$E$4:$E$1510,"Win")))*SUMIFS($X$4:$X$1510,$A$4:$A$1510,$A773,$E$4:$E$1510,"Loss"),-('Guide &amp; Settings'!$C$42/($F773-1))*$X773)))</f>
        <v>17.348480654182346</v>
      </c>
      <c r="K773" s="124">
        <f>IF($D773="",0,'Guide &amp; Settings'!$C$43*(IF($E773="Win",1,0)-$I773))</f>
        <v>7.7142857142857135</v>
      </c>
      <c r="L773" s="125">
        <f>IF($D773="",0,'Guide &amp; Settings'!$C$44*IF($F773&gt;=3,$F773,0))</f>
        <v>0</v>
      </c>
      <c r="M773" s="124">
        <f t="shared" si="243"/>
        <v>25.062766368468061</v>
      </c>
      <c r="N773" s="122">
        <f t="shared" si="244"/>
        <v>1244.2911759451083</v>
      </c>
      <c r="O773" s="121" t="str">
        <f t="shared" si="245"/>
        <v>OK</v>
      </c>
      <c r="P773">
        <f t="shared" si="246"/>
        <v>1219.2284095766402</v>
      </c>
      <c r="Q773">
        <f t="shared" si="247"/>
        <v>0.5</v>
      </c>
      <c r="R773">
        <f t="shared" si="248"/>
        <v>0.38461538461538464</v>
      </c>
      <c r="S773">
        <f t="shared" si="249"/>
        <v>1.0769230769230769</v>
      </c>
      <c r="T773" s="89">
        <f t="shared" si="250"/>
        <v>11</v>
      </c>
      <c r="U773" s="126">
        <f>IF($D773="",0,IFERROR(LOOKUP(2,1/(($D$3:D772=$D773)*($C$3:C772=$C773)*($A$3:A772&lt;$A773)),$AB$3:AB772),1000))</f>
        <v>985.69626809012698</v>
      </c>
      <c r="V773" s="126">
        <f t="shared" si="251"/>
        <v>1058.6750623046623</v>
      </c>
      <c r="W773">
        <f t="shared" si="252"/>
        <v>1058.6750623046623</v>
      </c>
      <c r="X773">
        <f t="shared" si="253"/>
        <v>0.5</v>
      </c>
      <c r="Y773">
        <f t="shared" si="254"/>
        <v>985.69626809012698</v>
      </c>
      <c r="Z773">
        <f t="shared" si="255"/>
        <v>0.5</v>
      </c>
      <c r="AA773">
        <f>IF($D773="",0,IF($F773&lt;2,0,IF($E773="Win",('Guide &amp; Settings'!$C$42/(($F773-1)*COUNTIFS($A$4:$A$1510,$A773,$E$4:$E$1510,"Win")))*SUMIFS($Z$4:$Z$1510,$A$4:$A$1510,$A773,$E$4:$E$1510,"Loss"),-('Guide &amp; Settings'!$C$42/($F773-1))*$Z773)))</f>
        <v>18.731713443281457</v>
      </c>
      <c r="AB773" s="126">
        <f t="shared" si="256"/>
        <v>1004.4279815334085</v>
      </c>
      <c r="AC773" s="126">
        <f>IF($D773="","",IF($AD773=0,0,IF(COUNTIFS($D$4:$D773,$D773,$B$4:$B773,$B773)&gt;1,0,IF($B773&lt;'Guide &amp; Settings'!$C$50,0,IF(($B773-$AD773)/7-'Guide &amp; Settings'!$C$48&gt;=0,(INT(($B773-$AD773)/7-'Guide &amp; Settings'!$C$48)+1)*'Guide &amp; Settings'!$C$49,0)))))</f>
        <v>0</v>
      </c>
      <c r="AD773" s="142">
        <f t="shared" si="257"/>
        <v>46297</v>
      </c>
      <c r="AE773">
        <f t="shared" si="258"/>
        <v>1</v>
      </c>
      <c r="AF773">
        <f t="shared" si="259"/>
        <v>0</v>
      </c>
    </row>
    <row r="774" spans="1:32" x14ac:dyDescent="0.2">
      <c r="A774" s="117"/>
      <c r="B774" s="118"/>
      <c r="C774" s="119"/>
      <c r="D774" s="119"/>
      <c r="E774" s="117"/>
      <c r="F774" s="120">
        <f t="shared" si="240"/>
        <v>0</v>
      </c>
      <c r="G774" s="121" t="str">
        <f t="shared" si="241"/>
        <v/>
      </c>
      <c r="H774" s="122">
        <f>IF($D774="",0,IFERROR(LOOKUP(2,1/(($D$3:D773=$D774)*($A$3:A773&lt;$A774)),$N$3:N773),'Guide &amp; Settings'!$C$41))</f>
        <v>0</v>
      </c>
      <c r="I774" s="123">
        <f t="shared" si="242"/>
        <v>0</v>
      </c>
      <c r="J774" s="124">
        <f>IF($D774="",0,IF($F774&lt;2,0,IF($E774="Win",('Guide &amp; Settings'!$C$42/(($F774-1)*COUNTIFS($A$4:$A$1510,$A774,$E$4:$E$1510,"Win")))*SUMIFS($X$4:$X$1510,$A$4:$A$1510,$A774,$E$4:$E$1510,"Loss"),-('Guide &amp; Settings'!$C$42/($F774-1))*$X774)))</f>
        <v>0</v>
      </c>
      <c r="K774" s="124">
        <f>IF($D774="",0,'Guide &amp; Settings'!$C$43*(IF($E774="Win",1,0)-$I774))</f>
        <v>0</v>
      </c>
      <c r="L774" s="125">
        <f>IF($D774="",0,'Guide &amp; Settings'!$C$44*IF($F774&gt;=3,$F774,0))</f>
        <v>0</v>
      </c>
      <c r="M774" s="124">
        <f t="shared" si="243"/>
        <v>0</v>
      </c>
      <c r="N774" s="122">
        <f t="shared" si="244"/>
        <v>0</v>
      </c>
      <c r="O774" s="121" t="str">
        <f t="shared" si="245"/>
        <v/>
      </c>
      <c r="P774">
        <f t="shared" si="246"/>
        <v>0</v>
      </c>
      <c r="Q774">
        <f t="shared" si="247"/>
        <v>0</v>
      </c>
      <c r="R774">
        <f t="shared" si="248"/>
        <v>0</v>
      </c>
      <c r="S774">
        <f t="shared" si="249"/>
        <v>0</v>
      </c>
      <c r="T774" s="89">
        <f t="shared" si="250"/>
        <v>0</v>
      </c>
      <c r="U774" s="126">
        <f>IF($D774="",0,IFERROR(LOOKUP(2,1/(($D$3:D773=$D774)*($C$3:C773=$C774)*($A$3:A773&lt;$A774)),$AB$3:AB773),1000))</f>
        <v>0</v>
      </c>
      <c r="V774" s="126">
        <f t="shared" si="251"/>
        <v>0</v>
      </c>
      <c r="W774">
        <f t="shared" si="252"/>
        <v>0</v>
      </c>
      <c r="X774">
        <f t="shared" si="253"/>
        <v>0</v>
      </c>
      <c r="Y774">
        <f t="shared" si="254"/>
        <v>0</v>
      </c>
      <c r="Z774">
        <f t="shared" si="255"/>
        <v>0</v>
      </c>
      <c r="AA774">
        <f>IF($D774="",0,IF($F774&lt;2,0,IF($E774="Win",('Guide &amp; Settings'!$C$42/(($F774-1)*COUNTIFS($A$4:$A$1510,$A774,$E$4:$E$1510,"Win")))*SUMIFS($Z$4:$Z$1510,$A$4:$A$1510,$A774,$E$4:$E$1510,"Loss"),-('Guide &amp; Settings'!$C$42/($F774-1))*$Z774)))</f>
        <v>0</v>
      </c>
      <c r="AB774" s="126">
        <f t="shared" si="256"/>
        <v>0</v>
      </c>
      <c r="AC774" s="126" t="str">
        <f>IF($D774="","",IF($AD774=0,0,IF(COUNTIFS($D$4:$D774,$D774,$B$4:$B774,$B774)&gt;1,0,IF($B774&lt;'Guide &amp; Settings'!$C$50,0,IF(($B774-$AD774)/7-'Guide &amp; Settings'!$C$48&gt;=0,(INT(($B774-$AD774)/7-'Guide &amp; Settings'!$C$48)+1)*'Guide &amp; Settings'!$C$49,0)))))</f>
        <v/>
      </c>
      <c r="AD774" s="142">
        <f t="shared" si="257"/>
        <v>0</v>
      </c>
      <c r="AE774">
        <f t="shared" si="258"/>
        <v>0</v>
      </c>
      <c r="AF774">
        <f t="shared" si="259"/>
        <v>0</v>
      </c>
    </row>
    <row r="775" spans="1:32" x14ac:dyDescent="0.2">
      <c r="A775" s="117"/>
      <c r="B775" s="118"/>
      <c r="C775" s="119"/>
      <c r="D775" s="119"/>
      <c r="E775" s="117"/>
      <c r="F775" s="120">
        <f t="shared" si="240"/>
        <v>0</v>
      </c>
      <c r="G775" s="121" t="str">
        <f t="shared" si="241"/>
        <v/>
      </c>
      <c r="H775" s="122">
        <f>IF($D775="",0,IFERROR(LOOKUP(2,1/(($D$3:D774=$D775)*($A$3:A774&lt;$A775)),$N$3:N774),'Guide &amp; Settings'!$C$41))</f>
        <v>0</v>
      </c>
      <c r="I775" s="123">
        <f t="shared" si="242"/>
        <v>0</v>
      </c>
      <c r="J775" s="124">
        <f>IF($D775="",0,IF($F775&lt;2,0,IF($E775="Win",('Guide &amp; Settings'!$C$42/(($F775-1)*COUNTIFS($A$4:$A$1510,$A775,$E$4:$E$1510,"Win")))*SUMIFS($X$4:$X$1510,$A$4:$A$1510,$A775,$E$4:$E$1510,"Loss"),-('Guide &amp; Settings'!$C$42/($F775-1))*$X775)))</f>
        <v>0</v>
      </c>
      <c r="K775" s="124">
        <f>IF($D775="",0,'Guide &amp; Settings'!$C$43*(IF($E775="Win",1,0)-$I775))</f>
        <v>0</v>
      </c>
      <c r="L775" s="125">
        <f>IF($D775="",0,'Guide &amp; Settings'!$C$44*IF($F775&gt;=3,$F775,0))</f>
        <v>0</v>
      </c>
      <c r="M775" s="124">
        <f t="shared" si="243"/>
        <v>0</v>
      </c>
      <c r="N775" s="122">
        <f t="shared" si="244"/>
        <v>0</v>
      </c>
      <c r="O775" s="121" t="str">
        <f t="shared" si="245"/>
        <v/>
      </c>
      <c r="P775">
        <f t="shared" si="246"/>
        <v>0</v>
      </c>
      <c r="Q775">
        <f t="shared" si="247"/>
        <v>0</v>
      </c>
      <c r="R775">
        <f t="shared" si="248"/>
        <v>0</v>
      </c>
      <c r="S775">
        <f t="shared" si="249"/>
        <v>0</v>
      </c>
      <c r="T775" s="89">
        <f t="shared" si="250"/>
        <v>0</v>
      </c>
      <c r="U775" s="126">
        <f>IF($D775="",0,IFERROR(LOOKUP(2,1/(($D$3:D774=$D775)*($C$3:C774=$C775)*($A$3:A774&lt;$A775)),$AB$3:AB774),1000))</f>
        <v>0</v>
      </c>
      <c r="V775" s="126">
        <f t="shared" si="251"/>
        <v>0</v>
      </c>
      <c r="W775">
        <f t="shared" si="252"/>
        <v>0</v>
      </c>
      <c r="X775">
        <f t="shared" si="253"/>
        <v>0</v>
      </c>
      <c r="Y775">
        <f t="shared" si="254"/>
        <v>0</v>
      </c>
      <c r="Z775">
        <f t="shared" si="255"/>
        <v>0</v>
      </c>
      <c r="AA775">
        <f>IF($D775="",0,IF($F775&lt;2,0,IF($E775="Win",('Guide &amp; Settings'!$C$42/(($F775-1)*COUNTIFS($A$4:$A$1510,$A775,$E$4:$E$1510,"Win")))*SUMIFS($Z$4:$Z$1510,$A$4:$A$1510,$A775,$E$4:$E$1510,"Loss"),-('Guide &amp; Settings'!$C$42/($F775-1))*$Z775)))</f>
        <v>0</v>
      </c>
      <c r="AB775" s="126">
        <f t="shared" si="256"/>
        <v>0</v>
      </c>
      <c r="AC775" s="126" t="str">
        <f>IF($D775="","",IF($AD775=0,0,IF(COUNTIFS($D$4:$D775,$D775,$B$4:$B775,$B775)&gt;1,0,IF($B775&lt;'Guide &amp; Settings'!$C$50,0,IF(($B775-$AD775)/7-'Guide &amp; Settings'!$C$48&gt;=0,(INT(($B775-$AD775)/7-'Guide &amp; Settings'!$C$48)+1)*'Guide &amp; Settings'!$C$49,0)))))</f>
        <v/>
      </c>
      <c r="AD775" s="142">
        <f t="shared" si="257"/>
        <v>0</v>
      </c>
      <c r="AE775">
        <f t="shared" si="258"/>
        <v>0</v>
      </c>
      <c r="AF775">
        <f t="shared" si="259"/>
        <v>0</v>
      </c>
    </row>
    <row r="776" spans="1:32" x14ac:dyDescent="0.2">
      <c r="A776" s="117"/>
      <c r="B776" s="118"/>
      <c r="C776" s="119"/>
      <c r="D776" s="119"/>
      <c r="E776" s="117"/>
      <c r="F776" s="120">
        <f t="shared" si="240"/>
        <v>0</v>
      </c>
      <c r="G776" s="121" t="str">
        <f t="shared" si="241"/>
        <v/>
      </c>
      <c r="H776" s="122">
        <f>IF($D776="",0,IFERROR(LOOKUP(2,1/(($D$3:D775=$D776)*($A$3:A775&lt;$A776)),$N$3:N775),'Guide &amp; Settings'!$C$41))</f>
        <v>0</v>
      </c>
      <c r="I776" s="123">
        <f t="shared" si="242"/>
        <v>0</v>
      </c>
      <c r="J776" s="124">
        <f>IF($D776="",0,IF($F776&lt;2,0,IF($E776="Win",('Guide &amp; Settings'!$C$42/(($F776-1)*COUNTIFS($A$4:$A$1510,$A776,$E$4:$E$1510,"Win")))*SUMIFS($X$4:$X$1510,$A$4:$A$1510,$A776,$E$4:$E$1510,"Loss"),-('Guide &amp; Settings'!$C$42/($F776-1))*$X776)))</f>
        <v>0</v>
      </c>
      <c r="K776" s="124">
        <f>IF($D776="",0,'Guide &amp; Settings'!$C$43*(IF($E776="Win",1,0)-$I776))</f>
        <v>0</v>
      </c>
      <c r="L776" s="125">
        <f>IF($D776="",0,'Guide &amp; Settings'!$C$44*IF($F776&gt;=3,$F776,0))</f>
        <v>0</v>
      </c>
      <c r="M776" s="124">
        <f t="shared" si="243"/>
        <v>0</v>
      </c>
      <c r="N776" s="122">
        <f t="shared" si="244"/>
        <v>0</v>
      </c>
      <c r="O776" s="121" t="str">
        <f t="shared" si="245"/>
        <v/>
      </c>
      <c r="P776">
        <f t="shared" si="246"/>
        <v>0</v>
      </c>
      <c r="Q776">
        <f t="shared" si="247"/>
        <v>0</v>
      </c>
      <c r="R776">
        <f t="shared" si="248"/>
        <v>0</v>
      </c>
      <c r="S776">
        <f t="shared" si="249"/>
        <v>0</v>
      </c>
      <c r="T776" s="89">
        <f t="shared" si="250"/>
        <v>0</v>
      </c>
      <c r="U776" s="126">
        <f>IF($D776="",0,IFERROR(LOOKUP(2,1/(($D$3:D775=$D776)*($C$3:C775=$C776)*($A$3:A775&lt;$A776)),$AB$3:AB775),1000))</f>
        <v>0</v>
      </c>
      <c r="V776" s="126">
        <f t="shared" si="251"/>
        <v>0</v>
      </c>
      <c r="W776">
        <f t="shared" si="252"/>
        <v>0</v>
      </c>
      <c r="X776">
        <f t="shared" si="253"/>
        <v>0</v>
      </c>
      <c r="Y776">
        <f t="shared" si="254"/>
        <v>0</v>
      </c>
      <c r="Z776">
        <f t="shared" si="255"/>
        <v>0</v>
      </c>
      <c r="AA776">
        <f>IF($D776="",0,IF($F776&lt;2,0,IF($E776="Win",('Guide &amp; Settings'!$C$42/(($F776-1)*COUNTIFS($A$4:$A$1510,$A776,$E$4:$E$1510,"Win")))*SUMIFS($Z$4:$Z$1510,$A$4:$A$1510,$A776,$E$4:$E$1510,"Loss"),-('Guide &amp; Settings'!$C$42/($F776-1))*$Z776)))</f>
        <v>0</v>
      </c>
      <c r="AB776" s="126">
        <f t="shared" si="256"/>
        <v>0</v>
      </c>
      <c r="AC776" s="126" t="str">
        <f>IF($D776="","",IF($AD776=0,0,IF(COUNTIFS($D$4:$D776,$D776,$B$4:$B776,$B776)&gt;1,0,IF($B776&lt;'Guide &amp; Settings'!$C$50,0,IF(($B776-$AD776)/7-'Guide &amp; Settings'!$C$48&gt;=0,(INT(($B776-$AD776)/7-'Guide &amp; Settings'!$C$48)+1)*'Guide &amp; Settings'!$C$49,0)))))</f>
        <v/>
      </c>
      <c r="AD776" s="142">
        <f t="shared" si="257"/>
        <v>0</v>
      </c>
      <c r="AE776">
        <f t="shared" si="258"/>
        <v>0</v>
      </c>
      <c r="AF776">
        <f t="shared" si="259"/>
        <v>0</v>
      </c>
    </row>
    <row r="777" spans="1:32" x14ac:dyDescent="0.2">
      <c r="A777" s="117"/>
      <c r="B777" s="118"/>
      <c r="C777" s="119"/>
      <c r="D777" s="119"/>
      <c r="E777" s="117"/>
      <c r="F777" s="120">
        <f t="shared" si="240"/>
        <v>0</v>
      </c>
      <c r="G777" s="121" t="str">
        <f t="shared" si="241"/>
        <v/>
      </c>
      <c r="H777" s="122">
        <f>IF($D777="",0,IFERROR(LOOKUP(2,1/(($D$3:D776=$D777)*($A$3:A776&lt;$A777)),$N$3:N776),'Guide &amp; Settings'!$C$41))</f>
        <v>0</v>
      </c>
      <c r="I777" s="123">
        <f t="shared" si="242"/>
        <v>0</v>
      </c>
      <c r="J777" s="124">
        <f>IF($D777="",0,IF($F777&lt;2,0,IF($E777="Win",('Guide &amp; Settings'!$C$42/(($F777-1)*COUNTIFS($A$4:$A$1510,$A777,$E$4:$E$1510,"Win")))*SUMIFS($X$4:$X$1510,$A$4:$A$1510,$A777,$E$4:$E$1510,"Loss"),-('Guide &amp; Settings'!$C$42/($F777-1))*$X777)))</f>
        <v>0</v>
      </c>
      <c r="K777" s="124">
        <f>IF($D777="",0,'Guide &amp; Settings'!$C$43*(IF($E777="Win",1,0)-$I777))</f>
        <v>0</v>
      </c>
      <c r="L777" s="125">
        <f>IF($D777="",0,'Guide &amp; Settings'!$C$44*IF($F777&gt;=3,$F777,0))</f>
        <v>0</v>
      </c>
      <c r="M777" s="124">
        <f t="shared" si="243"/>
        <v>0</v>
      </c>
      <c r="N777" s="122">
        <f t="shared" si="244"/>
        <v>0</v>
      </c>
      <c r="O777" s="121" t="str">
        <f t="shared" si="245"/>
        <v/>
      </c>
      <c r="P777">
        <f t="shared" si="246"/>
        <v>0</v>
      </c>
      <c r="Q777">
        <f t="shared" si="247"/>
        <v>0</v>
      </c>
      <c r="R777">
        <f t="shared" si="248"/>
        <v>0</v>
      </c>
      <c r="S777">
        <f t="shared" si="249"/>
        <v>0</v>
      </c>
      <c r="T777" s="89">
        <f t="shared" si="250"/>
        <v>0</v>
      </c>
      <c r="U777" s="126">
        <f>IF($D777="",0,IFERROR(LOOKUP(2,1/(($D$3:D776=$D777)*($C$3:C776=$C777)*($A$3:A776&lt;$A777)),$AB$3:AB776),1000))</f>
        <v>0</v>
      </c>
      <c r="V777" s="126">
        <f t="shared" si="251"/>
        <v>0</v>
      </c>
      <c r="W777">
        <f t="shared" si="252"/>
        <v>0</v>
      </c>
      <c r="X777">
        <f t="shared" si="253"/>
        <v>0</v>
      </c>
      <c r="Y777">
        <f t="shared" si="254"/>
        <v>0</v>
      </c>
      <c r="Z777">
        <f t="shared" si="255"/>
        <v>0</v>
      </c>
      <c r="AA777">
        <f>IF($D777="",0,IF($F777&lt;2,0,IF($E777="Win",('Guide &amp; Settings'!$C$42/(($F777-1)*COUNTIFS($A$4:$A$1510,$A777,$E$4:$E$1510,"Win")))*SUMIFS($Z$4:$Z$1510,$A$4:$A$1510,$A777,$E$4:$E$1510,"Loss"),-('Guide &amp; Settings'!$C$42/($F777-1))*$Z777)))</f>
        <v>0</v>
      </c>
      <c r="AB777" s="126">
        <f t="shared" si="256"/>
        <v>0</v>
      </c>
      <c r="AC777" s="126" t="str">
        <f>IF($D777="","",IF($AD777=0,0,IF(COUNTIFS($D$4:$D777,$D777,$B$4:$B777,$B777)&gt;1,0,IF($B777&lt;'Guide &amp; Settings'!$C$50,0,IF(($B777-$AD777)/7-'Guide &amp; Settings'!$C$48&gt;=0,(INT(($B777-$AD777)/7-'Guide &amp; Settings'!$C$48)+1)*'Guide &amp; Settings'!$C$49,0)))))</f>
        <v/>
      </c>
      <c r="AD777" s="142">
        <f t="shared" si="257"/>
        <v>0</v>
      </c>
      <c r="AE777">
        <f t="shared" si="258"/>
        <v>0</v>
      </c>
      <c r="AF777">
        <f t="shared" si="259"/>
        <v>0</v>
      </c>
    </row>
    <row r="778" spans="1:32" x14ac:dyDescent="0.2">
      <c r="A778" s="117"/>
      <c r="B778" s="118"/>
      <c r="C778" s="119"/>
      <c r="D778" s="119"/>
      <c r="E778" s="117"/>
      <c r="F778" s="120">
        <f t="shared" si="240"/>
        <v>0</v>
      </c>
      <c r="G778" s="121" t="str">
        <f t="shared" si="241"/>
        <v/>
      </c>
      <c r="H778" s="122">
        <f>IF($D778="",0,IFERROR(LOOKUP(2,1/(($D$3:D777=$D778)*($A$3:A777&lt;$A778)),$N$3:N777),'Guide &amp; Settings'!$C$41))</f>
        <v>0</v>
      </c>
      <c r="I778" s="123">
        <f t="shared" si="242"/>
        <v>0</v>
      </c>
      <c r="J778" s="124">
        <f>IF($D778="",0,IF($F778&lt;2,0,IF($E778="Win",('Guide &amp; Settings'!$C$42/(($F778-1)*COUNTIFS($A$4:$A$1510,$A778,$E$4:$E$1510,"Win")))*SUMIFS($X$4:$X$1510,$A$4:$A$1510,$A778,$E$4:$E$1510,"Loss"),-('Guide &amp; Settings'!$C$42/($F778-1))*$X778)))</f>
        <v>0</v>
      </c>
      <c r="K778" s="124">
        <f>IF($D778="",0,'Guide &amp; Settings'!$C$43*(IF($E778="Win",1,0)-$I778))</f>
        <v>0</v>
      </c>
      <c r="L778" s="125">
        <f>IF($D778="",0,'Guide &amp; Settings'!$C$44*IF($F778&gt;=3,$F778,0))</f>
        <v>0</v>
      </c>
      <c r="M778" s="124">
        <f t="shared" si="243"/>
        <v>0</v>
      </c>
      <c r="N778" s="122">
        <f t="shared" si="244"/>
        <v>0</v>
      </c>
      <c r="O778" s="121" t="str">
        <f t="shared" si="245"/>
        <v/>
      </c>
      <c r="P778">
        <f t="shared" si="246"/>
        <v>0</v>
      </c>
      <c r="Q778">
        <f t="shared" si="247"/>
        <v>0</v>
      </c>
      <c r="R778">
        <f t="shared" si="248"/>
        <v>0</v>
      </c>
      <c r="S778">
        <f t="shared" si="249"/>
        <v>0</v>
      </c>
      <c r="T778" s="89">
        <f t="shared" si="250"/>
        <v>0</v>
      </c>
      <c r="U778" s="126">
        <f>IF($D778="",0,IFERROR(LOOKUP(2,1/(($D$3:D777=$D778)*($C$3:C777=$C778)*($A$3:A777&lt;$A778)),$AB$3:AB777),1000))</f>
        <v>0</v>
      </c>
      <c r="V778" s="126">
        <f t="shared" si="251"/>
        <v>0</v>
      </c>
      <c r="W778">
        <f t="shared" si="252"/>
        <v>0</v>
      </c>
      <c r="X778">
        <f t="shared" si="253"/>
        <v>0</v>
      </c>
      <c r="Y778">
        <f t="shared" si="254"/>
        <v>0</v>
      </c>
      <c r="Z778">
        <f t="shared" si="255"/>
        <v>0</v>
      </c>
      <c r="AA778">
        <f>IF($D778="",0,IF($F778&lt;2,0,IF($E778="Win",('Guide &amp; Settings'!$C$42/(($F778-1)*COUNTIFS($A$4:$A$1510,$A778,$E$4:$E$1510,"Win")))*SUMIFS($Z$4:$Z$1510,$A$4:$A$1510,$A778,$E$4:$E$1510,"Loss"),-('Guide &amp; Settings'!$C$42/($F778-1))*$Z778)))</f>
        <v>0</v>
      </c>
      <c r="AB778" s="126">
        <f t="shared" si="256"/>
        <v>0</v>
      </c>
      <c r="AC778" s="126" t="str">
        <f>IF($D778="","",IF($AD778=0,0,IF(COUNTIFS($D$4:$D778,$D778,$B$4:$B778,$B778)&gt;1,0,IF($B778&lt;'Guide &amp; Settings'!$C$50,0,IF(($B778-$AD778)/7-'Guide &amp; Settings'!$C$48&gt;=0,(INT(($B778-$AD778)/7-'Guide &amp; Settings'!$C$48)+1)*'Guide &amp; Settings'!$C$49,0)))))</f>
        <v/>
      </c>
      <c r="AD778" s="142">
        <f t="shared" si="257"/>
        <v>0</v>
      </c>
      <c r="AE778">
        <f t="shared" si="258"/>
        <v>0</v>
      </c>
      <c r="AF778">
        <f t="shared" si="259"/>
        <v>0</v>
      </c>
    </row>
    <row r="779" spans="1:32" x14ac:dyDescent="0.2">
      <c r="A779" s="117"/>
      <c r="B779" s="118"/>
      <c r="C779" s="119"/>
      <c r="D779" s="119"/>
      <c r="E779" s="117"/>
      <c r="F779" s="120">
        <f t="shared" si="240"/>
        <v>0</v>
      </c>
      <c r="G779" s="121" t="str">
        <f t="shared" si="241"/>
        <v/>
      </c>
      <c r="H779" s="122">
        <f>IF($D779="",0,IFERROR(LOOKUP(2,1/(($D$3:D778=$D779)*($A$3:A778&lt;$A779)),$N$3:N778),'Guide &amp; Settings'!$C$41))</f>
        <v>0</v>
      </c>
      <c r="I779" s="123">
        <f t="shared" si="242"/>
        <v>0</v>
      </c>
      <c r="J779" s="124">
        <f>IF($D779="",0,IF($F779&lt;2,0,IF($E779="Win",('Guide &amp; Settings'!$C$42/(($F779-1)*COUNTIFS($A$4:$A$1510,$A779,$E$4:$E$1510,"Win")))*SUMIFS($X$4:$X$1510,$A$4:$A$1510,$A779,$E$4:$E$1510,"Loss"),-('Guide &amp; Settings'!$C$42/($F779-1))*$X779)))</f>
        <v>0</v>
      </c>
      <c r="K779" s="124">
        <f>IF($D779="",0,'Guide &amp; Settings'!$C$43*(IF($E779="Win",1,0)-$I779))</f>
        <v>0</v>
      </c>
      <c r="L779" s="125">
        <f>IF($D779="",0,'Guide &amp; Settings'!$C$44*IF($F779&gt;=3,$F779,0))</f>
        <v>0</v>
      </c>
      <c r="M779" s="124">
        <f t="shared" si="243"/>
        <v>0</v>
      </c>
      <c r="N779" s="122">
        <f t="shared" si="244"/>
        <v>0</v>
      </c>
      <c r="O779" s="121" t="str">
        <f t="shared" si="245"/>
        <v/>
      </c>
      <c r="P779">
        <f t="shared" si="246"/>
        <v>0</v>
      </c>
      <c r="Q779">
        <f t="shared" si="247"/>
        <v>0</v>
      </c>
      <c r="R779">
        <f t="shared" si="248"/>
        <v>0</v>
      </c>
      <c r="S779">
        <f t="shared" si="249"/>
        <v>0</v>
      </c>
      <c r="T779" s="89">
        <f t="shared" si="250"/>
        <v>0</v>
      </c>
      <c r="U779" s="126">
        <f>IF($D779="",0,IFERROR(LOOKUP(2,1/(($D$3:D778=$D779)*($C$3:C778=$C779)*($A$3:A778&lt;$A779)),$AB$3:AB778),1000))</f>
        <v>0</v>
      </c>
      <c r="V779" s="126">
        <f t="shared" si="251"/>
        <v>0</v>
      </c>
      <c r="W779">
        <f t="shared" si="252"/>
        <v>0</v>
      </c>
      <c r="X779">
        <f t="shared" si="253"/>
        <v>0</v>
      </c>
      <c r="Y779">
        <f t="shared" si="254"/>
        <v>0</v>
      </c>
      <c r="Z779">
        <f t="shared" si="255"/>
        <v>0</v>
      </c>
      <c r="AA779">
        <f>IF($D779="",0,IF($F779&lt;2,0,IF($E779="Win",('Guide &amp; Settings'!$C$42/(($F779-1)*COUNTIFS($A$4:$A$1510,$A779,$E$4:$E$1510,"Win")))*SUMIFS($Z$4:$Z$1510,$A$4:$A$1510,$A779,$E$4:$E$1510,"Loss"),-('Guide &amp; Settings'!$C$42/($F779-1))*$Z779)))</f>
        <v>0</v>
      </c>
      <c r="AB779" s="126">
        <f t="shared" si="256"/>
        <v>0</v>
      </c>
      <c r="AC779" s="126" t="str">
        <f>IF($D779="","",IF($AD779=0,0,IF(COUNTIFS($D$4:$D779,$D779,$B$4:$B779,$B779)&gt;1,0,IF($B779&lt;'Guide &amp; Settings'!$C$50,0,IF(($B779-$AD779)/7-'Guide &amp; Settings'!$C$48&gt;=0,(INT(($B779-$AD779)/7-'Guide &amp; Settings'!$C$48)+1)*'Guide &amp; Settings'!$C$49,0)))))</f>
        <v/>
      </c>
      <c r="AD779" s="142">
        <f t="shared" si="257"/>
        <v>0</v>
      </c>
      <c r="AE779">
        <f t="shared" si="258"/>
        <v>0</v>
      </c>
      <c r="AF779">
        <f t="shared" si="259"/>
        <v>0</v>
      </c>
    </row>
    <row r="780" spans="1:32" x14ac:dyDescent="0.2">
      <c r="A780" s="117"/>
      <c r="B780" s="118"/>
      <c r="C780" s="119"/>
      <c r="D780" s="119"/>
      <c r="E780" s="117"/>
      <c r="F780" s="120">
        <f t="shared" si="240"/>
        <v>0</v>
      </c>
      <c r="G780" s="121" t="str">
        <f t="shared" si="241"/>
        <v/>
      </c>
      <c r="H780" s="122">
        <f>IF($D780="",0,IFERROR(LOOKUP(2,1/(($D$3:D779=$D780)*($A$3:A779&lt;$A780)),$N$3:N779),'Guide &amp; Settings'!$C$41))</f>
        <v>0</v>
      </c>
      <c r="I780" s="123">
        <f t="shared" si="242"/>
        <v>0</v>
      </c>
      <c r="J780" s="124">
        <f>IF($D780="",0,IF($F780&lt;2,0,IF($E780="Win",('Guide &amp; Settings'!$C$42/(($F780-1)*COUNTIFS($A$4:$A$1510,$A780,$E$4:$E$1510,"Win")))*SUMIFS($X$4:$X$1510,$A$4:$A$1510,$A780,$E$4:$E$1510,"Loss"),-('Guide &amp; Settings'!$C$42/($F780-1))*$X780)))</f>
        <v>0</v>
      </c>
      <c r="K780" s="124">
        <f>IF($D780="",0,'Guide &amp; Settings'!$C$43*(IF($E780="Win",1,0)-$I780))</f>
        <v>0</v>
      </c>
      <c r="L780" s="125">
        <f>IF($D780="",0,'Guide &amp; Settings'!$C$44*IF($F780&gt;=3,$F780,0))</f>
        <v>0</v>
      </c>
      <c r="M780" s="124">
        <f t="shared" si="243"/>
        <v>0</v>
      </c>
      <c r="N780" s="122">
        <f t="shared" si="244"/>
        <v>0</v>
      </c>
      <c r="O780" s="121" t="str">
        <f t="shared" si="245"/>
        <v/>
      </c>
      <c r="P780">
        <f t="shared" si="246"/>
        <v>0</v>
      </c>
      <c r="Q780">
        <f t="shared" si="247"/>
        <v>0</v>
      </c>
      <c r="R780">
        <f t="shared" si="248"/>
        <v>0</v>
      </c>
      <c r="S780">
        <f t="shared" si="249"/>
        <v>0</v>
      </c>
      <c r="T780" s="89">
        <f t="shared" si="250"/>
        <v>0</v>
      </c>
      <c r="U780" s="126">
        <f>IF($D780="",0,IFERROR(LOOKUP(2,1/(($D$3:D779=$D780)*($C$3:C779=$C780)*($A$3:A779&lt;$A780)),$AB$3:AB779),1000))</f>
        <v>0</v>
      </c>
      <c r="V780" s="126">
        <f t="shared" si="251"/>
        <v>0</v>
      </c>
      <c r="W780">
        <f t="shared" si="252"/>
        <v>0</v>
      </c>
      <c r="X780">
        <f t="shared" si="253"/>
        <v>0</v>
      </c>
      <c r="Y780">
        <f t="shared" si="254"/>
        <v>0</v>
      </c>
      <c r="Z780">
        <f t="shared" si="255"/>
        <v>0</v>
      </c>
      <c r="AA780">
        <f>IF($D780="",0,IF($F780&lt;2,0,IF($E780="Win",('Guide &amp; Settings'!$C$42/(($F780-1)*COUNTIFS($A$4:$A$1510,$A780,$E$4:$E$1510,"Win")))*SUMIFS($Z$4:$Z$1510,$A$4:$A$1510,$A780,$E$4:$E$1510,"Loss"),-('Guide &amp; Settings'!$C$42/($F780-1))*$Z780)))</f>
        <v>0</v>
      </c>
      <c r="AB780" s="126">
        <f t="shared" si="256"/>
        <v>0</v>
      </c>
      <c r="AC780" s="126" t="str">
        <f>IF($D780="","",IF($AD780=0,0,IF(COUNTIFS($D$4:$D780,$D780,$B$4:$B780,$B780)&gt;1,0,IF($B780&lt;'Guide &amp; Settings'!$C$50,0,IF(($B780-$AD780)/7-'Guide &amp; Settings'!$C$48&gt;=0,(INT(($B780-$AD780)/7-'Guide &amp; Settings'!$C$48)+1)*'Guide &amp; Settings'!$C$49,0)))))</f>
        <v/>
      </c>
      <c r="AD780" s="142">
        <f t="shared" si="257"/>
        <v>0</v>
      </c>
      <c r="AE780">
        <f t="shared" si="258"/>
        <v>0</v>
      </c>
      <c r="AF780">
        <f t="shared" si="259"/>
        <v>0</v>
      </c>
    </row>
    <row r="781" spans="1:32" x14ac:dyDescent="0.2">
      <c r="A781" s="117"/>
      <c r="B781" s="118"/>
      <c r="C781" s="119"/>
      <c r="D781" s="119"/>
      <c r="E781" s="117"/>
      <c r="F781" s="120">
        <f t="shared" si="240"/>
        <v>0</v>
      </c>
      <c r="G781" s="121" t="str">
        <f t="shared" si="241"/>
        <v/>
      </c>
      <c r="H781" s="122">
        <f>IF($D781="",0,IFERROR(LOOKUP(2,1/(($D$3:D780=$D781)*($A$3:A780&lt;$A781)),$N$3:N780),'Guide &amp; Settings'!$C$41))</f>
        <v>0</v>
      </c>
      <c r="I781" s="123">
        <f t="shared" si="242"/>
        <v>0</v>
      </c>
      <c r="J781" s="124">
        <f>IF($D781="",0,IF($F781&lt;2,0,IF($E781="Win",('Guide &amp; Settings'!$C$42/(($F781-1)*COUNTIFS($A$4:$A$1510,$A781,$E$4:$E$1510,"Win")))*SUMIFS($X$4:$X$1510,$A$4:$A$1510,$A781,$E$4:$E$1510,"Loss"),-('Guide &amp; Settings'!$C$42/($F781-1))*$X781)))</f>
        <v>0</v>
      </c>
      <c r="K781" s="124">
        <f>IF($D781="",0,'Guide &amp; Settings'!$C$43*(IF($E781="Win",1,0)-$I781))</f>
        <v>0</v>
      </c>
      <c r="L781" s="125">
        <f>IF($D781="",0,'Guide &amp; Settings'!$C$44*IF($F781&gt;=3,$F781,0))</f>
        <v>0</v>
      </c>
      <c r="M781" s="124">
        <f t="shared" si="243"/>
        <v>0</v>
      </c>
      <c r="N781" s="122">
        <f t="shared" si="244"/>
        <v>0</v>
      </c>
      <c r="O781" s="121" t="str">
        <f t="shared" si="245"/>
        <v/>
      </c>
      <c r="P781">
        <f t="shared" si="246"/>
        <v>0</v>
      </c>
      <c r="Q781">
        <f t="shared" si="247"/>
        <v>0</v>
      </c>
      <c r="R781">
        <f t="shared" si="248"/>
        <v>0</v>
      </c>
      <c r="S781">
        <f t="shared" si="249"/>
        <v>0</v>
      </c>
      <c r="T781" s="89">
        <f t="shared" si="250"/>
        <v>0</v>
      </c>
      <c r="U781" s="126">
        <f>IF($D781="",0,IFERROR(LOOKUP(2,1/(($D$3:D780=$D781)*($C$3:C780=$C781)*($A$3:A780&lt;$A781)),$AB$3:AB780),1000))</f>
        <v>0</v>
      </c>
      <c r="V781" s="126">
        <f t="shared" si="251"/>
        <v>0</v>
      </c>
      <c r="W781">
        <f t="shared" si="252"/>
        <v>0</v>
      </c>
      <c r="X781">
        <f t="shared" si="253"/>
        <v>0</v>
      </c>
      <c r="Y781">
        <f t="shared" si="254"/>
        <v>0</v>
      </c>
      <c r="Z781">
        <f t="shared" si="255"/>
        <v>0</v>
      </c>
      <c r="AA781">
        <f>IF($D781="",0,IF($F781&lt;2,0,IF($E781="Win",('Guide &amp; Settings'!$C$42/(($F781-1)*COUNTIFS($A$4:$A$1510,$A781,$E$4:$E$1510,"Win")))*SUMIFS($Z$4:$Z$1510,$A$4:$A$1510,$A781,$E$4:$E$1510,"Loss"),-('Guide &amp; Settings'!$C$42/($F781-1))*$Z781)))</f>
        <v>0</v>
      </c>
      <c r="AB781" s="126">
        <f t="shared" si="256"/>
        <v>0</v>
      </c>
      <c r="AC781" s="126" t="str">
        <f>IF($D781="","",IF($AD781=0,0,IF(COUNTIFS($D$4:$D781,$D781,$B$4:$B781,$B781)&gt;1,0,IF($B781&lt;'Guide &amp; Settings'!$C$50,0,IF(($B781-$AD781)/7-'Guide &amp; Settings'!$C$48&gt;=0,(INT(($B781-$AD781)/7-'Guide &amp; Settings'!$C$48)+1)*'Guide &amp; Settings'!$C$49,0)))))</f>
        <v/>
      </c>
      <c r="AD781" s="142">
        <f t="shared" si="257"/>
        <v>0</v>
      </c>
      <c r="AE781">
        <f t="shared" si="258"/>
        <v>0</v>
      </c>
      <c r="AF781">
        <f t="shared" si="259"/>
        <v>0</v>
      </c>
    </row>
    <row r="782" spans="1:32" x14ac:dyDescent="0.2">
      <c r="A782" s="117"/>
      <c r="B782" s="118"/>
      <c r="C782" s="119"/>
      <c r="D782" s="119"/>
      <c r="E782" s="117"/>
      <c r="F782" s="120">
        <f t="shared" si="240"/>
        <v>0</v>
      </c>
      <c r="G782" s="121" t="str">
        <f t="shared" si="241"/>
        <v/>
      </c>
      <c r="H782" s="122">
        <f>IF($D782="",0,IFERROR(LOOKUP(2,1/(($D$3:D781=$D782)*($A$3:A781&lt;$A782)),$N$3:N781),'Guide &amp; Settings'!$C$41))</f>
        <v>0</v>
      </c>
      <c r="I782" s="123">
        <f t="shared" si="242"/>
        <v>0</v>
      </c>
      <c r="J782" s="124">
        <f>IF($D782="",0,IF($F782&lt;2,0,IF($E782="Win",('Guide &amp; Settings'!$C$42/(($F782-1)*COUNTIFS($A$4:$A$1510,$A782,$E$4:$E$1510,"Win")))*SUMIFS($X$4:$X$1510,$A$4:$A$1510,$A782,$E$4:$E$1510,"Loss"),-('Guide &amp; Settings'!$C$42/($F782-1))*$X782)))</f>
        <v>0</v>
      </c>
      <c r="K782" s="124">
        <f>IF($D782="",0,'Guide &amp; Settings'!$C$43*(IF($E782="Win",1,0)-$I782))</f>
        <v>0</v>
      </c>
      <c r="L782" s="125">
        <f>IF($D782="",0,'Guide &amp; Settings'!$C$44*IF($F782&gt;=3,$F782,0))</f>
        <v>0</v>
      </c>
      <c r="M782" s="124">
        <f t="shared" si="243"/>
        <v>0</v>
      </c>
      <c r="N782" s="122">
        <f t="shared" si="244"/>
        <v>0</v>
      </c>
      <c r="O782" s="121" t="str">
        <f t="shared" si="245"/>
        <v/>
      </c>
      <c r="P782">
        <f t="shared" si="246"/>
        <v>0</v>
      </c>
      <c r="Q782">
        <f t="shared" si="247"/>
        <v>0</v>
      </c>
      <c r="R782">
        <f t="shared" si="248"/>
        <v>0</v>
      </c>
      <c r="S782">
        <f t="shared" si="249"/>
        <v>0</v>
      </c>
      <c r="T782" s="89">
        <f t="shared" si="250"/>
        <v>0</v>
      </c>
      <c r="U782" s="126">
        <f>IF($D782="",0,IFERROR(LOOKUP(2,1/(($D$3:D781=$D782)*($C$3:C781=$C782)*($A$3:A781&lt;$A782)),$AB$3:AB781),1000))</f>
        <v>0</v>
      </c>
      <c r="V782" s="126">
        <f t="shared" si="251"/>
        <v>0</v>
      </c>
      <c r="W782">
        <f t="shared" si="252"/>
        <v>0</v>
      </c>
      <c r="X782">
        <f t="shared" si="253"/>
        <v>0</v>
      </c>
      <c r="Y782">
        <f t="shared" si="254"/>
        <v>0</v>
      </c>
      <c r="Z782">
        <f t="shared" si="255"/>
        <v>0</v>
      </c>
      <c r="AA782">
        <f>IF($D782="",0,IF($F782&lt;2,0,IF($E782="Win",('Guide &amp; Settings'!$C$42/(($F782-1)*COUNTIFS($A$4:$A$1510,$A782,$E$4:$E$1510,"Win")))*SUMIFS($Z$4:$Z$1510,$A$4:$A$1510,$A782,$E$4:$E$1510,"Loss"),-('Guide &amp; Settings'!$C$42/($F782-1))*$Z782)))</f>
        <v>0</v>
      </c>
      <c r="AB782" s="126">
        <f t="shared" si="256"/>
        <v>0</v>
      </c>
      <c r="AC782" s="126" t="str">
        <f>IF($D782="","",IF($AD782=0,0,IF(COUNTIFS($D$4:$D782,$D782,$B$4:$B782,$B782)&gt;1,0,IF($B782&lt;'Guide &amp; Settings'!$C$50,0,IF(($B782-$AD782)/7-'Guide &amp; Settings'!$C$48&gt;=0,(INT(($B782-$AD782)/7-'Guide &amp; Settings'!$C$48)+1)*'Guide &amp; Settings'!$C$49,0)))))</f>
        <v/>
      </c>
      <c r="AD782" s="142">
        <f t="shared" si="257"/>
        <v>0</v>
      </c>
      <c r="AE782">
        <f t="shared" si="258"/>
        <v>0</v>
      </c>
      <c r="AF782">
        <f t="shared" si="259"/>
        <v>0</v>
      </c>
    </row>
    <row r="783" spans="1:32" x14ac:dyDescent="0.2">
      <c r="A783" s="117"/>
      <c r="B783" s="118"/>
      <c r="C783" s="119"/>
      <c r="D783" s="119"/>
      <c r="E783" s="117"/>
      <c r="F783" s="120">
        <f t="shared" si="240"/>
        <v>0</v>
      </c>
      <c r="G783" s="121" t="str">
        <f t="shared" si="241"/>
        <v/>
      </c>
      <c r="H783" s="122">
        <f>IF($D783="",0,IFERROR(LOOKUP(2,1/(($D$3:D782=$D783)*($A$3:A782&lt;$A783)),$N$3:N782),'Guide &amp; Settings'!$C$41))</f>
        <v>0</v>
      </c>
      <c r="I783" s="123">
        <f t="shared" si="242"/>
        <v>0</v>
      </c>
      <c r="J783" s="124">
        <f>IF($D783="",0,IF($F783&lt;2,0,IF($E783="Win",('Guide &amp; Settings'!$C$42/(($F783-1)*COUNTIFS($A$4:$A$1510,$A783,$E$4:$E$1510,"Win")))*SUMIFS($X$4:$X$1510,$A$4:$A$1510,$A783,$E$4:$E$1510,"Loss"),-('Guide &amp; Settings'!$C$42/($F783-1))*$X783)))</f>
        <v>0</v>
      </c>
      <c r="K783" s="124">
        <f>IF($D783="",0,'Guide &amp; Settings'!$C$43*(IF($E783="Win",1,0)-$I783))</f>
        <v>0</v>
      </c>
      <c r="L783" s="125">
        <f>IF($D783="",0,'Guide &amp; Settings'!$C$44*IF($F783&gt;=3,$F783,0))</f>
        <v>0</v>
      </c>
      <c r="M783" s="124">
        <f t="shared" si="243"/>
        <v>0</v>
      </c>
      <c r="N783" s="122">
        <f t="shared" si="244"/>
        <v>0</v>
      </c>
      <c r="O783" s="121" t="str">
        <f t="shared" si="245"/>
        <v/>
      </c>
      <c r="P783">
        <f t="shared" si="246"/>
        <v>0</v>
      </c>
      <c r="Q783">
        <f t="shared" si="247"/>
        <v>0</v>
      </c>
      <c r="R783">
        <f t="shared" si="248"/>
        <v>0</v>
      </c>
      <c r="S783">
        <f t="shared" si="249"/>
        <v>0</v>
      </c>
      <c r="T783" s="89">
        <f t="shared" si="250"/>
        <v>0</v>
      </c>
      <c r="U783" s="126">
        <f>IF($D783="",0,IFERROR(LOOKUP(2,1/(($D$3:D782=$D783)*($C$3:C782=$C783)*($A$3:A782&lt;$A783)),$AB$3:AB782),1000))</f>
        <v>0</v>
      </c>
      <c r="V783" s="126">
        <f t="shared" si="251"/>
        <v>0</v>
      </c>
      <c r="W783">
        <f t="shared" si="252"/>
        <v>0</v>
      </c>
      <c r="X783">
        <f t="shared" si="253"/>
        <v>0</v>
      </c>
      <c r="Y783">
        <f t="shared" si="254"/>
        <v>0</v>
      </c>
      <c r="Z783">
        <f t="shared" si="255"/>
        <v>0</v>
      </c>
      <c r="AA783">
        <f>IF($D783="",0,IF($F783&lt;2,0,IF($E783="Win",('Guide &amp; Settings'!$C$42/(($F783-1)*COUNTIFS($A$4:$A$1510,$A783,$E$4:$E$1510,"Win")))*SUMIFS($Z$4:$Z$1510,$A$4:$A$1510,$A783,$E$4:$E$1510,"Loss"),-('Guide &amp; Settings'!$C$42/($F783-1))*$Z783)))</f>
        <v>0</v>
      </c>
      <c r="AB783" s="126">
        <f t="shared" si="256"/>
        <v>0</v>
      </c>
      <c r="AC783" s="126" t="str">
        <f>IF($D783="","",IF($AD783=0,0,IF(COUNTIFS($D$4:$D783,$D783,$B$4:$B783,$B783)&gt;1,0,IF($B783&lt;'Guide &amp; Settings'!$C$50,0,IF(($B783-$AD783)/7-'Guide &amp; Settings'!$C$48&gt;=0,(INT(($B783-$AD783)/7-'Guide &amp; Settings'!$C$48)+1)*'Guide &amp; Settings'!$C$49,0)))))</f>
        <v/>
      </c>
      <c r="AD783" s="142">
        <f t="shared" si="257"/>
        <v>0</v>
      </c>
      <c r="AE783">
        <f t="shared" si="258"/>
        <v>0</v>
      </c>
      <c r="AF783">
        <f t="shared" si="259"/>
        <v>0</v>
      </c>
    </row>
    <row r="784" spans="1:32" x14ac:dyDescent="0.2">
      <c r="A784" s="117"/>
      <c r="B784" s="118"/>
      <c r="C784" s="119"/>
      <c r="D784" s="119"/>
      <c r="E784" s="117"/>
      <c r="F784" s="120">
        <f t="shared" si="240"/>
        <v>0</v>
      </c>
      <c r="G784" s="121" t="str">
        <f t="shared" si="241"/>
        <v/>
      </c>
      <c r="H784" s="122">
        <f>IF($D784="",0,IFERROR(LOOKUP(2,1/(($D$3:D783=$D784)*($A$3:A783&lt;$A784)),$N$3:N783),'Guide &amp; Settings'!$C$41))</f>
        <v>0</v>
      </c>
      <c r="I784" s="123">
        <f t="shared" si="242"/>
        <v>0</v>
      </c>
      <c r="J784" s="124">
        <f>IF($D784="",0,IF($F784&lt;2,0,IF($E784="Win",('Guide &amp; Settings'!$C$42/(($F784-1)*COUNTIFS($A$4:$A$1510,$A784,$E$4:$E$1510,"Win")))*SUMIFS($X$4:$X$1510,$A$4:$A$1510,$A784,$E$4:$E$1510,"Loss"),-('Guide &amp; Settings'!$C$42/($F784-1))*$X784)))</f>
        <v>0</v>
      </c>
      <c r="K784" s="124">
        <f>IF($D784="",0,'Guide &amp; Settings'!$C$43*(IF($E784="Win",1,0)-$I784))</f>
        <v>0</v>
      </c>
      <c r="L784" s="125">
        <f>IF($D784="",0,'Guide &amp; Settings'!$C$44*IF($F784&gt;=3,$F784,0))</f>
        <v>0</v>
      </c>
      <c r="M784" s="124">
        <f t="shared" si="243"/>
        <v>0</v>
      </c>
      <c r="N784" s="122">
        <f t="shared" si="244"/>
        <v>0</v>
      </c>
      <c r="O784" s="121" t="str">
        <f t="shared" si="245"/>
        <v/>
      </c>
      <c r="P784">
        <f t="shared" si="246"/>
        <v>0</v>
      </c>
      <c r="Q784">
        <f t="shared" si="247"/>
        <v>0</v>
      </c>
      <c r="R784">
        <f t="shared" si="248"/>
        <v>0</v>
      </c>
      <c r="S784">
        <f t="shared" si="249"/>
        <v>0</v>
      </c>
      <c r="T784" s="89">
        <f t="shared" si="250"/>
        <v>0</v>
      </c>
      <c r="U784" s="126">
        <f>IF($D784="",0,IFERROR(LOOKUP(2,1/(($D$3:D783=$D784)*($C$3:C783=$C784)*($A$3:A783&lt;$A784)),$AB$3:AB783),1000))</f>
        <v>0</v>
      </c>
      <c r="V784" s="126">
        <f t="shared" si="251"/>
        <v>0</v>
      </c>
      <c r="W784">
        <f t="shared" si="252"/>
        <v>0</v>
      </c>
      <c r="X784">
        <f t="shared" si="253"/>
        <v>0</v>
      </c>
      <c r="Y784">
        <f t="shared" si="254"/>
        <v>0</v>
      </c>
      <c r="Z784">
        <f t="shared" si="255"/>
        <v>0</v>
      </c>
      <c r="AA784">
        <f>IF($D784="",0,IF($F784&lt;2,0,IF($E784="Win",('Guide &amp; Settings'!$C$42/(($F784-1)*COUNTIFS($A$4:$A$1510,$A784,$E$4:$E$1510,"Win")))*SUMIFS($Z$4:$Z$1510,$A$4:$A$1510,$A784,$E$4:$E$1510,"Loss"),-('Guide &amp; Settings'!$C$42/($F784-1))*$Z784)))</f>
        <v>0</v>
      </c>
      <c r="AB784" s="126">
        <f t="shared" si="256"/>
        <v>0</v>
      </c>
      <c r="AC784" s="126" t="str">
        <f>IF($D784="","",IF($AD784=0,0,IF(COUNTIFS($D$4:$D784,$D784,$B$4:$B784,$B784)&gt;1,0,IF($B784&lt;'Guide &amp; Settings'!$C$50,0,IF(($B784-$AD784)/7-'Guide &amp; Settings'!$C$48&gt;=0,(INT(($B784-$AD784)/7-'Guide &amp; Settings'!$C$48)+1)*'Guide &amp; Settings'!$C$49,0)))))</f>
        <v/>
      </c>
      <c r="AD784" s="142">
        <f t="shared" si="257"/>
        <v>0</v>
      </c>
      <c r="AE784">
        <f t="shared" si="258"/>
        <v>0</v>
      </c>
      <c r="AF784">
        <f t="shared" si="259"/>
        <v>0</v>
      </c>
    </row>
    <row r="785" spans="1:32" x14ac:dyDescent="0.2">
      <c r="A785" s="117"/>
      <c r="B785" s="118"/>
      <c r="C785" s="119"/>
      <c r="D785" s="119"/>
      <c r="E785" s="117"/>
      <c r="F785" s="120">
        <f t="shared" si="240"/>
        <v>0</v>
      </c>
      <c r="G785" s="121" t="str">
        <f t="shared" si="241"/>
        <v/>
      </c>
      <c r="H785" s="122">
        <f>IF($D785="",0,IFERROR(LOOKUP(2,1/(($D$3:D784=$D785)*($A$3:A784&lt;$A785)),$N$3:N784),'Guide &amp; Settings'!$C$41))</f>
        <v>0</v>
      </c>
      <c r="I785" s="123">
        <f t="shared" si="242"/>
        <v>0</v>
      </c>
      <c r="J785" s="124">
        <f>IF($D785="",0,IF($F785&lt;2,0,IF($E785="Win",('Guide &amp; Settings'!$C$42/(($F785-1)*COUNTIFS($A$4:$A$1510,$A785,$E$4:$E$1510,"Win")))*SUMIFS($X$4:$X$1510,$A$4:$A$1510,$A785,$E$4:$E$1510,"Loss"),-('Guide &amp; Settings'!$C$42/($F785-1))*$X785)))</f>
        <v>0</v>
      </c>
      <c r="K785" s="124">
        <f>IF($D785="",0,'Guide &amp; Settings'!$C$43*(IF($E785="Win",1,0)-$I785))</f>
        <v>0</v>
      </c>
      <c r="L785" s="125">
        <f>IF($D785="",0,'Guide &amp; Settings'!$C$44*IF($F785&gt;=3,$F785,0))</f>
        <v>0</v>
      </c>
      <c r="M785" s="124">
        <f t="shared" si="243"/>
        <v>0</v>
      </c>
      <c r="N785" s="122">
        <f t="shared" si="244"/>
        <v>0</v>
      </c>
      <c r="O785" s="121" t="str">
        <f t="shared" si="245"/>
        <v/>
      </c>
      <c r="P785">
        <f t="shared" si="246"/>
        <v>0</v>
      </c>
      <c r="Q785">
        <f t="shared" si="247"/>
        <v>0</v>
      </c>
      <c r="R785">
        <f t="shared" si="248"/>
        <v>0</v>
      </c>
      <c r="S785">
        <f t="shared" si="249"/>
        <v>0</v>
      </c>
      <c r="T785" s="89">
        <f t="shared" si="250"/>
        <v>0</v>
      </c>
      <c r="U785" s="126">
        <f>IF($D785="",0,IFERROR(LOOKUP(2,1/(($D$3:D784=$D785)*($C$3:C784=$C785)*($A$3:A784&lt;$A785)),$AB$3:AB784),1000))</f>
        <v>0</v>
      </c>
      <c r="V785" s="126">
        <f t="shared" si="251"/>
        <v>0</v>
      </c>
      <c r="W785">
        <f t="shared" si="252"/>
        <v>0</v>
      </c>
      <c r="X785">
        <f t="shared" si="253"/>
        <v>0</v>
      </c>
      <c r="Y785">
        <f t="shared" si="254"/>
        <v>0</v>
      </c>
      <c r="Z785">
        <f t="shared" si="255"/>
        <v>0</v>
      </c>
      <c r="AA785">
        <f>IF($D785="",0,IF($F785&lt;2,0,IF($E785="Win",('Guide &amp; Settings'!$C$42/(($F785-1)*COUNTIFS($A$4:$A$1510,$A785,$E$4:$E$1510,"Win")))*SUMIFS($Z$4:$Z$1510,$A$4:$A$1510,$A785,$E$4:$E$1510,"Loss"),-('Guide &amp; Settings'!$C$42/($F785-1))*$Z785)))</f>
        <v>0</v>
      </c>
      <c r="AB785" s="126">
        <f t="shared" si="256"/>
        <v>0</v>
      </c>
      <c r="AC785" s="126" t="str">
        <f>IF($D785="","",IF($AD785=0,0,IF(COUNTIFS($D$4:$D785,$D785,$B$4:$B785,$B785)&gt;1,0,IF($B785&lt;'Guide &amp; Settings'!$C$50,0,IF(($B785-$AD785)/7-'Guide &amp; Settings'!$C$48&gt;=0,(INT(($B785-$AD785)/7-'Guide &amp; Settings'!$C$48)+1)*'Guide &amp; Settings'!$C$49,0)))))</f>
        <v/>
      </c>
      <c r="AD785" s="142">
        <f t="shared" si="257"/>
        <v>0</v>
      </c>
      <c r="AE785">
        <f t="shared" si="258"/>
        <v>0</v>
      </c>
      <c r="AF785">
        <f t="shared" si="259"/>
        <v>0</v>
      </c>
    </row>
    <row r="786" spans="1:32" x14ac:dyDescent="0.2">
      <c r="A786" s="117"/>
      <c r="B786" s="118"/>
      <c r="C786" s="119"/>
      <c r="D786" s="119"/>
      <c r="E786" s="117"/>
      <c r="F786" s="120">
        <f t="shared" si="240"/>
        <v>0</v>
      </c>
      <c r="G786" s="121" t="str">
        <f t="shared" si="241"/>
        <v/>
      </c>
      <c r="H786" s="122">
        <f>IF($D786="",0,IFERROR(LOOKUP(2,1/(($D$3:D785=$D786)*($A$3:A785&lt;$A786)),$N$3:N785),'Guide &amp; Settings'!$C$41))</f>
        <v>0</v>
      </c>
      <c r="I786" s="123">
        <f t="shared" si="242"/>
        <v>0</v>
      </c>
      <c r="J786" s="124">
        <f>IF($D786="",0,IF($F786&lt;2,0,IF($E786="Win",('Guide &amp; Settings'!$C$42/(($F786-1)*COUNTIFS($A$4:$A$1510,$A786,$E$4:$E$1510,"Win")))*SUMIFS($X$4:$X$1510,$A$4:$A$1510,$A786,$E$4:$E$1510,"Loss"),-('Guide &amp; Settings'!$C$42/($F786-1))*$X786)))</f>
        <v>0</v>
      </c>
      <c r="K786" s="124">
        <f>IF($D786="",0,'Guide &amp; Settings'!$C$43*(IF($E786="Win",1,0)-$I786))</f>
        <v>0</v>
      </c>
      <c r="L786" s="125">
        <f>IF($D786="",0,'Guide &amp; Settings'!$C$44*IF($F786&gt;=3,$F786,0))</f>
        <v>0</v>
      </c>
      <c r="M786" s="124">
        <f t="shared" si="243"/>
        <v>0</v>
      </c>
      <c r="N786" s="122">
        <f t="shared" si="244"/>
        <v>0</v>
      </c>
      <c r="O786" s="121" t="str">
        <f t="shared" si="245"/>
        <v/>
      </c>
      <c r="P786">
        <f t="shared" si="246"/>
        <v>0</v>
      </c>
      <c r="Q786">
        <f t="shared" si="247"/>
        <v>0</v>
      </c>
      <c r="R786">
        <f t="shared" si="248"/>
        <v>0</v>
      </c>
      <c r="S786">
        <f t="shared" si="249"/>
        <v>0</v>
      </c>
      <c r="T786" s="89">
        <f t="shared" si="250"/>
        <v>0</v>
      </c>
      <c r="U786" s="126">
        <f>IF($D786="",0,IFERROR(LOOKUP(2,1/(($D$3:D785=$D786)*($C$3:C785=$C786)*($A$3:A785&lt;$A786)),$AB$3:AB785),1000))</f>
        <v>0</v>
      </c>
      <c r="V786" s="126">
        <f t="shared" si="251"/>
        <v>0</v>
      </c>
      <c r="W786">
        <f t="shared" si="252"/>
        <v>0</v>
      </c>
      <c r="X786">
        <f t="shared" si="253"/>
        <v>0</v>
      </c>
      <c r="Y786">
        <f t="shared" si="254"/>
        <v>0</v>
      </c>
      <c r="Z786">
        <f t="shared" si="255"/>
        <v>0</v>
      </c>
      <c r="AA786">
        <f>IF($D786="",0,IF($F786&lt;2,0,IF($E786="Win",('Guide &amp; Settings'!$C$42/(($F786-1)*COUNTIFS($A$4:$A$1510,$A786,$E$4:$E$1510,"Win")))*SUMIFS($Z$4:$Z$1510,$A$4:$A$1510,$A786,$E$4:$E$1510,"Loss"),-('Guide &amp; Settings'!$C$42/($F786-1))*$Z786)))</f>
        <v>0</v>
      </c>
      <c r="AB786" s="126">
        <f t="shared" si="256"/>
        <v>0</v>
      </c>
      <c r="AC786" s="126" t="str">
        <f>IF($D786="","",IF($AD786=0,0,IF(COUNTIFS($D$4:$D786,$D786,$B$4:$B786,$B786)&gt;1,0,IF($B786&lt;'Guide &amp; Settings'!$C$50,0,IF(($B786-$AD786)/7-'Guide &amp; Settings'!$C$48&gt;=0,(INT(($B786-$AD786)/7-'Guide &amp; Settings'!$C$48)+1)*'Guide &amp; Settings'!$C$49,0)))))</f>
        <v/>
      </c>
      <c r="AD786" s="142">
        <f t="shared" si="257"/>
        <v>0</v>
      </c>
      <c r="AE786">
        <f t="shared" si="258"/>
        <v>0</v>
      </c>
      <c r="AF786">
        <f t="shared" si="259"/>
        <v>0</v>
      </c>
    </row>
    <row r="787" spans="1:32" x14ac:dyDescent="0.2">
      <c r="A787" s="117"/>
      <c r="B787" s="118"/>
      <c r="C787" s="119"/>
      <c r="D787" s="119"/>
      <c r="E787" s="117"/>
      <c r="F787" s="120">
        <f t="shared" si="240"/>
        <v>0</v>
      </c>
      <c r="G787" s="121" t="str">
        <f t="shared" si="241"/>
        <v/>
      </c>
      <c r="H787" s="122">
        <f>IF($D787="",0,IFERROR(LOOKUP(2,1/(($D$3:D786=$D787)*($A$3:A786&lt;$A787)),$N$3:N786),'Guide &amp; Settings'!$C$41))</f>
        <v>0</v>
      </c>
      <c r="I787" s="123">
        <f t="shared" si="242"/>
        <v>0</v>
      </c>
      <c r="J787" s="124">
        <f>IF($D787="",0,IF($F787&lt;2,0,IF($E787="Win",('Guide &amp; Settings'!$C$42/(($F787-1)*COUNTIFS($A$4:$A$1510,$A787,$E$4:$E$1510,"Win")))*SUMIFS($X$4:$X$1510,$A$4:$A$1510,$A787,$E$4:$E$1510,"Loss"),-('Guide &amp; Settings'!$C$42/($F787-1))*$X787)))</f>
        <v>0</v>
      </c>
      <c r="K787" s="124">
        <f>IF($D787="",0,'Guide &amp; Settings'!$C$43*(IF($E787="Win",1,0)-$I787))</f>
        <v>0</v>
      </c>
      <c r="L787" s="125">
        <f>IF($D787="",0,'Guide &amp; Settings'!$C$44*IF($F787&gt;=3,$F787,0))</f>
        <v>0</v>
      </c>
      <c r="M787" s="124">
        <f t="shared" si="243"/>
        <v>0</v>
      </c>
      <c r="N787" s="122">
        <f t="shared" si="244"/>
        <v>0</v>
      </c>
      <c r="O787" s="121" t="str">
        <f t="shared" si="245"/>
        <v/>
      </c>
      <c r="P787">
        <f t="shared" si="246"/>
        <v>0</v>
      </c>
      <c r="Q787">
        <f t="shared" si="247"/>
        <v>0</v>
      </c>
      <c r="R787">
        <f t="shared" si="248"/>
        <v>0</v>
      </c>
      <c r="S787">
        <f t="shared" si="249"/>
        <v>0</v>
      </c>
      <c r="T787" s="89">
        <f t="shared" si="250"/>
        <v>0</v>
      </c>
      <c r="U787" s="126">
        <f>IF($D787="",0,IFERROR(LOOKUP(2,1/(($D$3:D786=$D787)*($C$3:C786=$C787)*($A$3:A786&lt;$A787)),$AB$3:AB786),1000))</f>
        <v>0</v>
      </c>
      <c r="V787" s="126">
        <f t="shared" si="251"/>
        <v>0</v>
      </c>
      <c r="W787">
        <f t="shared" si="252"/>
        <v>0</v>
      </c>
      <c r="X787">
        <f t="shared" si="253"/>
        <v>0</v>
      </c>
      <c r="Y787">
        <f t="shared" si="254"/>
        <v>0</v>
      </c>
      <c r="Z787">
        <f t="shared" si="255"/>
        <v>0</v>
      </c>
      <c r="AA787">
        <f>IF($D787="",0,IF($F787&lt;2,0,IF($E787="Win",('Guide &amp; Settings'!$C$42/(($F787-1)*COUNTIFS($A$4:$A$1510,$A787,$E$4:$E$1510,"Win")))*SUMIFS($Z$4:$Z$1510,$A$4:$A$1510,$A787,$E$4:$E$1510,"Loss"),-('Guide &amp; Settings'!$C$42/($F787-1))*$Z787)))</f>
        <v>0</v>
      </c>
      <c r="AB787" s="126">
        <f t="shared" si="256"/>
        <v>0</v>
      </c>
      <c r="AC787" s="126" t="str">
        <f>IF($D787="","",IF($AD787=0,0,IF(COUNTIFS($D$4:$D787,$D787,$B$4:$B787,$B787)&gt;1,0,IF($B787&lt;'Guide &amp; Settings'!$C$50,0,IF(($B787-$AD787)/7-'Guide &amp; Settings'!$C$48&gt;=0,(INT(($B787-$AD787)/7-'Guide &amp; Settings'!$C$48)+1)*'Guide &amp; Settings'!$C$49,0)))))</f>
        <v/>
      </c>
      <c r="AD787" s="142">
        <f t="shared" si="257"/>
        <v>0</v>
      </c>
      <c r="AE787">
        <f t="shared" si="258"/>
        <v>0</v>
      </c>
      <c r="AF787">
        <f t="shared" si="259"/>
        <v>0</v>
      </c>
    </row>
    <row r="788" spans="1:32" x14ac:dyDescent="0.2">
      <c r="A788" s="117"/>
      <c r="B788" s="118"/>
      <c r="C788" s="119"/>
      <c r="D788" s="119"/>
      <c r="E788" s="117"/>
      <c r="F788" s="120">
        <f t="shared" si="240"/>
        <v>0</v>
      </c>
      <c r="G788" s="121" t="str">
        <f t="shared" si="241"/>
        <v/>
      </c>
      <c r="H788" s="122">
        <f>IF($D788="",0,IFERROR(LOOKUP(2,1/(($D$3:D787=$D788)*($A$3:A787&lt;$A788)),$N$3:N787),'Guide &amp; Settings'!$C$41))</f>
        <v>0</v>
      </c>
      <c r="I788" s="123">
        <f t="shared" si="242"/>
        <v>0</v>
      </c>
      <c r="J788" s="124">
        <f>IF($D788="",0,IF($F788&lt;2,0,IF($E788="Win",('Guide &amp; Settings'!$C$42/(($F788-1)*COUNTIFS($A$4:$A$1510,$A788,$E$4:$E$1510,"Win")))*SUMIFS($X$4:$X$1510,$A$4:$A$1510,$A788,$E$4:$E$1510,"Loss"),-('Guide &amp; Settings'!$C$42/($F788-1))*$X788)))</f>
        <v>0</v>
      </c>
      <c r="K788" s="124">
        <f>IF($D788="",0,'Guide &amp; Settings'!$C$43*(IF($E788="Win",1,0)-$I788))</f>
        <v>0</v>
      </c>
      <c r="L788" s="125">
        <f>IF($D788="",0,'Guide &amp; Settings'!$C$44*IF($F788&gt;=3,$F788,0))</f>
        <v>0</v>
      </c>
      <c r="M788" s="124">
        <f t="shared" si="243"/>
        <v>0</v>
      </c>
      <c r="N788" s="122">
        <f t="shared" si="244"/>
        <v>0</v>
      </c>
      <c r="O788" s="121" t="str">
        <f t="shared" si="245"/>
        <v/>
      </c>
      <c r="P788">
        <f t="shared" si="246"/>
        <v>0</v>
      </c>
      <c r="Q788">
        <f t="shared" si="247"/>
        <v>0</v>
      </c>
      <c r="R788">
        <f t="shared" si="248"/>
        <v>0</v>
      </c>
      <c r="S788">
        <f t="shared" si="249"/>
        <v>0</v>
      </c>
      <c r="T788" s="89">
        <f t="shared" si="250"/>
        <v>0</v>
      </c>
      <c r="U788" s="126">
        <f>IF($D788="",0,IFERROR(LOOKUP(2,1/(($D$3:D787=$D788)*($C$3:C787=$C788)*($A$3:A787&lt;$A788)),$AB$3:AB787),1000))</f>
        <v>0</v>
      </c>
      <c r="V788" s="126">
        <f t="shared" si="251"/>
        <v>0</v>
      </c>
      <c r="W788">
        <f t="shared" si="252"/>
        <v>0</v>
      </c>
      <c r="X788">
        <f t="shared" si="253"/>
        <v>0</v>
      </c>
      <c r="Y788">
        <f t="shared" si="254"/>
        <v>0</v>
      </c>
      <c r="Z788">
        <f t="shared" si="255"/>
        <v>0</v>
      </c>
      <c r="AA788">
        <f>IF($D788="",0,IF($F788&lt;2,0,IF($E788="Win",('Guide &amp; Settings'!$C$42/(($F788-1)*COUNTIFS($A$4:$A$1510,$A788,$E$4:$E$1510,"Win")))*SUMIFS($Z$4:$Z$1510,$A$4:$A$1510,$A788,$E$4:$E$1510,"Loss"),-('Guide &amp; Settings'!$C$42/($F788-1))*$Z788)))</f>
        <v>0</v>
      </c>
      <c r="AB788" s="126">
        <f t="shared" si="256"/>
        <v>0</v>
      </c>
      <c r="AC788" s="126" t="str">
        <f>IF($D788="","",IF($AD788=0,0,IF(COUNTIFS($D$4:$D788,$D788,$B$4:$B788,$B788)&gt;1,0,IF($B788&lt;'Guide &amp; Settings'!$C$50,0,IF(($B788-$AD788)/7-'Guide &amp; Settings'!$C$48&gt;=0,(INT(($B788-$AD788)/7-'Guide &amp; Settings'!$C$48)+1)*'Guide &amp; Settings'!$C$49,0)))))</f>
        <v/>
      </c>
      <c r="AD788" s="142">
        <f t="shared" si="257"/>
        <v>0</v>
      </c>
      <c r="AE788">
        <f t="shared" si="258"/>
        <v>0</v>
      </c>
      <c r="AF788">
        <f t="shared" si="259"/>
        <v>0</v>
      </c>
    </row>
    <row r="789" spans="1:32" x14ac:dyDescent="0.2">
      <c r="A789" s="117"/>
      <c r="B789" s="118"/>
      <c r="C789" s="119"/>
      <c r="D789" s="119"/>
      <c r="E789" s="117"/>
      <c r="F789" s="120">
        <f t="shared" si="240"/>
        <v>0</v>
      </c>
      <c r="G789" s="121" t="str">
        <f t="shared" si="241"/>
        <v/>
      </c>
      <c r="H789" s="122">
        <f>IF($D789="",0,IFERROR(LOOKUP(2,1/(($D$3:D788=$D789)*($A$3:A788&lt;$A789)),$N$3:N788),'Guide &amp; Settings'!$C$41))</f>
        <v>0</v>
      </c>
      <c r="I789" s="123">
        <f t="shared" si="242"/>
        <v>0</v>
      </c>
      <c r="J789" s="124">
        <f>IF($D789="",0,IF($F789&lt;2,0,IF($E789="Win",('Guide &amp; Settings'!$C$42/(($F789-1)*COUNTIFS($A$4:$A$1510,$A789,$E$4:$E$1510,"Win")))*SUMIFS($X$4:$X$1510,$A$4:$A$1510,$A789,$E$4:$E$1510,"Loss"),-('Guide &amp; Settings'!$C$42/($F789-1))*$X789)))</f>
        <v>0</v>
      </c>
      <c r="K789" s="124">
        <f>IF($D789="",0,'Guide &amp; Settings'!$C$43*(IF($E789="Win",1,0)-$I789))</f>
        <v>0</v>
      </c>
      <c r="L789" s="125">
        <f>IF($D789="",0,'Guide &amp; Settings'!$C$44*IF($F789&gt;=3,$F789,0))</f>
        <v>0</v>
      </c>
      <c r="M789" s="124">
        <f t="shared" si="243"/>
        <v>0</v>
      </c>
      <c r="N789" s="122">
        <f t="shared" si="244"/>
        <v>0</v>
      </c>
      <c r="O789" s="121" t="str">
        <f t="shared" si="245"/>
        <v/>
      </c>
      <c r="P789">
        <f t="shared" si="246"/>
        <v>0</v>
      </c>
      <c r="Q789">
        <f t="shared" si="247"/>
        <v>0</v>
      </c>
      <c r="R789">
        <f t="shared" si="248"/>
        <v>0</v>
      </c>
      <c r="S789">
        <f t="shared" si="249"/>
        <v>0</v>
      </c>
      <c r="T789" s="89">
        <f t="shared" si="250"/>
        <v>0</v>
      </c>
      <c r="U789" s="126">
        <f>IF($D789="",0,IFERROR(LOOKUP(2,1/(($D$3:D788=$D789)*($C$3:C788=$C789)*($A$3:A788&lt;$A789)),$AB$3:AB788),1000))</f>
        <v>0</v>
      </c>
      <c r="V789" s="126">
        <f t="shared" si="251"/>
        <v>0</v>
      </c>
      <c r="W789">
        <f t="shared" si="252"/>
        <v>0</v>
      </c>
      <c r="X789">
        <f t="shared" si="253"/>
        <v>0</v>
      </c>
      <c r="Y789">
        <f t="shared" si="254"/>
        <v>0</v>
      </c>
      <c r="Z789">
        <f t="shared" si="255"/>
        <v>0</v>
      </c>
      <c r="AA789">
        <f>IF($D789="",0,IF($F789&lt;2,0,IF($E789="Win",('Guide &amp; Settings'!$C$42/(($F789-1)*COUNTIFS($A$4:$A$1510,$A789,$E$4:$E$1510,"Win")))*SUMIFS($Z$4:$Z$1510,$A$4:$A$1510,$A789,$E$4:$E$1510,"Loss"),-('Guide &amp; Settings'!$C$42/($F789-1))*$Z789)))</f>
        <v>0</v>
      </c>
      <c r="AB789" s="126">
        <f t="shared" si="256"/>
        <v>0</v>
      </c>
      <c r="AC789" s="126" t="str">
        <f>IF($D789="","",IF($AD789=0,0,IF(COUNTIFS($D$4:$D789,$D789,$B$4:$B789,$B789)&gt;1,0,IF($B789&lt;'Guide &amp; Settings'!$C$50,0,IF(($B789-$AD789)/7-'Guide &amp; Settings'!$C$48&gt;=0,(INT(($B789-$AD789)/7-'Guide &amp; Settings'!$C$48)+1)*'Guide &amp; Settings'!$C$49,0)))))</f>
        <v/>
      </c>
      <c r="AD789" s="142">
        <f t="shared" si="257"/>
        <v>0</v>
      </c>
      <c r="AE789">
        <f t="shared" si="258"/>
        <v>0</v>
      </c>
      <c r="AF789">
        <f t="shared" si="259"/>
        <v>0</v>
      </c>
    </row>
    <row r="790" spans="1:32" x14ac:dyDescent="0.2">
      <c r="A790" s="117"/>
      <c r="B790" s="118"/>
      <c r="C790" s="119"/>
      <c r="D790" s="119"/>
      <c r="E790" s="117"/>
      <c r="F790" s="120">
        <f t="shared" si="240"/>
        <v>0</v>
      </c>
      <c r="G790" s="121" t="str">
        <f t="shared" si="241"/>
        <v/>
      </c>
      <c r="H790" s="122">
        <f>IF($D790="",0,IFERROR(LOOKUP(2,1/(($D$3:D789=$D790)*($A$3:A789&lt;$A790)),$N$3:N789),'Guide &amp; Settings'!$C$41))</f>
        <v>0</v>
      </c>
      <c r="I790" s="123">
        <f t="shared" si="242"/>
        <v>0</v>
      </c>
      <c r="J790" s="124">
        <f>IF($D790="",0,IF($F790&lt;2,0,IF($E790="Win",('Guide &amp; Settings'!$C$42/(($F790-1)*COUNTIFS($A$4:$A$1510,$A790,$E$4:$E$1510,"Win")))*SUMIFS($X$4:$X$1510,$A$4:$A$1510,$A790,$E$4:$E$1510,"Loss"),-('Guide &amp; Settings'!$C$42/($F790-1))*$X790)))</f>
        <v>0</v>
      </c>
      <c r="K790" s="124">
        <f>IF($D790="",0,'Guide &amp; Settings'!$C$43*(IF($E790="Win",1,0)-$I790))</f>
        <v>0</v>
      </c>
      <c r="L790" s="125">
        <f>IF($D790="",0,'Guide &amp; Settings'!$C$44*IF($F790&gt;=3,$F790,0))</f>
        <v>0</v>
      </c>
      <c r="M790" s="124">
        <f t="shared" si="243"/>
        <v>0</v>
      </c>
      <c r="N790" s="122">
        <f t="shared" si="244"/>
        <v>0</v>
      </c>
      <c r="O790" s="121" t="str">
        <f t="shared" si="245"/>
        <v/>
      </c>
      <c r="P790">
        <f t="shared" si="246"/>
        <v>0</v>
      </c>
      <c r="Q790">
        <f t="shared" si="247"/>
        <v>0</v>
      </c>
      <c r="R790">
        <f t="shared" si="248"/>
        <v>0</v>
      </c>
      <c r="S790">
        <f t="shared" si="249"/>
        <v>0</v>
      </c>
      <c r="T790" s="89">
        <f t="shared" si="250"/>
        <v>0</v>
      </c>
      <c r="U790" s="126">
        <f>IF($D790="",0,IFERROR(LOOKUP(2,1/(($D$3:D789=$D790)*($C$3:C789=$C790)*($A$3:A789&lt;$A790)),$AB$3:AB789),1000))</f>
        <v>0</v>
      </c>
      <c r="V790" s="126">
        <f t="shared" si="251"/>
        <v>0</v>
      </c>
      <c r="W790">
        <f t="shared" si="252"/>
        <v>0</v>
      </c>
      <c r="X790">
        <f t="shared" si="253"/>
        <v>0</v>
      </c>
      <c r="Y790">
        <f t="shared" si="254"/>
        <v>0</v>
      </c>
      <c r="Z790">
        <f t="shared" si="255"/>
        <v>0</v>
      </c>
      <c r="AA790">
        <f>IF($D790="",0,IF($F790&lt;2,0,IF($E790="Win",('Guide &amp; Settings'!$C$42/(($F790-1)*COUNTIFS($A$4:$A$1510,$A790,$E$4:$E$1510,"Win")))*SUMIFS($Z$4:$Z$1510,$A$4:$A$1510,$A790,$E$4:$E$1510,"Loss"),-('Guide &amp; Settings'!$C$42/($F790-1))*$Z790)))</f>
        <v>0</v>
      </c>
      <c r="AB790" s="126">
        <f t="shared" si="256"/>
        <v>0</v>
      </c>
      <c r="AC790" s="126" t="str">
        <f>IF($D790="","",IF($AD790=0,0,IF(COUNTIFS($D$4:$D790,$D790,$B$4:$B790,$B790)&gt;1,0,IF($B790&lt;'Guide &amp; Settings'!$C$50,0,IF(($B790-$AD790)/7-'Guide &amp; Settings'!$C$48&gt;=0,(INT(($B790-$AD790)/7-'Guide &amp; Settings'!$C$48)+1)*'Guide &amp; Settings'!$C$49,0)))))</f>
        <v/>
      </c>
      <c r="AD790" s="142">
        <f t="shared" si="257"/>
        <v>0</v>
      </c>
      <c r="AE790">
        <f t="shared" si="258"/>
        <v>0</v>
      </c>
      <c r="AF790">
        <f t="shared" si="259"/>
        <v>0</v>
      </c>
    </row>
    <row r="791" spans="1:32" x14ac:dyDescent="0.2">
      <c r="A791" s="117"/>
      <c r="B791" s="118"/>
      <c r="C791" s="119"/>
      <c r="D791" s="119"/>
      <c r="E791" s="117"/>
      <c r="F791" s="120">
        <f t="shared" si="240"/>
        <v>0</v>
      </c>
      <c r="G791" s="121" t="str">
        <f t="shared" si="241"/>
        <v/>
      </c>
      <c r="H791" s="122">
        <f>IF($D791="",0,IFERROR(LOOKUP(2,1/(($D$3:D790=$D791)*($A$3:A790&lt;$A791)),$N$3:N790),'Guide &amp; Settings'!$C$41))</f>
        <v>0</v>
      </c>
      <c r="I791" s="123">
        <f t="shared" si="242"/>
        <v>0</v>
      </c>
      <c r="J791" s="124">
        <f>IF($D791="",0,IF($F791&lt;2,0,IF($E791="Win",('Guide &amp; Settings'!$C$42/(($F791-1)*COUNTIFS($A$4:$A$1510,$A791,$E$4:$E$1510,"Win")))*SUMIFS($X$4:$X$1510,$A$4:$A$1510,$A791,$E$4:$E$1510,"Loss"),-('Guide &amp; Settings'!$C$42/($F791-1))*$X791)))</f>
        <v>0</v>
      </c>
      <c r="K791" s="124">
        <f>IF($D791="",0,'Guide &amp; Settings'!$C$43*(IF($E791="Win",1,0)-$I791))</f>
        <v>0</v>
      </c>
      <c r="L791" s="125">
        <f>IF($D791="",0,'Guide &amp; Settings'!$C$44*IF($F791&gt;=3,$F791,0))</f>
        <v>0</v>
      </c>
      <c r="M791" s="124">
        <f t="shared" si="243"/>
        <v>0</v>
      </c>
      <c r="N791" s="122">
        <f t="shared" si="244"/>
        <v>0</v>
      </c>
      <c r="O791" s="121" t="str">
        <f t="shared" si="245"/>
        <v/>
      </c>
      <c r="P791">
        <f t="shared" si="246"/>
        <v>0</v>
      </c>
      <c r="Q791">
        <f t="shared" si="247"/>
        <v>0</v>
      </c>
      <c r="R791">
        <f t="shared" si="248"/>
        <v>0</v>
      </c>
      <c r="S791">
        <f t="shared" si="249"/>
        <v>0</v>
      </c>
      <c r="T791" s="89">
        <f t="shared" si="250"/>
        <v>0</v>
      </c>
      <c r="U791" s="126">
        <f>IF($D791="",0,IFERROR(LOOKUP(2,1/(($D$3:D790=$D791)*($C$3:C790=$C791)*($A$3:A790&lt;$A791)),$AB$3:AB790),1000))</f>
        <v>0</v>
      </c>
      <c r="V791" s="126">
        <f t="shared" si="251"/>
        <v>0</v>
      </c>
      <c r="W791">
        <f t="shared" si="252"/>
        <v>0</v>
      </c>
      <c r="X791">
        <f t="shared" si="253"/>
        <v>0</v>
      </c>
      <c r="Y791">
        <f t="shared" si="254"/>
        <v>0</v>
      </c>
      <c r="Z791">
        <f t="shared" si="255"/>
        <v>0</v>
      </c>
      <c r="AA791">
        <f>IF($D791="",0,IF($F791&lt;2,0,IF($E791="Win",('Guide &amp; Settings'!$C$42/(($F791-1)*COUNTIFS($A$4:$A$1510,$A791,$E$4:$E$1510,"Win")))*SUMIFS($Z$4:$Z$1510,$A$4:$A$1510,$A791,$E$4:$E$1510,"Loss"),-('Guide &amp; Settings'!$C$42/($F791-1))*$Z791)))</f>
        <v>0</v>
      </c>
      <c r="AB791" s="126">
        <f t="shared" si="256"/>
        <v>0</v>
      </c>
      <c r="AC791" s="126" t="str">
        <f>IF($D791="","",IF($AD791=0,0,IF(COUNTIFS($D$4:$D791,$D791,$B$4:$B791,$B791)&gt;1,0,IF($B791&lt;'Guide &amp; Settings'!$C$50,0,IF(($B791-$AD791)/7-'Guide &amp; Settings'!$C$48&gt;=0,(INT(($B791-$AD791)/7-'Guide &amp; Settings'!$C$48)+1)*'Guide &amp; Settings'!$C$49,0)))))</f>
        <v/>
      </c>
      <c r="AD791" s="142">
        <f t="shared" si="257"/>
        <v>0</v>
      </c>
      <c r="AE791">
        <f t="shared" si="258"/>
        <v>0</v>
      </c>
      <c r="AF791">
        <f t="shared" si="259"/>
        <v>0</v>
      </c>
    </row>
    <row r="792" spans="1:32" x14ac:dyDescent="0.2">
      <c r="A792" s="117"/>
      <c r="B792" s="118"/>
      <c r="C792" s="119"/>
      <c r="D792" s="119"/>
      <c r="E792" s="117"/>
      <c r="F792" s="120">
        <f t="shared" si="240"/>
        <v>0</v>
      </c>
      <c r="G792" s="121" t="str">
        <f t="shared" si="241"/>
        <v/>
      </c>
      <c r="H792" s="122">
        <f>IF($D792="",0,IFERROR(LOOKUP(2,1/(($D$3:D791=$D792)*($A$3:A791&lt;$A792)),$N$3:N791),'Guide &amp; Settings'!$C$41))</f>
        <v>0</v>
      </c>
      <c r="I792" s="123">
        <f t="shared" si="242"/>
        <v>0</v>
      </c>
      <c r="J792" s="124">
        <f>IF($D792="",0,IF($F792&lt;2,0,IF($E792="Win",('Guide &amp; Settings'!$C$42/(($F792-1)*COUNTIFS($A$4:$A$1510,$A792,$E$4:$E$1510,"Win")))*SUMIFS($X$4:$X$1510,$A$4:$A$1510,$A792,$E$4:$E$1510,"Loss"),-('Guide &amp; Settings'!$C$42/($F792-1))*$X792)))</f>
        <v>0</v>
      </c>
      <c r="K792" s="124">
        <f>IF($D792="",0,'Guide &amp; Settings'!$C$43*(IF($E792="Win",1,0)-$I792))</f>
        <v>0</v>
      </c>
      <c r="L792" s="125">
        <f>IF($D792="",0,'Guide &amp; Settings'!$C$44*IF($F792&gt;=3,$F792,0))</f>
        <v>0</v>
      </c>
      <c r="M792" s="124">
        <f t="shared" si="243"/>
        <v>0</v>
      </c>
      <c r="N792" s="122">
        <f t="shared" si="244"/>
        <v>0</v>
      </c>
      <c r="O792" s="121" t="str">
        <f t="shared" si="245"/>
        <v/>
      </c>
      <c r="P792">
        <f t="shared" si="246"/>
        <v>0</v>
      </c>
      <c r="Q792">
        <f t="shared" si="247"/>
        <v>0</v>
      </c>
      <c r="R792">
        <f t="shared" si="248"/>
        <v>0</v>
      </c>
      <c r="S792">
        <f t="shared" si="249"/>
        <v>0</v>
      </c>
      <c r="T792" s="89">
        <f t="shared" si="250"/>
        <v>0</v>
      </c>
      <c r="U792" s="126">
        <f>IF($D792="",0,IFERROR(LOOKUP(2,1/(($D$3:D791=$D792)*($C$3:C791=$C792)*($A$3:A791&lt;$A792)),$AB$3:AB791),1000))</f>
        <v>0</v>
      </c>
      <c r="V792" s="126">
        <f t="shared" si="251"/>
        <v>0</v>
      </c>
      <c r="W792">
        <f t="shared" si="252"/>
        <v>0</v>
      </c>
      <c r="X792">
        <f t="shared" si="253"/>
        <v>0</v>
      </c>
      <c r="Y792">
        <f t="shared" si="254"/>
        <v>0</v>
      </c>
      <c r="Z792">
        <f t="shared" si="255"/>
        <v>0</v>
      </c>
      <c r="AA792">
        <f>IF($D792="",0,IF($F792&lt;2,0,IF($E792="Win",('Guide &amp; Settings'!$C$42/(($F792-1)*COUNTIFS($A$4:$A$1510,$A792,$E$4:$E$1510,"Win")))*SUMIFS($Z$4:$Z$1510,$A$4:$A$1510,$A792,$E$4:$E$1510,"Loss"),-('Guide &amp; Settings'!$C$42/($F792-1))*$Z792)))</f>
        <v>0</v>
      </c>
      <c r="AB792" s="126">
        <f t="shared" si="256"/>
        <v>0</v>
      </c>
      <c r="AC792" s="126" t="str">
        <f>IF($D792="","",IF($AD792=0,0,IF(COUNTIFS($D$4:$D792,$D792,$B$4:$B792,$B792)&gt;1,0,IF($B792&lt;'Guide &amp; Settings'!$C$50,0,IF(($B792-$AD792)/7-'Guide &amp; Settings'!$C$48&gt;=0,(INT(($B792-$AD792)/7-'Guide &amp; Settings'!$C$48)+1)*'Guide &amp; Settings'!$C$49,0)))))</f>
        <v/>
      </c>
      <c r="AD792" s="142">
        <f t="shared" si="257"/>
        <v>0</v>
      </c>
      <c r="AE792">
        <f t="shared" si="258"/>
        <v>0</v>
      </c>
      <c r="AF792">
        <f t="shared" si="259"/>
        <v>0</v>
      </c>
    </row>
    <row r="793" spans="1:32" x14ac:dyDescent="0.2">
      <c r="A793" s="117"/>
      <c r="B793" s="118"/>
      <c r="C793" s="119"/>
      <c r="D793" s="119"/>
      <c r="E793" s="117"/>
      <c r="F793" s="120">
        <f t="shared" si="240"/>
        <v>0</v>
      </c>
      <c r="G793" s="121" t="str">
        <f t="shared" si="241"/>
        <v/>
      </c>
      <c r="H793" s="122">
        <f>IF($D793="",0,IFERROR(LOOKUP(2,1/(($D$3:D792=$D793)*($A$3:A792&lt;$A793)),$N$3:N792),'Guide &amp; Settings'!$C$41))</f>
        <v>0</v>
      </c>
      <c r="I793" s="123">
        <f t="shared" si="242"/>
        <v>0</v>
      </c>
      <c r="J793" s="124">
        <f>IF($D793="",0,IF($F793&lt;2,0,IF($E793="Win",('Guide &amp; Settings'!$C$42/(($F793-1)*COUNTIFS($A$4:$A$1510,$A793,$E$4:$E$1510,"Win")))*SUMIFS($X$4:$X$1510,$A$4:$A$1510,$A793,$E$4:$E$1510,"Loss"),-('Guide &amp; Settings'!$C$42/($F793-1))*$X793)))</f>
        <v>0</v>
      </c>
      <c r="K793" s="124">
        <f>IF($D793="",0,'Guide &amp; Settings'!$C$43*(IF($E793="Win",1,0)-$I793))</f>
        <v>0</v>
      </c>
      <c r="L793" s="125">
        <f>IF($D793="",0,'Guide &amp; Settings'!$C$44*IF($F793&gt;=3,$F793,0))</f>
        <v>0</v>
      </c>
      <c r="M793" s="124">
        <f t="shared" si="243"/>
        <v>0</v>
      </c>
      <c r="N793" s="122">
        <f t="shared" si="244"/>
        <v>0</v>
      </c>
      <c r="O793" s="121" t="str">
        <f t="shared" si="245"/>
        <v/>
      </c>
      <c r="P793">
        <f t="shared" si="246"/>
        <v>0</v>
      </c>
      <c r="Q793">
        <f t="shared" si="247"/>
        <v>0</v>
      </c>
      <c r="R793">
        <f t="shared" si="248"/>
        <v>0</v>
      </c>
      <c r="S793">
        <f t="shared" si="249"/>
        <v>0</v>
      </c>
      <c r="T793" s="89">
        <f t="shared" si="250"/>
        <v>0</v>
      </c>
      <c r="U793" s="126">
        <f>IF($D793="",0,IFERROR(LOOKUP(2,1/(($D$3:D792=$D793)*($C$3:C792=$C793)*($A$3:A792&lt;$A793)),$AB$3:AB792),1000))</f>
        <v>0</v>
      </c>
      <c r="V793" s="126">
        <f t="shared" si="251"/>
        <v>0</v>
      </c>
      <c r="W793">
        <f t="shared" si="252"/>
        <v>0</v>
      </c>
      <c r="X793">
        <f t="shared" si="253"/>
        <v>0</v>
      </c>
      <c r="Y793">
        <f t="shared" si="254"/>
        <v>0</v>
      </c>
      <c r="Z793">
        <f t="shared" si="255"/>
        <v>0</v>
      </c>
      <c r="AA793">
        <f>IF($D793="",0,IF($F793&lt;2,0,IF($E793="Win",('Guide &amp; Settings'!$C$42/(($F793-1)*COUNTIFS($A$4:$A$1510,$A793,$E$4:$E$1510,"Win")))*SUMIFS($Z$4:$Z$1510,$A$4:$A$1510,$A793,$E$4:$E$1510,"Loss"),-('Guide &amp; Settings'!$C$42/($F793-1))*$Z793)))</f>
        <v>0</v>
      </c>
      <c r="AB793" s="126">
        <f t="shared" si="256"/>
        <v>0</v>
      </c>
      <c r="AC793" s="126" t="str">
        <f>IF($D793="","",IF($AD793=0,0,IF(COUNTIFS($D$4:$D793,$D793,$B$4:$B793,$B793)&gt;1,0,IF($B793&lt;'Guide &amp; Settings'!$C$50,0,IF(($B793-$AD793)/7-'Guide &amp; Settings'!$C$48&gt;=0,(INT(($B793-$AD793)/7-'Guide &amp; Settings'!$C$48)+1)*'Guide &amp; Settings'!$C$49,0)))))</f>
        <v/>
      </c>
      <c r="AD793" s="142">
        <f t="shared" si="257"/>
        <v>0</v>
      </c>
      <c r="AE793">
        <f t="shared" si="258"/>
        <v>0</v>
      </c>
      <c r="AF793">
        <f t="shared" si="259"/>
        <v>0</v>
      </c>
    </row>
    <row r="794" spans="1:32" x14ac:dyDescent="0.2">
      <c r="A794" s="117"/>
      <c r="B794" s="118"/>
      <c r="C794" s="119"/>
      <c r="D794" s="119"/>
      <c r="E794" s="117"/>
      <c r="F794" s="120">
        <f t="shared" si="240"/>
        <v>0</v>
      </c>
      <c r="G794" s="121" t="str">
        <f t="shared" si="241"/>
        <v/>
      </c>
      <c r="H794" s="122">
        <f>IF($D794="",0,IFERROR(LOOKUP(2,1/(($D$3:D793=$D794)*($A$3:A793&lt;$A794)),$N$3:N793),'Guide &amp; Settings'!$C$41))</f>
        <v>0</v>
      </c>
      <c r="I794" s="123">
        <f t="shared" si="242"/>
        <v>0</v>
      </c>
      <c r="J794" s="124">
        <f>IF($D794="",0,IF($F794&lt;2,0,IF($E794="Win",('Guide &amp; Settings'!$C$42/(($F794-1)*COUNTIFS($A$4:$A$1510,$A794,$E$4:$E$1510,"Win")))*SUMIFS($X$4:$X$1510,$A$4:$A$1510,$A794,$E$4:$E$1510,"Loss"),-('Guide &amp; Settings'!$C$42/($F794-1))*$X794)))</f>
        <v>0</v>
      </c>
      <c r="K794" s="124">
        <f>IF($D794="",0,'Guide &amp; Settings'!$C$43*(IF($E794="Win",1,0)-$I794))</f>
        <v>0</v>
      </c>
      <c r="L794" s="125">
        <f>IF($D794="",0,'Guide &amp; Settings'!$C$44*IF($F794&gt;=3,$F794,0))</f>
        <v>0</v>
      </c>
      <c r="M794" s="124">
        <f t="shared" si="243"/>
        <v>0</v>
      </c>
      <c r="N794" s="122">
        <f t="shared" si="244"/>
        <v>0</v>
      </c>
      <c r="O794" s="121" t="str">
        <f t="shared" si="245"/>
        <v/>
      </c>
      <c r="P794">
        <f t="shared" si="246"/>
        <v>0</v>
      </c>
      <c r="Q794">
        <f t="shared" si="247"/>
        <v>0</v>
      </c>
      <c r="R794">
        <f t="shared" si="248"/>
        <v>0</v>
      </c>
      <c r="S794">
        <f t="shared" si="249"/>
        <v>0</v>
      </c>
      <c r="T794" s="89">
        <f t="shared" si="250"/>
        <v>0</v>
      </c>
      <c r="U794" s="126">
        <f>IF($D794="",0,IFERROR(LOOKUP(2,1/(($D$3:D793=$D794)*($C$3:C793=$C794)*($A$3:A793&lt;$A794)),$AB$3:AB793),1000))</f>
        <v>0</v>
      </c>
      <c r="V794" s="126">
        <f t="shared" si="251"/>
        <v>0</v>
      </c>
      <c r="W794">
        <f t="shared" si="252"/>
        <v>0</v>
      </c>
      <c r="X794">
        <f t="shared" si="253"/>
        <v>0</v>
      </c>
      <c r="Y794">
        <f t="shared" si="254"/>
        <v>0</v>
      </c>
      <c r="Z794">
        <f t="shared" si="255"/>
        <v>0</v>
      </c>
      <c r="AA794">
        <f>IF($D794="",0,IF($F794&lt;2,0,IF($E794="Win",('Guide &amp; Settings'!$C$42/(($F794-1)*COUNTIFS($A$4:$A$1510,$A794,$E$4:$E$1510,"Win")))*SUMIFS($Z$4:$Z$1510,$A$4:$A$1510,$A794,$E$4:$E$1510,"Loss"),-('Guide &amp; Settings'!$C$42/($F794-1))*$Z794)))</f>
        <v>0</v>
      </c>
      <c r="AB794" s="126">
        <f t="shared" si="256"/>
        <v>0</v>
      </c>
      <c r="AC794" s="126" t="str">
        <f>IF($D794="","",IF($AD794=0,0,IF(COUNTIFS($D$4:$D794,$D794,$B$4:$B794,$B794)&gt;1,0,IF($B794&lt;'Guide &amp; Settings'!$C$50,0,IF(($B794-$AD794)/7-'Guide &amp; Settings'!$C$48&gt;=0,(INT(($B794-$AD794)/7-'Guide &amp; Settings'!$C$48)+1)*'Guide &amp; Settings'!$C$49,0)))))</f>
        <v/>
      </c>
      <c r="AD794" s="142">
        <f t="shared" si="257"/>
        <v>0</v>
      </c>
      <c r="AE794">
        <f t="shared" si="258"/>
        <v>0</v>
      </c>
      <c r="AF794">
        <f t="shared" si="259"/>
        <v>0</v>
      </c>
    </row>
    <row r="795" spans="1:32" x14ac:dyDescent="0.2">
      <c r="A795" s="117"/>
      <c r="B795" s="118"/>
      <c r="C795" s="119"/>
      <c r="D795" s="119"/>
      <c r="E795" s="117"/>
      <c r="F795" s="120">
        <f t="shared" si="240"/>
        <v>0</v>
      </c>
      <c r="G795" s="121" t="str">
        <f t="shared" si="241"/>
        <v/>
      </c>
      <c r="H795" s="122">
        <f>IF($D795="",0,IFERROR(LOOKUP(2,1/(($D$3:D794=$D795)*($A$3:A794&lt;$A795)),$N$3:N794),'Guide &amp; Settings'!$C$41))</f>
        <v>0</v>
      </c>
      <c r="I795" s="123">
        <f t="shared" si="242"/>
        <v>0</v>
      </c>
      <c r="J795" s="124">
        <f>IF($D795="",0,IF($F795&lt;2,0,IF($E795="Win",('Guide &amp; Settings'!$C$42/(($F795-1)*COUNTIFS($A$4:$A$1510,$A795,$E$4:$E$1510,"Win")))*SUMIFS($X$4:$X$1510,$A$4:$A$1510,$A795,$E$4:$E$1510,"Loss"),-('Guide &amp; Settings'!$C$42/($F795-1))*$X795)))</f>
        <v>0</v>
      </c>
      <c r="K795" s="124">
        <f>IF($D795="",0,'Guide &amp; Settings'!$C$43*(IF($E795="Win",1,0)-$I795))</f>
        <v>0</v>
      </c>
      <c r="L795" s="125">
        <f>IF($D795="",0,'Guide &amp; Settings'!$C$44*IF($F795&gt;=3,$F795,0))</f>
        <v>0</v>
      </c>
      <c r="M795" s="124">
        <f t="shared" si="243"/>
        <v>0</v>
      </c>
      <c r="N795" s="122">
        <f t="shared" si="244"/>
        <v>0</v>
      </c>
      <c r="O795" s="121" t="str">
        <f t="shared" si="245"/>
        <v/>
      </c>
      <c r="P795">
        <f t="shared" si="246"/>
        <v>0</v>
      </c>
      <c r="Q795">
        <f t="shared" si="247"/>
        <v>0</v>
      </c>
      <c r="R795">
        <f t="shared" si="248"/>
        <v>0</v>
      </c>
      <c r="S795">
        <f t="shared" si="249"/>
        <v>0</v>
      </c>
      <c r="T795" s="89">
        <f t="shared" si="250"/>
        <v>0</v>
      </c>
      <c r="U795" s="126">
        <f>IF($D795="",0,IFERROR(LOOKUP(2,1/(($D$3:D794=$D795)*($C$3:C794=$C795)*($A$3:A794&lt;$A795)),$AB$3:AB794),1000))</f>
        <v>0</v>
      </c>
      <c r="V795" s="126">
        <f t="shared" si="251"/>
        <v>0</v>
      </c>
      <c r="W795">
        <f t="shared" si="252"/>
        <v>0</v>
      </c>
      <c r="X795">
        <f t="shared" si="253"/>
        <v>0</v>
      </c>
      <c r="Y795">
        <f t="shared" si="254"/>
        <v>0</v>
      </c>
      <c r="Z795">
        <f t="shared" si="255"/>
        <v>0</v>
      </c>
      <c r="AA795">
        <f>IF($D795="",0,IF($F795&lt;2,0,IF($E795="Win",('Guide &amp; Settings'!$C$42/(($F795-1)*COUNTIFS($A$4:$A$1510,$A795,$E$4:$E$1510,"Win")))*SUMIFS($Z$4:$Z$1510,$A$4:$A$1510,$A795,$E$4:$E$1510,"Loss"),-('Guide &amp; Settings'!$C$42/($F795-1))*$Z795)))</f>
        <v>0</v>
      </c>
      <c r="AB795" s="126">
        <f t="shared" si="256"/>
        <v>0</v>
      </c>
      <c r="AC795" s="126" t="str">
        <f>IF($D795="","",IF($AD795=0,0,IF(COUNTIFS($D$4:$D795,$D795,$B$4:$B795,$B795)&gt;1,0,IF($B795&lt;'Guide &amp; Settings'!$C$50,0,IF(($B795-$AD795)/7-'Guide &amp; Settings'!$C$48&gt;=0,(INT(($B795-$AD795)/7-'Guide &amp; Settings'!$C$48)+1)*'Guide &amp; Settings'!$C$49,0)))))</f>
        <v/>
      </c>
      <c r="AD795" s="142">
        <f t="shared" si="257"/>
        <v>0</v>
      </c>
      <c r="AE795">
        <f t="shared" si="258"/>
        <v>0</v>
      </c>
      <c r="AF795">
        <f t="shared" si="259"/>
        <v>0</v>
      </c>
    </row>
    <row r="796" spans="1:32" x14ac:dyDescent="0.2">
      <c r="A796" s="117"/>
      <c r="B796" s="118"/>
      <c r="C796" s="119"/>
      <c r="D796" s="119"/>
      <c r="E796" s="117"/>
      <c r="F796" s="120">
        <f t="shared" si="240"/>
        <v>0</v>
      </c>
      <c r="G796" s="121" t="str">
        <f t="shared" si="241"/>
        <v/>
      </c>
      <c r="H796" s="122">
        <f>IF($D796="",0,IFERROR(LOOKUP(2,1/(($D$3:D795=$D796)*($A$3:A795&lt;$A796)),$N$3:N795),'Guide &amp; Settings'!$C$41))</f>
        <v>0</v>
      </c>
      <c r="I796" s="123">
        <f t="shared" si="242"/>
        <v>0</v>
      </c>
      <c r="J796" s="124">
        <f>IF($D796="",0,IF($F796&lt;2,0,IF($E796="Win",('Guide &amp; Settings'!$C$42/(($F796-1)*COUNTIFS($A$4:$A$1510,$A796,$E$4:$E$1510,"Win")))*SUMIFS($X$4:$X$1510,$A$4:$A$1510,$A796,$E$4:$E$1510,"Loss"),-('Guide &amp; Settings'!$C$42/($F796-1))*$X796)))</f>
        <v>0</v>
      </c>
      <c r="K796" s="124">
        <f>IF($D796="",0,'Guide &amp; Settings'!$C$43*(IF($E796="Win",1,0)-$I796))</f>
        <v>0</v>
      </c>
      <c r="L796" s="125">
        <f>IF($D796="",0,'Guide &amp; Settings'!$C$44*IF($F796&gt;=3,$F796,0))</f>
        <v>0</v>
      </c>
      <c r="M796" s="124">
        <f t="shared" si="243"/>
        <v>0</v>
      </c>
      <c r="N796" s="122">
        <f t="shared" si="244"/>
        <v>0</v>
      </c>
      <c r="O796" s="121" t="str">
        <f t="shared" si="245"/>
        <v/>
      </c>
      <c r="P796">
        <f t="shared" si="246"/>
        <v>0</v>
      </c>
      <c r="Q796">
        <f t="shared" si="247"/>
        <v>0</v>
      </c>
      <c r="R796">
        <f t="shared" si="248"/>
        <v>0</v>
      </c>
      <c r="S796">
        <f t="shared" si="249"/>
        <v>0</v>
      </c>
      <c r="T796" s="89">
        <f t="shared" si="250"/>
        <v>0</v>
      </c>
      <c r="U796" s="126">
        <f>IF($D796="",0,IFERROR(LOOKUP(2,1/(($D$3:D795=$D796)*($C$3:C795=$C796)*($A$3:A795&lt;$A796)),$AB$3:AB795),1000))</f>
        <v>0</v>
      </c>
      <c r="V796" s="126">
        <f t="shared" si="251"/>
        <v>0</v>
      </c>
      <c r="W796">
        <f t="shared" si="252"/>
        <v>0</v>
      </c>
      <c r="X796">
        <f t="shared" si="253"/>
        <v>0</v>
      </c>
      <c r="Y796">
        <f t="shared" si="254"/>
        <v>0</v>
      </c>
      <c r="Z796">
        <f t="shared" si="255"/>
        <v>0</v>
      </c>
      <c r="AA796">
        <f>IF($D796="",0,IF($F796&lt;2,0,IF($E796="Win",('Guide &amp; Settings'!$C$42/(($F796-1)*COUNTIFS($A$4:$A$1510,$A796,$E$4:$E$1510,"Win")))*SUMIFS($Z$4:$Z$1510,$A$4:$A$1510,$A796,$E$4:$E$1510,"Loss"),-('Guide &amp; Settings'!$C$42/($F796-1))*$Z796)))</f>
        <v>0</v>
      </c>
      <c r="AB796" s="126">
        <f t="shared" si="256"/>
        <v>0</v>
      </c>
      <c r="AC796" s="126" t="str">
        <f>IF($D796="","",IF($AD796=0,0,IF(COUNTIFS($D$4:$D796,$D796,$B$4:$B796,$B796)&gt;1,0,IF($B796&lt;'Guide &amp; Settings'!$C$50,0,IF(($B796-$AD796)/7-'Guide &amp; Settings'!$C$48&gt;=0,(INT(($B796-$AD796)/7-'Guide &amp; Settings'!$C$48)+1)*'Guide &amp; Settings'!$C$49,0)))))</f>
        <v/>
      </c>
      <c r="AD796" s="142">
        <f t="shared" si="257"/>
        <v>0</v>
      </c>
      <c r="AE796">
        <f t="shared" si="258"/>
        <v>0</v>
      </c>
      <c r="AF796">
        <f t="shared" si="259"/>
        <v>0</v>
      </c>
    </row>
    <row r="797" spans="1:32" x14ac:dyDescent="0.2">
      <c r="A797" s="117"/>
      <c r="B797" s="118"/>
      <c r="C797" s="119"/>
      <c r="D797" s="119"/>
      <c r="E797" s="117"/>
      <c r="F797" s="120">
        <f t="shared" si="240"/>
        <v>0</v>
      </c>
      <c r="G797" s="121" t="str">
        <f t="shared" si="241"/>
        <v/>
      </c>
      <c r="H797" s="122">
        <f>IF($D797="",0,IFERROR(LOOKUP(2,1/(($D$3:D796=$D797)*($A$3:A796&lt;$A797)),$N$3:N796),'Guide &amp; Settings'!$C$41))</f>
        <v>0</v>
      </c>
      <c r="I797" s="123">
        <f t="shared" si="242"/>
        <v>0</v>
      </c>
      <c r="J797" s="124">
        <f>IF($D797="",0,IF($F797&lt;2,0,IF($E797="Win",('Guide &amp; Settings'!$C$42/(($F797-1)*COUNTIFS($A$4:$A$1510,$A797,$E$4:$E$1510,"Win")))*SUMIFS($X$4:$X$1510,$A$4:$A$1510,$A797,$E$4:$E$1510,"Loss"),-('Guide &amp; Settings'!$C$42/($F797-1))*$X797)))</f>
        <v>0</v>
      </c>
      <c r="K797" s="124">
        <f>IF($D797="",0,'Guide &amp; Settings'!$C$43*(IF($E797="Win",1,0)-$I797))</f>
        <v>0</v>
      </c>
      <c r="L797" s="125">
        <f>IF($D797="",0,'Guide &amp; Settings'!$C$44*IF($F797&gt;=3,$F797,0))</f>
        <v>0</v>
      </c>
      <c r="M797" s="124">
        <f t="shared" si="243"/>
        <v>0</v>
      </c>
      <c r="N797" s="122">
        <f t="shared" si="244"/>
        <v>0</v>
      </c>
      <c r="O797" s="121" t="str">
        <f t="shared" si="245"/>
        <v/>
      </c>
      <c r="P797">
        <f t="shared" si="246"/>
        <v>0</v>
      </c>
      <c r="Q797">
        <f t="shared" si="247"/>
        <v>0</v>
      </c>
      <c r="R797">
        <f t="shared" si="248"/>
        <v>0</v>
      </c>
      <c r="S797">
        <f t="shared" si="249"/>
        <v>0</v>
      </c>
      <c r="T797" s="89">
        <f t="shared" si="250"/>
        <v>0</v>
      </c>
      <c r="U797" s="126">
        <f>IF($D797="",0,IFERROR(LOOKUP(2,1/(($D$3:D796=$D797)*($C$3:C796=$C797)*($A$3:A796&lt;$A797)),$AB$3:AB796),1000))</f>
        <v>0</v>
      </c>
      <c r="V797" s="126">
        <f t="shared" si="251"/>
        <v>0</v>
      </c>
      <c r="W797">
        <f t="shared" si="252"/>
        <v>0</v>
      </c>
      <c r="X797">
        <f t="shared" si="253"/>
        <v>0</v>
      </c>
      <c r="Y797">
        <f t="shared" si="254"/>
        <v>0</v>
      </c>
      <c r="Z797">
        <f t="shared" si="255"/>
        <v>0</v>
      </c>
      <c r="AA797">
        <f>IF($D797="",0,IF($F797&lt;2,0,IF($E797="Win",('Guide &amp; Settings'!$C$42/(($F797-1)*COUNTIFS($A$4:$A$1510,$A797,$E$4:$E$1510,"Win")))*SUMIFS($Z$4:$Z$1510,$A$4:$A$1510,$A797,$E$4:$E$1510,"Loss"),-('Guide &amp; Settings'!$C$42/($F797-1))*$Z797)))</f>
        <v>0</v>
      </c>
      <c r="AB797" s="126">
        <f t="shared" si="256"/>
        <v>0</v>
      </c>
      <c r="AC797" s="126" t="str">
        <f>IF($D797="","",IF($AD797=0,0,IF(COUNTIFS($D$4:$D797,$D797,$B$4:$B797,$B797)&gt;1,0,IF($B797&lt;'Guide &amp; Settings'!$C$50,0,IF(($B797-$AD797)/7-'Guide &amp; Settings'!$C$48&gt;=0,(INT(($B797-$AD797)/7-'Guide &amp; Settings'!$C$48)+1)*'Guide &amp; Settings'!$C$49,0)))))</f>
        <v/>
      </c>
      <c r="AD797" s="142">
        <f t="shared" si="257"/>
        <v>0</v>
      </c>
      <c r="AE797">
        <f t="shared" si="258"/>
        <v>0</v>
      </c>
      <c r="AF797">
        <f t="shared" si="259"/>
        <v>0</v>
      </c>
    </row>
    <row r="798" spans="1:32" x14ac:dyDescent="0.2">
      <c r="A798" s="117"/>
      <c r="B798" s="118"/>
      <c r="C798" s="119"/>
      <c r="D798" s="119"/>
      <c r="E798" s="117"/>
      <c r="F798" s="120">
        <f t="shared" si="240"/>
        <v>0</v>
      </c>
      <c r="G798" s="121" t="str">
        <f t="shared" si="241"/>
        <v/>
      </c>
      <c r="H798" s="122">
        <f>IF($D798="",0,IFERROR(LOOKUP(2,1/(($D$3:D797=$D798)*($A$3:A797&lt;$A798)),$N$3:N797),'Guide &amp; Settings'!$C$41))</f>
        <v>0</v>
      </c>
      <c r="I798" s="123">
        <f t="shared" si="242"/>
        <v>0</v>
      </c>
      <c r="J798" s="124">
        <f>IF($D798="",0,IF($F798&lt;2,0,IF($E798="Win",('Guide &amp; Settings'!$C$42/(($F798-1)*COUNTIFS($A$4:$A$1510,$A798,$E$4:$E$1510,"Win")))*SUMIFS($X$4:$X$1510,$A$4:$A$1510,$A798,$E$4:$E$1510,"Loss"),-('Guide &amp; Settings'!$C$42/($F798-1))*$X798)))</f>
        <v>0</v>
      </c>
      <c r="K798" s="124">
        <f>IF($D798="",0,'Guide &amp; Settings'!$C$43*(IF($E798="Win",1,0)-$I798))</f>
        <v>0</v>
      </c>
      <c r="L798" s="125">
        <f>IF($D798="",0,'Guide &amp; Settings'!$C$44*IF($F798&gt;=3,$F798,0))</f>
        <v>0</v>
      </c>
      <c r="M798" s="124">
        <f t="shared" si="243"/>
        <v>0</v>
      </c>
      <c r="N798" s="122">
        <f t="shared" si="244"/>
        <v>0</v>
      </c>
      <c r="O798" s="121" t="str">
        <f t="shared" si="245"/>
        <v/>
      </c>
      <c r="P798">
        <f t="shared" si="246"/>
        <v>0</v>
      </c>
      <c r="Q798">
        <f t="shared" si="247"/>
        <v>0</v>
      </c>
      <c r="R798">
        <f t="shared" si="248"/>
        <v>0</v>
      </c>
      <c r="S798">
        <f t="shared" si="249"/>
        <v>0</v>
      </c>
      <c r="T798" s="89">
        <f t="shared" si="250"/>
        <v>0</v>
      </c>
      <c r="U798" s="126">
        <f>IF($D798="",0,IFERROR(LOOKUP(2,1/(($D$3:D797=$D798)*($C$3:C797=$C798)*($A$3:A797&lt;$A798)),$AB$3:AB797),1000))</f>
        <v>0</v>
      </c>
      <c r="V798" s="126">
        <f t="shared" si="251"/>
        <v>0</v>
      </c>
      <c r="W798">
        <f t="shared" si="252"/>
        <v>0</v>
      </c>
      <c r="X798">
        <f t="shared" si="253"/>
        <v>0</v>
      </c>
      <c r="Y798">
        <f t="shared" si="254"/>
        <v>0</v>
      </c>
      <c r="Z798">
        <f t="shared" si="255"/>
        <v>0</v>
      </c>
      <c r="AA798">
        <f>IF($D798="",0,IF($F798&lt;2,0,IF($E798="Win",('Guide &amp; Settings'!$C$42/(($F798-1)*COUNTIFS($A$4:$A$1510,$A798,$E$4:$E$1510,"Win")))*SUMIFS($Z$4:$Z$1510,$A$4:$A$1510,$A798,$E$4:$E$1510,"Loss"),-('Guide &amp; Settings'!$C$42/($F798-1))*$Z798)))</f>
        <v>0</v>
      </c>
      <c r="AB798" s="126">
        <f t="shared" si="256"/>
        <v>0</v>
      </c>
      <c r="AC798" s="126" t="str">
        <f>IF($D798="","",IF($AD798=0,0,IF(COUNTIFS($D$4:$D798,$D798,$B$4:$B798,$B798)&gt;1,0,IF($B798&lt;'Guide &amp; Settings'!$C$50,0,IF(($B798-$AD798)/7-'Guide &amp; Settings'!$C$48&gt;=0,(INT(($B798-$AD798)/7-'Guide &amp; Settings'!$C$48)+1)*'Guide &amp; Settings'!$C$49,0)))))</f>
        <v/>
      </c>
      <c r="AD798" s="142">
        <f t="shared" si="257"/>
        <v>0</v>
      </c>
      <c r="AE798">
        <f t="shared" si="258"/>
        <v>0</v>
      </c>
      <c r="AF798">
        <f t="shared" si="259"/>
        <v>0</v>
      </c>
    </row>
    <row r="799" spans="1:32" x14ac:dyDescent="0.2">
      <c r="A799" s="117"/>
      <c r="B799" s="118"/>
      <c r="C799" s="119"/>
      <c r="D799" s="119"/>
      <c r="E799" s="117"/>
      <c r="F799" s="120">
        <f t="shared" si="240"/>
        <v>0</v>
      </c>
      <c r="G799" s="121" t="str">
        <f t="shared" si="241"/>
        <v/>
      </c>
      <c r="H799" s="122">
        <f>IF($D799="",0,IFERROR(LOOKUP(2,1/(($D$3:D798=$D799)*($A$3:A798&lt;$A799)),$N$3:N798),'Guide &amp; Settings'!$C$41))</f>
        <v>0</v>
      </c>
      <c r="I799" s="123">
        <f t="shared" si="242"/>
        <v>0</v>
      </c>
      <c r="J799" s="124">
        <f>IF($D799="",0,IF($F799&lt;2,0,IF($E799="Win",('Guide &amp; Settings'!$C$42/(($F799-1)*COUNTIFS($A$4:$A$1510,$A799,$E$4:$E$1510,"Win")))*SUMIFS($X$4:$X$1510,$A$4:$A$1510,$A799,$E$4:$E$1510,"Loss"),-('Guide &amp; Settings'!$C$42/($F799-1))*$X799)))</f>
        <v>0</v>
      </c>
      <c r="K799" s="124">
        <f>IF($D799="",0,'Guide &amp; Settings'!$C$43*(IF($E799="Win",1,0)-$I799))</f>
        <v>0</v>
      </c>
      <c r="L799" s="125">
        <f>IF($D799="",0,'Guide &amp; Settings'!$C$44*IF($F799&gt;=3,$F799,0))</f>
        <v>0</v>
      </c>
      <c r="M799" s="124">
        <f t="shared" si="243"/>
        <v>0</v>
      </c>
      <c r="N799" s="122">
        <f t="shared" si="244"/>
        <v>0</v>
      </c>
      <c r="O799" s="121" t="str">
        <f t="shared" si="245"/>
        <v/>
      </c>
      <c r="P799">
        <f t="shared" si="246"/>
        <v>0</v>
      </c>
      <c r="Q799">
        <f t="shared" si="247"/>
        <v>0</v>
      </c>
      <c r="R799">
        <f t="shared" si="248"/>
        <v>0</v>
      </c>
      <c r="S799">
        <f t="shared" si="249"/>
        <v>0</v>
      </c>
      <c r="T799" s="89">
        <f t="shared" si="250"/>
        <v>0</v>
      </c>
      <c r="U799" s="126">
        <f>IF($D799="",0,IFERROR(LOOKUP(2,1/(($D$3:D798=$D799)*($C$3:C798=$C799)*($A$3:A798&lt;$A799)),$AB$3:AB798),1000))</f>
        <v>0</v>
      </c>
      <c r="V799" s="126">
        <f t="shared" si="251"/>
        <v>0</v>
      </c>
      <c r="W799">
        <f t="shared" si="252"/>
        <v>0</v>
      </c>
      <c r="X799">
        <f t="shared" si="253"/>
        <v>0</v>
      </c>
      <c r="Y799">
        <f t="shared" si="254"/>
        <v>0</v>
      </c>
      <c r="Z799">
        <f t="shared" si="255"/>
        <v>0</v>
      </c>
      <c r="AA799">
        <f>IF($D799="",0,IF($F799&lt;2,0,IF($E799="Win",('Guide &amp; Settings'!$C$42/(($F799-1)*COUNTIFS($A$4:$A$1510,$A799,$E$4:$E$1510,"Win")))*SUMIFS($Z$4:$Z$1510,$A$4:$A$1510,$A799,$E$4:$E$1510,"Loss"),-('Guide &amp; Settings'!$C$42/($F799-1))*$Z799)))</f>
        <v>0</v>
      </c>
      <c r="AB799" s="126">
        <f t="shared" si="256"/>
        <v>0</v>
      </c>
      <c r="AC799" s="126" t="str">
        <f>IF($D799="","",IF($AD799=0,0,IF(COUNTIFS($D$4:$D799,$D799,$B$4:$B799,$B799)&gt;1,0,IF($B799&lt;'Guide &amp; Settings'!$C$50,0,IF(($B799-$AD799)/7-'Guide &amp; Settings'!$C$48&gt;=0,(INT(($B799-$AD799)/7-'Guide &amp; Settings'!$C$48)+1)*'Guide &amp; Settings'!$C$49,0)))))</f>
        <v/>
      </c>
      <c r="AD799" s="142">
        <f t="shared" si="257"/>
        <v>0</v>
      </c>
      <c r="AE799">
        <f t="shared" si="258"/>
        <v>0</v>
      </c>
      <c r="AF799">
        <f t="shared" si="259"/>
        <v>0</v>
      </c>
    </row>
    <row r="800" spans="1:32" x14ac:dyDescent="0.2">
      <c r="A800" s="117"/>
      <c r="B800" s="118"/>
      <c r="C800" s="119"/>
      <c r="D800" s="119"/>
      <c r="E800" s="117"/>
      <c r="F800" s="120">
        <f t="shared" si="240"/>
        <v>0</v>
      </c>
      <c r="G800" s="121" t="str">
        <f t="shared" si="241"/>
        <v/>
      </c>
      <c r="H800" s="122">
        <f>IF($D800="",0,IFERROR(LOOKUP(2,1/(($D$3:D799=$D800)*($A$3:A799&lt;$A800)),$N$3:N799),'Guide &amp; Settings'!$C$41))</f>
        <v>0</v>
      </c>
      <c r="I800" s="123">
        <f t="shared" si="242"/>
        <v>0</v>
      </c>
      <c r="J800" s="124">
        <f>IF($D800="",0,IF($F800&lt;2,0,IF($E800="Win",('Guide &amp; Settings'!$C$42/(($F800-1)*COUNTIFS($A$4:$A$1510,$A800,$E$4:$E$1510,"Win")))*SUMIFS($X$4:$X$1510,$A$4:$A$1510,$A800,$E$4:$E$1510,"Loss"),-('Guide &amp; Settings'!$C$42/($F800-1))*$X800)))</f>
        <v>0</v>
      </c>
      <c r="K800" s="124">
        <f>IF($D800="",0,'Guide &amp; Settings'!$C$43*(IF($E800="Win",1,0)-$I800))</f>
        <v>0</v>
      </c>
      <c r="L800" s="125">
        <f>IF($D800="",0,'Guide &amp; Settings'!$C$44*IF($F800&gt;=3,$F800,0))</f>
        <v>0</v>
      </c>
      <c r="M800" s="124">
        <f t="shared" si="243"/>
        <v>0</v>
      </c>
      <c r="N800" s="122">
        <f t="shared" si="244"/>
        <v>0</v>
      </c>
      <c r="O800" s="121" t="str">
        <f t="shared" si="245"/>
        <v/>
      </c>
      <c r="P800">
        <f t="shared" si="246"/>
        <v>0</v>
      </c>
      <c r="Q800">
        <f t="shared" si="247"/>
        <v>0</v>
      </c>
      <c r="R800">
        <f t="shared" si="248"/>
        <v>0</v>
      </c>
      <c r="S800">
        <f t="shared" si="249"/>
        <v>0</v>
      </c>
      <c r="T800" s="89">
        <f t="shared" si="250"/>
        <v>0</v>
      </c>
      <c r="U800" s="126">
        <f>IF($D800="",0,IFERROR(LOOKUP(2,1/(($D$3:D799=$D800)*($C$3:C799=$C800)*($A$3:A799&lt;$A800)),$AB$3:AB799),1000))</f>
        <v>0</v>
      </c>
      <c r="V800" s="126">
        <f t="shared" si="251"/>
        <v>0</v>
      </c>
      <c r="W800">
        <f t="shared" si="252"/>
        <v>0</v>
      </c>
      <c r="X800">
        <f t="shared" si="253"/>
        <v>0</v>
      </c>
      <c r="Y800">
        <f t="shared" si="254"/>
        <v>0</v>
      </c>
      <c r="Z800">
        <f t="shared" si="255"/>
        <v>0</v>
      </c>
      <c r="AA800">
        <f>IF($D800="",0,IF($F800&lt;2,0,IF($E800="Win",('Guide &amp; Settings'!$C$42/(($F800-1)*COUNTIFS($A$4:$A$1510,$A800,$E$4:$E$1510,"Win")))*SUMIFS($Z$4:$Z$1510,$A$4:$A$1510,$A800,$E$4:$E$1510,"Loss"),-('Guide &amp; Settings'!$C$42/($F800-1))*$Z800)))</f>
        <v>0</v>
      </c>
      <c r="AB800" s="126">
        <f t="shared" si="256"/>
        <v>0</v>
      </c>
      <c r="AC800" s="126" t="str">
        <f>IF($D800="","",IF($AD800=0,0,IF(COUNTIFS($D$4:$D800,$D800,$B$4:$B800,$B800)&gt;1,0,IF($B800&lt;'Guide &amp; Settings'!$C$50,0,IF(($B800-$AD800)/7-'Guide &amp; Settings'!$C$48&gt;=0,(INT(($B800-$AD800)/7-'Guide &amp; Settings'!$C$48)+1)*'Guide &amp; Settings'!$C$49,0)))))</f>
        <v/>
      </c>
      <c r="AD800" s="142">
        <f t="shared" si="257"/>
        <v>0</v>
      </c>
      <c r="AE800">
        <f t="shared" si="258"/>
        <v>0</v>
      </c>
      <c r="AF800">
        <f t="shared" si="259"/>
        <v>0</v>
      </c>
    </row>
    <row r="801" spans="1:32" x14ac:dyDescent="0.2">
      <c r="A801" s="117"/>
      <c r="B801" s="118"/>
      <c r="C801" s="119"/>
      <c r="D801" s="119"/>
      <c r="E801" s="117"/>
      <c r="F801" s="120">
        <f t="shared" si="240"/>
        <v>0</v>
      </c>
      <c r="G801" s="121" t="str">
        <f t="shared" si="241"/>
        <v/>
      </c>
      <c r="H801" s="122">
        <f>IF($D801="",0,IFERROR(LOOKUP(2,1/(($D$3:D800=$D801)*($A$3:A800&lt;$A801)),$N$3:N800),'Guide &amp; Settings'!$C$41))</f>
        <v>0</v>
      </c>
      <c r="I801" s="123">
        <f t="shared" si="242"/>
        <v>0</v>
      </c>
      <c r="J801" s="124">
        <f>IF($D801="",0,IF($F801&lt;2,0,IF($E801="Win",('Guide &amp; Settings'!$C$42/(($F801-1)*COUNTIFS($A$4:$A$1510,$A801,$E$4:$E$1510,"Win")))*SUMIFS($X$4:$X$1510,$A$4:$A$1510,$A801,$E$4:$E$1510,"Loss"),-('Guide &amp; Settings'!$C$42/($F801-1))*$X801)))</f>
        <v>0</v>
      </c>
      <c r="K801" s="124">
        <f>IF($D801="",0,'Guide &amp; Settings'!$C$43*(IF($E801="Win",1,0)-$I801))</f>
        <v>0</v>
      </c>
      <c r="L801" s="125">
        <f>IF($D801="",0,'Guide &amp; Settings'!$C$44*IF($F801&gt;=3,$F801,0))</f>
        <v>0</v>
      </c>
      <c r="M801" s="124">
        <f t="shared" si="243"/>
        <v>0</v>
      </c>
      <c r="N801" s="122">
        <f t="shared" si="244"/>
        <v>0</v>
      </c>
      <c r="O801" s="121" t="str">
        <f t="shared" si="245"/>
        <v/>
      </c>
      <c r="P801">
        <f t="shared" si="246"/>
        <v>0</v>
      </c>
      <c r="Q801">
        <f t="shared" si="247"/>
        <v>0</v>
      </c>
      <c r="R801">
        <f t="shared" si="248"/>
        <v>0</v>
      </c>
      <c r="S801">
        <f t="shared" si="249"/>
        <v>0</v>
      </c>
      <c r="T801" s="89">
        <f t="shared" si="250"/>
        <v>0</v>
      </c>
      <c r="U801" s="126">
        <f>IF($D801="",0,IFERROR(LOOKUP(2,1/(($D$3:D800=$D801)*($C$3:C800=$C801)*($A$3:A800&lt;$A801)),$AB$3:AB800),1000))</f>
        <v>0</v>
      </c>
      <c r="V801" s="126">
        <f t="shared" si="251"/>
        <v>0</v>
      </c>
      <c r="W801">
        <f t="shared" si="252"/>
        <v>0</v>
      </c>
      <c r="X801">
        <f t="shared" si="253"/>
        <v>0</v>
      </c>
      <c r="Y801">
        <f t="shared" si="254"/>
        <v>0</v>
      </c>
      <c r="Z801">
        <f t="shared" si="255"/>
        <v>0</v>
      </c>
      <c r="AA801">
        <f>IF($D801="",0,IF($F801&lt;2,0,IF($E801="Win",('Guide &amp; Settings'!$C$42/(($F801-1)*COUNTIFS($A$4:$A$1510,$A801,$E$4:$E$1510,"Win")))*SUMIFS($Z$4:$Z$1510,$A$4:$A$1510,$A801,$E$4:$E$1510,"Loss"),-('Guide &amp; Settings'!$C$42/($F801-1))*$Z801)))</f>
        <v>0</v>
      </c>
      <c r="AB801" s="126">
        <f t="shared" si="256"/>
        <v>0</v>
      </c>
      <c r="AC801" s="126" t="str">
        <f>IF($D801="","",IF($AD801=0,0,IF(COUNTIFS($D$4:$D801,$D801,$B$4:$B801,$B801)&gt;1,0,IF($B801&lt;'Guide &amp; Settings'!$C$50,0,IF(($B801-$AD801)/7-'Guide &amp; Settings'!$C$48&gt;=0,(INT(($B801-$AD801)/7-'Guide &amp; Settings'!$C$48)+1)*'Guide &amp; Settings'!$C$49,0)))))</f>
        <v/>
      </c>
      <c r="AD801" s="142">
        <f t="shared" si="257"/>
        <v>0</v>
      </c>
      <c r="AE801">
        <f t="shared" si="258"/>
        <v>0</v>
      </c>
      <c r="AF801">
        <f t="shared" si="259"/>
        <v>0</v>
      </c>
    </row>
    <row r="802" spans="1:32" x14ac:dyDescent="0.2">
      <c r="A802" s="117"/>
      <c r="B802" s="118"/>
      <c r="C802" s="119"/>
      <c r="D802" s="119"/>
      <c r="E802" s="117"/>
      <c r="F802" s="120">
        <f t="shared" si="240"/>
        <v>0</v>
      </c>
      <c r="G802" s="121" t="str">
        <f t="shared" si="241"/>
        <v/>
      </c>
      <c r="H802" s="122">
        <f>IF($D802="",0,IFERROR(LOOKUP(2,1/(($D$3:D801=$D802)*($A$3:A801&lt;$A802)),$N$3:N801),'Guide &amp; Settings'!$C$41))</f>
        <v>0</v>
      </c>
      <c r="I802" s="123">
        <f t="shared" si="242"/>
        <v>0</v>
      </c>
      <c r="J802" s="124">
        <f>IF($D802="",0,IF($F802&lt;2,0,IF($E802="Win",('Guide &amp; Settings'!$C$42/(($F802-1)*COUNTIFS($A$4:$A$1510,$A802,$E$4:$E$1510,"Win")))*SUMIFS($X$4:$X$1510,$A$4:$A$1510,$A802,$E$4:$E$1510,"Loss"),-('Guide &amp; Settings'!$C$42/($F802-1))*$X802)))</f>
        <v>0</v>
      </c>
      <c r="K802" s="124">
        <f>IF($D802="",0,'Guide &amp; Settings'!$C$43*(IF($E802="Win",1,0)-$I802))</f>
        <v>0</v>
      </c>
      <c r="L802" s="125">
        <f>IF($D802="",0,'Guide &amp; Settings'!$C$44*IF($F802&gt;=3,$F802,0))</f>
        <v>0</v>
      </c>
      <c r="M802" s="124">
        <f t="shared" si="243"/>
        <v>0</v>
      </c>
      <c r="N802" s="122">
        <f t="shared" si="244"/>
        <v>0</v>
      </c>
      <c r="O802" s="121" t="str">
        <f t="shared" si="245"/>
        <v/>
      </c>
      <c r="P802">
        <f t="shared" si="246"/>
        <v>0</v>
      </c>
      <c r="Q802">
        <f t="shared" si="247"/>
        <v>0</v>
      </c>
      <c r="R802">
        <f t="shared" si="248"/>
        <v>0</v>
      </c>
      <c r="S802">
        <f t="shared" si="249"/>
        <v>0</v>
      </c>
      <c r="T802" s="89">
        <f t="shared" si="250"/>
        <v>0</v>
      </c>
      <c r="U802" s="126">
        <f>IF($D802="",0,IFERROR(LOOKUP(2,1/(($D$3:D801=$D802)*($C$3:C801=$C802)*($A$3:A801&lt;$A802)),$AB$3:AB801),1000))</f>
        <v>0</v>
      </c>
      <c r="V802" s="126">
        <f t="shared" si="251"/>
        <v>0</v>
      </c>
      <c r="W802">
        <f t="shared" si="252"/>
        <v>0</v>
      </c>
      <c r="X802">
        <f t="shared" si="253"/>
        <v>0</v>
      </c>
      <c r="Y802">
        <f t="shared" si="254"/>
        <v>0</v>
      </c>
      <c r="Z802">
        <f t="shared" si="255"/>
        <v>0</v>
      </c>
      <c r="AA802">
        <f>IF($D802="",0,IF($F802&lt;2,0,IF($E802="Win",('Guide &amp; Settings'!$C$42/(($F802-1)*COUNTIFS($A$4:$A$1510,$A802,$E$4:$E$1510,"Win")))*SUMIFS($Z$4:$Z$1510,$A$4:$A$1510,$A802,$E$4:$E$1510,"Loss"),-('Guide &amp; Settings'!$C$42/($F802-1))*$Z802)))</f>
        <v>0</v>
      </c>
      <c r="AB802" s="126">
        <f t="shared" si="256"/>
        <v>0</v>
      </c>
      <c r="AC802" s="126" t="str">
        <f>IF($D802="","",IF($AD802=0,0,IF(COUNTIFS($D$4:$D802,$D802,$B$4:$B802,$B802)&gt;1,0,IF($B802&lt;'Guide &amp; Settings'!$C$50,0,IF(($B802-$AD802)/7-'Guide &amp; Settings'!$C$48&gt;=0,(INT(($B802-$AD802)/7-'Guide &amp; Settings'!$C$48)+1)*'Guide &amp; Settings'!$C$49,0)))))</f>
        <v/>
      </c>
      <c r="AD802" s="142">
        <f t="shared" si="257"/>
        <v>0</v>
      </c>
      <c r="AE802">
        <f t="shared" si="258"/>
        <v>0</v>
      </c>
      <c r="AF802">
        <f t="shared" si="259"/>
        <v>0</v>
      </c>
    </row>
    <row r="803" spans="1:32" x14ac:dyDescent="0.2">
      <c r="A803" s="117"/>
      <c r="B803" s="118"/>
      <c r="C803" s="119"/>
      <c r="D803" s="119"/>
      <c r="E803" s="117"/>
      <c r="F803" s="120">
        <f t="shared" si="240"/>
        <v>0</v>
      </c>
      <c r="G803" s="121" t="str">
        <f t="shared" si="241"/>
        <v/>
      </c>
      <c r="H803" s="122">
        <f>IF($D803="",0,IFERROR(LOOKUP(2,1/(($D$3:D802=$D803)*($A$3:A802&lt;$A803)),$N$3:N802),'Guide &amp; Settings'!$C$41))</f>
        <v>0</v>
      </c>
      <c r="I803" s="123">
        <f t="shared" si="242"/>
        <v>0</v>
      </c>
      <c r="J803" s="124">
        <f>IF($D803="",0,IF($F803&lt;2,0,IF($E803="Win",('Guide &amp; Settings'!$C$42/(($F803-1)*COUNTIFS($A$4:$A$1510,$A803,$E$4:$E$1510,"Win")))*SUMIFS($X$4:$X$1510,$A$4:$A$1510,$A803,$E$4:$E$1510,"Loss"),-('Guide &amp; Settings'!$C$42/($F803-1))*$X803)))</f>
        <v>0</v>
      </c>
      <c r="K803" s="124">
        <f>IF($D803="",0,'Guide &amp; Settings'!$C$43*(IF($E803="Win",1,0)-$I803))</f>
        <v>0</v>
      </c>
      <c r="L803" s="125">
        <f>IF($D803="",0,'Guide &amp; Settings'!$C$44*IF($F803&gt;=3,$F803,0))</f>
        <v>0</v>
      </c>
      <c r="M803" s="124">
        <f t="shared" si="243"/>
        <v>0</v>
      </c>
      <c r="N803" s="122">
        <f t="shared" si="244"/>
        <v>0</v>
      </c>
      <c r="O803" s="121" t="str">
        <f t="shared" si="245"/>
        <v/>
      </c>
      <c r="P803">
        <f t="shared" si="246"/>
        <v>0</v>
      </c>
      <c r="Q803">
        <f t="shared" si="247"/>
        <v>0</v>
      </c>
      <c r="R803">
        <f t="shared" si="248"/>
        <v>0</v>
      </c>
      <c r="S803">
        <f t="shared" si="249"/>
        <v>0</v>
      </c>
      <c r="T803" s="89">
        <f t="shared" si="250"/>
        <v>0</v>
      </c>
      <c r="U803" s="126">
        <f>IF($D803="",0,IFERROR(LOOKUP(2,1/(($D$3:D802=$D803)*($C$3:C802=$C803)*($A$3:A802&lt;$A803)),$AB$3:AB802),1000))</f>
        <v>0</v>
      </c>
      <c r="V803" s="126">
        <f t="shared" si="251"/>
        <v>0</v>
      </c>
      <c r="W803">
        <f t="shared" si="252"/>
        <v>0</v>
      </c>
      <c r="X803">
        <f t="shared" si="253"/>
        <v>0</v>
      </c>
      <c r="Y803">
        <f t="shared" si="254"/>
        <v>0</v>
      </c>
      <c r="Z803">
        <f t="shared" si="255"/>
        <v>0</v>
      </c>
      <c r="AA803">
        <f>IF($D803="",0,IF($F803&lt;2,0,IF($E803="Win",('Guide &amp; Settings'!$C$42/(($F803-1)*COUNTIFS($A$4:$A$1510,$A803,$E$4:$E$1510,"Win")))*SUMIFS($Z$4:$Z$1510,$A$4:$A$1510,$A803,$E$4:$E$1510,"Loss"),-('Guide &amp; Settings'!$C$42/($F803-1))*$Z803)))</f>
        <v>0</v>
      </c>
      <c r="AB803" s="126">
        <f t="shared" si="256"/>
        <v>0</v>
      </c>
      <c r="AC803" s="126" t="str">
        <f>IF($D803="","",IF($AD803=0,0,IF(COUNTIFS($D$4:$D803,$D803,$B$4:$B803,$B803)&gt;1,0,IF($B803&lt;'Guide &amp; Settings'!$C$50,0,IF(($B803-$AD803)/7-'Guide &amp; Settings'!$C$48&gt;=0,(INT(($B803-$AD803)/7-'Guide &amp; Settings'!$C$48)+1)*'Guide &amp; Settings'!$C$49,0)))))</f>
        <v/>
      </c>
      <c r="AD803" s="142">
        <f t="shared" si="257"/>
        <v>0</v>
      </c>
      <c r="AE803">
        <f t="shared" si="258"/>
        <v>0</v>
      </c>
      <c r="AF803">
        <f t="shared" si="259"/>
        <v>0</v>
      </c>
    </row>
    <row r="804" spans="1:32" x14ac:dyDescent="0.2">
      <c r="A804" s="117"/>
      <c r="B804" s="118"/>
      <c r="C804" s="119"/>
      <c r="D804" s="119"/>
      <c r="E804" s="117"/>
      <c r="F804" s="120">
        <f t="shared" si="240"/>
        <v>0</v>
      </c>
      <c r="G804" s="121" t="str">
        <f t="shared" si="241"/>
        <v/>
      </c>
      <c r="H804" s="122">
        <f>IF($D804="",0,IFERROR(LOOKUP(2,1/(($D$3:D803=$D804)*($A$3:A803&lt;$A804)),$N$3:N803),'Guide &amp; Settings'!$C$41))</f>
        <v>0</v>
      </c>
      <c r="I804" s="123">
        <f t="shared" si="242"/>
        <v>0</v>
      </c>
      <c r="J804" s="124">
        <f>IF($D804="",0,IF($F804&lt;2,0,IF($E804="Win",('Guide &amp; Settings'!$C$42/(($F804-1)*COUNTIFS($A$4:$A$1510,$A804,$E$4:$E$1510,"Win")))*SUMIFS($X$4:$X$1510,$A$4:$A$1510,$A804,$E$4:$E$1510,"Loss"),-('Guide &amp; Settings'!$C$42/($F804-1))*$X804)))</f>
        <v>0</v>
      </c>
      <c r="K804" s="124">
        <f>IF($D804="",0,'Guide &amp; Settings'!$C$43*(IF($E804="Win",1,0)-$I804))</f>
        <v>0</v>
      </c>
      <c r="L804" s="125">
        <f>IF($D804="",0,'Guide &amp; Settings'!$C$44*IF($F804&gt;=3,$F804,0))</f>
        <v>0</v>
      </c>
      <c r="M804" s="124">
        <f t="shared" si="243"/>
        <v>0</v>
      </c>
      <c r="N804" s="122">
        <f t="shared" si="244"/>
        <v>0</v>
      </c>
      <c r="O804" s="121" t="str">
        <f t="shared" si="245"/>
        <v/>
      </c>
      <c r="P804">
        <f t="shared" si="246"/>
        <v>0</v>
      </c>
      <c r="Q804">
        <f t="shared" si="247"/>
        <v>0</v>
      </c>
      <c r="R804">
        <f t="shared" si="248"/>
        <v>0</v>
      </c>
      <c r="S804">
        <f t="shared" si="249"/>
        <v>0</v>
      </c>
      <c r="T804" s="89">
        <f t="shared" si="250"/>
        <v>0</v>
      </c>
      <c r="U804" s="126">
        <f>IF($D804="",0,IFERROR(LOOKUP(2,1/(($D$3:D803=$D804)*($C$3:C803=$C804)*($A$3:A803&lt;$A804)),$AB$3:AB803),1000))</f>
        <v>0</v>
      </c>
      <c r="V804" s="126">
        <f t="shared" si="251"/>
        <v>0</v>
      </c>
      <c r="W804">
        <f t="shared" si="252"/>
        <v>0</v>
      </c>
      <c r="X804">
        <f t="shared" si="253"/>
        <v>0</v>
      </c>
      <c r="Y804">
        <f t="shared" si="254"/>
        <v>0</v>
      </c>
      <c r="Z804">
        <f t="shared" si="255"/>
        <v>0</v>
      </c>
      <c r="AA804">
        <f>IF($D804="",0,IF($F804&lt;2,0,IF($E804="Win",('Guide &amp; Settings'!$C$42/(($F804-1)*COUNTIFS($A$4:$A$1510,$A804,$E$4:$E$1510,"Win")))*SUMIFS($Z$4:$Z$1510,$A$4:$A$1510,$A804,$E$4:$E$1510,"Loss"),-('Guide &amp; Settings'!$C$42/($F804-1))*$Z804)))</f>
        <v>0</v>
      </c>
      <c r="AB804" s="126">
        <f t="shared" si="256"/>
        <v>0</v>
      </c>
      <c r="AC804" s="126" t="str">
        <f>IF($D804="","",IF($AD804=0,0,IF(COUNTIFS($D$4:$D804,$D804,$B$4:$B804,$B804)&gt;1,0,IF($B804&lt;'Guide &amp; Settings'!$C$50,0,IF(($B804-$AD804)/7-'Guide &amp; Settings'!$C$48&gt;=0,(INT(($B804-$AD804)/7-'Guide &amp; Settings'!$C$48)+1)*'Guide &amp; Settings'!$C$49,0)))))</f>
        <v/>
      </c>
      <c r="AD804" s="142">
        <f t="shared" si="257"/>
        <v>0</v>
      </c>
      <c r="AE804">
        <f t="shared" si="258"/>
        <v>0</v>
      </c>
      <c r="AF804">
        <f t="shared" si="259"/>
        <v>0</v>
      </c>
    </row>
    <row r="805" spans="1:32" x14ac:dyDescent="0.2">
      <c r="A805" s="117"/>
      <c r="B805" s="118"/>
      <c r="C805" s="119"/>
      <c r="D805" s="119"/>
      <c r="E805" s="117"/>
      <c r="F805" s="120">
        <f t="shared" si="240"/>
        <v>0</v>
      </c>
      <c r="G805" s="121" t="str">
        <f t="shared" si="241"/>
        <v/>
      </c>
      <c r="H805" s="122">
        <f>IF($D805="",0,IFERROR(LOOKUP(2,1/(($D$3:D804=$D805)*($A$3:A804&lt;$A805)),$N$3:N804),'Guide &amp; Settings'!$C$41))</f>
        <v>0</v>
      </c>
      <c r="I805" s="123">
        <f t="shared" si="242"/>
        <v>0</v>
      </c>
      <c r="J805" s="124">
        <f>IF($D805="",0,IF($F805&lt;2,0,IF($E805="Win",('Guide &amp; Settings'!$C$42/(($F805-1)*COUNTIFS($A$4:$A$1510,$A805,$E$4:$E$1510,"Win")))*SUMIFS($X$4:$X$1510,$A$4:$A$1510,$A805,$E$4:$E$1510,"Loss"),-('Guide &amp; Settings'!$C$42/($F805-1))*$X805)))</f>
        <v>0</v>
      </c>
      <c r="K805" s="124">
        <f>IF($D805="",0,'Guide &amp; Settings'!$C$43*(IF($E805="Win",1,0)-$I805))</f>
        <v>0</v>
      </c>
      <c r="L805" s="125">
        <f>IF($D805="",0,'Guide &amp; Settings'!$C$44*IF($F805&gt;=3,$F805,0))</f>
        <v>0</v>
      </c>
      <c r="M805" s="124">
        <f t="shared" si="243"/>
        <v>0</v>
      </c>
      <c r="N805" s="122">
        <f t="shared" si="244"/>
        <v>0</v>
      </c>
      <c r="O805" s="121" t="str">
        <f t="shared" si="245"/>
        <v/>
      </c>
      <c r="P805">
        <f t="shared" si="246"/>
        <v>0</v>
      </c>
      <c r="Q805">
        <f t="shared" si="247"/>
        <v>0</v>
      </c>
      <c r="R805">
        <f t="shared" si="248"/>
        <v>0</v>
      </c>
      <c r="S805">
        <f t="shared" si="249"/>
        <v>0</v>
      </c>
      <c r="T805" s="89">
        <f t="shared" si="250"/>
        <v>0</v>
      </c>
      <c r="U805" s="126">
        <f>IF($D805="",0,IFERROR(LOOKUP(2,1/(($D$3:D804=$D805)*($C$3:C804=$C805)*($A$3:A804&lt;$A805)),$AB$3:AB804),1000))</f>
        <v>0</v>
      </c>
      <c r="V805" s="126">
        <f t="shared" si="251"/>
        <v>0</v>
      </c>
      <c r="W805">
        <f t="shared" si="252"/>
        <v>0</v>
      </c>
      <c r="X805">
        <f t="shared" si="253"/>
        <v>0</v>
      </c>
      <c r="Y805">
        <f t="shared" si="254"/>
        <v>0</v>
      </c>
      <c r="Z805">
        <f t="shared" si="255"/>
        <v>0</v>
      </c>
      <c r="AA805">
        <f>IF($D805="",0,IF($F805&lt;2,0,IF($E805="Win",('Guide &amp; Settings'!$C$42/(($F805-1)*COUNTIFS($A$4:$A$1510,$A805,$E$4:$E$1510,"Win")))*SUMIFS($Z$4:$Z$1510,$A$4:$A$1510,$A805,$E$4:$E$1510,"Loss"),-('Guide &amp; Settings'!$C$42/($F805-1))*$Z805)))</f>
        <v>0</v>
      </c>
      <c r="AB805" s="126">
        <f t="shared" si="256"/>
        <v>0</v>
      </c>
      <c r="AC805" s="126" t="str">
        <f>IF($D805="","",IF($AD805=0,0,IF(COUNTIFS($D$4:$D805,$D805,$B$4:$B805,$B805)&gt;1,0,IF($B805&lt;'Guide &amp; Settings'!$C$50,0,IF(($B805-$AD805)/7-'Guide &amp; Settings'!$C$48&gt;=0,(INT(($B805-$AD805)/7-'Guide &amp; Settings'!$C$48)+1)*'Guide &amp; Settings'!$C$49,0)))))</f>
        <v/>
      </c>
      <c r="AD805" s="142">
        <f t="shared" si="257"/>
        <v>0</v>
      </c>
      <c r="AE805">
        <f t="shared" si="258"/>
        <v>0</v>
      </c>
      <c r="AF805">
        <f t="shared" si="259"/>
        <v>0</v>
      </c>
    </row>
    <row r="806" spans="1:32" x14ac:dyDescent="0.2">
      <c r="A806" s="117"/>
      <c r="B806" s="118"/>
      <c r="C806" s="119"/>
      <c r="D806" s="119"/>
      <c r="E806" s="117"/>
      <c r="F806" s="120">
        <f t="shared" si="240"/>
        <v>0</v>
      </c>
      <c r="G806" s="121" t="str">
        <f t="shared" si="241"/>
        <v/>
      </c>
      <c r="H806" s="122">
        <f>IF($D806="",0,IFERROR(LOOKUP(2,1/(($D$3:D805=$D806)*($A$3:A805&lt;$A806)),$N$3:N805),'Guide &amp; Settings'!$C$41))</f>
        <v>0</v>
      </c>
      <c r="I806" s="123">
        <f t="shared" si="242"/>
        <v>0</v>
      </c>
      <c r="J806" s="124">
        <f>IF($D806="",0,IF($F806&lt;2,0,IF($E806="Win",('Guide &amp; Settings'!$C$42/(($F806-1)*COUNTIFS($A$4:$A$1510,$A806,$E$4:$E$1510,"Win")))*SUMIFS($X$4:$X$1510,$A$4:$A$1510,$A806,$E$4:$E$1510,"Loss"),-('Guide &amp; Settings'!$C$42/($F806-1))*$X806)))</f>
        <v>0</v>
      </c>
      <c r="K806" s="124">
        <f>IF($D806="",0,'Guide &amp; Settings'!$C$43*(IF($E806="Win",1,0)-$I806))</f>
        <v>0</v>
      </c>
      <c r="L806" s="125">
        <f>IF($D806="",0,'Guide &amp; Settings'!$C$44*IF($F806&gt;=3,$F806,0))</f>
        <v>0</v>
      </c>
      <c r="M806" s="124">
        <f t="shared" si="243"/>
        <v>0</v>
      </c>
      <c r="N806" s="122">
        <f t="shared" si="244"/>
        <v>0</v>
      </c>
      <c r="O806" s="121" t="str">
        <f t="shared" si="245"/>
        <v/>
      </c>
      <c r="P806">
        <f t="shared" si="246"/>
        <v>0</v>
      </c>
      <c r="Q806">
        <f t="shared" si="247"/>
        <v>0</v>
      </c>
      <c r="R806">
        <f t="shared" si="248"/>
        <v>0</v>
      </c>
      <c r="S806">
        <f t="shared" si="249"/>
        <v>0</v>
      </c>
      <c r="T806" s="89">
        <f t="shared" si="250"/>
        <v>0</v>
      </c>
      <c r="U806" s="126">
        <f>IF($D806="",0,IFERROR(LOOKUP(2,1/(($D$3:D805=$D806)*($C$3:C805=$C806)*($A$3:A805&lt;$A806)),$AB$3:AB805),1000))</f>
        <v>0</v>
      </c>
      <c r="V806" s="126">
        <f t="shared" si="251"/>
        <v>0</v>
      </c>
      <c r="W806">
        <f t="shared" si="252"/>
        <v>0</v>
      </c>
      <c r="X806">
        <f t="shared" si="253"/>
        <v>0</v>
      </c>
      <c r="Y806">
        <f t="shared" si="254"/>
        <v>0</v>
      </c>
      <c r="Z806">
        <f t="shared" si="255"/>
        <v>0</v>
      </c>
      <c r="AA806">
        <f>IF($D806="",0,IF($F806&lt;2,0,IF($E806="Win",('Guide &amp; Settings'!$C$42/(($F806-1)*COUNTIFS($A$4:$A$1510,$A806,$E$4:$E$1510,"Win")))*SUMIFS($Z$4:$Z$1510,$A$4:$A$1510,$A806,$E$4:$E$1510,"Loss"),-('Guide &amp; Settings'!$C$42/($F806-1))*$Z806)))</f>
        <v>0</v>
      </c>
      <c r="AB806" s="126">
        <f t="shared" si="256"/>
        <v>0</v>
      </c>
      <c r="AC806" s="126" t="str">
        <f>IF($D806="","",IF($AD806=0,0,IF(COUNTIFS($D$4:$D806,$D806,$B$4:$B806,$B806)&gt;1,0,IF($B806&lt;'Guide &amp; Settings'!$C$50,0,IF(($B806-$AD806)/7-'Guide &amp; Settings'!$C$48&gt;=0,(INT(($B806-$AD806)/7-'Guide &amp; Settings'!$C$48)+1)*'Guide &amp; Settings'!$C$49,0)))))</f>
        <v/>
      </c>
      <c r="AD806" s="142">
        <f t="shared" si="257"/>
        <v>0</v>
      </c>
      <c r="AE806">
        <f t="shared" si="258"/>
        <v>0</v>
      </c>
      <c r="AF806">
        <f t="shared" si="259"/>
        <v>0</v>
      </c>
    </row>
    <row r="807" spans="1:32" x14ac:dyDescent="0.2">
      <c r="A807" s="117"/>
      <c r="B807" s="118"/>
      <c r="C807" s="119"/>
      <c r="D807" s="119"/>
      <c r="E807" s="117"/>
      <c r="F807" s="120">
        <f t="shared" si="240"/>
        <v>0</v>
      </c>
      <c r="G807" s="121" t="str">
        <f t="shared" si="241"/>
        <v/>
      </c>
      <c r="H807" s="122">
        <f>IF($D807="",0,IFERROR(LOOKUP(2,1/(($D$3:D806=$D807)*($A$3:A806&lt;$A807)),$N$3:N806),'Guide &amp; Settings'!$C$41))</f>
        <v>0</v>
      </c>
      <c r="I807" s="123">
        <f t="shared" si="242"/>
        <v>0</v>
      </c>
      <c r="J807" s="124">
        <f>IF($D807="",0,IF($F807&lt;2,0,IF($E807="Win",('Guide &amp; Settings'!$C$42/(($F807-1)*COUNTIFS($A$4:$A$1510,$A807,$E$4:$E$1510,"Win")))*SUMIFS($X$4:$X$1510,$A$4:$A$1510,$A807,$E$4:$E$1510,"Loss"),-('Guide &amp; Settings'!$C$42/($F807-1))*$X807)))</f>
        <v>0</v>
      </c>
      <c r="K807" s="124">
        <f>IF($D807="",0,'Guide &amp; Settings'!$C$43*(IF($E807="Win",1,0)-$I807))</f>
        <v>0</v>
      </c>
      <c r="L807" s="125">
        <f>IF($D807="",0,'Guide &amp; Settings'!$C$44*IF($F807&gt;=3,$F807,0))</f>
        <v>0</v>
      </c>
      <c r="M807" s="124">
        <f t="shared" si="243"/>
        <v>0</v>
      </c>
      <c r="N807" s="122">
        <f t="shared" si="244"/>
        <v>0</v>
      </c>
      <c r="O807" s="121" t="str">
        <f t="shared" si="245"/>
        <v/>
      </c>
      <c r="P807">
        <f t="shared" si="246"/>
        <v>0</v>
      </c>
      <c r="Q807">
        <f t="shared" si="247"/>
        <v>0</v>
      </c>
      <c r="R807">
        <f t="shared" si="248"/>
        <v>0</v>
      </c>
      <c r="S807">
        <f t="shared" si="249"/>
        <v>0</v>
      </c>
      <c r="T807" s="89">
        <f t="shared" si="250"/>
        <v>0</v>
      </c>
      <c r="U807" s="126">
        <f>IF($D807="",0,IFERROR(LOOKUP(2,1/(($D$3:D806=$D807)*($C$3:C806=$C807)*($A$3:A806&lt;$A807)),$AB$3:AB806),1000))</f>
        <v>0</v>
      </c>
      <c r="V807" s="126">
        <f t="shared" si="251"/>
        <v>0</v>
      </c>
      <c r="W807">
        <f t="shared" si="252"/>
        <v>0</v>
      </c>
      <c r="X807">
        <f t="shared" si="253"/>
        <v>0</v>
      </c>
      <c r="Y807">
        <f t="shared" si="254"/>
        <v>0</v>
      </c>
      <c r="Z807">
        <f t="shared" si="255"/>
        <v>0</v>
      </c>
      <c r="AA807">
        <f>IF($D807="",0,IF($F807&lt;2,0,IF($E807="Win",('Guide &amp; Settings'!$C$42/(($F807-1)*COUNTIFS($A$4:$A$1510,$A807,$E$4:$E$1510,"Win")))*SUMIFS($Z$4:$Z$1510,$A$4:$A$1510,$A807,$E$4:$E$1510,"Loss"),-('Guide &amp; Settings'!$C$42/($F807-1))*$Z807)))</f>
        <v>0</v>
      </c>
      <c r="AB807" s="126">
        <f t="shared" si="256"/>
        <v>0</v>
      </c>
      <c r="AC807" s="126" t="str">
        <f>IF($D807="","",IF($AD807=0,0,IF(COUNTIFS($D$4:$D807,$D807,$B$4:$B807,$B807)&gt;1,0,IF($B807&lt;'Guide &amp; Settings'!$C$50,0,IF(($B807-$AD807)/7-'Guide &amp; Settings'!$C$48&gt;=0,(INT(($B807-$AD807)/7-'Guide &amp; Settings'!$C$48)+1)*'Guide &amp; Settings'!$C$49,0)))))</f>
        <v/>
      </c>
      <c r="AD807" s="142">
        <f t="shared" si="257"/>
        <v>0</v>
      </c>
      <c r="AE807">
        <f t="shared" si="258"/>
        <v>0</v>
      </c>
      <c r="AF807">
        <f t="shared" si="259"/>
        <v>0</v>
      </c>
    </row>
    <row r="808" spans="1:32" x14ac:dyDescent="0.2">
      <c r="A808" s="117"/>
      <c r="B808" s="118"/>
      <c r="C808" s="119"/>
      <c r="D808" s="119"/>
      <c r="E808" s="117"/>
      <c r="F808" s="120">
        <f t="shared" si="240"/>
        <v>0</v>
      </c>
      <c r="G808" s="121" t="str">
        <f t="shared" si="241"/>
        <v/>
      </c>
      <c r="H808" s="122">
        <f>IF($D808="",0,IFERROR(LOOKUP(2,1/(($D$3:D807=$D808)*($A$3:A807&lt;$A808)),$N$3:N807),'Guide &amp; Settings'!$C$41))</f>
        <v>0</v>
      </c>
      <c r="I808" s="123">
        <f t="shared" si="242"/>
        <v>0</v>
      </c>
      <c r="J808" s="124">
        <f>IF($D808="",0,IF($F808&lt;2,0,IF($E808="Win",('Guide &amp; Settings'!$C$42/(($F808-1)*COUNTIFS($A$4:$A$1510,$A808,$E$4:$E$1510,"Win")))*SUMIFS($X$4:$X$1510,$A$4:$A$1510,$A808,$E$4:$E$1510,"Loss"),-('Guide &amp; Settings'!$C$42/($F808-1))*$X808)))</f>
        <v>0</v>
      </c>
      <c r="K808" s="124">
        <f>IF($D808="",0,'Guide &amp; Settings'!$C$43*(IF($E808="Win",1,0)-$I808))</f>
        <v>0</v>
      </c>
      <c r="L808" s="125">
        <f>IF($D808="",0,'Guide &amp; Settings'!$C$44*IF($F808&gt;=3,$F808,0))</f>
        <v>0</v>
      </c>
      <c r="M808" s="124">
        <f t="shared" si="243"/>
        <v>0</v>
      </c>
      <c r="N808" s="122">
        <f t="shared" si="244"/>
        <v>0</v>
      </c>
      <c r="O808" s="121" t="str">
        <f t="shared" si="245"/>
        <v/>
      </c>
      <c r="P808">
        <f t="shared" si="246"/>
        <v>0</v>
      </c>
      <c r="Q808">
        <f t="shared" si="247"/>
        <v>0</v>
      </c>
      <c r="R808">
        <f t="shared" si="248"/>
        <v>0</v>
      </c>
      <c r="S808">
        <f t="shared" si="249"/>
        <v>0</v>
      </c>
      <c r="T808" s="89">
        <f t="shared" si="250"/>
        <v>0</v>
      </c>
      <c r="U808" s="126">
        <f>IF($D808="",0,IFERROR(LOOKUP(2,1/(($D$3:D807=$D808)*($C$3:C807=$C808)*($A$3:A807&lt;$A808)),$AB$3:AB807),1000))</f>
        <v>0</v>
      </c>
      <c r="V808" s="126">
        <f t="shared" si="251"/>
        <v>0</v>
      </c>
      <c r="W808">
        <f t="shared" si="252"/>
        <v>0</v>
      </c>
      <c r="X808">
        <f t="shared" si="253"/>
        <v>0</v>
      </c>
      <c r="Y808">
        <f t="shared" si="254"/>
        <v>0</v>
      </c>
      <c r="Z808">
        <f t="shared" si="255"/>
        <v>0</v>
      </c>
      <c r="AA808">
        <f>IF($D808="",0,IF($F808&lt;2,0,IF($E808="Win",('Guide &amp; Settings'!$C$42/(($F808-1)*COUNTIFS($A$4:$A$1510,$A808,$E$4:$E$1510,"Win")))*SUMIFS($Z$4:$Z$1510,$A$4:$A$1510,$A808,$E$4:$E$1510,"Loss"),-('Guide &amp; Settings'!$C$42/($F808-1))*$Z808)))</f>
        <v>0</v>
      </c>
      <c r="AB808" s="126">
        <f t="shared" si="256"/>
        <v>0</v>
      </c>
      <c r="AC808" s="126" t="str">
        <f>IF($D808="","",IF($AD808=0,0,IF(COUNTIFS($D$4:$D808,$D808,$B$4:$B808,$B808)&gt;1,0,IF($B808&lt;'Guide &amp; Settings'!$C$50,0,IF(($B808-$AD808)/7-'Guide &amp; Settings'!$C$48&gt;=0,(INT(($B808-$AD808)/7-'Guide &amp; Settings'!$C$48)+1)*'Guide &amp; Settings'!$C$49,0)))))</f>
        <v/>
      </c>
      <c r="AD808" s="142">
        <f t="shared" si="257"/>
        <v>0</v>
      </c>
      <c r="AE808">
        <f t="shared" si="258"/>
        <v>0</v>
      </c>
      <c r="AF808">
        <f t="shared" si="259"/>
        <v>0</v>
      </c>
    </row>
    <row r="809" spans="1:32" x14ac:dyDescent="0.2">
      <c r="A809" s="117"/>
      <c r="B809" s="118"/>
      <c r="C809" s="119"/>
      <c r="D809" s="119"/>
      <c r="E809" s="117"/>
      <c r="F809" s="120">
        <f t="shared" si="240"/>
        <v>0</v>
      </c>
      <c r="G809" s="121" t="str">
        <f t="shared" si="241"/>
        <v/>
      </c>
      <c r="H809" s="122">
        <f>IF($D809="",0,IFERROR(LOOKUP(2,1/(($D$3:D808=$D809)*($A$3:A808&lt;$A809)),$N$3:N808),'Guide &amp; Settings'!$C$41))</f>
        <v>0</v>
      </c>
      <c r="I809" s="123">
        <f t="shared" si="242"/>
        <v>0</v>
      </c>
      <c r="J809" s="124">
        <f>IF($D809="",0,IF($F809&lt;2,0,IF($E809="Win",('Guide &amp; Settings'!$C$42/(($F809-1)*COUNTIFS($A$4:$A$1510,$A809,$E$4:$E$1510,"Win")))*SUMIFS($X$4:$X$1510,$A$4:$A$1510,$A809,$E$4:$E$1510,"Loss"),-('Guide &amp; Settings'!$C$42/($F809-1))*$X809)))</f>
        <v>0</v>
      </c>
      <c r="K809" s="124">
        <f>IF($D809="",0,'Guide &amp; Settings'!$C$43*(IF($E809="Win",1,0)-$I809))</f>
        <v>0</v>
      </c>
      <c r="L809" s="125">
        <f>IF($D809="",0,'Guide &amp; Settings'!$C$44*IF($F809&gt;=3,$F809,0))</f>
        <v>0</v>
      </c>
      <c r="M809" s="124">
        <f t="shared" si="243"/>
        <v>0</v>
      </c>
      <c r="N809" s="122">
        <f t="shared" si="244"/>
        <v>0</v>
      </c>
      <c r="O809" s="121" t="str">
        <f t="shared" si="245"/>
        <v/>
      </c>
      <c r="P809">
        <f t="shared" si="246"/>
        <v>0</v>
      </c>
      <c r="Q809">
        <f t="shared" si="247"/>
        <v>0</v>
      </c>
      <c r="R809">
        <f t="shared" si="248"/>
        <v>0</v>
      </c>
      <c r="S809">
        <f t="shared" si="249"/>
        <v>0</v>
      </c>
      <c r="T809" s="89">
        <f t="shared" si="250"/>
        <v>0</v>
      </c>
      <c r="U809" s="126">
        <f>IF($D809="",0,IFERROR(LOOKUP(2,1/(($D$3:D808=$D809)*($C$3:C808=$C809)*($A$3:A808&lt;$A809)),$AB$3:AB808),1000))</f>
        <v>0</v>
      </c>
      <c r="V809" s="126">
        <f t="shared" si="251"/>
        <v>0</v>
      </c>
      <c r="W809">
        <f t="shared" si="252"/>
        <v>0</v>
      </c>
      <c r="X809">
        <f t="shared" si="253"/>
        <v>0</v>
      </c>
      <c r="Y809">
        <f t="shared" si="254"/>
        <v>0</v>
      </c>
      <c r="Z809">
        <f t="shared" si="255"/>
        <v>0</v>
      </c>
      <c r="AA809">
        <f>IF($D809="",0,IF($F809&lt;2,0,IF($E809="Win",('Guide &amp; Settings'!$C$42/(($F809-1)*COUNTIFS($A$4:$A$1510,$A809,$E$4:$E$1510,"Win")))*SUMIFS($Z$4:$Z$1510,$A$4:$A$1510,$A809,$E$4:$E$1510,"Loss"),-('Guide &amp; Settings'!$C$42/($F809-1))*$Z809)))</f>
        <v>0</v>
      </c>
      <c r="AB809" s="126">
        <f t="shared" si="256"/>
        <v>0</v>
      </c>
      <c r="AC809" s="126" t="str">
        <f>IF($D809="","",IF($AD809=0,0,IF(COUNTIFS($D$4:$D809,$D809,$B$4:$B809,$B809)&gt;1,0,IF($B809&lt;'Guide &amp; Settings'!$C$50,0,IF(($B809-$AD809)/7-'Guide &amp; Settings'!$C$48&gt;=0,(INT(($B809-$AD809)/7-'Guide &amp; Settings'!$C$48)+1)*'Guide &amp; Settings'!$C$49,0)))))</f>
        <v/>
      </c>
      <c r="AD809" s="142">
        <f t="shared" si="257"/>
        <v>0</v>
      </c>
      <c r="AE809">
        <f t="shared" si="258"/>
        <v>0</v>
      </c>
      <c r="AF809">
        <f t="shared" si="259"/>
        <v>0</v>
      </c>
    </row>
    <row r="810" spans="1:32" x14ac:dyDescent="0.2">
      <c r="A810" s="117"/>
      <c r="B810" s="118"/>
      <c r="C810" s="119"/>
      <c r="D810" s="119"/>
      <c r="E810" s="117"/>
      <c r="F810" s="120">
        <f t="shared" si="240"/>
        <v>0</v>
      </c>
      <c r="G810" s="121" t="str">
        <f t="shared" si="241"/>
        <v/>
      </c>
      <c r="H810" s="122">
        <f>IF($D810="",0,IFERROR(LOOKUP(2,1/(($D$3:D809=$D810)*($A$3:A809&lt;$A810)),$N$3:N809),'Guide &amp; Settings'!$C$41))</f>
        <v>0</v>
      </c>
      <c r="I810" s="123">
        <f t="shared" si="242"/>
        <v>0</v>
      </c>
      <c r="J810" s="124">
        <f>IF($D810="",0,IF($F810&lt;2,0,IF($E810="Win",('Guide &amp; Settings'!$C$42/(($F810-1)*COUNTIFS($A$4:$A$1510,$A810,$E$4:$E$1510,"Win")))*SUMIFS($X$4:$X$1510,$A$4:$A$1510,$A810,$E$4:$E$1510,"Loss"),-('Guide &amp; Settings'!$C$42/($F810-1))*$X810)))</f>
        <v>0</v>
      </c>
      <c r="K810" s="124">
        <f>IF($D810="",0,'Guide &amp; Settings'!$C$43*(IF($E810="Win",1,0)-$I810))</f>
        <v>0</v>
      </c>
      <c r="L810" s="125">
        <f>IF($D810="",0,'Guide &amp; Settings'!$C$44*IF($F810&gt;=3,$F810,0))</f>
        <v>0</v>
      </c>
      <c r="M810" s="124">
        <f t="shared" si="243"/>
        <v>0</v>
      </c>
      <c r="N810" s="122">
        <f t="shared" si="244"/>
        <v>0</v>
      </c>
      <c r="O810" s="121" t="str">
        <f t="shared" si="245"/>
        <v/>
      </c>
      <c r="P810">
        <f t="shared" si="246"/>
        <v>0</v>
      </c>
      <c r="Q810">
        <f t="shared" si="247"/>
        <v>0</v>
      </c>
      <c r="R810">
        <f t="shared" si="248"/>
        <v>0</v>
      </c>
      <c r="S810">
        <f t="shared" si="249"/>
        <v>0</v>
      </c>
      <c r="T810" s="89">
        <f t="shared" si="250"/>
        <v>0</v>
      </c>
      <c r="U810" s="126">
        <f>IF($D810="",0,IFERROR(LOOKUP(2,1/(($D$3:D809=$D810)*($C$3:C809=$C810)*($A$3:A809&lt;$A810)),$AB$3:AB809),1000))</f>
        <v>0</v>
      </c>
      <c r="V810" s="126">
        <f t="shared" si="251"/>
        <v>0</v>
      </c>
      <c r="W810">
        <f t="shared" si="252"/>
        <v>0</v>
      </c>
      <c r="X810">
        <f t="shared" si="253"/>
        <v>0</v>
      </c>
      <c r="Y810">
        <f t="shared" si="254"/>
        <v>0</v>
      </c>
      <c r="Z810">
        <f t="shared" si="255"/>
        <v>0</v>
      </c>
      <c r="AA810">
        <f>IF($D810="",0,IF($F810&lt;2,0,IF($E810="Win",('Guide &amp; Settings'!$C$42/(($F810-1)*COUNTIFS($A$4:$A$1510,$A810,$E$4:$E$1510,"Win")))*SUMIFS($Z$4:$Z$1510,$A$4:$A$1510,$A810,$E$4:$E$1510,"Loss"),-('Guide &amp; Settings'!$C$42/($F810-1))*$Z810)))</f>
        <v>0</v>
      </c>
      <c r="AB810" s="126">
        <f t="shared" si="256"/>
        <v>0</v>
      </c>
      <c r="AC810" s="126" t="str">
        <f>IF($D810="","",IF($AD810=0,0,IF(COUNTIFS($D$4:$D810,$D810,$B$4:$B810,$B810)&gt;1,0,IF($B810&lt;'Guide &amp; Settings'!$C$50,0,IF(($B810-$AD810)/7-'Guide &amp; Settings'!$C$48&gt;=0,(INT(($B810-$AD810)/7-'Guide &amp; Settings'!$C$48)+1)*'Guide &amp; Settings'!$C$49,0)))))</f>
        <v/>
      </c>
      <c r="AD810" s="142">
        <f t="shared" si="257"/>
        <v>0</v>
      </c>
      <c r="AE810">
        <f t="shared" si="258"/>
        <v>0</v>
      </c>
      <c r="AF810">
        <f t="shared" si="259"/>
        <v>0</v>
      </c>
    </row>
    <row r="811" spans="1:32" x14ac:dyDescent="0.2">
      <c r="A811" s="117"/>
      <c r="B811" s="118"/>
      <c r="C811" s="119"/>
      <c r="D811" s="119"/>
      <c r="E811" s="117"/>
      <c r="F811" s="120">
        <f t="shared" si="240"/>
        <v>0</v>
      </c>
      <c r="G811" s="121" t="str">
        <f t="shared" si="241"/>
        <v/>
      </c>
      <c r="H811" s="122">
        <f>IF($D811="",0,IFERROR(LOOKUP(2,1/(($D$3:D810=$D811)*($A$3:A810&lt;$A811)),$N$3:N810),'Guide &amp; Settings'!$C$41))</f>
        <v>0</v>
      </c>
      <c r="I811" s="123">
        <f t="shared" si="242"/>
        <v>0</v>
      </c>
      <c r="J811" s="124">
        <f>IF($D811="",0,IF($F811&lt;2,0,IF($E811="Win",('Guide &amp; Settings'!$C$42/(($F811-1)*COUNTIFS($A$4:$A$1510,$A811,$E$4:$E$1510,"Win")))*SUMIFS($X$4:$X$1510,$A$4:$A$1510,$A811,$E$4:$E$1510,"Loss"),-('Guide &amp; Settings'!$C$42/($F811-1))*$X811)))</f>
        <v>0</v>
      </c>
      <c r="K811" s="124">
        <f>IF($D811="",0,'Guide &amp; Settings'!$C$43*(IF($E811="Win",1,0)-$I811))</f>
        <v>0</v>
      </c>
      <c r="L811" s="125">
        <f>IF($D811="",0,'Guide &amp; Settings'!$C$44*IF($F811&gt;=3,$F811,0))</f>
        <v>0</v>
      </c>
      <c r="M811" s="124">
        <f t="shared" si="243"/>
        <v>0</v>
      </c>
      <c r="N811" s="122">
        <f t="shared" si="244"/>
        <v>0</v>
      </c>
      <c r="O811" s="121" t="str">
        <f t="shared" si="245"/>
        <v/>
      </c>
      <c r="P811">
        <f t="shared" si="246"/>
        <v>0</v>
      </c>
      <c r="Q811">
        <f t="shared" si="247"/>
        <v>0</v>
      </c>
      <c r="R811">
        <f t="shared" si="248"/>
        <v>0</v>
      </c>
      <c r="S811">
        <f t="shared" si="249"/>
        <v>0</v>
      </c>
      <c r="T811" s="89">
        <f t="shared" si="250"/>
        <v>0</v>
      </c>
      <c r="U811" s="126">
        <f>IF($D811="",0,IFERROR(LOOKUP(2,1/(($D$3:D810=$D811)*($C$3:C810=$C811)*($A$3:A810&lt;$A811)),$AB$3:AB810),1000))</f>
        <v>0</v>
      </c>
      <c r="V811" s="126">
        <f t="shared" si="251"/>
        <v>0</v>
      </c>
      <c r="W811">
        <f t="shared" si="252"/>
        <v>0</v>
      </c>
      <c r="X811">
        <f t="shared" si="253"/>
        <v>0</v>
      </c>
      <c r="Y811">
        <f t="shared" si="254"/>
        <v>0</v>
      </c>
      <c r="Z811">
        <f t="shared" si="255"/>
        <v>0</v>
      </c>
      <c r="AA811">
        <f>IF($D811="",0,IF($F811&lt;2,0,IF($E811="Win",('Guide &amp; Settings'!$C$42/(($F811-1)*COUNTIFS($A$4:$A$1510,$A811,$E$4:$E$1510,"Win")))*SUMIFS($Z$4:$Z$1510,$A$4:$A$1510,$A811,$E$4:$E$1510,"Loss"),-('Guide &amp; Settings'!$C$42/($F811-1))*$Z811)))</f>
        <v>0</v>
      </c>
      <c r="AB811" s="126">
        <f t="shared" si="256"/>
        <v>0</v>
      </c>
      <c r="AC811" t="str">
        <f>IF($D811="","",IF($AD811=0,0,IF(COUNTIFS($D$4:$D811,$D811,$B$4:$B811,$B811)&gt;1,0,IF($B811&lt;'Guide &amp; Settings'!$C$50,0,IF(($B811-$AD811)/7-'Guide &amp; Settings'!$C$48&gt;=0,(INT(($B811-$AD811)/7-'Guide &amp; Settings'!$C$48)+1)*'Guide &amp; Settings'!$C$49,0)))))</f>
        <v/>
      </c>
      <c r="AD811" s="142">
        <f t="shared" si="257"/>
        <v>0</v>
      </c>
      <c r="AE811">
        <f t="shared" si="258"/>
        <v>0</v>
      </c>
      <c r="AF811">
        <f t="shared" si="259"/>
        <v>0</v>
      </c>
    </row>
    <row r="812" spans="1:32" x14ac:dyDescent="0.2">
      <c r="A812" s="117"/>
      <c r="B812" s="118"/>
      <c r="C812" s="119"/>
      <c r="D812" s="119"/>
      <c r="E812" s="117"/>
      <c r="F812" s="120">
        <f t="shared" si="240"/>
        <v>0</v>
      </c>
      <c r="G812" s="121" t="str">
        <f t="shared" si="241"/>
        <v/>
      </c>
      <c r="H812" s="122">
        <f>IF($D812="",0,IFERROR(LOOKUP(2,1/(($D$3:D811=$D812)*($A$3:A811&lt;$A812)),$N$3:N811),'Guide &amp; Settings'!$C$41))</f>
        <v>0</v>
      </c>
      <c r="I812" s="123">
        <f t="shared" si="242"/>
        <v>0</v>
      </c>
      <c r="J812" s="124">
        <f>IF($D812="",0,IF($F812&lt;2,0,IF($E812="Win",('Guide &amp; Settings'!$C$42/(($F812-1)*COUNTIFS($A$4:$A$1510,$A812,$E$4:$E$1510,"Win")))*SUMIFS($X$4:$X$1510,$A$4:$A$1510,$A812,$E$4:$E$1510,"Loss"),-('Guide &amp; Settings'!$C$42/($F812-1))*$X812)))</f>
        <v>0</v>
      </c>
      <c r="K812" s="124">
        <f>IF($D812="",0,'Guide &amp; Settings'!$C$43*(IF($E812="Win",1,0)-$I812))</f>
        <v>0</v>
      </c>
      <c r="L812" s="125">
        <f>IF($D812="",0,'Guide &amp; Settings'!$C$44*IF($F812&gt;=3,$F812,0))</f>
        <v>0</v>
      </c>
      <c r="M812" s="124">
        <f t="shared" si="243"/>
        <v>0</v>
      </c>
      <c r="N812" s="122">
        <f t="shared" si="244"/>
        <v>0</v>
      </c>
      <c r="O812" s="121" t="str">
        <f t="shared" si="245"/>
        <v/>
      </c>
      <c r="P812">
        <f t="shared" si="246"/>
        <v>0</v>
      </c>
      <c r="Q812">
        <f t="shared" si="247"/>
        <v>0</v>
      </c>
      <c r="R812">
        <f t="shared" si="248"/>
        <v>0</v>
      </c>
      <c r="S812">
        <f t="shared" si="249"/>
        <v>0</v>
      </c>
      <c r="T812" s="89">
        <f t="shared" si="250"/>
        <v>0</v>
      </c>
      <c r="U812" s="126">
        <f>IF($D812="",0,IFERROR(LOOKUP(2,1/(($D$3:D811=$D812)*($C$3:C811=$C812)*($A$3:A811&lt;$A812)),$AB$3:AB811),1000))</f>
        <v>0</v>
      </c>
      <c r="V812" s="126">
        <f t="shared" si="251"/>
        <v>0</v>
      </c>
      <c r="W812">
        <f t="shared" si="252"/>
        <v>0</v>
      </c>
      <c r="X812">
        <f t="shared" si="253"/>
        <v>0</v>
      </c>
      <c r="Y812">
        <f t="shared" si="254"/>
        <v>0</v>
      </c>
      <c r="Z812">
        <f t="shared" si="255"/>
        <v>0</v>
      </c>
      <c r="AA812">
        <f>IF($D812="",0,IF($F812&lt;2,0,IF($E812="Win",('Guide &amp; Settings'!$C$42/(($F812-1)*COUNTIFS($A$4:$A$1510,$A812,$E$4:$E$1510,"Win")))*SUMIFS($Z$4:$Z$1510,$A$4:$A$1510,$A812,$E$4:$E$1510,"Loss"),-('Guide &amp; Settings'!$C$42/($F812-1))*$Z812)))</f>
        <v>0</v>
      </c>
      <c r="AB812" s="126">
        <f t="shared" si="256"/>
        <v>0</v>
      </c>
      <c r="AC812" t="str">
        <f>IF($D812="","",IF($AD812=0,0,IF(COUNTIFS($D$4:$D812,$D812,$B$4:$B812,$B812)&gt;1,0,IF($B812&lt;'Guide &amp; Settings'!$C$50,0,IF(($B812-$AD812)/7-'Guide &amp; Settings'!$C$48&gt;=0,(INT(($B812-$AD812)/7-'Guide &amp; Settings'!$C$48)+1)*'Guide &amp; Settings'!$C$49,0)))))</f>
        <v/>
      </c>
      <c r="AD812" s="142">
        <f t="shared" si="257"/>
        <v>0</v>
      </c>
      <c r="AE812">
        <f t="shared" si="258"/>
        <v>0</v>
      </c>
      <c r="AF812">
        <f t="shared" si="259"/>
        <v>0</v>
      </c>
    </row>
    <row r="813" spans="1:32" x14ac:dyDescent="0.2">
      <c r="A813" s="117"/>
      <c r="B813" s="118"/>
      <c r="C813" s="119"/>
      <c r="D813" s="119"/>
      <c r="E813" s="117"/>
      <c r="F813" s="120">
        <f t="shared" si="240"/>
        <v>0</v>
      </c>
      <c r="G813" s="121" t="str">
        <f t="shared" si="241"/>
        <v/>
      </c>
      <c r="H813" s="122">
        <f>IF($D813="",0,IFERROR(LOOKUP(2,1/(($D$3:D812=$D813)*($A$3:A812&lt;$A813)),$N$3:N812),'Guide &amp; Settings'!$C$41))</f>
        <v>0</v>
      </c>
      <c r="I813" s="123">
        <f t="shared" si="242"/>
        <v>0</v>
      </c>
      <c r="J813" s="124">
        <f>IF($D813="",0,IF($F813&lt;2,0,IF($E813="Win",('Guide &amp; Settings'!$C$42/(($F813-1)*COUNTIFS($A$4:$A$1510,$A813,$E$4:$E$1510,"Win")))*SUMIFS($X$4:$X$1510,$A$4:$A$1510,$A813,$E$4:$E$1510,"Loss"),-('Guide &amp; Settings'!$C$42/($F813-1))*$X813)))</f>
        <v>0</v>
      </c>
      <c r="K813" s="124">
        <f>IF($D813="",0,'Guide &amp; Settings'!$C$43*(IF($E813="Win",1,0)-$I813))</f>
        <v>0</v>
      </c>
      <c r="L813" s="125">
        <f>IF($D813="",0,'Guide &amp; Settings'!$C$44*IF($F813&gt;=3,$F813,0))</f>
        <v>0</v>
      </c>
      <c r="M813" s="124">
        <f t="shared" si="243"/>
        <v>0</v>
      </c>
      <c r="N813" s="122">
        <f t="shared" si="244"/>
        <v>0</v>
      </c>
      <c r="O813" s="121" t="str">
        <f t="shared" si="245"/>
        <v/>
      </c>
      <c r="P813">
        <f t="shared" si="246"/>
        <v>0</v>
      </c>
      <c r="Q813">
        <f t="shared" si="247"/>
        <v>0</v>
      </c>
      <c r="R813">
        <f t="shared" si="248"/>
        <v>0</v>
      </c>
      <c r="S813">
        <f t="shared" si="249"/>
        <v>0</v>
      </c>
      <c r="T813" s="89">
        <f t="shared" si="250"/>
        <v>0</v>
      </c>
      <c r="U813" s="126">
        <f>IF($D813="",0,IFERROR(LOOKUP(2,1/(($D$3:D812=$D813)*($C$3:C812=$C813)*($A$3:A812&lt;$A813)),$AB$3:AB812),1000))</f>
        <v>0</v>
      </c>
      <c r="V813" s="126">
        <f t="shared" si="251"/>
        <v>0</v>
      </c>
      <c r="W813">
        <f t="shared" si="252"/>
        <v>0</v>
      </c>
      <c r="X813">
        <f t="shared" si="253"/>
        <v>0</v>
      </c>
      <c r="Y813">
        <f t="shared" si="254"/>
        <v>0</v>
      </c>
      <c r="Z813">
        <f t="shared" si="255"/>
        <v>0</v>
      </c>
      <c r="AA813">
        <f>IF($D813="",0,IF($F813&lt;2,0,IF($E813="Win",('Guide &amp; Settings'!$C$42/(($F813-1)*COUNTIFS($A$4:$A$1510,$A813,$E$4:$E$1510,"Win")))*SUMIFS($Z$4:$Z$1510,$A$4:$A$1510,$A813,$E$4:$E$1510,"Loss"),-('Guide &amp; Settings'!$C$42/($F813-1))*$Z813)))</f>
        <v>0</v>
      </c>
      <c r="AB813" s="126">
        <f t="shared" si="256"/>
        <v>0</v>
      </c>
      <c r="AC813" t="str">
        <f>IF($D813="","",IF($AD813=0,0,IF(COUNTIFS($D$4:$D813,$D813,$B$4:$B813,$B813)&gt;1,0,IF($B813&lt;'Guide &amp; Settings'!$C$50,0,IF(($B813-$AD813)/7-'Guide &amp; Settings'!$C$48&gt;=0,(INT(($B813-$AD813)/7-'Guide &amp; Settings'!$C$48)+1)*'Guide &amp; Settings'!$C$49,0)))))</f>
        <v/>
      </c>
      <c r="AD813" s="142">
        <f t="shared" si="257"/>
        <v>0</v>
      </c>
      <c r="AE813">
        <f t="shared" si="258"/>
        <v>0</v>
      </c>
      <c r="AF813">
        <f t="shared" si="259"/>
        <v>0</v>
      </c>
    </row>
    <row r="814" spans="1:32" x14ac:dyDescent="0.2">
      <c r="A814" s="117"/>
      <c r="B814" s="118"/>
      <c r="C814" s="119"/>
      <c r="D814" s="119"/>
      <c r="E814" s="117"/>
      <c r="F814" s="120">
        <f t="shared" si="240"/>
        <v>0</v>
      </c>
      <c r="G814" s="121" t="str">
        <f t="shared" si="241"/>
        <v/>
      </c>
      <c r="H814" s="122">
        <f>IF($D814="",0,IFERROR(LOOKUP(2,1/(($D$3:D813=$D814)*($A$3:A813&lt;$A814)),$N$3:N813),'Guide &amp; Settings'!$C$41))</f>
        <v>0</v>
      </c>
      <c r="I814" s="123">
        <f t="shared" si="242"/>
        <v>0</v>
      </c>
      <c r="J814" s="124">
        <f>IF($D814="",0,IF($F814&lt;2,0,IF($E814="Win",('Guide &amp; Settings'!$C$42/(($F814-1)*COUNTIFS($A$4:$A$1510,$A814,$E$4:$E$1510,"Win")))*SUMIFS($X$4:$X$1510,$A$4:$A$1510,$A814,$E$4:$E$1510,"Loss"),-('Guide &amp; Settings'!$C$42/($F814-1))*$X814)))</f>
        <v>0</v>
      </c>
      <c r="K814" s="124">
        <f>IF($D814="",0,'Guide &amp; Settings'!$C$43*(IF($E814="Win",1,0)-$I814))</f>
        <v>0</v>
      </c>
      <c r="L814" s="125">
        <f>IF($D814="",0,'Guide &amp; Settings'!$C$44*IF($F814&gt;=3,$F814,0))</f>
        <v>0</v>
      </c>
      <c r="M814" s="124">
        <f t="shared" si="243"/>
        <v>0</v>
      </c>
      <c r="N814" s="122">
        <f t="shared" si="244"/>
        <v>0</v>
      </c>
      <c r="O814" s="121" t="str">
        <f t="shared" si="245"/>
        <v/>
      </c>
      <c r="P814">
        <f t="shared" si="246"/>
        <v>0</v>
      </c>
      <c r="Q814">
        <f t="shared" si="247"/>
        <v>0</v>
      </c>
      <c r="R814">
        <f t="shared" si="248"/>
        <v>0</v>
      </c>
      <c r="S814">
        <f t="shared" si="249"/>
        <v>0</v>
      </c>
      <c r="T814" s="89">
        <f t="shared" si="250"/>
        <v>0</v>
      </c>
      <c r="U814" s="126">
        <f>IF($D814="",0,IFERROR(LOOKUP(2,1/(($D$3:D813=$D814)*($C$3:C813=$C814)*($A$3:A813&lt;$A814)),$AB$3:AB813),1000))</f>
        <v>0</v>
      </c>
      <c r="V814" s="126">
        <f t="shared" si="251"/>
        <v>0</v>
      </c>
      <c r="W814">
        <f t="shared" si="252"/>
        <v>0</v>
      </c>
      <c r="X814">
        <f t="shared" si="253"/>
        <v>0</v>
      </c>
      <c r="Y814">
        <f t="shared" si="254"/>
        <v>0</v>
      </c>
      <c r="Z814">
        <f t="shared" si="255"/>
        <v>0</v>
      </c>
      <c r="AA814">
        <f>IF($D814="",0,IF($F814&lt;2,0,IF($E814="Win",('Guide &amp; Settings'!$C$42/(($F814-1)*COUNTIFS($A$4:$A$1510,$A814,$E$4:$E$1510,"Win")))*SUMIFS($Z$4:$Z$1510,$A$4:$A$1510,$A814,$E$4:$E$1510,"Loss"),-('Guide &amp; Settings'!$C$42/($F814-1))*$Z814)))</f>
        <v>0</v>
      </c>
      <c r="AB814" s="126">
        <f t="shared" si="256"/>
        <v>0</v>
      </c>
      <c r="AC814" t="str">
        <f>IF($D814="","",IF($AD814=0,0,IF(COUNTIFS($D$4:$D814,$D814,$B$4:$B814,$B814)&gt;1,0,IF($B814&lt;'Guide &amp; Settings'!$C$50,0,IF(($B814-$AD814)/7-'Guide &amp; Settings'!$C$48&gt;=0,(INT(($B814-$AD814)/7-'Guide &amp; Settings'!$C$48)+1)*'Guide &amp; Settings'!$C$49,0)))))</f>
        <v/>
      </c>
      <c r="AD814" s="142">
        <f t="shared" si="257"/>
        <v>0</v>
      </c>
      <c r="AE814">
        <f t="shared" si="258"/>
        <v>0</v>
      </c>
      <c r="AF814">
        <f t="shared" si="259"/>
        <v>0</v>
      </c>
    </row>
    <row r="815" spans="1:32" x14ac:dyDescent="0.2">
      <c r="A815" s="117"/>
      <c r="B815" s="118"/>
      <c r="C815" s="119"/>
      <c r="D815" s="119"/>
      <c r="E815" s="117"/>
      <c r="F815" s="120">
        <f t="shared" si="240"/>
        <v>0</v>
      </c>
      <c r="G815" s="121" t="str">
        <f t="shared" si="241"/>
        <v/>
      </c>
      <c r="H815" s="122">
        <f>IF($D815="",0,IFERROR(LOOKUP(2,1/(($D$3:D814=$D815)*($A$3:A814&lt;$A815)),$N$3:N814),'Guide &amp; Settings'!$C$41))</f>
        <v>0</v>
      </c>
      <c r="I815" s="123">
        <f t="shared" si="242"/>
        <v>0</v>
      </c>
      <c r="J815" s="124">
        <f>IF($D815="",0,IF($F815&lt;2,0,IF($E815="Win",('Guide &amp; Settings'!$C$42/(($F815-1)*COUNTIFS($A$4:$A$1510,$A815,$E$4:$E$1510,"Win")))*SUMIFS($X$4:$X$1510,$A$4:$A$1510,$A815,$E$4:$E$1510,"Loss"),-('Guide &amp; Settings'!$C$42/($F815-1))*$X815)))</f>
        <v>0</v>
      </c>
      <c r="K815" s="124">
        <f>IF($D815="",0,'Guide &amp; Settings'!$C$43*(IF($E815="Win",1,0)-$I815))</f>
        <v>0</v>
      </c>
      <c r="L815" s="125">
        <f>IF($D815="",0,'Guide &amp; Settings'!$C$44*IF($F815&gt;=3,$F815,0))</f>
        <v>0</v>
      </c>
      <c r="M815" s="124">
        <f t="shared" si="243"/>
        <v>0</v>
      </c>
      <c r="N815" s="122">
        <f t="shared" si="244"/>
        <v>0</v>
      </c>
      <c r="O815" s="121" t="str">
        <f t="shared" si="245"/>
        <v/>
      </c>
      <c r="P815">
        <f t="shared" si="246"/>
        <v>0</v>
      </c>
      <c r="Q815">
        <f t="shared" si="247"/>
        <v>0</v>
      </c>
      <c r="R815">
        <f t="shared" si="248"/>
        <v>0</v>
      </c>
      <c r="S815">
        <f t="shared" si="249"/>
        <v>0</v>
      </c>
      <c r="T815" s="89">
        <f t="shared" si="250"/>
        <v>0</v>
      </c>
      <c r="U815" s="126">
        <f>IF($D815="",0,IFERROR(LOOKUP(2,1/(($D$3:D814=$D815)*($C$3:C814=$C815)*($A$3:A814&lt;$A815)),$AB$3:AB814),1000))</f>
        <v>0</v>
      </c>
      <c r="V815" s="126">
        <f t="shared" si="251"/>
        <v>0</v>
      </c>
      <c r="W815">
        <f t="shared" si="252"/>
        <v>0</v>
      </c>
      <c r="X815">
        <f t="shared" si="253"/>
        <v>0</v>
      </c>
      <c r="Y815">
        <f t="shared" si="254"/>
        <v>0</v>
      </c>
      <c r="Z815">
        <f t="shared" si="255"/>
        <v>0</v>
      </c>
      <c r="AA815">
        <f>IF($D815="",0,IF($F815&lt;2,0,IF($E815="Win",('Guide &amp; Settings'!$C$42/(($F815-1)*COUNTIFS($A$4:$A$1510,$A815,$E$4:$E$1510,"Win")))*SUMIFS($Z$4:$Z$1510,$A$4:$A$1510,$A815,$E$4:$E$1510,"Loss"),-('Guide &amp; Settings'!$C$42/($F815-1))*$Z815)))</f>
        <v>0</v>
      </c>
      <c r="AB815" s="126">
        <f t="shared" si="256"/>
        <v>0</v>
      </c>
      <c r="AC815" t="str">
        <f>IF($D815="","",IF($AD815=0,0,IF(COUNTIFS($D$4:$D815,$D815,$B$4:$B815,$B815)&gt;1,0,IF($B815&lt;'Guide &amp; Settings'!$C$50,0,IF(($B815-$AD815)/7-'Guide &amp; Settings'!$C$48&gt;=0,(INT(($B815-$AD815)/7-'Guide &amp; Settings'!$C$48)+1)*'Guide &amp; Settings'!$C$49,0)))))</f>
        <v/>
      </c>
      <c r="AD815" s="142">
        <f t="shared" si="257"/>
        <v>0</v>
      </c>
      <c r="AE815">
        <f t="shared" si="258"/>
        <v>0</v>
      </c>
      <c r="AF815">
        <f t="shared" si="259"/>
        <v>0</v>
      </c>
    </row>
    <row r="816" spans="1:32" x14ac:dyDescent="0.2">
      <c r="A816" s="117"/>
      <c r="B816" s="118"/>
      <c r="C816" s="119"/>
      <c r="D816" s="119"/>
      <c r="E816" s="117"/>
      <c r="F816" s="120">
        <f t="shared" si="240"/>
        <v>0</v>
      </c>
      <c r="G816" s="121" t="str">
        <f t="shared" si="241"/>
        <v/>
      </c>
      <c r="H816" s="122">
        <f>IF($D816="",0,IFERROR(LOOKUP(2,1/(($D$3:D815=$D816)*($A$3:A815&lt;$A816)),$N$3:N815),'Guide &amp; Settings'!$C$41))</f>
        <v>0</v>
      </c>
      <c r="I816" s="123">
        <f t="shared" si="242"/>
        <v>0</v>
      </c>
      <c r="J816" s="124">
        <f>IF($D816="",0,IF($F816&lt;2,0,IF($E816="Win",('Guide &amp; Settings'!$C$42/(($F816-1)*COUNTIFS($A$4:$A$1510,$A816,$E$4:$E$1510,"Win")))*SUMIFS($X$4:$X$1510,$A$4:$A$1510,$A816,$E$4:$E$1510,"Loss"),-('Guide &amp; Settings'!$C$42/($F816-1))*$X816)))</f>
        <v>0</v>
      </c>
      <c r="K816" s="124">
        <f>IF($D816="",0,'Guide &amp; Settings'!$C$43*(IF($E816="Win",1,0)-$I816))</f>
        <v>0</v>
      </c>
      <c r="L816" s="125">
        <f>IF($D816="",0,'Guide &amp; Settings'!$C$44*IF($F816&gt;=3,$F816,0))</f>
        <v>0</v>
      </c>
      <c r="M816" s="124">
        <f t="shared" si="243"/>
        <v>0</v>
      </c>
      <c r="N816" s="122">
        <f t="shared" si="244"/>
        <v>0</v>
      </c>
      <c r="O816" s="121" t="str">
        <f t="shared" si="245"/>
        <v/>
      </c>
      <c r="P816">
        <f t="shared" si="246"/>
        <v>0</v>
      </c>
      <c r="Q816">
        <f t="shared" si="247"/>
        <v>0</v>
      </c>
      <c r="R816">
        <f t="shared" si="248"/>
        <v>0</v>
      </c>
      <c r="S816">
        <f t="shared" si="249"/>
        <v>0</v>
      </c>
      <c r="T816" s="89">
        <f t="shared" si="250"/>
        <v>0</v>
      </c>
      <c r="U816" s="126">
        <f>IF($D816="",0,IFERROR(LOOKUP(2,1/(($D$3:D815=$D816)*($C$3:C815=$C816)*($A$3:A815&lt;$A816)),$AB$3:AB815),1000))</f>
        <v>0</v>
      </c>
      <c r="V816" s="126">
        <f t="shared" si="251"/>
        <v>0</v>
      </c>
      <c r="W816">
        <f t="shared" si="252"/>
        <v>0</v>
      </c>
      <c r="X816">
        <f t="shared" si="253"/>
        <v>0</v>
      </c>
      <c r="Y816">
        <f t="shared" si="254"/>
        <v>0</v>
      </c>
      <c r="Z816">
        <f t="shared" si="255"/>
        <v>0</v>
      </c>
      <c r="AA816">
        <f>IF($D816="",0,IF($F816&lt;2,0,IF($E816="Win",('Guide &amp; Settings'!$C$42/(($F816-1)*COUNTIFS($A$4:$A$1510,$A816,$E$4:$E$1510,"Win")))*SUMIFS($Z$4:$Z$1510,$A$4:$A$1510,$A816,$E$4:$E$1510,"Loss"),-('Guide &amp; Settings'!$C$42/($F816-1))*$Z816)))</f>
        <v>0</v>
      </c>
      <c r="AB816" s="126">
        <f t="shared" si="256"/>
        <v>0</v>
      </c>
      <c r="AC816" t="str">
        <f>IF($D816="","",IF($AD816=0,0,IF(COUNTIFS($D$4:$D816,$D816,$B$4:$B816,$B816)&gt;1,0,IF($B816&lt;'Guide &amp; Settings'!$C$50,0,IF(($B816-$AD816)/7-'Guide &amp; Settings'!$C$48&gt;=0,(INT(($B816-$AD816)/7-'Guide &amp; Settings'!$C$48)+1)*'Guide &amp; Settings'!$C$49,0)))))</f>
        <v/>
      </c>
      <c r="AD816" s="142">
        <f t="shared" si="257"/>
        <v>0</v>
      </c>
      <c r="AE816">
        <f t="shared" si="258"/>
        <v>0</v>
      </c>
      <c r="AF816">
        <f t="shared" si="259"/>
        <v>0</v>
      </c>
    </row>
    <row r="817" spans="1:32" x14ac:dyDescent="0.2">
      <c r="A817" s="117"/>
      <c r="B817" s="118"/>
      <c r="C817" s="119"/>
      <c r="D817" s="119"/>
      <c r="E817" s="117"/>
      <c r="F817" s="120">
        <f t="shared" si="240"/>
        <v>0</v>
      </c>
      <c r="G817" s="121" t="str">
        <f t="shared" si="241"/>
        <v/>
      </c>
      <c r="H817" s="122">
        <f>IF($D817="",0,IFERROR(LOOKUP(2,1/(($D$3:D816=$D817)*($A$3:A816&lt;$A817)),$N$3:N816),'Guide &amp; Settings'!$C$41))</f>
        <v>0</v>
      </c>
      <c r="I817" s="123">
        <f t="shared" si="242"/>
        <v>0</v>
      </c>
      <c r="J817" s="124">
        <f>IF($D817="",0,IF($F817&lt;2,0,IF($E817="Win",('Guide &amp; Settings'!$C$42/(($F817-1)*COUNTIFS($A$4:$A$1510,$A817,$E$4:$E$1510,"Win")))*SUMIFS($X$4:$X$1510,$A$4:$A$1510,$A817,$E$4:$E$1510,"Loss"),-('Guide &amp; Settings'!$C$42/($F817-1))*$X817)))</f>
        <v>0</v>
      </c>
      <c r="K817" s="124">
        <f>IF($D817="",0,'Guide &amp; Settings'!$C$43*(IF($E817="Win",1,0)-$I817))</f>
        <v>0</v>
      </c>
      <c r="L817" s="125">
        <f>IF($D817="",0,'Guide &amp; Settings'!$C$44*IF($F817&gt;=3,$F817,0))</f>
        <v>0</v>
      </c>
      <c r="M817" s="124">
        <f t="shared" si="243"/>
        <v>0</v>
      </c>
      <c r="N817" s="122">
        <f t="shared" si="244"/>
        <v>0</v>
      </c>
      <c r="O817" s="121" t="str">
        <f t="shared" si="245"/>
        <v/>
      </c>
      <c r="P817">
        <f t="shared" si="246"/>
        <v>0</v>
      </c>
      <c r="Q817">
        <f t="shared" si="247"/>
        <v>0</v>
      </c>
      <c r="R817">
        <f t="shared" si="248"/>
        <v>0</v>
      </c>
      <c r="S817">
        <f t="shared" si="249"/>
        <v>0</v>
      </c>
      <c r="T817" s="89">
        <f t="shared" si="250"/>
        <v>0</v>
      </c>
      <c r="U817" s="126">
        <f>IF($D817="",0,IFERROR(LOOKUP(2,1/(($D$3:D816=$D817)*($C$3:C816=$C817)*($A$3:A816&lt;$A817)),$AB$3:AB816),1000))</f>
        <v>0</v>
      </c>
      <c r="V817" s="126">
        <f t="shared" si="251"/>
        <v>0</v>
      </c>
      <c r="W817">
        <f t="shared" si="252"/>
        <v>0</v>
      </c>
      <c r="X817">
        <f t="shared" si="253"/>
        <v>0</v>
      </c>
      <c r="Y817">
        <f t="shared" si="254"/>
        <v>0</v>
      </c>
      <c r="Z817">
        <f t="shared" si="255"/>
        <v>0</v>
      </c>
      <c r="AA817">
        <f>IF($D817="",0,IF($F817&lt;2,0,IF($E817="Win",('Guide &amp; Settings'!$C$42/(($F817-1)*COUNTIFS($A$4:$A$1510,$A817,$E$4:$E$1510,"Win")))*SUMIFS($Z$4:$Z$1510,$A$4:$A$1510,$A817,$E$4:$E$1510,"Loss"),-('Guide &amp; Settings'!$C$42/($F817-1))*$Z817)))</f>
        <v>0</v>
      </c>
      <c r="AB817" s="126">
        <f t="shared" si="256"/>
        <v>0</v>
      </c>
      <c r="AC817" t="str">
        <f>IF($D817="","",IF($AD817=0,0,IF(COUNTIFS($D$4:$D817,$D817,$B$4:$B817,$B817)&gt;1,0,IF($B817&lt;'Guide &amp; Settings'!$C$50,0,IF(($B817-$AD817)/7-'Guide &amp; Settings'!$C$48&gt;=0,(INT(($B817-$AD817)/7-'Guide &amp; Settings'!$C$48)+1)*'Guide &amp; Settings'!$C$49,0)))))</f>
        <v/>
      </c>
      <c r="AD817" s="142">
        <f t="shared" si="257"/>
        <v>0</v>
      </c>
      <c r="AE817">
        <f t="shared" si="258"/>
        <v>0</v>
      </c>
      <c r="AF817">
        <f t="shared" si="259"/>
        <v>0</v>
      </c>
    </row>
    <row r="818" spans="1:32" x14ac:dyDescent="0.2">
      <c r="A818" s="117"/>
      <c r="B818" s="118"/>
      <c r="C818" s="119"/>
      <c r="D818" s="119"/>
      <c r="E818" s="117"/>
      <c r="F818" s="120">
        <f t="shared" si="240"/>
        <v>0</v>
      </c>
      <c r="G818" s="121" t="str">
        <f t="shared" si="241"/>
        <v/>
      </c>
      <c r="H818" s="122">
        <f>IF($D818="",0,IFERROR(LOOKUP(2,1/(($D$3:D817=$D818)*($A$3:A817&lt;$A818)),$N$3:N817),'Guide &amp; Settings'!$C$41))</f>
        <v>0</v>
      </c>
      <c r="I818" s="123">
        <f t="shared" si="242"/>
        <v>0</v>
      </c>
      <c r="J818" s="124">
        <f>IF($D818="",0,IF($F818&lt;2,0,IF($E818="Win",('Guide &amp; Settings'!$C$42/(($F818-1)*COUNTIFS($A$4:$A$1510,$A818,$E$4:$E$1510,"Win")))*SUMIFS($X$4:$X$1510,$A$4:$A$1510,$A818,$E$4:$E$1510,"Loss"),-('Guide &amp; Settings'!$C$42/($F818-1))*$X818)))</f>
        <v>0</v>
      </c>
      <c r="K818" s="124">
        <f>IF($D818="",0,'Guide &amp; Settings'!$C$43*(IF($E818="Win",1,0)-$I818))</f>
        <v>0</v>
      </c>
      <c r="L818" s="125">
        <f>IF($D818="",0,'Guide &amp; Settings'!$C$44*IF($F818&gt;=3,$F818,0))</f>
        <v>0</v>
      </c>
      <c r="M818" s="124">
        <f t="shared" si="243"/>
        <v>0</v>
      </c>
      <c r="N818" s="122">
        <f t="shared" si="244"/>
        <v>0</v>
      </c>
      <c r="O818" s="121" t="str">
        <f t="shared" si="245"/>
        <v/>
      </c>
      <c r="P818">
        <f t="shared" si="246"/>
        <v>0</v>
      </c>
      <c r="Q818">
        <f t="shared" si="247"/>
        <v>0</v>
      </c>
      <c r="R818">
        <f t="shared" si="248"/>
        <v>0</v>
      </c>
      <c r="S818">
        <f t="shared" si="249"/>
        <v>0</v>
      </c>
      <c r="T818" s="89">
        <f t="shared" si="250"/>
        <v>0</v>
      </c>
      <c r="U818" s="126">
        <f>IF($D818="",0,IFERROR(LOOKUP(2,1/(($D$3:D817=$D818)*($C$3:C817=$C818)*($A$3:A817&lt;$A818)),$AB$3:AB817),1000))</f>
        <v>0</v>
      </c>
      <c r="V818" s="126">
        <f t="shared" si="251"/>
        <v>0</v>
      </c>
      <c r="W818">
        <f t="shared" si="252"/>
        <v>0</v>
      </c>
      <c r="X818">
        <f t="shared" si="253"/>
        <v>0</v>
      </c>
      <c r="Y818">
        <f t="shared" si="254"/>
        <v>0</v>
      </c>
      <c r="Z818">
        <f t="shared" si="255"/>
        <v>0</v>
      </c>
      <c r="AA818">
        <f>IF($D818="",0,IF($F818&lt;2,0,IF($E818="Win",('Guide &amp; Settings'!$C$42/(($F818-1)*COUNTIFS($A$4:$A$1510,$A818,$E$4:$E$1510,"Win")))*SUMIFS($Z$4:$Z$1510,$A$4:$A$1510,$A818,$E$4:$E$1510,"Loss"),-('Guide &amp; Settings'!$C$42/($F818-1))*$Z818)))</f>
        <v>0</v>
      </c>
      <c r="AB818" s="126">
        <f t="shared" si="256"/>
        <v>0</v>
      </c>
      <c r="AC818" t="str">
        <f>IF($D818="","",IF($AD818=0,0,IF(COUNTIFS($D$4:$D818,$D818,$B$4:$B818,$B818)&gt;1,0,IF($B818&lt;'Guide &amp; Settings'!$C$50,0,IF(($B818-$AD818)/7-'Guide &amp; Settings'!$C$48&gt;=0,(INT(($B818-$AD818)/7-'Guide &amp; Settings'!$C$48)+1)*'Guide &amp; Settings'!$C$49,0)))))</f>
        <v/>
      </c>
      <c r="AD818" s="142">
        <f t="shared" si="257"/>
        <v>0</v>
      </c>
      <c r="AE818">
        <f t="shared" si="258"/>
        <v>0</v>
      </c>
      <c r="AF818">
        <f t="shared" si="259"/>
        <v>0</v>
      </c>
    </row>
    <row r="819" spans="1:32" x14ac:dyDescent="0.2">
      <c r="A819" s="117"/>
      <c r="B819" s="118"/>
      <c r="C819" s="119"/>
      <c r="D819" s="119"/>
      <c r="E819" s="117"/>
      <c r="F819" s="120">
        <f t="shared" si="240"/>
        <v>0</v>
      </c>
      <c r="G819" s="121" t="str">
        <f t="shared" si="241"/>
        <v/>
      </c>
      <c r="H819" s="122">
        <f>IF($D819="",0,IFERROR(LOOKUP(2,1/(($D$3:D818=$D819)*($A$3:A818&lt;$A819)),$N$3:N818),'Guide &amp; Settings'!$C$41))</f>
        <v>0</v>
      </c>
      <c r="I819" s="123">
        <f t="shared" si="242"/>
        <v>0</v>
      </c>
      <c r="J819" s="124">
        <f>IF($D819="",0,IF($F819&lt;2,0,IF($E819="Win",('Guide &amp; Settings'!$C$42/(($F819-1)*COUNTIFS($A$4:$A$1510,$A819,$E$4:$E$1510,"Win")))*SUMIFS($X$4:$X$1510,$A$4:$A$1510,$A819,$E$4:$E$1510,"Loss"),-('Guide &amp; Settings'!$C$42/($F819-1))*$X819)))</f>
        <v>0</v>
      </c>
      <c r="K819" s="124">
        <f>IF($D819="",0,'Guide &amp; Settings'!$C$43*(IF($E819="Win",1,0)-$I819))</f>
        <v>0</v>
      </c>
      <c r="L819" s="125">
        <f>IF($D819="",0,'Guide &amp; Settings'!$C$44*IF($F819&gt;=3,$F819,0))</f>
        <v>0</v>
      </c>
      <c r="M819" s="124">
        <f t="shared" si="243"/>
        <v>0</v>
      </c>
      <c r="N819" s="122">
        <f t="shared" si="244"/>
        <v>0</v>
      </c>
      <c r="O819" s="121" t="str">
        <f t="shared" si="245"/>
        <v/>
      </c>
      <c r="P819">
        <f t="shared" si="246"/>
        <v>0</v>
      </c>
      <c r="Q819">
        <f t="shared" si="247"/>
        <v>0</v>
      </c>
      <c r="R819">
        <f t="shared" si="248"/>
        <v>0</v>
      </c>
      <c r="S819">
        <f t="shared" si="249"/>
        <v>0</v>
      </c>
      <c r="T819" s="89">
        <f t="shared" si="250"/>
        <v>0</v>
      </c>
      <c r="U819" s="126">
        <f>IF($D819="",0,IFERROR(LOOKUP(2,1/(($D$3:D818=$D819)*($C$3:C818=$C819)*($A$3:A818&lt;$A819)),$AB$3:AB818),1000))</f>
        <v>0</v>
      </c>
      <c r="V819" s="126">
        <f t="shared" si="251"/>
        <v>0</v>
      </c>
      <c r="W819">
        <f t="shared" si="252"/>
        <v>0</v>
      </c>
      <c r="X819">
        <f t="shared" si="253"/>
        <v>0</v>
      </c>
      <c r="Y819">
        <f t="shared" si="254"/>
        <v>0</v>
      </c>
      <c r="Z819">
        <f t="shared" si="255"/>
        <v>0</v>
      </c>
      <c r="AA819">
        <f>IF($D819="",0,IF($F819&lt;2,0,IF($E819="Win",('Guide &amp; Settings'!$C$42/(($F819-1)*COUNTIFS($A$4:$A$1510,$A819,$E$4:$E$1510,"Win")))*SUMIFS($Z$4:$Z$1510,$A$4:$A$1510,$A819,$E$4:$E$1510,"Loss"),-('Guide &amp; Settings'!$C$42/($F819-1))*$Z819)))</f>
        <v>0</v>
      </c>
      <c r="AB819" s="126">
        <f t="shared" si="256"/>
        <v>0</v>
      </c>
      <c r="AC819" t="str">
        <f>IF($D819="","",IF($AD819=0,0,IF(COUNTIFS($D$4:$D819,$D819,$B$4:$B819,$B819)&gt;1,0,IF($B819&lt;'Guide &amp; Settings'!$C$50,0,IF(($B819-$AD819)/7-'Guide &amp; Settings'!$C$48&gt;=0,(INT(($B819-$AD819)/7-'Guide &amp; Settings'!$C$48)+1)*'Guide &amp; Settings'!$C$49,0)))))</f>
        <v/>
      </c>
      <c r="AD819" s="142">
        <f t="shared" si="257"/>
        <v>0</v>
      </c>
      <c r="AE819">
        <f t="shared" si="258"/>
        <v>0</v>
      </c>
      <c r="AF819">
        <f t="shared" si="259"/>
        <v>0</v>
      </c>
    </row>
    <row r="820" spans="1:32" x14ac:dyDescent="0.2">
      <c r="A820" s="117"/>
      <c r="B820" s="118"/>
      <c r="C820" s="119"/>
      <c r="D820" s="119"/>
      <c r="E820" s="117"/>
      <c r="F820" s="120">
        <f t="shared" si="240"/>
        <v>0</v>
      </c>
      <c r="G820" s="121" t="str">
        <f t="shared" si="241"/>
        <v/>
      </c>
      <c r="H820" s="122">
        <f>IF($D820="",0,IFERROR(LOOKUP(2,1/(($D$3:D819=$D820)*($A$3:A819&lt;$A820)),$N$3:N819),'Guide &amp; Settings'!$C$41))</f>
        <v>0</v>
      </c>
      <c r="I820" s="123">
        <f t="shared" si="242"/>
        <v>0</v>
      </c>
      <c r="J820" s="124">
        <f>IF($D820="",0,IF($F820&lt;2,0,IF($E820="Win",('Guide &amp; Settings'!$C$42/(($F820-1)*COUNTIFS($A$4:$A$1510,$A820,$E$4:$E$1510,"Win")))*SUMIFS($X$4:$X$1510,$A$4:$A$1510,$A820,$E$4:$E$1510,"Loss"),-('Guide &amp; Settings'!$C$42/($F820-1))*$X820)))</f>
        <v>0</v>
      </c>
      <c r="K820" s="124">
        <f>IF($D820="",0,'Guide &amp; Settings'!$C$43*(IF($E820="Win",1,0)-$I820))</f>
        <v>0</v>
      </c>
      <c r="L820" s="125">
        <f>IF($D820="",0,'Guide &amp; Settings'!$C$44*IF($F820&gt;=3,$F820,0))</f>
        <v>0</v>
      </c>
      <c r="M820" s="124">
        <f t="shared" si="243"/>
        <v>0</v>
      </c>
      <c r="N820" s="122">
        <f t="shared" si="244"/>
        <v>0</v>
      </c>
      <c r="O820" s="121" t="str">
        <f t="shared" si="245"/>
        <v/>
      </c>
      <c r="P820">
        <f t="shared" si="246"/>
        <v>0</v>
      </c>
      <c r="Q820">
        <f t="shared" si="247"/>
        <v>0</v>
      </c>
      <c r="R820">
        <f t="shared" si="248"/>
        <v>0</v>
      </c>
      <c r="S820">
        <f t="shared" si="249"/>
        <v>0</v>
      </c>
      <c r="T820" s="89">
        <f t="shared" si="250"/>
        <v>0</v>
      </c>
      <c r="U820" s="126">
        <f>IF($D820="",0,IFERROR(LOOKUP(2,1/(($D$3:D819=$D820)*($C$3:C819=$C820)*($A$3:A819&lt;$A820)),$AB$3:AB819),1000))</f>
        <v>0</v>
      </c>
      <c r="V820" s="126">
        <f t="shared" si="251"/>
        <v>0</v>
      </c>
      <c r="W820">
        <f t="shared" si="252"/>
        <v>0</v>
      </c>
      <c r="X820">
        <f t="shared" si="253"/>
        <v>0</v>
      </c>
      <c r="Y820">
        <f t="shared" si="254"/>
        <v>0</v>
      </c>
      <c r="Z820">
        <f t="shared" si="255"/>
        <v>0</v>
      </c>
      <c r="AA820">
        <f>IF($D820="",0,IF($F820&lt;2,0,IF($E820="Win",('Guide &amp; Settings'!$C$42/(($F820-1)*COUNTIFS($A$4:$A$1510,$A820,$E$4:$E$1510,"Win")))*SUMIFS($Z$4:$Z$1510,$A$4:$A$1510,$A820,$E$4:$E$1510,"Loss"),-('Guide &amp; Settings'!$C$42/($F820-1))*$Z820)))</f>
        <v>0</v>
      </c>
      <c r="AB820" s="126">
        <f t="shared" si="256"/>
        <v>0</v>
      </c>
      <c r="AC820" t="str">
        <f>IF($D820="","",IF($AD820=0,0,IF(COUNTIFS($D$4:$D820,$D820,$B$4:$B820,$B820)&gt;1,0,IF($B820&lt;'Guide &amp; Settings'!$C$50,0,IF(($B820-$AD820)/7-'Guide &amp; Settings'!$C$48&gt;=0,(INT(($B820-$AD820)/7-'Guide &amp; Settings'!$C$48)+1)*'Guide &amp; Settings'!$C$49,0)))))</f>
        <v/>
      </c>
      <c r="AD820" s="142">
        <f t="shared" si="257"/>
        <v>0</v>
      </c>
      <c r="AE820">
        <f t="shared" si="258"/>
        <v>0</v>
      </c>
      <c r="AF820">
        <f t="shared" si="259"/>
        <v>0</v>
      </c>
    </row>
    <row r="821" spans="1:32" x14ac:dyDescent="0.2">
      <c r="A821" s="117"/>
      <c r="B821" s="118"/>
      <c r="C821" s="119"/>
      <c r="D821" s="119"/>
      <c r="E821" s="117"/>
      <c r="F821" s="120">
        <f t="shared" si="240"/>
        <v>0</v>
      </c>
      <c r="G821" s="121" t="str">
        <f t="shared" si="241"/>
        <v/>
      </c>
      <c r="H821" s="122">
        <f>IF($D821="",0,IFERROR(LOOKUP(2,1/(($D$3:D820=$D821)*($A$3:A820&lt;$A821)),$N$3:N820),'Guide &amp; Settings'!$C$41))</f>
        <v>0</v>
      </c>
      <c r="I821" s="123">
        <f t="shared" si="242"/>
        <v>0</v>
      </c>
      <c r="J821" s="124">
        <f>IF($D821="",0,IF($F821&lt;2,0,IF($E821="Win",('Guide &amp; Settings'!$C$42/(($F821-1)*COUNTIFS($A$4:$A$1510,$A821,$E$4:$E$1510,"Win")))*SUMIFS($X$4:$X$1510,$A$4:$A$1510,$A821,$E$4:$E$1510,"Loss"),-('Guide &amp; Settings'!$C$42/($F821-1))*$X821)))</f>
        <v>0</v>
      </c>
      <c r="K821" s="124">
        <f>IF($D821="",0,'Guide &amp; Settings'!$C$43*(IF($E821="Win",1,0)-$I821))</f>
        <v>0</v>
      </c>
      <c r="L821" s="125">
        <f>IF($D821="",0,'Guide &amp; Settings'!$C$44*IF($F821&gt;=3,$F821,0))</f>
        <v>0</v>
      </c>
      <c r="M821" s="124">
        <f t="shared" si="243"/>
        <v>0</v>
      </c>
      <c r="N821" s="122">
        <f t="shared" si="244"/>
        <v>0</v>
      </c>
      <c r="O821" s="121" t="str">
        <f t="shared" si="245"/>
        <v/>
      </c>
      <c r="P821">
        <f t="shared" si="246"/>
        <v>0</v>
      </c>
      <c r="Q821">
        <f t="shared" si="247"/>
        <v>0</v>
      </c>
      <c r="R821">
        <f t="shared" si="248"/>
        <v>0</v>
      </c>
      <c r="S821">
        <f t="shared" si="249"/>
        <v>0</v>
      </c>
      <c r="T821" s="89">
        <f t="shared" si="250"/>
        <v>0</v>
      </c>
      <c r="U821" s="126">
        <f>IF($D821="",0,IFERROR(LOOKUP(2,1/(($D$3:D820=$D821)*($C$3:C820=$C821)*($A$3:A820&lt;$A821)),$AB$3:AB820),1000))</f>
        <v>0</v>
      </c>
      <c r="V821" s="126">
        <f t="shared" si="251"/>
        <v>0</v>
      </c>
      <c r="W821">
        <f t="shared" si="252"/>
        <v>0</v>
      </c>
      <c r="X821">
        <f t="shared" si="253"/>
        <v>0</v>
      </c>
      <c r="Y821">
        <f t="shared" si="254"/>
        <v>0</v>
      </c>
      <c r="Z821">
        <f t="shared" si="255"/>
        <v>0</v>
      </c>
      <c r="AA821">
        <f>IF($D821="",0,IF($F821&lt;2,0,IF($E821="Win",('Guide &amp; Settings'!$C$42/(($F821-1)*COUNTIFS($A$4:$A$1510,$A821,$E$4:$E$1510,"Win")))*SUMIFS($Z$4:$Z$1510,$A$4:$A$1510,$A821,$E$4:$E$1510,"Loss"),-('Guide &amp; Settings'!$C$42/($F821-1))*$Z821)))</f>
        <v>0</v>
      </c>
      <c r="AB821" s="126">
        <f t="shared" si="256"/>
        <v>0</v>
      </c>
      <c r="AC821" t="str">
        <f>IF($D821="","",IF($AD821=0,0,IF(COUNTIFS($D$4:$D821,$D821,$B$4:$B821,$B821)&gt;1,0,IF($B821&lt;'Guide &amp; Settings'!$C$50,0,IF(($B821-$AD821)/7-'Guide &amp; Settings'!$C$48&gt;=0,(INT(($B821-$AD821)/7-'Guide &amp; Settings'!$C$48)+1)*'Guide &amp; Settings'!$C$49,0)))))</f>
        <v/>
      </c>
      <c r="AD821" s="142">
        <f t="shared" si="257"/>
        <v>0</v>
      </c>
      <c r="AE821">
        <f t="shared" si="258"/>
        <v>0</v>
      </c>
      <c r="AF821">
        <f t="shared" si="259"/>
        <v>0</v>
      </c>
    </row>
    <row r="822" spans="1:32" x14ac:dyDescent="0.2">
      <c r="A822" s="117"/>
      <c r="B822" s="118"/>
      <c r="C822" s="119"/>
      <c r="D822" s="119"/>
      <c r="E822" s="117"/>
      <c r="F822" s="120">
        <f t="shared" si="240"/>
        <v>0</v>
      </c>
      <c r="G822" s="121" t="str">
        <f t="shared" si="241"/>
        <v/>
      </c>
      <c r="H822" s="122">
        <f>IF($D822="",0,IFERROR(LOOKUP(2,1/(($D$3:D821=$D822)*($A$3:A821&lt;$A822)),$N$3:N821),'Guide &amp; Settings'!$C$41))</f>
        <v>0</v>
      </c>
      <c r="I822" s="123">
        <f t="shared" si="242"/>
        <v>0</v>
      </c>
      <c r="J822" s="124">
        <f>IF($D822="",0,IF($F822&lt;2,0,IF($E822="Win",('Guide &amp; Settings'!$C$42/(($F822-1)*COUNTIFS($A$4:$A$1510,$A822,$E$4:$E$1510,"Win")))*SUMIFS($X$4:$X$1510,$A$4:$A$1510,$A822,$E$4:$E$1510,"Loss"),-('Guide &amp; Settings'!$C$42/($F822-1))*$X822)))</f>
        <v>0</v>
      </c>
      <c r="K822" s="124">
        <f>IF($D822="",0,'Guide &amp; Settings'!$C$43*(IF($E822="Win",1,0)-$I822))</f>
        <v>0</v>
      </c>
      <c r="L822" s="125">
        <f>IF($D822="",0,'Guide &amp; Settings'!$C$44*IF($F822&gt;=3,$F822,0))</f>
        <v>0</v>
      </c>
      <c r="M822" s="124">
        <f t="shared" si="243"/>
        <v>0</v>
      </c>
      <c r="N822" s="122">
        <f t="shared" si="244"/>
        <v>0</v>
      </c>
      <c r="O822" s="121" t="str">
        <f t="shared" si="245"/>
        <v/>
      </c>
      <c r="P822">
        <f t="shared" si="246"/>
        <v>0</v>
      </c>
      <c r="Q822">
        <f t="shared" si="247"/>
        <v>0</v>
      </c>
      <c r="R822">
        <f t="shared" si="248"/>
        <v>0</v>
      </c>
      <c r="S822">
        <f t="shared" si="249"/>
        <v>0</v>
      </c>
      <c r="T822" s="89">
        <f t="shared" si="250"/>
        <v>0</v>
      </c>
      <c r="U822" s="126">
        <f>IF($D822="",0,IFERROR(LOOKUP(2,1/(($D$3:D821=$D822)*($C$3:C821=$C822)*($A$3:A821&lt;$A822)),$AB$3:AB821),1000))</f>
        <v>0</v>
      </c>
      <c r="V822" s="126">
        <f t="shared" si="251"/>
        <v>0</v>
      </c>
      <c r="W822">
        <f t="shared" si="252"/>
        <v>0</v>
      </c>
      <c r="X822">
        <f t="shared" si="253"/>
        <v>0</v>
      </c>
      <c r="Y822">
        <f t="shared" si="254"/>
        <v>0</v>
      </c>
      <c r="Z822">
        <f t="shared" si="255"/>
        <v>0</v>
      </c>
      <c r="AA822">
        <f>IF($D822="",0,IF($F822&lt;2,0,IF($E822="Win",('Guide &amp; Settings'!$C$42/(($F822-1)*COUNTIFS($A$4:$A$1510,$A822,$E$4:$E$1510,"Win")))*SUMIFS($Z$4:$Z$1510,$A$4:$A$1510,$A822,$E$4:$E$1510,"Loss"),-('Guide &amp; Settings'!$C$42/($F822-1))*$Z822)))</f>
        <v>0</v>
      </c>
      <c r="AB822" s="126">
        <f t="shared" si="256"/>
        <v>0</v>
      </c>
      <c r="AC822" t="str">
        <f>IF($D822="","",IF($AD822=0,0,IF(COUNTIFS($D$4:$D822,$D822,$B$4:$B822,$B822)&gt;1,0,IF($B822&lt;'Guide &amp; Settings'!$C$50,0,IF(($B822-$AD822)/7-'Guide &amp; Settings'!$C$48&gt;=0,(INT(($B822-$AD822)/7-'Guide &amp; Settings'!$C$48)+1)*'Guide &amp; Settings'!$C$49,0)))))</f>
        <v/>
      </c>
      <c r="AD822" s="142">
        <f t="shared" si="257"/>
        <v>0</v>
      </c>
      <c r="AE822">
        <f t="shared" si="258"/>
        <v>0</v>
      </c>
      <c r="AF822">
        <f t="shared" si="259"/>
        <v>0</v>
      </c>
    </row>
    <row r="823" spans="1:32" x14ac:dyDescent="0.2">
      <c r="A823" s="117"/>
      <c r="B823" s="118"/>
      <c r="C823" s="119"/>
      <c r="D823" s="119"/>
      <c r="E823" s="117"/>
      <c r="F823" s="120">
        <f t="shared" si="240"/>
        <v>0</v>
      </c>
      <c r="G823" s="121" t="str">
        <f t="shared" si="241"/>
        <v/>
      </c>
      <c r="H823" s="122">
        <f>IF($D823="",0,IFERROR(LOOKUP(2,1/(($D$3:D822=$D823)*($A$3:A822&lt;$A823)),$N$3:N822),'Guide &amp; Settings'!$C$41))</f>
        <v>0</v>
      </c>
      <c r="I823" s="123">
        <f t="shared" si="242"/>
        <v>0</v>
      </c>
      <c r="J823" s="124">
        <f>IF($D823="",0,IF($F823&lt;2,0,IF($E823="Win",('Guide &amp; Settings'!$C$42/(($F823-1)*COUNTIFS($A$4:$A$1510,$A823,$E$4:$E$1510,"Win")))*SUMIFS($X$4:$X$1510,$A$4:$A$1510,$A823,$E$4:$E$1510,"Loss"),-('Guide &amp; Settings'!$C$42/($F823-1))*$X823)))</f>
        <v>0</v>
      </c>
      <c r="K823" s="124">
        <f>IF($D823="",0,'Guide &amp; Settings'!$C$43*(IF($E823="Win",1,0)-$I823))</f>
        <v>0</v>
      </c>
      <c r="L823" s="125">
        <f>IF($D823="",0,'Guide &amp; Settings'!$C$44*IF($F823&gt;=3,$F823,0))</f>
        <v>0</v>
      </c>
      <c r="M823" s="124">
        <f t="shared" si="243"/>
        <v>0</v>
      </c>
      <c r="N823" s="122">
        <f t="shared" si="244"/>
        <v>0</v>
      </c>
      <c r="O823" s="121" t="str">
        <f t="shared" si="245"/>
        <v/>
      </c>
      <c r="P823">
        <f t="shared" si="246"/>
        <v>0</v>
      </c>
      <c r="Q823">
        <f t="shared" si="247"/>
        <v>0</v>
      </c>
      <c r="R823">
        <f t="shared" si="248"/>
        <v>0</v>
      </c>
      <c r="S823">
        <f t="shared" si="249"/>
        <v>0</v>
      </c>
      <c r="T823" s="89">
        <f t="shared" si="250"/>
        <v>0</v>
      </c>
      <c r="U823" s="126">
        <f>IF($D823="",0,IFERROR(LOOKUP(2,1/(($D$3:D822=$D823)*($C$3:C822=$C823)*($A$3:A822&lt;$A823)),$AB$3:AB822),1000))</f>
        <v>0</v>
      </c>
      <c r="V823" s="126">
        <f t="shared" si="251"/>
        <v>0</v>
      </c>
      <c r="W823">
        <f t="shared" si="252"/>
        <v>0</v>
      </c>
      <c r="X823">
        <f t="shared" si="253"/>
        <v>0</v>
      </c>
      <c r="Y823">
        <f t="shared" si="254"/>
        <v>0</v>
      </c>
      <c r="Z823">
        <f t="shared" si="255"/>
        <v>0</v>
      </c>
      <c r="AA823">
        <f>IF($D823="",0,IF($F823&lt;2,0,IF($E823="Win",('Guide &amp; Settings'!$C$42/(($F823-1)*COUNTIFS($A$4:$A$1510,$A823,$E$4:$E$1510,"Win")))*SUMIFS($Z$4:$Z$1510,$A$4:$A$1510,$A823,$E$4:$E$1510,"Loss"),-('Guide &amp; Settings'!$C$42/($F823-1))*$Z823)))</f>
        <v>0</v>
      </c>
      <c r="AB823" s="126">
        <f t="shared" si="256"/>
        <v>0</v>
      </c>
      <c r="AC823" t="str">
        <f>IF($D823="","",IF($AD823=0,0,IF(COUNTIFS($D$4:$D823,$D823,$B$4:$B823,$B823)&gt;1,0,IF($B823&lt;'Guide &amp; Settings'!$C$50,0,IF(($B823-$AD823)/7-'Guide &amp; Settings'!$C$48&gt;=0,(INT(($B823-$AD823)/7-'Guide &amp; Settings'!$C$48)+1)*'Guide &amp; Settings'!$C$49,0)))))</f>
        <v/>
      </c>
      <c r="AD823" s="142">
        <f t="shared" si="257"/>
        <v>0</v>
      </c>
      <c r="AE823">
        <f t="shared" si="258"/>
        <v>0</v>
      </c>
      <c r="AF823">
        <f t="shared" si="259"/>
        <v>0</v>
      </c>
    </row>
    <row r="824" spans="1:32" x14ac:dyDescent="0.2">
      <c r="A824" s="117"/>
      <c r="B824" s="118"/>
      <c r="C824" s="119"/>
      <c r="D824" s="119"/>
      <c r="E824" s="117"/>
      <c r="F824" s="120">
        <f t="shared" si="240"/>
        <v>0</v>
      </c>
      <c r="G824" s="121" t="str">
        <f t="shared" si="241"/>
        <v/>
      </c>
      <c r="H824" s="122">
        <f>IF($D824="",0,IFERROR(LOOKUP(2,1/(($D$3:D823=$D824)*($A$3:A823&lt;$A824)),$N$3:N823),'Guide &amp; Settings'!$C$41))</f>
        <v>0</v>
      </c>
      <c r="I824" s="123">
        <f t="shared" si="242"/>
        <v>0</v>
      </c>
      <c r="J824" s="124">
        <f>IF($D824="",0,IF($F824&lt;2,0,IF($E824="Win",('Guide &amp; Settings'!$C$42/(($F824-1)*COUNTIFS($A$4:$A$1510,$A824,$E$4:$E$1510,"Win")))*SUMIFS($X$4:$X$1510,$A$4:$A$1510,$A824,$E$4:$E$1510,"Loss"),-('Guide &amp; Settings'!$C$42/($F824-1))*$X824)))</f>
        <v>0</v>
      </c>
      <c r="K824" s="124">
        <f>IF($D824="",0,'Guide &amp; Settings'!$C$43*(IF($E824="Win",1,0)-$I824))</f>
        <v>0</v>
      </c>
      <c r="L824" s="125">
        <f>IF($D824="",0,'Guide &amp; Settings'!$C$44*IF($F824&gt;=3,$F824,0))</f>
        <v>0</v>
      </c>
      <c r="M824" s="124">
        <f t="shared" si="243"/>
        <v>0</v>
      </c>
      <c r="N824" s="122">
        <f t="shared" si="244"/>
        <v>0</v>
      </c>
      <c r="O824" s="121" t="str">
        <f t="shared" si="245"/>
        <v/>
      </c>
      <c r="P824">
        <f t="shared" si="246"/>
        <v>0</v>
      </c>
      <c r="Q824">
        <f t="shared" si="247"/>
        <v>0</v>
      </c>
      <c r="R824">
        <f t="shared" si="248"/>
        <v>0</v>
      </c>
      <c r="S824">
        <f t="shared" si="249"/>
        <v>0</v>
      </c>
      <c r="T824" s="89">
        <f t="shared" si="250"/>
        <v>0</v>
      </c>
      <c r="U824" s="126">
        <f>IF($D824="",0,IFERROR(LOOKUP(2,1/(($D$3:D823=$D824)*($C$3:C823=$C824)*($A$3:A823&lt;$A824)),$AB$3:AB823),1000))</f>
        <v>0</v>
      </c>
      <c r="V824" s="126">
        <f t="shared" si="251"/>
        <v>0</v>
      </c>
      <c r="W824">
        <f t="shared" si="252"/>
        <v>0</v>
      </c>
      <c r="X824">
        <f t="shared" si="253"/>
        <v>0</v>
      </c>
      <c r="Y824">
        <f t="shared" si="254"/>
        <v>0</v>
      </c>
      <c r="Z824">
        <f t="shared" si="255"/>
        <v>0</v>
      </c>
      <c r="AA824">
        <f>IF($D824="",0,IF($F824&lt;2,0,IF($E824="Win",('Guide &amp; Settings'!$C$42/(($F824-1)*COUNTIFS($A$4:$A$1510,$A824,$E$4:$E$1510,"Win")))*SUMIFS($Z$4:$Z$1510,$A$4:$A$1510,$A824,$E$4:$E$1510,"Loss"),-('Guide &amp; Settings'!$C$42/($F824-1))*$Z824)))</f>
        <v>0</v>
      </c>
      <c r="AB824" s="126">
        <f t="shared" si="256"/>
        <v>0</v>
      </c>
      <c r="AC824" t="str">
        <f>IF($D824="","",IF($AD824=0,0,IF(COUNTIFS($D$4:$D824,$D824,$B$4:$B824,$B824)&gt;1,0,IF($B824&lt;'Guide &amp; Settings'!$C$50,0,IF(($B824-$AD824)/7-'Guide &amp; Settings'!$C$48&gt;=0,(INT(($B824-$AD824)/7-'Guide &amp; Settings'!$C$48)+1)*'Guide &amp; Settings'!$C$49,0)))))</f>
        <v/>
      </c>
      <c r="AD824" s="142">
        <f t="shared" si="257"/>
        <v>0</v>
      </c>
      <c r="AE824">
        <f t="shared" si="258"/>
        <v>0</v>
      </c>
      <c r="AF824">
        <f t="shared" si="259"/>
        <v>0</v>
      </c>
    </row>
    <row r="825" spans="1:32" x14ac:dyDescent="0.2">
      <c r="A825" s="117"/>
      <c r="B825" s="118"/>
      <c r="C825" s="119"/>
      <c r="D825" s="119"/>
      <c r="E825" s="117"/>
      <c r="F825" s="120">
        <f t="shared" si="240"/>
        <v>0</v>
      </c>
      <c r="G825" s="121" t="str">
        <f t="shared" si="241"/>
        <v/>
      </c>
      <c r="H825" s="122">
        <f>IF($D825="",0,IFERROR(LOOKUP(2,1/(($D$3:D824=$D825)*($A$3:A824&lt;$A825)),$N$3:N824),'Guide &amp; Settings'!$C$41))</f>
        <v>0</v>
      </c>
      <c r="I825" s="123">
        <f t="shared" si="242"/>
        <v>0</v>
      </c>
      <c r="J825" s="124">
        <f>IF($D825="",0,IF($F825&lt;2,0,IF($E825="Win",('Guide &amp; Settings'!$C$42/(($F825-1)*COUNTIFS($A$4:$A$1510,$A825,$E$4:$E$1510,"Win")))*SUMIFS($X$4:$X$1510,$A$4:$A$1510,$A825,$E$4:$E$1510,"Loss"),-('Guide &amp; Settings'!$C$42/($F825-1))*$X825)))</f>
        <v>0</v>
      </c>
      <c r="K825" s="124">
        <f>IF($D825="",0,'Guide &amp; Settings'!$C$43*(IF($E825="Win",1,0)-$I825))</f>
        <v>0</v>
      </c>
      <c r="L825" s="125">
        <f>IF($D825="",0,'Guide &amp; Settings'!$C$44*IF($F825&gt;=3,$F825,0))</f>
        <v>0</v>
      </c>
      <c r="M825" s="124">
        <f t="shared" si="243"/>
        <v>0</v>
      </c>
      <c r="N825" s="122">
        <f t="shared" si="244"/>
        <v>0</v>
      </c>
      <c r="O825" s="121" t="str">
        <f t="shared" si="245"/>
        <v/>
      </c>
      <c r="P825">
        <f t="shared" si="246"/>
        <v>0</v>
      </c>
      <c r="Q825">
        <f t="shared" si="247"/>
        <v>0</v>
      </c>
      <c r="R825">
        <f t="shared" si="248"/>
        <v>0</v>
      </c>
      <c r="S825">
        <f t="shared" si="249"/>
        <v>0</v>
      </c>
      <c r="T825" s="89">
        <f t="shared" si="250"/>
        <v>0</v>
      </c>
      <c r="U825" s="126">
        <f>IF($D825="",0,IFERROR(LOOKUP(2,1/(($D$3:D824=$D825)*($C$3:C824=$C825)*($A$3:A824&lt;$A825)),$AB$3:AB824),1000))</f>
        <v>0</v>
      </c>
      <c r="V825" s="126">
        <f t="shared" si="251"/>
        <v>0</v>
      </c>
      <c r="W825">
        <f t="shared" si="252"/>
        <v>0</v>
      </c>
      <c r="X825">
        <f t="shared" si="253"/>
        <v>0</v>
      </c>
      <c r="Y825">
        <f t="shared" si="254"/>
        <v>0</v>
      </c>
      <c r="Z825">
        <f t="shared" si="255"/>
        <v>0</v>
      </c>
      <c r="AA825">
        <f>IF($D825="",0,IF($F825&lt;2,0,IF($E825="Win",('Guide &amp; Settings'!$C$42/(($F825-1)*COUNTIFS($A$4:$A$1510,$A825,$E$4:$E$1510,"Win")))*SUMIFS($Z$4:$Z$1510,$A$4:$A$1510,$A825,$E$4:$E$1510,"Loss"),-('Guide &amp; Settings'!$C$42/($F825-1))*$Z825)))</f>
        <v>0</v>
      </c>
      <c r="AB825" s="126">
        <f t="shared" si="256"/>
        <v>0</v>
      </c>
      <c r="AC825" t="str">
        <f>IF($D825="","",IF($AD825=0,0,IF(COUNTIFS($D$4:$D825,$D825,$B$4:$B825,$B825)&gt;1,0,IF($B825&lt;'Guide &amp; Settings'!$C$50,0,IF(($B825-$AD825)/7-'Guide &amp; Settings'!$C$48&gt;=0,(INT(($B825-$AD825)/7-'Guide &amp; Settings'!$C$48)+1)*'Guide &amp; Settings'!$C$49,0)))))</f>
        <v/>
      </c>
      <c r="AD825" s="142">
        <f t="shared" si="257"/>
        <v>0</v>
      </c>
      <c r="AE825">
        <f t="shared" si="258"/>
        <v>0</v>
      </c>
      <c r="AF825">
        <f t="shared" si="259"/>
        <v>0</v>
      </c>
    </row>
    <row r="826" spans="1:32" x14ac:dyDescent="0.2">
      <c r="A826" s="117"/>
      <c r="B826" s="118"/>
      <c r="C826" s="119"/>
      <c r="D826" s="119"/>
      <c r="E826" s="117"/>
      <c r="F826" s="120">
        <f t="shared" si="240"/>
        <v>0</v>
      </c>
      <c r="G826" s="121" t="str">
        <f t="shared" si="241"/>
        <v/>
      </c>
      <c r="H826" s="122">
        <f>IF($D826="",0,IFERROR(LOOKUP(2,1/(($D$3:D825=$D826)*($A$3:A825&lt;$A826)),$N$3:N825),'Guide &amp; Settings'!$C$41))</f>
        <v>0</v>
      </c>
      <c r="I826" s="123">
        <f t="shared" si="242"/>
        <v>0</v>
      </c>
      <c r="J826" s="124">
        <f>IF($D826="",0,IF($F826&lt;2,0,IF($E826="Win",('Guide &amp; Settings'!$C$42/(($F826-1)*COUNTIFS($A$4:$A$1510,$A826,$E$4:$E$1510,"Win")))*SUMIFS($X$4:$X$1510,$A$4:$A$1510,$A826,$E$4:$E$1510,"Loss"),-('Guide &amp; Settings'!$C$42/($F826-1))*$X826)))</f>
        <v>0</v>
      </c>
      <c r="K826" s="124">
        <f>IF($D826="",0,'Guide &amp; Settings'!$C$43*(IF($E826="Win",1,0)-$I826))</f>
        <v>0</v>
      </c>
      <c r="L826" s="125">
        <f>IF($D826="",0,'Guide &amp; Settings'!$C$44*IF($F826&gt;=3,$F826,0))</f>
        <v>0</v>
      </c>
      <c r="M826" s="124">
        <f t="shared" si="243"/>
        <v>0</v>
      </c>
      <c r="N826" s="122">
        <f t="shared" si="244"/>
        <v>0</v>
      </c>
      <c r="O826" s="121" t="str">
        <f t="shared" si="245"/>
        <v/>
      </c>
      <c r="P826">
        <f t="shared" si="246"/>
        <v>0</v>
      </c>
      <c r="Q826">
        <f t="shared" si="247"/>
        <v>0</v>
      </c>
      <c r="R826">
        <f t="shared" si="248"/>
        <v>0</v>
      </c>
      <c r="S826">
        <f t="shared" si="249"/>
        <v>0</v>
      </c>
      <c r="T826" s="89">
        <f t="shared" si="250"/>
        <v>0</v>
      </c>
      <c r="U826" s="126">
        <f>IF($D826="",0,IFERROR(LOOKUP(2,1/(($D$3:D825=$D826)*($C$3:C825=$C826)*($A$3:A825&lt;$A826)),$AB$3:AB825),1000))</f>
        <v>0</v>
      </c>
      <c r="V826" s="126">
        <f t="shared" si="251"/>
        <v>0</v>
      </c>
      <c r="W826">
        <f t="shared" si="252"/>
        <v>0</v>
      </c>
      <c r="X826">
        <f t="shared" si="253"/>
        <v>0</v>
      </c>
      <c r="Y826">
        <f t="shared" si="254"/>
        <v>0</v>
      </c>
      <c r="Z826">
        <f t="shared" si="255"/>
        <v>0</v>
      </c>
      <c r="AA826">
        <f>IF($D826="",0,IF($F826&lt;2,0,IF($E826="Win",('Guide &amp; Settings'!$C$42/(($F826-1)*COUNTIFS($A$4:$A$1510,$A826,$E$4:$E$1510,"Win")))*SUMIFS($Z$4:$Z$1510,$A$4:$A$1510,$A826,$E$4:$E$1510,"Loss"),-('Guide &amp; Settings'!$C$42/($F826-1))*$Z826)))</f>
        <v>0</v>
      </c>
      <c r="AB826" s="126">
        <f t="shared" si="256"/>
        <v>0</v>
      </c>
      <c r="AC826" t="str">
        <f>IF($D826="","",IF($AD826=0,0,IF(COUNTIFS($D$4:$D826,$D826,$B$4:$B826,$B826)&gt;1,0,IF($B826&lt;'Guide &amp; Settings'!$C$50,0,IF(($B826-$AD826)/7-'Guide &amp; Settings'!$C$48&gt;=0,(INT(($B826-$AD826)/7-'Guide &amp; Settings'!$C$48)+1)*'Guide &amp; Settings'!$C$49,0)))))</f>
        <v/>
      </c>
      <c r="AD826" s="142">
        <f t="shared" si="257"/>
        <v>0</v>
      </c>
      <c r="AE826">
        <f t="shared" si="258"/>
        <v>0</v>
      </c>
      <c r="AF826">
        <f t="shared" si="259"/>
        <v>0</v>
      </c>
    </row>
    <row r="827" spans="1:32" x14ac:dyDescent="0.2">
      <c r="A827" s="117"/>
      <c r="B827" s="118"/>
      <c r="C827" s="119"/>
      <c r="D827" s="119"/>
      <c r="E827" s="117"/>
      <c r="F827" s="120">
        <f t="shared" si="240"/>
        <v>0</v>
      </c>
      <c r="G827" s="121" t="str">
        <f t="shared" si="241"/>
        <v/>
      </c>
      <c r="H827" s="122">
        <f>IF($D827="",0,IFERROR(LOOKUP(2,1/(($D$3:D826=$D827)*($A$3:A826&lt;$A827)),$N$3:N826),'Guide &amp; Settings'!$C$41))</f>
        <v>0</v>
      </c>
      <c r="I827" s="123">
        <f t="shared" si="242"/>
        <v>0</v>
      </c>
      <c r="J827" s="124">
        <f>IF($D827="",0,IF($F827&lt;2,0,IF($E827="Win",('Guide &amp; Settings'!$C$42/(($F827-1)*COUNTIFS($A$4:$A$1510,$A827,$E$4:$E$1510,"Win")))*SUMIFS($X$4:$X$1510,$A$4:$A$1510,$A827,$E$4:$E$1510,"Loss"),-('Guide &amp; Settings'!$C$42/($F827-1))*$X827)))</f>
        <v>0</v>
      </c>
      <c r="K827" s="124">
        <f>IF($D827="",0,'Guide &amp; Settings'!$C$43*(IF($E827="Win",1,0)-$I827))</f>
        <v>0</v>
      </c>
      <c r="L827" s="125">
        <f>IF($D827="",0,'Guide &amp; Settings'!$C$44*IF($F827&gt;=3,$F827,0))</f>
        <v>0</v>
      </c>
      <c r="M827" s="124">
        <f t="shared" si="243"/>
        <v>0</v>
      </c>
      <c r="N827" s="122">
        <f t="shared" si="244"/>
        <v>0</v>
      </c>
      <c r="O827" s="121" t="str">
        <f t="shared" si="245"/>
        <v/>
      </c>
      <c r="P827">
        <f t="shared" si="246"/>
        <v>0</v>
      </c>
      <c r="Q827">
        <f t="shared" si="247"/>
        <v>0</v>
      </c>
      <c r="R827">
        <f t="shared" si="248"/>
        <v>0</v>
      </c>
      <c r="S827">
        <f t="shared" si="249"/>
        <v>0</v>
      </c>
      <c r="T827" s="89">
        <f t="shared" si="250"/>
        <v>0</v>
      </c>
      <c r="U827" s="126">
        <f>IF($D827="",0,IFERROR(LOOKUP(2,1/(($D$3:D826=$D827)*($C$3:C826=$C827)*($A$3:A826&lt;$A827)),$AB$3:AB826),1000))</f>
        <v>0</v>
      </c>
      <c r="V827" s="126">
        <f t="shared" si="251"/>
        <v>0</v>
      </c>
      <c r="W827">
        <f t="shared" si="252"/>
        <v>0</v>
      </c>
      <c r="X827">
        <f t="shared" si="253"/>
        <v>0</v>
      </c>
      <c r="Y827">
        <f t="shared" si="254"/>
        <v>0</v>
      </c>
      <c r="Z827">
        <f t="shared" si="255"/>
        <v>0</v>
      </c>
      <c r="AA827">
        <f>IF($D827="",0,IF($F827&lt;2,0,IF($E827="Win",('Guide &amp; Settings'!$C$42/(($F827-1)*COUNTIFS($A$4:$A$1510,$A827,$E$4:$E$1510,"Win")))*SUMIFS($Z$4:$Z$1510,$A$4:$A$1510,$A827,$E$4:$E$1510,"Loss"),-('Guide &amp; Settings'!$C$42/($F827-1))*$Z827)))</f>
        <v>0</v>
      </c>
      <c r="AB827" s="126">
        <f t="shared" si="256"/>
        <v>0</v>
      </c>
      <c r="AC827" t="str">
        <f>IF($D827="","",IF($AD827=0,0,IF(COUNTIFS($D$4:$D827,$D827,$B$4:$B827,$B827)&gt;1,0,IF($B827&lt;'Guide &amp; Settings'!$C$50,0,IF(($B827-$AD827)/7-'Guide &amp; Settings'!$C$48&gt;=0,(INT(($B827-$AD827)/7-'Guide &amp; Settings'!$C$48)+1)*'Guide &amp; Settings'!$C$49,0)))))</f>
        <v/>
      </c>
      <c r="AD827" s="142">
        <f t="shared" si="257"/>
        <v>0</v>
      </c>
      <c r="AE827">
        <f t="shared" si="258"/>
        <v>0</v>
      </c>
      <c r="AF827">
        <f t="shared" si="259"/>
        <v>0</v>
      </c>
    </row>
    <row r="828" spans="1:32" x14ac:dyDescent="0.2">
      <c r="A828" s="117"/>
      <c r="B828" s="118"/>
      <c r="C828" s="119"/>
      <c r="D828" s="119"/>
      <c r="E828" s="117"/>
      <c r="F828" s="120">
        <f t="shared" si="240"/>
        <v>0</v>
      </c>
      <c r="G828" s="121" t="str">
        <f t="shared" si="241"/>
        <v/>
      </c>
      <c r="H828" s="122">
        <f>IF($D828="",0,IFERROR(LOOKUP(2,1/(($D$3:D827=$D828)*($A$3:A827&lt;$A828)),$N$3:N827),'Guide &amp; Settings'!$C$41))</f>
        <v>0</v>
      </c>
      <c r="I828" s="123">
        <f t="shared" si="242"/>
        <v>0</v>
      </c>
      <c r="J828" s="124">
        <f>IF($D828="",0,IF($F828&lt;2,0,IF($E828="Win",('Guide &amp; Settings'!$C$42/(($F828-1)*COUNTIFS($A$4:$A$1510,$A828,$E$4:$E$1510,"Win")))*SUMIFS($X$4:$X$1510,$A$4:$A$1510,$A828,$E$4:$E$1510,"Loss"),-('Guide &amp; Settings'!$C$42/($F828-1))*$X828)))</f>
        <v>0</v>
      </c>
      <c r="K828" s="124">
        <f>IF($D828="",0,'Guide &amp; Settings'!$C$43*(IF($E828="Win",1,0)-$I828))</f>
        <v>0</v>
      </c>
      <c r="L828" s="125">
        <f>IF($D828="",0,'Guide &amp; Settings'!$C$44*IF($F828&gt;=3,$F828,0))</f>
        <v>0</v>
      </c>
      <c r="M828" s="124">
        <f t="shared" si="243"/>
        <v>0</v>
      </c>
      <c r="N828" s="122">
        <f t="shared" si="244"/>
        <v>0</v>
      </c>
      <c r="O828" s="121" t="str">
        <f t="shared" si="245"/>
        <v/>
      </c>
      <c r="P828">
        <f t="shared" si="246"/>
        <v>0</v>
      </c>
      <c r="Q828">
        <f t="shared" si="247"/>
        <v>0</v>
      </c>
      <c r="R828">
        <f t="shared" si="248"/>
        <v>0</v>
      </c>
      <c r="S828">
        <f t="shared" si="249"/>
        <v>0</v>
      </c>
      <c r="T828" s="89">
        <f t="shared" si="250"/>
        <v>0</v>
      </c>
      <c r="U828" s="126">
        <f>IF($D828="",0,IFERROR(LOOKUP(2,1/(($D$3:D827=$D828)*($C$3:C827=$C828)*($A$3:A827&lt;$A828)),$AB$3:AB827),1000))</f>
        <v>0</v>
      </c>
      <c r="V828" s="126">
        <f t="shared" si="251"/>
        <v>0</v>
      </c>
      <c r="W828">
        <f t="shared" si="252"/>
        <v>0</v>
      </c>
      <c r="X828">
        <f t="shared" si="253"/>
        <v>0</v>
      </c>
      <c r="Y828">
        <f t="shared" si="254"/>
        <v>0</v>
      </c>
      <c r="Z828">
        <f t="shared" si="255"/>
        <v>0</v>
      </c>
      <c r="AA828">
        <f>IF($D828="",0,IF($F828&lt;2,0,IF($E828="Win",('Guide &amp; Settings'!$C$42/(($F828-1)*COUNTIFS($A$4:$A$1510,$A828,$E$4:$E$1510,"Win")))*SUMIFS($Z$4:$Z$1510,$A$4:$A$1510,$A828,$E$4:$E$1510,"Loss"),-('Guide &amp; Settings'!$C$42/($F828-1))*$Z828)))</f>
        <v>0</v>
      </c>
      <c r="AB828" s="126">
        <f t="shared" si="256"/>
        <v>0</v>
      </c>
      <c r="AC828" t="str">
        <f>IF($D828="","",IF($AD828=0,0,IF(COUNTIFS($D$4:$D828,$D828,$B$4:$B828,$B828)&gt;1,0,IF($B828&lt;'Guide &amp; Settings'!$C$50,0,IF(($B828-$AD828)/7-'Guide &amp; Settings'!$C$48&gt;=0,(INT(($B828-$AD828)/7-'Guide &amp; Settings'!$C$48)+1)*'Guide &amp; Settings'!$C$49,0)))))</f>
        <v/>
      </c>
      <c r="AD828" s="142">
        <f t="shared" si="257"/>
        <v>0</v>
      </c>
      <c r="AE828">
        <f t="shared" si="258"/>
        <v>0</v>
      </c>
      <c r="AF828">
        <f t="shared" si="259"/>
        <v>0</v>
      </c>
    </row>
    <row r="829" spans="1:32" x14ac:dyDescent="0.2">
      <c r="A829" s="117"/>
      <c r="B829" s="118"/>
      <c r="C829" s="119"/>
      <c r="D829" s="119"/>
      <c r="E829" s="117"/>
      <c r="F829" s="120">
        <f t="shared" si="240"/>
        <v>0</v>
      </c>
      <c r="G829" s="121" t="str">
        <f t="shared" si="241"/>
        <v/>
      </c>
      <c r="H829" s="122">
        <f>IF($D829="",0,IFERROR(LOOKUP(2,1/(($D$3:D828=$D829)*($A$3:A828&lt;$A829)),$N$3:N828),'Guide &amp; Settings'!$C$41))</f>
        <v>0</v>
      </c>
      <c r="I829" s="123">
        <f t="shared" si="242"/>
        <v>0</v>
      </c>
      <c r="J829" s="124">
        <f>IF($D829="",0,IF($F829&lt;2,0,IF($E829="Win",('Guide &amp; Settings'!$C$42/(($F829-1)*COUNTIFS($A$4:$A$1510,$A829,$E$4:$E$1510,"Win")))*SUMIFS($X$4:$X$1510,$A$4:$A$1510,$A829,$E$4:$E$1510,"Loss"),-('Guide &amp; Settings'!$C$42/($F829-1))*$X829)))</f>
        <v>0</v>
      </c>
      <c r="K829" s="124">
        <f>IF($D829="",0,'Guide &amp; Settings'!$C$43*(IF($E829="Win",1,0)-$I829))</f>
        <v>0</v>
      </c>
      <c r="L829" s="125">
        <f>IF($D829="",0,'Guide &amp; Settings'!$C$44*IF($F829&gt;=3,$F829,0))</f>
        <v>0</v>
      </c>
      <c r="M829" s="124">
        <f t="shared" si="243"/>
        <v>0</v>
      </c>
      <c r="N829" s="122">
        <f t="shared" si="244"/>
        <v>0</v>
      </c>
      <c r="O829" s="121" t="str">
        <f t="shared" si="245"/>
        <v/>
      </c>
      <c r="P829">
        <f t="shared" si="246"/>
        <v>0</v>
      </c>
      <c r="Q829">
        <f t="shared" si="247"/>
        <v>0</v>
      </c>
      <c r="R829">
        <f t="shared" si="248"/>
        <v>0</v>
      </c>
      <c r="S829">
        <f t="shared" si="249"/>
        <v>0</v>
      </c>
      <c r="T829" s="89">
        <f t="shared" si="250"/>
        <v>0</v>
      </c>
      <c r="U829" s="126">
        <f>IF($D829="",0,IFERROR(LOOKUP(2,1/(($D$3:D828=$D829)*($C$3:C828=$C829)*($A$3:A828&lt;$A829)),$AB$3:AB828),1000))</f>
        <v>0</v>
      </c>
      <c r="V829" s="126">
        <f t="shared" si="251"/>
        <v>0</v>
      </c>
      <c r="W829">
        <f t="shared" si="252"/>
        <v>0</v>
      </c>
      <c r="X829">
        <f t="shared" si="253"/>
        <v>0</v>
      </c>
      <c r="Y829">
        <f t="shared" si="254"/>
        <v>0</v>
      </c>
      <c r="Z829">
        <f t="shared" si="255"/>
        <v>0</v>
      </c>
      <c r="AA829">
        <f>IF($D829="",0,IF($F829&lt;2,0,IF($E829="Win",('Guide &amp; Settings'!$C$42/(($F829-1)*COUNTIFS($A$4:$A$1510,$A829,$E$4:$E$1510,"Win")))*SUMIFS($Z$4:$Z$1510,$A$4:$A$1510,$A829,$E$4:$E$1510,"Loss"),-('Guide &amp; Settings'!$C$42/($F829-1))*$Z829)))</f>
        <v>0</v>
      </c>
      <c r="AB829" s="126">
        <f t="shared" si="256"/>
        <v>0</v>
      </c>
      <c r="AC829" t="str">
        <f>IF($D829="","",IF($AD829=0,0,IF(COUNTIFS($D$4:$D829,$D829,$B$4:$B829,$B829)&gt;1,0,IF($B829&lt;'Guide &amp; Settings'!$C$50,0,IF(($B829-$AD829)/7-'Guide &amp; Settings'!$C$48&gt;=0,(INT(($B829-$AD829)/7-'Guide &amp; Settings'!$C$48)+1)*'Guide &amp; Settings'!$C$49,0)))))</f>
        <v/>
      </c>
      <c r="AD829" s="142">
        <f t="shared" si="257"/>
        <v>0</v>
      </c>
      <c r="AE829">
        <f t="shared" si="258"/>
        <v>0</v>
      </c>
      <c r="AF829">
        <f t="shared" si="259"/>
        <v>0</v>
      </c>
    </row>
    <row r="830" spans="1:32" x14ac:dyDescent="0.2">
      <c r="A830" s="117"/>
      <c r="B830" s="118"/>
      <c r="C830" s="119"/>
      <c r="D830" s="119"/>
      <c r="E830" s="117"/>
      <c r="F830" s="120">
        <f t="shared" si="240"/>
        <v>0</v>
      </c>
      <c r="G830" s="121" t="str">
        <f t="shared" si="241"/>
        <v/>
      </c>
      <c r="H830" s="122">
        <f>IF($D830="",0,IFERROR(LOOKUP(2,1/(($D$3:D829=$D830)*($A$3:A829&lt;$A830)),$N$3:N829),'Guide &amp; Settings'!$C$41))</f>
        <v>0</v>
      </c>
      <c r="I830" s="123">
        <f t="shared" si="242"/>
        <v>0</v>
      </c>
      <c r="J830" s="124">
        <f>IF($D830="",0,IF($F830&lt;2,0,IF($E830="Win",('Guide &amp; Settings'!$C$42/(($F830-1)*COUNTIFS($A$4:$A$1510,$A830,$E$4:$E$1510,"Win")))*SUMIFS($X$4:$X$1510,$A$4:$A$1510,$A830,$E$4:$E$1510,"Loss"),-('Guide &amp; Settings'!$C$42/($F830-1))*$X830)))</f>
        <v>0</v>
      </c>
      <c r="K830" s="124">
        <f>IF($D830="",0,'Guide &amp; Settings'!$C$43*(IF($E830="Win",1,0)-$I830))</f>
        <v>0</v>
      </c>
      <c r="L830" s="125">
        <f>IF($D830="",0,'Guide &amp; Settings'!$C$44*IF($F830&gt;=3,$F830,0))</f>
        <v>0</v>
      </c>
      <c r="M830" s="124">
        <f t="shared" si="243"/>
        <v>0</v>
      </c>
      <c r="N830" s="122">
        <f t="shared" si="244"/>
        <v>0</v>
      </c>
      <c r="O830" s="121" t="str">
        <f t="shared" si="245"/>
        <v/>
      </c>
      <c r="P830">
        <f t="shared" si="246"/>
        <v>0</v>
      </c>
      <c r="Q830">
        <f t="shared" si="247"/>
        <v>0</v>
      </c>
      <c r="R830">
        <f t="shared" si="248"/>
        <v>0</v>
      </c>
      <c r="S830">
        <f t="shared" si="249"/>
        <v>0</v>
      </c>
      <c r="T830" s="89">
        <f t="shared" si="250"/>
        <v>0</v>
      </c>
      <c r="U830" s="126">
        <f>IF($D830="",0,IFERROR(LOOKUP(2,1/(($D$3:D829=$D830)*($C$3:C829=$C830)*($A$3:A829&lt;$A830)),$AB$3:AB829),1000))</f>
        <v>0</v>
      </c>
      <c r="V830" s="126">
        <f t="shared" si="251"/>
        <v>0</v>
      </c>
      <c r="W830">
        <f t="shared" si="252"/>
        <v>0</v>
      </c>
      <c r="X830">
        <f t="shared" si="253"/>
        <v>0</v>
      </c>
      <c r="Y830">
        <f t="shared" si="254"/>
        <v>0</v>
      </c>
      <c r="Z830">
        <f t="shared" si="255"/>
        <v>0</v>
      </c>
      <c r="AA830">
        <f>IF($D830="",0,IF($F830&lt;2,0,IF($E830="Win",('Guide &amp; Settings'!$C$42/(($F830-1)*COUNTIFS($A$4:$A$1510,$A830,$E$4:$E$1510,"Win")))*SUMIFS($Z$4:$Z$1510,$A$4:$A$1510,$A830,$E$4:$E$1510,"Loss"),-('Guide &amp; Settings'!$C$42/($F830-1))*$Z830)))</f>
        <v>0</v>
      </c>
      <c r="AB830" s="126">
        <f t="shared" si="256"/>
        <v>0</v>
      </c>
      <c r="AC830" t="str">
        <f>IF($D830="","",IF($AD830=0,0,IF(COUNTIFS($D$4:$D830,$D830,$B$4:$B830,$B830)&gt;1,0,IF($B830&lt;'Guide &amp; Settings'!$C$50,0,IF(($B830-$AD830)/7-'Guide &amp; Settings'!$C$48&gt;=0,(INT(($B830-$AD830)/7-'Guide &amp; Settings'!$C$48)+1)*'Guide &amp; Settings'!$C$49,0)))))</f>
        <v/>
      </c>
      <c r="AD830" s="142">
        <f t="shared" si="257"/>
        <v>0</v>
      </c>
      <c r="AE830">
        <f t="shared" si="258"/>
        <v>0</v>
      </c>
      <c r="AF830">
        <f t="shared" si="259"/>
        <v>0</v>
      </c>
    </row>
    <row r="831" spans="1:32" x14ac:dyDescent="0.2">
      <c r="A831" s="117"/>
      <c r="B831" s="118"/>
      <c r="C831" s="119"/>
      <c r="D831" s="119"/>
      <c r="E831" s="117"/>
      <c r="F831" s="120">
        <f t="shared" si="240"/>
        <v>0</v>
      </c>
      <c r="G831" s="121" t="str">
        <f t="shared" si="241"/>
        <v/>
      </c>
      <c r="H831" s="122">
        <f>IF($D831="",0,IFERROR(LOOKUP(2,1/(($D$3:D830=$D831)*($A$3:A830&lt;$A831)),$N$3:N830),'Guide &amp; Settings'!$C$41))</f>
        <v>0</v>
      </c>
      <c r="I831" s="123">
        <f t="shared" si="242"/>
        <v>0</v>
      </c>
      <c r="J831" s="124">
        <f>IF($D831="",0,IF($F831&lt;2,0,IF($E831="Win",('Guide &amp; Settings'!$C$42/(($F831-1)*COUNTIFS($A$4:$A$1510,$A831,$E$4:$E$1510,"Win")))*SUMIFS($X$4:$X$1510,$A$4:$A$1510,$A831,$E$4:$E$1510,"Loss"),-('Guide &amp; Settings'!$C$42/($F831-1))*$X831)))</f>
        <v>0</v>
      </c>
      <c r="K831" s="124">
        <f>IF($D831="",0,'Guide &amp; Settings'!$C$43*(IF($E831="Win",1,0)-$I831))</f>
        <v>0</v>
      </c>
      <c r="L831" s="125">
        <f>IF($D831="",0,'Guide &amp; Settings'!$C$44*IF($F831&gt;=3,$F831,0))</f>
        <v>0</v>
      </c>
      <c r="M831" s="124">
        <f t="shared" si="243"/>
        <v>0</v>
      </c>
      <c r="N831" s="122">
        <f t="shared" si="244"/>
        <v>0</v>
      </c>
      <c r="O831" s="121" t="str">
        <f t="shared" si="245"/>
        <v/>
      </c>
      <c r="P831">
        <f t="shared" si="246"/>
        <v>0</v>
      </c>
      <c r="Q831">
        <f t="shared" si="247"/>
        <v>0</v>
      </c>
      <c r="R831">
        <f t="shared" si="248"/>
        <v>0</v>
      </c>
      <c r="S831">
        <f t="shared" si="249"/>
        <v>0</v>
      </c>
      <c r="T831" s="89">
        <f t="shared" si="250"/>
        <v>0</v>
      </c>
      <c r="U831" s="126">
        <f>IF($D831="",0,IFERROR(LOOKUP(2,1/(($D$3:D830=$D831)*($C$3:C830=$C831)*($A$3:A830&lt;$A831)),$AB$3:AB830),1000))</f>
        <v>0</v>
      </c>
      <c r="V831" s="126">
        <f t="shared" si="251"/>
        <v>0</v>
      </c>
      <c r="W831">
        <f t="shared" si="252"/>
        <v>0</v>
      </c>
      <c r="X831">
        <f t="shared" si="253"/>
        <v>0</v>
      </c>
      <c r="Y831">
        <f t="shared" si="254"/>
        <v>0</v>
      </c>
      <c r="Z831">
        <f t="shared" si="255"/>
        <v>0</v>
      </c>
      <c r="AA831">
        <f>IF($D831="",0,IF($F831&lt;2,0,IF($E831="Win",('Guide &amp; Settings'!$C$42/(($F831-1)*COUNTIFS($A$4:$A$1510,$A831,$E$4:$E$1510,"Win")))*SUMIFS($Z$4:$Z$1510,$A$4:$A$1510,$A831,$E$4:$E$1510,"Loss"),-('Guide &amp; Settings'!$C$42/($F831-1))*$Z831)))</f>
        <v>0</v>
      </c>
      <c r="AB831" s="126">
        <f t="shared" si="256"/>
        <v>0</v>
      </c>
      <c r="AC831" t="str">
        <f>IF($D831="","",IF($AD831=0,0,IF(COUNTIFS($D$4:$D831,$D831,$B$4:$B831,$B831)&gt;1,0,IF($B831&lt;'Guide &amp; Settings'!$C$50,0,IF(($B831-$AD831)/7-'Guide &amp; Settings'!$C$48&gt;=0,(INT(($B831-$AD831)/7-'Guide &amp; Settings'!$C$48)+1)*'Guide &amp; Settings'!$C$49,0)))))</f>
        <v/>
      </c>
      <c r="AD831" s="142">
        <f t="shared" si="257"/>
        <v>0</v>
      </c>
      <c r="AE831">
        <f t="shared" si="258"/>
        <v>0</v>
      </c>
      <c r="AF831">
        <f t="shared" si="259"/>
        <v>0</v>
      </c>
    </row>
    <row r="832" spans="1:32" x14ac:dyDescent="0.2">
      <c r="A832" s="117"/>
      <c r="B832" s="118"/>
      <c r="C832" s="119"/>
      <c r="D832" s="119"/>
      <c r="E832" s="117"/>
      <c r="F832" s="120">
        <f t="shared" si="240"/>
        <v>0</v>
      </c>
      <c r="G832" s="121" t="str">
        <f t="shared" si="241"/>
        <v/>
      </c>
      <c r="H832" s="122">
        <f>IF($D832="",0,IFERROR(LOOKUP(2,1/(($D$3:D831=$D832)*($A$3:A831&lt;$A832)),$N$3:N831),'Guide &amp; Settings'!$C$41))</f>
        <v>0</v>
      </c>
      <c r="I832" s="123">
        <f t="shared" si="242"/>
        <v>0</v>
      </c>
      <c r="J832" s="124">
        <f>IF($D832="",0,IF($F832&lt;2,0,IF($E832="Win",('Guide &amp; Settings'!$C$42/(($F832-1)*COUNTIFS($A$4:$A$1510,$A832,$E$4:$E$1510,"Win")))*SUMIFS($X$4:$X$1510,$A$4:$A$1510,$A832,$E$4:$E$1510,"Loss"),-('Guide &amp; Settings'!$C$42/($F832-1))*$X832)))</f>
        <v>0</v>
      </c>
      <c r="K832" s="124">
        <f>IF($D832="",0,'Guide &amp; Settings'!$C$43*(IF($E832="Win",1,0)-$I832))</f>
        <v>0</v>
      </c>
      <c r="L832" s="125">
        <f>IF($D832="",0,'Guide &amp; Settings'!$C$44*IF($F832&gt;=3,$F832,0))</f>
        <v>0</v>
      </c>
      <c r="M832" s="124">
        <f t="shared" si="243"/>
        <v>0</v>
      </c>
      <c r="N832" s="122">
        <f t="shared" si="244"/>
        <v>0</v>
      </c>
      <c r="O832" s="121" t="str">
        <f t="shared" si="245"/>
        <v/>
      </c>
      <c r="P832">
        <f t="shared" si="246"/>
        <v>0</v>
      </c>
      <c r="Q832">
        <f t="shared" si="247"/>
        <v>0</v>
      </c>
      <c r="R832">
        <f t="shared" si="248"/>
        <v>0</v>
      </c>
      <c r="S832">
        <f t="shared" si="249"/>
        <v>0</v>
      </c>
      <c r="T832" s="89">
        <f t="shared" si="250"/>
        <v>0</v>
      </c>
      <c r="U832" s="126">
        <f>IF($D832="",0,IFERROR(LOOKUP(2,1/(($D$3:D831=$D832)*($C$3:C831=$C832)*($A$3:A831&lt;$A832)),$AB$3:AB831),1000))</f>
        <v>0</v>
      </c>
      <c r="V832" s="126">
        <f t="shared" si="251"/>
        <v>0</v>
      </c>
      <c r="W832">
        <f t="shared" si="252"/>
        <v>0</v>
      </c>
      <c r="X832">
        <f t="shared" si="253"/>
        <v>0</v>
      </c>
      <c r="Y832">
        <f t="shared" si="254"/>
        <v>0</v>
      </c>
      <c r="Z832">
        <f t="shared" si="255"/>
        <v>0</v>
      </c>
      <c r="AA832">
        <f>IF($D832="",0,IF($F832&lt;2,0,IF($E832="Win",('Guide &amp; Settings'!$C$42/(($F832-1)*COUNTIFS($A$4:$A$1510,$A832,$E$4:$E$1510,"Win")))*SUMIFS($Z$4:$Z$1510,$A$4:$A$1510,$A832,$E$4:$E$1510,"Loss"),-('Guide &amp; Settings'!$C$42/($F832-1))*$Z832)))</f>
        <v>0</v>
      </c>
      <c r="AB832" s="126">
        <f t="shared" si="256"/>
        <v>0</v>
      </c>
      <c r="AC832" t="str">
        <f>IF($D832="","",IF($AD832=0,0,IF(COUNTIFS($D$4:$D832,$D832,$B$4:$B832,$B832)&gt;1,0,IF($B832&lt;'Guide &amp; Settings'!$C$50,0,IF(($B832-$AD832)/7-'Guide &amp; Settings'!$C$48&gt;=0,(INT(($B832-$AD832)/7-'Guide &amp; Settings'!$C$48)+1)*'Guide &amp; Settings'!$C$49,0)))))</f>
        <v/>
      </c>
      <c r="AD832" s="142">
        <f t="shared" si="257"/>
        <v>0</v>
      </c>
      <c r="AE832">
        <f t="shared" si="258"/>
        <v>0</v>
      </c>
      <c r="AF832">
        <f t="shared" si="259"/>
        <v>0</v>
      </c>
    </row>
    <row r="833" spans="1:32" x14ac:dyDescent="0.2">
      <c r="A833" s="117"/>
      <c r="B833" s="118"/>
      <c r="C833" s="119"/>
      <c r="D833" s="119"/>
      <c r="E833" s="117"/>
      <c r="F833" s="120">
        <f t="shared" si="240"/>
        <v>0</v>
      </c>
      <c r="G833" s="121" t="str">
        <f t="shared" si="241"/>
        <v/>
      </c>
      <c r="H833" s="122">
        <f>IF($D833="",0,IFERROR(LOOKUP(2,1/(($D$3:D832=$D833)*($A$3:A832&lt;$A833)),$N$3:N832),'Guide &amp; Settings'!$C$41))</f>
        <v>0</v>
      </c>
      <c r="I833" s="123">
        <f t="shared" si="242"/>
        <v>0</v>
      </c>
      <c r="J833" s="124">
        <f>IF($D833="",0,IF($F833&lt;2,0,IF($E833="Win",('Guide &amp; Settings'!$C$42/(($F833-1)*COUNTIFS($A$4:$A$1510,$A833,$E$4:$E$1510,"Win")))*SUMIFS($X$4:$X$1510,$A$4:$A$1510,$A833,$E$4:$E$1510,"Loss"),-('Guide &amp; Settings'!$C$42/($F833-1))*$X833)))</f>
        <v>0</v>
      </c>
      <c r="K833" s="124">
        <f>IF($D833="",0,'Guide &amp; Settings'!$C$43*(IF($E833="Win",1,0)-$I833))</f>
        <v>0</v>
      </c>
      <c r="L833" s="125">
        <f>IF($D833="",0,'Guide &amp; Settings'!$C$44*IF($F833&gt;=3,$F833,0))</f>
        <v>0</v>
      </c>
      <c r="M833" s="124">
        <f t="shared" si="243"/>
        <v>0</v>
      </c>
      <c r="N833" s="122">
        <f t="shared" si="244"/>
        <v>0</v>
      </c>
      <c r="O833" s="121" t="str">
        <f t="shared" si="245"/>
        <v/>
      </c>
      <c r="P833">
        <f t="shared" si="246"/>
        <v>0</v>
      </c>
      <c r="Q833">
        <f t="shared" si="247"/>
        <v>0</v>
      </c>
      <c r="R833">
        <f t="shared" si="248"/>
        <v>0</v>
      </c>
      <c r="S833">
        <f t="shared" si="249"/>
        <v>0</v>
      </c>
      <c r="T833" s="89">
        <f t="shared" si="250"/>
        <v>0</v>
      </c>
      <c r="U833" s="126">
        <f>IF($D833="",0,IFERROR(LOOKUP(2,1/(($D$3:D832=$D833)*($C$3:C832=$C833)*($A$3:A832&lt;$A833)),$AB$3:AB832),1000))</f>
        <v>0</v>
      </c>
      <c r="V833" s="126">
        <f t="shared" si="251"/>
        <v>0</v>
      </c>
      <c r="W833">
        <f t="shared" si="252"/>
        <v>0</v>
      </c>
      <c r="X833">
        <f t="shared" si="253"/>
        <v>0</v>
      </c>
      <c r="Y833">
        <f t="shared" si="254"/>
        <v>0</v>
      </c>
      <c r="Z833">
        <f t="shared" si="255"/>
        <v>0</v>
      </c>
      <c r="AA833">
        <f>IF($D833="",0,IF($F833&lt;2,0,IF($E833="Win",('Guide &amp; Settings'!$C$42/(($F833-1)*COUNTIFS($A$4:$A$1510,$A833,$E$4:$E$1510,"Win")))*SUMIFS($Z$4:$Z$1510,$A$4:$A$1510,$A833,$E$4:$E$1510,"Loss"),-('Guide &amp; Settings'!$C$42/($F833-1))*$Z833)))</f>
        <v>0</v>
      </c>
      <c r="AB833" s="126">
        <f t="shared" si="256"/>
        <v>0</v>
      </c>
      <c r="AC833" t="str">
        <f>IF($D833="","",IF($AD833=0,0,IF(COUNTIFS($D$4:$D833,$D833,$B$4:$B833,$B833)&gt;1,0,IF($B833&lt;'Guide &amp; Settings'!$C$50,0,IF(($B833-$AD833)/7-'Guide &amp; Settings'!$C$48&gt;=0,(INT(($B833-$AD833)/7-'Guide &amp; Settings'!$C$48)+1)*'Guide &amp; Settings'!$C$49,0)))))</f>
        <v/>
      </c>
      <c r="AD833" s="142">
        <f t="shared" si="257"/>
        <v>0</v>
      </c>
      <c r="AE833">
        <f t="shared" si="258"/>
        <v>0</v>
      </c>
      <c r="AF833">
        <f t="shared" si="259"/>
        <v>0</v>
      </c>
    </row>
    <row r="834" spans="1:32" x14ac:dyDescent="0.2">
      <c r="A834" s="117"/>
      <c r="B834" s="118"/>
      <c r="C834" s="119"/>
      <c r="D834" s="119"/>
      <c r="E834" s="117"/>
      <c r="F834" s="120">
        <f t="shared" si="240"/>
        <v>0</v>
      </c>
      <c r="G834" s="121" t="str">
        <f t="shared" si="241"/>
        <v/>
      </c>
      <c r="H834" s="122">
        <f>IF($D834="",0,IFERROR(LOOKUP(2,1/(($D$3:D833=$D834)*($A$3:A833&lt;$A834)),$N$3:N833),'Guide &amp; Settings'!$C$41))</f>
        <v>0</v>
      </c>
      <c r="I834" s="123">
        <f t="shared" si="242"/>
        <v>0</v>
      </c>
      <c r="J834" s="124">
        <f>IF($D834="",0,IF($F834&lt;2,0,IF($E834="Win",('Guide &amp; Settings'!$C$42/(($F834-1)*COUNTIFS($A$4:$A$1510,$A834,$E$4:$E$1510,"Win")))*SUMIFS($X$4:$X$1510,$A$4:$A$1510,$A834,$E$4:$E$1510,"Loss"),-('Guide &amp; Settings'!$C$42/($F834-1))*$X834)))</f>
        <v>0</v>
      </c>
      <c r="K834" s="124">
        <f>IF($D834="",0,'Guide &amp; Settings'!$C$43*(IF($E834="Win",1,0)-$I834))</f>
        <v>0</v>
      </c>
      <c r="L834" s="125">
        <f>IF($D834="",0,'Guide &amp; Settings'!$C$44*IF($F834&gt;=3,$F834,0))</f>
        <v>0</v>
      </c>
      <c r="M834" s="124">
        <f t="shared" si="243"/>
        <v>0</v>
      </c>
      <c r="N834" s="122">
        <f t="shared" si="244"/>
        <v>0</v>
      </c>
      <c r="O834" s="121" t="str">
        <f t="shared" si="245"/>
        <v/>
      </c>
      <c r="P834">
        <f t="shared" si="246"/>
        <v>0</v>
      </c>
      <c r="Q834">
        <f t="shared" si="247"/>
        <v>0</v>
      </c>
      <c r="R834">
        <f t="shared" si="248"/>
        <v>0</v>
      </c>
      <c r="S834">
        <f t="shared" si="249"/>
        <v>0</v>
      </c>
      <c r="T834" s="89">
        <f t="shared" si="250"/>
        <v>0</v>
      </c>
      <c r="U834" s="126">
        <f>IF($D834="",0,IFERROR(LOOKUP(2,1/(($D$3:D833=$D834)*($C$3:C833=$C834)*($A$3:A833&lt;$A834)),$AB$3:AB833),1000))</f>
        <v>0</v>
      </c>
      <c r="V834" s="126">
        <f t="shared" si="251"/>
        <v>0</v>
      </c>
      <c r="W834">
        <f t="shared" si="252"/>
        <v>0</v>
      </c>
      <c r="X834">
        <f t="shared" si="253"/>
        <v>0</v>
      </c>
      <c r="Y834">
        <f t="shared" si="254"/>
        <v>0</v>
      </c>
      <c r="Z834">
        <f t="shared" si="255"/>
        <v>0</v>
      </c>
      <c r="AA834">
        <f>IF($D834="",0,IF($F834&lt;2,0,IF($E834="Win",('Guide &amp; Settings'!$C$42/(($F834-1)*COUNTIFS($A$4:$A$1510,$A834,$E$4:$E$1510,"Win")))*SUMIFS($Z$4:$Z$1510,$A$4:$A$1510,$A834,$E$4:$E$1510,"Loss"),-('Guide &amp; Settings'!$C$42/($F834-1))*$Z834)))</f>
        <v>0</v>
      </c>
      <c r="AB834" s="126">
        <f t="shared" si="256"/>
        <v>0</v>
      </c>
      <c r="AC834" t="str">
        <f>IF($D834="","",IF($AD834=0,0,IF(COUNTIFS($D$4:$D834,$D834,$B$4:$B834,$B834)&gt;1,0,IF($B834&lt;'Guide &amp; Settings'!$C$50,0,IF(($B834-$AD834)/7-'Guide &amp; Settings'!$C$48&gt;=0,(INT(($B834-$AD834)/7-'Guide &amp; Settings'!$C$48)+1)*'Guide &amp; Settings'!$C$49,0)))))</f>
        <v/>
      </c>
      <c r="AD834" s="142">
        <f t="shared" si="257"/>
        <v>0</v>
      </c>
      <c r="AE834">
        <f t="shared" si="258"/>
        <v>0</v>
      </c>
      <c r="AF834">
        <f t="shared" si="259"/>
        <v>0</v>
      </c>
    </row>
    <row r="835" spans="1:32" x14ac:dyDescent="0.2">
      <c r="A835" s="117"/>
      <c r="B835" s="118"/>
      <c r="C835" s="119"/>
      <c r="D835" s="119"/>
      <c r="E835" s="117"/>
      <c r="F835" s="120">
        <f t="shared" si="240"/>
        <v>0</v>
      </c>
      <c r="G835" s="121" t="str">
        <f t="shared" si="241"/>
        <v/>
      </c>
      <c r="H835" s="122">
        <f>IF($D835="",0,IFERROR(LOOKUP(2,1/(($D$3:D834=$D835)*($A$3:A834&lt;$A835)),$N$3:N834),'Guide &amp; Settings'!$C$41))</f>
        <v>0</v>
      </c>
      <c r="I835" s="123">
        <f t="shared" si="242"/>
        <v>0</v>
      </c>
      <c r="J835" s="124">
        <f>IF($D835="",0,IF($F835&lt;2,0,IF($E835="Win",('Guide &amp; Settings'!$C$42/(($F835-1)*COUNTIFS($A$4:$A$1510,$A835,$E$4:$E$1510,"Win")))*SUMIFS($X$4:$X$1510,$A$4:$A$1510,$A835,$E$4:$E$1510,"Loss"),-('Guide &amp; Settings'!$C$42/($F835-1))*$X835)))</f>
        <v>0</v>
      </c>
      <c r="K835" s="124">
        <f>IF($D835="",0,'Guide &amp; Settings'!$C$43*(IF($E835="Win",1,0)-$I835))</f>
        <v>0</v>
      </c>
      <c r="L835" s="125">
        <f>IF($D835="",0,'Guide &amp; Settings'!$C$44*IF($F835&gt;=3,$F835,0))</f>
        <v>0</v>
      </c>
      <c r="M835" s="124">
        <f t="shared" si="243"/>
        <v>0</v>
      </c>
      <c r="N835" s="122">
        <f t="shared" si="244"/>
        <v>0</v>
      </c>
      <c r="O835" s="121" t="str">
        <f t="shared" si="245"/>
        <v/>
      </c>
      <c r="P835">
        <f t="shared" si="246"/>
        <v>0</v>
      </c>
      <c r="Q835">
        <f t="shared" si="247"/>
        <v>0</v>
      </c>
      <c r="R835">
        <f t="shared" si="248"/>
        <v>0</v>
      </c>
      <c r="S835">
        <f t="shared" si="249"/>
        <v>0</v>
      </c>
      <c r="T835" s="89">
        <f t="shared" si="250"/>
        <v>0</v>
      </c>
      <c r="U835" s="126">
        <f>IF($D835="",0,IFERROR(LOOKUP(2,1/(($D$3:D834=$D835)*($C$3:C834=$C835)*($A$3:A834&lt;$A835)),$AB$3:AB834),1000))</f>
        <v>0</v>
      </c>
      <c r="V835" s="126">
        <f t="shared" si="251"/>
        <v>0</v>
      </c>
      <c r="W835">
        <f t="shared" si="252"/>
        <v>0</v>
      </c>
      <c r="X835">
        <f t="shared" si="253"/>
        <v>0</v>
      </c>
      <c r="Y835">
        <f t="shared" si="254"/>
        <v>0</v>
      </c>
      <c r="Z835">
        <f t="shared" si="255"/>
        <v>0</v>
      </c>
      <c r="AA835">
        <f>IF($D835="",0,IF($F835&lt;2,0,IF($E835="Win",('Guide &amp; Settings'!$C$42/(($F835-1)*COUNTIFS($A$4:$A$1510,$A835,$E$4:$E$1510,"Win")))*SUMIFS($Z$4:$Z$1510,$A$4:$A$1510,$A835,$E$4:$E$1510,"Loss"),-('Guide &amp; Settings'!$C$42/($F835-1))*$Z835)))</f>
        <v>0</v>
      </c>
      <c r="AB835" s="126">
        <f t="shared" si="256"/>
        <v>0</v>
      </c>
      <c r="AC835" t="str">
        <f>IF($D835="","",IF($AD835=0,0,IF(COUNTIFS($D$4:$D835,$D835,$B$4:$B835,$B835)&gt;1,0,IF($B835&lt;'Guide &amp; Settings'!$C$50,0,IF(($B835-$AD835)/7-'Guide &amp; Settings'!$C$48&gt;=0,(INT(($B835-$AD835)/7-'Guide &amp; Settings'!$C$48)+1)*'Guide &amp; Settings'!$C$49,0)))))</f>
        <v/>
      </c>
      <c r="AD835" s="142">
        <f t="shared" si="257"/>
        <v>0</v>
      </c>
      <c r="AE835">
        <f t="shared" si="258"/>
        <v>0</v>
      </c>
      <c r="AF835">
        <f t="shared" si="259"/>
        <v>0</v>
      </c>
    </row>
    <row r="836" spans="1:32" x14ac:dyDescent="0.2">
      <c r="A836" s="117"/>
      <c r="B836" s="118"/>
      <c r="C836" s="119"/>
      <c r="D836" s="119"/>
      <c r="E836" s="117"/>
      <c r="F836" s="120">
        <f t="shared" ref="F836:F899" si="260">IF($D836="",0,COUNTIF($A$4:$A$1510,$A836))</f>
        <v>0</v>
      </c>
      <c r="G836" s="121" t="str">
        <f t="shared" ref="G836:G899" si="261">IF($D836="","",IFERROR(LOOKUP(2,1/(($A$4:$A$1510=$A836)*($E$4:$E$1510="Win")),$D$4:$D$1510),"(no winner)"))</f>
        <v/>
      </c>
      <c r="H836" s="122">
        <f>IF($D836="",0,IFERROR(LOOKUP(2,1/(($D$3:D835=$D836)*($A$3:A835&lt;$A836)),$N$3:N835),'Guide &amp; Settings'!$C$41))</f>
        <v>0</v>
      </c>
      <c r="I836" s="123">
        <f t="shared" ref="I836:I899" si="262">IF($D836="",0,IF($S836=0,0,$R836/$S836))</f>
        <v>0</v>
      </c>
      <c r="J836" s="124">
        <f>IF($D836="",0,IF($F836&lt;2,0,IF($E836="Win",('Guide &amp; Settings'!$C$42/(($F836-1)*COUNTIFS($A$4:$A$1510,$A836,$E$4:$E$1510,"Win")))*SUMIFS($X$4:$X$1510,$A$4:$A$1510,$A836,$E$4:$E$1510,"Loss"),-('Guide &amp; Settings'!$C$42/($F836-1))*$X836)))</f>
        <v>0</v>
      </c>
      <c r="K836" s="124">
        <f>IF($D836="",0,'Guide &amp; Settings'!$C$43*(IF($E836="Win",1,0)-$I836))</f>
        <v>0</v>
      </c>
      <c r="L836" s="125">
        <f>IF($D836="",0,'Guide &amp; Settings'!$C$44*IF($F836&gt;=3,$F836,0))</f>
        <v>0</v>
      </c>
      <c r="M836" s="124">
        <f t="shared" ref="M836:M899" si="263">IF($D836="",0,$J836+$K836+$L836)</f>
        <v>0</v>
      </c>
      <c r="N836" s="122">
        <f t="shared" ref="N836:N899" si="264">IF($D836="",0,$H836+$M836)</f>
        <v>0</v>
      </c>
      <c r="O836" s="121" t="str">
        <f t="shared" ref="O836:O899" si="265">IF($D836="","",IF($AE836=0,"need a winner",IF($F836-$AE836=0,"need a loser",IF(MOD($AF836,2)=1,"duplicate player",IF(MOD(INT($AF836/2),2)=1,"mixed sports",IF($AF836&gt;=4,"mixed dates",IF($AE836&gt;1,IF($F836&gt;=4,"OK (team)","check winners"),"OK")))))))</f>
        <v/>
      </c>
      <c r="P836">
        <f t="shared" ref="P836:P899" si="266">IF($D836="",0,IFERROR(SUMIFS($H$4:$H$1510,$A$4:$A$1510,$A836,$E$4:$E$1510,"Win")/COUNTIFS($A$4:$A$1510,$A836,$E$4:$E$1510,"Win"),0))</f>
        <v>0</v>
      </c>
      <c r="Q836">
        <f t="shared" ref="Q836:Q899" si="267">IF($D836="",0,1/(1+10^(($P836-$H836)/400)))</f>
        <v>0</v>
      </c>
      <c r="R836">
        <f t="shared" ref="R836:R899" si="268">IF($D836="",0,(COUNTIFS($D$4:$D$1510,$D836,$C$4:$C$1510,$C836,$E$4:$E$1510,"Win",$A$4:$A$1510,"&lt;"&amp;$A836)+1)/(COUNTIFS($D$4:$D$1510,$D836,$C$4:$C$1510,$C836,$A$4:$A$1510,"&lt;"&amp;$A836)+2))</f>
        <v>0</v>
      </c>
      <c r="S836">
        <f t="shared" ref="S836:S899" si="269">IF($D836="",0,SUMIFS($R$4:$R$1510,$A$4:$A$1510,$A836))</f>
        <v>0</v>
      </c>
      <c r="T836" s="89">
        <f t="shared" ref="T836:T899" si="270">IF($D836="",0,COUNTIFS($D$4:$D$1510,$D836,$C$4:$C$1510,$C836,$A$4:$A$1510,"&lt;"&amp;$A836))</f>
        <v>0</v>
      </c>
      <c r="U836" s="126">
        <f>IF($D836="",0,IFERROR(LOOKUP(2,1/(($D$3:D835=$D836)*($C$3:C835=$C836)*($A$3:A835&lt;$A836)),$AB$3:AB835),1000))</f>
        <v>0</v>
      </c>
      <c r="V836" s="126">
        <f t="shared" ref="V836:V899" si="271">IF($D836="",0,$U836*($T836/($T836+5))+$H836*(1-$T836/($T836+5)))</f>
        <v>0</v>
      </c>
      <c r="W836">
        <f t="shared" ref="W836:W899" si="272">IF($D836="",0,IFERROR(SUMIFS($V$4:$V$1510,$A$4:$A$1510,$A836,$E$4:$E$1510,"Win")/COUNTIFS($A$4:$A$1510,$A836,$E$4:$E$1510,"Win"),0))</f>
        <v>0</v>
      </c>
      <c r="X836">
        <f t="shared" ref="X836:X899" si="273">IF($D836="",0,1/(1+10^(($W836-$V836)/400)))</f>
        <v>0</v>
      </c>
      <c r="Y836">
        <f t="shared" ref="Y836:Y899" si="274">IF($D836="",0,IFERROR(SUMIFS($U$4:$U$1510,$A$4:$A$1510,$A836,$E$4:$E$1510,"Win")/COUNTIFS($A$4:$A$1510,$A836,$E$4:$E$1510,"Win"),0))</f>
        <v>0</v>
      </c>
      <c r="Z836">
        <f t="shared" ref="Z836:Z899" si="275">IF($D836="",0,1/(1+10^(($Y836-$U836)/400)))</f>
        <v>0</v>
      </c>
      <c r="AA836">
        <f>IF($D836="",0,IF($F836&lt;2,0,IF($E836="Win",('Guide &amp; Settings'!$C$42/(($F836-1)*COUNTIFS($A$4:$A$1510,$A836,$E$4:$E$1510,"Win")))*SUMIFS($Z$4:$Z$1510,$A$4:$A$1510,$A836,$E$4:$E$1510,"Loss"),-('Guide &amp; Settings'!$C$42/($F836-1))*$Z836)))</f>
        <v>0</v>
      </c>
      <c r="AB836" s="126">
        <f t="shared" ref="AB836:AB899" si="276">IF($D836="",0,$U836+$AA836)</f>
        <v>0</v>
      </c>
      <c r="AC836" t="str">
        <f>IF($D836="","",IF($AD836=0,0,IF(COUNTIFS($D$4:$D836,$D836,$B$4:$B836,$B836)&gt;1,0,IF($B836&lt;'Guide &amp; Settings'!$C$50,0,IF(($B836-$AD836)/7-'Guide &amp; Settings'!$C$48&gt;=0,(INT(($B836-$AD836)/7-'Guide &amp; Settings'!$C$48)+1)*'Guide &amp; Settings'!$C$49,0)))))</f>
        <v/>
      </c>
      <c r="AD836" s="142">
        <f t="shared" ref="AD836:AD899" si="277">IF($D836="",0,SUMPRODUCT(MAX(($D$4:$D$1510=$D836)*($B$4:$B$1510&lt;$B836)*$B$4:$B$1510)))</f>
        <v>0</v>
      </c>
      <c r="AE836">
        <f t="shared" ref="AE836:AE899" si="278">IF($D836="",0,COUNTIFS($A$4:$A$1510,$A836,$E$4:$E$1510,"Win"))</f>
        <v>0</v>
      </c>
      <c r="AF836">
        <f t="shared" ref="AF836:AF899" si="279">IF($D836="",0,(COUNTIFS($A$4:$A$1510,$A836,$D$4:$D$1510,$D836)&gt;1)*1+(COUNTIFS($A$4:$A$1510,$A836,$C$4:$C$1510,"&lt;&gt;"&amp;$C836)&gt;0)*2+(COUNTIFS($A$4:$A$1510,$A836,$B$4:$B$1510,"&lt;&gt;"&amp;$B836)&gt;0)*4)</f>
        <v>0</v>
      </c>
    </row>
    <row r="837" spans="1:32" x14ac:dyDescent="0.2">
      <c r="A837" s="117"/>
      <c r="B837" s="118"/>
      <c r="C837" s="119"/>
      <c r="D837" s="119"/>
      <c r="E837" s="117"/>
      <c r="F837" s="120">
        <f t="shared" si="260"/>
        <v>0</v>
      </c>
      <c r="G837" s="121" t="str">
        <f t="shared" si="261"/>
        <v/>
      </c>
      <c r="H837" s="122">
        <f>IF($D837="",0,IFERROR(LOOKUP(2,1/(($D$3:D836=$D837)*($A$3:A836&lt;$A837)),$N$3:N836),'Guide &amp; Settings'!$C$41))</f>
        <v>0</v>
      </c>
      <c r="I837" s="123">
        <f t="shared" si="262"/>
        <v>0</v>
      </c>
      <c r="J837" s="124">
        <f>IF($D837="",0,IF($F837&lt;2,0,IF($E837="Win",('Guide &amp; Settings'!$C$42/(($F837-1)*COUNTIFS($A$4:$A$1510,$A837,$E$4:$E$1510,"Win")))*SUMIFS($X$4:$X$1510,$A$4:$A$1510,$A837,$E$4:$E$1510,"Loss"),-('Guide &amp; Settings'!$C$42/($F837-1))*$X837)))</f>
        <v>0</v>
      </c>
      <c r="K837" s="124">
        <f>IF($D837="",0,'Guide &amp; Settings'!$C$43*(IF($E837="Win",1,0)-$I837))</f>
        <v>0</v>
      </c>
      <c r="L837" s="125">
        <f>IF($D837="",0,'Guide &amp; Settings'!$C$44*IF($F837&gt;=3,$F837,0))</f>
        <v>0</v>
      </c>
      <c r="M837" s="124">
        <f t="shared" si="263"/>
        <v>0</v>
      </c>
      <c r="N837" s="122">
        <f t="shared" si="264"/>
        <v>0</v>
      </c>
      <c r="O837" s="121" t="str">
        <f t="shared" si="265"/>
        <v/>
      </c>
      <c r="P837">
        <f t="shared" si="266"/>
        <v>0</v>
      </c>
      <c r="Q837">
        <f t="shared" si="267"/>
        <v>0</v>
      </c>
      <c r="R837">
        <f t="shared" si="268"/>
        <v>0</v>
      </c>
      <c r="S837">
        <f t="shared" si="269"/>
        <v>0</v>
      </c>
      <c r="T837" s="89">
        <f t="shared" si="270"/>
        <v>0</v>
      </c>
      <c r="U837" s="126">
        <f>IF($D837="",0,IFERROR(LOOKUP(2,1/(($D$3:D836=$D837)*($C$3:C836=$C837)*($A$3:A836&lt;$A837)),$AB$3:AB836),1000))</f>
        <v>0</v>
      </c>
      <c r="V837" s="126">
        <f t="shared" si="271"/>
        <v>0</v>
      </c>
      <c r="W837">
        <f t="shared" si="272"/>
        <v>0</v>
      </c>
      <c r="X837">
        <f t="shared" si="273"/>
        <v>0</v>
      </c>
      <c r="Y837">
        <f t="shared" si="274"/>
        <v>0</v>
      </c>
      <c r="Z837">
        <f t="shared" si="275"/>
        <v>0</v>
      </c>
      <c r="AA837">
        <f>IF($D837="",0,IF($F837&lt;2,0,IF($E837="Win",('Guide &amp; Settings'!$C$42/(($F837-1)*COUNTIFS($A$4:$A$1510,$A837,$E$4:$E$1510,"Win")))*SUMIFS($Z$4:$Z$1510,$A$4:$A$1510,$A837,$E$4:$E$1510,"Loss"),-('Guide &amp; Settings'!$C$42/($F837-1))*$Z837)))</f>
        <v>0</v>
      </c>
      <c r="AB837" s="126">
        <f t="shared" si="276"/>
        <v>0</v>
      </c>
      <c r="AC837" t="str">
        <f>IF($D837="","",IF($AD837=0,0,IF(COUNTIFS($D$4:$D837,$D837,$B$4:$B837,$B837)&gt;1,0,IF($B837&lt;'Guide &amp; Settings'!$C$50,0,IF(($B837-$AD837)/7-'Guide &amp; Settings'!$C$48&gt;=0,(INT(($B837-$AD837)/7-'Guide &amp; Settings'!$C$48)+1)*'Guide &amp; Settings'!$C$49,0)))))</f>
        <v/>
      </c>
      <c r="AD837" s="142">
        <f t="shared" si="277"/>
        <v>0</v>
      </c>
      <c r="AE837">
        <f t="shared" si="278"/>
        <v>0</v>
      </c>
      <c r="AF837">
        <f t="shared" si="279"/>
        <v>0</v>
      </c>
    </row>
    <row r="838" spans="1:32" x14ac:dyDescent="0.2">
      <c r="A838" s="117"/>
      <c r="B838" s="118"/>
      <c r="C838" s="119"/>
      <c r="D838" s="119"/>
      <c r="E838" s="117"/>
      <c r="F838" s="120">
        <f t="shared" si="260"/>
        <v>0</v>
      </c>
      <c r="G838" s="121" t="str">
        <f t="shared" si="261"/>
        <v/>
      </c>
      <c r="H838" s="122">
        <f>IF($D838="",0,IFERROR(LOOKUP(2,1/(($D$3:D837=$D838)*($A$3:A837&lt;$A838)),$N$3:N837),'Guide &amp; Settings'!$C$41))</f>
        <v>0</v>
      </c>
      <c r="I838" s="123">
        <f t="shared" si="262"/>
        <v>0</v>
      </c>
      <c r="J838" s="124">
        <f>IF($D838="",0,IF($F838&lt;2,0,IF($E838="Win",('Guide &amp; Settings'!$C$42/(($F838-1)*COUNTIFS($A$4:$A$1510,$A838,$E$4:$E$1510,"Win")))*SUMIFS($X$4:$X$1510,$A$4:$A$1510,$A838,$E$4:$E$1510,"Loss"),-('Guide &amp; Settings'!$C$42/($F838-1))*$X838)))</f>
        <v>0</v>
      </c>
      <c r="K838" s="124">
        <f>IF($D838="",0,'Guide &amp; Settings'!$C$43*(IF($E838="Win",1,0)-$I838))</f>
        <v>0</v>
      </c>
      <c r="L838" s="125">
        <f>IF($D838="",0,'Guide &amp; Settings'!$C$44*IF($F838&gt;=3,$F838,0))</f>
        <v>0</v>
      </c>
      <c r="M838" s="124">
        <f t="shared" si="263"/>
        <v>0</v>
      </c>
      <c r="N838" s="122">
        <f t="shared" si="264"/>
        <v>0</v>
      </c>
      <c r="O838" s="121" t="str">
        <f t="shared" si="265"/>
        <v/>
      </c>
      <c r="P838">
        <f t="shared" si="266"/>
        <v>0</v>
      </c>
      <c r="Q838">
        <f t="shared" si="267"/>
        <v>0</v>
      </c>
      <c r="R838">
        <f t="shared" si="268"/>
        <v>0</v>
      </c>
      <c r="S838">
        <f t="shared" si="269"/>
        <v>0</v>
      </c>
      <c r="T838" s="89">
        <f t="shared" si="270"/>
        <v>0</v>
      </c>
      <c r="U838" s="126">
        <f>IF($D838="",0,IFERROR(LOOKUP(2,1/(($D$3:D837=$D838)*($C$3:C837=$C838)*($A$3:A837&lt;$A838)),$AB$3:AB837),1000))</f>
        <v>0</v>
      </c>
      <c r="V838" s="126">
        <f t="shared" si="271"/>
        <v>0</v>
      </c>
      <c r="W838">
        <f t="shared" si="272"/>
        <v>0</v>
      </c>
      <c r="X838">
        <f t="shared" si="273"/>
        <v>0</v>
      </c>
      <c r="Y838">
        <f t="shared" si="274"/>
        <v>0</v>
      </c>
      <c r="Z838">
        <f t="shared" si="275"/>
        <v>0</v>
      </c>
      <c r="AA838">
        <f>IF($D838="",0,IF($F838&lt;2,0,IF($E838="Win",('Guide &amp; Settings'!$C$42/(($F838-1)*COUNTIFS($A$4:$A$1510,$A838,$E$4:$E$1510,"Win")))*SUMIFS($Z$4:$Z$1510,$A$4:$A$1510,$A838,$E$4:$E$1510,"Loss"),-('Guide &amp; Settings'!$C$42/($F838-1))*$Z838)))</f>
        <v>0</v>
      </c>
      <c r="AB838" s="126">
        <f t="shared" si="276"/>
        <v>0</v>
      </c>
      <c r="AC838" t="str">
        <f>IF($D838="","",IF($AD838=0,0,IF(COUNTIFS($D$4:$D838,$D838,$B$4:$B838,$B838)&gt;1,0,IF($B838&lt;'Guide &amp; Settings'!$C$50,0,IF(($B838-$AD838)/7-'Guide &amp; Settings'!$C$48&gt;=0,(INT(($B838-$AD838)/7-'Guide &amp; Settings'!$C$48)+1)*'Guide &amp; Settings'!$C$49,0)))))</f>
        <v/>
      </c>
      <c r="AD838" s="142">
        <f t="shared" si="277"/>
        <v>0</v>
      </c>
      <c r="AE838">
        <f t="shared" si="278"/>
        <v>0</v>
      </c>
      <c r="AF838">
        <f t="shared" si="279"/>
        <v>0</v>
      </c>
    </row>
    <row r="839" spans="1:32" x14ac:dyDescent="0.2">
      <c r="A839" s="117"/>
      <c r="B839" s="118"/>
      <c r="C839" s="119"/>
      <c r="D839" s="119"/>
      <c r="E839" s="117"/>
      <c r="F839" s="120">
        <f t="shared" si="260"/>
        <v>0</v>
      </c>
      <c r="G839" s="121" t="str">
        <f t="shared" si="261"/>
        <v/>
      </c>
      <c r="H839" s="122">
        <f>IF($D839="",0,IFERROR(LOOKUP(2,1/(($D$3:D838=$D839)*($A$3:A838&lt;$A839)),$N$3:N838),'Guide &amp; Settings'!$C$41))</f>
        <v>0</v>
      </c>
      <c r="I839" s="123">
        <f t="shared" si="262"/>
        <v>0</v>
      </c>
      <c r="J839" s="124">
        <f>IF($D839="",0,IF($F839&lt;2,0,IF($E839="Win",('Guide &amp; Settings'!$C$42/(($F839-1)*COUNTIFS($A$4:$A$1510,$A839,$E$4:$E$1510,"Win")))*SUMIFS($X$4:$X$1510,$A$4:$A$1510,$A839,$E$4:$E$1510,"Loss"),-('Guide &amp; Settings'!$C$42/($F839-1))*$X839)))</f>
        <v>0</v>
      </c>
      <c r="K839" s="124">
        <f>IF($D839="",0,'Guide &amp; Settings'!$C$43*(IF($E839="Win",1,0)-$I839))</f>
        <v>0</v>
      </c>
      <c r="L839" s="125">
        <f>IF($D839="",0,'Guide &amp; Settings'!$C$44*IF($F839&gt;=3,$F839,0))</f>
        <v>0</v>
      </c>
      <c r="M839" s="124">
        <f t="shared" si="263"/>
        <v>0</v>
      </c>
      <c r="N839" s="122">
        <f t="shared" si="264"/>
        <v>0</v>
      </c>
      <c r="O839" s="121" t="str">
        <f t="shared" si="265"/>
        <v/>
      </c>
      <c r="P839">
        <f t="shared" si="266"/>
        <v>0</v>
      </c>
      <c r="Q839">
        <f t="shared" si="267"/>
        <v>0</v>
      </c>
      <c r="R839">
        <f t="shared" si="268"/>
        <v>0</v>
      </c>
      <c r="S839">
        <f t="shared" si="269"/>
        <v>0</v>
      </c>
      <c r="T839" s="89">
        <f t="shared" si="270"/>
        <v>0</v>
      </c>
      <c r="U839" s="126">
        <f>IF($D839="",0,IFERROR(LOOKUP(2,1/(($D$3:D838=$D839)*($C$3:C838=$C839)*($A$3:A838&lt;$A839)),$AB$3:AB838),1000))</f>
        <v>0</v>
      </c>
      <c r="V839" s="126">
        <f t="shared" si="271"/>
        <v>0</v>
      </c>
      <c r="W839">
        <f t="shared" si="272"/>
        <v>0</v>
      </c>
      <c r="X839">
        <f t="shared" si="273"/>
        <v>0</v>
      </c>
      <c r="Y839">
        <f t="shared" si="274"/>
        <v>0</v>
      </c>
      <c r="Z839">
        <f t="shared" si="275"/>
        <v>0</v>
      </c>
      <c r="AA839">
        <f>IF($D839="",0,IF($F839&lt;2,0,IF($E839="Win",('Guide &amp; Settings'!$C$42/(($F839-1)*COUNTIFS($A$4:$A$1510,$A839,$E$4:$E$1510,"Win")))*SUMIFS($Z$4:$Z$1510,$A$4:$A$1510,$A839,$E$4:$E$1510,"Loss"),-('Guide &amp; Settings'!$C$42/($F839-1))*$Z839)))</f>
        <v>0</v>
      </c>
      <c r="AB839" s="126">
        <f t="shared" si="276"/>
        <v>0</v>
      </c>
      <c r="AC839" t="str">
        <f>IF($D839="","",IF($AD839=0,0,IF(COUNTIFS($D$4:$D839,$D839,$B$4:$B839,$B839)&gt;1,0,IF($B839&lt;'Guide &amp; Settings'!$C$50,0,IF(($B839-$AD839)/7-'Guide &amp; Settings'!$C$48&gt;=0,(INT(($B839-$AD839)/7-'Guide &amp; Settings'!$C$48)+1)*'Guide &amp; Settings'!$C$49,0)))))</f>
        <v/>
      </c>
      <c r="AD839" s="142">
        <f t="shared" si="277"/>
        <v>0</v>
      </c>
      <c r="AE839">
        <f t="shared" si="278"/>
        <v>0</v>
      </c>
      <c r="AF839">
        <f t="shared" si="279"/>
        <v>0</v>
      </c>
    </row>
    <row r="840" spans="1:32" x14ac:dyDescent="0.2">
      <c r="A840" s="117"/>
      <c r="B840" s="118"/>
      <c r="C840" s="119"/>
      <c r="D840" s="119"/>
      <c r="E840" s="117"/>
      <c r="F840" s="120">
        <f t="shared" si="260"/>
        <v>0</v>
      </c>
      <c r="G840" s="121" t="str">
        <f t="shared" si="261"/>
        <v/>
      </c>
      <c r="H840" s="122">
        <f>IF($D840="",0,IFERROR(LOOKUP(2,1/(($D$3:D839=$D840)*($A$3:A839&lt;$A840)),$N$3:N839),'Guide &amp; Settings'!$C$41))</f>
        <v>0</v>
      </c>
      <c r="I840" s="123">
        <f t="shared" si="262"/>
        <v>0</v>
      </c>
      <c r="J840" s="124">
        <f>IF($D840="",0,IF($F840&lt;2,0,IF($E840="Win",('Guide &amp; Settings'!$C$42/(($F840-1)*COUNTIFS($A$4:$A$1510,$A840,$E$4:$E$1510,"Win")))*SUMIFS($X$4:$X$1510,$A$4:$A$1510,$A840,$E$4:$E$1510,"Loss"),-('Guide &amp; Settings'!$C$42/($F840-1))*$X840)))</f>
        <v>0</v>
      </c>
      <c r="K840" s="124">
        <f>IF($D840="",0,'Guide &amp; Settings'!$C$43*(IF($E840="Win",1,0)-$I840))</f>
        <v>0</v>
      </c>
      <c r="L840" s="125">
        <f>IF($D840="",0,'Guide &amp; Settings'!$C$44*IF($F840&gt;=3,$F840,0))</f>
        <v>0</v>
      </c>
      <c r="M840" s="124">
        <f t="shared" si="263"/>
        <v>0</v>
      </c>
      <c r="N840" s="122">
        <f t="shared" si="264"/>
        <v>0</v>
      </c>
      <c r="O840" s="121" t="str">
        <f t="shared" si="265"/>
        <v/>
      </c>
      <c r="P840">
        <f t="shared" si="266"/>
        <v>0</v>
      </c>
      <c r="Q840">
        <f t="shared" si="267"/>
        <v>0</v>
      </c>
      <c r="R840">
        <f t="shared" si="268"/>
        <v>0</v>
      </c>
      <c r="S840">
        <f t="shared" si="269"/>
        <v>0</v>
      </c>
      <c r="T840" s="89">
        <f t="shared" si="270"/>
        <v>0</v>
      </c>
      <c r="U840" s="126">
        <f>IF($D840="",0,IFERROR(LOOKUP(2,1/(($D$3:D839=$D840)*($C$3:C839=$C840)*($A$3:A839&lt;$A840)),$AB$3:AB839),1000))</f>
        <v>0</v>
      </c>
      <c r="V840" s="126">
        <f t="shared" si="271"/>
        <v>0</v>
      </c>
      <c r="W840">
        <f t="shared" si="272"/>
        <v>0</v>
      </c>
      <c r="X840">
        <f t="shared" si="273"/>
        <v>0</v>
      </c>
      <c r="Y840">
        <f t="shared" si="274"/>
        <v>0</v>
      </c>
      <c r="Z840">
        <f t="shared" si="275"/>
        <v>0</v>
      </c>
      <c r="AA840">
        <f>IF($D840="",0,IF($F840&lt;2,0,IF($E840="Win",('Guide &amp; Settings'!$C$42/(($F840-1)*COUNTIFS($A$4:$A$1510,$A840,$E$4:$E$1510,"Win")))*SUMIFS($Z$4:$Z$1510,$A$4:$A$1510,$A840,$E$4:$E$1510,"Loss"),-('Guide &amp; Settings'!$C$42/($F840-1))*$Z840)))</f>
        <v>0</v>
      </c>
      <c r="AB840" s="126">
        <f t="shared" si="276"/>
        <v>0</v>
      </c>
      <c r="AC840" t="str">
        <f>IF($D840="","",IF($AD840=0,0,IF(COUNTIFS($D$4:$D840,$D840,$B$4:$B840,$B840)&gt;1,0,IF($B840&lt;'Guide &amp; Settings'!$C$50,0,IF(($B840-$AD840)/7-'Guide &amp; Settings'!$C$48&gt;=0,(INT(($B840-$AD840)/7-'Guide &amp; Settings'!$C$48)+1)*'Guide &amp; Settings'!$C$49,0)))))</f>
        <v/>
      </c>
      <c r="AD840" s="142">
        <f t="shared" si="277"/>
        <v>0</v>
      </c>
      <c r="AE840">
        <f t="shared" si="278"/>
        <v>0</v>
      </c>
      <c r="AF840">
        <f t="shared" si="279"/>
        <v>0</v>
      </c>
    </row>
    <row r="841" spans="1:32" x14ac:dyDescent="0.2">
      <c r="A841" s="117"/>
      <c r="B841" s="118"/>
      <c r="C841" s="119"/>
      <c r="D841" s="119"/>
      <c r="E841" s="117"/>
      <c r="F841" s="120">
        <f t="shared" si="260"/>
        <v>0</v>
      </c>
      <c r="G841" s="121" t="str">
        <f t="shared" si="261"/>
        <v/>
      </c>
      <c r="H841" s="122">
        <f>IF($D841="",0,IFERROR(LOOKUP(2,1/(($D$3:D840=$D841)*($A$3:A840&lt;$A841)),$N$3:N840),'Guide &amp; Settings'!$C$41))</f>
        <v>0</v>
      </c>
      <c r="I841" s="123">
        <f t="shared" si="262"/>
        <v>0</v>
      </c>
      <c r="J841" s="124">
        <f>IF($D841="",0,IF($F841&lt;2,0,IF($E841="Win",('Guide &amp; Settings'!$C$42/(($F841-1)*COUNTIFS($A$4:$A$1510,$A841,$E$4:$E$1510,"Win")))*SUMIFS($X$4:$X$1510,$A$4:$A$1510,$A841,$E$4:$E$1510,"Loss"),-('Guide &amp; Settings'!$C$42/($F841-1))*$X841)))</f>
        <v>0</v>
      </c>
      <c r="K841" s="124">
        <f>IF($D841="",0,'Guide &amp; Settings'!$C$43*(IF($E841="Win",1,0)-$I841))</f>
        <v>0</v>
      </c>
      <c r="L841" s="125">
        <f>IF($D841="",0,'Guide &amp; Settings'!$C$44*IF($F841&gt;=3,$F841,0))</f>
        <v>0</v>
      </c>
      <c r="M841" s="124">
        <f t="shared" si="263"/>
        <v>0</v>
      </c>
      <c r="N841" s="122">
        <f t="shared" si="264"/>
        <v>0</v>
      </c>
      <c r="O841" s="121" t="str">
        <f t="shared" si="265"/>
        <v/>
      </c>
      <c r="P841">
        <f t="shared" si="266"/>
        <v>0</v>
      </c>
      <c r="Q841">
        <f t="shared" si="267"/>
        <v>0</v>
      </c>
      <c r="R841">
        <f t="shared" si="268"/>
        <v>0</v>
      </c>
      <c r="S841">
        <f t="shared" si="269"/>
        <v>0</v>
      </c>
      <c r="T841" s="89">
        <f t="shared" si="270"/>
        <v>0</v>
      </c>
      <c r="U841" s="126">
        <f>IF($D841="",0,IFERROR(LOOKUP(2,1/(($D$3:D840=$D841)*($C$3:C840=$C841)*($A$3:A840&lt;$A841)),$AB$3:AB840),1000))</f>
        <v>0</v>
      </c>
      <c r="V841" s="126">
        <f t="shared" si="271"/>
        <v>0</v>
      </c>
      <c r="W841">
        <f t="shared" si="272"/>
        <v>0</v>
      </c>
      <c r="X841">
        <f t="shared" si="273"/>
        <v>0</v>
      </c>
      <c r="Y841">
        <f t="shared" si="274"/>
        <v>0</v>
      </c>
      <c r="Z841">
        <f t="shared" si="275"/>
        <v>0</v>
      </c>
      <c r="AA841">
        <f>IF($D841="",0,IF($F841&lt;2,0,IF($E841="Win",('Guide &amp; Settings'!$C$42/(($F841-1)*COUNTIFS($A$4:$A$1510,$A841,$E$4:$E$1510,"Win")))*SUMIFS($Z$4:$Z$1510,$A$4:$A$1510,$A841,$E$4:$E$1510,"Loss"),-('Guide &amp; Settings'!$C$42/($F841-1))*$Z841)))</f>
        <v>0</v>
      </c>
      <c r="AB841" s="126">
        <f t="shared" si="276"/>
        <v>0</v>
      </c>
      <c r="AC841" t="str">
        <f>IF($D841="","",IF($AD841=0,0,IF(COUNTIFS($D$4:$D841,$D841,$B$4:$B841,$B841)&gt;1,0,IF($B841&lt;'Guide &amp; Settings'!$C$50,0,IF(($B841-$AD841)/7-'Guide &amp; Settings'!$C$48&gt;=0,(INT(($B841-$AD841)/7-'Guide &amp; Settings'!$C$48)+1)*'Guide &amp; Settings'!$C$49,0)))))</f>
        <v/>
      </c>
      <c r="AD841" s="142">
        <f t="shared" si="277"/>
        <v>0</v>
      </c>
      <c r="AE841">
        <f t="shared" si="278"/>
        <v>0</v>
      </c>
      <c r="AF841">
        <f t="shared" si="279"/>
        <v>0</v>
      </c>
    </row>
    <row r="842" spans="1:32" x14ac:dyDescent="0.2">
      <c r="A842" s="117"/>
      <c r="B842" s="118"/>
      <c r="C842" s="119"/>
      <c r="D842" s="119"/>
      <c r="E842" s="117"/>
      <c r="F842" s="120">
        <f t="shared" si="260"/>
        <v>0</v>
      </c>
      <c r="G842" s="121" t="str">
        <f t="shared" si="261"/>
        <v/>
      </c>
      <c r="H842" s="122">
        <f>IF($D842="",0,IFERROR(LOOKUP(2,1/(($D$3:D841=$D842)*($A$3:A841&lt;$A842)),$N$3:N841),'Guide &amp; Settings'!$C$41))</f>
        <v>0</v>
      </c>
      <c r="I842" s="123">
        <f t="shared" si="262"/>
        <v>0</v>
      </c>
      <c r="J842" s="124">
        <f>IF($D842="",0,IF($F842&lt;2,0,IF($E842="Win",('Guide &amp; Settings'!$C$42/(($F842-1)*COUNTIFS($A$4:$A$1510,$A842,$E$4:$E$1510,"Win")))*SUMIFS($X$4:$X$1510,$A$4:$A$1510,$A842,$E$4:$E$1510,"Loss"),-('Guide &amp; Settings'!$C$42/($F842-1))*$X842)))</f>
        <v>0</v>
      </c>
      <c r="K842" s="124">
        <f>IF($D842="",0,'Guide &amp; Settings'!$C$43*(IF($E842="Win",1,0)-$I842))</f>
        <v>0</v>
      </c>
      <c r="L842" s="125">
        <f>IF($D842="",0,'Guide &amp; Settings'!$C$44*IF($F842&gt;=3,$F842,0))</f>
        <v>0</v>
      </c>
      <c r="M842" s="124">
        <f t="shared" si="263"/>
        <v>0</v>
      </c>
      <c r="N842" s="122">
        <f t="shared" si="264"/>
        <v>0</v>
      </c>
      <c r="O842" s="121" t="str">
        <f t="shared" si="265"/>
        <v/>
      </c>
      <c r="P842">
        <f t="shared" si="266"/>
        <v>0</v>
      </c>
      <c r="Q842">
        <f t="shared" si="267"/>
        <v>0</v>
      </c>
      <c r="R842">
        <f t="shared" si="268"/>
        <v>0</v>
      </c>
      <c r="S842">
        <f t="shared" si="269"/>
        <v>0</v>
      </c>
      <c r="T842" s="89">
        <f t="shared" si="270"/>
        <v>0</v>
      </c>
      <c r="U842" s="126">
        <f>IF($D842="",0,IFERROR(LOOKUP(2,1/(($D$3:D841=$D842)*($C$3:C841=$C842)*($A$3:A841&lt;$A842)),$AB$3:AB841),1000))</f>
        <v>0</v>
      </c>
      <c r="V842" s="126">
        <f t="shared" si="271"/>
        <v>0</v>
      </c>
      <c r="W842">
        <f t="shared" si="272"/>
        <v>0</v>
      </c>
      <c r="X842">
        <f t="shared" si="273"/>
        <v>0</v>
      </c>
      <c r="Y842">
        <f t="shared" si="274"/>
        <v>0</v>
      </c>
      <c r="Z842">
        <f t="shared" si="275"/>
        <v>0</v>
      </c>
      <c r="AA842">
        <f>IF($D842="",0,IF($F842&lt;2,0,IF($E842="Win",('Guide &amp; Settings'!$C$42/(($F842-1)*COUNTIFS($A$4:$A$1510,$A842,$E$4:$E$1510,"Win")))*SUMIFS($Z$4:$Z$1510,$A$4:$A$1510,$A842,$E$4:$E$1510,"Loss"),-('Guide &amp; Settings'!$C$42/($F842-1))*$Z842)))</f>
        <v>0</v>
      </c>
      <c r="AB842" s="126">
        <f t="shared" si="276"/>
        <v>0</v>
      </c>
      <c r="AC842" t="str">
        <f>IF($D842="","",IF($AD842=0,0,IF(COUNTIFS($D$4:$D842,$D842,$B$4:$B842,$B842)&gt;1,0,IF($B842&lt;'Guide &amp; Settings'!$C$50,0,IF(($B842-$AD842)/7-'Guide &amp; Settings'!$C$48&gt;=0,(INT(($B842-$AD842)/7-'Guide &amp; Settings'!$C$48)+1)*'Guide &amp; Settings'!$C$49,0)))))</f>
        <v/>
      </c>
      <c r="AD842" s="142">
        <f t="shared" si="277"/>
        <v>0</v>
      </c>
      <c r="AE842">
        <f t="shared" si="278"/>
        <v>0</v>
      </c>
      <c r="AF842">
        <f t="shared" si="279"/>
        <v>0</v>
      </c>
    </row>
    <row r="843" spans="1:32" x14ac:dyDescent="0.2">
      <c r="A843" s="117"/>
      <c r="B843" s="118"/>
      <c r="C843" s="119"/>
      <c r="D843" s="119"/>
      <c r="E843" s="117"/>
      <c r="F843" s="120">
        <f t="shared" si="260"/>
        <v>0</v>
      </c>
      <c r="G843" s="121" t="str">
        <f t="shared" si="261"/>
        <v/>
      </c>
      <c r="H843" s="122">
        <f>IF($D843="",0,IFERROR(LOOKUP(2,1/(($D$3:D842=$D843)*($A$3:A842&lt;$A843)),$N$3:N842),'Guide &amp; Settings'!$C$41))</f>
        <v>0</v>
      </c>
      <c r="I843" s="123">
        <f t="shared" si="262"/>
        <v>0</v>
      </c>
      <c r="J843" s="124">
        <f>IF($D843="",0,IF($F843&lt;2,0,IF($E843="Win",('Guide &amp; Settings'!$C$42/(($F843-1)*COUNTIFS($A$4:$A$1510,$A843,$E$4:$E$1510,"Win")))*SUMIFS($X$4:$X$1510,$A$4:$A$1510,$A843,$E$4:$E$1510,"Loss"),-('Guide &amp; Settings'!$C$42/($F843-1))*$X843)))</f>
        <v>0</v>
      </c>
      <c r="K843" s="124">
        <f>IF($D843="",0,'Guide &amp; Settings'!$C$43*(IF($E843="Win",1,0)-$I843))</f>
        <v>0</v>
      </c>
      <c r="L843" s="125">
        <f>IF($D843="",0,'Guide &amp; Settings'!$C$44*IF($F843&gt;=3,$F843,0))</f>
        <v>0</v>
      </c>
      <c r="M843" s="124">
        <f t="shared" si="263"/>
        <v>0</v>
      </c>
      <c r="N843" s="122">
        <f t="shared" si="264"/>
        <v>0</v>
      </c>
      <c r="O843" s="121" t="str">
        <f t="shared" si="265"/>
        <v/>
      </c>
      <c r="P843">
        <f t="shared" si="266"/>
        <v>0</v>
      </c>
      <c r="Q843">
        <f t="shared" si="267"/>
        <v>0</v>
      </c>
      <c r="R843">
        <f t="shared" si="268"/>
        <v>0</v>
      </c>
      <c r="S843">
        <f t="shared" si="269"/>
        <v>0</v>
      </c>
      <c r="T843" s="89">
        <f t="shared" si="270"/>
        <v>0</v>
      </c>
      <c r="U843" s="126">
        <f>IF($D843="",0,IFERROR(LOOKUP(2,1/(($D$3:D842=$D843)*($C$3:C842=$C843)*($A$3:A842&lt;$A843)),$AB$3:AB842),1000))</f>
        <v>0</v>
      </c>
      <c r="V843" s="126">
        <f t="shared" si="271"/>
        <v>0</v>
      </c>
      <c r="W843">
        <f t="shared" si="272"/>
        <v>0</v>
      </c>
      <c r="X843">
        <f t="shared" si="273"/>
        <v>0</v>
      </c>
      <c r="Y843">
        <f t="shared" si="274"/>
        <v>0</v>
      </c>
      <c r="Z843">
        <f t="shared" si="275"/>
        <v>0</v>
      </c>
      <c r="AA843">
        <f>IF($D843="",0,IF($F843&lt;2,0,IF($E843="Win",('Guide &amp; Settings'!$C$42/(($F843-1)*COUNTIFS($A$4:$A$1510,$A843,$E$4:$E$1510,"Win")))*SUMIFS($Z$4:$Z$1510,$A$4:$A$1510,$A843,$E$4:$E$1510,"Loss"),-('Guide &amp; Settings'!$C$42/($F843-1))*$Z843)))</f>
        <v>0</v>
      </c>
      <c r="AB843" s="126">
        <f t="shared" si="276"/>
        <v>0</v>
      </c>
      <c r="AC843" t="str">
        <f>IF($D843="","",IF($AD843=0,0,IF(COUNTIFS($D$4:$D843,$D843,$B$4:$B843,$B843)&gt;1,0,IF($B843&lt;'Guide &amp; Settings'!$C$50,0,IF(($B843-$AD843)/7-'Guide &amp; Settings'!$C$48&gt;=0,(INT(($B843-$AD843)/7-'Guide &amp; Settings'!$C$48)+1)*'Guide &amp; Settings'!$C$49,0)))))</f>
        <v/>
      </c>
      <c r="AD843" s="142">
        <f t="shared" si="277"/>
        <v>0</v>
      </c>
      <c r="AE843">
        <f t="shared" si="278"/>
        <v>0</v>
      </c>
      <c r="AF843">
        <f t="shared" si="279"/>
        <v>0</v>
      </c>
    </row>
    <row r="844" spans="1:32" x14ac:dyDescent="0.2">
      <c r="A844" s="117"/>
      <c r="B844" s="118"/>
      <c r="C844" s="119"/>
      <c r="D844" s="119"/>
      <c r="E844" s="117"/>
      <c r="F844" s="120">
        <f t="shared" si="260"/>
        <v>0</v>
      </c>
      <c r="G844" s="121" t="str">
        <f t="shared" si="261"/>
        <v/>
      </c>
      <c r="H844" s="122">
        <f>IF($D844="",0,IFERROR(LOOKUP(2,1/(($D$3:D843=$D844)*($A$3:A843&lt;$A844)),$N$3:N843),'Guide &amp; Settings'!$C$41))</f>
        <v>0</v>
      </c>
      <c r="I844" s="123">
        <f t="shared" si="262"/>
        <v>0</v>
      </c>
      <c r="J844" s="124">
        <f>IF($D844="",0,IF($F844&lt;2,0,IF($E844="Win",('Guide &amp; Settings'!$C$42/(($F844-1)*COUNTIFS($A$4:$A$1510,$A844,$E$4:$E$1510,"Win")))*SUMIFS($X$4:$X$1510,$A$4:$A$1510,$A844,$E$4:$E$1510,"Loss"),-('Guide &amp; Settings'!$C$42/($F844-1))*$X844)))</f>
        <v>0</v>
      </c>
      <c r="K844" s="124">
        <f>IF($D844="",0,'Guide &amp; Settings'!$C$43*(IF($E844="Win",1,0)-$I844))</f>
        <v>0</v>
      </c>
      <c r="L844" s="125">
        <f>IF($D844="",0,'Guide &amp; Settings'!$C$44*IF($F844&gt;=3,$F844,0))</f>
        <v>0</v>
      </c>
      <c r="M844" s="124">
        <f t="shared" si="263"/>
        <v>0</v>
      </c>
      <c r="N844" s="122">
        <f t="shared" si="264"/>
        <v>0</v>
      </c>
      <c r="O844" s="121" t="str">
        <f t="shared" si="265"/>
        <v/>
      </c>
      <c r="P844">
        <f t="shared" si="266"/>
        <v>0</v>
      </c>
      <c r="Q844">
        <f t="shared" si="267"/>
        <v>0</v>
      </c>
      <c r="R844">
        <f t="shared" si="268"/>
        <v>0</v>
      </c>
      <c r="S844">
        <f t="shared" si="269"/>
        <v>0</v>
      </c>
      <c r="T844" s="89">
        <f t="shared" si="270"/>
        <v>0</v>
      </c>
      <c r="U844" s="126">
        <f>IF($D844="",0,IFERROR(LOOKUP(2,1/(($D$3:D843=$D844)*($C$3:C843=$C844)*($A$3:A843&lt;$A844)),$AB$3:AB843),1000))</f>
        <v>0</v>
      </c>
      <c r="V844" s="126">
        <f t="shared" si="271"/>
        <v>0</v>
      </c>
      <c r="W844">
        <f t="shared" si="272"/>
        <v>0</v>
      </c>
      <c r="X844">
        <f t="shared" si="273"/>
        <v>0</v>
      </c>
      <c r="Y844">
        <f t="shared" si="274"/>
        <v>0</v>
      </c>
      <c r="Z844">
        <f t="shared" si="275"/>
        <v>0</v>
      </c>
      <c r="AA844">
        <f>IF($D844="",0,IF($F844&lt;2,0,IF($E844="Win",('Guide &amp; Settings'!$C$42/(($F844-1)*COUNTIFS($A$4:$A$1510,$A844,$E$4:$E$1510,"Win")))*SUMIFS($Z$4:$Z$1510,$A$4:$A$1510,$A844,$E$4:$E$1510,"Loss"),-('Guide &amp; Settings'!$C$42/($F844-1))*$Z844)))</f>
        <v>0</v>
      </c>
      <c r="AB844" s="126">
        <f t="shared" si="276"/>
        <v>0</v>
      </c>
      <c r="AC844" t="str">
        <f>IF($D844="","",IF($AD844=0,0,IF(COUNTIFS($D$4:$D844,$D844,$B$4:$B844,$B844)&gt;1,0,IF($B844&lt;'Guide &amp; Settings'!$C$50,0,IF(($B844-$AD844)/7-'Guide &amp; Settings'!$C$48&gt;=0,(INT(($B844-$AD844)/7-'Guide &amp; Settings'!$C$48)+1)*'Guide &amp; Settings'!$C$49,0)))))</f>
        <v/>
      </c>
      <c r="AD844" s="142">
        <f t="shared" si="277"/>
        <v>0</v>
      </c>
      <c r="AE844">
        <f t="shared" si="278"/>
        <v>0</v>
      </c>
      <c r="AF844">
        <f t="shared" si="279"/>
        <v>0</v>
      </c>
    </row>
    <row r="845" spans="1:32" x14ac:dyDescent="0.2">
      <c r="A845" s="117"/>
      <c r="B845" s="118"/>
      <c r="C845" s="119"/>
      <c r="D845" s="119"/>
      <c r="E845" s="117"/>
      <c r="F845" s="120">
        <f t="shared" si="260"/>
        <v>0</v>
      </c>
      <c r="G845" s="121" t="str">
        <f t="shared" si="261"/>
        <v/>
      </c>
      <c r="H845" s="122">
        <f>IF($D845="",0,IFERROR(LOOKUP(2,1/(($D$3:D844=$D845)*($A$3:A844&lt;$A845)),$N$3:N844),'Guide &amp; Settings'!$C$41))</f>
        <v>0</v>
      </c>
      <c r="I845" s="123">
        <f t="shared" si="262"/>
        <v>0</v>
      </c>
      <c r="J845" s="124">
        <f>IF($D845="",0,IF($F845&lt;2,0,IF($E845="Win",('Guide &amp; Settings'!$C$42/(($F845-1)*COUNTIFS($A$4:$A$1510,$A845,$E$4:$E$1510,"Win")))*SUMIFS($X$4:$X$1510,$A$4:$A$1510,$A845,$E$4:$E$1510,"Loss"),-('Guide &amp; Settings'!$C$42/($F845-1))*$X845)))</f>
        <v>0</v>
      </c>
      <c r="K845" s="124">
        <f>IF($D845="",0,'Guide &amp; Settings'!$C$43*(IF($E845="Win",1,0)-$I845))</f>
        <v>0</v>
      </c>
      <c r="L845" s="125">
        <f>IF($D845="",0,'Guide &amp; Settings'!$C$44*IF($F845&gt;=3,$F845,0))</f>
        <v>0</v>
      </c>
      <c r="M845" s="124">
        <f t="shared" si="263"/>
        <v>0</v>
      </c>
      <c r="N845" s="122">
        <f t="shared" si="264"/>
        <v>0</v>
      </c>
      <c r="O845" s="121" t="str">
        <f t="shared" si="265"/>
        <v/>
      </c>
      <c r="P845">
        <f t="shared" si="266"/>
        <v>0</v>
      </c>
      <c r="Q845">
        <f t="shared" si="267"/>
        <v>0</v>
      </c>
      <c r="R845">
        <f t="shared" si="268"/>
        <v>0</v>
      </c>
      <c r="S845">
        <f t="shared" si="269"/>
        <v>0</v>
      </c>
      <c r="T845" s="89">
        <f t="shared" si="270"/>
        <v>0</v>
      </c>
      <c r="U845" s="126">
        <f>IF($D845="",0,IFERROR(LOOKUP(2,1/(($D$3:D844=$D845)*($C$3:C844=$C845)*($A$3:A844&lt;$A845)),$AB$3:AB844),1000))</f>
        <v>0</v>
      </c>
      <c r="V845" s="126">
        <f t="shared" si="271"/>
        <v>0</v>
      </c>
      <c r="W845">
        <f t="shared" si="272"/>
        <v>0</v>
      </c>
      <c r="X845">
        <f t="shared" si="273"/>
        <v>0</v>
      </c>
      <c r="Y845">
        <f t="shared" si="274"/>
        <v>0</v>
      </c>
      <c r="Z845">
        <f t="shared" si="275"/>
        <v>0</v>
      </c>
      <c r="AA845">
        <f>IF($D845="",0,IF($F845&lt;2,0,IF($E845="Win",('Guide &amp; Settings'!$C$42/(($F845-1)*COUNTIFS($A$4:$A$1510,$A845,$E$4:$E$1510,"Win")))*SUMIFS($Z$4:$Z$1510,$A$4:$A$1510,$A845,$E$4:$E$1510,"Loss"),-('Guide &amp; Settings'!$C$42/($F845-1))*$Z845)))</f>
        <v>0</v>
      </c>
      <c r="AB845" s="126">
        <f t="shared" si="276"/>
        <v>0</v>
      </c>
      <c r="AC845" t="str">
        <f>IF($D845="","",IF($AD845=0,0,IF(COUNTIFS($D$4:$D845,$D845,$B$4:$B845,$B845)&gt;1,0,IF($B845&lt;'Guide &amp; Settings'!$C$50,0,IF(($B845-$AD845)/7-'Guide &amp; Settings'!$C$48&gt;=0,(INT(($B845-$AD845)/7-'Guide &amp; Settings'!$C$48)+1)*'Guide &amp; Settings'!$C$49,0)))))</f>
        <v/>
      </c>
      <c r="AD845" s="142">
        <f t="shared" si="277"/>
        <v>0</v>
      </c>
      <c r="AE845">
        <f t="shared" si="278"/>
        <v>0</v>
      </c>
      <c r="AF845">
        <f t="shared" si="279"/>
        <v>0</v>
      </c>
    </row>
    <row r="846" spans="1:32" x14ac:dyDescent="0.2">
      <c r="A846" s="117"/>
      <c r="B846" s="118"/>
      <c r="C846" s="119"/>
      <c r="D846" s="119"/>
      <c r="E846" s="117"/>
      <c r="F846" s="120">
        <f t="shared" si="260"/>
        <v>0</v>
      </c>
      <c r="G846" s="121" t="str">
        <f t="shared" si="261"/>
        <v/>
      </c>
      <c r="H846" s="122">
        <f>IF($D846="",0,IFERROR(LOOKUP(2,1/(($D$3:D845=$D846)*($A$3:A845&lt;$A846)),$N$3:N845),'Guide &amp; Settings'!$C$41))</f>
        <v>0</v>
      </c>
      <c r="I846" s="123">
        <f t="shared" si="262"/>
        <v>0</v>
      </c>
      <c r="J846" s="124">
        <f>IF($D846="",0,IF($F846&lt;2,0,IF($E846="Win",('Guide &amp; Settings'!$C$42/(($F846-1)*COUNTIFS($A$4:$A$1510,$A846,$E$4:$E$1510,"Win")))*SUMIFS($X$4:$X$1510,$A$4:$A$1510,$A846,$E$4:$E$1510,"Loss"),-('Guide &amp; Settings'!$C$42/($F846-1))*$X846)))</f>
        <v>0</v>
      </c>
      <c r="K846" s="124">
        <f>IF($D846="",0,'Guide &amp; Settings'!$C$43*(IF($E846="Win",1,0)-$I846))</f>
        <v>0</v>
      </c>
      <c r="L846" s="125">
        <f>IF($D846="",0,'Guide &amp; Settings'!$C$44*IF($F846&gt;=3,$F846,0))</f>
        <v>0</v>
      </c>
      <c r="M846" s="124">
        <f t="shared" si="263"/>
        <v>0</v>
      </c>
      <c r="N846" s="122">
        <f t="shared" si="264"/>
        <v>0</v>
      </c>
      <c r="O846" s="121" t="str">
        <f t="shared" si="265"/>
        <v/>
      </c>
      <c r="P846">
        <f t="shared" si="266"/>
        <v>0</v>
      </c>
      <c r="Q846">
        <f t="shared" si="267"/>
        <v>0</v>
      </c>
      <c r="R846">
        <f t="shared" si="268"/>
        <v>0</v>
      </c>
      <c r="S846">
        <f t="shared" si="269"/>
        <v>0</v>
      </c>
      <c r="T846" s="89">
        <f t="shared" si="270"/>
        <v>0</v>
      </c>
      <c r="U846" s="126">
        <f>IF($D846="",0,IFERROR(LOOKUP(2,1/(($D$3:D845=$D846)*($C$3:C845=$C846)*($A$3:A845&lt;$A846)),$AB$3:AB845),1000))</f>
        <v>0</v>
      </c>
      <c r="V846" s="126">
        <f t="shared" si="271"/>
        <v>0</v>
      </c>
      <c r="W846">
        <f t="shared" si="272"/>
        <v>0</v>
      </c>
      <c r="X846">
        <f t="shared" si="273"/>
        <v>0</v>
      </c>
      <c r="Y846">
        <f t="shared" si="274"/>
        <v>0</v>
      </c>
      <c r="Z846">
        <f t="shared" si="275"/>
        <v>0</v>
      </c>
      <c r="AA846">
        <f>IF($D846="",0,IF($F846&lt;2,0,IF($E846="Win",('Guide &amp; Settings'!$C$42/(($F846-1)*COUNTIFS($A$4:$A$1510,$A846,$E$4:$E$1510,"Win")))*SUMIFS($Z$4:$Z$1510,$A$4:$A$1510,$A846,$E$4:$E$1510,"Loss"),-('Guide &amp; Settings'!$C$42/($F846-1))*$Z846)))</f>
        <v>0</v>
      </c>
      <c r="AB846" s="126">
        <f t="shared" si="276"/>
        <v>0</v>
      </c>
      <c r="AC846" t="str">
        <f>IF($D846="","",IF($AD846=0,0,IF(COUNTIFS($D$4:$D846,$D846,$B$4:$B846,$B846)&gt;1,0,IF($B846&lt;'Guide &amp; Settings'!$C$50,0,IF(($B846-$AD846)/7-'Guide &amp; Settings'!$C$48&gt;=0,(INT(($B846-$AD846)/7-'Guide &amp; Settings'!$C$48)+1)*'Guide &amp; Settings'!$C$49,0)))))</f>
        <v/>
      </c>
      <c r="AD846" s="142">
        <f t="shared" si="277"/>
        <v>0</v>
      </c>
      <c r="AE846">
        <f t="shared" si="278"/>
        <v>0</v>
      </c>
      <c r="AF846">
        <f t="shared" si="279"/>
        <v>0</v>
      </c>
    </row>
    <row r="847" spans="1:32" x14ac:dyDescent="0.2">
      <c r="A847" s="117"/>
      <c r="B847" s="118"/>
      <c r="C847" s="119"/>
      <c r="D847" s="119"/>
      <c r="E847" s="117"/>
      <c r="F847" s="120">
        <f t="shared" si="260"/>
        <v>0</v>
      </c>
      <c r="G847" s="121" t="str">
        <f t="shared" si="261"/>
        <v/>
      </c>
      <c r="H847" s="122">
        <f>IF($D847="",0,IFERROR(LOOKUP(2,1/(($D$3:D846=$D847)*($A$3:A846&lt;$A847)),$N$3:N846),'Guide &amp; Settings'!$C$41))</f>
        <v>0</v>
      </c>
      <c r="I847" s="123">
        <f t="shared" si="262"/>
        <v>0</v>
      </c>
      <c r="J847" s="124">
        <f>IF($D847="",0,IF($F847&lt;2,0,IF($E847="Win",('Guide &amp; Settings'!$C$42/(($F847-1)*COUNTIFS($A$4:$A$1510,$A847,$E$4:$E$1510,"Win")))*SUMIFS($X$4:$X$1510,$A$4:$A$1510,$A847,$E$4:$E$1510,"Loss"),-('Guide &amp; Settings'!$C$42/($F847-1))*$X847)))</f>
        <v>0</v>
      </c>
      <c r="K847" s="124">
        <f>IF($D847="",0,'Guide &amp; Settings'!$C$43*(IF($E847="Win",1,0)-$I847))</f>
        <v>0</v>
      </c>
      <c r="L847" s="125">
        <f>IF($D847="",0,'Guide &amp; Settings'!$C$44*IF($F847&gt;=3,$F847,0))</f>
        <v>0</v>
      </c>
      <c r="M847" s="124">
        <f t="shared" si="263"/>
        <v>0</v>
      </c>
      <c r="N847" s="122">
        <f t="shared" si="264"/>
        <v>0</v>
      </c>
      <c r="O847" s="121" t="str">
        <f t="shared" si="265"/>
        <v/>
      </c>
      <c r="P847">
        <f t="shared" si="266"/>
        <v>0</v>
      </c>
      <c r="Q847">
        <f t="shared" si="267"/>
        <v>0</v>
      </c>
      <c r="R847">
        <f t="shared" si="268"/>
        <v>0</v>
      </c>
      <c r="S847">
        <f t="shared" si="269"/>
        <v>0</v>
      </c>
      <c r="T847" s="89">
        <f t="shared" si="270"/>
        <v>0</v>
      </c>
      <c r="U847" s="126">
        <f>IF($D847="",0,IFERROR(LOOKUP(2,1/(($D$3:D846=$D847)*($C$3:C846=$C847)*($A$3:A846&lt;$A847)),$AB$3:AB846),1000))</f>
        <v>0</v>
      </c>
      <c r="V847" s="126">
        <f t="shared" si="271"/>
        <v>0</v>
      </c>
      <c r="W847">
        <f t="shared" si="272"/>
        <v>0</v>
      </c>
      <c r="X847">
        <f t="shared" si="273"/>
        <v>0</v>
      </c>
      <c r="Y847">
        <f t="shared" si="274"/>
        <v>0</v>
      </c>
      <c r="Z847">
        <f t="shared" si="275"/>
        <v>0</v>
      </c>
      <c r="AA847">
        <f>IF($D847="",0,IF($F847&lt;2,0,IF($E847="Win",('Guide &amp; Settings'!$C$42/(($F847-1)*COUNTIFS($A$4:$A$1510,$A847,$E$4:$E$1510,"Win")))*SUMIFS($Z$4:$Z$1510,$A$4:$A$1510,$A847,$E$4:$E$1510,"Loss"),-('Guide &amp; Settings'!$C$42/($F847-1))*$Z847)))</f>
        <v>0</v>
      </c>
      <c r="AB847" s="126">
        <f t="shared" si="276"/>
        <v>0</v>
      </c>
      <c r="AC847" t="str">
        <f>IF($D847="","",IF($AD847=0,0,IF(COUNTIFS($D$4:$D847,$D847,$B$4:$B847,$B847)&gt;1,0,IF($B847&lt;'Guide &amp; Settings'!$C$50,0,IF(($B847-$AD847)/7-'Guide &amp; Settings'!$C$48&gt;=0,(INT(($B847-$AD847)/7-'Guide &amp; Settings'!$C$48)+1)*'Guide &amp; Settings'!$C$49,0)))))</f>
        <v/>
      </c>
      <c r="AD847" s="142">
        <f t="shared" si="277"/>
        <v>0</v>
      </c>
      <c r="AE847">
        <f t="shared" si="278"/>
        <v>0</v>
      </c>
      <c r="AF847">
        <f t="shared" si="279"/>
        <v>0</v>
      </c>
    </row>
    <row r="848" spans="1:32" x14ac:dyDescent="0.2">
      <c r="A848" s="117"/>
      <c r="B848" s="118"/>
      <c r="C848" s="119"/>
      <c r="D848" s="119"/>
      <c r="E848" s="117"/>
      <c r="F848" s="120">
        <f t="shared" si="260"/>
        <v>0</v>
      </c>
      <c r="G848" s="121" t="str">
        <f t="shared" si="261"/>
        <v/>
      </c>
      <c r="H848" s="122">
        <f>IF($D848="",0,IFERROR(LOOKUP(2,1/(($D$3:D847=$D848)*($A$3:A847&lt;$A848)),$N$3:N847),'Guide &amp; Settings'!$C$41))</f>
        <v>0</v>
      </c>
      <c r="I848" s="123">
        <f t="shared" si="262"/>
        <v>0</v>
      </c>
      <c r="J848" s="124">
        <f>IF($D848="",0,IF($F848&lt;2,0,IF($E848="Win",('Guide &amp; Settings'!$C$42/(($F848-1)*COUNTIFS($A$4:$A$1510,$A848,$E$4:$E$1510,"Win")))*SUMIFS($X$4:$X$1510,$A$4:$A$1510,$A848,$E$4:$E$1510,"Loss"),-('Guide &amp; Settings'!$C$42/($F848-1))*$X848)))</f>
        <v>0</v>
      </c>
      <c r="K848" s="124">
        <f>IF($D848="",0,'Guide &amp; Settings'!$C$43*(IF($E848="Win",1,0)-$I848))</f>
        <v>0</v>
      </c>
      <c r="L848" s="125">
        <f>IF($D848="",0,'Guide &amp; Settings'!$C$44*IF($F848&gt;=3,$F848,0))</f>
        <v>0</v>
      </c>
      <c r="M848" s="124">
        <f t="shared" si="263"/>
        <v>0</v>
      </c>
      <c r="N848" s="122">
        <f t="shared" si="264"/>
        <v>0</v>
      </c>
      <c r="O848" s="121" t="str">
        <f t="shared" si="265"/>
        <v/>
      </c>
      <c r="P848">
        <f t="shared" si="266"/>
        <v>0</v>
      </c>
      <c r="Q848">
        <f t="shared" si="267"/>
        <v>0</v>
      </c>
      <c r="R848">
        <f t="shared" si="268"/>
        <v>0</v>
      </c>
      <c r="S848">
        <f t="shared" si="269"/>
        <v>0</v>
      </c>
      <c r="T848" s="89">
        <f t="shared" si="270"/>
        <v>0</v>
      </c>
      <c r="U848" s="126">
        <f>IF($D848="",0,IFERROR(LOOKUP(2,1/(($D$3:D847=$D848)*($C$3:C847=$C848)*($A$3:A847&lt;$A848)),$AB$3:AB847),1000))</f>
        <v>0</v>
      </c>
      <c r="V848" s="126">
        <f t="shared" si="271"/>
        <v>0</v>
      </c>
      <c r="W848">
        <f t="shared" si="272"/>
        <v>0</v>
      </c>
      <c r="X848">
        <f t="shared" si="273"/>
        <v>0</v>
      </c>
      <c r="Y848">
        <f t="shared" si="274"/>
        <v>0</v>
      </c>
      <c r="Z848">
        <f t="shared" si="275"/>
        <v>0</v>
      </c>
      <c r="AA848">
        <f>IF($D848="",0,IF($F848&lt;2,0,IF($E848="Win",('Guide &amp; Settings'!$C$42/(($F848-1)*COUNTIFS($A$4:$A$1510,$A848,$E$4:$E$1510,"Win")))*SUMIFS($Z$4:$Z$1510,$A$4:$A$1510,$A848,$E$4:$E$1510,"Loss"),-('Guide &amp; Settings'!$C$42/($F848-1))*$Z848)))</f>
        <v>0</v>
      </c>
      <c r="AB848" s="126">
        <f t="shared" si="276"/>
        <v>0</v>
      </c>
      <c r="AC848" t="str">
        <f>IF($D848="","",IF($AD848=0,0,IF(COUNTIFS($D$4:$D848,$D848,$B$4:$B848,$B848)&gt;1,0,IF($B848&lt;'Guide &amp; Settings'!$C$50,0,IF(($B848-$AD848)/7-'Guide &amp; Settings'!$C$48&gt;=0,(INT(($B848-$AD848)/7-'Guide &amp; Settings'!$C$48)+1)*'Guide &amp; Settings'!$C$49,0)))))</f>
        <v/>
      </c>
      <c r="AD848" s="142">
        <f t="shared" si="277"/>
        <v>0</v>
      </c>
      <c r="AE848">
        <f t="shared" si="278"/>
        <v>0</v>
      </c>
      <c r="AF848">
        <f t="shared" si="279"/>
        <v>0</v>
      </c>
    </row>
    <row r="849" spans="1:32" x14ac:dyDescent="0.2">
      <c r="A849" s="117"/>
      <c r="B849" s="118"/>
      <c r="C849" s="119"/>
      <c r="D849" s="119"/>
      <c r="E849" s="117"/>
      <c r="F849" s="120">
        <f t="shared" si="260"/>
        <v>0</v>
      </c>
      <c r="G849" s="121" t="str">
        <f t="shared" si="261"/>
        <v/>
      </c>
      <c r="H849" s="122">
        <f>IF($D849="",0,IFERROR(LOOKUP(2,1/(($D$3:D848=$D849)*($A$3:A848&lt;$A849)),$N$3:N848),'Guide &amp; Settings'!$C$41))</f>
        <v>0</v>
      </c>
      <c r="I849" s="123">
        <f t="shared" si="262"/>
        <v>0</v>
      </c>
      <c r="J849" s="124">
        <f>IF($D849="",0,IF($F849&lt;2,0,IF($E849="Win",('Guide &amp; Settings'!$C$42/(($F849-1)*COUNTIFS($A$4:$A$1510,$A849,$E$4:$E$1510,"Win")))*SUMIFS($X$4:$X$1510,$A$4:$A$1510,$A849,$E$4:$E$1510,"Loss"),-('Guide &amp; Settings'!$C$42/($F849-1))*$X849)))</f>
        <v>0</v>
      </c>
      <c r="K849" s="124">
        <f>IF($D849="",0,'Guide &amp; Settings'!$C$43*(IF($E849="Win",1,0)-$I849))</f>
        <v>0</v>
      </c>
      <c r="L849" s="125">
        <f>IF($D849="",0,'Guide &amp; Settings'!$C$44*IF($F849&gt;=3,$F849,0))</f>
        <v>0</v>
      </c>
      <c r="M849" s="124">
        <f t="shared" si="263"/>
        <v>0</v>
      </c>
      <c r="N849" s="122">
        <f t="shared" si="264"/>
        <v>0</v>
      </c>
      <c r="O849" s="121" t="str">
        <f t="shared" si="265"/>
        <v/>
      </c>
      <c r="P849">
        <f t="shared" si="266"/>
        <v>0</v>
      </c>
      <c r="Q849">
        <f t="shared" si="267"/>
        <v>0</v>
      </c>
      <c r="R849">
        <f t="shared" si="268"/>
        <v>0</v>
      </c>
      <c r="S849">
        <f t="shared" si="269"/>
        <v>0</v>
      </c>
      <c r="T849" s="89">
        <f t="shared" si="270"/>
        <v>0</v>
      </c>
      <c r="U849" s="126">
        <f>IF($D849="",0,IFERROR(LOOKUP(2,1/(($D$3:D848=$D849)*($C$3:C848=$C849)*($A$3:A848&lt;$A849)),$AB$3:AB848),1000))</f>
        <v>0</v>
      </c>
      <c r="V849" s="126">
        <f t="shared" si="271"/>
        <v>0</v>
      </c>
      <c r="W849">
        <f t="shared" si="272"/>
        <v>0</v>
      </c>
      <c r="X849">
        <f t="shared" si="273"/>
        <v>0</v>
      </c>
      <c r="Y849">
        <f t="shared" si="274"/>
        <v>0</v>
      </c>
      <c r="Z849">
        <f t="shared" si="275"/>
        <v>0</v>
      </c>
      <c r="AA849">
        <f>IF($D849="",0,IF($F849&lt;2,0,IF($E849="Win",('Guide &amp; Settings'!$C$42/(($F849-1)*COUNTIFS($A$4:$A$1510,$A849,$E$4:$E$1510,"Win")))*SUMIFS($Z$4:$Z$1510,$A$4:$A$1510,$A849,$E$4:$E$1510,"Loss"),-('Guide &amp; Settings'!$C$42/($F849-1))*$Z849)))</f>
        <v>0</v>
      </c>
      <c r="AB849" s="126">
        <f t="shared" si="276"/>
        <v>0</v>
      </c>
      <c r="AC849" t="str">
        <f>IF($D849="","",IF($AD849=0,0,IF(COUNTIFS($D$4:$D849,$D849,$B$4:$B849,$B849)&gt;1,0,IF($B849&lt;'Guide &amp; Settings'!$C$50,0,IF(($B849-$AD849)/7-'Guide &amp; Settings'!$C$48&gt;=0,(INT(($B849-$AD849)/7-'Guide &amp; Settings'!$C$48)+1)*'Guide &amp; Settings'!$C$49,0)))))</f>
        <v/>
      </c>
      <c r="AD849" s="142">
        <f t="shared" si="277"/>
        <v>0</v>
      </c>
      <c r="AE849">
        <f t="shared" si="278"/>
        <v>0</v>
      </c>
      <c r="AF849">
        <f t="shared" si="279"/>
        <v>0</v>
      </c>
    </row>
    <row r="850" spans="1:32" x14ac:dyDescent="0.2">
      <c r="A850" s="117"/>
      <c r="B850" s="118"/>
      <c r="C850" s="119"/>
      <c r="D850" s="119"/>
      <c r="E850" s="117"/>
      <c r="F850" s="120">
        <f t="shared" si="260"/>
        <v>0</v>
      </c>
      <c r="G850" s="121" t="str">
        <f t="shared" si="261"/>
        <v/>
      </c>
      <c r="H850" s="122">
        <f>IF($D850="",0,IFERROR(LOOKUP(2,1/(($D$3:D849=$D850)*($A$3:A849&lt;$A850)),$N$3:N849),'Guide &amp; Settings'!$C$41))</f>
        <v>0</v>
      </c>
      <c r="I850" s="123">
        <f t="shared" si="262"/>
        <v>0</v>
      </c>
      <c r="J850" s="124">
        <f>IF($D850="",0,IF($F850&lt;2,0,IF($E850="Win",('Guide &amp; Settings'!$C$42/(($F850-1)*COUNTIFS($A$4:$A$1510,$A850,$E$4:$E$1510,"Win")))*SUMIFS($X$4:$X$1510,$A$4:$A$1510,$A850,$E$4:$E$1510,"Loss"),-('Guide &amp; Settings'!$C$42/($F850-1))*$X850)))</f>
        <v>0</v>
      </c>
      <c r="K850" s="124">
        <f>IF($D850="",0,'Guide &amp; Settings'!$C$43*(IF($E850="Win",1,0)-$I850))</f>
        <v>0</v>
      </c>
      <c r="L850" s="125">
        <f>IF($D850="",0,'Guide &amp; Settings'!$C$44*IF($F850&gt;=3,$F850,0))</f>
        <v>0</v>
      </c>
      <c r="M850" s="124">
        <f t="shared" si="263"/>
        <v>0</v>
      </c>
      <c r="N850" s="122">
        <f t="shared" si="264"/>
        <v>0</v>
      </c>
      <c r="O850" s="121" t="str">
        <f t="shared" si="265"/>
        <v/>
      </c>
      <c r="P850">
        <f t="shared" si="266"/>
        <v>0</v>
      </c>
      <c r="Q850">
        <f t="shared" si="267"/>
        <v>0</v>
      </c>
      <c r="R850">
        <f t="shared" si="268"/>
        <v>0</v>
      </c>
      <c r="S850">
        <f t="shared" si="269"/>
        <v>0</v>
      </c>
      <c r="T850" s="89">
        <f t="shared" si="270"/>
        <v>0</v>
      </c>
      <c r="U850" s="126">
        <f>IF($D850="",0,IFERROR(LOOKUP(2,1/(($D$3:D849=$D850)*($C$3:C849=$C850)*($A$3:A849&lt;$A850)),$AB$3:AB849),1000))</f>
        <v>0</v>
      </c>
      <c r="V850" s="126">
        <f t="shared" si="271"/>
        <v>0</v>
      </c>
      <c r="W850">
        <f t="shared" si="272"/>
        <v>0</v>
      </c>
      <c r="X850">
        <f t="shared" si="273"/>
        <v>0</v>
      </c>
      <c r="Y850">
        <f t="shared" si="274"/>
        <v>0</v>
      </c>
      <c r="Z850">
        <f t="shared" si="275"/>
        <v>0</v>
      </c>
      <c r="AA850">
        <f>IF($D850="",0,IF($F850&lt;2,0,IF($E850="Win",('Guide &amp; Settings'!$C$42/(($F850-1)*COUNTIFS($A$4:$A$1510,$A850,$E$4:$E$1510,"Win")))*SUMIFS($Z$4:$Z$1510,$A$4:$A$1510,$A850,$E$4:$E$1510,"Loss"),-('Guide &amp; Settings'!$C$42/($F850-1))*$Z850)))</f>
        <v>0</v>
      </c>
      <c r="AB850" s="126">
        <f t="shared" si="276"/>
        <v>0</v>
      </c>
      <c r="AC850" t="str">
        <f>IF($D850="","",IF($AD850=0,0,IF(COUNTIFS($D$4:$D850,$D850,$B$4:$B850,$B850)&gt;1,0,IF($B850&lt;'Guide &amp; Settings'!$C$50,0,IF(($B850-$AD850)/7-'Guide &amp; Settings'!$C$48&gt;=0,(INT(($B850-$AD850)/7-'Guide &amp; Settings'!$C$48)+1)*'Guide &amp; Settings'!$C$49,0)))))</f>
        <v/>
      </c>
      <c r="AD850" s="142">
        <f t="shared" si="277"/>
        <v>0</v>
      </c>
      <c r="AE850">
        <f t="shared" si="278"/>
        <v>0</v>
      </c>
      <c r="AF850">
        <f t="shared" si="279"/>
        <v>0</v>
      </c>
    </row>
    <row r="851" spans="1:32" x14ac:dyDescent="0.2">
      <c r="A851" s="117"/>
      <c r="B851" s="118"/>
      <c r="C851" s="119"/>
      <c r="D851" s="119"/>
      <c r="E851" s="117"/>
      <c r="F851" s="120">
        <f t="shared" si="260"/>
        <v>0</v>
      </c>
      <c r="G851" s="121" t="str">
        <f t="shared" si="261"/>
        <v/>
      </c>
      <c r="H851" s="122">
        <f>IF($D851="",0,IFERROR(LOOKUP(2,1/(($D$3:D850=$D851)*($A$3:A850&lt;$A851)),$N$3:N850),'Guide &amp; Settings'!$C$41))</f>
        <v>0</v>
      </c>
      <c r="I851" s="123">
        <f t="shared" si="262"/>
        <v>0</v>
      </c>
      <c r="J851" s="124">
        <f>IF($D851="",0,IF($F851&lt;2,0,IF($E851="Win",('Guide &amp; Settings'!$C$42/(($F851-1)*COUNTIFS($A$4:$A$1510,$A851,$E$4:$E$1510,"Win")))*SUMIFS($X$4:$X$1510,$A$4:$A$1510,$A851,$E$4:$E$1510,"Loss"),-('Guide &amp; Settings'!$C$42/($F851-1))*$X851)))</f>
        <v>0</v>
      </c>
      <c r="K851" s="124">
        <f>IF($D851="",0,'Guide &amp; Settings'!$C$43*(IF($E851="Win",1,0)-$I851))</f>
        <v>0</v>
      </c>
      <c r="L851" s="125">
        <f>IF($D851="",0,'Guide &amp; Settings'!$C$44*IF($F851&gt;=3,$F851,0))</f>
        <v>0</v>
      </c>
      <c r="M851" s="124">
        <f t="shared" si="263"/>
        <v>0</v>
      </c>
      <c r="N851" s="122">
        <f t="shared" si="264"/>
        <v>0</v>
      </c>
      <c r="O851" s="121" t="str">
        <f t="shared" si="265"/>
        <v/>
      </c>
      <c r="P851">
        <f t="shared" si="266"/>
        <v>0</v>
      </c>
      <c r="Q851">
        <f t="shared" si="267"/>
        <v>0</v>
      </c>
      <c r="R851">
        <f t="shared" si="268"/>
        <v>0</v>
      </c>
      <c r="S851">
        <f t="shared" si="269"/>
        <v>0</v>
      </c>
      <c r="T851" s="89">
        <f t="shared" si="270"/>
        <v>0</v>
      </c>
      <c r="U851" s="126">
        <f>IF($D851="",0,IFERROR(LOOKUP(2,1/(($D$3:D850=$D851)*($C$3:C850=$C851)*($A$3:A850&lt;$A851)),$AB$3:AB850),1000))</f>
        <v>0</v>
      </c>
      <c r="V851" s="126">
        <f t="shared" si="271"/>
        <v>0</v>
      </c>
      <c r="W851">
        <f t="shared" si="272"/>
        <v>0</v>
      </c>
      <c r="X851">
        <f t="shared" si="273"/>
        <v>0</v>
      </c>
      <c r="Y851">
        <f t="shared" si="274"/>
        <v>0</v>
      </c>
      <c r="Z851">
        <f t="shared" si="275"/>
        <v>0</v>
      </c>
      <c r="AA851">
        <f>IF($D851="",0,IF($F851&lt;2,0,IF($E851="Win",('Guide &amp; Settings'!$C$42/(($F851-1)*COUNTIFS($A$4:$A$1510,$A851,$E$4:$E$1510,"Win")))*SUMIFS($Z$4:$Z$1510,$A$4:$A$1510,$A851,$E$4:$E$1510,"Loss"),-('Guide &amp; Settings'!$C$42/($F851-1))*$Z851)))</f>
        <v>0</v>
      </c>
      <c r="AB851" s="126">
        <f t="shared" si="276"/>
        <v>0</v>
      </c>
      <c r="AC851" t="str">
        <f>IF($D851="","",IF($AD851=0,0,IF(COUNTIFS($D$4:$D851,$D851,$B$4:$B851,$B851)&gt;1,0,IF($B851&lt;'Guide &amp; Settings'!$C$50,0,IF(($B851-$AD851)/7-'Guide &amp; Settings'!$C$48&gt;=0,(INT(($B851-$AD851)/7-'Guide &amp; Settings'!$C$48)+1)*'Guide &amp; Settings'!$C$49,0)))))</f>
        <v/>
      </c>
      <c r="AD851" s="142">
        <f t="shared" si="277"/>
        <v>0</v>
      </c>
      <c r="AE851">
        <f t="shared" si="278"/>
        <v>0</v>
      </c>
      <c r="AF851">
        <f t="shared" si="279"/>
        <v>0</v>
      </c>
    </row>
    <row r="852" spans="1:32" x14ac:dyDescent="0.2">
      <c r="A852" s="117"/>
      <c r="B852" s="118"/>
      <c r="C852" s="119"/>
      <c r="D852" s="119"/>
      <c r="E852" s="117"/>
      <c r="F852" s="120">
        <f t="shared" si="260"/>
        <v>0</v>
      </c>
      <c r="G852" s="121" t="str">
        <f t="shared" si="261"/>
        <v/>
      </c>
      <c r="H852" s="122">
        <f>IF($D852="",0,IFERROR(LOOKUP(2,1/(($D$3:D851=$D852)*($A$3:A851&lt;$A852)),$N$3:N851),'Guide &amp; Settings'!$C$41))</f>
        <v>0</v>
      </c>
      <c r="I852" s="123">
        <f t="shared" si="262"/>
        <v>0</v>
      </c>
      <c r="J852" s="124">
        <f>IF($D852="",0,IF($F852&lt;2,0,IF($E852="Win",('Guide &amp; Settings'!$C$42/(($F852-1)*COUNTIFS($A$4:$A$1510,$A852,$E$4:$E$1510,"Win")))*SUMIFS($X$4:$X$1510,$A$4:$A$1510,$A852,$E$4:$E$1510,"Loss"),-('Guide &amp; Settings'!$C$42/($F852-1))*$X852)))</f>
        <v>0</v>
      </c>
      <c r="K852" s="124">
        <f>IF($D852="",0,'Guide &amp; Settings'!$C$43*(IF($E852="Win",1,0)-$I852))</f>
        <v>0</v>
      </c>
      <c r="L852" s="125">
        <f>IF($D852="",0,'Guide &amp; Settings'!$C$44*IF($F852&gt;=3,$F852,0))</f>
        <v>0</v>
      </c>
      <c r="M852" s="124">
        <f t="shared" si="263"/>
        <v>0</v>
      </c>
      <c r="N852" s="122">
        <f t="shared" si="264"/>
        <v>0</v>
      </c>
      <c r="O852" s="121" t="str">
        <f t="shared" si="265"/>
        <v/>
      </c>
      <c r="P852">
        <f t="shared" si="266"/>
        <v>0</v>
      </c>
      <c r="Q852">
        <f t="shared" si="267"/>
        <v>0</v>
      </c>
      <c r="R852">
        <f t="shared" si="268"/>
        <v>0</v>
      </c>
      <c r="S852">
        <f t="shared" si="269"/>
        <v>0</v>
      </c>
      <c r="T852" s="89">
        <f t="shared" si="270"/>
        <v>0</v>
      </c>
      <c r="U852" s="126">
        <f>IF($D852="",0,IFERROR(LOOKUP(2,1/(($D$3:D851=$D852)*($C$3:C851=$C852)*($A$3:A851&lt;$A852)),$AB$3:AB851),1000))</f>
        <v>0</v>
      </c>
      <c r="V852" s="126">
        <f t="shared" si="271"/>
        <v>0</v>
      </c>
      <c r="W852">
        <f t="shared" si="272"/>
        <v>0</v>
      </c>
      <c r="X852">
        <f t="shared" si="273"/>
        <v>0</v>
      </c>
      <c r="Y852">
        <f t="shared" si="274"/>
        <v>0</v>
      </c>
      <c r="Z852">
        <f t="shared" si="275"/>
        <v>0</v>
      </c>
      <c r="AA852">
        <f>IF($D852="",0,IF($F852&lt;2,0,IF($E852="Win",('Guide &amp; Settings'!$C$42/(($F852-1)*COUNTIFS($A$4:$A$1510,$A852,$E$4:$E$1510,"Win")))*SUMIFS($Z$4:$Z$1510,$A$4:$A$1510,$A852,$E$4:$E$1510,"Loss"),-('Guide &amp; Settings'!$C$42/($F852-1))*$Z852)))</f>
        <v>0</v>
      </c>
      <c r="AB852" s="126">
        <f t="shared" si="276"/>
        <v>0</v>
      </c>
      <c r="AC852" t="str">
        <f>IF($D852="","",IF($AD852=0,0,IF(COUNTIFS($D$4:$D852,$D852,$B$4:$B852,$B852)&gt;1,0,IF($B852&lt;'Guide &amp; Settings'!$C$50,0,IF(($B852-$AD852)/7-'Guide &amp; Settings'!$C$48&gt;=0,(INT(($B852-$AD852)/7-'Guide &amp; Settings'!$C$48)+1)*'Guide &amp; Settings'!$C$49,0)))))</f>
        <v/>
      </c>
      <c r="AD852" s="142">
        <f t="shared" si="277"/>
        <v>0</v>
      </c>
      <c r="AE852">
        <f t="shared" si="278"/>
        <v>0</v>
      </c>
      <c r="AF852">
        <f t="shared" si="279"/>
        <v>0</v>
      </c>
    </row>
    <row r="853" spans="1:32" x14ac:dyDescent="0.2">
      <c r="A853" s="117"/>
      <c r="B853" s="118"/>
      <c r="C853" s="119"/>
      <c r="D853" s="119"/>
      <c r="E853" s="117"/>
      <c r="F853" s="120">
        <f t="shared" si="260"/>
        <v>0</v>
      </c>
      <c r="G853" s="121" t="str">
        <f t="shared" si="261"/>
        <v/>
      </c>
      <c r="H853" s="122">
        <f>IF($D853="",0,IFERROR(LOOKUP(2,1/(($D$3:D852=$D853)*($A$3:A852&lt;$A853)),$N$3:N852),'Guide &amp; Settings'!$C$41))</f>
        <v>0</v>
      </c>
      <c r="I853" s="123">
        <f t="shared" si="262"/>
        <v>0</v>
      </c>
      <c r="J853" s="124">
        <f>IF($D853="",0,IF($F853&lt;2,0,IF($E853="Win",('Guide &amp; Settings'!$C$42/(($F853-1)*COUNTIFS($A$4:$A$1510,$A853,$E$4:$E$1510,"Win")))*SUMIFS($X$4:$X$1510,$A$4:$A$1510,$A853,$E$4:$E$1510,"Loss"),-('Guide &amp; Settings'!$C$42/($F853-1))*$X853)))</f>
        <v>0</v>
      </c>
      <c r="K853" s="124">
        <f>IF($D853="",0,'Guide &amp; Settings'!$C$43*(IF($E853="Win",1,0)-$I853))</f>
        <v>0</v>
      </c>
      <c r="L853" s="125">
        <f>IF($D853="",0,'Guide &amp; Settings'!$C$44*IF($F853&gt;=3,$F853,0))</f>
        <v>0</v>
      </c>
      <c r="M853" s="124">
        <f t="shared" si="263"/>
        <v>0</v>
      </c>
      <c r="N853" s="122">
        <f t="shared" si="264"/>
        <v>0</v>
      </c>
      <c r="O853" s="121" t="str">
        <f t="shared" si="265"/>
        <v/>
      </c>
      <c r="P853">
        <f t="shared" si="266"/>
        <v>0</v>
      </c>
      <c r="Q853">
        <f t="shared" si="267"/>
        <v>0</v>
      </c>
      <c r="R853">
        <f t="shared" si="268"/>
        <v>0</v>
      </c>
      <c r="S853">
        <f t="shared" si="269"/>
        <v>0</v>
      </c>
      <c r="T853" s="89">
        <f t="shared" si="270"/>
        <v>0</v>
      </c>
      <c r="U853" s="126">
        <f>IF($D853="",0,IFERROR(LOOKUP(2,1/(($D$3:D852=$D853)*($C$3:C852=$C853)*($A$3:A852&lt;$A853)),$AB$3:AB852),1000))</f>
        <v>0</v>
      </c>
      <c r="V853" s="126">
        <f t="shared" si="271"/>
        <v>0</v>
      </c>
      <c r="W853">
        <f t="shared" si="272"/>
        <v>0</v>
      </c>
      <c r="X853">
        <f t="shared" si="273"/>
        <v>0</v>
      </c>
      <c r="Y853">
        <f t="shared" si="274"/>
        <v>0</v>
      </c>
      <c r="Z853">
        <f t="shared" si="275"/>
        <v>0</v>
      </c>
      <c r="AA853">
        <f>IF($D853="",0,IF($F853&lt;2,0,IF($E853="Win",('Guide &amp; Settings'!$C$42/(($F853-1)*COUNTIFS($A$4:$A$1510,$A853,$E$4:$E$1510,"Win")))*SUMIFS($Z$4:$Z$1510,$A$4:$A$1510,$A853,$E$4:$E$1510,"Loss"),-('Guide &amp; Settings'!$C$42/($F853-1))*$Z853)))</f>
        <v>0</v>
      </c>
      <c r="AB853" s="126">
        <f t="shared" si="276"/>
        <v>0</v>
      </c>
      <c r="AC853" t="str">
        <f>IF($D853="","",IF($AD853=0,0,IF(COUNTIFS($D$4:$D853,$D853,$B$4:$B853,$B853)&gt;1,0,IF($B853&lt;'Guide &amp; Settings'!$C$50,0,IF(($B853-$AD853)/7-'Guide &amp; Settings'!$C$48&gt;=0,(INT(($B853-$AD853)/7-'Guide &amp; Settings'!$C$48)+1)*'Guide &amp; Settings'!$C$49,0)))))</f>
        <v/>
      </c>
      <c r="AD853" s="142">
        <f t="shared" si="277"/>
        <v>0</v>
      </c>
      <c r="AE853">
        <f t="shared" si="278"/>
        <v>0</v>
      </c>
      <c r="AF853">
        <f t="shared" si="279"/>
        <v>0</v>
      </c>
    </row>
    <row r="854" spans="1:32" x14ac:dyDescent="0.2">
      <c r="A854" s="117"/>
      <c r="B854" s="118"/>
      <c r="C854" s="119"/>
      <c r="D854" s="119"/>
      <c r="E854" s="117"/>
      <c r="F854" s="120">
        <f t="shared" si="260"/>
        <v>0</v>
      </c>
      <c r="G854" s="121" t="str">
        <f t="shared" si="261"/>
        <v/>
      </c>
      <c r="H854" s="122">
        <f>IF($D854="",0,IFERROR(LOOKUP(2,1/(($D$3:D853=$D854)*($A$3:A853&lt;$A854)),$N$3:N853),'Guide &amp; Settings'!$C$41))</f>
        <v>0</v>
      </c>
      <c r="I854" s="123">
        <f t="shared" si="262"/>
        <v>0</v>
      </c>
      <c r="J854" s="124">
        <f>IF($D854="",0,IF($F854&lt;2,0,IF($E854="Win",('Guide &amp; Settings'!$C$42/(($F854-1)*COUNTIFS($A$4:$A$1510,$A854,$E$4:$E$1510,"Win")))*SUMIFS($X$4:$X$1510,$A$4:$A$1510,$A854,$E$4:$E$1510,"Loss"),-('Guide &amp; Settings'!$C$42/($F854-1))*$X854)))</f>
        <v>0</v>
      </c>
      <c r="K854" s="124">
        <f>IF($D854="",0,'Guide &amp; Settings'!$C$43*(IF($E854="Win",1,0)-$I854))</f>
        <v>0</v>
      </c>
      <c r="L854" s="125">
        <f>IF($D854="",0,'Guide &amp; Settings'!$C$44*IF($F854&gt;=3,$F854,0))</f>
        <v>0</v>
      </c>
      <c r="M854" s="124">
        <f t="shared" si="263"/>
        <v>0</v>
      </c>
      <c r="N854" s="122">
        <f t="shared" si="264"/>
        <v>0</v>
      </c>
      <c r="O854" s="121" t="str">
        <f t="shared" si="265"/>
        <v/>
      </c>
      <c r="P854">
        <f t="shared" si="266"/>
        <v>0</v>
      </c>
      <c r="Q854">
        <f t="shared" si="267"/>
        <v>0</v>
      </c>
      <c r="R854">
        <f t="shared" si="268"/>
        <v>0</v>
      </c>
      <c r="S854">
        <f t="shared" si="269"/>
        <v>0</v>
      </c>
      <c r="T854" s="89">
        <f t="shared" si="270"/>
        <v>0</v>
      </c>
      <c r="U854" s="126">
        <f>IF($D854="",0,IFERROR(LOOKUP(2,1/(($D$3:D853=$D854)*($C$3:C853=$C854)*($A$3:A853&lt;$A854)),$AB$3:AB853),1000))</f>
        <v>0</v>
      </c>
      <c r="V854" s="126">
        <f t="shared" si="271"/>
        <v>0</v>
      </c>
      <c r="W854">
        <f t="shared" si="272"/>
        <v>0</v>
      </c>
      <c r="X854">
        <f t="shared" si="273"/>
        <v>0</v>
      </c>
      <c r="Y854">
        <f t="shared" si="274"/>
        <v>0</v>
      </c>
      <c r="Z854">
        <f t="shared" si="275"/>
        <v>0</v>
      </c>
      <c r="AA854">
        <f>IF($D854="",0,IF($F854&lt;2,0,IF($E854="Win",('Guide &amp; Settings'!$C$42/(($F854-1)*COUNTIFS($A$4:$A$1510,$A854,$E$4:$E$1510,"Win")))*SUMIFS($Z$4:$Z$1510,$A$4:$A$1510,$A854,$E$4:$E$1510,"Loss"),-('Guide &amp; Settings'!$C$42/($F854-1))*$Z854)))</f>
        <v>0</v>
      </c>
      <c r="AB854" s="126">
        <f t="shared" si="276"/>
        <v>0</v>
      </c>
      <c r="AC854" t="str">
        <f>IF($D854="","",IF($AD854=0,0,IF(COUNTIFS($D$4:$D854,$D854,$B$4:$B854,$B854)&gt;1,0,IF($B854&lt;'Guide &amp; Settings'!$C$50,0,IF(($B854-$AD854)/7-'Guide &amp; Settings'!$C$48&gt;=0,(INT(($B854-$AD854)/7-'Guide &amp; Settings'!$C$48)+1)*'Guide &amp; Settings'!$C$49,0)))))</f>
        <v/>
      </c>
      <c r="AD854" s="142">
        <f t="shared" si="277"/>
        <v>0</v>
      </c>
      <c r="AE854">
        <f t="shared" si="278"/>
        <v>0</v>
      </c>
      <c r="AF854">
        <f t="shared" si="279"/>
        <v>0</v>
      </c>
    </row>
    <row r="855" spans="1:32" x14ac:dyDescent="0.2">
      <c r="A855" s="117"/>
      <c r="B855" s="118"/>
      <c r="C855" s="119"/>
      <c r="D855" s="119"/>
      <c r="E855" s="117"/>
      <c r="F855" s="120">
        <f t="shared" si="260"/>
        <v>0</v>
      </c>
      <c r="G855" s="121" t="str">
        <f t="shared" si="261"/>
        <v/>
      </c>
      <c r="H855" s="122">
        <f>IF($D855="",0,IFERROR(LOOKUP(2,1/(($D$3:D854=$D855)*($A$3:A854&lt;$A855)),$N$3:N854),'Guide &amp; Settings'!$C$41))</f>
        <v>0</v>
      </c>
      <c r="I855" s="123">
        <f t="shared" si="262"/>
        <v>0</v>
      </c>
      <c r="J855" s="124">
        <f>IF($D855="",0,IF($F855&lt;2,0,IF($E855="Win",('Guide &amp; Settings'!$C$42/(($F855-1)*COUNTIFS($A$4:$A$1510,$A855,$E$4:$E$1510,"Win")))*SUMIFS($X$4:$X$1510,$A$4:$A$1510,$A855,$E$4:$E$1510,"Loss"),-('Guide &amp; Settings'!$C$42/($F855-1))*$X855)))</f>
        <v>0</v>
      </c>
      <c r="K855" s="124">
        <f>IF($D855="",0,'Guide &amp; Settings'!$C$43*(IF($E855="Win",1,0)-$I855))</f>
        <v>0</v>
      </c>
      <c r="L855" s="125">
        <f>IF($D855="",0,'Guide &amp; Settings'!$C$44*IF($F855&gt;=3,$F855,0))</f>
        <v>0</v>
      </c>
      <c r="M855" s="124">
        <f t="shared" si="263"/>
        <v>0</v>
      </c>
      <c r="N855" s="122">
        <f t="shared" si="264"/>
        <v>0</v>
      </c>
      <c r="O855" s="121" t="str">
        <f t="shared" si="265"/>
        <v/>
      </c>
      <c r="P855">
        <f t="shared" si="266"/>
        <v>0</v>
      </c>
      <c r="Q855">
        <f t="shared" si="267"/>
        <v>0</v>
      </c>
      <c r="R855">
        <f t="shared" si="268"/>
        <v>0</v>
      </c>
      <c r="S855">
        <f t="shared" si="269"/>
        <v>0</v>
      </c>
      <c r="T855" s="89">
        <f t="shared" si="270"/>
        <v>0</v>
      </c>
      <c r="U855" s="126">
        <f>IF($D855="",0,IFERROR(LOOKUP(2,1/(($D$3:D854=$D855)*($C$3:C854=$C855)*($A$3:A854&lt;$A855)),$AB$3:AB854),1000))</f>
        <v>0</v>
      </c>
      <c r="V855" s="126">
        <f t="shared" si="271"/>
        <v>0</v>
      </c>
      <c r="W855">
        <f t="shared" si="272"/>
        <v>0</v>
      </c>
      <c r="X855">
        <f t="shared" si="273"/>
        <v>0</v>
      </c>
      <c r="Y855">
        <f t="shared" si="274"/>
        <v>0</v>
      </c>
      <c r="Z855">
        <f t="shared" si="275"/>
        <v>0</v>
      </c>
      <c r="AA855">
        <f>IF($D855="",0,IF($F855&lt;2,0,IF($E855="Win",('Guide &amp; Settings'!$C$42/(($F855-1)*COUNTIFS($A$4:$A$1510,$A855,$E$4:$E$1510,"Win")))*SUMIFS($Z$4:$Z$1510,$A$4:$A$1510,$A855,$E$4:$E$1510,"Loss"),-('Guide &amp; Settings'!$C$42/($F855-1))*$Z855)))</f>
        <v>0</v>
      </c>
      <c r="AB855" s="126">
        <f t="shared" si="276"/>
        <v>0</v>
      </c>
      <c r="AC855" t="str">
        <f>IF($D855="","",IF($AD855=0,0,IF(COUNTIFS($D$4:$D855,$D855,$B$4:$B855,$B855)&gt;1,0,IF($B855&lt;'Guide &amp; Settings'!$C$50,0,IF(($B855-$AD855)/7-'Guide &amp; Settings'!$C$48&gt;=0,(INT(($B855-$AD855)/7-'Guide &amp; Settings'!$C$48)+1)*'Guide &amp; Settings'!$C$49,0)))))</f>
        <v/>
      </c>
      <c r="AD855" s="142">
        <f t="shared" si="277"/>
        <v>0</v>
      </c>
      <c r="AE855">
        <f t="shared" si="278"/>
        <v>0</v>
      </c>
      <c r="AF855">
        <f t="shared" si="279"/>
        <v>0</v>
      </c>
    </row>
    <row r="856" spans="1:32" x14ac:dyDescent="0.2">
      <c r="A856" s="117"/>
      <c r="B856" s="118"/>
      <c r="C856" s="119"/>
      <c r="D856" s="119"/>
      <c r="E856" s="117"/>
      <c r="F856" s="120">
        <f t="shared" si="260"/>
        <v>0</v>
      </c>
      <c r="G856" s="121" t="str">
        <f t="shared" si="261"/>
        <v/>
      </c>
      <c r="H856" s="122">
        <f>IF($D856="",0,IFERROR(LOOKUP(2,1/(($D$3:D855=$D856)*($A$3:A855&lt;$A856)),$N$3:N855),'Guide &amp; Settings'!$C$41))</f>
        <v>0</v>
      </c>
      <c r="I856" s="123">
        <f t="shared" si="262"/>
        <v>0</v>
      </c>
      <c r="J856" s="124">
        <f>IF($D856="",0,IF($F856&lt;2,0,IF($E856="Win",('Guide &amp; Settings'!$C$42/(($F856-1)*COUNTIFS($A$4:$A$1510,$A856,$E$4:$E$1510,"Win")))*SUMIFS($X$4:$X$1510,$A$4:$A$1510,$A856,$E$4:$E$1510,"Loss"),-('Guide &amp; Settings'!$C$42/($F856-1))*$X856)))</f>
        <v>0</v>
      </c>
      <c r="K856" s="124">
        <f>IF($D856="",0,'Guide &amp; Settings'!$C$43*(IF($E856="Win",1,0)-$I856))</f>
        <v>0</v>
      </c>
      <c r="L856" s="125">
        <f>IF($D856="",0,'Guide &amp; Settings'!$C$44*IF($F856&gt;=3,$F856,0))</f>
        <v>0</v>
      </c>
      <c r="M856" s="124">
        <f t="shared" si="263"/>
        <v>0</v>
      </c>
      <c r="N856" s="122">
        <f t="shared" si="264"/>
        <v>0</v>
      </c>
      <c r="O856" s="121" t="str">
        <f t="shared" si="265"/>
        <v/>
      </c>
      <c r="P856">
        <f t="shared" si="266"/>
        <v>0</v>
      </c>
      <c r="Q856">
        <f t="shared" si="267"/>
        <v>0</v>
      </c>
      <c r="R856">
        <f t="shared" si="268"/>
        <v>0</v>
      </c>
      <c r="S856">
        <f t="shared" si="269"/>
        <v>0</v>
      </c>
      <c r="T856" s="89">
        <f t="shared" si="270"/>
        <v>0</v>
      </c>
      <c r="U856" s="126">
        <f>IF($D856="",0,IFERROR(LOOKUP(2,1/(($D$3:D855=$D856)*($C$3:C855=$C856)*($A$3:A855&lt;$A856)),$AB$3:AB855),1000))</f>
        <v>0</v>
      </c>
      <c r="V856" s="126">
        <f t="shared" si="271"/>
        <v>0</v>
      </c>
      <c r="W856">
        <f t="shared" si="272"/>
        <v>0</v>
      </c>
      <c r="X856">
        <f t="shared" si="273"/>
        <v>0</v>
      </c>
      <c r="Y856">
        <f t="shared" si="274"/>
        <v>0</v>
      </c>
      <c r="Z856">
        <f t="shared" si="275"/>
        <v>0</v>
      </c>
      <c r="AA856">
        <f>IF($D856="",0,IF($F856&lt;2,0,IF($E856="Win",('Guide &amp; Settings'!$C$42/(($F856-1)*COUNTIFS($A$4:$A$1510,$A856,$E$4:$E$1510,"Win")))*SUMIFS($Z$4:$Z$1510,$A$4:$A$1510,$A856,$E$4:$E$1510,"Loss"),-('Guide &amp; Settings'!$C$42/($F856-1))*$Z856)))</f>
        <v>0</v>
      </c>
      <c r="AB856" s="126">
        <f t="shared" si="276"/>
        <v>0</v>
      </c>
      <c r="AC856" t="str">
        <f>IF($D856="","",IF($AD856=0,0,IF(COUNTIFS($D$4:$D856,$D856,$B$4:$B856,$B856)&gt;1,0,IF($B856&lt;'Guide &amp; Settings'!$C$50,0,IF(($B856-$AD856)/7-'Guide &amp; Settings'!$C$48&gt;=0,(INT(($B856-$AD856)/7-'Guide &amp; Settings'!$C$48)+1)*'Guide &amp; Settings'!$C$49,0)))))</f>
        <v/>
      </c>
      <c r="AD856" s="142">
        <f t="shared" si="277"/>
        <v>0</v>
      </c>
      <c r="AE856">
        <f t="shared" si="278"/>
        <v>0</v>
      </c>
      <c r="AF856">
        <f t="shared" si="279"/>
        <v>0</v>
      </c>
    </row>
    <row r="857" spans="1:32" x14ac:dyDescent="0.2">
      <c r="A857" s="117"/>
      <c r="B857" s="118"/>
      <c r="C857" s="119"/>
      <c r="D857" s="119"/>
      <c r="E857" s="117"/>
      <c r="F857" s="120">
        <f t="shared" si="260"/>
        <v>0</v>
      </c>
      <c r="G857" s="121" t="str">
        <f t="shared" si="261"/>
        <v/>
      </c>
      <c r="H857" s="122">
        <f>IF($D857="",0,IFERROR(LOOKUP(2,1/(($D$3:D856=$D857)*($A$3:A856&lt;$A857)),$N$3:N856),'Guide &amp; Settings'!$C$41))</f>
        <v>0</v>
      </c>
      <c r="I857" s="123">
        <f t="shared" si="262"/>
        <v>0</v>
      </c>
      <c r="J857" s="124">
        <f>IF($D857="",0,IF($F857&lt;2,0,IF($E857="Win",('Guide &amp; Settings'!$C$42/(($F857-1)*COUNTIFS($A$4:$A$1510,$A857,$E$4:$E$1510,"Win")))*SUMIFS($X$4:$X$1510,$A$4:$A$1510,$A857,$E$4:$E$1510,"Loss"),-('Guide &amp; Settings'!$C$42/($F857-1))*$X857)))</f>
        <v>0</v>
      </c>
      <c r="K857" s="124">
        <f>IF($D857="",0,'Guide &amp; Settings'!$C$43*(IF($E857="Win",1,0)-$I857))</f>
        <v>0</v>
      </c>
      <c r="L857" s="125">
        <f>IF($D857="",0,'Guide &amp; Settings'!$C$44*IF($F857&gt;=3,$F857,0))</f>
        <v>0</v>
      </c>
      <c r="M857" s="124">
        <f t="shared" si="263"/>
        <v>0</v>
      </c>
      <c r="N857" s="122">
        <f t="shared" si="264"/>
        <v>0</v>
      </c>
      <c r="O857" s="121" t="str">
        <f t="shared" si="265"/>
        <v/>
      </c>
      <c r="P857">
        <f t="shared" si="266"/>
        <v>0</v>
      </c>
      <c r="Q857">
        <f t="shared" si="267"/>
        <v>0</v>
      </c>
      <c r="R857">
        <f t="shared" si="268"/>
        <v>0</v>
      </c>
      <c r="S857">
        <f t="shared" si="269"/>
        <v>0</v>
      </c>
      <c r="T857" s="89">
        <f t="shared" si="270"/>
        <v>0</v>
      </c>
      <c r="U857" s="126">
        <f>IF($D857="",0,IFERROR(LOOKUP(2,1/(($D$3:D856=$D857)*($C$3:C856=$C857)*($A$3:A856&lt;$A857)),$AB$3:AB856),1000))</f>
        <v>0</v>
      </c>
      <c r="V857" s="126">
        <f t="shared" si="271"/>
        <v>0</v>
      </c>
      <c r="W857">
        <f t="shared" si="272"/>
        <v>0</v>
      </c>
      <c r="X857">
        <f t="shared" si="273"/>
        <v>0</v>
      </c>
      <c r="Y857">
        <f t="shared" si="274"/>
        <v>0</v>
      </c>
      <c r="Z857">
        <f t="shared" si="275"/>
        <v>0</v>
      </c>
      <c r="AA857">
        <f>IF($D857="",0,IF($F857&lt;2,0,IF($E857="Win",('Guide &amp; Settings'!$C$42/(($F857-1)*COUNTIFS($A$4:$A$1510,$A857,$E$4:$E$1510,"Win")))*SUMIFS($Z$4:$Z$1510,$A$4:$A$1510,$A857,$E$4:$E$1510,"Loss"),-('Guide &amp; Settings'!$C$42/($F857-1))*$Z857)))</f>
        <v>0</v>
      </c>
      <c r="AB857" s="126">
        <f t="shared" si="276"/>
        <v>0</v>
      </c>
      <c r="AC857" t="str">
        <f>IF($D857="","",IF($AD857=0,0,IF(COUNTIFS($D$4:$D857,$D857,$B$4:$B857,$B857)&gt;1,0,IF($B857&lt;'Guide &amp; Settings'!$C$50,0,IF(($B857-$AD857)/7-'Guide &amp; Settings'!$C$48&gt;=0,(INT(($B857-$AD857)/7-'Guide &amp; Settings'!$C$48)+1)*'Guide &amp; Settings'!$C$49,0)))))</f>
        <v/>
      </c>
      <c r="AD857" s="142">
        <f t="shared" si="277"/>
        <v>0</v>
      </c>
      <c r="AE857">
        <f t="shared" si="278"/>
        <v>0</v>
      </c>
      <c r="AF857">
        <f t="shared" si="279"/>
        <v>0</v>
      </c>
    </row>
    <row r="858" spans="1:32" x14ac:dyDescent="0.2">
      <c r="A858" s="117"/>
      <c r="B858" s="118"/>
      <c r="C858" s="119"/>
      <c r="D858" s="119"/>
      <c r="E858" s="117"/>
      <c r="F858" s="120">
        <f t="shared" si="260"/>
        <v>0</v>
      </c>
      <c r="G858" s="121" t="str">
        <f t="shared" si="261"/>
        <v/>
      </c>
      <c r="H858" s="122">
        <f>IF($D858="",0,IFERROR(LOOKUP(2,1/(($D$3:D857=$D858)*($A$3:A857&lt;$A858)),$N$3:N857),'Guide &amp; Settings'!$C$41))</f>
        <v>0</v>
      </c>
      <c r="I858" s="123">
        <f t="shared" si="262"/>
        <v>0</v>
      </c>
      <c r="J858" s="124">
        <f>IF($D858="",0,IF($F858&lt;2,0,IF($E858="Win",('Guide &amp; Settings'!$C$42/(($F858-1)*COUNTIFS($A$4:$A$1510,$A858,$E$4:$E$1510,"Win")))*SUMIFS($X$4:$X$1510,$A$4:$A$1510,$A858,$E$4:$E$1510,"Loss"),-('Guide &amp; Settings'!$C$42/($F858-1))*$X858)))</f>
        <v>0</v>
      </c>
      <c r="K858" s="124">
        <f>IF($D858="",0,'Guide &amp; Settings'!$C$43*(IF($E858="Win",1,0)-$I858))</f>
        <v>0</v>
      </c>
      <c r="L858" s="125">
        <f>IF($D858="",0,'Guide &amp; Settings'!$C$44*IF($F858&gt;=3,$F858,0))</f>
        <v>0</v>
      </c>
      <c r="M858" s="124">
        <f t="shared" si="263"/>
        <v>0</v>
      </c>
      <c r="N858" s="122">
        <f t="shared" si="264"/>
        <v>0</v>
      </c>
      <c r="O858" s="121" t="str">
        <f t="shared" si="265"/>
        <v/>
      </c>
      <c r="P858">
        <f t="shared" si="266"/>
        <v>0</v>
      </c>
      <c r="Q858">
        <f t="shared" si="267"/>
        <v>0</v>
      </c>
      <c r="R858">
        <f t="shared" si="268"/>
        <v>0</v>
      </c>
      <c r="S858">
        <f t="shared" si="269"/>
        <v>0</v>
      </c>
      <c r="T858" s="89">
        <f t="shared" si="270"/>
        <v>0</v>
      </c>
      <c r="U858" s="126">
        <f>IF($D858="",0,IFERROR(LOOKUP(2,1/(($D$3:D857=$D858)*($C$3:C857=$C858)*($A$3:A857&lt;$A858)),$AB$3:AB857),1000))</f>
        <v>0</v>
      </c>
      <c r="V858" s="126">
        <f t="shared" si="271"/>
        <v>0</v>
      </c>
      <c r="W858">
        <f t="shared" si="272"/>
        <v>0</v>
      </c>
      <c r="X858">
        <f t="shared" si="273"/>
        <v>0</v>
      </c>
      <c r="Y858">
        <f t="shared" si="274"/>
        <v>0</v>
      </c>
      <c r="Z858">
        <f t="shared" si="275"/>
        <v>0</v>
      </c>
      <c r="AA858">
        <f>IF($D858="",0,IF($F858&lt;2,0,IF($E858="Win",('Guide &amp; Settings'!$C$42/(($F858-1)*COUNTIFS($A$4:$A$1510,$A858,$E$4:$E$1510,"Win")))*SUMIFS($Z$4:$Z$1510,$A$4:$A$1510,$A858,$E$4:$E$1510,"Loss"),-('Guide &amp; Settings'!$C$42/($F858-1))*$Z858)))</f>
        <v>0</v>
      </c>
      <c r="AB858" s="126">
        <f t="shared" si="276"/>
        <v>0</v>
      </c>
      <c r="AC858" t="str">
        <f>IF($D858="","",IF($AD858=0,0,IF(COUNTIFS($D$4:$D858,$D858,$B$4:$B858,$B858)&gt;1,0,IF($B858&lt;'Guide &amp; Settings'!$C$50,0,IF(($B858-$AD858)/7-'Guide &amp; Settings'!$C$48&gt;=0,(INT(($B858-$AD858)/7-'Guide &amp; Settings'!$C$48)+1)*'Guide &amp; Settings'!$C$49,0)))))</f>
        <v/>
      </c>
      <c r="AD858" s="142">
        <f t="shared" si="277"/>
        <v>0</v>
      </c>
      <c r="AE858">
        <f t="shared" si="278"/>
        <v>0</v>
      </c>
      <c r="AF858">
        <f t="shared" si="279"/>
        <v>0</v>
      </c>
    </row>
    <row r="859" spans="1:32" x14ac:dyDescent="0.2">
      <c r="A859" s="117"/>
      <c r="B859" s="118"/>
      <c r="C859" s="119"/>
      <c r="D859" s="119"/>
      <c r="E859" s="117"/>
      <c r="F859" s="120">
        <f t="shared" si="260"/>
        <v>0</v>
      </c>
      <c r="G859" s="121" t="str">
        <f t="shared" si="261"/>
        <v/>
      </c>
      <c r="H859" s="122">
        <f>IF($D859="",0,IFERROR(LOOKUP(2,1/(($D$3:D858=$D859)*($A$3:A858&lt;$A859)),$N$3:N858),'Guide &amp; Settings'!$C$41))</f>
        <v>0</v>
      </c>
      <c r="I859" s="123">
        <f t="shared" si="262"/>
        <v>0</v>
      </c>
      <c r="J859" s="124">
        <f>IF($D859="",0,IF($F859&lt;2,0,IF($E859="Win",('Guide &amp; Settings'!$C$42/(($F859-1)*COUNTIFS($A$4:$A$1510,$A859,$E$4:$E$1510,"Win")))*SUMIFS($X$4:$X$1510,$A$4:$A$1510,$A859,$E$4:$E$1510,"Loss"),-('Guide &amp; Settings'!$C$42/($F859-1))*$X859)))</f>
        <v>0</v>
      </c>
      <c r="K859" s="124">
        <f>IF($D859="",0,'Guide &amp; Settings'!$C$43*(IF($E859="Win",1,0)-$I859))</f>
        <v>0</v>
      </c>
      <c r="L859" s="125">
        <f>IF($D859="",0,'Guide &amp; Settings'!$C$44*IF($F859&gt;=3,$F859,0))</f>
        <v>0</v>
      </c>
      <c r="M859" s="124">
        <f t="shared" si="263"/>
        <v>0</v>
      </c>
      <c r="N859" s="122">
        <f t="shared" si="264"/>
        <v>0</v>
      </c>
      <c r="O859" s="121" t="str">
        <f t="shared" si="265"/>
        <v/>
      </c>
      <c r="P859">
        <f t="shared" si="266"/>
        <v>0</v>
      </c>
      <c r="Q859">
        <f t="shared" si="267"/>
        <v>0</v>
      </c>
      <c r="R859">
        <f t="shared" si="268"/>
        <v>0</v>
      </c>
      <c r="S859">
        <f t="shared" si="269"/>
        <v>0</v>
      </c>
      <c r="T859" s="89">
        <f t="shared" si="270"/>
        <v>0</v>
      </c>
      <c r="U859" s="126">
        <f>IF($D859="",0,IFERROR(LOOKUP(2,1/(($D$3:D858=$D859)*($C$3:C858=$C859)*($A$3:A858&lt;$A859)),$AB$3:AB858),1000))</f>
        <v>0</v>
      </c>
      <c r="V859" s="126">
        <f t="shared" si="271"/>
        <v>0</v>
      </c>
      <c r="W859">
        <f t="shared" si="272"/>
        <v>0</v>
      </c>
      <c r="X859">
        <f t="shared" si="273"/>
        <v>0</v>
      </c>
      <c r="Y859">
        <f t="shared" si="274"/>
        <v>0</v>
      </c>
      <c r="Z859">
        <f t="shared" si="275"/>
        <v>0</v>
      </c>
      <c r="AA859">
        <f>IF($D859="",0,IF($F859&lt;2,0,IF($E859="Win",('Guide &amp; Settings'!$C$42/(($F859-1)*COUNTIFS($A$4:$A$1510,$A859,$E$4:$E$1510,"Win")))*SUMIFS($Z$4:$Z$1510,$A$4:$A$1510,$A859,$E$4:$E$1510,"Loss"),-('Guide &amp; Settings'!$C$42/($F859-1))*$Z859)))</f>
        <v>0</v>
      </c>
      <c r="AB859" s="126">
        <f t="shared" si="276"/>
        <v>0</v>
      </c>
      <c r="AC859" t="str">
        <f>IF($D859="","",IF($AD859=0,0,IF(COUNTIFS($D$4:$D859,$D859,$B$4:$B859,$B859)&gt;1,0,IF($B859&lt;'Guide &amp; Settings'!$C$50,0,IF(($B859-$AD859)/7-'Guide &amp; Settings'!$C$48&gt;=0,(INT(($B859-$AD859)/7-'Guide &amp; Settings'!$C$48)+1)*'Guide &amp; Settings'!$C$49,0)))))</f>
        <v/>
      </c>
      <c r="AD859" s="142">
        <f t="shared" si="277"/>
        <v>0</v>
      </c>
      <c r="AE859">
        <f t="shared" si="278"/>
        <v>0</v>
      </c>
      <c r="AF859">
        <f t="shared" si="279"/>
        <v>0</v>
      </c>
    </row>
    <row r="860" spans="1:32" x14ac:dyDescent="0.2">
      <c r="A860" s="117"/>
      <c r="B860" s="118"/>
      <c r="C860" s="119"/>
      <c r="D860" s="119"/>
      <c r="E860" s="117"/>
      <c r="F860" s="120">
        <f t="shared" si="260"/>
        <v>0</v>
      </c>
      <c r="G860" s="121" t="str">
        <f t="shared" si="261"/>
        <v/>
      </c>
      <c r="H860" s="122">
        <f>IF($D860="",0,IFERROR(LOOKUP(2,1/(($D$3:D859=$D860)*($A$3:A859&lt;$A860)),$N$3:N859),'Guide &amp; Settings'!$C$41))</f>
        <v>0</v>
      </c>
      <c r="I860" s="123">
        <f t="shared" si="262"/>
        <v>0</v>
      </c>
      <c r="J860" s="124">
        <f>IF($D860="",0,IF($F860&lt;2,0,IF($E860="Win",('Guide &amp; Settings'!$C$42/(($F860-1)*COUNTIFS($A$4:$A$1510,$A860,$E$4:$E$1510,"Win")))*SUMIFS($X$4:$X$1510,$A$4:$A$1510,$A860,$E$4:$E$1510,"Loss"),-('Guide &amp; Settings'!$C$42/($F860-1))*$X860)))</f>
        <v>0</v>
      </c>
      <c r="K860" s="124">
        <f>IF($D860="",0,'Guide &amp; Settings'!$C$43*(IF($E860="Win",1,0)-$I860))</f>
        <v>0</v>
      </c>
      <c r="L860" s="125">
        <f>IF($D860="",0,'Guide &amp; Settings'!$C$44*IF($F860&gt;=3,$F860,0))</f>
        <v>0</v>
      </c>
      <c r="M860" s="124">
        <f t="shared" si="263"/>
        <v>0</v>
      </c>
      <c r="N860" s="122">
        <f t="shared" si="264"/>
        <v>0</v>
      </c>
      <c r="O860" s="121" t="str">
        <f t="shared" si="265"/>
        <v/>
      </c>
      <c r="P860">
        <f t="shared" si="266"/>
        <v>0</v>
      </c>
      <c r="Q860">
        <f t="shared" si="267"/>
        <v>0</v>
      </c>
      <c r="R860">
        <f t="shared" si="268"/>
        <v>0</v>
      </c>
      <c r="S860">
        <f t="shared" si="269"/>
        <v>0</v>
      </c>
      <c r="T860" s="89">
        <f t="shared" si="270"/>
        <v>0</v>
      </c>
      <c r="U860" s="126">
        <f>IF($D860="",0,IFERROR(LOOKUP(2,1/(($D$3:D859=$D860)*($C$3:C859=$C860)*($A$3:A859&lt;$A860)),$AB$3:AB859),1000))</f>
        <v>0</v>
      </c>
      <c r="V860" s="126">
        <f t="shared" si="271"/>
        <v>0</v>
      </c>
      <c r="W860">
        <f t="shared" si="272"/>
        <v>0</v>
      </c>
      <c r="X860">
        <f t="shared" si="273"/>
        <v>0</v>
      </c>
      <c r="Y860">
        <f t="shared" si="274"/>
        <v>0</v>
      </c>
      <c r="Z860">
        <f t="shared" si="275"/>
        <v>0</v>
      </c>
      <c r="AA860">
        <f>IF($D860="",0,IF($F860&lt;2,0,IF($E860="Win",('Guide &amp; Settings'!$C$42/(($F860-1)*COUNTIFS($A$4:$A$1510,$A860,$E$4:$E$1510,"Win")))*SUMIFS($Z$4:$Z$1510,$A$4:$A$1510,$A860,$E$4:$E$1510,"Loss"),-('Guide &amp; Settings'!$C$42/($F860-1))*$Z860)))</f>
        <v>0</v>
      </c>
      <c r="AB860" s="126">
        <f t="shared" si="276"/>
        <v>0</v>
      </c>
      <c r="AC860" t="str">
        <f>IF($D860="","",IF($AD860=0,0,IF(COUNTIFS($D$4:$D860,$D860,$B$4:$B860,$B860)&gt;1,0,IF($B860&lt;'Guide &amp; Settings'!$C$50,0,IF(($B860-$AD860)/7-'Guide &amp; Settings'!$C$48&gt;=0,(INT(($B860-$AD860)/7-'Guide &amp; Settings'!$C$48)+1)*'Guide &amp; Settings'!$C$49,0)))))</f>
        <v/>
      </c>
      <c r="AD860" s="142">
        <f t="shared" si="277"/>
        <v>0</v>
      </c>
      <c r="AE860">
        <f t="shared" si="278"/>
        <v>0</v>
      </c>
      <c r="AF860">
        <f t="shared" si="279"/>
        <v>0</v>
      </c>
    </row>
    <row r="861" spans="1:32" x14ac:dyDescent="0.2">
      <c r="A861" s="117"/>
      <c r="B861" s="118"/>
      <c r="C861" s="119"/>
      <c r="D861" s="119"/>
      <c r="E861" s="117"/>
      <c r="F861" s="120">
        <f t="shared" si="260"/>
        <v>0</v>
      </c>
      <c r="G861" s="121" t="str">
        <f t="shared" si="261"/>
        <v/>
      </c>
      <c r="H861" s="122">
        <f>IF($D861="",0,IFERROR(LOOKUP(2,1/(($D$3:D860=$D861)*($A$3:A860&lt;$A861)),$N$3:N860),'Guide &amp; Settings'!$C$41))</f>
        <v>0</v>
      </c>
      <c r="I861" s="123">
        <f t="shared" si="262"/>
        <v>0</v>
      </c>
      <c r="J861" s="124">
        <f>IF($D861="",0,IF($F861&lt;2,0,IF($E861="Win",('Guide &amp; Settings'!$C$42/(($F861-1)*COUNTIFS($A$4:$A$1510,$A861,$E$4:$E$1510,"Win")))*SUMIFS($X$4:$X$1510,$A$4:$A$1510,$A861,$E$4:$E$1510,"Loss"),-('Guide &amp; Settings'!$C$42/($F861-1))*$X861)))</f>
        <v>0</v>
      </c>
      <c r="K861" s="124">
        <f>IF($D861="",0,'Guide &amp; Settings'!$C$43*(IF($E861="Win",1,0)-$I861))</f>
        <v>0</v>
      </c>
      <c r="L861" s="125">
        <f>IF($D861="",0,'Guide &amp; Settings'!$C$44*IF($F861&gt;=3,$F861,0))</f>
        <v>0</v>
      </c>
      <c r="M861" s="124">
        <f t="shared" si="263"/>
        <v>0</v>
      </c>
      <c r="N861" s="122">
        <f t="shared" si="264"/>
        <v>0</v>
      </c>
      <c r="O861" s="121" t="str">
        <f t="shared" si="265"/>
        <v/>
      </c>
      <c r="P861">
        <f t="shared" si="266"/>
        <v>0</v>
      </c>
      <c r="Q861">
        <f t="shared" si="267"/>
        <v>0</v>
      </c>
      <c r="R861">
        <f t="shared" si="268"/>
        <v>0</v>
      </c>
      <c r="S861">
        <f t="shared" si="269"/>
        <v>0</v>
      </c>
      <c r="T861" s="89">
        <f t="shared" si="270"/>
        <v>0</v>
      </c>
      <c r="U861" s="126">
        <f>IF($D861="",0,IFERROR(LOOKUP(2,1/(($D$3:D860=$D861)*($C$3:C860=$C861)*($A$3:A860&lt;$A861)),$AB$3:AB860),1000))</f>
        <v>0</v>
      </c>
      <c r="V861" s="126">
        <f t="shared" si="271"/>
        <v>0</v>
      </c>
      <c r="W861">
        <f t="shared" si="272"/>
        <v>0</v>
      </c>
      <c r="X861">
        <f t="shared" si="273"/>
        <v>0</v>
      </c>
      <c r="Y861">
        <f t="shared" si="274"/>
        <v>0</v>
      </c>
      <c r="Z861">
        <f t="shared" si="275"/>
        <v>0</v>
      </c>
      <c r="AA861">
        <f>IF($D861="",0,IF($F861&lt;2,0,IF($E861="Win",('Guide &amp; Settings'!$C$42/(($F861-1)*COUNTIFS($A$4:$A$1510,$A861,$E$4:$E$1510,"Win")))*SUMIFS($Z$4:$Z$1510,$A$4:$A$1510,$A861,$E$4:$E$1510,"Loss"),-('Guide &amp; Settings'!$C$42/($F861-1))*$Z861)))</f>
        <v>0</v>
      </c>
      <c r="AB861" s="126">
        <f t="shared" si="276"/>
        <v>0</v>
      </c>
      <c r="AC861" t="str">
        <f>IF($D861="","",IF($AD861=0,0,IF(COUNTIFS($D$4:$D861,$D861,$B$4:$B861,$B861)&gt;1,0,IF($B861&lt;'Guide &amp; Settings'!$C$50,0,IF(($B861-$AD861)/7-'Guide &amp; Settings'!$C$48&gt;=0,(INT(($B861-$AD861)/7-'Guide &amp; Settings'!$C$48)+1)*'Guide &amp; Settings'!$C$49,0)))))</f>
        <v/>
      </c>
      <c r="AD861" s="142">
        <f t="shared" si="277"/>
        <v>0</v>
      </c>
      <c r="AE861">
        <f t="shared" si="278"/>
        <v>0</v>
      </c>
      <c r="AF861">
        <f t="shared" si="279"/>
        <v>0</v>
      </c>
    </row>
    <row r="862" spans="1:32" x14ac:dyDescent="0.2">
      <c r="A862" s="117"/>
      <c r="B862" s="118"/>
      <c r="C862" s="119"/>
      <c r="D862" s="119"/>
      <c r="E862" s="117"/>
      <c r="F862" s="120">
        <f t="shared" si="260"/>
        <v>0</v>
      </c>
      <c r="G862" s="121" t="str">
        <f t="shared" si="261"/>
        <v/>
      </c>
      <c r="H862" s="122">
        <f>IF($D862="",0,IFERROR(LOOKUP(2,1/(($D$3:D861=$D862)*($A$3:A861&lt;$A862)),$N$3:N861),'Guide &amp; Settings'!$C$41))</f>
        <v>0</v>
      </c>
      <c r="I862" s="123">
        <f t="shared" si="262"/>
        <v>0</v>
      </c>
      <c r="J862" s="124">
        <f>IF($D862="",0,IF($F862&lt;2,0,IF($E862="Win",('Guide &amp; Settings'!$C$42/(($F862-1)*COUNTIFS($A$4:$A$1510,$A862,$E$4:$E$1510,"Win")))*SUMIFS($X$4:$X$1510,$A$4:$A$1510,$A862,$E$4:$E$1510,"Loss"),-('Guide &amp; Settings'!$C$42/($F862-1))*$X862)))</f>
        <v>0</v>
      </c>
      <c r="K862" s="124">
        <f>IF($D862="",0,'Guide &amp; Settings'!$C$43*(IF($E862="Win",1,0)-$I862))</f>
        <v>0</v>
      </c>
      <c r="L862" s="125">
        <f>IF($D862="",0,'Guide &amp; Settings'!$C$44*IF($F862&gt;=3,$F862,0))</f>
        <v>0</v>
      </c>
      <c r="M862" s="124">
        <f t="shared" si="263"/>
        <v>0</v>
      </c>
      <c r="N862" s="122">
        <f t="shared" si="264"/>
        <v>0</v>
      </c>
      <c r="O862" s="121" t="str">
        <f t="shared" si="265"/>
        <v/>
      </c>
      <c r="P862">
        <f t="shared" si="266"/>
        <v>0</v>
      </c>
      <c r="Q862">
        <f t="shared" si="267"/>
        <v>0</v>
      </c>
      <c r="R862">
        <f t="shared" si="268"/>
        <v>0</v>
      </c>
      <c r="S862">
        <f t="shared" si="269"/>
        <v>0</v>
      </c>
      <c r="T862" s="89">
        <f t="shared" si="270"/>
        <v>0</v>
      </c>
      <c r="U862" s="126">
        <f>IF($D862="",0,IFERROR(LOOKUP(2,1/(($D$3:D861=$D862)*($C$3:C861=$C862)*($A$3:A861&lt;$A862)),$AB$3:AB861),1000))</f>
        <v>0</v>
      </c>
      <c r="V862" s="126">
        <f t="shared" si="271"/>
        <v>0</v>
      </c>
      <c r="W862">
        <f t="shared" si="272"/>
        <v>0</v>
      </c>
      <c r="X862">
        <f t="shared" si="273"/>
        <v>0</v>
      </c>
      <c r="Y862">
        <f t="shared" si="274"/>
        <v>0</v>
      </c>
      <c r="Z862">
        <f t="shared" si="275"/>
        <v>0</v>
      </c>
      <c r="AA862">
        <f>IF($D862="",0,IF($F862&lt;2,0,IF($E862="Win",('Guide &amp; Settings'!$C$42/(($F862-1)*COUNTIFS($A$4:$A$1510,$A862,$E$4:$E$1510,"Win")))*SUMIFS($Z$4:$Z$1510,$A$4:$A$1510,$A862,$E$4:$E$1510,"Loss"),-('Guide &amp; Settings'!$C$42/($F862-1))*$Z862)))</f>
        <v>0</v>
      </c>
      <c r="AB862" s="126">
        <f t="shared" si="276"/>
        <v>0</v>
      </c>
      <c r="AC862" t="str">
        <f>IF($D862="","",IF($AD862=0,0,IF(COUNTIFS($D$4:$D862,$D862,$B$4:$B862,$B862)&gt;1,0,IF($B862&lt;'Guide &amp; Settings'!$C$50,0,IF(($B862-$AD862)/7-'Guide &amp; Settings'!$C$48&gt;=0,(INT(($B862-$AD862)/7-'Guide &amp; Settings'!$C$48)+1)*'Guide &amp; Settings'!$C$49,0)))))</f>
        <v/>
      </c>
      <c r="AD862" s="142">
        <f t="shared" si="277"/>
        <v>0</v>
      </c>
      <c r="AE862">
        <f t="shared" si="278"/>
        <v>0</v>
      </c>
      <c r="AF862">
        <f t="shared" si="279"/>
        <v>0</v>
      </c>
    </row>
    <row r="863" spans="1:32" x14ac:dyDescent="0.2">
      <c r="A863" s="117"/>
      <c r="B863" s="118"/>
      <c r="C863" s="119"/>
      <c r="D863" s="119"/>
      <c r="E863" s="117"/>
      <c r="F863" s="120">
        <f t="shared" si="260"/>
        <v>0</v>
      </c>
      <c r="G863" s="121" t="str">
        <f t="shared" si="261"/>
        <v/>
      </c>
      <c r="H863" s="122">
        <f>IF($D863="",0,IFERROR(LOOKUP(2,1/(($D$3:D862=$D863)*($A$3:A862&lt;$A863)),$N$3:N862),'Guide &amp; Settings'!$C$41))</f>
        <v>0</v>
      </c>
      <c r="I863" s="123">
        <f t="shared" si="262"/>
        <v>0</v>
      </c>
      <c r="J863" s="124">
        <f>IF($D863="",0,IF($F863&lt;2,0,IF($E863="Win",('Guide &amp; Settings'!$C$42/(($F863-1)*COUNTIFS($A$4:$A$1510,$A863,$E$4:$E$1510,"Win")))*SUMIFS($X$4:$X$1510,$A$4:$A$1510,$A863,$E$4:$E$1510,"Loss"),-('Guide &amp; Settings'!$C$42/($F863-1))*$X863)))</f>
        <v>0</v>
      </c>
      <c r="K863" s="124">
        <f>IF($D863="",0,'Guide &amp; Settings'!$C$43*(IF($E863="Win",1,0)-$I863))</f>
        <v>0</v>
      </c>
      <c r="L863" s="125">
        <f>IF($D863="",0,'Guide &amp; Settings'!$C$44*IF($F863&gt;=3,$F863,0))</f>
        <v>0</v>
      </c>
      <c r="M863" s="124">
        <f t="shared" si="263"/>
        <v>0</v>
      </c>
      <c r="N863" s="122">
        <f t="shared" si="264"/>
        <v>0</v>
      </c>
      <c r="O863" s="121" t="str">
        <f t="shared" si="265"/>
        <v/>
      </c>
      <c r="P863">
        <f t="shared" si="266"/>
        <v>0</v>
      </c>
      <c r="Q863">
        <f t="shared" si="267"/>
        <v>0</v>
      </c>
      <c r="R863">
        <f t="shared" si="268"/>
        <v>0</v>
      </c>
      <c r="S863">
        <f t="shared" si="269"/>
        <v>0</v>
      </c>
      <c r="T863" s="89">
        <f t="shared" si="270"/>
        <v>0</v>
      </c>
      <c r="U863" s="126">
        <f>IF($D863="",0,IFERROR(LOOKUP(2,1/(($D$3:D862=$D863)*($C$3:C862=$C863)*($A$3:A862&lt;$A863)),$AB$3:AB862),1000))</f>
        <v>0</v>
      </c>
      <c r="V863" s="126">
        <f t="shared" si="271"/>
        <v>0</v>
      </c>
      <c r="W863">
        <f t="shared" si="272"/>
        <v>0</v>
      </c>
      <c r="X863">
        <f t="shared" si="273"/>
        <v>0</v>
      </c>
      <c r="Y863">
        <f t="shared" si="274"/>
        <v>0</v>
      </c>
      <c r="Z863">
        <f t="shared" si="275"/>
        <v>0</v>
      </c>
      <c r="AA863">
        <f>IF($D863="",0,IF($F863&lt;2,0,IF($E863="Win",('Guide &amp; Settings'!$C$42/(($F863-1)*COUNTIFS($A$4:$A$1510,$A863,$E$4:$E$1510,"Win")))*SUMIFS($Z$4:$Z$1510,$A$4:$A$1510,$A863,$E$4:$E$1510,"Loss"),-('Guide &amp; Settings'!$C$42/($F863-1))*$Z863)))</f>
        <v>0</v>
      </c>
      <c r="AB863" s="126">
        <f t="shared" si="276"/>
        <v>0</v>
      </c>
      <c r="AC863" t="str">
        <f>IF($D863="","",IF($AD863=0,0,IF(COUNTIFS($D$4:$D863,$D863,$B$4:$B863,$B863)&gt;1,0,IF($B863&lt;'Guide &amp; Settings'!$C$50,0,IF(($B863-$AD863)/7-'Guide &amp; Settings'!$C$48&gt;=0,(INT(($B863-$AD863)/7-'Guide &amp; Settings'!$C$48)+1)*'Guide &amp; Settings'!$C$49,0)))))</f>
        <v/>
      </c>
      <c r="AD863" s="142">
        <f t="shared" si="277"/>
        <v>0</v>
      </c>
      <c r="AE863">
        <f t="shared" si="278"/>
        <v>0</v>
      </c>
      <c r="AF863">
        <f t="shared" si="279"/>
        <v>0</v>
      </c>
    </row>
    <row r="864" spans="1:32" x14ac:dyDescent="0.2">
      <c r="A864" s="117"/>
      <c r="B864" s="118"/>
      <c r="C864" s="119"/>
      <c r="D864" s="119"/>
      <c r="E864" s="117"/>
      <c r="F864" s="120">
        <f t="shared" si="260"/>
        <v>0</v>
      </c>
      <c r="G864" s="121" t="str">
        <f t="shared" si="261"/>
        <v/>
      </c>
      <c r="H864" s="122">
        <f>IF($D864="",0,IFERROR(LOOKUP(2,1/(($D$3:D863=$D864)*($A$3:A863&lt;$A864)),$N$3:N863),'Guide &amp; Settings'!$C$41))</f>
        <v>0</v>
      </c>
      <c r="I864" s="123">
        <f t="shared" si="262"/>
        <v>0</v>
      </c>
      <c r="J864" s="124">
        <f>IF($D864="",0,IF($F864&lt;2,0,IF($E864="Win",('Guide &amp; Settings'!$C$42/(($F864-1)*COUNTIFS($A$4:$A$1510,$A864,$E$4:$E$1510,"Win")))*SUMIFS($X$4:$X$1510,$A$4:$A$1510,$A864,$E$4:$E$1510,"Loss"),-('Guide &amp; Settings'!$C$42/($F864-1))*$X864)))</f>
        <v>0</v>
      </c>
      <c r="K864" s="124">
        <f>IF($D864="",0,'Guide &amp; Settings'!$C$43*(IF($E864="Win",1,0)-$I864))</f>
        <v>0</v>
      </c>
      <c r="L864" s="125">
        <f>IF($D864="",0,'Guide &amp; Settings'!$C$44*IF($F864&gt;=3,$F864,0))</f>
        <v>0</v>
      </c>
      <c r="M864" s="124">
        <f t="shared" si="263"/>
        <v>0</v>
      </c>
      <c r="N864" s="122">
        <f t="shared" si="264"/>
        <v>0</v>
      </c>
      <c r="O864" s="121" t="str">
        <f t="shared" si="265"/>
        <v/>
      </c>
      <c r="P864">
        <f t="shared" si="266"/>
        <v>0</v>
      </c>
      <c r="Q864">
        <f t="shared" si="267"/>
        <v>0</v>
      </c>
      <c r="R864">
        <f t="shared" si="268"/>
        <v>0</v>
      </c>
      <c r="S864">
        <f t="shared" si="269"/>
        <v>0</v>
      </c>
      <c r="T864" s="89">
        <f t="shared" si="270"/>
        <v>0</v>
      </c>
      <c r="U864" s="126">
        <f>IF($D864="",0,IFERROR(LOOKUP(2,1/(($D$3:D863=$D864)*($C$3:C863=$C864)*($A$3:A863&lt;$A864)),$AB$3:AB863),1000))</f>
        <v>0</v>
      </c>
      <c r="V864" s="126">
        <f t="shared" si="271"/>
        <v>0</v>
      </c>
      <c r="W864">
        <f t="shared" si="272"/>
        <v>0</v>
      </c>
      <c r="X864">
        <f t="shared" si="273"/>
        <v>0</v>
      </c>
      <c r="Y864">
        <f t="shared" si="274"/>
        <v>0</v>
      </c>
      <c r="Z864">
        <f t="shared" si="275"/>
        <v>0</v>
      </c>
      <c r="AA864">
        <f>IF($D864="",0,IF($F864&lt;2,0,IF($E864="Win",('Guide &amp; Settings'!$C$42/(($F864-1)*COUNTIFS($A$4:$A$1510,$A864,$E$4:$E$1510,"Win")))*SUMIFS($Z$4:$Z$1510,$A$4:$A$1510,$A864,$E$4:$E$1510,"Loss"),-('Guide &amp; Settings'!$C$42/($F864-1))*$Z864)))</f>
        <v>0</v>
      </c>
      <c r="AB864" s="126">
        <f t="shared" si="276"/>
        <v>0</v>
      </c>
      <c r="AC864" t="str">
        <f>IF($D864="","",IF($AD864=0,0,IF(COUNTIFS($D$4:$D864,$D864,$B$4:$B864,$B864)&gt;1,0,IF($B864&lt;'Guide &amp; Settings'!$C$50,0,IF(($B864-$AD864)/7-'Guide &amp; Settings'!$C$48&gt;=0,(INT(($B864-$AD864)/7-'Guide &amp; Settings'!$C$48)+1)*'Guide &amp; Settings'!$C$49,0)))))</f>
        <v/>
      </c>
      <c r="AD864" s="142">
        <f t="shared" si="277"/>
        <v>0</v>
      </c>
      <c r="AE864">
        <f t="shared" si="278"/>
        <v>0</v>
      </c>
      <c r="AF864">
        <f t="shared" si="279"/>
        <v>0</v>
      </c>
    </row>
    <row r="865" spans="1:32" x14ac:dyDescent="0.2">
      <c r="A865" s="117"/>
      <c r="B865" s="118"/>
      <c r="C865" s="119"/>
      <c r="D865" s="119"/>
      <c r="E865" s="117"/>
      <c r="F865" s="120">
        <f t="shared" si="260"/>
        <v>0</v>
      </c>
      <c r="G865" s="121" t="str">
        <f t="shared" si="261"/>
        <v/>
      </c>
      <c r="H865" s="122">
        <f>IF($D865="",0,IFERROR(LOOKUP(2,1/(($D$3:D864=$D865)*($A$3:A864&lt;$A865)),$N$3:N864),'Guide &amp; Settings'!$C$41))</f>
        <v>0</v>
      </c>
      <c r="I865" s="123">
        <f t="shared" si="262"/>
        <v>0</v>
      </c>
      <c r="J865" s="124">
        <f>IF($D865="",0,IF($F865&lt;2,0,IF($E865="Win",('Guide &amp; Settings'!$C$42/(($F865-1)*COUNTIFS($A$4:$A$1510,$A865,$E$4:$E$1510,"Win")))*SUMIFS($X$4:$X$1510,$A$4:$A$1510,$A865,$E$4:$E$1510,"Loss"),-('Guide &amp; Settings'!$C$42/($F865-1))*$X865)))</f>
        <v>0</v>
      </c>
      <c r="K865" s="124">
        <f>IF($D865="",0,'Guide &amp; Settings'!$C$43*(IF($E865="Win",1,0)-$I865))</f>
        <v>0</v>
      </c>
      <c r="L865" s="125">
        <f>IF($D865="",0,'Guide &amp; Settings'!$C$44*IF($F865&gt;=3,$F865,0))</f>
        <v>0</v>
      </c>
      <c r="M865" s="124">
        <f t="shared" si="263"/>
        <v>0</v>
      </c>
      <c r="N865" s="122">
        <f t="shared" si="264"/>
        <v>0</v>
      </c>
      <c r="O865" s="121" t="str">
        <f t="shared" si="265"/>
        <v/>
      </c>
      <c r="P865">
        <f t="shared" si="266"/>
        <v>0</v>
      </c>
      <c r="Q865">
        <f t="shared" si="267"/>
        <v>0</v>
      </c>
      <c r="R865">
        <f t="shared" si="268"/>
        <v>0</v>
      </c>
      <c r="S865">
        <f t="shared" si="269"/>
        <v>0</v>
      </c>
      <c r="T865" s="89">
        <f t="shared" si="270"/>
        <v>0</v>
      </c>
      <c r="U865" s="126">
        <f>IF($D865="",0,IFERROR(LOOKUP(2,1/(($D$3:D864=$D865)*($C$3:C864=$C865)*($A$3:A864&lt;$A865)),$AB$3:AB864),1000))</f>
        <v>0</v>
      </c>
      <c r="V865" s="126">
        <f t="shared" si="271"/>
        <v>0</v>
      </c>
      <c r="W865">
        <f t="shared" si="272"/>
        <v>0</v>
      </c>
      <c r="X865">
        <f t="shared" si="273"/>
        <v>0</v>
      </c>
      <c r="Y865">
        <f t="shared" si="274"/>
        <v>0</v>
      </c>
      <c r="Z865">
        <f t="shared" si="275"/>
        <v>0</v>
      </c>
      <c r="AA865">
        <f>IF($D865="",0,IF($F865&lt;2,0,IF($E865="Win",('Guide &amp; Settings'!$C$42/(($F865-1)*COUNTIFS($A$4:$A$1510,$A865,$E$4:$E$1510,"Win")))*SUMIFS($Z$4:$Z$1510,$A$4:$A$1510,$A865,$E$4:$E$1510,"Loss"),-('Guide &amp; Settings'!$C$42/($F865-1))*$Z865)))</f>
        <v>0</v>
      </c>
      <c r="AB865" s="126">
        <f t="shared" si="276"/>
        <v>0</v>
      </c>
      <c r="AC865" t="str">
        <f>IF($D865="","",IF($AD865=0,0,IF(COUNTIFS($D$4:$D865,$D865,$B$4:$B865,$B865)&gt;1,0,IF($B865&lt;'Guide &amp; Settings'!$C$50,0,IF(($B865-$AD865)/7-'Guide &amp; Settings'!$C$48&gt;=0,(INT(($B865-$AD865)/7-'Guide &amp; Settings'!$C$48)+1)*'Guide &amp; Settings'!$C$49,0)))))</f>
        <v/>
      </c>
      <c r="AD865" s="142">
        <f t="shared" si="277"/>
        <v>0</v>
      </c>
      <c r="AE865">
        <f t="shared" si="278"/>
        <v>0</v>
      </c>
      <c r="AF865">
        <f t="shared" si="279"/>
        <v>0</v>
      </c>
    </row>
    <row r="866" spans="1:32" x14ac:dyDescent="0.2">
      <c r="A866" s="117"/>
      <c r="B866" s="118"/>
      <c r="C866" s="119"/>
      <c r="D866" s="119"/>
      <c r="E866" s="117"/>
      <c r="F866" s="120">
        <f t="shared" si="260"/>
        <v>0</v>
      </c>
      <c r="G866" s="121" t="str">
        <f t="shared" si="261"/>
        <v/>
      </c>
      <c r="H866" s="122">
        <f>IF($D866="",0,IFERROR(LOOKUP(2,1/(($D$3:D865=$D866)*($A$3:A865&lt;$A866)),$N$3:N865),'Guide &amp; Settings'!$C$41))</f>
        <v>0</v>
      </c>
      <c r="I866" s="123">
        <f t="shared" si="262"/>
        <v>0</v>
      </c>
      <c r="J866" s="124">
        <f>IF($D866="",0,IF($F866&lt;2,0,IF($E866="Win",('Guide &amp; Settings'!$C$42/(($F866-1)*COUNTIFS($A$4:$A$1510,$A866,$E$4:$E$1510,"Win")))*SUMIFS($X$4:$X$1510,$A$4:$A$1510,$A866,$E$4:$E$1510,"Loss"),-('Guide &amp; Settings'!$C$42/($F866-1))*$X866)))</f>
        <v>0</v>
      </c>
      <c r="K866" s="124">
        <f>IF($D866="",0,'Guide &amp; Settings'!$C$43*(IF($E866="Win",1,0)-$I866))</f>
        <v>0</v>
      </c>
      <c r="L866" s="125">
        <f>IF($D866="",0,'Guide &amp; Settings'!$C$44*IF($F866&gt;=3,$F866,0))</f>
        <v>0</v>
      </c>
      <c r="M866" s="124">
        <f t="shared" si="263"/>
        <v>0</v>
      </c>
      <c r="N866" s="122">
        <f t="shared" si="264"/>
        <v>0</v>
      </c>
      <c r="O866" s="121" t="str">
        <f t="shared" si="265"/>
        <v/>
      </c>
      <c r="P866">
        <f t="shared" si="266"/>
        <v>0</v>
      </c>
      <c r="Q866">
        <f t="shared" si="267"/>
        <v>0</v>
      </c>
      <c r="R866">
        <f t="shared" si="268"/>
        <v>0</v>
      </c>
      <c r="S866">
        <f t="shared" si="269"/>
        <v>0</v>
      </c>
      <c r="T866" s="89">
        <f t="shared" si="270"/>
        <v>0</v>
      </c>
      <c r="U866" s="126">
        <f>IF($D866="",0,IFERROR(LOOKUP(2,1/(($D$3:D865=$D866)*($C$3:C865=$C866)*($A$3:A865&lt;$A866)),$AB$3:AB865),1000))</f>
        <v>0</v>
      </c>
      <c r="V866" s="126">
        <f t="shared" si="271"/>
        <v>0</v>
      </c>
      <c r="W866">
        <f t="shared" si="272"/>
        <v>0</v>
      </c>
      <c r="X866">
        <f t="shared" si="273"/>
        <v>0</v>
      </c>
      <c r="Y866">
        <f t="shared" si="274"/>
        <v>0</v>
      </c>
      <c r="Z866">
        <f t="shared" si="275"/>
        <v>0</v>
      </c>
      <c r="AA866">
        <f>IF($D866="",0,IF($F866&lt;2,0,IF($E866="Win",('Guide &amp; Settings'!$C$42/(($F866-1)*COUNTIFS($A$4:$A$1510,$A866,$E$4:$E$1510,"Win")))*SUMIFS($Z$4:$Z$1510,$A$4:$A$1510,$A866,$E$4:$E$1510,"Loss"),-('Guide &amp; Settings'!$C$42/($F866-1))*$Z866)))</f>
        <v>0</v>
      </c>
      <c r="AB866" s="126">
        <f t="shared" si="276"/>
        <v>0</v>
      </c>
      <c r="AC866" t="str">
        <f>IF($D866="","",IF($AD866=0,0,IF(COUNTIFS($D$4:$D866,$D866,$B$4:$B866,$B866)&gt;1,0,IF($B866&lt;'Guide &amp; Settings'!$C$50,0,IF(($B866-$AD866)/7-'Guide &amp; Settings'!$C$48&gt;=0,(INT(($B866-$AD866)/7-'Guide &amp; Settings'!$C$48)+1)*'Guide &amp; Settings'!$C$49,0)))))</f>
        <v/>
      </c>
      <c r="AD866" s="142">
        <f t="shared" si="277"/>
        <v>0</v>
      </c>
      <c r="AE866">
        <f t="shared" si="278"/>
        <v>0</v>
      </c>
      <c r="AF866">
        <f t="shared" si="279"/>
        <v>0</v>
      </c>
    </row>
    <row r="867" spans="1:32" x14ac:dyDescent="0.2">
      <c r="A867" s="117"/>
      <c r="B867" s="118"/>
      <c r="C867" s="119"/>
      <c r="D867" s="119"/>
      <c r="E867" s="117"/>
      <c r="F867" s="120">
        <f t="shared" si="260"/>
        <v>0</v>
      </c>
      <c r="G867" s="121" t="str">
        <f t="shared" si="261"/>
        <v/>
      </c>
      <c r="H867" s="122">
        <f>IF($D867="",0,IFERROR(LOOKUP(2,1/(($D$3:D866=$D867)*($A$3:A866&lt;$A867)),$N$3:N866),'Guide &amp; Settings'!$C$41))</f>
        <v>0</v>
      </c>
      <c r="I867" s="123">
        <f t="shared" si="262"/>
        <v>0</v>
      </c>
      <c r="J867" s="124">
        <f>IF($D867="",0,IF($F867&lt;2,0,IF($E867="Win",('Guide &amp; Settings'!$C$42/(($F867-1)*COUNTIFS($A$4:$A$1510,$A867,$E$4:$E$1510,"Win")))*SUMIFS($X$4:$X$1510,$A$4:$A$1510,$A867,$E$4:$E$1510,"Loss"),-('Guide &amp; Settings'!$C$42/($F867-1))*$X867)))</f>
        <v>0</v>
      </c>
      <c r="K867" s="124">
        <f>IF($D867="",0,'Guide &amp; Settings'!$C$43*(IF($E867="Win",1,0)-$I867))</f>
        <v>0</v>
      </c>
      <c r="L867" s="125">
        <f>IF($D867="",0,'Guide &amp; Settings'!$C$44*IF($F867&gt;=3,$F867,0))</f>
        <v>0</v>
      </c>
      <c r="M867" s="124">
        <f t="shared" si="263"/>
        <v>0</v>
      </c>
      <c r="N867" s="122">
        <f t="shared" si="264"/>
        <v>0</v>
      </c>
      <c r="O867" s="121" t="str">
        <f t="shared" si="265"/>
        <v/>
      </c>
      <c r="P867">
        <f t="shared" si="266"/>
        <v>0</v>
      </c>
      <c r="Q867">
        <f t="shared" si="267"/>
        <v>0</v>
      </c>
      <c r="R867">
        <f t="shared" si="268"/>
        <v>0</v>
      </c>
      <c r="S867">
        <f t="shared" si="269"/>
        <v>0</v>
      </c>
      <c r="T867" s="89">
        <f t="shared" si="270"/>
        <v>0</v>
      </c>
      <c r="U867" s="126">
        <f>IF($D867="",0,IFERROR(LOOKUP(2,1/(($D$3:D866=$D867)*($C$3:C866=$C867)*($A$3:A866&lt;$A867)),$AB$3:AB866),1000))</f>
        <v>0</v>
      </c>
      <c r="V867" s="126">
        <f t="shared" si="271"/>
        <v>0</v>
      </c>
      <c r="W867">
        <f t="shared" si="272"/>
        <v>0</v>
      </c>
      <c r="X867">
        <f t="shared" si="273"/>
        <v>0</v>
      </c>
      <c r="Y867">
        <f t="shared" si="274"/>
        <v>0</v>
      </c>
      <c r="Z867">
        <f t="shared" si="275"/>
        <v>0</v>
      </c>
      <c r="AA867">
        <f>IF($D867="",0,IF($F867&lt;2,0,IF($E867="Win",('Guide &amp; Settings'!$C$42/(($F867-1)*COUNTIFS($A$4:$A$1510,$A867,$E$4:$E$1510,"Win")))*SUMIFS($Z$4:$Z$1510,$A$4:$A$1510,$A867,$E$4:$E$1510,"Loss"),-('Guide &amp; Settings'!$C$42/($F867-1))*$Z867)))</f>
        <v>0</v>
      </c>
      <c r="AB867" s="126">
        <f t="shared" si="276"/>
        <v>0</v>
      </c>
      <c r="AC867" t="str">
        <f>IF($D867="","",IF($AD867=0,0,IF(COUNTIFS($D$4:$D867,$D867,$B$4:$B867,$B867)&gt;1,0,IF($B867&lt;'Guide &amp; Settings'!$C$50,0,IF(($B867-$AD867)/7-'Guide &amp; Settings'!$C$48&gt;=0,(INT(($B867-$AD867)/7-'Guide &amp; Settings'!$C$48)+1)*'Guide &amp; Settings'!$C$49,0)))))</f>
        <v/>
      </c>
      <c r="AD867" s="142">
        <f t="shared" si="277"/>
        <v>0</v>
      </c>
      <c r="AE867">
        <f t="shared" si="278"/>
        <v>0</v>
      </c>
      <c r="AF867">
        <f t="shared" si="279"/>
        <v>0</v>
      </c>
    </row>
    <row r="868" spans="1:32" x14ac:dyDescent="0.2">
      <c r="A868" s="117"/>
      <c r="B868" s="118"/>
      <c r="C868" s="119"/>
      <c r="D868" s="119"/>
      <c r="E868" s="117"/>
      <c r="F868" s="120">
        <f t="shared" si="260"/>
        <v>0</v>
      </c>
      <c r="G868" s="121" t="str">
        <f t="shared" si="261"/>
        <v/>
      </c>
      <c r="H868" s="122">
        <f>IF($D868="",0,IFERROR(LOOKUP(2,1/(($D$3:D867=$D868)*($A$3:A867&lt;$A868)),$N$3:N867),'Guide &amp; Settings'!$C$41))</f>
        <v>0</v>
      </c>
      <c r="I868" s="123">
        <f t="shared" si="262"/>
        <v>0</v>
      </c>
      <c r="J868" s="124">
        <f>IF($D868="",0,IF($F868&lt;2,0,IF($E868="Win",('Guide &amp; Settings'!$C$42/(($F868-1)*COUNTIFS($A$4:$A$1510,$A868,$E$4:$E$1510,"Win")))*SUMIFS($X$4:$X$1510,$A$4:$A$1510,$A868,$E$4:$E$1510,"Loss"),-('Guide &amp; Settings'!$C$42/($F868-1))*$X868)))</f>
        <v>0</v>
      </c>
      <c r="K868" s="124">
        <f>IF($D868="",0,'Guide &amp; Settings'!$C$43*(IF($E868="Win",1,0)-$I868))</f>
        <v>0</v>
      </c>
      <c r="L868" s="125">
        <f>IF($D868="",0,'Guide &amp; Settings'!$C$44*IF($F868&gt;=3,$F868,0))</f>
        <v>0</v>
      </c>
      <c r="M868" s="124">
        <f t="shared" si="263"/>
        <v>0</v>
      </c>
      <c r="N868" s="122">
        <f t="shared" si="264"/>
        <v>0</v>
      </c>
      <c r="O868" s="121" t="str">
        <f t="shared" si="265"/>
        <v/>
      </c>
      <c r="P868">
        <f t="shared" si="266"/>
        <v>0</v>
      </c>
      <c r="Q868">
        <f t="shared" si="267"/>
        <v>0</v>
      </c>
      <c r="R868">
        <f t="shared" si="268"/>
        <v>0</v>
      </c>
      <c r="S868">
        <f t="shared" si="269"/>
        <v>0</v>
      </c>
      <c r="T868" s="89">
        <f t="shared" si="270"/>
        <v>0</v>
      </c>
      <c r="U868" s="126">
        <f>IF($D868="",0,IFERROR(LOOKUP(2,1/(($D$3:D867=$D868)*($C$3:C867=$C868)*($A$3:A867&lt;$A868)),$AB$3:AB867),1000))</f>
        <v>0</v>
      </c>
      <c r="V868" s="126">
        <f t="shared" si="271"/>
        <v>0</v>
      </c>
      <c r="W868">
        <f t="shared" si="272"/>
        <v>0</v>
      </c>
      <c r="X868">
        <f t="shared" si="273"/>
        <v>0</v>
      </c>
      <c r="Y868">
        <f t="shared" si="274"/>
        <v>0</v>
      </c>
      <c r="Z868">
        <f t="shared" si="275"/>
        <v>0</v>
      </c>
      <c r="AA868">
        <f>IF($D868="",0,IF($F868&lt;2,0,IF($E868="Win",('Guide &amp; Settings'!$C$42/(($F868-1)*COUNTIFS($A$4:$A$1510,$A868,$E$4:$E$1510,"Win")))*SUMIFS($Z$4:$Z$1510,$A$4:$A$1510,$A868,$E$4:$E$1510,"Loss"),-('Guide &amp; Settings'!$C$42/($F868-1))*$Z868)))</f>
        <v>0</v>
      </c>
      <c r="AB868" s="126">
        <f t="shared" si="276"/>
        <v>0</v>
      </c>
      <c r="AC868" t="str">
        <f>IF($D868="","",IF($AD868=0,0,IF(COUNTIFS($D$4:$D868,$D868,$B$4:$B868,$B868)&gt;1,0,IF($B868&lt;'Guide &amp; Settings'!$C$50,0,IF(($B868-$AD868)/7-'Guide &amp; Settings'!$C$48&gt;=0,(INT(($B868-$AD868)/7-'Guide &amp; Settings'!$C$48)+1)*'Guide &amp; Settings'!$C$49,0)))))</f>
        <v/>
      </c>
      <c r="AD868" s="142">
        <f t="shared" si="277"/>
        <v>0</v>
      </c>
      <c r="AE868">
        <f t="shared" si="278"/>
        <v>0</v>
      </c>
      <c r="AF868">
        <f t="shared" si="279"/>
        <v>0</v>
      </c>
    </row>
    <row r="869" spans="1:32" x14ac:dyDescent="0.2">
      <c r="A869" s="117"/>
      <c r="B869" s="118"/>
      <c r="C869" s="119"/>
      <c r="D869" s="119"/>
      <c r="E869" s="117"/>
      <c r="F869" s="120">
        <f t="shared" si="260"/>
        <v>0</v>
      </c>
      <c r="G869" s="121" t="str">
        <f t="shared" si="261"/>
        <v/>
      </c>
      <c r="H869" s="122">
        <f>IF($D869="",0,IFERROR(LOOKUP(2,1/(($D$3:D868=$D869)*($A$3:A868&lt;$A869)),$N$3:N868),'Guide &amp; Settings'!$C$41))</f>
        <v>0</v>
      </c>
      <c r="I869" s="123">
        <f t="shared" si="262"/>
        <v>0</v>
      </c>
      <c r="J869" s="124">
        <f>IF($D869="",0,IF($F869&lt;2,0,IF($E869="Win",('Guide &amp; Settings'!$C$42/(($F869-1)*COUNTIFS($A$4:$A$1510,$A869,$E$4:$E$1510,"Win")))*SUMIFS($X$4:$X$1510,$A$4:$A$1510,$A869,$E$4:$E$1510,"Loss"),-('Guide &amp; Settings'!$C$42/($F869-1))*$X869)))</f>
        <v>0</v>
      </c>
      <c r="K869" s="124">
        <f>IF($D869="",0,'Guide &amp; Settings'!$C$43*(IF($E869="Win",1,0)-$I869))</f>
        <v>0</v>
      </c>
      <c r="L869" s="125">
        <f>IF($D869="",0,'Guide &amp; Settings'!$C$44*IF($F869&gt;=3,$F869,0))</f>
        <v>0</v>
      </c>
      <c r="M869" s="124">
        <f t="shared" si="263"/>
        <v>0</v>
      </c>
      <c r="N869" s="122">
        <f t="shared" si="264"/>
        <v>0</v>
      </c>
      <c r="O869" s="121" t="str">
        <f t="shared" si="265"/>
        <v/>
      </c>
      <c r="P869">
        <f t="shared" si="266"/>
        <v>0</v>
      </c>
      <c r="Q869">
        <f t="shared" si="267"/>
        <v>0</v>
      </c>
      <c r="R869">
        <f t="shared" si="268"/>
        <v>0</v>
      </c>
      <c r="S869">
        <f t="shared" si="269"/>
        <v>0</v>
      </c>
      <c r="T869" s="89">
        <f t="shared" si="270"/>
        <v>0</v>
      </c>
      <c r="U869" s="126">
        <f>IF($D869="",0,IFERROR(LOOKUP(2,1/(($D$3:D868=$D869)*($C$3:C868=$C869)*($A$3:A868&lt;$A869)),$AB$3:AB868),1000))</f>
        <v>0</v>
      </c>
      <c r="V869" s="126">
        <f t="shared" si="271"/>
        <v>0</v>
      </c>
      <c r="W869">
        <f t="shared" si="272"/>
        <v>0</v>
      </c>
      <c r="X869">
        <f t="shared" si="273"/>
        <v>0</v>
      </c>
      <c r="Y869">
        <f t="shared" si="274"/>
        <v>0</v>
      </c>
      <c r="Z869">
        <f t="shared" si="275"/>
        <v>0</v>
      </c>
      <c r="AA869">
        <f>IF($D869="",0,IF($F869&lt;2,0,IF($E869="Win",('Guide &amp; Settings'!$C$42/(($F869-1)*COUNTIFS($A$4:$A$1510,$A869,$E$4:$E$1510,"Win")))*SUMIFS($Z$4:$Z$1510,$A$4:$A$1510,$A869,$E$4:$E$1510,"Loss"),-('Guide &amp; Settings'!$C$42/($F869-1))*$Z869)))</f>
        <v>0</v>
      </c>
      <c r="AB869" s="126">
        <f t="shared" si="276"/>
        <v>0</v>
      </c>
      <c r="AC869" t="str">
        <f>IF($D869="","",IF($AD869=0,0,IF(COUNTIFS($D$4:$D869,$D869,$B$4:$B869,$B869)&gt;1,0,IF($B869&lt;'Guide &amp; Settings'!$C$50,0,IF(($B869-$AD869)/7-'Guide &amp; Settings'!$C$48&gt;=0,(INT(($B869-$AD869)/7-'Guide &amp; Settings'!$C$48)+1)*'Guide &amp; Settings'!$C$49,0)))))</f>
        <v/>
      </c>
      <c r="AD869" s="142">
        <f t="shared" si="277"/>
        <v>0</v>
      </c>
      <c r="AE869">
        <f t="shared" si="278"/>
        <v>0</v>
      </c>
      <c r="AF869">
        <f t="shared" si="279"/>
        <v>0</v>
      </c>
    </row>
    <row r="870" spans="1:32" x14ac:dyDescent="0.2">
      <c r="A870" s="117"/>
      <c r="B870" s="118"/>
      <c r="C870" s="119"/>
      <c r="D870" s="119"/>
      <c r="E870" s="117"/>
      <c r="F870" s="120">
        <f t="shared" si="260"/>
        <v>0</v>
      </c>
      <c r="G870" s="121" t="str">
        <f t="shared" si="261"/>
        <v/>
      </c>
      <c r="H870" s="122">
        <f>IF($D870="",0,IFERROR(LOOKUP(2,1/(($D$3:D869=$D870)*($A$3:A869&lt;$A870)),$N$3:N869),'Guide &amp; Settings'!$C$41))</f>
        <v>0</v>
      </c>
      <c r="I870" s="123">
        <f t="shared" si="262"/>
        <v>0</v>
      </c>
      <c r="J870" s="124">
        <f>IF($D870="",0,IF($F870&lt;2,0,IF($E870="Win",('Guide &amp; Settings'!$C$42/(($F870-1)*COUNTIFS($A$4:$A$1510,$A870,$E$4:$E$1510,"Win")))*SUMIFS($X$4:$X$1510,$A$4:$A$1510,$A870,$E$4:$E$1510,"Loss"),-('Guide &amp; Settings'!$C$42/($F870-1))*$X870)))</f>
        <v>0</v>
      </c>
      <c r="K870" s="124">
        <f>IF($D870="",0,'Guide &amp; Settings'!$C$43*(IF($E870="Win",1,0)-$I870))</f>
        <v>0</v>
      </c>
      <c r="L870" s="125">
        <f>IF($D870="",0,'Guide &amp; Settings'!$C$44*IF($F870&gt;=3,$F870,0))</f>
        <v>0</v>
      </c>
      <c r="M870" s="124">
        <f t="shared" si="263"/>
        <v>0</v>
      </c>
      <c r="N870" s="122">
        <f t="shared" si="264"/>
        <v>0</v>
      </c>
      <c r="O870" s="121" t="str">
        <f t="shared" si="265"/>
        <v/>
      </c>
      <c r="P870">
        <f t="shared" si="266"/>
        <v>0</v>
      </c>
      <c r="Q870">
        <f t="shared" si="267"/>
        <v>0</v>
      </c>
      <c r="R870">
        <f t="shared" si="268"/>
        <v>0</v>
      </c>
      <c r="S870">
        <f t="shared" si="269"/>
        <v>0</v>
      </c>
      <c r="T870" s="89">
        <f t="shared" si="270"/>
        <v>0</v>
      </c>
      <c r="U870" s="126">
        <f>IF($D870="",0,IFERROR(LOOKUP(2,1/(($D$3:D869=$D870)*($C$3:C869=$C870)*($A$3:A869&lt;$A870)),$AB$3:AB869),1000))</f>
        <v>0</v>
      </c>
      <c r="V870" s="126">
        <f t="shared" si="271"/>
        <v>0</v>
      </c>
      <c r="W870">
        <f t="shared" si="272"/>
        <v>0</v>
      </c>
      <c r="X870">
        <f t="shared" si="273"/>
        <v>0</v>
      </c>
      <c r="Y870">
        <f t="shared" si="274"/>
        <v>0</v>
      </c>
      <c r="Z870">
        <f t="shared" si="275"/>
        <v>0</v>
      </c>
      <c r="AA870">
        <f>IF($D870="",0,IF($F870&lt;2,0,IF($E870="Win",('Guide &amp; Settings'!$C$42/(($F870-1)*COUNTIFS($A$4:$A$1510,$A870,$E$4:$E$1510,"Win")))*SUMIFS($Z$4:$Z$1510,$A$4:$A$1510,$A870,$E$4:$E$1510,"Loss"),-('Guide &amp; Settings'!$C$42/($F870-1))*$Z870)))</f>
        <v>0</v>
      </c>
      <c r="AB870" s="126">
        <f t="shared" si="276"/>
        <v>0</v>
      </c>
      <c r="AC870" t="str">
        <f>IF($D870="","",IF($AD870=0,0,IF(COUNTIFS($D$4:$D870,$D870,$B$4:$B870,$B870)&gt;1,0,IF($B870&lt;'Guide &amp; Settings'!$C$50,0,IF(($B870-$AD870)/7-'Guide &amp; Settings'!$C$48&gt;=0,(INT(($B870-$AD870)/7-'Guide &amp; Settings'!$C$48)+1)*'Guide &amp; Settings'!$C$49,0)))))</f>
        <v/>
      </c>
      <c r="AD870" s="142">
        <f t="shared" si="277"/>
        <v>0</v>
      </c>
      <c r="AE870">
        <f t="shared" si="278"/>
        <v>0</v>
      </c>
      <c r="AF870">
        <f t="shared" si="279"/>
        <v>0</v>
      </c>
    </row>
    <row r="871" spans="1:32" x14ac:dyDescent="0.2">
      <c r="A871" s="117"/>
      <c r="B871" s="118"/>
      <c r="C871" s="119"/>
      <c r="D871" s="119"/>
      <c r="E871" s="117"/>
      <c r="F871" s="120">
        <f t="shared" si="260"/>
        <v>0</v>
      </c>
      <c r="G871" s="121" t="str">
        <f t="shared" si="261"/>
        <v/>
      </c>
      <c r="H871" s="122">
        <f>IF($D871="",0,IFERROR(LOOKUP(2,1/(($D$3:D870=$D871)*($A$3:A870&lt;$A871)),$N$3:N870),'Guide &amp; Settings'!$C$41))</f>
        <v>0</v>
      </c>
      <c r="I871" s="123">
        <f t="shared" si="262"/>
        <v>0</v>
      </c>
      <c r="J871" s="124">
        <f>IF($D871="",0,IF($F871&lt;2,0,IF($E871="Win",('Guide &amp; Settings'!$C$42/(($F871-1)*COUNTIFS($A$4:$A$1510,$A871,$E$4:$E$1510,"Win")))*SUMIFS($X$4:$X$1510,$A$4:$A$1510,$A871,$E$4:$E$1510,"Loss"),-('Guide &amp; Settings'!$C$42/($F871-1))*$X871)))</f>
        <v>0</v>
      </c>
      <c r="K871" s="124">
        <f>IF($D871="",0,'Guide &amp; Settings'!$C$43*(IF($E871="Win",1,0)-$I871))</f>
        <v>0</v>
      </c>
      <c r="L871" s="125">
        <f>IF($D871="",0,'Guide &amp; Settings'!$C$44*IF($F871&gt;=3,$F871,0))</f>
        <v>0</v>
      </c>
      <c r="M871" s="124">
        <f t="shared" si="263"/>
        <v>0</v>
      </c>
      <c r="N871" s="122">
        <f t="shared" si="264"/>
        <v>0</v>
      </c>
      <c r="O871" s="121" t="str">
        <f t="shared" si="265"/>
        <v/>
      </c>
      <c r="P871">
        <f t="shared" si="266"/>
        <v>0</v>
      </c>
      <c r="Q871">
        <f t="shared" si="267"/>
        <v>0</v>
      </c>
      <c r="R871">
        <f t="shared" si="268"/>
        <v>0</v>
      </c>
      <c r="S871">
        <f t="shared" si="269"/>
        <v>0</v>
      </c>
      <c r="T871" s="89">
        <f t="shared" si="270"/>
        <v>0</v>
      </c>
      <c r="U871" s="126">
        <f>IF($D871="",0,IFERROR(LOOKUP(2,1/(($D$3:D870=$D871)*($C$3:C870=$C871)*($A$3:A870&lt;$A871)),$AB$3:AB870),1000))</f>
        <v>0</v>
      </c>
      <c r="V871" s="126">
        <f t="shared" si="271"/>
        <v>0</v>
      </c>
      <c r="W871">
        <f t="shared" si="272"/>
        <v>0</v>
      </c>
      <c r="X871">
        <f t="shared" si="273"/>
        <v>0</v>
      </c>
      <c r="Y871">
        <f t="shared" si="274"/>
        <v>0</v>
      </c>
      <c r="Z871">
        <f t="shared" si="275"/>
        <v>0</v>
      </c>
      <c r="AA871">
        <f>IF($D871="",0,IF($F871&lt;2,0,IF($E871="Win",('Guide &amp; Settings'!$C$42/(($F871-1)*COUNTIFS($A$4:$A$1510,$A871,$E$4:$E$1510,"Win")))*SUMIFS($Z$4:$Z$1510,$A$4:$A$1510,$A871,$E$4:$E$1510,"Loss"),-('Guide &amp; Settings'!$C$42/($F871-1))*$Z871)))</f>
        <v>0</v>
      </c>
      <c r="AB871" s="126">
        <f t="shared" si="276"/>
        <v>0</v>
      </c>
      <c r="AC871" t="str">
        <f>IF($D871="","",IF($AD871=0,0,IF(COUNTIFS($D$4:$D871,$D871,$B$4:$B871,$B871)&gt;1,0,IF($B871&lt;'Guide &amp; Settings'!$C$50,0,IF(($B871-$AD871)/7-'Guide &amp; Settings'!$C$48&gt;=0,(INT(($B871-$AD871)/7-'Guide &amp; Settings'!$C$48)+1)*'Guide &amp; Settings'!$C$49,0)))))</f>
        <v/>
      </c>
      <c r="AD871" s="142">
        <f t="shared" si="277"/>
        <v>0</v>
      </c>
      <c r="AE871">
        <f t="shared" si="278"/>
        <v>0</v>
      </c>
      <c r="AF871">
        <f t="shared" si="279"/>
        <v>0</v>
      </c>
    </row>
    <row r="872" spans="1:32" x14ac:dyDescent="0.2">
      <c r="A872" s="117"/>
      <c r="B872" s="118"/>
      <c r="C872" s="119"/>
      <c r="D872" s="119"/>
      <c r="E872" s="117"/>
      <c r="F872" s="120">
        <f t="shared" si="260"/>
        <v>0</v>
      </c>
      <c r="G872" s="121" t="str">
        <f t="shared" si="261"/>
        <v/>
      </c>
      <c r="H872" s="122">
        <f>IF($D872="",0,IFERROR(LOOKUP(2,1/(($D$3:D871=$D872)*($A$3:A871&lt;$A872)),$N$3:N871),'Guide &amp; Settings'!$C$41))</f>
        <v>0</v>
      </c>
      <c r="I872" s="123">
        <f t="shared" si="262"/>
        <v>0</v>
      </c>
      <c r="J872" s="124">
        <f>IF($D872="",0,IF($F872&lt;2,0,IF($E872="Win",('Guide &amp; Settings'!$C$42/(($F872-1)*COUNTIFS($A$4:$A$1510,$A872,$E$4:$E$1510,"Win")))*SUMIFS($X$4:$X$1510,$A$4:$A$1510,$A872,$E$4:$E$1510,"Loss"),-('Guide &amp; Settings'!$C$42/($F872-1))*$X872)))</f>
        <v>0</v>
      </c>
      <c r="K872" s="124">
        <f>IF($D872="",0,'Guide &amp; Settings'!$C$43*(IF($E872="Win",1,0)-$I872))</f>
        <v>0</v>
      </c>
      <c r="L872" s="125">
        <f>IF($D872="",0,'Guide &amp; Settings'!$C$44*IF($F872&gt;=3,$F872,0))</f>
        <v>0</v>
      </c>
      <c r="M872" s="124">
        <f t="shared" si="263"/>
        <v>0</v>
      </c>
      <c r="N872" s="122">
        <f t="shared" si="264"/>
        <v>0</v>
      </c>
      <c r="O872" s="121" t="str">
        <f t="shared" si="265"/>
        <v/>
      </c>
      <c r="P872">
        <f t="shared" si="266"/>
        <v>0</v>
      </c>
      <c r="Q872">
        <f t="shared" si="267"/>
        <v>0</v>
      </c>
      <c r="R872">
        <f t="shared" si="268"/>
        <v>0</v>
      </c>
      <c r="S872">
        <f t="shared" si="269"/>
        <v>0</v>
      </c>
      <c r="T872" s="89">
        <f t="shared" si="270"/>
        <v>0</v>
      </c>
      <c r="U872" s="126">
        <f>IF($D872="",0,IFERROR(LOOKUP(2,1/(($D$3:D871=$D872)*($C$3:C871=$C872)*($A$3:A871&lt;$A872)),$AB$3:AB871),1000))</f>
        <v>0</v>
      </c>
      <c r="V872" s="126">
        <f t="shared" si="271"/>
        <v>0</v>
      </c>
      <c r="W872">
        <f t="shared" si="272"/>
        <v>0</v>
      </c>
      <c r="X872">
        <f t="shared" si="273"/>
        <v>0</v>
      </c>
      <c r="Y872">
        <f t="shared" si="274"/>
        <v>0</v>
      </c>
      <c r="Z872">
        <f t="shared" si="275"/>
        <v>0</v>
      </c>
      <c r="AA872">
        <f>IF($D872="",0,IF($F872&lt;2,0,IF($E872="Win",('Guide &amp; Settings'!$C$42/(($F872-1)*COUNTIFS($A$4:$A$1510,$A872,$E$4:$E$1510,"Win")))*SUMIFS($Z$4:$Z$1510,$A$4:$A$1510,$A872,$E$4:$E$1510,"Loss"),-('Guide &amp; Settings'!$C$42/($F872-1))*$Z872)))</f>
        <v>0</v>
      </c>
      <c r="AB872" s="126">
        <f t="shared" si="276"/>
        <v>0</v>
      </c>
      <c r="AC872" t="str">
        <f>IF($D872="","",IF($AD872=0,0,IF(COUNTIFS($D$4:$D872,$D872,$B$4:$B872,$B872)&gt;1,0,IF($B872&lt;'Guide &amp; Settings'!$C$50,0,IF(($B872-$AD872)/7-'Guide &amp; Settings'!$C$48&gt;=0,(INT(($B872-$AD872)/7-'Guide &amp; Settings'!$C$48)+1)*'Guide &amp; Settings'!$C$49,0)))))</f>
        <v/>
      </c>
      <c r="AD872" s="142">
        <f t="shared" si="277"/>
        <v>0</v>
      </c>
      <c r="AE872">
        <f t="shared" si="278"/>
        <v>0</v>
      </c>
      <c r="AF872">
        <f t="shared" si="279"/>
        <v>0</v>
      </c>
    </row>
    <row r="873" spans="1:32" x14ac:dyDescent="0.2">
      <c r="A873" s="117"/>
      <c r="B873" s="118"/>
      <c r="C873" s="119"/>
      <c r="D873" s="119"/>
      <c r="E873" s="117"/>
      <c r="F873" s="120">
        <f t="shared" si="260"/>
        <v>0</v>
      </c>
      <c r="G873" s="121" t="str">
        <f t="shared" si="261"/>
        <v/>
      </c>
      <c r="H873" s="122">
        <f>IF($D873="",0,IFERROR(LOOKUP(2,1/(($D$3:D872=$D873)*($A$3:A872&lt;$A873)),$N$3:N872),'Guide &amp; Settings'!$C$41))</f>
        <v>0</v>
      </c>
      <c r="I873" s="123">
        <f t="shared" si="262"/>
        <v>0</v>
      </c>
      <c r="J873" s="124">
        <f>IF($D873="",0,IF($F873&lt;2,0,IF($E873="Win",('Guide &amp; Settings'!$C$42/(($F873-1)*COUNTIFS($A$4:$A$1510,$A873,$E$4:$E$1510,"Win")))*SUMIFS($X$4:$X$1510,$A$4:$A$1510,$A873,$E$4:$E$1510,"Loss"),-('Guide &amp; Settings'!$C$42/($F873-1))*$X873)))</f>
        <v>0</v>
      </c>
      <c r="K873" s="124">
        <f>IF($D873="",0,'Guide &amp; Settings'!$C$43*(IF($E873="Win",1,0)-$I873))</f>
        <v>0</v>
      </c>
      <c r="L873" s="125">
        <f>IF($D873="",0,'Guide &amp; Settings'!$C$44*IF($F873&gt;=3,$F873,0))</f>
        <v>0</v>
      </c>
      <c r="M873" s="124">
        <f t="shared" si="263"/>
        <v>0</v>
      </c>
      <c r="N873" s="122">
        <f t="shared" si="264"/>
        <v>0</v>
      </c>
      <c r="O873" s="121" t="str">
        <f t="shared" si="265"/>
        <v/>
      </c>
      <c r="P873">
        <f t="shared" si="266"/>
        <v>0</v>
      </c>
      <c r="Q873">
        <f t="shared" si="267"/>
        <v>0</v>
      </c>
      <c r="R873">
        <f t="shared" si="268"/>
        <v>0</v>
      </c>
      <c r="S873">
        <f t="shared" si="269"/>
        <v>0</v>
      </c>
      <c r="T873" s="89">
        <f t="shared" si="270"/>
        <v>0</v>
      </c>
      <c r="U873" s="126">
        <f>IF($D873="",0,IFERROR(LOOKUP(2,1/(($D$3:D872=$D873)*($C$3:C872=$C873)*($A$3:A872&lt;$A873)),$AB$3:AB872),1000))</f>
        <v>0</v>
      </c>
      <c r="V873" s="126">
        <f t="shared" si="271"/>
        <v>0</v>
      </c>
      <c r="W873">
        <f t="shared" si="272"/>
        <v>0</v>
      </c>
      <c r="X873">
        <f t="shared" si="273"/>
        <v>0</v>
      </c>
      <c r="Y873">
        <f t="shared" si="274"/>
        <v>0</v>
      </c>
      <c r="Z873">
        <f t="shared" si="275"/>
        <v>0</v>
      </c>
      <c r="AA873">
        <f>IF($D873="",0,IF($F873&lt;2,0,IF($E873="Win",('Guide &amp; Settings'!$C$42/(($F873-1)*COUNTIFS($A$4:$A$1510,$A873,$E$4:$E$1510,"Win")))*SUMIFS($Z$4:$Z$1510,$A$4:$A$1510,$A873,$E$4:$E$1510,"Loss"),-('Guide &amp; Settings'!$C$42/($F873-1))*$Z873)))</f>
        <v>0</v>
      </c>
      <c r="AB873" s="126">
        <f t="shared" si="276"/>
        <v>0</v>
      </c>
      <c r="AC873" t="str">
        <f>IF($D873="","",IF($AD873=0,0,IF(COUNTIFS($D$4:$D873,$D873,$B$4:$B873,$B873)&gt;1,0,IF($B873&lt;'Guide &amp; Settings'!$C$50,0,IF(($B873-$AD873)/7-'Guide &amp; Settings'!$C$48&gt;=0,(INT(($B873-$AD873)/7-'Guide &amp; Settings'!$C$48)+1)*'Guide &amp; Settings'!$C$49,0)))))</f>
        <v/>
      </c>
      <c r="AD873" s="142">
        <f t="shared" si="277"/>
        <v>0</v>
      </c>
      <c r="AE873">
        <f t="shared" si="278"/>
        <v>0</v>
      </c>
      <c r="AF873">
        <f t="shared" si="279"/>
        <v>0</v>
      </c>
    </row>
    <row r="874" spans="1:32" x14ac:dyDescent="0.2">
      <c r="A874" s="117"/>
      <c r="B874" s="118"/>
      <c r="C874" s="119"/>
      <c r="D874" s="119"/>
      <c r="E874" s="117"/>
      <c r="F874" s="120">
        <f t="shared" si="260"/>
        <v>0</v>
      </c>
      <c r="G874" s="121" t="str">
        <f t="shared" si="261"/>
        <v/>
      </c>
      <c r="H874" s="122">
        <f>IF($D874="",0,IFERROR(LOOKUP(2,1/(($D$3:D873=$D874)*($A$3:A873&lt;$A874)),$N$3:N873),'Guide &amp; Settings'!$C$41))</f>
        <v>0</v>
      </c>
      <c r="I874" s="123">
        <f t="shared" si="262"/>
        <v>0</v>
      </c>
      <c r="J874" s="124">
        <f>IF($D874="",0,IF($F874&lt;2,0,IF($E874="Win",('Guide &amp; Settings'!$C$42/(($F874-1)*COUNTIFS($A$4:$A$1510,$A874,$E$4:$E$1510,"Win")))*SUMIFS($X$4:$X$1510,$A$4:$A$1510,$A874,$E$4:$E$1510,"Loss"),-('Guide &amp; Settings'!$C$42/($F874-1))*$X874)))</f>
        <v>0</v>
      </c>
      <c r="K874" s="124">
        <f>IF($D874="",0,'Guide &amp; Settings'!$C$43*(IF($E874="Win",1,0)-$I874))</f>
        <v>0</v>
      </c>
      <c r="L874" s="125">
        <f>IF($D874="",0,'Guide &amp; Settings'!$C$44*IF($F874&gt;=3,$F874,0))</f>
        <v>0</v>
      </c>
      <c r="M874" s="124">
        <f t="shared" si="263"/>
        <v>0</v>
      </c>
      <c r="N874" s="122">
        <f t="shared" si="264"/>
        <v>0</v>
      </c>
      <c r="O874" s="121" t="str">
        <f t="shared" si="265"/>
        <v/>
      </c>
      <c r="P874">
        <f t="shared" si="266"/>
        <v>0</v>
      </c>
      <c r="Q874">
        <f t="shared" si="267"/>
        <v>0</v>
      </c>
      <c r="R874">
        <f t="shared" si="268"/>
        <v>0</v>
      </c>
      <c r="S874">
        <f t="shared" si="269"/>
        <v>0</v>
      </c>
      <c r="T874" s="89">
        <f t="shared" si="270"/>
        <v>0</v>
      </c>
      <c r="U874" s="126">
        <f>IF($D874="",0,IFERROR(LOOKUP(2,1/(($D$3:D873=$D874)*($C$3:C873=$C874)*($A$3:A873&lt;$A874)),$AB$3:AB873),1000))</f>
        <v>0</v>
      </c>
      <c r="V874" s="126">
        <f t="shared" si="271"/>
        <v>0</v>
      </c>
      <c r="W874">
        <f t="shared" si="272"/>
        <v>0</v>
      </c>
      <c r="X874">
        <f t="shared" si="273"/>
        <v>0</v>
      </c>
      <c r="Y874">
        <f t="shared" si="274"/>
        <v>0</v>
      </c>
      <c r="Z874">
        <f t="shared" si="275"/>
        <v>0</v>
      </c>
      <c r="AA874">
        <f>IF($D874="",0,IF($F874&lt;2,0,IF($E874="Win",('Guide &amp; Settings'!$C$42/(($F874-1)*COUNTIFS($A$4:$A$1510,$A874,$E$4:$E$1510,"Win")))*SUMIFS($Z$4:$Z$1510,$A$4:$A$1510,$A874,$E$4:$E$1510,"Loss"),-('Guide &amp; Settings'!$C$42/($F874-1))*$Z874)))</f>
        <v>0</v>
      </c>
      <c r="AB874" s="126">
        <f t="shared" si="276"/>
        <v>0</v>
      </c>
      <c r="AC874" t="str">
        <f>IF($D874="","",IF($AD874=0,0,IF(COUNTIFS($D$4:$D874,$D874,$B$4:$B874,$B874)&gt;1,0,IF($B874&lt;'Guide &amp; Settings'!$C$50,0,IF(($B874-$AD874)/7-'Guide &amp; Settings'!$C$48&gt;=0,(INT(($B874-$AD874)/7-'Guide &amp; Settings'!$C$48)+1)*'Guide &amp; Settings'!$C$49,0)))))</f>
        <v/>
      </c>
      <c r="AD874" s="142">
        <f t="shared" si="277"/>
        <v>0</v>
      </c>
      <c r="AE874">
        <f t="shared" si="278"/>
        <v>0</v>
      </c>
      <c r="AF874">
        <f t="shared" si="279"/>
        <v>0</v>
      </c>
    </row>
    <row r="875" spans="1:32" x14ac:dyDescent="0.2">
      <c r="A875" s="117"/>
      <c r="B875" s="118"/>
      <c r="C875" s="119"/>
      <c r="D875" s="119"/>
      <c r="E875" s="117"/>
      <c r="F875" s="120">
        <f t="shared" si="260"/>
        <v>0</v>
      </c>
      <c r="G875" s="121" t="str">
        <f t="shared" si="261"/>
        <v/>
      </c>
      <c r="H875" s="122">
        <f>IF($D875="",0,IFERROR(LOOKUP(2,1/(($D$3:D874=$D875)*($A$3:A874&lt;$A875)),$N$3:N874),'Guide &amp; Settings'!$C$41))</f>
        <v>0</v>
      </c>
      <c r="I875" s="123">
        <f t="shared" si="262"/>
        <v>0</v>
      </c>
      <c r="J875" s="124">
        <f>IF($D875="",0,IF($F875&lt;2,0,IF($E875="Win",('Guide &amp; Settings'!$C$42/(($F875-1)*COUNTIFS($A$4:$A$1510,$A875,$E$4:$E$1510,"Win")))*SUMIFS($X$4:$X$1510,$A$4:$A$1510,$A875,$E$4:$E$1510,"Loss"),-('Guide &amp; Settings'!$C$42/($F875-1))*$X875)))</f>
        <v>0</v>
      </c>
      <c r="K875" s="124">
        <f>IF($D875="",0,'Guide &amp; Settings'!$C$43*(IF($E875="Win",1,0)-$I875))</f>
        <v>0</v>
      </c>
      <c r="L875" s="125">
        <f>IF($D875="",0,'Guide &amp; Settings'!$C$44*IF($F875&gt;=3,$F875,0))</f>
        <v>0</v>
      </c>
      <c r="M875" s="124">
        <f t="shared" si="263"/>
        <v>0</v>
      </c>
      <c r="N875" s="122">
        <f t="shared" si="264"/>
        <v>0</v>
      </c>
      <c r="O875" s="121" t="str">
        <f t="shared" si="265"/>
        <v/>
      </c>
      <c r="P875">
        <f t="shared" si="266"/>
        <v>0</v>
      </c>
      <c r="Q875">
        <f t="shared" si="267"/>
        <v>0</v>
      </c>
      <c r="R875">
        <f t="shared" si="268"/>
        <v>0</v>
      </c>
      <c r="S875">
        <f t="shared" si="269"/>
        <v>0</v>
      </c>
      <c r="T875" s="89">
        <f t="shared" si="270"/>
        <v>0</v>
      </c>
      <c r="U875" s="126">
        <f>IF($D875="",0,IFERROR(LOOKUP(2,1/(($D$3:D874=$D875)*($C$3:C874=$C875)*($A$3:A874&lt;$A875)),$AB$3:AB874),1000))</f>
        <v>0</v>
      </c>
      <c r="V875" s="126">
        <f t="shared" si="271"/>
        <v>0</v>
      </c>
      <c r="W875">
        <f t="shared" si="272"/>
        <v>0</v>
      </c>
      <c r="X875">
        <f t="shared" si="273"/>
        <v>0</v>
      </c>
      <c r="Y875">
        <f t="shared" si="274"/>
        <v>0</v>
      </c>
      <c r="Z875">
        <f t="shared" si="275"/>
        <v>0</v>
      </c>
      <c r="AA875">
        <f>IF($D875="",0,IF($F875&lt;2,0,IF($E875="Win",('Guide &amp; Settings'!$C$42/(($F875-1)*COUNTIFS($A$4:$A$1510,$A875,$E$4:$E$1510,"Win")))*SUMIFS($Z$4:$Z$1510,$A$4:$A$1510,$A875,$E$4:$E$1510,"Loss"),-('Guide &amp; Settings'!$C$42/($F875-1))*$Z875)))</f>
        <v>0</v>
      </c>
      <c r="AB875" s="126">
        <f t="shared" si="276"/>
        <v>0</v>
      </c>
      <c r="AC875" t="str">
        <f>IF($D875="","",IF($AD875=0,0,IF(COUNTIFS($D$4:$D875,$D875,$B$4:$B875,$B875)&gt;1,0,IF($B875&lt;'Guide &amp; Settings'!$C$50,0,IF(($B875-$AD875)/7-'Guide &amp; Settings'!$C$48&gt;=0,(INT(($B875-$AD875)/7-'Guide &amp; Settings'!$C$48)+1)*'Guide &amp; Settings'!$C$49,0)))))</f>
        <v/>
      </c>
      <c r="AD875" s="142">
        <f t="shared" si="277"/>
        <v>0</v>
      </c>
      <c r="AE875">
        <f t="shared" si="278"/>
        <v>0</v>
      </c>
      <c r="AF875">
        <f t="shared" si="279"/>
        <v>0</v>
      </c>
    </row>
    <row r="876" spans="1:32" x14ac:dyDescent="0.2">
      <c r="A876" s="117"/>
      <c r="B876" s="118"/>
      <c r="C876" s="119"/>
      <c r="D876" s="119"/>
      <c r="E876" s="117"/>
      <c r="F876" s="120">
        <f t="shared" si="260"/>
        <v>0</v>
      </c>
      <c r="G876" s="121" t="str">
        <f t="shared" si="261"/>
        <v/>
      </c>
      <c r="H876" s="122">
        <f>IF($D876="",0,IFERROR(LOOKUP(2,1/(($D$3:D875=$D876)*($A$3:A875&lt;$A876)),$N$3:N875),'Guide &amp; Settings'!$C$41))</f>
        <v>0</v>
      </c>
      <c r="I876" s="123">
        <f t="shared" si="262"/>
        <v>0</v>
      </c>
      <c r="J876" s="124">
        <f>IF($D876="",0,IF($F876&lt;2,0,IF($E876="Win",('Guide &amp; Settings'!$C$42/(($F876-1)*COUNTIFS($A$4:$A$1510,$A876,$E$4:$E$1510,"Win")))*SUMIFS($X$4:$X$1510,$A$4:$A$1510,$A876,$E$4:$E$1510,"Loss"),-('Guide &amp; Settings'!$C$42/($F876-1))*$X876)))</f>
        <v>0</v>
      </c>
      <c r="K876" s="124">
        <f>IF($D876="",0,'Guide &amp; Settings'!$C$43*(IF($E876="Win",1,0)-$I876))</f>
        <v>0</v>
      </c>
      <c r="L876" s="125">
        <f>IF($D876="",0,'Guide &amp; Settings'!$C$44*IF($F876&gt;=3,$F876,0))</f>
        <v>0</v>
      </c>
      <c r="M876" s="124">
        <f t="shared" si="263"/>
        <v>0</v>
      </c>
      <c r="N876" s="122">
        <f t="shared" si="264"/>
        <v>0</v>
      </c>
      <c r="O876" s="121" t="str">
        <f t="shared" si="265"/>
        <v/>
      </c>
      <c r="P876">
        <f t="shared" si="266"/>
        <v>0</v>
      </c>
      <c r="Q876">
        <f t="shared" si="267"/>
        <v>0</v>
      </c>
      <c r="R876">
        <f t="shared" si="268"/>
        <v>0</v>
      </c>
      <c r="S876">
        <f t="shared" si="269"/>
        <v>0</v>
      </c>
      <c r="T876" s="89">
        <f t="shared" si="270"/>
        <v>0</v>
      </c>
      <c r="U876" s="126">
        <f>IF($D876="",0,IFERROR(LOOKUP(2,1/(($D$3:D875=$D876)*($C$3:C875=$C876)*($A$3:A875&lt;$A876)),$AB$3:AB875),1000))</f>
        <v>0</v>
      </c>
      <c r="V876" s="126">
        <f t="shared" si="271"/>
        <v>0</v>
      </c>
      <c r="W876">
        <f t="shared" si="272"/>
        <v>0</v>
      </c>
      <c r="X876">
        <f t="shared" si="273"/>
        <v>0</v>
      </c>
      <c r="Y876">
        <f t="shared" si="274"/>
        <v>0</v>
      </c>
      <c r="Z876">
        <f t="shared" si="275"/>
        <v>0</v>
      </c>
      <c r="AA876">
        <f>IF($D876="",0,IF($F876&lt;2,0,IF($E876="Win",('Guide &amp; Settings'!$C$42/(($F876-1)*COUNTIFS($A$4:$A$1510,$A876,$E$4:$E$1510,"Win")))*SUMIFS($Z$4:$Z$1510,$A$4:$A$1510,$A876,$E$4:$E$1510,"Loss"),-('Guide &amp; Settings'!$C$42/($F876-1))*$Z876)))</f>
        <v>0</v>
      </c>
      <c r="AB876" s="126">
        <f t="shared" si="276"/>
        <v>0</v>
      </c>
      <c r="AC876" t="str">
        <f>IF($D876="","",IF($AD876=0,0,IF(COUNTIFS($D$4:$D876,$D876,$B$4:$B876,$B876)&gt;1,0,IF($B876&lt;'Guide &amp; Settings'!$C$50,0,IF(($B876-$AD876)/7-'Guide &amp; Settings'!$C$48&gt;=0,(INT(($B876-$AD876)/7-'Guide &amp; Settings'!$C$48)+1)*'Guide &amp; Settings'!$C$49,0)))))</f>
        <v/>
      </c>
      <c r="AD876" s="142">
        <f t="shared" si="277"/>
        <v>0</v>
      </c>
      <c r="AE876">
        <f t="shared" si="278"/>
        <v>0</v>
      </c>
      <c r="AF876">
        <f t="shared" si="279"/>
        <v>0</v>
      </c>
    </row>
    <row r="877" spans="1:32" x14ac:dyDescent="0.2">
      <c r="A877" s="117"/>
      <c r="B877" s="118"/>
      <c r="C877" s="119"/>
      <c r="D877" s="119"/>
      <c r="E877" s="117"/>
      <c r="F877" s="120">
        <f t="shared" si="260"/>
        <v>0</v>
      </c>
      <c r="G877" s="121" t="str">
        <f t="shared" si="261"/>
        <v/>
      </c>
      <c r="H877" s="122">
        <f>IF($D877="",0,IFERROR(LOOKUP(2,1/(($D$3:D876=$D877)*($A$3:A876&lt;$A877)),$N$3:N876),'Guide &amp; Settings'!$C$41))</f>
        <v>0</v>
      </c>
      <c r="I877" s="123">
        <f t="shared" si="262"/>
        <v>0</v>
      </c>
      <c r="J877" s="124">
        <f>IF($D877="",0,IF($F877&lt;2,0,IF($E877="Win",('Guide &amp; Settings'!$C$42/(($F877-1)*COUNTIFS($A$4:$A$1510,$A877,$E$4:$E$1510,"Win")))*SUMIFS($X$4:$X$1510,$A$4:$A$1510,$A877,$E$4:$E$1510,"Loss"),-('Guide &amp; Settings'!$C$42/($F877-1))*$X877)))</f>
        <v>0</v>
      </c>
      <c r="K877" s="124">
        <f>IF($D877="",0,'Guide &amp; Settings'!$C$43*(IF($E877="Win",1,0)-$I877))</f>
        <v>0</v>
      </c>
      <c r="L877" s="125">
        <f>IF($D877="",0,'Guide &amp; Settings'!$C$44*IF($F877&gt;=3,$F877,0))</f>
        <v>0</v>
      </c>
      <c r="M877" s="124">
        <f t="shared" si="263"/>
        <v>0</v>
      </c>
      <c r="N877" s="122">
        <f t="shared" si="264"/>
        <v>0</v>
      </c>
      <c r="O877" s="121" t="str">
        <f t="shared" si="265"/>
        <v/>
      </c>
      <c r="P877">
        <f t="shared" si="266"/>
        <v>0</v>
      </c>
      <c r="Q877">
        <f t="shared" si="267"/>
        <v>0</v>
      </c>
      <c r="R877">
        <f t="shared" si="268"/>
        <v>0</v>
      </c>
      <c r="S877">
        <f t="shared" si="269"/>
        <v>0</v>
      </c>
      <c r="T877" s="89">
        <f t="shared" si="270"/>
        <v>0</v>
      </c>
      <c r="U877" s="126">
        <f>IF($D877="",0,IFERROR(LOOKUP(2,1/(($D$3:D876=$D877)*($C$3:C876=$C877)*($A$3:A876&lt;$A877)),$AB$3:AB876),1000))</f>
        <v>0</v>
      </c>
      <c r="V877" s="126">
        <f t="shared" si="271"/>
        <v>0</v>
      </c>
      <c r="W877">
        <f t="shared" si="272"/>
        <v>0</v>
      </c>
      <c r="X877">
        <f t="shared" si="273"/>
        <v>0</v>
      </c>
      <c r="Y877">
        <f t="shared" si="274"/>
        <v>0</v>
      </c>
      <c r="Z877">
        <f t="shared" si="275"/>
        <v>0</v>
      </c>
      <c r="AA877">
        <f>IF($D877="",0,IF($F877&lt;2,0,IF($E877="Win",('Guide &amp; Settings'!$C$42/(($F877-1)*COUNTIFS($A$4:$A$1510,$A877,$E$4:$E$1510,"Win")))*SUMIFS($Z$4:$Z$1510,$A$4:$A$1510,$A877,$E$4:$E$1510,"Loss"),-('Guide &amp; Settings'!$C$42/($F877-1))*$Z877)))</f>
        <v>0</v>
      </c>
      <c r="AB877" s="126">
        <f t="shared" si="276"/>
        <v>0</v>
      </c>
      <c r="AC877" t="str">
        <f>IF($D877="","",IF($AD877=0,0,IF(COUNTIFS($D$4:$D877,$D877,$B$4:$B877,$B877)&gt;1,0,IF($B877&lt;'Guide &amp; Settings'!$C$50,0,IF(($B877-$AD877)/7-'Guide &amp; Settings'!$C$48&gt;=0,(INT(($B877-$AD877)/7-'Guide &amp; Settings'!$C$48)+1)*'Guide &amp; Settings'!$C$49,0)))))</f>
        <v/>
      </c>
      <c r="AD877" s="142">
        <f t="shared" si="277"/>
        <v>0</v>
      </c>
      <c r="AE877">
        <f t="shared" si="278"/>
        <v>0</v>
      </c>
      <c r="AF877">
        <f t="shared" si="279"/>
        <v>0</v>
      </c>
    </row>
    <row r="878" spans="1:32" x14ac:dyDescent="0.2">
      <c r="A878" s="117"/>
      <c r="B878" s="118"/>
      <c r="C878" s="119"/>
      <c r="D878" s="119"/>
      <c r="E878" s="117"/>
      <c r="F878" s="120">
        <f t="shared" si="260"/>
        <v>0</v>
      </c>
      <c r="G878" s="121" t="str">
        <f t="shared" si="261"/>
        <v/>
      </c>
      <c r="H878" s="122">
        <f>IF($D878="",0,IFERROR(LOOKUP(2,1/(($D$3:D877=$D878)*($A$3:A877&lt;$A878)),$N$3:N877),'Guide &amp; Settings'!$C$41))</f>
        <v>0</v>
      </c>
      <c r="I878" s="123">
        <f t="shared" si="262"/>
        <v>0</v>
      </c>
      <c r="J878" s="124">
        <f>IF($D878="",0,IF($F878&lt;2,0,IF($E878="Win",('Guide &amp; Settings'!$C$42/(($F878-1)*COUNTIFS($A$4:$A$1510,$A878,$E$4:$E$1510,"Win")))*SUMIFS($X$4:$X$1510,$A$4:$A$1510,$A878,$E$4:$E$1510,"Loss"),-('Guide &amp; Settings'!$C$42/($F878-1))*$X878)))</f>
        <v>0</v>
      </c>
      <c r="K878" s="124">
        <f>IF($D878="",0,'Guide &amp; Settings'!$C$43*(IF($E878="Win",1,0)-$I878))</f>
        <v>0</v>
      </c>
      <c r="L878" s="125">
        <f>IF($D878="",0,'Guide &amp; Settings'!$C$44*IF($F878&gt;=3,$F878,0))</f>
        <v>0</v>
      </c>
      <c r="M878" s="124">
        <f t="shared" si="263"/>
        <v>0</v>
      </c>
      <c r="N878" s="122">
        <f t="shared" si="264"/>
        <v>0</v>
      </c>
      <c r="O878" s="121" t="str">
        <f t="shared" si="265"/>
        <v/>
      </c>
      <c r="P878">
        <f t="shared" si="266"/>
        <v>0</v>
      </c>
      <c r="Q878">
        <f t="shared" si="267"/>
        <v>0</v>
      </c>
      <c r="R878">
        <f t="shared" si="268"/>
        <v>0</v>
      </c>
      <c r="S878">
        <f t="shared" si="269"/>
        <v>0</v>
      </c>
      <c r="T878" s="89">
        <f t="shared" si="270"/>
        <v>0</v>
      </c>
      <c r="U878" s="126">
        <f>IF($D878="",0,IFERROR(LOOKUP(2,1/(($D$3:D877=$D878)*($C$3:C877=$C878)*($A$3:A877&lt;$A878)),$AB$3:AB877),1000))</f>
        <v>0</v>
      </c>
      <c r="V878" s="126">
        <f t="shared" si="271"/>
        <v>0</v>
      </c>
      <c r="W878">
        <f t="shared" si="272"/>
        <v>0</v>
      </c>
      <c r="X878">
        <f t="shared" si="273"/>
        <v>0</v>
      </c>
      <c r="Y878">
        <f t="shared" si="274"/>
        <v>0</v>
      </c>
      <c r="Z878">
        <f t="shared" si="275"/>
        <v>0</v>
      </c>
      <c r="AA878">
        <f>IF($D878="",0,IF($F878&lt;2,0,IF($E878="Win",('Guide &amp; Settings'!$C$42/(($F878-1)*COUNTIFS($A$4:$A$1510,$A878,$E$4:$E$1510,"Win")))*SUMIFS($Z$4:$Z$1510,$A$4:$A$1510,$A878,$E$4:$E$1510,"Loss"),-('Guide &amp; Settings'!$C$42/($F878-1))*$Z878)))</f>
        <v>0</v>
      </c>
      <c r="AB878" s="126">
        <f t="shared" si="276"/>
        <v>0</v>
      </c>
      <c r="AC878" t="str">
        <f>IF($D878="","",IF($AD878=0,0,IF(COUNTIFS($D$4:$D878,$D878,$B$4:$B878,$B878)&gt;1,0,IF($B878&lt;'Guide &amp; Settings'!$C$50,0,IF(($B878-$AD878)/7-'Guide &amp; Settings'!$C$48&gt;=0,(INT(($B878-$AD878)/7-'Guide &amp; Settings'!$C$48)+1)*'Guide &amp; Settings'!$C$49,0)))))</f>
        <v/>
      </c>
      <c r="AD878" s="142">
        <f t="shared" si="277"/>
        <v>0</v>
      </c>
      <c r="AE878">
        <f t="shared" si="278"/>
        <v>0</v>
      </c>
      <c r="AF878">
        <f t="shared" si="279"/>
        <v>0</v>
      </c>
    </row>
    <row r="879" spans="1:32" x14ac:dyDescent="0.2">
      <c r="A879" s="117"/>
      <c r="B879" s="118"/>
      <c r="C879" s="119"/>
      <c r="D879" s="119"/>
      <c r="E879" s="117"/>
      <c r="F879" s="120">
        <f t="shared" si="260"/>
        <v>0</v>
      </c>
      <c r="G879" s="121" t="str">
        <f t="shared" si="261"/>
        <v/>
      </c>
      <c r="H879" s="122">
        <f>IF($D879="",0,IFERROR(LOOKUP(2,1/(($D$3:D878=$D879)*($A$3:A878&lt;$A879)),$N$3:N878),'Guide &amp; Settings'!$C$41))</f>
        <v>0</v>
      </c>
      <c r="I879" s="123">
        <f t="shared" si="262"/>
        <v>0</v>
      </c>
      <c r="J879" s="124">
        <f>IF($D879="",0,IF($F879&lt;2,0,IF($E879="Win",('Guide &amp; Settings'!$C$42/(($F879-1)*COUNTIFS($A$4:$A$1510,$A879,$E$4:$E$1510,"Win")))*SUMIFS($X$4:$X$1510,$A$4:$A$1510,$A879,$E$4:$E$1510,"Loss"),-('Guide &amp; Settings'!$C$42/($F879-1))*$X879)))</f>
        <v>0</v>
      </c>
      <c r="K879" s="124">
        <f>IF($D879="",0,'Guide &amp; Settings'!$C$43*(IF($E879="Win",1,0)-$I879))</f>
        <v>0</v>
      </c>
      <c r="L879" s="125">
        <f>IF($D879="",0,'Guide &amp; Settings'!$C$44*IF($F879&gt;=3,$F879,0))</f>
        <v>0</v>
      </c>
      <c r="M879" s="124">
        <f t="shared" si="263"/>
        <v>0</v>
      </c>
      <c r="N879" s="122">
        <f t="shared" si="264"/>
        <v>0</v>
      </c>
      <c r="O879" s="121" t="str">
        <f t="shared" si="265"/>
        <v/>
      </c>
      <c r="P879">
        <f t="shared" si="266"/>
        <v>0</v>
      </c>
      <c r="Q879">
        <f t="shared" si="267"/>
        <v>0</v>
      </c>
      <c r="R879">
        <f t="shared" si="268"/>
        <v>0</v>
      </c>
      <c r="S879">
        <f t="shared" si="269"/>
        <v>0</v>
      </c>
      <c r="T879" s="89">
        <f t="shared" si="270"/>
        <v>0</v>
      </c>
      <c r="U879" s="126">
        <f>IF($D879="",0,IFERROR(LOOKUP(2,1/(($D$3:D878=$D879)*($C$3:C878=$C879)*($A$3:A878&lt;$A879)),$AB$3:AB878),1000))</f>
        <v>0</v>
      </c>
      <c r="V879" s="126">
        <f t="shared" si="271"/>
        <v>0</v>
      </c>
      <c r="W879">
        <f t="shared" si="272"/>
        <v>0</v>
      </c>
      <c r="X879">
        <f t="shared" si="273"/>
        <v>0</v>
      </c>
      <c r="Y879">
        <f t="shared" si="274"/>
        <v>0</v>
      </c>
      <c r="Z879">
        <f t="shared" si="275"/>
        <v>0</v>
      </c>
      <c r="AA879">
        <f>IF($D879="",0,IF($F879&lt;2,0,IF($E879="Win",('Guide &amp; Settings'!$C$42/(($F879-1)*COUNTIFS($A$4:$A$1510,$A879,$E$4:$E$1510,"Win")))*SUMIFS($Z$4:$Z$1510,$A$4:$A$1510,$A879,$E$4:$E$1510,"Loss"),-('Guide &amp; Settings'!$C$42/($F879-1))*$Z879)))</f>
        <v>0</v>
      </c>
      <c r="AB879" s="126">
        <f t="shared" si="276"/>
        <v>0</v>
      </c>
      <c r="AC879" t="str">
        <f>IF($D879="","",IF($AD879=0,0,IF(COUNTIFS($D$4:$D879,$D879,$B$4:$B879,$B879)&gt;1,0,IF($B879&lt;'Guide &amp; Settings'!$C$50,0,IF(($B879-$AD879)/7-'Guide &amp; Settings'!$C$48&gt;=0,(INT(($B879-$AD879)/7-'Guide &amp; Settings'!$C$48)+1)*'Guide &amp; Settings'!$C$49,0)))))</f>
        <v/>
      </c>
      <c r="AD879" s="142">
        <f t="shared" si="277"/>
        <v>0</v>
      </c>
      <c r="AE879">
        <f t="shared" si="278"/>
        <v>0</v>
      </c>
      <c r="AF879">
        <f t="shared" si="279"/>
        <v>0</v>
      </c>
    </row>
    <row r="880" spans="1:32" x14ac:dyDescent="0.2">
      <c r="A880" s="117"/>
      <c r="B880" s="118"/>
      <c r="C880" s="119"/>
      <c r="D880" s="119"/>
      <c r="E880" s="117"/>
      <c r="F880" s="120">
        <f t="shared" si="260"/>
        <v>0</v>
      </c>
      <c r="G880" s="121" t="str">
        <f t="shared" si="261"/>
        <v/>
      </c>
      <c r="H880" s="122">
        <f>IF($D880="",0,IFERROR(LOOKUP(2,1/(($D$3:D879=$D880)*($A$3:A879&lt;$A880)),$N$3:N879),'Guide &amp; Settings'!$C$41))</f>
        <v>0</v>
      </c>
      <c r="I880" s="123">
        <f t="shared" si="262"/>
        <v>0</v>
      </c>
      <c r="J880" s="124">
        <f>IF($D880="",0,IF($F880&lt;2,0,IF($E880="Win",('Guide &amp; Settings'!$C$42/(($F880-1)*COUNTIFS($A$4:$A$1510,$A880,$E$4:$E$1510,"Win")))*SUMIFS($X$4:$X$1510,$A$4:$A$1510,$A880,$E$4:$E$1510,"Loss"),-('Guide &amp; Settings'!$C$42/($F880-1))*$X880)))</f>
        <v>0</v>
      </c>
      <c r="K880" s="124">
        <f>IF($D880="",0,'Guide &amp; Settings'!$C$43*(IF($E880="Win",1,0)-$I880))</f>
        <v>0</v>
      </c>
      <c r="L880" s="125">
        <f>IF($D880="",0,'Guide &amp; Settings'!$C$44*IF($F880&gt;=3,$F880,0))</f>
        <v>0</v>
      </c>
      <c r="M880" s="124">
        <f t="shared" si="263"/>
        <v>0</v>
      </c>
      <c r="N880" s="122">
        <f t="shared" si="264"/>
        <v>0</v>
      </c>
      <c r="O880" s="121" t="str">
        <f t="shared" si="265"/>
        <v/>
      </c>
      <c r="P880">
        <f t="shared" si="266"/>
        <v>0</v>
      </c>
      <c r="Q880">
        <f t="shared" si="267"/>
        <v>0</v>
      </c>
      <c r="R880">
        <f t="shared" si="268"/>
        <v>0</v>
      </c>
      <c r="S880">
        <f t="shared" si="269"/>
        <v>0</v>
      </c>
      <c r="T880" s="89">
        <f t="shared" si="270"/>
        <v>0</v>
      </c>
      <c r="U880" s="126">
        <f>IF($D880="",0,IFERROR(LOOKUP(2,1/(($D$3:D879=$D880)*($C$3:C879=$C880)*($A$3:A879&lt;$A880)),$AB$3:AB879),1000))</f>
        <v>0</v>
      </c>
      <c r="V880" s="126">
        <f t="shared" si="271"/>
        <v>0</v>
      </c>
      <c r="W880">
        <f t="shared" si="272"/>
        <v>0</v>
      </c>
      <c r="X880">
        <f t="shared" si="273"/>
        <v>0</v>
      </c>
      <c r="Y880">
        <f t="shared" si="274"/>
        <v>0</v>
      </c>
      <c r="Z880">
        <f t="shared" si="275"/>
        <v>0</v>
      </c>
      <c r="AA880">
        <f>IF($D880="",0,IF($F880&lt;2,0,IF($E880="Win",('Guide &amp; Settings'!$C$42/(($F880-1)*COUNTIFS($A$4:$A$1510,$A880,$E$4:$E$1510,"Win")))*SUMIFS($Z$4:$Z$1510,$A$4:$A$1510,$A880,$E$4:$E$1510,"Loss"),-('Guide &amp; Settings'!$C$42/($F880-1))*$Z880)))</f>
        <v>0</v>
      </c>
      <c r="AB880" s="126">
        <f t="shared" si="276"/>
        <v>0</v>
      </c>
      <c r="AC880" t="str">
        <f>IF($D880="","",IF($AD880=0,0,IF(COUNTIFS($D$4:$D880,$D880,$B$4:$B880,$B880)&gt;1,0,IF($B880&lt;'Guide &amp; Settings'!$C$50,0,IF(($B880-$AD880)/7-'Guide &amp; Settings'!$C$48&gt;=0,(INT(($B880-$AD880)/7-'Guide &amp; Settings'!$C$48)+1)*'Guide &amp; Settings'!$C$49,0)))))</f>
        <v/>
      </c>
      <c r="AD880" s="142">
        <f t="shared" si="277"/>
        <v>0</v>
      </c>
      <c r="AE880">
        <f t="shared" si="278"/>
        <v>0</v>
      </c>
      <c r="AF880">
        <f t="shared" si="279"/>
        <v>0</v>
      </c>
    </row>
    <row r="881" spans="1:32" x14ac:dyDescent="0.2">
      <c r="A881" s="117"/>
      <c r="B881" s="118"/>
      <c r="C881" s="119"/>
      <c r="D881" s="119"/>
      <c r="E881" s="117"/>
      <c r="F881" s="120">
        <f t="shared" si="260"/>
        <v>0</v>
      </c>
      <c r="G881" s="121" t="str">
        <f t="shared" si="261"/>
        <v/>
      </c>
      <c r="H881" s="122">
        <f>IF($D881="",0,IFERROR(LOOKUP(2,1/(($D$3:D880=$D881)*($A$3:A880&lt;$A881)),$N$3:N880),'Guide &amp; Settings'!$C$41))</f>
        <v>0</v>
      </c>
      <c r="I881" s="123">
        <f t="shared" si="262"/>
        <v>0</v>
      </c>
      <c r="J881" s="124">
        <f>IF($D881="",0,IF($F881&lt;2,0,IF($E881="Win",('Guide &amp; Settings'!$C$42/(($F881-1)*COUNTIFS($A$4:$A$1510,$A881,$E$4:$E$1510,"Win")))*SUMIFS($X$4:$X$1510,$A$4:$A$1510,$A881,$E$4:$E$1510,"Loss"),-('Guide &amp; Settings'!$C$42/($F881-1))*$X881)))</f>
        <v>0</v>
      </c>
      <c r="K881" s="124">
        <f>IF($D881="",0,'Guide &amp; Settings'!$C$43*(IF($E881="Win",1,0)-$I881))</f>
        <v>0</v>
      </c>
      <c r="L881" s="125">
        <f>IF($D881="",0,'Guide &amp; Settings'!$C$44*IF($F881&gt;=3,$F881,0))</f>
        <v>0</v>
      </c>
      <c r="M881" s="124">
        <f t="shared" si="263"/>
        <v>0</v>
      </c>
      <c r="N881" s="122">
        <f t="shared" si="264"/>
        <v>0</v>
      </c>
      <c r="O881" s="121" t="str">
        <f t="shared" si="265"/>
        <v/>
      </c>
      <c r="P881">
        <f t="shared" si="266"/>
        <v>0</v>
      </c>
      <c r="Q881">
        <f t="shared" si="267"/>
        <v>0</v>
      </c>
      <c r="R881">
        <f t="shared" si="268"/>
        <v>0</v>
      </c>
      <c r="S881">
        <f t="shared" si="269"/>
        <v>0</v>
      </c>
      <c r="T881" s="89">
        <f t="shared" si="270"/>
        <v>0</v>
      </c>
      <c r="U881" s="126">
        <f>IF($D881="",0,IFERROR(LOOKUP(2,1/(($D$3:D880=$D881)*($C$3:C880=$C881)*($A$3:A880&lt;$A881)),$AB$3:AB880),1000))</f>
        <v>0</v>
      </c>
      <c r="V881" s="126">
        <f t="shared" si="271"/>
        <v>0</v>
      </c>
      <c r="W881">
        <f t="shared" si="272"/>
        <v>0</v>
      </c>
      <c r="X881">
        <f t="shared" si="273"/>
        <v>0</v>
      </c>
      <c r="Y881">
        <f t="shared" si="274"/>
        <v>0</v>
      </c>
      <c r="Z881">
        <f t="shared" si="275"/>
        <v>0</v>
      </c>
      <c r="AA881">
        <f>IF($D881="",0,IF($F881&lt;2,0,IF($E881="Win",('Guide &amp; Settings'!$C$42/(($F881-1)*COUNTIFS($A$4:$A$1510,$A881,$E$4:$E$1510,"Win")))*SUMIFS($Z$4:$Z$1510,$A$4:$A$1510,$A881,$E$4:$E$1510,"Loss"),-('Guide &amp; Settings'!$C$42/($F881-1))*$Z881)))</f>
        <v>0</v>
      </c>
      <c r="AB881" s="126">
        <f t="shared" si="276"/>
        <v>0</v>
      </c>
      <c r="AC881" t="str">
        <f>IF($D881="","",IF($AD881=0,0,IF(COUNTIFS($D$4:$D881,$D881,$B$4:$B881,$B881)&gt;1,0,IF($B881&lt;'Guide &amp; Settings'!$C$50,0,IF(($B881-$AD881)/7-'Guide &amp; Settings'!$C$48&gt;=0,(INT(($B881-$AD881)/7-'Guide &amp; Settings'!$C$48)+1)*'Guide &amp; Settings'!$C$49,0)))))</f>
        <v/>
      </c>
      <c r="AD881" s="142">
        <f t="shared" si="277"/>
        <v>0</v>
      </c>
      <c r="AE881">
        <f t="shared" si="278"/>
        <v>0</v>
      </c>
      <c r="AF881">
        <f t="shared" si="279"/>
        <v>0</v>
      </c>
    </row>
    <row r="882" spans="1:32" x14ac:dyDescent="0.2">
      <c r="A882" s="117"/>
      <c r="B882" s="118"/>
      <c r="C882" s="119"/>
      <c r="D882" s="119"/>
      <c r="E882" s="117"/>
      <c r="F882" s="120">
        <f t="shared" si="260"/>
        <v>0</v>
      </c>
      <c r="G882" s="121" t="str">
        <f t="shared" si="261"/>
        <v/>
      </c>
      <c r="H882" s="122">
        <f>IF($D882="",0,IFERROR(LOOKUP(2,1/(($D$3:D881=$D882)*($A$3:A881&lt;$A882)),$N$3:N881),'Guide &amp; Settings'!$C$41))</f>
        <v>0</v>
      </c>
      <c r="I882" s="123">
        <f t="shared" si="262"/>
        <v>0</v>
      </c>
      <c r="J882" s="124">
        <f>IF($D882="",0,IF($F882&lt;2,0,IF($E882="Win",('Guide &amp; Settings'!$C$42/(($F882-1)*COUNTIFS($A$4:$A$1510,$A882,$E$4:$E$1510,"Win")))*SUMIFS($X$4:$X$1510,$A$4:$A$1510,$A882,$E$4:$E$1510,"Loss"),-('Guide &amp; Settings'!$C$42/($F882-1))*$X882)))</f>
        <v>0</v>
      </c>
      <c r="K882" s="124">
        <f>IF($D882="",0,'Guide &amp; Settings'!$C$43*(IF($E882="Win",1,0)-$I882))</f>
        <v>0</v>
      </c>
      <c r="L882" s="125">
        <f>IF($D882="",0,'Guide &amp; Settings'!$C$44*IF($F882&gt;=3,$F882,0))</f>
        <v>0</v>
      </c>
      <c r="M882" s="124">
        <f t="shared" si="263"/>
        <v>0</v>
      </c>
      <c r="N882" s="122">
        <f t="shared" si="264"/>
        <v>0</v>
      </c>
      <c r="O882" s="121" t="str">
        <f t="shared" si="265"/>
        <v/>
      </c>
      <c r="P882">
        <f t="shared" si="266"/>
        <v>0</v>
      </c>
      <c r="Q882">
        <f t="shared" si="267"/>
        <v>0</v>
      </c>
      <c r="R882">
        <f t="shared" si="268"/>
        <v>0</v>
      </c>
      <c r="S882">
        <f t="shared" si="269"/>
        <v>0</v>
      </c>
      <c r="T882" s="89">
        <f t="shared" si="270"/>
        <v>0</v>
      </c>
      <c r="U882" s="126">
        <f>IF($D882="",0,IFERROR(LOOKUP(2,1/(($D$3:D881=$D882)*($C$3:C881=$C882)*($A$3:A881&lt;$A882)),$AB$3:AB881),1000))</f>
        <v>0</v>
      </c>
      <c r="V882" s="126">
        <f t="shared" si="271"/>
        <v>0</v>
      </c>
      <c r="W882">
        <f t="shared" si="272"/>
        <v>0</v>
      </c>
      <c r="X882">
        <f t="shared" si="273"/>
        <v>0</v>
      </c>
      <c r="Y882">
        <f t="shared" si="274"/>
        <v>0</v>
      </c>
      <c r="Z882">
        <f t="shared" si="275"/>
        <v>0</v>
      </c>
      <c r="AA882">
        <f>IF($D882="",0,IF($F882&lt;2,0,IF($E882="Win",('Guide &amp; Settings'!$C$42/(($F882-1)*COUNTIFS($A$4:$A$1510,$A882,$E$4:$E$1510,"Win")))*SUMIFS($Z$4:$Z$1510,$A$4:$A$1510,$A882,$E$4:$E$1510,"Loss"),-('Guide &amp; Settings'!$C$42/($F882-1))*$Z882)))</f>
        <v>0</v>
      </c>
      <c r="AB882" s="126">
        <f t="shared" si="276"/>
        <v>0</v>
      </c>
      <c r="AC882" t="str">
        <f>IF($D882="","",IF($AD882=0,0,IF(COUNTIFS($D$4:$D882,$D882,$B$4:$B882,$B882)&gt;1,0,IF($B882&lt;'Guide &amp; Settings'!$C$50,0,IF(($B882-$AD882)/7-'Guide &amp; Settings'!$C$48&gt;=0,(INT(($B882-$AD882)/7-'Guide &amp; Settings'!$C$48)+1)*'Guide &amp; Settings'!$C$49,0)))))</f>
        <v/>
      </c>
      <c r="AD882" s="142">
        <f t="shared" si="277"/>
        <v>0</v>
      </c>
      <c r="AE882">
        <f t="shared" si="278"/>
        <v>0</v>
      </c>
      <c r="AF882">
        <f t="shared" si="279"/>
        <v>0</v>
      </c>
    </row>
    <row r="883" spans="1:32" x14ac:dyDescent="0.2">
      <c r="A883" s="117"/>
      <c r="B883" s="118"/>
      <c r="C883" s="119"/>
      <c r="D883" s="119"/>
      <c r="E883" s="117"/>
      <c r="F883" s="120">
        <f t="shared" si="260"/>
        <v>0</v>
      </c>
      <c r="G883" s="121" t="str">
        <f t="shared" si="261"/>
        <v/>
      </c>
      <c r="H883" s="122">
        <f>IF($D883="",0,IFERROR(LOOKUP(2,1/(($D$3:D882=$D883)*($A$3:A882&lt;$A883)),$N$3:N882),'Guide &amp; Settings'!$C$41))</f>
        <v>0</v>
      </c>
      <c r="I883" s="123">
        <f t="shared" si="262"/>
        <v>0</v>
      </c>
      <c r="J883" s="124">
        <f>IF($D883="",0,IF($F883&lt;2,0,IF($E883="Win",('Guide &amp; Settings'!$C$42/(($F883-1)*COUNTIFS($A$4:$A$1510,$A883,$E$4:$E$1510,"Win")))*SUMIFS($X$4:$X$1510,$A$4:$A$1510,$A883,$E$4:$E$1510,"Loss"),-('Guide &amp; Settings'!$C$42/($F883-1))*$X883)))</f>
        <v>0</v>
      </c>
      <c r="K883" s="124">
        <f>IF($D883="",0,'Guide &amp; Settings'!$C$43*(IF($E883="Win",1,0)-$I883))</f>
        <v>0</v>
      </c>
      <c r="L883" s="125">
        <f>IF($D883="",0,'Guide &amp; Settings'!$C$44*IF($F883&gt;=3,$F883,0))</f>
        <v>0</v>
      </c>
      <c r="M883" s="124">
        <f t="shared" si="263"/>
        <v>0</v>
      </c>
      <c r="N883" s="122">
        <f t="shared" si="264"/>
        <v>0</v>
      </c>
      <c r="O883" s="121" t="str">
        <f t="shared" si="265"/>
        <v/>
      </c>
      <c r="P883">
        <f t="shared" si="266"/>
        <v>0</v>
      </c>
      <c r="Q883">
        <f t="shared" si="267"/>
        <v>0</v>
      </c>
      <c r="R883">
        <f t="shared" si="268"/>
        <v>0</v>
      </c>
      <c r="S883">
        <f t="shared" si="269"/>
        <v>0</v>
      </c>
      <c r="T883" s="89">
        <f t="shared" si="270"/>
        <v>0</v>
      </c>
      <c r="U883" s="126">
        <f>IF($D883="",0,IFERROR(LOOKUP(2,1/(($D$3:D882=$D883)*($C$3:C882=$C883)*($A$3:A882&lt;$A883)),$AB$3:AB882),1000))</f>
        <v>0</v>
      </c>
      <c r="V883" s="126">
        <f t="shared" si="271"/>
        <v>0</v>
      </c>
      <c r="W883">
        <f t="shared" si="272"/>
        <v>0</v>
      </c>
      <c r="X883">
        <f t="shared" si="273"/>
        <v>0</v>
      </c>
      <c r="Y883">
        <f t="shared" si="274"/>
        <v>0</v>
      </c>
      <c r="Z883">
        <f t="shared" si="275"/>
        <v>0</v>
      </c>
      <c r="AA883">
        <f>IF($D883="",0,IF($F883&lt;2,0,IF($E883="Win",('Guide &amp; Settings'!$C$42/(($F883-1)*COUNTIFS($A$4:$A$1510,$A883,$E$4:$E$1510,"Win")))*SUMIFS($Z$4:$Z$1510,$A$4:$A$1510,$A883,$E$4:$E$1510,"Loss"),-('Guide &amp; Settings'!$C$42/($F883-1))*$Z883)))</f>
        <v>0</v>
      </c>
      <c r="AB883" s="126">
        <f t="shared" si="276"/>
        <v>0</v>
      </c>
      <c r="AC883" t="str">
        <f>IF($D883="","",IF($AD883=0,0,IF(COUNTIFS($D$4:$D883,$D883,$B$4:$B883,$B883)&gt;1,0,IF($B883&lt;'Guide &amp; Settings'!$C$50,0,IF(($B883-$AD883)/7-'Guide &amp; Settings'!$C$48&gt;=0,(INT(($B883-$AD883)/7-'Guide &amp; Settings'!$C$48)+1)*'Guide &amp; Settings'!$C$49,0)))))</f>
        <v/>
      </c>
      <c r="AD883" s="142">
        <f t="shared" si="277"/>
        <v>0</v>
      </c>
      <c r="AE883">
        <f t="shared" si="278"/>
        <v>0</v>
      </c>
      <c r="AF883">
        <f t="shared" si="279"/>
        <v>0</v>
      </c>
    </row>
    <row r="884" spans="1:32" x14ac:dyDescent="0.2">
      <c r="A884" s="117"/>
      <c r="B884" s="118"/>
      <c r="C884" s="119"/>
      <c r="D884" s="119"/>
      <c r="E884" s="117"/>
      <c r="F884" s="120">
        <f t="shared" si="260"/>
        <v>0</v>
      </c>
      <c r="G884" s="121" t="str">
        <f t="shared" si="261"/>
        <v/>
      </c>
      <c r="H884" s="122">
        <f>IF($D884="",0,IFERROR(LOOKUP(2,1/(($D$3:D883=$D884)*($A$3:A883&lt;$A884)),$N$3:N883),'Guide &amp; Settings'!$C$41))</f>
        <v>0</v>
      </c>
      <c r="I884" s="123">
        <f t="shared" si="262"/>
        <v>0</v>
      </c>
      <c r="J884" s="124">
        <f>IF($D884="",0,IF($F884&lt;2,0,IF($E884="Win",('Guide &amp; Settings'!$C$42/(($F884-1)*COUNTIFS($A$4:$A$1510,$A884,$E$4:$E$1510,"Win")))*SUMIFS($X$4:$X$1510,$A$4:$A$1510,$A884,$E$4:$E$1510,"Loss"),-('Guide &amp; Settings'!$C$42/($F884-1))*$X884)))</f>
        <v>0</v>
      </c>
      <c r="K884" s="124">
        <f>IF($D884="",0,'Guide &amp; Settings'!$C$43*(IF($E884="Win",1,0)-$I884))</f>
        <v>0</v>
      </c>
      <c r="L884" s="125">
        <f>IF($D884="",0,'Guide &amp; Settings'!$C$44*IF($F884&gt;=3,$F884,0))</f>
        <v>0</v>
      </c>
      <c r="M884" s="124">
        <f t="shared" si="263"/>
        <v>0</v>
      </c>
      <c r="N884" s="122">
        <f t="shared" si="264"/>
        <v>0</v>
      </c>
      <c r="O884" s="121" t="str">
        <f t="shared" si="265"/>
        <v/>
      </c>
      <c r="P884">
        <f t="shared" si="266"/>
        <v>0</v>
      </c>
      <c r="Q884">
        <f t="shared" si="267"/>
        <v>0</v>
      </c>
      <c r="R884">
        <f t="shared" si="268"/>
        <v>0</v>
      </c>
      <c r="S884">
        <f t="shared" si="269"/>
        <v>0</v>
      </c>
      <c r="T884" s="89">
        <f t="shared" si="270"/>
        <v>0</v>
      </c>
      <c r="U884" s="126">
        <f>IF($D884="",0,IFERROR(LOOKUP(2,1/(($D$3:D883=$D884)*($C$3:C883=$C884)*($A$3:A883&lt;$A884)),$AB$3:AB883),1000))</f>
        <v>0</v>
      </c>
      <c r="V884" s="126">
        <f t="shared" si="271"/>
        <v>0</v>
      </c>
      <c r="W884">
        <f t="shared" si="272"/>
        <v>0</v>
      </c>
      <c r="X884">
        <f t="shared" si="273"/>
        <v>0</v>
      </c>
      <c r="Y884">
        <f t="shared" si="274"/>
        <v>0</v>
      </c>
      <c r="Z884">
        <f t="shared" si="275"/>
        <v>0</v>
      </c>
      <c r="AA884">
        <f>IF($D884="",0,IF($F884&lt;2,0,IF($E884="Win",('Guide &amp; Settings'!$C$42/(($F884-1)*COUNTIFS($A$4:$A$1510,$A884,$E$4:$E$1510,"Win")))*SUMIFS($Z$4:$Z$1510,$A$4:$A$1510,$A884,$E$4:$E$1510,"Loss"),-('Guide &amp; Settings'!$C$42/($F884-1))*$Z884)))</f>
        <v>0</v>
      </c>
      <c r="AB884" s="126">
        <f t="shared" si="276"/>
        <v>0</v>
      </c>
      <c r="AC884" t="str">
        <f>IF($D884="","",IF($AD884=0,0,IF(COUNTIFS($D$4:$D884,$D884,$B$4:$B884,$B884)&gt;1,0,IF($B884&lt;'Guide &amp; Settings'!$C$50,0,IF(($B884-$AD884)/7-'Guide &amp; Settings'!$C$48&gt;=0,(INT(($B884-$AD884)/7-'Guide &amp; Settings'!$C$48)+1)*'Guide &amp; Settings'!$C$49,0)))))</f>
        <v/>
      </c>
      <c r="AD884" s="142">
        <f t="shared" si="277"/>
        <v>0</v>
      </c>
      <c r="AE884">
        <f t="shared" si="278"/>
        <v>0</v>
      </c>
      <c r="AF884">
        <f t="shared" si="279"/>
        <v>0</v>
      </c>
    </row>
    <row r="885" spans="1:32" x14ac:dyDescent="0.2">
      <c r="A885" s="117"/>
      <c r="B885" s="118"/>
      <c r="C885" s="119"/>
      <c r="D885" s="119"/>
      <c r="E885" s="117"/>
      <c r="F885" s="120">
        <f t="shared" si="260"/>
        <v>0</v>
      </c>
      <c r="G885" s="121" t="str">
        <f t="shared" si="261"/>
        <v/>
      </c>
      <c r="H885" s="122">
        <f>IF($D885="",0,IFERROR(LOOKUP(2,1/(($D$3:D884=$D885)*($A$3:A884&lt;$A885)),$N$3:N884),'Guide &amp; Settings'!$C$41))</f>
        <v>0</v>
      </c>
      <c r="I885" s="123">
        <f t="shared" si="262"/>
        <v>0</v>
      </c>
      <c r="J885" s="124">
        <f>IF($D885="",0,IF($F885&lt;2,0,IF($E885="Win",('Guide &amp; Settings'!$C$42/(($F885-1)*COUNTIFS($A$4:$A$1510,$A885,$E$4:$E$1510,"Win")))*SUMIFS($X$4:$X$1510,$A$4:$A$1510,$A885,$E$4:$E$1510,"Loss"),-('Guide &amp; Settings'!$C$42/($F885-1))*$X885)))</f>
        <v>0</v>
      </c>
      <c r="K885" s="124">
        <f>IF($D885="",0,'Guide &amp; Settings'!$C$43*(IF($E885="Win",1,0)-$I885))</f>
        <v>0</v>
      </c>
      <c r="L885" s="125">
        <f>IF($D885="",0,'Guide &amp; Settings'!$C$44*IF($F885&gt;=3,$F885,0))</f>
        <v>0</v>
      </c>
      <c r="M885" s="124">
        <f t="shared" si="263"/>
        <v>0</v>
      </c>
      <c r="N885" s="122">
        <f t="shared" si="264"/>
        <v>0</v>
      </c>
      <c r="O885" s="121" t="str">
        <f t="shared" si="265"/>
        <v/>
      </c>
      <c r="P885">
        <f t="shared" si="266"/>
        <v>0</v>
      </c>
      <c r="Q885">
        <f t="shared" si="267"/>
        <v>0</v>
      </c>
      <c r="R885">
        <f t="shared" si="268"/>
        <v>0</v>
      </c>
      <c r="S885">
        <f t="shared" si="269"/>
        <v>0</v>
      </c>
      <c r="T885" s="89">
        <f t="shared" si="270"/>
        <v>0</v>
      </c>
      <c r="U885" s="126">
        <f>IF($D885="",0,IFERROR(LOOKUP(2,1/(($D$3:D884=$D885)*($C$3:C884=$C885)*($A$3:A884&lt;$A885)),$AB$3:AB884),1000))</f>
        <v>0</v>
      </c>
      <c r="V885" s="126">
        <f t="shared" si="271"/>
        <v>0</v>
      </c>
      <c r="W885">
        <f t="shared" si="272"/>
        <v>0</v>
      </c>
      <c r="X885">
        <f t="shared" si="273"/>
        <v>0</v>
      </c>
      <c r="Y885">
        <f t="shared" si="274"/>
        <v>0</v>
      </c>
      <c r="Z885">
        <f t="shared" si="275"/>
        <v>0</v>
      </c>
      <c r="AA885">
        <f>IF($D885="",0,IF($F885&lt;2,0,IF($E885="Win",('Guide &amp; Settings'!$C$42/(($F885-1)*COUNTIFS($A$4:$A$1510,$A885,$E$4:$E$1510,"Win")))*SUMIFS($Z$4:$Z$1510,$A$4:$A$1510,$A885,$E$4:$E$1510,"Loss"),-('Guide &amp; Settings'!$C$42/($F885-1))*$Z885)))</f>
        <v>0</v>
      </c>
      <c r="AB885" s="126">
        <f t="shared" si="276"/>
        <v>0</v>
      </c>
      <c r="AC885" t="str">
        <f>IF($D885="","",IF($AD885=0,0,IF(COUNTIFS($D$4:$D885,$D885,$B$4:$B885,$B885)&gt;1,0,IF($B885&lt;'Guide &amp; Settings'!$C$50,0,IF(($B885-$AD885)/7-'Guide &amp; Settings'!$C$48&gt;=0,(INT(($B885-$AD885)/7-'Guide &amp; Settings'!$C$48)+1)*'Guide &amp; Settings'!$C$49,0)))))</f>
        <v/>
      </c>
      <c r="AD885" s="142">
        <f t="shared" si="277"/>
        <v>0</v>
      </c>
      <c r="AE885">
        <f t="shared" si="278"/>
        <v>0</v>
      </c>
      <c r="AF885">
        <f t="shared" si="279"/>
        <v>0</v>
      </c>
    </row>
    <row r="886" spans="1:32" x14ac:dyDescent="0.2">
      <c r="A886" s="117"/>
      <c r="B886" s="118"/>
      <c r="C886" s="119"/>
      <c r="D886" s="119"/>
      <c r="E886" s="117"/>
      <c r="F886" s="120">
        <f t="shared" si="260"/>
        <v>0</v>
      </c>
      <c r="G886" s="121" t="str">
        <f t="shared" si="261"/>
        <v/>
      </c>
      <c r="H886" s="122">
        <f>IF($D886="",0,IFERROR(LOOKUP(2,1/(($D$3:D885=$D886)*($A$3:A885&lt;$A886)),$N$3:N885),'Guide &amp; Settings'!$C$41))</f>
        <v>0</v>
      </c>
      <c r="I886" s="123">
        <f t="shared" si="262"/>
        <v>0</v>
      </c>
      <c r="J886" s="124">
        <f>IF($D886="",0,IF($F886&lt;2,0,IF($E886="Win",('Guide &amp; Settings'!$C$42/(($F886-1)*COUNTIFS($A$4:$A$1510,$A886,$E$4:$E$1510,"Win")))*SUMIFS($X$4:$X$1510,$A$4:$A$1510,$A886,$E$4:$E$1510,"Loss"),-('Guide &amp; Settings'!$C$42/($F886-1))*$X886)))</f>
        <v>0</v>
      </c>
      <c r="K886" s="124">
        <f>IF($D886="",0,'Guide &amp; Settings'!$C$43*(IF($E886="Win",1,0)-$I886))</f>
        <v>0</v>
      </c>
      <c r="L886" s="125">
        <f>IF($D886="",0,'Guide &amp; Settings'!$C$44*IF($F886&gt;=3,$F886,0))</f>
        <v>0</v>
      </c>
      <c r="M886" s="124">
        <f t="shared" si="263"/>
        <v>0</v>
      </c>
      <c r="N886" s="122">
        <f t="shared" si="264"/>
        <v>0</v>
      </c>
      <c r="O886" s="121" t="str">
        <f t="shared" si="265"/>
        <v/>
      </c>
      <c r="P886">
        <f t="shared" si="266"/>
        <v>0</v>
      </c>
      <c r="Q886">
        <f t="shared" si="267"/>
        <v>0</v>
      </c>
      <c r="R886">
        <f t="shared" si="268"/>
        <v>0</v>
      </c>
      <c r="S886">
        <f t="shared" si="269"/>
        <v>0</v>
      </c>
      <c r="T886" s="89">
        <f t="shared" si="270"/>
        <v>0</v>
      </c>
      <c r="U886" s="126">
        <f>IF($D886="",0,IFERROR(LOOKUP(2,1/(($D$3:D885=$D886)*($C$3:C885=$C886)*($A$3:A885&lt;$A886)),$AB$3:AB885),1000))</f>
        <v>0</v>
      </c>
      <c r="V886" s="126">
        <f t="shared" si="271"/>
        <v>0</v>
      </c>
      <c r="W886">
        <f t="shared" si="272"/>
        <v>0</v>
      </c>
      <c r="X886">
        <f t="shared" si="273"/>
        <v>0</v>
      </c>
      <c r="Y886">
        <f t="shared" si="274"/>
        <v>0</v>
      </c>
      <c r="Z886">
        <f t="shared" si="275"/>
        <v>0</v>
      </c>
      <c r="AA886">
        <f>IF($D886="",0,IF($F886&lt;2,0,IF($E886="Win",('Guide &amp; Settings'!$C$42/(($F886-1)*COUNTIFS($A$4:$A$1510,$A886,$E$4:$E$1510,"Win")))*SUMIFS($Z$4:$Z$1510,$A$4:$A$1510,$A886,$E$4:$E$1510,"Loss"),-('Guide &amp; Settings'!$C$42/($F886-1))*$Z886)))</f>
        <v>0</v>
      </c>
      <c r="AB886" s="126">
        <f t="shared" si="276"/>
        <v>0</v>
      </c>
      <c r="AC886" t="str">
        <f>IF($D886="","",IF($AD886=0,0,IF(COUNTIFS($D$4:$D886,$D886,$B$4:$B886,$B886)&gt;1,0,IF($B886&lt;'Guide &amp; Settings'!$C$50,0,IF(($B886-$AD886)/7-'Guide &amp; Settings'!$C$48&gt;=0,(INT(($B886-$AD886)/7-'Guide &amp; Settings'!$C$48)+1)*'Guide &amp; Settings'!$C$49,0)))))</f>
        <v/>
      </c>
      <c r="AD886" s="142">
        <f t="shared" si="277"/>
        <v>0</v>
      </c>
      <c r="AE886">
        <f t="shared" si="278"/>
        <v>0</v>
      </c>
      <c r="AF886">
        <f t="shared" si="279"/>
        <v>0</v>
      </c>
    </row>
    <row r="887" spans="1:32" x14ac:dyDescent="0.2">
      <c r="A887" s="117"/>
      <c r="B887" s="118"/>
      <c r="C887" s="119"/>
      <c r="D887" s="119"/>
      <c r="E887" s="117"/>
      <c r="F887" s="120">
        <f t="shared" si="260"/>
        <v>0</v>
      </c>
      <c r="G887" s="121" t="str">
        <f t="shared" si="261"/>
        <v/>
      </c>
      <c r="H887" s="122">
        <f>IF($D887="",0,IFERROR(LOOKUP(2,1/(($D$3:D886=$D887)*($A$3:A886&lt;$A887)),$N$3:N886),'Guide &amp; Settings'!$C$41))</f>
        <v>0</v>
      </c>
      <c r="I887" s="123">
        <f t="shared" si="262"/>
        <v>0</v>
      </c>
      <c r="J887" s="124">
        <f>IF($D887="",0,IF($F887&lt;2,0,IF($E887="Win",('Guide &amp; Settings'!$C$42/(($F887-1)*COUNTIFS($A$4:$A$1510,$A887,$E$4:$E$1510,"Win")))*SUMIFS($X$4:$X$1510,$A$4:$A$1510,$A887,$E$4:$E$1510,"Loss"),-('Guide &amp; Settings'!$C$42/($F887-1))*$X887)))</f>
        <v>0</v>
      </c>
      <c r="K887" s="124">
        <f>IF($D887="",0,'Guide &amp; Settings'!$C$43*(IF($E887="Win",1,0)-$I887))</f>
        <v>0</v>
      </c>
      <c r="L887" s="125">
        <f>IF($D887="",0,'Guide &amp; Settings'!$C$44*IF($F887&gt;=3,$F887,0))</f>
        <v>0</v>
      </c>
      <c r="M887" s="124">
        <f t="shared" si="263"/>
        <v>0</v>
      </c>
      <c r="N887" s="122">
        <f t="shared" si="264"/>
        <v>0</v>
      </c>
      <c r="O887" s="121" t="str">
        <f t="shared" si="265"/>
        <v/>
      </c>
      <c r="P887">
        <f t="shared" si="266"/>
        <v>0</v>
      </c>
      <c r="Q887">
        <f t="shared" si="267"/>
        <v>0</v>
      </c>
      <c r="R887">
        <f t="shared" si="268"/>
        <v>0</v>
      </c>
      <c r="S887">
        <f t="shared" si="269"/>
        <v>0</v>
      </c>
      <c r="T887" s="89">
        <f t="shared" si="270"/>
        <v>0</v>
      </c>
      <c r="U887" s="126">
        <f>IF($D887="",0,IFERROR(LOOKUP(2,1/(($D$3:D886=$D887)*($C$3:C886=$C887)*($A$3:A886&lt;$A887)),$AB$3:AB886),1000))</f>
        <v>0</v>
      </c>
      <c r="V887" s="126">
        <f t="shared" si="271"/>
        <v>0</v>
      </c>
      <c r="W887">
        <f t="shared" si="272"/>
        <v>0</v>
      </c>
      <c r="X887">
        <f t="shared" si="273"/>
        <v>0</v>
      </c>
      <c r="Y887">
        <f t="shared" si="274"/>
        <v>0</v>
      </c>
      <c r="Z887">
        <f t="shared" si="275"/>
        <v>0</v>
      </c>
      <c r="AA887">
        <f>IF($D887="",0,IF($F887&lt;2,0,IF($E887="Win",('Guide &amp; Settings'!$C$42/(($F887-1)*COUNTIFS($A$4:$A$1510,$A887,$E$4:$E$1510,"Win")))*SUMIFS($Z$4:$Z$1510,$A$4:$A$1510,$A887,$E$4:$E$1510,"Loss"),-('Guide &amp; Settings'!$C$42/($F887-1))*$Z887)))</f>
        <v>0</v>
      </c>
      <c r="AB887" s="126">
        <f t="shared" si="276"/>
        <v>0</v>
      </c>
      <c r="AC887" t="str">
        <f>IF($D887="","",IF($AD887=0,0,IF(COUNTIFS($D$4:$D887,$D887,$B$4:$B887,$B887)&gt;1,0,IF($B887&lt;'Guide &amp; Settings'!$C$50,0,IF(($B887-$AD887)/7-'Guide &amp; Settings'!$C$48&gt;=0,(INT(($B887-$AD887)/7-'Guide &amp; Settings'!$C$48)+1)*'Guide &amp; Settings'!$C$49,0)))))</f>
        <v/>
      </c>
      <c r="AD887" s="142">
        <f t="shared" si="277"/>
        <v>0</v>
      </c>
      <c r="AE887">
        <f t="shared" si="278"/>
        <v>0</v>
      </c>
      <c r="AF887">
        <f t="shared" si="279"/>
        <v>0</v>
      </c>
    </row>
    <row r="888" spans="1:32" x14ac:dyDescent="0.2">
      <c r="A888" s="117"/>
      <c r="B888" s="118"/>
      <c r="C888" s="119"/>
      <c r="D888" s="119"/>
      <c r="E888" s="117"/>
      <c r="F888" s="120">
        <f t="shared" si="260"/>
        <v>0</v>
      </c>
      <c r="G888" s="121" t="str">
        <f t="shared" si="261"/>
        <v/>
      </c>
      <c r="H888" s="122">
        <f>IF($D888="",0,IFERROR(LOOKUP(2,1/(($D$3:D887=$D888)*($A$3:A887&lt;$A888)),$N$3:N887),'Guide &amp; Settings'!$C$41))</f>
        <v>0</v>
      </c>
      <c r="I888" s="123">
        <f t="shared" si="262"/>
        <v>0</v>
      </c>
      <c r="J888" s="124">
        <f>IF($D888="",0,IF($F888&lt;2,0,IF($E888="Win",('Guide &amp; Settings'!$C$42/(($F888-1)*COUNTIFS($A$4:$A$1510,$A888,$E$4:$E$1510,"Win")))*SUMIFS($X$4:$X$1510,$A$4:$A$1510,$A888,$E$4:$E$1510,"Loss"),-('Guide &amp; Settings'!$C$42/($F888-1))*$X888)))</f>
        <v>0</v>
      </c>
      <c r="K888" s="124">
        <f>IF($D888="",0,'Guide &amp; Settings'!$C$43*(IF($E888="Win",1,0)-$I888))</f>
        <v>0</v>
      </c>
      <c r="L888" s="125">
        <f>IF($D888="",0,'Guide &amp; Settings'!$C$44*IF($F888&gt;=3,$F888,0))</f>
        <v>0</v>
      </c>
      <c r="M888" s="124">
        <f t="shared" si="263"/>
        <v>0</v>
      </c>
      <c r="N888" s="122">
        <f t="shared" si="264"/>
        <v>0</v>
      </c>
      <c r="O888" s="121" t="str">
        <f t="shared" si="265"/>
        <v/>
      </c>
      <c r="P888">
        <f t="shared" si="266"/>
        <v>0</v>
      </c>
      <c r="Q888">
        <f t="shared" si="267"/>
        <v>0</v>
      </c>
      <c r="R888">
        <f t="shared" si="268"/>
        <v>0</v>
      </c>
      <c r="S888">
        <f t="shared" si="269"/>
        <v>0</v>
      </c>
      <c r="T888" s="89">
        <f t="shared" si="270"/>
        <v>0</v>
      </c>
      <c r="U888" s="126">
        <f>IF($D888="",0,IFERROR(LOOKUP(2,1/(($D$3:D887=$D888)*($C$3:C887=$C888)*($A$3:A887&lt;$A888)),$AB$3:AB887),1000))</f>
        <v>0</v>
      </c>
      <c r="V888" s="126">
        <f t="shared" si="271"/>
        <v>0</v>
      </c>
      <c r="W888">
        <f t="shared" si="272"/>
        <v>0</v>
      </c>
      <c r="X888">
        <f t="shared" si="273"/>
        <v>0</v>
      </c>
      <c r="Y888">
        <f t="shared" si="274"/>
        <v>0</v>
      </c>
      <c r="Z888">
        <f t="shared" si="275"/>
        <v>0</v>
      </c>
      <c r="AA888">
        <f>IF($D888="",0,IF($F888&lt;2,0,IF($E888="Win",('Guide &amp; Settings'!$C$42/(($F888-1)*COUNTIFS($A$4:$A$1510,$A888,$E$4:$E$1510,"Win")))*SUMIFS($Z$4:$Z$1510,$A$4:$A$1510,$A888,$E$4:$E$1510,"Loss"),-('Guide &amp; Settings'!$C$42/($F888-1))*$Z888)))</f>
        <v>0</v>
      </c>
      <c r="AB888" s="126">
        <f t="shared" si="276"/>
        <v>0</v>
      </c>
      <c r="AC888" t="str">
        <f>IF($D888="","",IF($AD888=0,0,IF(COUNTIFS($D$4:$D888,$D888,$B$4:$B888,$B888)&gt;1,0,IF($B888&lt;'Guide &amp; Settings'!$C$50,0,IF(($B888-$AD888)/7-'Guide &amp; Settings'!$C$48&gt;=0,(INT(($B888-$AD888)/7-'Guide &amp; Settings'!$C$48)+1)*'Guide &amp; Settings'!$C$49,0)))))</f>
        <v/>
      </c>
      <c r="AD888" s="142">
        <f t="shared" si="277"/>
        <v>0</v>
      </c>
      <c r="AE888">
        <f t="shared" si="278"/>
        <v>0</v>
      </c>
      <c r="AF888">
        <f t="shared" si="279"/>
        <v>0</v>
      </c>
    </row>
    <row r="889" spans="1:32" x14ac:dyDescent="0.2">
      <c r="A889" s="117"/>
      <c r="B889" s="118"/>
      <c r="C889" s="119"/>
      <c r="D889" s="119"/>
      <c r="E889" s="117"/>
      <c r="F889" s="120">
        <f t="shared" si="260"/>
        <v>0</v>
      </c>
      <c r="G889" s="121" t="str">
        <f t="shared" si="261"/>
        <v/>
      </c>
      <c r="H889" s="122">
        <f>IF($D889="",0,IFERROR(LOOKUP(2,1/(($D$3:D888=$D889)*($A$3:A888&lt;$A889)),$N$3:N888),'Guide &amp; Settings'!$C$41))</f>
        <v>0</v>
      </c>
      <c r="I889" s="123">
        <f t="shared" si="262"/>
        <v>0</v>
      </c>
      <c r="J889" s="124">
        <f>IF($D889="",0,IF($F889&lt;2,0,IF($E889="Win",('Guide &amp; Settings'!$C$42/(($F889-1)*COUNTIFS($A$4:$A$1510,$A889,$E$4:$E$1510,"Win")))*SUMIFS($X$4:$X$1510,$A$4:$A$1510,$A889,$E$4:$E$1510,"Loss"),-('Guide &amp; Settings'!$C$42/($F889-1))*$X889)))</f>
        <v>0</v>
      </c>
      <c r="K889" s="124">
        <f>IF($D889="",0,'Guide &amp; Settings'!$C$43*(IF($E889="Win",1,0)-$I889))</f>
        <v>0</v>
      </c>
      <c r="L889" s="125">
        <f>IF($D889="",0,'Guide &amp; Settings'!$C$44*IF($F889&gt;=3,$F889,0))</f>
        <v>0</v>
      </c>
      <c r="M889" s="124">
        <f t="shared" si="263"/>
        <v>0</v>
      </c>
      <c r="N889" s="122">
        <f t="shared" si="264"/>
        <v>0</v>
      </c>
      <c r="O889" s="121" t="str">
        <f t="shared" si="265"/>
        <v/>
      </c>
      <c r="P889">
        <f t="shared" si="266"/>
        <v>0</v>
      </c>
      <c r="Q889">
        <f t="shared" si="267"/>
        <v>0</v>
      </c>
      <c r="R889">
        <f t="shared" si="268"/>
        <v>0</v>
      </c>
      <c r="S889">
        <f t="shared" si="269"/>
        <v>0</v>
      </c>
      <c r="T889" s="89">
        <f t="shared" si="270"/>
        <v>0</v>
      </c>
      <c r="U889" s="126">
        <f>IF($D889="",0,IFERROR(LOOKUP(2,1/(($D$3:D888=$D889)*($C$3:C888=$C889)*($A$3:A888&lt;$A889)),$AB$3:AB888),1000))</f>
        <v>0</v>
      </c>
      <c r="V889" s="126">
        <f t="shared" si="271"/>
        <v>0</v>
      </c>
      <c r="W889">
        <f t="shared" si="272"/>
        <v>0</v>
      </c>
      <c r="X889">
        <f t="shared" si="273"/>
        <v>0</v>
      </c>
      <c r="Y889">
        <f t="shared" si="274"/>
        <v>0</v>
      </c>
      <c r="Z889">
        <f t="shared" si="275"/>
        <v>0</v>
      </c>
      <c r="AA889">
        <f>IF($D889="",0,IF($F889&lt;2,0,IF($E889="Win",('Guide &amp; Settings'!$C$42/(($F889-1)*COUNTIFS($A$4:$A$1510,$A889,$E$4:$E$1510,"Win")))*SUMIFS($Z$4:$Z$1510,$A$4:$A$1510,$A889,$E$4:$E$1510,"Loss"),-('Guide &amp; Settings'!$C$42/($F889-1))*$Z889)))</f>
        <v>0</v>
      </c>
      <c r="AB889" s="126">
        <f t="shared" si="276"/>
        <v>0</v>
      </c>
      <c r="AC889" t="str">
        <f>IF($D889="","",IF($AD889=0,0,IF(COUNTIFS($D$4:$D889,$D889,$B$4:$B889,$B889)&gt;1,0,IF($B889&lt;'Guide &amp; Settings'!$C$50,0,IF(($B889-$AD889)/7-'Guide &amp; Settings'!$C$48&gt;=0,(INT(($B889-$AD889)/7-'Guide &amp; Settings'!$C$48)+1)*'Guide &amp; Settings'!$C$49,0)))))</f>
        <v/>
      </c>
      <c r="AD889" s="142">
        <f t="shared" si="277"/>
        <v>0</v>
      </c>
      <c r="AE889">
        <f t="shared" si="278"/>
        <v>0</v>
      </c>
      <c r="AF889">
        <f t="shared" si="279"/>
        <v>0</v>
      </c>
    </row>
    <row r="890" spans="1:32" x14ac:dyDescent="0.2">
      <c r="A890" s="117"/>
      <c r="B890" s="118"/>
      <c r="C890" s="119"/>
      <c r="D890" s="119"/>
      <c r="E890" s="117"/>
      <c r="F890" s="120">
        <f t="shared" si="260"/>
        <v>0</v>
      </c>
      <c r="G890" s="121" t="str">
        <f t="shared" si="261"/>
        <v/>
      </c>
      <c r="H890" s="122">
        <f>IF($D890="",0,IFERROR(LOOKUP(2,1/(($D$3:D889=$D890)*($A$3:A889&lt;$A890)),$N$3:N889),'Guide &amp; Settings'!$C$41))</f>
        <v>0</v>
      </c>
      <c r="I890" s="123">
        <f t="shared" si="262"/>
        <v>0</v>
      </c>
      <c r="J890" s="124">
        <f>IF($D890="",0,IF($F890&lt;2,0,IF($E890="Win",('Guide &amp; Settings'!$C$42/(($F890-1)*COUNTIFS($A$4:$A$1510,$A890,$E$4:$E$1510,"Win")))*SUMIFS($X$4:$X$1510,$A$4:$A$1510,$A890,$E$4:$E$1510,"Loss"),-('Guide &amp; Settings'!$C$42/($F890-1))*$X890)))</f>
        <v>0</v>
      </c>
      <c r="K890" s="124">
        <f>IF($D890="",0,'Guide &amp; Settings'!$C$43*(IF($E890="Win",1,0)-$I890))</f>
        <v>0</v>
      </c>
      <c r="L890" s="125">
        <f>IF($D890="",0,'Guide &amp; Settings'!$C$44*IF($F890&gt;=3,$F890,0))</f>
        <v>0</v>
      </c>
      <c r="M890" s="124">
        <f t="shared" si="263"/>
        <v>0</v>
      </c>
      <c r="N890" s="122">
        <f t="shared" si="264"/>
        <v>0</v>
      </c>
      <c r="O890" s="121" t="str">
        <f t="shared" si="265"/>
        <v/>
      </c>
      <c r="P890">
        <f t="shared" si="266"/>
        <v>0</v>
      </c>
      <c r="Q890">
        <f t="shared" si="267"/>
        <v>0</v>
      </c>
      <c r="R890">
        <f t="shared" si="268"/>
        <v>0</v>
      </c>
      <c r="S890">
        <f t="shared" si="269"/>
        <v>0</v>
      </c>
      <c r="T890" s="89">
        <f t="shared" si="270"/>
        <v>0</v>
      </c>
      <c r="U890" s="126">
        <f>IF($D890="",0,IFERROR(LOOKUP(2,1/(($D$3:D889=$D890)*($C$3:C889=$C890)*($A$3:A889&lt;$A890)),$AB$3:AB889),1000))</f>
        <v>0</v>
      </c>
      <c r="V890" s="126">
        <f t="shared" si="271"/>
        <v>0</v>
      </c>
      <c r="W890">
        <f t="shared" si="272"/>
        <v>0</v>
      </c>
      <c r="X890">
        <f t="shared" si="273"/>
        <v>0</v>
      </c>
      <c r="Y890">
        <f t="shared" si="274"/>
        <v>0</v>
      </c>
      <c r="Z890">
        <f t="shared" si="275"/>
        <v>0</v>
      </c>
      <c r="AA890">
        <f>IF($D890="",0,IF($F890&lt;2,0,IF($E890="Win",('Guide &amp; Settings'!$C$42/(($F890-1)*COUNTIFS($A$4:$A$1510,$A890,$E$4:$E$1510,"Win")))*SUMIFS($Z$4:$Z$1510,$A$4:$A$1510,$A890,$E$4:$E$1510,"Loss"),-('Guide &amp; Settings'!$C$42/($F890-1))*$Z890)))</f>
        <v>0</v>
      </c>
      <c r="AB890" s="126">
        <f t="shared" si="276"/>
        <v>0</v>
      </c>
      <c r="AC890" t="str">
        <f>IF($D890="","",IF($AD890=0,0,IF(COUNTIFS($D$4:$D890,$D890,$B$4:$B890,$B890)&gt;1,0,IF($B890&lt;'Guide &amp; Settings'!$C$50,0,IF(($B890-$AD890)/7-'Guide &amp; Settings'!$C$48&gt;=0,(INT(($B890-$AD890)/7-'Guide &amp; Settings'!$C$48)+1)*'Guide &amp; Settings'!$C$49,0)))))</f>
        <v/>
      </c>
      <c r="AD890" s="142">
        <f t="shared" si="277"/>
        <v>0</v>
      </c>
      <c r="AE890">
        <f t="shared" si="278"/>
        <v>0</v>
      </c>
      <c r="AF890">
        <f t="shared" si="279"/>
        <v>0</v>
      </c>
    </row>
    <row r="891" spans="1:32" x14ac:dyDescent="0.2">
      <c r="A891" s="117"/>
      <c r="B891" s="118"/>
      <c r="C891" s="119"/>
      <c r="D891" s="119"/>
      <c r="E891" s="117"/>
      <c r="F891" s="120">
        <f t="shared" si="260"/>
        <v>0</v>
      </c>
      <c r="G891" s="121" t="str">
        <f t="shared" si="261"/>
        <v/>
      </c>
      <c r="H891" s="122">
        <f>IF($D891="",0,IFERROR(LOOKUP(2,1/(($D$3:D890=$D891)*($A$3:A890&lt;$A891)),$N$3:N890),'Guide &amp; Settings'!$C$41))</f>
        <v>0</v>
      </c>
      <c r="I891" s="123">
        <f t="shared" si="262"/>
        <v>0</v>
      </c>
      <c r="J891" s="124">
        <f>IF($D891="",0,IF($F891&lt;2,0,IF($E891="Win",('Guide &amp; Settings'!$C$42/(($F891-1)*COUNTIFS($A$4:$A$1510,$A891,$E$4:$E$1510,"Win")))*SUMIFS($X$4:$X$1510,$A$4:$A$1510,$A891,$E$4:$E$1510,"Loss"),-('Guide &amp; Settings'!$C$42/($F891-1))*$X891)))</f>
        <v>0</v>
      </c>
      <c r="K891" s="124">
        <f>IF($D891="",0,'Guide &amp; Settings'!$C$43*(IF($E891="Win",1,0)-$I891))</f>
        <v>0</v>
      </c>
      <c r="L891" s="125">
        <f>IF($D891="",0,'Guide &amp; Settings'!$C$44*IF($F891&gt;=3,$F891,0))</f>
        <v>0</v>
      </c>
      <c r="M891" s="124">
        <f t="shared" si="263"/>
        <v>0</v>
      </c>
      <c r="N891" s="122">
        <f t="shared" si="264"/>
        <v>0</v>
      </c>
      <c r="O891" s="121" t="str">
        <f t="shared" si="265"/>
        <v/>
      </c>
      <c r="P891">
        <f t="shared" si="266"/>
        <v>0</v>
      </c>
      <c r="Q891">
        <f t="shared" si="267"/>
        <v>0</v>
      </c>
      <c r="R891">
        <f t="shared" si="268"/>
        <v>0</v>
      </c>
      <c r="S891">
        <f t="shared" si="269"/>
        <v>0</v>
      </c>
      <c r="T891" s="89">
        <f t="shared" si="270"/>
        <v>0</v>
      </c>
      <c r="U891" s="126">
        <f>IF($D891="",0,IFERROR(LOOKUP(2,1/(($D$3:D890=$D891)*($C$3:C890=$C891)*($A$3:A890&lt;$A891)),$AB$3:AB890),1000))</f>
        <v>0</v>
      </c>
      <c r="V891" s="126">
        <f t="shared" si="271"/>
        <v>0</v>
      </c>
      <c r="W891">
        <f t="shared" si="272"/>
        <v>0</v>
      </c>
      <c r="X891">
        <f t="shared" si="273"/>
        <v>0</v>
      </c>
      <c r="Y891">
        <f t="shared" si="274"/>
        <v>0</v>
      </c>
      <c r="Z891">
        <f t="shared" si="275"/>
        <v>0</v>
      </c>
      <c r="AA891">
        <f>IF($D891="",0,IF($F891&lt;2,0,IF($E891="Win",('Guide &amp; Settings'!$C$42/(($F891-1)*COUNTIFS($A$4:$A$1510,$A891,$E$4:$E$1510,"Win")))*SUMIFS($Z$4:$Z$1510,$A$4:$A$1510,$A891,$E$4:$E$1510,"Loss"),-('Guide &amp; Settings'!$C$42/($F891-1))*$Z891)))</f>
        <v>0</v>
      </c>
      <c r="AB891" s="126">
        <f t="shared" si="276"/>
        <v>0</v>
      </c>
      <c r="AC891" t="str">
        <f>IF($D891="","",IF($AD891=0,0,IF(COUNTIFS($D$4:$D891,$D891,$B$4:$B891,$B891)&gt;1,0,IF($B891&lt;'Guide &amp; Settings'!$C$50,0,IF(($B891-$AD891)/7-'Guide &amp; Settings'!$C$48&gt;=0,(INT(($B891-$AD891)/7-'Guide &amp; Settings'!$C$48)+1)*'Guide &amp; Settings'!$C$49,0)))))</f>
        <v/>
      </c>
      <c r="AD891" s="142">
        <f t="shared" si="277"/>
        <v>0</v>
      </c>
      <c r="AE891">
        <f t="shared" si="278"/>
        <v>0</v>
      </c>
      <c r="AF891">
        <f t="shared" si="279"/>
        <v>0</v>
      </c>
    </row>
    <row r="892" spans="1:32" x14ac:dyDescent="0.2">
      <c r="A892" s="117"/>
      <c r="B892" s="118"/>
      <c r="C892" s="119"/>
      <c r="D892" s="119"/>
      <c r="E892" s="117"/>
      <c r="F892" s="120">
        <f t="shared" si="260"/>
        <v>0</v>
      </c>
      <c r="G892" s="121" t="str">
        <f t="shared" si="261"/>
        <v/>
      </c>
      <c r="H892" s="122">
        <f>IF($D892="",0,IFERROR(LOOKUP(2,1/(($D$3:D891=$D892)*($A$3:A891&lt;$A892)),$N$3:N891),'Guide &amp; Settings'!$C$41))</f>
        <v>0</v>
      </c>
      <c r="I892" s="123">
        <f t="shared" si="262"/>
        <v>0</v>
      </c>
      <c r="J892" s="124">
        <f>IF($D892="",0,IF($F892&lt;2,0,IF($E892="Win",('Guide &amp; Settings'!$C$42/(($F892-1)*COUNTIFS($A$4:$A$1510,$A892,$E$4:$E$1510,"Win")))*SUMIFS($X$4:$X$1510,$A$4:$A$1510,$A892,$E$4:$E$1510,"Loss"),-('Guide &amp; Settings'!$C$42/($F892-1))*$X892)))</f>
        <v>0</v>
      </c>
      <c r="K892" s="124">
        <f>IF($D892="",0,'Guide &amp; Settings'!$C$43*(IF($E892="Win",1,0)-$I892))</f>
        <v>0</v>
      </c>
      <c r="L892" s="125">
        <f>IF($D892="",0,'Guide &amp; Settings'!$C$44*IF($F892&gt;=3,$F892,0))</f>
        <v>0</v>
      </c>
      <c r="M892" s="124">
        <f t="shared" si="263"/>
        <v>0</v>
      </c>
      <c r="N892" s="122">
        <f t="shared" si="264"/>
        <v>0</v>
      </c>
      <c r="O892" s="121" t="str">
        <f t="shared" si="265"/>
        <v/>
      </c>
      <c r="P892">
        <f t="shared" si="266"/>
        <v>0</v>
      </c>
      <c r="Q892">
        <f t="shared" si="267"/>
        <v>0</v>
      </c>
      <c r="R892">
        <f t="shared" si="268"/>
        <v>0</v>
      </c>
      <c r="S892">
        <f t="shared" si="269"/>
        <v>0</v>
      </c>
      <c r="T892" s="89">
        <f t="shared" si="270"/>
        <v>0</v>
      </c>
      <c r="U892" s="126">
        <f>IF($D892="",0,IFERROR(LOOKUP(2,1/(($D$3:D891=$D892)*($C$3:C891=$C892)*($A$3:A891&lt;$A892)),$AB$3:AB891),1000))</f>
        <v>0</v>
      </c>
      <c r="V892" s="126">
        <f t="shared" si="271"/>
        <v>0</v>
      </c>
      <c r="W892">
        <f t="shared" si="272"/>
        <v>0</v>
      </c>
      <c r="X892">
        <f t="shared" si="273"/>
        <v>0</v>
      </c>
      <c r="Y892">
        <f t="shared" si="274"/>
        <v>0</v>
      </c>
      <c r="Z892">
        <f t="shared" si="275"/>
        <v>0</v>
      </c>
      <c r="AA892">
        <f>IF($D892="",0,IF($F892&lt;2,0,IF($E892="Win",('Guide &amp; Settings'!$C$42/(($F892-1)*COUNTIFS($A$4:$A$1510,$A892,$E$4:$E$1510,"Win")))*SUMIFS($Z$4:$Z$1510,$A$4:$A$1510,$A892,$E$4:$E$1510,"Loss"),-('Guide &amp; Settings'!$C$42/($F892-1))*$Z892)))</f>
        <v>0</v>
      </c>
      <c r="AB892" s="126">
        <f t="shared" si="276"/>
        <v>0</v>
      </c>
      <c r="AC892" t="str">
        <f>IF($D892="","",IF($AD892=0,0,IF(COUNTIFS($D$4:$D892,$D892,$B$4:$B892,$B892)&gt;1,0,IF($B892&lt;'Guide &amp; Settings'!$C$50,0,IF(($B892-$AD892)/7-'Guide &amp; Settings'!$C$48&gt;=0,(INT(($B892-$AD892)/7-'Guide &amp; Settings'!$C$48)+1)*'Guide &amp; Settings'!$C$49,0)))))</f>
        <v/>
      </c>
      <c r="AD892" s="142">
        <f t="shared" si="277"/>
        <v>0</v>
      </c>
      <c r="AE892">
        <f t="shared" si="278"/>
        <v>0</v>
      </c>
      <c r="AF892">
        <f t="shared" si="279"/>
        <v>0</v>
      </c>
    </row>
    <row r="893" spans="1:32" x14ac:dyDescent="0.2">
      <c r="A893" s="117"/>
      <c r="B893" s="118"/>
      <c r="C893" s="119"/>
      <c r="D893" s="119"/>
      <c r="E893" s="117"/>
      <c r="F893" s="120">
        <f t="shared" si="260"/>
        <v>0</v>
      </c>
      <c r="G893" s="121" t="str">
        <f t="shared" si="261"/>
        <v/>
      </c>
      <c r="H893" s="122">
        <f>IF($D893="",0,IFERROR(LOOKUP(2,1/(($D$3:D892=$D893)*($A$3:A892&lt;$A893)),$N$3:N892),'Guide &amp; Settings'!$C$41))</f>
        <v>0</v>
      </c>
      <c r="I893" s="123">
        <f t="shared" si="262"/>
        <v>0</v>
      </c>
      <c r="J893" s="124">
        <f>IF($D893="",0,IF($F893&lt;2,0,IF($E893="Win",('Guide &amp; Settings'!$C$42/(($F893-1)*COUNTIFS($A$4:$A$1510,$A893,$E$4:$E$1510,"Win")))*SUMIFS($X$4:$X$1510,$A$4:$A$1510,$A893,$E$4:$E$1510,"Loss"),-('Guide &amp; Settings'!$C$42/($F893-1))*$X893)))</f>
        <v>0</v>
      </c>
      <c r="K893" s="124">
        <f>IF($D893="",0,'Guide &amp; Settings'!$C$43*(IF($E893="Win",1,0)-$I893))</f>
        <v>0</v>
      </c>
      <c r="L893" s="125">
        <f>IF($D893="",0,'Guide &amp; Settings'!$C$44*IF($F893&gt;=3,$F893,0))</f>
        <v>0</v>
      </c>
      <c r="M893" s="124">
        <f t="shared" si="263"/>
        <v>0</v>
      </c>
      <c r="N893" s="122">
        <f t="shared" si="264"/>
        <v>0</v>
      </c>
      <c r="O893" s="121" t="str">
        <f t="shared" si="265"/>
        <v/>
      </c>
      <c r="P893">
        <f t="shared" si="266"/>
        <v>0</v>
      </c>
      <c r="Q893">
        <f t="shared" si="267"/>
        <v>0</v>
      </c>
      <c r="R893">
        <f t="shared" si="268"/>
        <v>0</v>
      </c>
      <c r="S893">
        <f t="shared" si="269"/>
        <v>0</v>
      </c>
      <c r="T893" s="89">
        <f t="shared" si="270"/>
        <v>0</v>
      </c>
      <c r="U893" s="126">
        <f>IF($D893="",0,IFERROR(LOOKUP(2,1/(($D$3:D892=$D893)*($C$3:C892=$C893)*($A$3:A892&lt;$A893)),$AB$3:AB892),1000))</f>
        <v>0</v>
      </c>
      <c r="V893" s="126">
        <f t="shared" si="271"/>
        <v>0</v>
      </c>
      <c r="W893">
        <f t="shared" si="272"/>
        <v>0</v>
      </c>
      <c r="X893">
        <f t="shared" si="273"/>
        <v>0</v>
      </c>
      <c r="Y893">
        <f t="shared" si="274"/>
        <v>0</v>
      </c>
      <c r="Z893">
        <f t="shared" si="275"/>
        <v>0</v>
      </c>
      <c r="AA893">
        <f>IF($D893="",0,IF($F893&lt;2,0,IF($E893="Win",('Guide &amp; Settings'!$C$42/(($F893-1)*COUNTIFS($A$4:$A$1510,$A893,$E$4:$E$1510,"Win")))*SUMIFS($Z$4:$Z$1510,$A$4:$A$1510,$A893,$E$4:$E$1510,"Loss"),-('Guide &amp; Settings'!$C$42/($F893-1))*$Z893)))</f>
        <v>0</v>
      </c>
      <c r="AB893" s="126">
        <f t="shared" si="276"/>
        <v>0</v>
      </c>
      <c r="AC893" t="str">
        <f>IF($D893="","",IF($AD893=0,0,IF(COUNTIFS($D$4:$D893,$D893,$B$4:$B893,$B893)&gt;1,0,IF($B893&lt;'Guide &amp; Settings'!$C$50,0,IF(($B893-$AD893)/7-'Guide &amp; Settings'!$C$48&gt;=0,(INT(($B893-$AD893)/7-'Guide &amp; Settings'!$C$48)+1)*'Guide &amp; Settings'!$C$49,0)))))</f>
        <v/>
      </c>
      <c r="AD893" s="142">
        <f t="shared" si="277"/>
        <v>0</v>
      </c>
      <c r="AE893">
        <f t="shared" si="278"/>
        <v>0</v>
      </c>
      <c r="AF893">
        <f t="shared" si="279"/>
        <v>0</v>
      </c>
    </row>
    <row r="894" spans="1:32" x14ac:dyDescent="0.2">
      <c r="A894" s="117"/>
      <c r="B894" s="118"/>
      <c r="C894" s="119"/>
      <c r="D894" s="119"/>
      <c r="E894" s="117"/>
      <c r="F894" s="120">
        <f t="shared" si="260"/>
        <v>0</v>
      </c>
      <c r="G894" s="121" t="str">
        <f t="shared" si="261"/>
        <v/>
      </c>
      <c r="H894" s="122">
        <f>IF($D894="",0,IFERROR(LOOKUP(2,1/(($D$3:D893=$D894)*($A$3:A893&lt;$A894)),$N$3:N893),'Guide &amp; Settings'!$C$41))</f>
        <v>0</v>
      </c>
      <c r="I894" s="123">
        <f t="shared" si="262"/>
        <v>0</v>
      </c>
      <c r="J894" s="124">
        <f>IF($D894="",0,IF($F894&lt;2,0,IF($E894="Win",('Guide &amp; Settings'!$C$42/(($F894-1)*COUNTIFS($A$4:$A$1510,$A894,$E$4:$E$1510,"Win")))*SUMIFS($X$4:$X$1510,$A$4:$A$1510,$A894,$E$4:$E$1510,"Loss"),-('Guide &amp; Settings'!$C$42/($F894-1))*$X894)))</f>
        <v>0</v>
      </c>
      <c r="K894" s="124">
        <f>IF($D894="",0,'Guide &amp; Settings'!$C$43*(IF($E894="Win",1,0)-$I894))</f>
        <v>0</v>
      </c>
      <c r="L894" s="125">
        <f>IF($D894="",0,'Guide &amp; Settings'!$C$44*IF($F894&gt;=3,$F894,0))</f>
        <v>0</v>
      </c>
      <c r="M894" s="124">
        <f t="shared" si="263"/>
        <v>0</v>
      </c>
      <c r="N894" s="122">
        <f t="shared" si="264"/>
        <v>0</v>
      </c>
      <c r="O894" s="121" t="str">
        <f t="shared" si="265"/>
        <v/>
      </c>
      <c r="P894">
        <f t="shared" si="266"/>
        <v>0</v>
      </c>
      <c r="Q894">
        <f t="shared" si="267"/>
        <v>0</v>
      </c>
      <c r="R894">
        <f t="shared" si="268"/>
        <v>0</v>
      </c>
      <c r="S894">
        <f t="shared" si="269"/>
        <v>0</v>
      </c>
      <c r="T894" s="89">
        <f t="shared" si="270"/>
        <v>0</v>
      </c>
      <c r="U894" s="126">
        <f>IF($D894="",0,IFERROR(LOOKUP(2,1/(($D$3:D893=$D894)*($C$3:C893=$C894)*($A$3:A893&lt;$A894)),$AB$3:AB893),1000))</f>
        <v>0</v>
      </c>
      <c r="V894" s="126">
        <f t="shared" si="271"/>
        <v>0</v>
      </c>
      <c r="W894">
        <f t="shared" si="272"/>
        <v>0</v>
      </c>
      <c r="X894">
        <f t="shared" si="273"/>
        <v>0</v>
      </c>
      <c r="Y894">
        <f t="shared" si="274"/>
        <v>0</v>
      </c>
      <c r="Z894">
        <f t="shared" si="275"/>
        <v>0</v>
      </c>
      <c r="AA894">
        <f>IF($D894="",0,IF($F894&lt;2,0,IF($E894="Win",('Guide &amp; Settings'!$C$42/(($F894-1)*COUNTIFS($A$4:$A$1510,$A894,$E$4:$E$1510,"Win")))*SUMIFS($Z$4:$Z$1510,$A$4:$A$1510,$A894,$E$4:$E$1510,"Loss"),-('Guide &amp; Settings'!$C$42/($F894-1))*$Z894)))</f>
        <v>0</v>
      </c>
      <c r="AB894" s="126">
        <f t="shared" si="276"/>
        <v>0</v>
      </c>
      <c r="AC894" t="str">
        <f>IF($D894="","",IF($AD894=0,0,IF(COUNTIFS($D$4:$D894,$D894,$B$4:$B894,$B894)&gt;1,0,IF($B894&lt;'Guide &amp; Settings'!$C$50,0,IF(($B894-$AD894)/7-'Guide &amp; Settings'!$C$48&gt;=0,(INT(($B894-$AD894)/7-'Guide &amp; Settings'!$C$48)+1)*'Guide &amp; Settings'!$C$49,0)))))</f>
        <v/>
      </c>
      <c r="AD894" s="142">
        <f t="shared" si="277"/>
        <v>0</v>
      </c>
      <c r="AE894">
        <f t="shared" si="278"/>
        <v>0</v>
      </c>
      <c r="AF894">
        <f t="shared" si="279"/>
        <v>0</v>
      </c>
    </row>
    <row r="895" spans="1:32" x14ac:dyDescent="0.2">
      <c r="A895" s="117"/>
      <c r="B895" s="118"/>
      <c r="C895" s="119"/>
      <c r="D895" s="119"/>
      <c r="E895" s="117"/>
      <c r="F895" s="120">
        <f t="shared" si="260"/>
        <v>0</v>
      </c>
      <c r="G895" s="121" t="str">
        <f t="shared" si="261"/>
        <v/>
      </c>
      <c r="H895" s="122">
        <f>IF($D895="",0,IFERROR(LOOKUP(2,1/(($D$3:D894=$D895)*($A$3:A894&lt;$A895)),$N$3:N894),'Guide &amp; Settings'!$C$41))</f>
        <v>0</v>
      </c>
      <c r="I895" s="123">
        <f t="shared" si="262"/>
        <v>0</v>
      </c>
      <c r="J895" s="124">
        <f>IF($D895="",0,IF($F895&lt;2,0,IF($E895="Win",('Guide &amp; Settings'!$C$42/(($F895-1)*COUNTIFS($A$4:$A$1510,$A895,$E$4:$E$1510,"Win")))*SUMIFS($X$4:$X$1510,$A$4:$A$1510,$A895,$E$4:$E$1510,"Loss"),-('Guide &amp; Settings'!$C$42/($F895-1))*$X895)))</f>
        <v>0</v>
      </c>
      <c r="K895" s="124">
        <f>IF($D895="",0,'Guide &amp; Settings'!$C$43*(IF($E895="Win",1,0)-$I895))</f>
        <v>0</v>
      </c>
      <c r="L895" s="125">
        <f>IF($D895="",0,'Guide &amp; Settings'!$C$44*IF($F895&gt;=3,$F895,0))</f>
        <v>0</v>
      </c>
      <c r="M895" s="124">
        <f t="shared" si="263"/>
        <v>0</v>
      </c>
      <c r="N895" s="122">
        <f t="shared" si="264"/>
        <v>0</v>
      </c>
      <c r="O895" s="121" t="str">
        <f t="shared" si="265"/>
        <v/>
      </c>
      <c r="P895">
        <f t="shared" si="266"/>
        <v>0</v>
      </c>
      <c r="Q895">
        <f t="shared" si="267"/>
        <v>0</v>
      </c>
      <c r="R895">
        <f t="shared" si="268"/>
        <v>0</v>
      </c>
      <c r="S895">
        <f t="shared" si="269"/>
        <v>0</v>
      </c>
      <c r="T895" s="89">
        <f t="shared" si="270"/>
        <v>0</v>
      </c>
      <c r="U895" s="126">
        <f>IF($D895="",0,IFERROR(LOOKUP(2,1/(($D$3:D894=$D895)*($C$3:C894=$C895)*($A$3:A894&lt;$A895)),$AB$3:AB894),1000))</f>
        <v>0</v>
      </c>
      <c r="V895" s="126">
        <f t="shared" si="271"/>
        <v>0</v>
      </c>
      <c r="W895">
        <f t="shared" si="272"/>
        <v>0</v>
      </c>
      <c r="X895">
        <f t="shared" si="273"/>
        <v>0</v>
      </c>
      <c r="Y895">
        <f t="shared" si="274"/>
        <v>0</v>
      </c>
      <c r="Z895">
        <f t="shared" si="275"/>
        <v>0</v>
      </c>
      <c r="AA895">
        <f>IF($D895="",0,IF($F895&lt;2,0,IF($E895="Win",('Guide &amp; Settings'!$C$42/(($F895-1)*COUNTIFS($A$4:$A$1510,$A895,$E$4:$E$1510,"Win")))*SUMIFS($Z$4:$Z$1510,$A$4:$A$1510,$A895,$E$4:$E$1510,"Loss"),-('Guide &amp; Settings'!$C$42/($F895-1))*$Z895)))</f>
        <v>0</v>
      </c>
      <c r="AB895" s="126">
        <f t="shared" si="276"/>
        <v>0</v>
      </c>
      <c r="AC895" t="str">
        <f>IF($D895="","",IF($AD895=0,0,IF(COUNTIFS($D$4:$D895,$D895,$B$4:$B895,$B895)&gt;1,0,IF($B895&lt;'Guide &amp; Settings'!$C$50,0,IF(($B895-$AD895)/7-'Guide &amp; Settings'!$C$48&gt;=0,(INT(($B895-$AD895)/7-'Guide &amp; Settings'!$C$48)+1)*'Guide &amp; Settings'!$C$49,0)))))</f>
        <v/>
      </c>
      <c r="AD895" s="142">
        <f t="shared" si="277"/>
        <v>0</v>
      </c>
      <c r="AE895">
        <f t="shared" si="278"/>
        <v>0</v>
      </c>
      <c r="AF895">
        <f t="shared" si="279"/>
        <v>0</v>
      </c>
    </row>
    <row r="896" spans="1:32" x14ac:dyDescent="0.2">
      <c r="A896" s="117"/>
      <c r="B896" s="118"/>
      <c r="C896" s="119"/>
      <c r="D896" s="119"/>
      <c r="E896" s="117"/>
      <c r="F896" s="120">
        <f t="shared" si="260"/>
        <v>0</v>
      </c>
      <c r="G896" s="121" t="str">
        <f t="shared" si="261"/>
        <v/>
      </c>
      <c r="H896" s="122">
        <f>IF($D896="",0,IFERROR(LOOKUP(2,1/(($D$3:D895=$D896)*($A$3:A895&lt;$A896)),$N$3:N895),'Guide &amp; Settings'!$C$41))</f>
        <v>0</v>
      </c>
      <c r="I896" s="123">
        <f t="shared" si="262"/>
        <v>0</v>
      </c>
      <c r="J896" s="124">
        <f>IF($D896="",0,IF($F896&lt;2,0,IF($E896="Win",('Guide &amp; Settings'!$C$42/(($F896-1)*COUNTIFS($A$4:$A$1510,$A896,$E$4:$E$1510,"Win")))*SUMIFS($X$4:$X$1510,$A$4:$A$1510,$A896,$E$4:$E$1510,"Loss"),-('Guide &amp; Settings'!$C$42/($F896-1))*$X896)))</f>
        <v>0</v>
      </c>
      <c r="K896" s="124">
        <f>IF($D896="",0,'Guide &amp; Settings'!$C$43*(IF($E896="Win",1,0)-$I896))</f>
        <v>0</v>
      </c>
      <c r="L896" s="125">
        <f>IF($D896="",0,'Guide &amp; Settings'!$C$44*IF($F896&gt;=3,$F896,0))</f>
        <v>0</v>
      </c>
      <c r="M896" s="124">
        <f t="shared" si="263"/>
        <v>0</v>
      </c>
      <c r="N896" s="122">
        <f t="shared" si="264"/>
        <v>0</v>
      </c>
      <c r="O896" s="121" t="str">
        <f t="shared" si="265"/>
        <v/>
      </c>
      <c r="P896">
        <f t="shared" si="266"/>
        <v>0</v>
      </c>
      <c r="Q896">
        <f t="shared" si="267"/>
        <v>0</v>
      </c>
      <c r="R896">
        <f t="shared" si="268"/>
        <v>0</v>
      </c>
      <c r="S896">
        <f t="shared" si="269"/>
        <v>0</v>
      </c>
      <c r="T896" s="89">
        <f t="shared" si="270"/>
        <v>0</v>
      </c>
      <c r="U896" s="126">
        <f>IF($D896="",0,IFERROR(LOOKUP(2,1/(($D$3:D895=$D896)*($C$3:C895=$C896)*($A$3:A895&lt;$A896)),$AB$3:AB895),1000))</f>
        <v>0</v>
      </c>
      <c r="V896" s="126">
        <f t="shared" si="271"/>
        <v>0</v>
      </c>
      <c r="W896">
        <f t="shared" si="272"/>
        <v>0</v>
      </c>
      <c r="X896">
        <f t="shared" si="273"/>
        <v>0</v>
      </c>
      <c r="Y896">
        <f t="shared" si="274"/>
        <v>0</v>
      </c>
      <c r="Z896">
        <f t="shared" si="275"/>
        <v>0</v>
      </c>
      <c r="AA896">
        <f>IF($D896="",0,IF($F896&lt;2,0,IF($E896="Win",('Guide &amp; Settings'!$C$42/(($F896-1)*COUNTIFS($A$4:$A$1510,$A896,$E$4:$E$1510,"Win")))*SUMIFS($Z$4:$Z$1510,$A$4:$A$1510,$A896,$E$4:$E$1510,"Loss"),-('Guide &amp; Settings'!$C$42/($F896-1))*$Z896)))</f>
        <v>0</v>
      </c>
      <c r="AB896" s="126">
        <f t="shared" si="276"/>
        <v>0</v>
      </c>
      <c r="AC896" t="str">
        <f>IF($D896="","",IF($AD896=0,0,IF(COUNTIFS($D$4:$D896,$D896,$B$4:$B896,$B896)&gt;1,0,IF($B896&lt;'Guide &amp; Settings'!$C$50,0,IF(($B896-$AD896)/7-'Guide &amp; Settings'!$C$48&gt;=0,(INT(($B896-$AD896)/7-'Guide &amp; Settings'!$C$48)+1)*'Guide &amp; Settings'!$C$49,0)))))</f>
        <v/>
      </c>
      <c r="AD896" s="142">
        <f t="shared" si="277"/>
        <v>0</v>
      </c>
      <c r="AE896">
        <f t="shared" si="278"/>
        <v>0</v>
      </c>
      <c r="AF896">
        <f t="shared" si="279"/>
        <v>0</v>
      </c>
    </row>
    <row r="897" spans="1:32" x14ac:dyDescent="0.2">
      <c r="A897" s="117"/>
      <c r="B897" s="118"/>
      <c r="C897" s="119"/>
      <c r="D897" s="119"/>
      <c r="E897" s="117"/>
      <c r="F897" s="120">
        <f t="shared" si="260"/>
        <v>0</v>
      </c>
      <c r="G897" s="121" t="str">
        <f t="shared" si="261"/>
        <v/>
      </c>
      <c r="H897" s="122">
        <f>IF($D897="",0,IFERROR(LOOKUP(2,1/(($D$3:D896=$D897)*($A$3:A896&lt;$A897)),$N$3:N896),'Guide &amp; Settings'!$C$41))</f>
        <v>0</v>
      </c>
      <c r="I897" s="123">
        <f t="shared" si="262"/>
        <v>0</v>
      </c>
      <c r="J897" s="124">
        <f>IF($D897="",0,IF($F897&lt;2,0,IF($E897="Win",('Guide &amp; Settings'!$C$42/(($F897-1)*COUNTIFS($A$4:$A$1510,$A897,$E$4:$E$1510,"Win")))*SUMIFS($X$4:$X$1510,$A$4:$A$1510,$A897,$E$4:$E$1510,"Loss"),-('Guide &amp; Settings'!$C$42/($F897-1))*$X897)))</f>
        <v>0</v>
      </c>
      <c r="K897" s="124">
        <f>IF($D897="",0,'Guide &amp; Settings'!$C$43*(IF($E897="Win",1,0)-$I897))</f>
        <v>0</v>
      </c>
      <c r="L897" s="125">
        <f>IF($D897="",0,'Guide &amp; Settings'!$C$44*IF($F897&gt;=3,$F897,0))</f>
        <v>0</v>
      </c>
      <c r="M897" s="124">
        <f t="shared" si="263"/>
        <v>0</v>
      </c>
      <c r="N897" s="122">
        <f t="shared" si="264"/>
        <v>0</v>
      </c>
      <c r="O897" s="121" t="str">
        <f t="shared" si="265"/>
        <v/>
      </c>
      <c r="P897">
        <f t="shared" si="266"/>
        <v>0</v>
      </c>
      <c r="Q897">
        <f t="shared" si="267"/>
        <v>0</v>
      </c>
      <c r="R897">
        <f t="shared" si="268"/>
        <v>0</v>
      </c>
      <c r="S897">
        <f t="shared" si="269"/>
        <v>0</v>
      </c>
      <c r="T897" s="89">
        <f t="shared" si="270"/>
        <v>0</v>
      </c>
      <c r="U897" s="126">
        <f>IF($D897="",0,IFERROR(LOOKUP(2,1/(($D$3:D896=$D897)*($C$3:C896=$C897)*($A$3:A896&lt;$A897)),$AB$3:AB896),1000))</f>
        <v>0</v>
      </c>
      <c r="V897" s="126">
        <f t="shared" si="271"/>
        <v>0</v>
      </c>
      <c r="W897">
        <f t="shared" si="272"/>
        <v>0</v>
      </c>
      <c r="X897">
        <f t="shared" si="273"/>
        <v>0</v>
      </c>
      <c r="Y897">
        <f t="shared" si="274"/>
        <v>0</v>
      </c>
      <c r="Z897">
        <f t="shared" si="275"/>
        <v>0</v>
      </c>
      <c r="AA897">
        <f>IF($D897="",0,IF($F897&lt;2,0,IF($E897="Win",('Guide &amp; Settings'!$C$42/(($F897-1)*COUNTIFS($A$4:$A$1510,$A897,$E$4:$E$1510,"Win")))*SUMIFS($Z$4:$Z$1510,$A$4:$A$1510,$A897,$E$4:$E$1510,"Loss"),-('Guide &amp; Settings'!$C$42/($F897-1))*$Z897)))</f>
        <v>0</v>
      </c>
      <c r="AB897" s="126">
        <f t="shared" si="276"/>
        <v>0</v>
      </c>
      <c r="AC897" t="str">
        <f>IF($D897="","",IF($AD897=0,0,IF(COUNTIFS($D$4:$D897,$D897,$B$4:$B897,$B897)&gt;1,0,IF($B897&lt;'Guide &amp; Settings'!$C$50,0,IF(($B897-$AD897)/7-'Guide &amp; Settings'!$C$48&gt;=0,(INT(($B897-$AD897)/7-'Guide &amp; Settings'!$C$48)+1)*'Guide &amp; Settings'!$C$49,0)))))</f>
        <v/>
      </c>
      <c r="AD897" s="142">
        <f t="shared" si="277"/>
        <v>0</v>
      </c>
      <c r="AE897">
        <f t="shared" si="278"/>
        <v>0</v>
      </c>
      <c r="AF897">
        <f t="shared" si="279"/>
        <v>0</v>
      </c>
    </row>
    <row r="898" spans="1:32" x14ac:dyDescent="0.2">
      <c r="A898" s="117"/>
      <c r="B898" s="118"/>
      <c r="C898" s="119"/>
      <c r="D898" s="119"/>
      <c r="E898" s="117"/>
      <c r="F898" s="120">
        <f t="shared" si="260"/>
        <v>0</v>
      </c>
      <c r="G898" s="121" t="str">
        <f t="shared" si="261"/>
        <v/>
      </c>
      <c r="H898" s="122">
        <f>IF($D898="",0,IFERROR(LOOKUP(2,1/(($D$3:D897=$D898)*($A$3:A897&lt;$A898)),$N$3:N897),'Guide &amp; Settings'!$C$41))</f>
        <v>0</v>
      </c>
      <c r="I898" s="123">
        <f t="shared" si="262"/>
        <v>0</v>
      </c>
      <c r="J898" s="124">
        <f>IF($D898="",0,IF($F898&lt;2,0,IF($E898="Win",('Guide &amp; Settings'!$C$42/(($F898-1)*COUNTIFS($A$4:$A$1510,$A898,$E$4:$E$1510,"Win")))*SUMIFS($X$4:$X$1510,$A$4:$A$1510,$A898,$E$4:$E$1510,"Loss"),-('Guide &amp; Settings'!$C$42/($F898-1))*$X898)))</f>
        <v>0</v>
      </c>
      <c r="K898" s="124">
        <f>IF($D898="",0,'Guide &amp; Settings'!$C$43*(IF($E898="Win",1,0)-$I898))</f>
        <v>0</v>
      </c>
      <c r="L898" s="125">
        <f>IF($D898="",0,'Guide &amp; Settings'!$C$44*IF($F898&gt;=3,$F898,0))</f>
        <v>0</v>
      </c>
      <c r="M898" s="124">
        <f t="shared" si="263"/>
        <v>0</v>
      </c>
      <c r="N898" s="122">
        <f t="shared" si="264"/>
        <v>0</v>
      </c>
      <c r="O898" s="121" t="str">
        <f t="shared" si="265"/>
        <v/>
      </c>
      <c r="P898">
        <f t="shared" si="266"/>
        <v>0</v>
      </c>
      <c r="Q898">
        <f t="shared" si="267"/>
        <v>0</v>
      </c>
      <c r="R898">
        <f t="shared" si="268"/>
        <v>0</v>
      </c>
      <c r="S898">
        <f t="shared" si="269"/>
        <v>0</v>
      </c>
      <c r="T898" s="89">
        <f t="shared" si="270"/>
        <v>0</v>
      </c>
      <c r="U898" s="126">
        <f>IF($D898="",0,IFERROR(LOOKUP(2,1/(($D$3:D897=$D898)*($C$3:C897=$C898)*($A$3:A897&lt;$A898)),$AB$3:AB897),1000))</f>
        <v>0</v>
      </c>
      <c r="V898" s="126">
        <f t="shared" si="271"/>
        <v>0</v>
      </c>
      <c r="W898">
        <f t="shared" si="272"/>
        <v>0</v>
      </c>
      <c r="X898">
        <f t="shared" si="273"/>
        <v>0</v>
      </c>
      <c r="Y898">
        <f t="shared" si="274"/>
        <v>0</v>
      </c>
      <c r="Z898">
        <f t="shared" si="275"/>
        <v>0</v>
      </c>
      <c r="AA898">
        <f>IF($D898="",0,IF($F898&lt;2,0,IF($E898="Win",('Guide &amp; Settings'!$C$42/(($F898-1)*COUNTIFS($A$4:$A$1510,$A898,$E$4:$E$1510,"Win")))*SUMIFS($Z$4:$Z$1510,$A$4:$A$1510,$A898,$E$4:$E$1510,"Loss"),-('Guide &amp; Settings'!$C$42/($F898-1))*$Z898)))</f>
        <v>0</v>
      </c>
      <c r="AB898" s="126">
        <f t="shared" si="276"/>
        <v>0</v>
      </c>
      <c r="AC898" t="str">
        <f>IF($D898="","",IF($AD898=0,0,IF(COUNTIFS($D$4:$D898,$D898,$B$4:$B898,$B898)&gt;1,0,IF($B898&lt;'Guide &amp; Settings'!$C$50,0,IF(($B898-$AD898)/7-'Guide &amp; Settings'!$C$48&gt;=0,(INT(($B898-$AD898)/7-'Guide &amp; Settings'!$C$48)+1)*'Guide &amp; Settings'!$C$49,0)))))</f>
        <v/>
      </c>
      <c r="AD898" s="142">
        <f t="shared" si="277"/>
        <v>0</v>
      </c>
      <c r="AE898">
        <f t="shared" si="278"/>
        <v>0</v>
      </c>
      <c r="AF898">
        <f t="shared" si="279"/>
        <v>0</v>
      </c>
    </row>
    <row r="899" spans="1:32" x14ac:dyDescent="0.2">
      <c r="A899" s="117"/>
      <c r="B899" s="118"/>
      <c r="C899" s="119"/>
      <c r="D899" s="119"/>
      <c r="E899" s="117"/>
      <c r="F899" s="120">
        <f t="shared" si="260"/>
        <v>0</v>
      </c>
      <c r="G899" s="121" t="str">
        <f t="shared" si="261"/>
        <v/>
      </c>
      <c r="H899" s="122">
        <f>IF($D899="",0,IFERROR(LOOKUP(2,1/(($D$3:D898=$D899)*($A$3:A898&lt;$A899)),$N$3:N898),'Guide &amp; Settings'!$C$41))</f>
        <v>0</v>
      </c>
      <c r="I899" s="123">
        <f t="shared" si="262"/>
        <v>0</v>
      </c>
      <c r="J899" s="124">
        <f>IF($D899="",0,IF($F899&lt;2,0,IF($E899="Win",('Guide &amp; Settings'!$C$42/(($F899-1)*COUNTIFS($A$4:$A$1510,$A899,$E$4:$E$1510,"Win")))*SUMIFS($X$4:$X$1510,$A$4:$A$1510,$A899,$E$4:$E$1510,"Loss"),-('Guide &amp; Settings'!$C$42/($F899-1))*$X899)))</f>
        <v>0</v>
      </c>
      <c r="K899" s="124">
        <f>IF($D899="",0,'Guide &amp; Settings'!$C$43*(IF($E899="Win",1,0)-$I899))</f>
        <v>0</v>
      </c>
      <c r="L899" s="125">
        <f>IF($D899="",0,'Guide &amp; Settings'!$C$44*IF($F899&gt;=3,$F899,0))</f>
        <v>0</v>
      </c>
      <c r="M899" s="124">
        <f t="shared" si="263"/>
        <v>0</v>
      </c>
      <c r="N899" s="122">
        <f t="shared" si="264"/>
        <v>0</v>
      </c>
      <c r="O899" s="121" t="str">
        <f t="shared" si="265"/>
        <v/>
      </c>
      <c r="P899">
        <f t="shared" si="266"/>
        <v>0</v>
      </c>
      <c r="Q899">
        <f t="shared" si="267"/>
        <v>0</v>
      </c>
      <c r="R899">
        <f t="shared" si="268"/>
        <v>0</v>
      </c>
      <c r="S899">
        <f t="shared" si="269"/>
        <v>0</v>
      </c>
      <c r="T899" s="89">
        <f t="shared" si="270"/>
        <v>0</v>
      </c>
      <c r="U899" s="126">
        <f>IF($D899="",0,IFERROR(LOOKUP(2,1/(($D$3:D898=$D899)*($C$3:C898=$C899)*($A$3:A898&lt;$A899)),$AB$3:AB898),1000))</f>
        <v>0</v>
      </c>
      <c r="V899" s="126">
        <f t="shared" si="271"/>
        <v>0</v>
      </c>
      <c r="W899">
        <f t="shared" si="272"/>
        <v>0</v>
      </c>
      <c r="X899">
        <f t="shared" si="273"/>
        <v>0</v>
      </c>
      <c r="Y899">
        <f t="shared" si="274"/>
        <v>0</v>
      </c>
      <c r="Z899">
        <f t="shared" si="275"/>
        <v>0</v>
      </c>
      <c r="AA899">
        <f>IF($D899="",0,IF($F899&lt;2,0,IF($E899="Win",('Guide &amp; Settings'!$C$42/(($F899-1)*COUNTIFS($A$4:$A$1510,$A899,$E$4:$E$1510,"Win")))*SUMIFS($Z$4:$Z$1510,$A$4:$A$1510,$A899,$E$4:$E$1510,"Loss"),-('Guide &amp; Settings'!$C$42/($F899-1))*$Z899)))</f>
        <v>0</v>
      </c>
      <c r="AB899" s="126">
        <f t="shared" si="276"/>
        <v>0</v>
      </c>
      <c r="AC899" t="str">
        <f>IF($D899="","",IF($AD899=0,0,IF(COUNTIFS($D$4:$D899,$D899,$B$4:$B899,$B899)&gt;1,0,IF($B899&lt;'Guide &amp; Settings'!$C$50,0,IF(($B899-$AD899)/7-'Guide &amp; Settings'!$C$48&gt;=0,(INT(($B899-$AD899)/7-'Guide &amp; Settings'!$C$48)+1)*'Guide &amp; Settings'!$C$49,0)))))</f>
        <v/>
      </c>
      <c r="AD899" s="142">
        <f t="shared" si="277"/>
        <v>0</v>
      </c>
      <c r="AE899">
        <f t="shared" si="278"/>
        <v>0</v>
      </c>
      <c r="AF899">
        <f t="shared" si="279"/>
        <v>0</v>
      </c>
    </row>
    <row r="900" spans="1:32" x14ac:dyDescent="0.2">
      <c r="A900" s="117"/>
      <c r="B900" s="118"/>
      <c r="C900" s="119"/>
      <c r="D900" s="119"/>
      <c r="E900" s="117"/>
      <c r="F900" s="120">
        <f t="shared" ref="F900:F963" si="280">IF($D900="",0,COUNTIF($A$4:$A$1510,$A900))</f>
        <v>0</v>
      </c>
      <c r="G900" s="121" t="str">
        <f t="shared" ref="G900:G963" si="281">IF($D900="","",IFERROR(LOOKUP(2,1/(($A$4:$A$1510=$A900)*($E$4:$E$1510="Win")),$D$4:$D$1510),"(no winner)"))</f>
        <v/>
      </c>
      <c r="H900" s="122">
        <f>IF($D900="",0,IFERROR(LOOKUP(2,1/(($D$3:D899=$D900)*($A$3:A899&lt;$A900)),$N$3:N899),'Guide &amp; Settings'!$C$41))</f>
        <v>0</v>
      </c>
      <c r="I900" s="123">
        <f t="shared" ref="I900:I963" si="282">IF($D900="",0,IF($S900=0,0,$R900/$S900))</f>
        <v>0</v>
      </c>
      <c r="J900" s="124">
        <f>IF($D900="",0,IF($F900&lt;2,0,IF($E900="Win",('Guide &amp; Settings'!$C$42/(($F900-1)*COUNTIFS($A$4:$A$1510,$A900,$E$4:$E$1510,"Win")))*SUMIFS($X$4:$X$1510,$A$4:$A$1510,$A900,$E$4:$E$1510,"Loss"),-('Guide &amp; Settings'!$C$42/($F900-1))*$X900)))</f>
        <v>0</v>
      </c>
      <c r="K900" s="124">
        <f>IF($D900="",0,'Guide &amp; Settings'!$C$43*(IF($E900="Win",1,0)-$I900))</f>
        <v>0</v>
      </c>
      <c r="L900" s="125">
        <f>IF($D900="",0,'Guide &amp; Settings'!$C$44*IF($F900&gt;=3,$F900,0))</f>
        <v>0</v>
      </c>
      <c r="M900" s="124">
        <f t="shared" ref="M900:M963" si="283">IF($D900="",0,$J900+$K900+$L900)</f>
        <v>0</v>
      </c>
      <c r="N900" s="122">
        <f t="shared" ref="N900:N963" si="284">IF($D900="",0,$H900+$M900)</f>
        <v>0</v>
      </c>
      <c r="O900" s="121" t="str">
        <f t="shared" ref="O900:O963" si="285">IF($D900="","",IF($AE900=0,"need a winner",IF($F900-$AE900=0,"need a loser",IF(MOD($AF900,2)=1,"duplicate player",IF(MOD(INT($AF900/2),2)=1,"mixed sports",IF($AF900&gt;=4,"mixed dates",IF($AE900&gt;1,IF($F900&gt;=4,"OK (team)","check winners"),"OK")))))))</f>
        <v/>
      </c>
      <c r="P900">
        <f t="shared" ref="P900:P963" si="286">IF($D900="",0,IFERROR(SUMIFS($H$4:$H$1510,$A$4:$A$1510,$A900,$E$4:$E$1510,"Win")/COUNTIFS($A$4:$A$1510,$A900,$E$4:$E$1510,"Win"),0))</f>
        <v>0</v>
      </c>
      <c r="Q900">
        <f t="shared" ref="Q900:Q963" si="287">IF($D900="",0,1/(1+10^(($P900-$H900)/400)))</f>
        <v>0</v>
      </c>
      <c r="R900">
        <f t="shared" ref="R900:R963" si="288">IF($D900="",0,(COUNTIFS($D$4:$D$1510,$D900,$C$4:$C$1510,$C900,$E$4:$E$1510,"Win",$A$4:$A$1510,"&lt;"&amp;$A900)+1)/(COUNTIFS($D$4:$D$1510,$D900,$C$4:$C$1510,$C900,$A$4:$A$1510,"&lt;"&amp;$A900)+2))</f>
        <v>0</v>
      </c>
      <c r="S900">
        <f t="shared" ref="S900:S963" si="289">IF($D900="",0,SUMIFS($R$4:$R$1510,$A$4:$A$1510,$A900))</f>
        <v>0</v>
      </c>
      <c r="T900" s="89">
        <f t="shared" ref="T900:T963" si="290">IF($D900="",0,COUNTIFS($D$4:$D$1510,$D900,$C$4:$C$1510,$C900,$A$4:$A$1510,"&lt;"&amp;$A900))</f>
        <v>0</v>
      </c>
      <c r="U900" s="126">
        <f>IF($D900="",0,IFERROR(LOOKUP(2,1/(($D$3:D899=$D900)*($C$3:C899=$C900)*($A$3:A899&lt;$A900)),$AB$3:AB899),1000))</f>
        <v>0</v>
      </c>
      <c r="V900" s="126">
        <f t="shared" ref="V900:V963" si="291">IF($D900="",0,$U900*($T900/($T900+5))+$H900*(1-$T900/($T900+5)))</f>
        <v>0</v>
      </c>
      <c r="W900">
        <f t="shared" ref="W900:W963" si="292">IF($D900="",0,IFERROR(SUMIFS($V$4:$V$1510,$A$4:$A$1510,$A900,$E$4:$E$1510,"Win")/COUNTIFS($A$4:$A$1510,$A900,$E$4:$E$1510,"Win"),0))</f>
        <v>0</v>
      </c>
      <c r="X900">
        <f t="shared" ref="X900:X963" si="293">IF($D900="",0,1/(1+10^(($W900-$V900)/400)))</f>
        <v>0</v>
      </c>
      <c r="Y900">
        <f t="shared" ref="Y900:Y963" si="294">IF($D900="",0,IFERROR(SUMIFS($U$4:$U$1510,$A$4:$A$1510,$A900,$E$4:$E$1510,"Win")/COUNTIFS($A$4:$A$1510,$A900,$E$4:$E$1510,"Win"),0))</f>
        <v>0</v>
      </c>
      <c r="Z900">
        <f t="shared" ref="Z900:Z963" si="295">IF($D900="",0,1/(1+10^(($Y900-$U900)/400)))</f>
        <v>0</v>
      </c>
      <c r="AA900">
        <f>IF($D900="",0,IF($F900&lt;2,0,IF($E900="Win",('Guide &amp; Settings'!$C$42/(($F900-1)*COUNTIFS($A$4:$A$1510,$A900,$E$4:$E$1510,"Win")))*SUMIFS($Z$4:$Z$1510,$A$4:$A$1510,$A900,$E$4:$E$1510,"Loss"),-('Guide &amp; Settings'!$C$42/($F900-1))*$Z900)))</f>
        <v>0</v>
      </c>
      <c r="AB900" s="126">
        <f t="shared" ref="AB900:AB963" si="296">IF($D900="",0,$U900+$AA900)</f>
        <v>0</v>
      </c>
      <c r="AC900" t="str">
        <f>IF($D900="","",IF($AD900=0,0,IF(COUNTIFS($D$4:$D900,$D900,$B$4:$B900,$B900)&gt;1,0,IF($B900&lt;'Guide &amp; Settings'!$C$50,0,IF(($B900-$AD900)/7-'Guide &amp; Settings'!$C$48&gt;=0,(INT(($B900-$AD900)/7-'Guide &amp; Settings'!$C$48)+1)*'Guide &amp; Settings'!$C$49,0)))))</f>
        <v/>
      </c>
      <c r="AD900" s="142">
        <f t="shared" ref="AD900:AD963" si="297">IF($D900="",0,SUMPRODUCT(MAX(($D$4:$D$1510=$D900)*($B$4:$B$1510&lt;$B900)*$B$4:$B$1510)))</f>
        <v>0</v>
      </c>
      <c r="AE900">
        <f t="shared" ref="AE900:AE963" si="298">IF($D900="",0,COUNTIFS($A$4:$A$1510,$A900,$E$4:$E$1510,"Win"))</f>
        <v>0</v>
      </c>
      <c r="AF900">
        <f t="shared" ref="AF900:AF963" si="299">IF($D900="",0,(COUNTIFS($A$4:$A$1510,$A900,$D$4:$D$1510,$D900)&gt;1)*1+(COUNTIFS($A$4:$A$1510,$A900,$C$4:$C$1510,"&lt;&gt;"&amp;$C900)&gt;0)*2+(COUNTIFS($A$4:$A$1510,$A900,$B$4:$B$1510,"&lt;&gt;"&amp;$B900)&gt;0)*4)</f>
        <v>0</v>
      </c>
    </row>
    <row r="901" spans="1:32" x14ac:dyDescent="0.2">
      <c r="A901" s="117"/>
      <c r="B901" s="118"/>
      <c r="C901" s="119"/>
      <c r="D901" s="119"/>
      <c r="E901" s="117"/>
      <c r="F901" s="120">
        <f t="shared" si="280"/>
        <v>0</v>
      </c>
      <c r="G901" s="121" t="str">
        <f t="shared" si="281"/>
        <v/>
      </c>
      <c r="H901" s="122">
        <f>IF($D901="",0,IFERROR(LOOKUP(2,1/(($D$3:D900=$D901)*($A$3:A900&lt;$A901)),$N$3:N900),'Guide &amp; Settings'!$C$41))</f>
        <v>0</v>
      </c>
      <c r="I901" s="123">
        <f t="shared" si="282"/>
        <v>0</v>
      </c>
      <c r="J901" s="124">
        <f>IF($D901="",0,IF($F901&lt;2,0,IF($E901="Win",('Guide &amp; Settings'!$C$42/(($F901-1)*COUNTIFS($A$4:$A$1510,$A901,$E$4:$E$1510,"Win")))*SUMIFS($X$4:$X$1510,$A$4:$A$1510,$A901,$E$4:$E$1510,"Loss"),-('Guide &amp; Settings'!$C$42/($F901-1))*$X901)))</f>
        <v>0</v>
      </c>
      <c r="K901" s="124">
        <f>IF($D901="",0,'Guide &amp; Settings'!$C$43*(IF($E901="Win",1,0)-$I901))</f>
        <v>0</v>
      </c>
      <c r="L901" s="125">
        <f>IF($D901="",0,'Guide &amp; Settings'!$C$44*IF($F901&gt;=3,$F901,0))</f>
        <v>0</v>
      </c>
      <c r="M901" s="124">
        <f t="shared" si="283"/>
        <v>0</v>
      </c>
      <c r="N901" s="122">
        <f t="shared" si="284"/>
        <v>0</v>
      </c>
      <c r="O901" s="121" t="str">
        <f t="shared" si="285"/>
        <v/>
      </c>
      <c r="P901">
        <f t="shared" si="286"/>
        <v>0</v>
      </c>
      <c r="Q901">
        <f t="shared" si="287"/>
        <v>0</v>
      </c>
      <c r="R901">
        <f t="shared" si="288"/>
        <v>0</v>
      </c>
      <c r="S901">
        <f t="shared" si="289"/>
        <v>0</v>
      </c>
      <c r="T901" s="89">
        <f t="shared" si="290"/>
        <v>0</v>
      </c>
      <c r="U901" s="126">
        <f>IF($D901="",0,IFERROR(LOOKUP(2,1/(($D$3:D900=$D901)*($C$3:C900=$C901)*($A$3:A900&lt;$A901)),$AB$3:AB900),1000))</f>
        <v>0</v>
      </c>
      <c r="V901" s="126">
        <f t="shared" si="291"/>
        <v>0</v>
      </c>
      <c r="W901">
        <f t="shared" si="292"/>
        <v>0</v>
      </c>
      <c r="X901">
        <f t="shared" si="293"/>
        <v>0</v>
      </c>
      <c r="Y901">
        <f t="shared" si="294"/>
        <v>0</v>
      </c>
      <c r="Z901">
        <f t="shared" si="295"/>
        <v>0</v>
      </c>
      <c r="AA901">
        <f>IF($D901="",0,IF($F901&lt;2,0,IF($E901="Win",('Guide &amp; Settings'!$C$42/(($F901-1)*COUNTIFS($A$4:$A$1510,$A901,$E$4:$E$1510,"Win")))*SUMIFS($Z$4:$Z$1510,$A$4:$A$1510,$A901,$E$4:$E$1510,"Loss"),-('Guide &amp; Settings'!$C$42/($F901-1))*$Z901)))</f>
        <v>0</v>
      </c>
      <c r="AB901" s="126">
        <f t="shared" si="296"/>
        <v>0</v>
      </c>
      <c r="AC901" t="str">
        <f>IF($D901="","",IF($AD901=0,0,IF(COUNTIFS($D$4:$D901,$D901,$B$4:$B901,$B901)&gt;1,0,IF($B901&lt;'Guide &amp; Settings'!$C$50,0,IF(($B901-$AD901)/7-'Guide &amp; Settings'!$C$48&gt;=0,(INT(($B901-$AD901)/7-'Guide &amp; Settings'!$C$48)+1)*'Guide &amp; Settings'!$C$49,0)))))</f>
        <v/>
      </c>
      <c r="AD901" s="142">
        <f t="shared" si="297"/>
        <v>0</v>
      </c>
      <c r="AE901">
        <f t="shared" si="298"/>
        <v>0</v>
      </c>
      <c r="AF901">
        <f t="shared" si="299"/>
        <v>0</v>
      </c>
    </row>
    <row r="902" spans="1:32" x14ac:dyDescent="0.2">
      <c r="A902" s="117"/>
      <c r="B902" s="118"/>
      <c r="C902" s="119"/>
      <c r="D902" s="119"/>
      <c r="E902" s="117"/>
      <c r="F902" s="120">
        <f t="shared" si="280"/>
        <v>0</v>
      </c>
      <c r="G902" s="121" t="str">
        <f t="shared" si="281"/>
        <v/>
      </c>
      <c r="H902" s="122">
        <f>IF($D902="",0,IFERROR(LOOKUP(2,1/(($D$3:D901=$D902)*($A$3:A901&lt;$A902)),$N$3:N901),'Guide &amp; Settings'!$C$41))</f>
        <v>0</v>
      </c>
      <c r="I902" s="123">
        <f t="shared" si="282"/>
        <v>0</v>
      </c>
      <c r="J902" s="124">
        <f>IF($D902="",0,IF($F902&lt;2,0,IF($E902="Win",('Guide &amp; Settings'!$C$42/(($F902-1)*COUNTIFS($A$4:$A$1510,$A902,$E$4:$E$1510,"Win")))*SUMIFS($X$4:$X$1510,$A$4:$A$1510,$A902,$E$4:$E$1510,"Loss"),-('Guide &amp; Settings'!$C$42/($F902-1))*$X902)))</f>
        <v>0</v>
      </c>
      <c r="K902" s="124">
        <f>IF($D902="",0,'Guide &amp; Settings'!$C$43*(IF($E902="Win",1,0)-$I902))</f>
        <v>0</v>
      </c>
      <c r="L902" s="125">
        <f>IF($D902="",0,'Guide &amp; Settings'!$C$44*IF($F902&gt;=3,$F902,0))</f>
        <v>0</v>
      </c>
      <c r="M902" s="124">
        <f t="shared" si="283"/>
        <v>0</v>
      </c>
      <c r="N902" s="122">
        <f t="shared" si="284"/>
        <v>0</v>
      </c>
      <c r="O902" s="121" t="str">
        <f t="shared" si="285"/>
        <v/>
      </c>
      <c r="P902">
        <f t="shared" si="286"/>
        <v>0</v>
      </c>
      <c r="Q902">
        <f t="shared" si="287"/>
        <v>0</v>
      </c>
      <c r="R902">
        <f t="shared" si="288"/>
        <v>0</v>
      </c>
      <c r="S902">
        <f t="shared" si="289"/>
        <v>0</v>
      </c>
      <c r="T902" s="89">
        <f t="shared" si="290"/>
        <v>0</v>
      </c>
      <c r="U902" s="126">
        <f>IF($D902="",0,IFERROR(LOOKUP(2,1/(($D$3:D901=$D902)*($C$3:C901=$C902)*($A$3:A901&lt;$A902)),$AB$3:AB901),1000))</f>
        <v>0</v>
      </c>
      <c r="V902" s="126">
        <f t="shared" si="291"/>
        <v>0</v>
      </c>
      <c r="W902">
        <f t="shared" si="292"/>
        <v>0</v>
      </c>
      <c r="X902">
        <f t="shared" si="293"/>
        <v>0</v>
      </c>
      <c r="Y902">
        <f t="shared" si="294"/>
        <v>0</v>
      </c>
      <c r="Z902">
        <f t="shared" si="295"/>
        <v>0</v>
      </c>
      <c r="AA902">
        <f>IF($D902="",0,IF($F902&lt;2,0,IF($E902="Win",('Guide &amp; Settings'!$C$42/(($F902-1)*COUNTIFS($A$4:$A$1510,$A902,$E$4:$E$1510,"Win")))*SUMIFS($Z$4:$Z$1510,$A$4:$A$1510,$A902,$E$4:$E$1510,"Loss"),-('Guide &amp; Settings'!$C$42/($F902-1))*$Z902)))</f>
        <v>0</v>
      </c>
      <c r="AB902" s="126">
        <f t="shared" si="296"/>
        <v>0</v>
      </c>
      <c r="AC902" t="str">
        <f>IF($D902="","",IF($AD902=0,0,IF(COUNTIFS($D$4:$D902,$D902,$B$4:$B902,$B902)&gt;1,0,IF($B902&lt;'Guide &amp; Settings'!$C$50,0,IF(($B902-$AD902)/7-'Guide &amp; Settings'!$C$48&gt;=0,(INT(($B902-$AD902)/7-'Guide &amp; Settings'!$C$48)+1)*'Guide &amp; Settings'!$C$49,0)))))</f>
        <v/>
      </c>
      <c r="AD902" s="142">
        <f t="shared" si="297"/>
        <v>0</v>
      </c>
      <c r="AE902">
        <f t="shared" si="298"/>
        <v>0</v>
      </c>
      <c r="AF902">
        <f t="shared" si="299"/>
        <v>0</v>
      </c>
    </row>
    <row r="903" spans="1:32" x14ac:dyDescent="0.2">
      <c r="A903" s="117"/>
      <c r="B903" s="118"/>
      <c r="C903" s="119"/>
      <c r="D903" s="119"/>
      <c r="E903" s="117"/>
      <c r="F903" s="120">
        <f t="shared" si="280"/>
        <v>0</v>
      </c>
      <c r="G903" s="121" t="str">
        <f t="shared" si="281"/>
        <v/>
      </c>
      <c r="H903" s="122">
        <f>IF($D903="",0,IFERROR(LOOKUP(2,1/(($D$3:D902=$D903)*($A$3:A902&lt;$A903)),$N$3:N902),'Guide &amp; Settings'!$C$41))</f>
        <v>0</v>
      </c>
      <c r="I903" s="123">
        <f t="shared" si="282"/>
        <v>0</v>
      </c>
      <c r="J903" s="124">
        <f>IF($D903="",0,IF($F903&lt;2,0,IF($E903="Win",('Guide &amp; Settings'!$C$42/(($F903-1)*COUNTIFS($A$4:$A$1510,$A903,$E$4:$E$1510,"Win")))*SUMIFS($X$4:$X$1510,$A$4:$A$1510,$A903,$E$4:$E$1510,"Loss"),-('Guide &amp; Settings'!$C$42/($F903-1))*$X903)))</f>
        <v>0</v>
      </c>
      <c r="K903" s="124">
        <f>IF($D903="",0,'Guide &amp; Settings'!$C$43*(IF($E903="Win",1,0)-$I903))</f>
        <v>0</v>
      </c>
      <c r="L903" s="125">
        <f>IF($D903="",0,'Guide &amp; Settings'!$C$44*IF($F903&gt;=3,$F903,0))</f>
        <v>0</v>
      </c>
      <c r="M903" s="124">
        <f t="shared" si="283"/>
        <v>0</v>
      </c>
      <c r="N903" s="122">
        <f t="shared" si="284"/>
        <v>0</v>
      </c>
      <c r="O903" s="121" t="str">
        <f t="shared" si="285"/>
        <v/>
      </c>
      <c r="P903">
        <f t="shared" si="286"/>
        <v>0</v>
      </c>
      <c r="Q903">
        <f t="shared" si="287"/>
        <v>0</v>
      </c>
      <c r="R903">
        <f t="shared" si="288"/>
        <v>0</v>
      </c>
      <c r="S903">
        <f t="shared" si="289"/>
        <v>0</v>
      </c>
      <c r="T903" s="89">
        <f t="shared" si="290"/>
        <v>0</v>
      </c>
      <c r="U903" s="126">
        <f>IF($D903="",0,IFERROR(LOOKUP(2,1/(($D$3:D902=$D903)*($C$3:C902=$C903)*($A$3:A902&lt;$A903)),$AB$3:AB902),1000))</f>
        <v>0</v>
      </c>
      <c r="V903" s="126">
        <f t="shared" si="291"/>
        <v>0</v>
      </c>
      <c r="W903">
        <f t="shared" si="292"/>
        <v>0</v>
      </c>
      <c r="X903">
        <f t="shared" si="293"/>
        <v>0</v>
      </c>
      <c r="Y903">
        <f t="shared" si="294"/>
        <v>0</v>
      </c>
      <c r="Z903">
        <f t="shared" si="295"/>
        <v>0</v>
      </c>
      <c r="AA903">
        <f>IF($D903="",0,IF($F903&lt;2,0,IF($E903="Win",('Guide &amp; Settings'!$C$42/(($F903-1)*COUNTIFS($A$4:$A$1510,$A903,$E$4:$E$1510,"Win")))*SUMIFS($Z$4:$Z$1510,$A$4:$A$1510,$A903,$E$4:$E$1510,"Loss"),-('Guide &amp; Settings'!$C$42/($F903-1))*$Z903)))</f>
        <v>0</v>
      </c>
      <c r="AB903" s="126">
        <f t="shared" si="296"/>
        <v>0</v>
      </c>
      <c r="AC903" t="str">
        <f>IF($D903="","",IF($AD903=0,0,IF(COUNTIFS($D$4:$D903,$D903,$B$4:$B903,$B903)&gt;1,0,IF($B903&lt;'Guide &amp; Settings'!$C$50,0,IF(($B903-$AD903)/7-'Guide &amp; Settings'!$C$48&gt;=0,(INT(($B903-$AD903)/7-'Guide &amp; Settings'!$C$48)+1)*'Guide &amp; Settings'!$C$49,0)))))</f>
        <v/>
      </c>
      <c r="AD903" s="142">
        <f t="shared" si="297"/>
        <v>0</v>
      </c>
      <c r="AE903">
        <f t="shared" si="298"/>
        <v>0</v>
      </c>
      <c r="AF903">
        <f t="shared" si="299"/>
        <v>0</v>
      </c>
    </row>
    <row r="904" spans="1:32" x14ac:dyDescent="0.2">
      <c r="A904" s="117"/>
      <c r="B904" s="118"/>
      <c r="C904" s="119"/>
      <c r="D904" s="119"/>
      <c r="E904" s="117"/>
      <c r="F904" s="120">
        <f t="shared" si="280"/>
        <v>0</v>
      </c>
      <c r="G904" s="121" t="str">
        <f t="shared" si="281"/>
        <v/>
      </c>
      <c r="H904" s="122">
        <f>IF($D904="",0,IFERROR(LOOKUP(2,1/(($D$3:D903=$D904)*($A$3:A903&lt;$A904)),$N$3:N903),'Guide &amp; Settings'!$C$41))</f>
        <v>0</v>
      </c>
      <c r="I904" s="123">
        <f t="shared" si="282"/>
        <v>0</v>
      </c>
      <c r="J904" s="124">
        <f>IF($D904="",0,IF($F904&lt;2,0,IF($E904="Win",('Guide &amp; Settings'!$C$42/(($F904-1)*COUNTIFS($A$4:$A$1510,$A904,$E$4:$E$1510,"Win")))*SUMIFS($X$4:$X$1510,$A$4:$A$1510,$A904,$E$4:$E$1510,"Loss"),-('Guide &amp; Settings'!$C$42/($F904-1))*$X904)))</f>
        <v>0</v>
      </c>
      <c r="K904" s="124">
        <f>IF($D904="",0,'Guide &amp; Settings'!$C$43*(IF($E904="Win",1,0)-$I904))</f>
        <v>0</v>
      </c>
      <c r="L904" s="125">
        <f>IF($D904="",0,'Guide &amp; Settings'!$C$44*IF($F904&gt;=3,$F904,0))</f>
        <v>0</v>
      </c>
      <c r="M904" s="124">
        <f t="shared" si="283"/>
        <v>0</v>
      </c>
      <c r="N904" s="122">
        <f t="shared" si="284"/>
        <v>0</v>
      </c>
      <c r="O904" s="121" t="str">
        <f t="shared" si="285"/>
        <v/>
      </c>
      <c r="P904">
        <f t="shared" si="286"/>
        <v>0</v>
      </c>
      <c r="Q904">
        <f t="shared" si="287"/>
        <v>0</v>
      </c>
      <c r="R904">
        <f t="shared" si="288"/>
        <v>0</v>
      </c>
      <c r="S904">
        <f t="shared" si="289"/>
        <v>0</v>
      </c>
      <c r="T904" s="89">
        <f t="shared" si="290"/>
        <v>0</v>
      </c>
      <c r="U904" s="126">
        <f>IF($D904="",0,IFERROR(LOOKUP(2,1/(($D$3:D903=$D904)*($C$3:C903=$C904)*($A$3:A903&lt;$A904)),$AB$3:AB903),1000))</f>
        <v>0</v>
      </c>
      <c r="V904" s="126">
        <f t="shared" si="291"/>
        <v>0</v>
      </c>
      <c r="W904">
        <f t="shared" si="292"/>
        <v>0</v>
      </c>
      <c r="X904">
        <f t="shared" si="293"/>
        <v>0</v>
      </c>
      <c r="Y904">
        <f t="shared" si="294"/>
        <v>0</v>
      </c>
      <c r="Z904">
        <f t="shared" si="295"/>
        <v>0</v>
      </c>
      <c r="AA904">
        <f>IF($D904="",0,IF($F904&lt;2,0,IF($E904="Win",('Guide &amp; Settings'!$C$42/(($F904-1)*COUNTIFS($A$4:$A$1510,$A904,$E$4:$E$1510,"Win")))*SUMIFS($Z$4:$Z$1510,$A$4:$A$1510,$A904,$E$4:$E$1510,"Loss"),-('Guide &amp; Settings'!$C$42/($F904-1))*$Z904)))</f>
        <v>0</v>
      </c>
      <c r="AB904" s="126">
        <f t="shared" si="296"/>
        <v>0</v>
      </c>
      <c r="AC904" t="str">
        <f>IF($D904="","",IF($AD904=0,0,IF(COUNTIFS($D$4:$D904,$D904,$B$4:$B904,$B904)&gt;1,0,IF($B904&lt;'Guide &amp; Settings'!$C$50,0,IF(($B904-$AD904)/7-'Guide &amp; Settings'!$C$48&gt;=0,(INT(($B904-$AD904)/7-'Guide &amp; Settings'!$C$48)+1)*'Guide &amp; Settings'!$C$49,0)))))</f>
        <v/>
      </c>
      <c r="AD904" s="142">
        <f t="shared" si="297"/>
        <v>0</v>
      </c>
      <c r="AE904">
        <f t="shared" si="298"/>
        <v>0</v>
      </c>
      <c r="AF904">
        <f t="shared" si="299"/>
        <v>0</v>
      </c>
    </row>
    <row r="905" spans="1:32" x14ac:dyDescent="0.2">
      <c r="A905" s="117"/>
      <c r="B905" s="118"/>
      <c r="C905" s="119"/>
      <c r="D905" s="119"/>
      <c r="E905" s="117"/>
      <c r="F905" s="120">
        <f t="shared" si="280"/>
        <v>0</v>
      </c>
      <c r="G905" s="121" t="str">
        <f t="shared" si="281"/>
        <v/>
      </c>
      <c r="H905" s="122">
        <f>IF($D905="",0,IFERROR(LOOKUP(2,1/(($D$3:D904=$D905)*($A$3:A904&lt;$A905)),$N$3:N904),'Guide &amp; Settings'!$C$41))</f>
        <v>0</v>
      </c>
      <c r="I905" s="123">
        <f t="shared" si="282"/>
        <v>0</v>
      </c>
      <c r="J905" s="124">
        <f>IF($D905="",0,IF($F905&lt;2,0,IF($E905="Win",('Guide &amp; Settings'!$C$42/(($F905-1)*COUNTIFS($A$4:$A$1510,$A905,$E$4:$E$1510,"Win")))*SUMIFS($X$4:$X$1510,$A$4:$A$1510,$A905,$E$4:$E$1510,"Loss"),-('Guide &amp; Settings'!$C$42/($F905-1))*$X905)))</f>
        <v>0</v>
      </c>
      <c r="K905" s="124">
        <f>IF($D905="",0,'Guide &amp; Settings'!$C$43*(IF($E905="Win",1,0)-$I905))</f>
        <v>0</v>
      </c>
      <c r="L905" s="125">
        <f>IF($D905="",0,'Guide &amp; Settings'!$C$44*IF($F905&gt;=3,$F905,0))</f>
        <v>0</v>
      </c>
      <c r="M905" s="124">
        <f t="shared" si="283"/>
        <v>0</v>
      </c>
      <c r="N905" s="122">
        <f t="shared" si="284"/>
        <v>0</v>
      </c>
      <c r="O905" s="121" t="str">
        <f t="shared" si="285"/>
        <v/>
      </c>
      <c r="P905">
        <f t="shared" si="286"/>
        <v>0</v>
      </c>
      <c r="Q905">
        <f t="shared" si="287"/>
        <v>0</v>
      </c>
      <c r="R905">
        <f t="shared" si="288"/>
        <v>0</v>
      </c>
      <c r="S905">
        <f t="shared" si="289"/>
        <v>0</v>
      </c>
      <c r="T905" s="89">
        <f t="shared" si="290"/>
        <v>0</v>
      </c>
      <c r="U905" s="126">
        <f>IF($D905="",0,IFERROR(LOOKUP(2,1/(($D$3:D904=$D905)*($C$3:C904=$C905)*($A$3:A904&lt;$A905)),$AB$3:AB904),1000))</f>
        <v>0</v>
      </c>
      <c r="V905" s="126">
        <f t="shared" si="291"/>
        <v>0</v>
      </c>
      <c r="W905">
        <f t="shared" si="292"/>
        <v>0</v>
      </c>
      <c r="X905">
        <f t="shared" si="293"/>
        <v>0</v>
      </c>
      <c r="Y905">
        <f t="shared" si="294"/>
        <v>0</v>
      </c>
      <c r="Z905">
        <f t="shared" si="295"/>
        <v>0</v>
      </c>
      <c r="AA905">
        <f>IF($D905="",0,IF($F905&lt;2,0,IF($E905="Win",('Guide &amp; Settings'!$C$42/(($F905-1)*COUNTIFS($A$4:$A$1510,$A905,$E$4:$E$1510,"Win")))*SUMIFS($Z$4:$Z$1510,$A$4:$A$1510,$A905,$E$4:$E$1510,"Loss"),-('Guide &amp; Settings'!$C$42/($F905-1))*$Z905)))</f>
        <v>0</v>
      </c>
      <c r="AB905" s="126">
        <f t="shared" si="296"/>
        <v>0</v>
      </c>
      <c r="AC905" t="str">
        <f>IF($D905="","",IF($AD905=0,0,IF(COUNTIFS($D$4:$D905,$D905,$B$4:$B905,$B905)&gt;1,0,IF($B905&lt;'Guide &amp; Settings'!$C$50,0,IF(($B905-$AD905)/7-'Guide &amp; Settings'!$C$48&gt;=0,(INT(($B905-$AD905)/7-'Guide &amp; Settings'!$C$48)+1)*'Guide &amp; Settings'!$C$49,0)))))</f>
        <v/>
      </c>
      <c r="AD905" s="142">
        <f t="shared" si="297"/>
        <v>0</v>
      </c>
      <c r="AE905">
        <f t="shared" si="298"/>
        <v>0</v>
      </c>
      <c r="AF905">
        <f t="shared" si="299"/>
        <v>0</v>
      </c>
    </row>
    <row r="906" spans="1:32" x14ac:dyDescent="0.2">
      <c r="A906" s="117"/>
      <c r="B906" s="118"/>
      <c r="C906" s="119"/>
      <c r="D906" s="119"/>
      <c r="E906" s="117"/>
      <c r="F906" s="120">
        <f t="shared" si="280"/>
        <v>0</v>
      </c>
      <c r="G906" s="121" t="str">
        <f t="shared" si="281"/>
        <v/>
      </c>
      <c r="H906" s="122">
        <f>IF($D906="",0,IFERROR(LOOKUP(2,1/(($D$3:D905=$D906)*($A$3:A905&lt;$A906)),$N$3:N905),'Guide &amp; Settings'!$C$41))</f>
        <v>0</v>
      </c>
      <c r="I906" s="123">
        <f t="shared" si="282"/>
        <v>0</v>
      </c>
      <c r="J906" s="124">
        <f>IF($D906="",0,IF($F906&lt;2,0,IF($E906="Win",('Guide &amp; Settings'!$C$42/(($F906-1)*COUNTIFS($A$4:$A$1510,$A906,$E$4:$E$1510,"Win")))*SUMIFS($X$4:$X$1510,$A$4:$A$1510,$A906,$E$4:$E$1510,"Loss"),-('Guide &amp; Settings'!$C$42/($F906-1))*$X906)))</f>
        <v>0</v>
      </c>
      <c r="K906" s="124">
        <f>IF($D906="",0,'Guide &amp; Settings'!$C$43*(IF($E906="Win",1,0)-$I906))</f>
        <v>0</v>
      </c>
      <c r="L906" s="125">
        <f>IF($D906="",0,'Guide &amp; Settings'!$C$44*IF($F906&gt;=3,$F906,0))</f>
        <v>0</v>
      </c>
      <c r="M906" s="124">
        <f t="shared" si="283"/>
        <v>0</v>
      </c>
      <c r="N906" s="122">
        <f t="shared" si="284"/>
        <v>0</v>
      </c>
      <c r="O906" s="121" t="str">
        <f t="shared" si="285"/>
        <v/>
      </c>
      <c r="P906">
        <f t="shared" si="286"/>
        <v>0</v>
      </c>
      <c r="Q906">
        <f t="shared" si="287"/>
        <v>0</v>
      </c>
      <c r="R906">
        <f t="shared" si="288"/>
        <v>0</v>
      </c>
      <c r="S906">
        <f t="shared" si="289"/>
        <v>0</v>
      </c>
      <c r="T906" s="89">
        <f t="shared" si="290"/>
        <v>0</v>
      </c>
      <c r="U906" s="126">
        <f>IF($D906="",0,IFERROR(LOOKUP(2,1/(($D$3:D905=$D906)*($C$3:C905=$C906)*($A$3:A905&lt;$A906)),$AB$3:AB905),1000))</f>
        <v>0</v>
      </c>
      <c r="V906" s="126">
        <f t="shared" si="291"/>
        <v>0</v>
      </c>
      <c r="W906">
        <f t="shared" si="292"/>
        <v>0</v>
      </c>
      <c r="X906">
        <f t="shared" si="293"/>
        <v>0</v>
      </c>
      <c r="Y906">
        <f t="shared" si="294"/>
        <v>0</v>
      </c>
      <c r="Z906">
        <f t="shared" si="295"/>
        <v>0</v>
      </c>
      <c r="AA906">
        <f>IF($D906="",0,IF($F906&lt;2,0,IF($E906="Win",('Guide &amp; Settings'!$C$42/(($F906-1)*COUNTIFS($A$4:$A$1510,$A906,$E$4:$E$1510,"Win")))*SUMIFS($Z$4:$Z$1510,$A$4:$A$1510,$A906,$E$4:$E$1510,"Loss"),-('Guide &amp; Settings'!$C$42/($F906-1))*$Z906)))</f>
        <v>0</v>
      </c>
      <c r="AB906" s="126">
        <f t="shared" si="296"/>
        <v>0</v>
      </c>
      <c r="AC906" t="str">
        <f>IF($D906="","",IF($AD906=0,0,IF(COUNTIFS($D$4:$D906,$D906,$B$4:$B906,$B906)&gt;1,0,IF($B906&lt;'Guide &amp; Settings'!$C$50,0,IF(($B906-$AD906)/7-'Guide &amp; Settings'!$C$48&gt;=0,(INT(($B906-$AD906)/7-'Guide &amp; Settings'!$C$48)+1)*'Guide &amp; Settings'!$C$49,0)))))</f>
        <v/>
      </c>
      <c r="AD906" s="142">
        <f t="shared" si="297"/>
        <v>0</v>
      </c>
      <c r="AE906">
        <f t="shared" si="298"/>
        <v>0</v>
      </c>
      <c r="AF906">
        <f t="shared" si="299"/>
        <v>0</v>
      </c>
    </row>
    <row r="907" spans="1:32" x14ac:dyDescent="0.2">
      <c r="A907" s="117"/>
      <c r="B907" s="118"/>
      <c r="C907" s="119"/>
      <c r="D907" s="119"/>
      <c r="E907" s="117"/>
      <c r="F907" s="120">
        <f t="shared" si="280"/>
        <v>0</v>
      </c>
      <c r="G907" s="121" t="str">
        <f t="shared" si="281"/>
        <v/>
      </c>
      <c r="H907" s="122">
        <f>IF($D907="",0,IFERROR(LOOKUP(2,1/(($D$3:D906=$D907)*($A$3:A906&lt;$A907)),$N$3:N906),'Guide &amp; Settings'!$C$41))</f>
        <v>0</v>
      </c>
      <c r="I907" s="123">
        <f t="shared" si="282"/>
        <v>0</v>
      </c>
      <c r="J907" s="124">
        <f>IF($D907="",0,IF($F907&lt;2,0,IF($E907="Win",('Guide &amp; Settings'!$C$42/(($F907-1)*COUNTIFS($A$4:$A$1510,$A907,$E$4:$E$1510,"Win")))*SUMIFS($X$4:$X$1510,$A$4:$A$1510,$A907,$E$4:$E$1510,"Loss"),-('Guide &amp; Settings'!$C$42/($F907-1))*$X907)))</f>
        <v>0</v>
      </c>
      <c r="K907" s="124">
        <f>IF($D907="",0,'Guide &amp; Settings'!$C$43*(IF($E907="Win",1,0)-$I907))</f>
        <v>0</v>
      </c>
      <c r="L907" s="125">
        <f>IF($D907="",0,'Guide &amp; Settings'!$C$44*IF($F907&gt;=3,$F907,0))</f>
        <v>0</v>
      </c>
      <c r="M907" s="124">
        <f t="shared" si="283"/>
        <v>0</v>
      </c>
      <c r="N907" s="122">
        <f t="shared" si="284"/>
        <v>0</v>
      </c>
      <c r="O907" s="121" t="str">
        <f t="shared" si="285"/>
        <v/>
      </c>
      <c r="P907">
        <f t="shared" si="286"/>
        <v>0</v>
      </c>
      <c r="Q907">
        <f t="shared" si="287"/>
        <v>0</v>
      </c>
      <c r="R907">
        <f t="shared" si="288"/>
        <v>0</v>
      </c>
      <c r="S907">
        <f t="shared" si="289"/>
        <v>0</v>
      </c>
      <c r="T907" s="89">
        <f t="shared" si="290"/>
        <v>0</v>
      </c>
      <c r="U907" s="126">
        <f>IF($D907="",0,IFERROR(LOOKUP(2,1/(($D$3:D906=$D907)*($C$3:C906=$C907)*($A$3:A906&lt;$A907)),$AB$3:AB906),1000))</f>
        <v>0</v>
      </c>
      <c r="V907" s="126">
        <f t="shared" si="291"/>
        <v>0</v>
      </c>
      <c r="W907">
        <f t="shared" si="292"/>
        <v>0</v>
      </c>
      <c r="X907">
        <f t="shared" si="293"/>
        <v>0</v>
      </c>
      <c r="Y907">
        <f t="shared" si="294"/>
        <v>0</v>
      </c>
      <c r="Z907">
        <f t="shared" si="295"/>
        <v>0</v>
      </c>
      <c r="AA907">
        <f>IF($D907="",0,IF($F907&lt;2,0,IF($E907="Win",('Guide &amp; Settings'!$C$42/(($F907-1)*COUNTIFS($A$4:$A$1510,$A907,$E$4:$E$1510,"Win")))*SUMIFS($Z$4:$Z$1510,$A$4:$A$1510,$A907,$E$4:$E$1510,"Loss"),-('Guide &amp; Settings'!$C$42/($F907-1))*$Z907)))</f>
        <v>0</v>
      </c>
      <c r="AB907" s="126">
        <f t="shared" si="296"/>
        <v>0</v>
      </c>
      <c r="AC907" t="str">
        <f>IF($D907="","",IF($AD907=0,0,IF(COUNTIFS($D$4:$D907,$D907,$B$4:$B907,$B907)&gt;1,0,IF($B907&lt;'Guide &amp; Settings'!$C$50,0,IF(($B907-$AD907)/7-'Guide &amp; Settings'!$C$48&gt;=0,(INT(($B907-$AD907)/7-'Guide &amp; Settings'!$C$48)+1)*'Guide &amp; Settings'!$C$49,0)))))</f>
        <v/>
      </c>
      <c r="AD907" s="142">
        <f t="shared" si="297"/>
        <v>0</v>
      </c>
      <c r="AE907">
        <f t="shared" si="298"/>
        <v>0</v>
      </c>
      <c r="AF907">
        <f t="shared" si="299"/>
        <v>0</v>
      </c>
    </row>
    <row r="908" spans="1:32" x14ac:dyDescent="0.2">
      <c r="A908" s="117"/>
      <c r="B908" s="118"/>
      <c r="C908" s="119"/>
      <c r="D908" s="119"/>
      <c r="E908" s="117"/>
      <c r="F908" s="120">
        <f t="shared" si="280"/>
        <v>0</v>
      </c>
      <c r="G908" s="121" t="str">
        <f t="shared" si="281"/>
        <v/>
      </c>
      <c r="H908" s="122">
        <f>IF($D908="",0,IFERROR(LOOKUP(2,1/(($D$3:D907=$D908)*($A$3:A907&lt;$A908)),$N$3:N907),'Guide &amp; Settings'!$C$41))</f>
        <v>0</v>
      </c>
      <c r="I908" s="123">
        <f t="shared" si="282"/>
        <v>0</v>
      </c>
      <c r="J908" s="124">
        <f>IF($D908="",0,IF($F908&lt;2,0,IF($E908="Win",('Guide &amp; Settings'!$C$42/(($F908-1)*COUNTIFS($A$4:$A$1510,$A908,$E$4:$E$1510,"Win")))*SUMIFS($X$4:$X$1510,$A$4:$A$1510,$A908,$E$4:$E$1510,"Loss"),-('Guide &amp; Settings'!$C$42/($F908-1))*$X908)))</f>
        <v>0</v>
      </c>
      <c r="K908" s="124">
        <f>IF($D908="",0,'Guide &amp; Settings'!$C$43*(IF($E908="Win",1,0)-$I908))</f>
        <v>0</v>
      </c>
      <c r="L908" s="125">
        <f>IF($D908="",0,'Guide &amp; Settings'!$C$44*IF($F908&gt;=3,$F908,0))</f>
        <v>0</v>
      </c>
      <c r="M908" s="124">
        <f t="shared" si="283"/>
        <v>0</v>
      </c>
      <c r="N908" s="122">
        <f t="shared" si="284"/>
        <v>0</v>
      </c>
      <c r="O908" s="121" t="str">
        <f t="shared" si="285"/>
        <v/>
      </c>
      <c r="P908">
        <f t="shared" si="286"/>
        <v>0</v>
      </c>
      <c r="Q908">
        <f t="shared" si="287"/>
        <v>0</v>
      </c>
      <c r="R908">
        <f t="shared" si="288"/>
        <v>0</v>
      </c>
      <c r="S908">
        <f t="shared" si="289"/>
        <v>0</v>
      </c>
      <c r="T908" s="89">
        <f t="shared" si="290"/>
        <v>0</v>
      </c>
      <c r="U908" s="126">
        <f>IF($D908="",0,IFERROR(LOOKUP(2,1/(($D$3:D907=$D908)*($C$3:C907=$C908)*($A$3:A907&lt;$A908)),$AB$3:AB907),1000))</f>
        <v>0</v>
      </c>
      <c r="V908" s="126">
        <f t="shared" si="291"/>
        <v>0</v>
      </c>
      <c r="W908">
        <f t="shared" si="292"/>
        <v>0</v>
      </c>
      <c r="X908">
        <f t="shared" si="293"/>
        <v>0</v>
      </c>
      <c r="Y908">
        <f t="shared" si="294"/>
        <v>0</v>
      </c>
      <c r="Z908">
        <f t="shared" si="295"/>
        <v>0</v>
      </c>
      <c r="AA908">
        <f>IF($D908="",0,IF($F908&lt;2,0,IF($E908="Win",('Guide &amp; Settings'!$C$42/(($F908-1)*COUNTIFS($A$4:$A$1510,$A908,$E$4:$E$1510,"Win")))*SUMIFS($Z$4:$Z$1510,$A$4:$A$1510,$A908,$E$4:$E$1510,"Loss"),-('Guide &amp; Settings'!$C$42/($F908-1))*$Z908)))</f>
        <v>0</v>
      </c>
      <c r="AB908" s="126">
        <f t="shared" si="296"/>
        <v>0</v>
      </c>
      <c r="AC908" t="str">
        <f>IF($D908="","",IF($AD908=0,0,IF(COUNTIFS($D$4:$D908,$D908,$B$4:$B908,$B908)&gt;1,0,IF($B908&lt;'Guide &amp; Settings'!$C$50,0,IF(($B908-$AD908)/7-'Guide &amp; Settings'!$C$48&gt;=0,(INT(($B908-$AD908)/7-'Guide &amp; Settings'!$C$48)+1)*'Guide &amp; Settings'!$C$49,0)))))</f>
        <v/>
      </c>
      <c r="AD908" s="142">
        <f t="shared" si="297"/>
        <v>0</v>
      </c>
      <c r="AE908">
        <f t="shared" si="298"/>
        <v>0</v>
      </c>
      <c r="AF908">
        <f t="shared" si="299"/>
        <v>0</v>
      </c>
    </row>
    <row r="909" spans="1:32" x14ac:dyDescent="0.2">
      <c r="A909" s="117"/>
      <c r="B909" s="118"/>
      <c r="C909" s="119"/>
      <c r="D909" s="119"/>
      <c r="E909" s="117"/>
      <c r="F909" s="120">
        <f t="shared" si="280"/>
        <v>0</v>
      </c>
      <c r="G909" s="121" t="str">
        <f t="shared" si="281"/>
        <v/>
      </c>
      <c r="H909" s="122">
        <f>IF($D909="",0,IFERROR(LOOKUP(2,1/(($D$3:D908=$D909)*($A$3:A908&lt;$A909)),$N$3:N908),'Guide &amp; Settings'!$C$41))</f>
        <v>0</v>
      </c>
      <c r="I909" s="123">
        <f t="shared" si="282"/>
        <v>0</v>
      </c>
      <c r="J909" s="124">
        <f>IF($D909="",0,IF($F909&lt;2,0,IF($E909="Win",('Guide &amp; Settings'!$C$42/(($F909-1)*COUNTIFS($A$4:$A$1510,$A909,$E$4:$E$1510,"Win")))*SUMIFS($X$4:$X$1510,$A$4:$A$1510,$A909,$E$4:$E$1510,"Loss"),-('Guide &amp; Settings'!$C$42/($F909-1))*$X909)))</f>
        <v>0</v>
      </c>
      <c r="K909" s="124">
        <f>IF($D909="",0,'Guide &amp; Settings'!$C$43*(IF($E909="Win",1,0)-$I909))</f>
        <v>0</v>
      </c>
      <c r="L909" s="125">
        <f>IF($D909="",0,'Guide &amp; Settings'!$C$44*IF($F909&gt;=3,$F909,0))</f>
        <v>0</v>
      </c>
      <c r="M909" s="124">
        <f t="shared" si="283"/>
        <v>0</v>
      </c>
      <c r="N909" s="122">
        <f t="shared" si="284"/>
        <v>0</v>
      </c>
      <c r="O909" s="121" t="str">
        <f t="shared" si="285"/>
        <v/>
      </c>
      <c r="P909">
        <f t="shared" si="286"/>
        <v>0</v>
      </c>
      <c r="Q909">
        <f t="shared" si="287"/>
        <v>0</v>
      </c>
      <c r="R909">
        <f t="shared" si="288"/>
        <v>0</v>
      </c>
      <c r="S909">
        <f t="shared" si="289"/>
        <v>0</v>
      </c>
      <c r="T909" s="89">
        <f t="shared" si="290"/>
        <v>0</v>
      </c>
      <c r="U909" s="126">
        <f>IF($D909="",0,IFERROR(LOOKUP(2,1/(($D$3:D908=$D909)*($C$3:C908=$C909)*($A$3:A908&lt;$A909)),$AB$3:AB908),1000))</f>
        <v>0</v>
      </c>
      <c r="V909" s="126">
        <f t="shared" si="291"/>
        <v>0</v>
      </c>
      <c r="W909">
        <f t="shared" si="292"/>
        <v>0</v>
      </c>
      <c r="X909">
        <f t="shared" si="293"/>
        <v>0</v>
      </c>
      <c r="Y909">
        <f t="shared" si="294"/>
        <v>0</v>
      </c>
      <c r="Z909">
        <f t="shared" si="295"/>
        <v>0</v>
      </c>
      <c r="AA909">
        <f>IF($D909="",0,IF($F909&lt;2,0,IF($E909="Win",('Guide &amp; Settings'!$C$42/(($F909-1)*COUNTIFS($A$4:$A$1510,$A909,$E$4:$E$1510,"Win")))*SUMIFS($Z$4:$Z$1510,$A$4:$A$1510,$A909,$E$4:$E$1510,"Loss"),-('Guide &amp; Settings'!$C$42/($F909-1))*$Z909)))</f>
        <v>0</v>
      </c>
      <c r="AB909" s="126">
        <f t="shared" si="296"/>
        <v>0</v>
      </c>
      <c r="AC909" t="str">
        <f>IF($D909="","",IF($AD909=0,0,IF(COUNTIFS($D$4:$D909,$D909,$B$4:$B909,$B909)&gt;1,0,IF($B909&lt;'Guide &amp; Settings'!$C$50,0,IF(($B909-$AD909)/7-'Guide &amp; Settings'!$C$48&gt;=0,(INT(($B909-$AD909)/7-'Guide &amp; Settings'!$C$48)+1)*'Guide &amp; Settings'!$C$49,0)))))</f>
        <v/>
      </c>
      <c r="AD909" s="142">
        <f t="shared" si="297"/>
        <v>0</v>
      </c>
      <c r="AE909">
        <f t="shared" si="298"/>
        <v>0</v>
      </c>
      <c r="AF909">
        <f t="shared" si="299"/>
        <v>0</v>
      </c>
    </row>
    <row r="910" spans="1:32" x14ac:dyDescent="0.2">
      <c r="A910" s="117"/>
      <c r="B910" s="118"/>
      <c r="C910" s="119"/>
      <c r="D910" s="119"/>
      <c r="E910" s="117"/>
      <c r="F910" s="120">
        <f t="shared" si="280"/>
        <v>0</v>
      </c>
      <c r="G910" s="121" t="str">
        <f t="shared" si="281"/>
        <v/>
      </c>
      <c r="H910" s="122">
        <f>IF($D910="",0,IFERROR(LOOKUP(2,1/(($D$3:D909=$D910)*($A$3:A909&lt;$A910)),$N$3:N909),'Guide &amp; Settings'!$C$41))</f>
        <v>0</v>
      </c>
      <c r="I910" s="123">
        <f t="shared" si="282"/>
        <v>0</v>
      </c>
      <c r="J910" s="124">
        <f>IF($D910="",0,IF($F910&lt;2,0,IF($E910="Win",('Guide &amp; Settings'!$C$42/(($F910-1)*COUNTIFS($A$4:$A$1510,$A910,$E$4:$E$1510,"Win")))*SUMIFS($X$4:$X$1510,$A$4:$A$1510,$A910,$E$4:$E$1510,"Loss"),-('Guide &amp; Settings'!$C$42/($F910-1))*$X910)))</f>
        <v>0</v>
      </c>
      <c r="K910" s="124">
        <f>IF($D910="",0,'Guide &amp; Settings'!$C$43*(IF($E910="Win",1,0)-$I910))</f>
        <v>0</v>
      </c>
      <c r="L910" s="125">
        <f>IF($D910="",0,'Guide &amp; Settings'!$C$44*IF($F910&gt;=3,$F910,0))</f>
        <v>0</v>
      </c>
      <c r="M910" s="124">
        <f t="shared" si="283"/>
        <v>0</v>
      </c>
      <c r="N910" s="122">
        <f t="shared" si="284"/>
        <v>0</v>
      </c>
      <c r="O910" s="121" t="str">
        <f t="shared" si="285"/>
        <v/>
      </c>
      <c r="P910">
        <f t="shared" si="286"/>
        <v>0</v>
      </c>
      <c r="Q910">
        <f t="shared" si="287"/>
        <v>0</v>
      </c>
      <c r="R910">
        <f t="shared" si="288"/>
        <v>0</v>
      </c>
      <c r="S910">
        <f t="shared" si="289"/>
        <v>0</v>
      </c>
      <c r="T910" s="89">
        <f t="shared" si="290"/>
        <v>0</v>
      </c>
      <c r="U910" s="126">
        <f>IF($D910="",0,IFERROR(LOOKUP(2,1/(($D$3:D909=$D910)*($C$3:C909=$C910)*($A$3:A909&lt;$A910)),$AB$3:AB909),1000))</f>
        <v>0</v>
      </c>
      <c r="V910" s="126">
        <f t="shared" si="291"/>
        <v>0</v>
      </c>
      <c r="W910">
        <f t="shared" si="292"/>
        <v>0</v>
      </c>
      <c r="X910">
        <f t="shared" si="293"/>
        <v>0</v>
      </c>
      <c r="Y910">
        <f t="shared" si="294"/>
        <v>0</v>
      </c>
      <c r="Z910">
        <f t="shared" si="295"/>
        <v>0</v>
      </c>
      <c r="AA910">
        <f>IF($D910="",0,IF($F910&lt;2,0,IF($E910="Win",('Guide &amp; Settings'!$C$42/(($F910-1)*COUNTIFS($A$4:$A$1510,$A910,$E$4:$E$1510,"Win")))*SUMIFS($Z$4:$Z$1510,$A$4:$A$1510,$A910,$E$4:$E$1510,"Loss"),-('Guide &amp; Settings'!$C$42/($F910-1))*$Z910)))</f>
        <v>0</v>
      </c>
      <c r="AB910" s="126">
        <f t="shared" si="296"/>
        <v>0</v>
      </c>
      <c r="AC910" t="str">
        <f>IF($D910="","",IF($AD910=0,0,IF(COUNTIFS($D$4:$D910,$D910,$B$4:$B910,$B910)&gt;1,0,IF($B910&lt;'Guide &amp; Settings'!$C$50,0,IF(($B910-$AD910)/7-'Guide &amp; Settings'!$C$48&gt;=0,(INT(($B910-$AD910)/7-'Guide &amp; Settings'!$C$48)+1)*'Guide &amp; Settings'!$C$49,0)))))</f>
        <v/>
      </c>
      <c r="AD910" s="142">
        <f t="shared" si="297"/>
        <v>0</v>
      </c>
      <c r="AE910">
        <f t="shared" si="298"/>
        <v>0</v>
      </c>
      <c r="AF910">
        <f t="shared" si="299"/>
        <v>0</v>
      </c>
    </row>
    <row r="911" spans="1:32" x14ac:dyDescent="0.2">
      <c r="A911" s="117"/>
      <c r="B911" s="118"/>
      <c r="C911" s="119"/>
      <c r="D911" s="119"/>
      <c r="E911" s="117"/>
      <c r="F911" s="120">
        <f t="shared" si="280"/>
        <v>0</v>
      </c>
      <c r="G911" s="121" t="str">
        <f t="shared" si="281"/>
        <v/>
      </c>
      <c r="H911" s="122">
        <f>IF($D911="",0,IFERROR(LOOKUP(2,1/(($D$3:D910=$D911)*($A$3:A910&lt;$A911)),$N$3:N910),'Guide &amp; Settings'!$C$41))</f>
        <v>0</v>
      </c>
      <c r="I911" s="123">
        <f t="shared" si="282"/>
        <v>0</v>
      </c>
      <c r="J911" s="124">
        <f>IF($D911="",0,IF($F911&lt;2,0,IF($E911="Win",('Guide &amp; Settings'!$C$42/(($F911-1)*COUNTIFS($A$4:$A$1510,$A911,$E$4:$E$1510,"Win")))*SUMIFS($X$4:$X$1510,$A$4:$A$1510,$A911,$E$4:$E$1510,"Loss"),-('Guide &amp; Settings'!$C$42/($F911-1))*$X911)))</f>
        <v>0</v>
      </c>
      <c r="K911" s="124">
        <f>IF($D911="",0,'Guide &amp; Settings'!$C$43*(IF($E911="Win",1,0)-$I911))</f>
        <v>0</v>
      </c>
      <c r="L911" s="125">
        <f>IF($D911="",0,'Guide &amp; Settings'!$C$44*IF($F911&gt;=3,$F911,0))</f>
        <v>0</v>
      </c>
      <c r="M911" s="124">
        <f t="shared" si="283"/>
        <v>0</v>
      </c>
      <c r="N911" s="122">
        <f t="shared" si="284"/>
        <v>0</v>
      </c>
      <c r="O911" s="121" t="str">
        <f t="shared" si="285"/>
        <v/>
      </c>
      <c r="P911">
        <f t="shared" si="286"/>
        <v>0</v>
      </c>
      <c r="Q911">
        <f t="shared" si="287"/>
        <v>0</v>
      </c>
      <c r="R911">
        <f t="shared" si="288"/>
        <v>0</v>
      </c>
      <c r="S911">
        <f t="shared" si="289"/>
        <v>0</v>
      </c>
      <c r="T911" s="89">
        <f t="shared" si="290"/>
        <v>0</v>
      </c>
      <c r="U911" s="126">
        <f>IF($D911="",0,IFERROR(LOOKUP(2,1/(($D$3:D910=$D911)*($C$3:C910=$C911)*($A$3:A910&lt;$A911)),$AB$3:AB910),1000))</f>
        <v>0</v>
      </c>
      <c r="V911" s="126">
        <f t="shared" si="291"/>
        <v>0</v>
      </c>
      <c r="W911">
        <f t="shared" si="292"/>
        <v>0</v>
      </c>
      <c r="X911">
        <f t="shared" si="293"/>
        <v>0</v>
      </c>
      <c r="Y911">
        <f t="shared" si="294"/>
        <v>0</v>
      </c>
      <c r="Z911">
        <f t="shared" si="295"/>
        <v>0</v>
      </c>
      <c r="AA911">
        <f>IF($D911="",0,IF($F911&lt;2,0,IF($E911="Win",('Guide &amp; Settings'!$C$42/(($F911-1)*COUNTIFS($A$4:$A$1510,$A911,$E$4:$E$1510,"Win")))*SUMIFS($Z$4:$Z$1510,$A$4:$A$1510,$A911,$E$4:$E$1510,"Loss"),-('Guide &amp; Settings'!$C$42/($F911-1))*$Z911)))</f>
        <v>0</v>
      </c>
      <c r="AB911" s="126">
        <f t="shared" si="296"/>
        <v>0</v>
      </c>
      <c r="AC911" t="str">
        <f>IF($D911="","",IF($AD911=0,0,IF(COUNTIFS($D$4:$D911,$D911,$B$4:$B911,$B911)&gt;1,0,IF($B911&lt;'Guide &amp; Settings'!$C$50,0,IF(($B911-$AD911)/7-'Guide &amp; Settings'!$C$48&gt;=0,(INT(($B911-$AD911)/7-'Guide &amp; Settings'!$C$48)+1)*'Guide &amp; Settings'!$C$49,0)))))</f>
        <v/>
      </c>
      <c r="AD911" s="142">
        <f t="shared" si="297"/>
        <v>0</v>
      </c>
      <c r="AE911">
        <f t="shared" si="298"/>
        <v>0</v>
      </c>
      <c r="AF911">
        <f t="shared" si="299"/>
        <v>0</v>
      </c>
    </row>
    <row r="912" spans="1:32" x14ac:dyDescent="0.2">
      <c r="A912" s="117"/>
      <c r="B912" s="118"/>
      <c r="C912" s="119"/>
      <c r="D912" s="119"/>
      <c r="E912" s="117"/>
      <c r="F912" s="120">
        <f t="shared" si="280"/>
        <v>0</v>
      </c>
      <c r="G912" s="121" t="str">
        <f t="shared" si="281"/>
        <v/>
      </c>
      <c r="H912" s="122">
        <f>IF($D912="",0,IFERROR(LOOKUP(2,1/(($D$3:D911=$D912)*($A$3:A911&lt;$A912)),$N$3:N911),'Guide &amp; Settings'!$C$41))</f>
        <v>0</v>
      </c>
      <c r="I912" s="123">
        <f t="shared" si="282"/>
        <v>0</v>
      </c>
      <c r="J912" s="124">
        <f>IF($D912="",0,IF($F912&lt;2,0,IF($E912="Win",('Guide &amp; Settings'!$C$42/(($F912-1)*COUNTIFS($A$4:$A$1510,$A912,$E$4:$E$1510,"Win")))*SUMIFS($X$4:$X$1510,$A$4:$A$1510,$A912,$E$4:$E$1510,"Loss"),-('Guide &amp; Settings'!$C$42/($F912-1))*$X912)))</f>
        <v>0</v>
      </c>
      <c r="K912" s="124">
        <f>IF($D912="",0,'Guide &amp; Settings'!$C$43*(IF($E912="Win",1,0)-$I912))</f>
        <v>0</v>
      </c>
      <c r="L912" s="125">
        <f>IF($D912="",0,'Guide &amp; Settings'!$C$44*IF($F912&gt;=3,$F912,0))</f>
        <v>0</v>
      </c>
      <c r="M912" s="124">
        <f t="shared" si="283"/>
        <v>0</v>
      </c>
      <c r="N912" s="122">
        <f t="shared" si="284"/>
        <v>0</v>
      </c>
      <c r="O912" s="121" t="str">
        <f t="shared" si="285"/>
        <v/>
      </c>
      <c r="P912">
        <f t="shared" si="286"/>
        <v>0</v>
      </c>
      <c r="Q912">
        <f t="shared" si="287"/>
        <v>0</v>
      </c>
      <c r="R912">
        <f t="shared" si="288"/>
        <v>0</v>
      </c>
      <c r="S912">
        <f t="shared" si="289"/>
        <v>0</v>
      </c>
      <c r="T912" s="89">
        <f t="shared" si="290"/>
        <v>0</v>
      </c>
      <c r="U912" s="126">
        <f>IF($D912="",0,IFERROR(LOOKUP(2,1/(($D$3:D911=$D912)*($C$3:C911=$C912)*($A$3:A911&lt;$A912)),$AB$3:AB911),1000))</f>
        <v>0</v>
      </c>
      <c r="V912" s="126">
        <f t="shared" si="291"/>
        <v>0</v>
      </c>
      <c r="W912">
        <f t="shared" si="292"/>
        <v>0</v>
      </c>
      <c r="X912">
        <f t="shared" si="293"/>
        <v>0</v>
      </c>
      <c r="Y912">
        <f t="shared" si="294"/>
        <v>0</v>
      </c>
      <c r="Z912">
        <f t="shared" si="295"/>
        <v>0</v>
      </c>
      <c r="AA912">
        <f>IF($D912="",0,IF($F912&lt;2,0,IF($E912="Win",('Guide &amp; Settings'!$C$42/(($F912-1)*COUNTIFS($A$4:$A$1510,$A912,$E$4:$E$1510,"Win")))*SUMIFS($Z$4:$Z$1510,$A$4:$A$1510,$A912,$E$4:$E$1510,"Loss"),-('Guide &amp; Settings'!$C$42/($F912-1))*$Z912)))</f>
        <v>0</v>
      </c>
      <c r="AB912" s="126">
        <f t="shared" si="296"/>
        <v>0</v>
      </c>
      <c r="AC912" t="str">
        <f>IF($D912="","",IF($AD912=0,0,IF(COUNTIFS($D$4:$D912,$D912,$B$4:$B912,$B912)&gt;1,0,IF($B912&lt;'Guide &amp; Settings'!$C$50,0,IF(($B912-$AD912)/7-'Guide &amp; Settings'!$C$48&gt;=0,(INT(($B912-$AD912)/7-'Guide &amp; Settings'!$C$48)+1)*'Guide &amp; Settings'!$C$49,0)))))</f>
        <v/>
      </c>
      <c r="AD912" s="142">
        <f t="shared" si="297"/>
        <v>0</v>
      </c>
      <c r="AE912">
        <f t="shared" si="298"/>
        <v>0</v>
      </c>
      <c r="AF912">
        <f t="shared" si="299"/>
        <v>0</v>
      </c>
    </row>
    <row r="913" spans="1:32" x14ac:dyDescent="0.2">
      <c r="A913" s="117"/>
      <c r="B913" s="118"/>
      <c r="C913" s="119"/>
      <c r="D913" s="119"/>
      <c r="E913" s="117"/>
      <c r="F913" s="120">
        <f t="shared" si="280"/>
        <v>0</v>
      </c>
      <c r="G913" s="121" t="str">
        <f t="shared" si="281"/>
        <v/>
      </c>
      <c r="H913" s="122">
        <f>IF($D913="",0,IFERROR(LOOKUP(2,1/(($D$3:D912=$D913)*($A$3:A912&lt;$A913)),$N$3:N912),'Guide &amp; Settings'!$C$41))</f>
        <v>0</v>
      </c>
      <c r="I913" s="123">
        <f t="shared" si="282"/>
        <v>0</v>
      </c>
      <c r="J913" s="124">
        <f>IF($D913="",0,IF($F913&lt;2,0,IF($E913="Win",('Guide &amp; Settings'!$C$42/(($F913-1)*COUNTIFS($A$4:$A$1510,$A913,$E$4:$E$1510,"Win")))*SUMIFS($X$4:$X$1510,$A$4:$A$1510,$A913,$E$4:$E$1510,"Loss"),-('Guide &amp; Settings'!$C$42/($F913-1))*$X913)))</f>
        <v>0</v>
      </c>
      <c r="K913" s="124">
        <f>IF($D913="",0,'Guide &amp; Settings'!$C$43*(IF($E913="Win",1,0)-$I913))</f>
        <v>0</v>
      </c>
      <c r="L913" s="125">
        <f>IF($D913="",0,'Guide &amp; Settings'!$C$44*IF($F913&gt;=3,$F913,0))</f>
        <v>0</v>
      </c>
      <c r="M913" s="124">
        <f t="shared" si="283"/>
        <v>0</v>
      </c>
      <c r="N913" s="122">
        <f t="shared" si="284"/>
        <v>0</v>
      </c>
      <c r="O913" s="121" t="str">
        <f t="shared" si="285"/>
        <v/>
      </c>
      <c r="P913">
        <f t="shared" si="286"/>
        <v>0</v>
      </c>
      <c r="Q913">
        <f t="shared" si="287"/>
        <v>0</v>
      </c>
      <c r="R913">
        <f t="shared" si="288"/>
        <v>0</v>
      </c>
      <c r="S913">
        <f t="shared" si="289"/>
        <v>0</v>
      </c>
      <c r="T913" s="89">
        <f t="shared" si="290"/>
        <v>0</v>
      </c>
      <c r="U913" s="126">
        <f>IF($D913="",0,IFERROR(LOOKUP(2,1/(($D$3:D912=$D913)*($C$3:C912=$C913)*($A$3:A912&lt;$A913)),$AB$3:AB912),1000))</f>
        <v>0</v>
      </c>
      <c r="V913" s="126">
        <f t="shared" si="291"/>
        <v>0</v>
      </c>
      <c r="W913">
        <f t="shared" si="292"/>
        <v>0</v>
      </c>
      <c r="X913">
        <f t="shared" si="293"/>
        <v>0</v>
      </c>
      <c r="Y913">
        <f t="shared" si="294"/>
        <v>0</v>
      </c>
      <c r="Z913">
        <f t="shared" si="295"/>
        <v>0</v>
      </c>
      <c r="AA913">
        <f>IF($D913="",0,IF($F913&lt;2,0,IF($E913="Win",('Guide &amp; Settings'!$C$42/(($F913-1)*COUNTIFS($A$4:$A$1510,$A913,$E$4:$E$1510,"Win")))*SUMIFS($Z$4:$Z$1510,$A$4:$A$1510,$A913,$E$4:$E$1510,"Loss"),-('Guide &amp; Settings'!$C$42/($F913-1))*$Z913)))</f>
        <v>0</v>
      </c>
      <c r="AB913" s="126">
        <f t="shared" si="296"/>
        <v>0</v>
      </c>
      <c r="AC913" t="str">
        <f>IF($D913="","",IF($AD913=0,0,IF(COUNTIFS($D$4:$D913,$D913,$B$4:$B913,$B913)&gt;1,0,IF($B913&lt;'Guide &amp; Settings'!$C$50,0,IF(($B913-$AD913)/7-'Guide &amp; Settings'!$C$48&gt;=0,(INT(($B913-$AD913)/7-'Guide &amp; Settings'!$C$48)+1)*'Guide &amp; Settings'!$C$49,0)))))</f>
        <v/>
      </c>
      <c r="AD913" s="142">
        <f t="shared" si="297"/>
        <v>0</v>
      </c>
      <c r="AE913">
        <f t="shared" si="298"/>
        <v>0</v>
      </c>
      <c r="AF913">
        <f t="shared" si="299"/>
        <v>0</v>
      </c>
    </row>
    <row r="914" spans="1:32" x14ac:dyDescent="0.2">
      <c r="A914" s="117"/>
      <c r="B914" s="118"/>
      <c r="C914" s="119"/>
      <c r="D914" s="119"/>
      <c r="E914" s="117"/>
      <c r="F914" s="120">
        <f t="shared" si="280"/>
        <v>0</v>
      </c>
      <c r="G914" s="121" t="str">
        <f t="shared" si="281"/>
        <v/>
      </c>
      <c r="H914" s="122">
        <f>IF($D914="",0,IFERROR(LOOKUP(2,1/(($D$3:D913=$D914)*($A$3:A913&lt;$A914)),$N$3:N913),'Guide &amp; Settings'!$C$41))</f>
        <v>0</v>
      </c>
      <c r="I914" s="123">
        <f t="shared" si="282"/>
        <v>0</v>
      </c>
      <c r="J914" s="124">
        <f>IF($D914="",0,IF($F914&lt;2,0,IF($E914="Win",('Guide &amp; Settings'!$C$42/(($F914-1)*COUNTIFS($A$4:$A$1510,$A914,$E$4:$E$1510,"Win")))*SUMIFS($X$4:$X$1510,$A$4:$A$1510,$A914,$E$4:$E$1510,"Loss"),-('Guide &amp; Settings'!$C$42/($F914-1))*$X914)))</f>
        <v>0</v>
      </c>
      <c r="K914" s="124">
        <f>IF($D914="",0,'Guide &amp; Settings'!$C$43*(IF($E914="Win",1,0)-$I914))</f>
        <v>0</v>
      </c>
      <c r="L914" s="125">
        <f>IF($D914="",0,'Guide &amp; Settings'!$C$44*IF($F914&gt;=3,$F914,0))</f>
        <v>0</v>
      </c>
      <c r="M914" s="124">
        <f t="shared" si="283"/>
        <v>0</v>
      </c>
      <c r="N914" s="122">
        <f t="shared" si="284"/>
        <v>0</v>
      </c>
      <c r="O914" s="121" t="str">
        <f t="shared" si="285"/>
        <v/>
      </c>
      <c r="P914">
        <f t="shared" si="286"/>
        <v>0</v>
      </c>
      <c r="Q914">
        <f t="shared" si="287"/>
        <v>0</v>
      </c>
      <c r="R914">
        <f t="shared" si="288"/>
        <v>0</v>
      </c>
      <c r="S914">
        <f t="shared" si="289"/>
        <v>0</v>
      </c>
      <c r="T914" s="89">
        <f t="shared" si="290"/>
        <v>0</v>
      </c>
      <c r="U914" s="126">
        <f>IF($D914="",0,IFERROR(LOOKUP(2,1/(($D$3:D913=$D914)*($C$3:C913=$C914)*($A$3:A913&lt;$A914)),$AB$3:AB913),1000))</f>
        <v>0</v>
      </c>
      <c r="V914" s="126">
        <f t="shared" si="291"/>
        <v>0</v>
      </c>
      <c r="W914">
        <f t="shared" si="292"/>
        <v>0</v>
      </c>
      <c r="X914">
        <f t="shared" si="293"/>
        <v>0</v>
      </c>
      <c r="Y914">
        <f t="shared" si="294"/>
        <v>0</v>
      </c>
      <c r="Z914">
        <f t="shared" si="295"/>
        <v>0</v>
      </c>
      <c r="AA914">
        <f>IF($D914="",0,IF($F914&lt;2,0,IF($E914="Win",('Guide &amp; Settings'!$C$42/(($F914-1)*COUNTIFS($A$4:$A$1510,$A914,$E$4:$E$1510,"Win")))*SUMIFS($Z$4:$Z$1510,$A$4:$A$1510,$A914,$E$4:$E$1510,"Loss"),-('Guide &amp; Settings'!$C$42/($F914-1))*$Z914)))</f>
        <v>0</v>
      </c>
      <c r="AB914" s="126">
        <f t="shared" si="296"/>
        <v>0</v>
      </c>
      <c r="AC914" t="str">
        <f>IF($D914="","",IF($AD914=0,0,IF(COUNTIFS($D$4:$D914,$D914,$B$4:$B914,$B914)&gt;1,0,IF($B914&lt;'Guide &amp; Settings'!$C$50,0,IF(($B914-$AD914)/7-'Guide &amp; Settings'!$C$48&gt;=0,(INT(($B914-$AD914)/7-'Guide &amp; Settings'!$C$48)+1)*'Guide &amp; Settings'!$C$49,0)))))</f>
        <v/>
      </c>
      <c r="AD914" s="142">
        <f t="shared" si="297"/>
        <v>0</v>
      </c>
      <c r="AE914">
        <f t="shared" si="298"/>
        <v>0</v>
      </c>
      <c r="AF914">
        <f t="shared" si="299"/>
        <v>0</v>
      </c>
    </row>
    <row r="915" spans="1:32" x14ac:dyDescent="0.2">
      <c r="A915" s="117"/>
      <c r="B915" s="118"/>
      <c r="C915" s="119"/>
      <c r="D915" s="119"/>
      <c r="E915" s="117"/>
      <c r="F915" s="120">
        <f t="shared" si="280"/>
        <v>0</v>
      </c>
      <c r="G915" s="121" t="str">
        <f t="shared" si="281"/>
        <v/>
      </c>
      <c r="H915" s="122">
        <f>IF($D915="",0,IFERROR(LOOKUP(2,1/(($D$3:D914=$D915)*($A$3:A914&lt;$A915)),$N$3:N914),'Guide &amp; Settings'!$C$41))</f>
        <v>0</v>
      </c>
      <c r="I915" s="123">
        <f t="shared" si="282"/>
        <v>0</v>
      </c>
      <c r="J915" s="124">
        <f>IF($D915="",0,IF($F915&lt;2,0,IF($E915="Win",('Guide &amp; Settings'!$C$42/(($F915-1)*COUNTIFS($A$4:$A$1510,$A915,$E$4:$E$1510,"Win")))*SUMIFS($X$4:$X$1510,$A$4:$A$1510,$A915,$E$4:$E$1510,"Loss"),-('Guide &amp; Settings'!$C$42/($F915-1))*$X915)))</f>
        <v>0</v>
      </c>
      <c r="K915" s="124">
        <f>IF($D915="",0,'Guide &amp; Settings'!$C$43*(IF($E915="Win",1,0)-$I915))</f>
        <v>0</v>
      </c>
      <c r="L915" s="125">
        <f>IF($D915="",0,'Guide &amp; Settings'!$C$44*IF($F915&gt;=3,$F915,0))</f>
        <v>0</v>
      </c>
      <c r="M915" s="124">
        <f t="shared" si="283"/>
        <v>0</v>
      </c>
      <c r="N915" s="122">
        <f t="shared" si="284"/>
        <v>0</v>
      </c>
      <c r="O915" s="121" t="str">
        <f t="shared" si="285"/>
        <v/>
      </c>
      <c r="P915">
        <f t="shared" si="286"/>
        <v>0</v>
      </c>
      <c r="Q915">
        <f t="shared" si="287"/>
        <v>0</v>
      </c>
      <c r="R915">
        <f t="shared" si="288"/>
        <v>0</v>
      </c>
      <c r="S915">
        <f t="shared" si="289"/>
        <v>0</v>
      </c>
      <c r="T915" s="89">
        <f t="shared" si="290"/>
        <v>0</v>
      </c>
      <c r="U915" s="126">
        <f>IF($D915="",0,IFERROR(LOOKUP(2,1/(($D$3:D914=$D915)*($C$3:C914=$C915)*($A$3:A914&lt;$A915)),$AB$3:AB914),1000))</f>
        <v>0</v>
      </c>
      <c r="V915" s="126">
        <f t="shared" si="291"/>
        <v>0</v>
      </c>
      <c r="W915">
        <f t="shared" si="292"/>
        <v>0</v>
      </c>
      <c r="X915">
        <f t="shared" si="293"/>
        <v>0</v>
      </c>
      <c r="Y915">
        <f t="shared" si="294"/>
        <v>0</v>
      </c>
      <c r="Z915">
        <f t="shared" si="295"/>
        <v>0</v>
      </c>
      <c r="AA915">
        <f>IF($D915="",0,IF($F915&lt;2,0,IF($E915="Win",('Guide &amp; Settings'!$C$42/(($F915-1)*COUNTIFS($A$4:$A$1510,$A915,$E$4:$E$1510,"Win")))*SUMIFS($Z$4:$Z$1510,$A$4:$A$1510,$A915,$E$4:$E$1510,"Loss"),-('Guide &amp; Settings'!$C$42/($F915-1))*$Z915)))</f>
        <v>0</v>
      </c>
      <c r="AB915" s="126">
        <f t="shared" si="296"/>
        <v>0</v>
      </c>
      <c r="AC915" t="str">
        <f>IF($D915="","",IF($AD915=0,0,IF(COUNTIFS($D$4:$D915,$D915,$B$4:$B915,$B915)&gt;1,0,IF($B915&lt;'Guide &amp; Settings'!$C$50,0,IF(($B915-$AD915)/7-'Guide &amp; Settings'!$C$48&gt;=0,(INT(($B915-$AD915)/7-'Guide &amp; Settings'!$C$48)+1)*'Guide &amp; Settings'!$C$49,0)))))</f>
        <v/>
      </c>
      <c r="AD915" s="142">
        <f t="shared" si="297"/>
        <v>0</v>
      </c>
      <c r="AE915">
        <f t="shared" si="298"/>
        <v>0</v>
      </c>
      <c r="AF915">
        <f t="shared" si="299"/>
        <v>0</v>
      </c>
    </row>
    <row r="916" spans="1:32" x14ac:dyDescent="0.2">
      <c r="A916" s="117"/>
      <c r="B916" s="118"/>
      <c r="C916" s="119"/>
      <c r="D916" s="119"/>
      <c r="E916" s="117"/>
      <c r="F916" s="120">
        <f t="shared" si="280"/>
        <v>0</v>
      </c>
      <c r="G916" s="121" t="str">
        <f t="shared" si="281"/>
        <v/>
      </c>
      <c r="H916" s="122">
        <f>IF($D916="",0,IFERROR(LOOKUP(2,1/(($D$3:D915=$D916)*($A$3:A915&lt;$A916)),$N$3:N915),'Guide &amp; Settings'!$C$41))</f>
        <v>0</v>
      </c>
      <c r="I916" s="123">
        <f t="shared" si="282"/>
        <v>0</v>
      </c>
      <c r="J916" s="124">
        <f>IF($D916="",0,IF($F916&lt;2,0,IF($E916="Win",('Guide &amp; Settings'!$C$42/(($F916-1)*COUNTIFS($A$4:$A$1510,$A916,$E$4:$E$1510,"Win")))*SUMIFS($X$4:$X$1510,$A$4:$A$1510,$A916,$E$4:$E$1510,"Loss"),-('Guide &amp; Settings'!$C$42/($F916-1))*$X916)))</f>
        <v>0</v>
      </c>
      <c r="K916" s="124">
        <f>IF($D916="",0,'Guide &amp; Settings'!$C$43*(IF($E916="Win",1,0)-$I916))</f>
        <v>0</v>
      </c>
      <c r="L916" s="125">
        <f>IF($D916="",0,'Guide &amp; Settings'!$C$44*IF($F916&gt;=3,$F916,0))</f>
        <v>0</v>
      </c>
      <c r="M916" s="124">
        <f t="shared" si="283"/>
        <v>0</v>
      </c>
      <c r="N916" s="122">
        <f t="shared" si="284"/>
        <v>0</v>
      </c>
      <c r="O916" s="121" t="str">
        <f t="shared" si="285"/>
        <v/>
      </c>
      <c r="P916">
        <f t="shared" si="286"/>
        <v>0</v>
      </c>
      <c r="Q916">
        <f t="shared" si="287"/>
        <v>0</v>
      </c>
      <c r="R916">
        <f t="shared" si="288"/>
        <v>0</v>
      </c>
      <c r="S916">
        <f t="shared" si="289"/>
        <v>0</v>
      </c>
      <c r="T916" s="89">
        <f t="shared" si="290"/>
        <v>0</v>
      </c>
      <c r="U916" s="126">
        <f>IF($D916="",0,IFERROR(LOOKUP(2,1/(($D$3:D915=$D916)*($C$3:C915=$C916)*($A$3:A915&lt;$A916)),$AB$3:AB915),1000))</f>
        <v>0</v>
      </c>
      <c r="V916" s="126">
        <f t="shared" si="291"/>
        <v>0</v>
      </c>
      <c r="W916">
        <f t="shared" si="292"/>
        <v>0</v>
      </c>
      <c r="X916">
        <f t="shared" si="293"/>
        <v>0</v>
      </c>
      <c r="Y916">
        <f t="shared" si="294"/>
        <v>0</v>
      </c>
      <c r="Z916">
        <f t="shared" si="295"/>
        <v>0</v>
      </c>
      <c r="AA916">
        <f>IF($D916="",0,IF($F916&lt;2,0,IF($E916="Win",('Guide &amp; Settings'!$C$42/(($F916-1)*COUNTIFS($A$4:$A$1510,$A916,$E$4:$E$1510,"Win")))*SUMIFS($Z$4:$Z$1510,$A$4:$A$1510,$A916,$E$4:$E$1510,"Loss"),-('Guide &amp; Settings'!$C$42/($F916-1))*$Z916)))</f>
        <v>0</v>
      </c>
      <c r="AB916" s="126">
        <f t="shared" si="296"/>
        <v>0</v>
      </c>
      <c r="AC916" t="str">
        <f>IF($D916="","",IF($AD916=0,0,IF(COUNTIFS($D$4:$D916,$D916,$B$4:$B916,$B916)&gt;1,0,IF($B916&lt;'Guide &amp; Settings'!$C$50,0,IF(($B916-$AD916)/7-'Guide &amp; Settings'!$C$48&gt;=0,(INT(($B916-$AD916)/7-'Guide &amp; Settings'!$C$48)+1)*'Guide &amp; Settings'!$C$49,0)))))</f>
        <v/>
      </c>
      <c r="AD916" s="142">
        <f t="shared" si="297"/>
        <v>0</v>
      </c>
      <c r="AE916">
        <f t="shared" si="298"/>
        <v>0</v>
      </c>
      <c r="AF916">
        <f t="shared" si="299"/>
        <v>0</v>
      </c>
    </row>
    <row r="917" spans="1:32" x14ac:dyDescent="0.2">
      <c r="A917" s="117"/>
      <c r="B917" s="118"/>
      <c r="C917" s="119"/>
      <c r="D917" s="119"/>
      <c r="E917" s="117"/>
      <c r="F917" s="120">
        <f t="shared" si="280"/>
        <v>0</v>
      </c>
      <c r="G917" s="121" t="str">
        <f t="shared" si="281"/>
        <v/>
      </c>
      <c r="H917" s="122">
        <f>IF($D917="",0,IFERROR(LOOKUP(2,1/(($D$3:D916=$D917)*($A$3:A916&lt;$A917)),$N$3:N916),'Guide &amp; Settings'!$C$41))</f>
        <v>0</v>
      </c>
      <c r="I917" s="123">
        <f t="shared" si="282"/>
        <v>0</v>
      </c>
      <c r="J917" s="124">
        <f>IF($D917="",0,IF($F917&lt;2,0,IF($E917="Win",('Guide &amp; Settings'!$C$42/(($F917-1)*COUNTIFS($A$4:$A$1510,$A917,$E$4:$E$1510,"Win")))*SUMIFS($X$4:$X$1510,$A$4:$A$1510,$A917,$E$4:$E$1510,"Loss"),-('Guide &amp; Settings'!$C$42/($F917-1))*$X917)))</f>
        <v>0</v>
      </c>
      <c r="K917" s="124">
        <f>IF($D917="",0,'Guide &amp; Settings'!$C$43*(IF($E917="Win",1,0)-$I917))</f>
        <v>0</v>
      </c>
      <c r="L917" s="125">
        <f>IF($D917="",0,'Guide &amp; Settings'!$C$44*IF($F917&gt;=3,$F917,0))</f>
        <v>0</v>
      </c>
      <c r="M917" s="124">
        <f t="shared" si="283"/>
        <v>0</v>
      </c>
      <c r="N917" s="122">
        <f t="shared" si="284"/>
        <v>0</v>
      </c>
      <c r="O917" s="121" t="str">
        <f t="shared" si="285"/>
        <v/>
      </c>
      <c r="P917">
        <f t="shared" si="286"/>
        <v>0</v>
      </c>
      <c r="Q917">
        <f t="shared" si="287"/>
        <v>0</v>
      </c>
      <c r="R917">
        <f t="shared" si="288"/>
        <v>0</v>
      </c>
      <c r="S917">
        <f t="shared" si="289"/>
        <v>0</v>
      </c>
      <c r="T917" s="89">
        <f t="shared" si="290"/>
        <v>0</v>
      </c>
      <c r="U917" s="126">
        <f>IF($D917="",0,IFERROR(LOOKUP(2,1/(($D$3:D916=$D917)*($C$3:C916=$C917)*($A$3:A916&lt;$A917)),$AB$3:AB916),1000))</f>
        <v>0</v>
      </c>
      <c r="V917" s="126">
        <f t="shared" si="291"/>
        <v>0</v>
      </c>
      <c r="W917">
        <f t="shared" si="292"/>
        <v>0</v>
      </c>
      <c r="X917">
        <f t="shared" si="293"/>
        <v>0</v>
      </c>
      <c r="Y917">
        <f t="shared" si="294"/>
        <v>0</v>
      </c>
      <c r="Z917">
        <f t="shared" si="295"/>
        <v>0</v>
      </c>
      <c r="AA917">
        <f>IF($D917="",0,IF($F917&lt;2,0,IF($E917="Win",('Guide &amp; Settings'!$C$42/(($F917-1)*COUNTIFS($A$4:$A$1510,$A917,$E$4:$E$1510,"Win")))*SUMIFS($Z$4:$Z$1510,$A$4:$A$1510,$A917,$E$4:$E$1510,"Loss"),-('Guide &amp; Settings'!$C$42/($F917-1))*$Z917)))</f>
        <v>0</v>
      </c>
      <c r="AB917" s="126">
        <f t="shared" si="296"/>
        <v>0</v>
      </c>
      <c r="AC917" t="str">
        <f>IF($D917="","",IF($AD917=0,0,IF(COUNTIFS($D$4:$D917,$D917,$B$4:$B917,$B917)&gt;1,0,IF($B917&lt;'Guide &amp; Settings'!$C$50,0,IF(($B917-$AD917)/7-'Guide &amp; Settings'!$C$48&gt;=0,(INT(($B917-$AD917)/7-'Guide &amp; Settings'!$C$48)+1)*'Guide &amp; Settings'!$C$49,0)))))</f>
        <v/>
      </c>
      <c r="AD917" s="142">
        <f t="shared" si="297"/>
        <v>0</v>
      </c>
      <c r="AE917">
        <f t="shared" si="298"/>
        <v>0</v>
      </c>
      <c r="AF917">
        <f t="shared" si="299"/>
        <v>0</v>
      </c>
    </row>
    <row r="918" spans="1:32" x14ac:dyDescent="0.2">
      <c r="A918" s="117"/>
      <c r="B918" s="118"/>
      <c r="C918" s="119"/>
      <c r="D918" s="119"/>
      <c r="E918" s="117"/>
      <c r="F918" s="120">
        <f t="shared" si="280"/>
        <v>0</v>
      </c>
      <c r="G918" s="121" t="str">
        <f t="shared" si="281"/>
        <v/>
      </c>
      <c r="H918" s="122">
        <f>IF($D918="",0,IFERROR(LOOKUP(2,1/(($D$3:D917=$D918)*($A$3:A917&lt;$A918)),$N$3:N917),'Guide &amp; Settings'!$C$41))</f>
        <v>0</v>
      </c>
      <c r="I918" s="123">
        <f t="shared" si="282"/>
        <v>0</v>
      </c>
      <c r="J918" s="124">
        <f>IF($D918="",0,IF($F918&lt;2,0,IF($E918="Win",('Guide &amp; Settings'!$C$42/(($F918-1)*COUNTIFS($A$4:$A$1510,$A918,$E$4:$E$1510,"Win")))*SUMIFS($X$4:$X$1510,$A$4:$A$1510,$A918,$E$4:$E$1510,"Loss"),-('Guide &amp; Settings'!$C$42/($F918-1))*$X918)))</f>
        <v>0</v>
      </c>
      <c r="K918" s="124">
        <f>IF($D918="",0,'Guide &amp; Settings'!$C$43*(IF($E918="Win",1,0)-$I918))</f>
        <v>0</v>
      </c>
      <c r="L918" s="125">
        <f>IF($D918="",0,'Guide &amp; Settings'!$C$44*IF($F918&gt;=3,$F918,0))</f>
        <v>0</v>
      </c>
      <c r="M918" s="124">
        <f t="shared" si="283"/>
        <v>0</v>
      </c>
      <c r="N918" s="122">
        <f t="shared" si="284"/>
        <v>0</v>
      </c>
      <c r="O918" s="121" t="str">
        <f t="shared" si="285"/>
        <v/>
      </c>
      <c r="P918">
        <f t="shared" si="286"/>
        <v>0</v>
      </c>
      <c r="Q918">
        <f t="shared" si="287"/>
        <v>0</v>
      </c>
      <c r="R918">
        <f t="shared" si="288"/>
        <v>0</v>
      </c>
      <c r="S918">
        <f t="shared" si="289"/>
        <v>0</v>
      </c>
      <c r="T918" s="89">
        <f t="shared" si="290"/>
        <v>0</v>
      </c>
      <c r="U918" s="126">
        <f>IF($D918="",0,IFERROR(LOOKUP(2,1/(($D$3:D917=$D918)*($C$3:C917=$C918)*($A$3:A917&lt;$A918)),$AB$3:AB917),1000))</f>
        <v>0</v>
      </c>
      <c r="V918" s="126">
        <f t="shared" si="291"/>
        <v>0</v>
      </c>
      <c r="W918">
        <f t="shared" si="292"/>
        <v>0</v>
      </c>
      <c r="X918">
        <f t="shared" si="293"/>
        <v>0</v>
      </c>
      <c r="Y918">
        <f t="shared" si="294"/>
        <v>0</v>
      </c>
      <c r="Z918">
        <f t="shared" si="295"/>
        <v>0</v>
      </c>
      <c r="AA918">
        <f>IF($D918="",0,IF($F918&lt;2,0,IF($E918="Win",('Guide &amp; Settings'!$C$42/(($F918-1)*COUNTIFS($A$4:$A$1510,$A918,$E$4:$E$1510,"Win")))*SUMIFS($Z$4:$Z$1510,$A$4:$A$1510,$A918,$E$4:$E$1510,"Loss"),-('Guide &amp; Settings'!$C$42/($F918-1))*$Z918)))</f>
        <v>0</v>
      </c>
      <c r="AB918" s="126">
        <f t="shared" si="296"/>
        <v>0</v>
      </c>
      <c r="AC918" t="str">
        <f>IF($D918="","",IF($AD918=0,0,IF(COUNTIFS($D$4:$D918,$D918,$B$4:$B918,$B918)&gt;1,0,IF($B918&lt;'Guide &amp; Settings'!$C$50,0,IF(($B918-$AD918)/7-'Guide &amp; Settings'!$C$48&gt;=0,(INT(($B918-$AD918)/7-'Guide &amp; Settings'!$C$48)+1)*'Guide &amp; Settings'!$C$49,0)))))</f>
        <v/>
      </c>
      <c r="AD918" s="142">
        <f t="shared" si="297"/>
        <v>0</v>
      </c>
      <c r="AE918">
        <f t="shared" si="298"/>
        <v>0</v>
      </c>
      <c r="AF918">
        <f t="shared" si="299"/>
        <v>0</v>
      </c>
    </row>
    <row r="919" spans="1:32" x14ac:dyDescent="0.2">
      <c r="A919" s="117"/>
      <c r="B919" s="118"/>
      <c r="C919" s="119"/>
      <c r="D919" s="119"/>
      <c r="E919" s="117"/>
      <c r="F919" s="120">
        <f t="shared" si="280"/>
        <v>0</v>
      </c>
      <c r="G919" s="121" t="str">
        <f t="shared" si="281"/>
        <v/>
      </c>
      <c r="H919" s="122">
        <f>IF($D919="",0,IFERROR(LOOKUP(2,1/(($D$3:D918=$D919)*($A$3:A918&lt;$A919)),$N$3:N918),'Guide &amp; Settings'!$C$41))</f>
        <v>0</v>
      </c>
      <c r="I919" s="123">
        <f t="shared" si="282"/>
        <v>0</v>
      </c>
      <c r="J919" s="124">
        <f>IF($D919="",0,IF($F919&lt;2,0,IF($E919="Win",('Guide &amp; Settings'!$C$42/(($F919-1)*COUNTIFS($A$4:$A$1510,$A919,$E$4:$E$1510,"Win")))*SUMIFS($X$4:$X$1510,$A$4:$A$1510,$A919,$E$4:$E$1510,"Loss"),-('Guide &amp; Settings'!$C$42/($F919-1))*$X919)))</f>
        <v>0</v>
      </c>
      <c r="K919" s="124">
        <f>IF($D919="",0,'Guide &amp; Settings'!$C$43*(IF($E919="Win",1,0)-$I919))</f>
        <v>0</v>
      </c>
      <c r="L919" s="125">
        <f>IF($D919="",0,'Guide &amp; Settings'!$C$44*IF($F919&gt;=3,$F919,0))</f>
        <v>0</v>
      </c>
      <c r="M919" s="124">
        <f t="shared" si="283"/>
        <v>0</v>
      </c>
      <c r="N919" s="122">
        <f t="shared" si="284"/>
        <v>0</v>
      </c>
      <c r="O919" s="121" t="str">
        <f t="shared" si="285"/>
        <v/>
      </c>
      <c r="P919">
        <f t="shared" si="286"/>
        <v>0</v>
      </c>
      <c r="Q919">
        <f t="shared" si="287"/>
        <v>0</v>
      </c>
      <c r="R919">
        <f t="shared" si="288"/>
        <v>0</v>
      </c>
      <c r="S919">
        <f t="shared" si="289"/>
        <v>0</v>
      </c>
      <c r="T919" s="89">
        <f t="shared" si="290"/>
        <v>0</v>
      </c>
      <c r="U919" s="126">
        <f>IF($D919="",0,IFERROR(LOOKUP(2,1/(($D$3:D918=$D919)*($C$3:C918=$C919)*($A$3:A918&lt;$A919)),$AB$3:AB918),1000))</f>
        <v>0</v>
      </c>
      <c r="V919" s="126">
        <f t="shared" si="291"/>
        <v>0</v>
      </c>
      <c r="W919">
        <f t="shared" si="292"/>
        <v>0</v>
      </c>
      <c r="X919">
        <f t="shared" si="293"/>
        <v>0</v>
      </c>
      <c r="Y919">
        <f t="shared" si="294"/>
        <v>0</v>
      </c>
      <c r="Z919">
        <f t="shared" si="295"/>
        <v>0</v>
      </c>
      <c r="AA919">
        <f>IF($D919="",0,IF($F919&lt;2,0,IF($E919="Win",('Guide &amp; Settings'!$C$42/(($F919-1)*COUNTIFS($A$4:$A$1510,$A919,$E$4:$E$1510,"Win")))*SUMIFS($Z$4:$Z$1510,$A$4:$A$1510,$A919,$E$4:$E$1510,"Loss"),-('Guide &amp; Settings'!$C$42/($F919-1))*$Z919)))</f>
        <v>0</v>
      </c>
      <c r="AB919" s="126">
        <f t="shared" si="296"/>
        <v>0</v>
      </c>
      <c r="AC919" t="str">
        <f>IF($D919="","",IF($AD919=0,0,IF(COUNTIFS($D$4:$D919,$D919,$B$4:$B919,$B919)&gt;1,0,IF($B919&lt;'Guide &amp; Settings'!$C$50,0,IF(($B919-$AD919)/7-'Guide &amp; Settings'!$C$48&gt;=0,(INT(($B919-$AD919)/7-'Guide &amp; Settings'!$C$48)+1)*'Guide &amp; Settings'!$C$49,0)))))</f>
        <v/>
      </c>
      <c r="AD919" s="142">
        <f t="shared" si="297"/>
        <v>0</v>
      </c>
      <c r="AE919">
        <f t="shared" si="298"/>
        <v>0</v>
      </c>
      <c r="AF919">
        <f t="shared" si="299"/>
        <v>0</v>
      </c>
    </row>
    <row r="920" spans="1:32" x14ac:dyDescent="0.2">
      <c r="A920" s="117"/>
      <c r="B920" s="118"/>
      <c r="C920" s="119"/>
      <c r="D920" s="119"/>
      <c r="E920" s="117"/>
      <c r="F920" s="120">
        <f t="shared" si="280"/>
        <v>0</v>
      </c>
      <c r="G920" s="121" t="str">
        <f t="shared" si="281"/>
        <v/>
      </c>
      <c r="H920" s="122">
        <f>IF($D920="",0,IFERROR(LOOKUP(2,1/(($D$3:D919=$D920)*($A$3:A919&lt;$A920)),$N$3:N919),'Guide &amp; Settings'!$C$41))</f>
        <v>0</v>
      </c>
      <c r="I920" s="123">
        <f t="shared" si="282"/>
        <v>0</v>
      </c>
      <c r="J920" s="124">
        <f>IF($D920="",0,IF($F920&lt;2,0,IF($E920="Win",('Guide &amp; Settings'!$C$42/(($F920-1)*COUNTIFS($A$4:$A$1510,$A920,$E$4:$E$1510,"Win")))*SUMIFS($X$4:$X$1510,$A$4:$A$1510,$A920,$E$4:$E$1510,"Loss"),-('Guide &amp; Settings'!$C$42/($F920-1))*$X920)))</f>
        <v>0</v>
      </c>
      <c r="K920" s="124">
        <f>IF($D920="",0,'Guide &amp; Settings'!$C$43*(IF($E920="Win",1,0)-$I920))</f>
        <v>0</v>
      </c>
      <c r="L920" s="125">
        <f>IF($D920="",0,'Guide &amp; Settings'!$C$44*IF($F920&gt;=3,$F920,0))</f>
        <v>0</v>
      </c>
      <c r="M920" s="124">
        <f t="shared" si="283"/>
        <v>0</v>
      </c>
      <c r="N920" s="122">
        <f t="shared" si="284"/>
        <v>0</v>
      </c>
      <c r="O920" s="121" t="str">
        <f t="shared" si="285"/>
        <v/>
      </c>
      <c r="P920">
        <f t="shared" si="286"/>
        <v>0</v>
      </c>
      <c r="Q920">
        <f t="shared" si="287"/>
        <v>0</v>
      </c>
      <c r="R920">
        <f t="shared" si="288"/>
        <v>0</v>
      </c>
      <c r="S920">
        <f t="shared" si="289"/>
        <v>0</v>
      </c>
      <c r="T920" s="89">
        <f t="shared" si="290"/>
        <v>0</v>
      </c>
      <c r="U920" s="126">
        <f>IF($D920="",0,IFERROR(LOOKUP(2,1/(($D$3:D919=$D920)*($C$3:C919=$C920)*($A$3:A919&lt;$A920)),$AB$3:AB919),1000))</f>
        <v>0</v>
      </c>
      <c r="V920" s="126">
        <f t="shared" si="291"/>
        <v>0</v>
      </c>
      <c r="W920">
        <f t="shared" si="292"/>
        <v>0</v>
      </c>
      <c r="X920">
        <f t="shared" si="293"/>
        <v>0</v>
      </c>
      <c r="Y920">
        <f t="shared" si="294"/>
        <v>0</v>
      </c>
      <c r="Z920">
        <f t="shared" si="295"/>
        <v>0</v>
      </c>
      <c r="AA920">
        <f>IF($D920="",0,IF($F920&lt;2,0,IF($E920="Win",('Guide &amp; Settings'!$C$42/(($F920-1)*COUNTIFS($A$4:$A$1510,$A920,$E$4:$E$1510,"Win")))*SUMIFS($Z$4:$Z$1510,$A$4:$A$1510,$A920,$E$4:$E$1510,"Loss"),-('Guide &amp; Settings'!$C$42/($F920-1))*$Z920)))</f>
        <v>0</v>
      </c>
      <c r="AB920" s="126">
        <f t="shared" si="296"/>
        <v>0</v>
      </c>
      <c r="AC920" t="str">
        <f>IF($D920="","",IF($AD920=0,0,IF(COUNTIFS($D$4:$D920,$D920,$B$4:$B920,$B920)&gt;1,0,IF($B920&lt;'Guide &amp; Settings'!$C$50,0,IF(($B920-$AD920)/7-'Guide &amp; Settings'!$C$48&gt;=0,(INT(($B920-$AD920)/7-'Guide &amp; Settings'!$C$48)+1)*'Guide &amp; Settings'!$C$49,0)))))</f>
        <v/>
      </c>
      <c r="AD920" s="142">
        <f t="shared" si="297"/>
        <v>0</v>
      </c>
      <c r="AE920">
        <f t="shared" si="298"/>
        <v>0</v>
      </c>
      <c r="AF920">
        <f t="shared" si="299"/>
        <v>0</v>
      </c>
    </row>
    <row r="921" spans="1:32" x14ac:dyDescent="0.2">
      <c r="A921" s="117"/>
      <c r="B921" s="118"/>
      <c r="C921" s="119"/>
      <c r="D921" s="119"/>
      <c r="E921" s="117"/>
      <c r="F921" s="120">
        <f t="shared" si="280"/>
        <v>0</v>
      </c>
      <c r="G921" s="121" t="str">
        <f t="shared" si="281"/>
        <v/>
      </c>
      <c r="H921" s="122">
        <f>IF($D921="",0,IFERROR(LOOKUP(2,1/(($D$3:D920=$D921)*($A$3:A920&lt;$A921)),$N$3:N920),'Guide &amp; Settings'!$C$41))</f>
        <v>0</v>
      </c>
      <c r="I921" s="123">
        <f t="shared" si="282"/>
        <v>0</v>
      </c>
      <c r="J921" s="124">
        <f>IF($D921="",0,IF($F921&lt;2,0,IF($E921="Win",('Guide &amp; Settings'!$C$42/(($F921-1)*COUNTIFS($A$4:$A$1510,$A921,$E$4:$E$1510,"Win")))*SUMIFS($X$4:$X$1510,$A$4:$A$1510,$A921,$E$4:$E$1510,"Loss"),-('Guide &amp; Settings'!$C$42/($F921-1))*$X921)))</f>
        <v>0</v>
      </c>
      <c r="K921" s="124">
        <f>IF($D921="",0,'Guide &amp; Settings'!$C$43*(IF($E921="Win",1,0)-$I921))</f>
        <v>0</v>
      </c>
      <c r="L921" s="125">
        <f>IF($D921="",0,'Guide &amp; Settings'!$C$44*IF($F921&gt;=3,$F921,0))</f>
        <v>0</v>
      </c>
      <c r="M921" s="124">
        <f t="shared" si="283"/>
        <v>0</v>
      </c>
      <c r="N921" s="122">
        <f t="shared" si="284"/>
        <v>0</v>
      </c>
      <c r="O921" s="121" t="str">
        <f t="shared" si="285"/>
        <v/>
      </c>
      <c r="P921">
        <f t="shared" si="286"/>
        <v>0</v>
      </c>
      <c r="Q921">
        <f t="shared" si="287"/>
        <v>0</v>
      </c>
      <c r="R921">
        <f t="shared" si="288"/>
        <v>0</v>
      </c>
      <c r="S921">
        <f t="shared" si="289"/>
        <v>0</v>
      </c>
      <c r="T921" s="89">
        <f t="shared" si="290"/>
        <v>0</v>
      </c>
      <c r="U921" s="126">
        <f>IF($D921="",0,IFERROR(LOOKUP(2,1/(($D$3:D920=$D921)*($C$3:C920=$C921)*($A$3:A920&lt;$A921)),$AB$3:AB920),1000))</f>
        <v>0</v>
      </c>
      <c r="V921" s="126">
        <f t="shared" si="291"/>
        <v>0</v>
      </c>
      <c r="W921">
        <f t="shared" si="292"/>
        <v>0</v>
      </c>
      <c r="X921">
        <f t="shared" si="293"/>
        <v>0</v>
      </c>
      <c r="Y921">
        <f t="shared" si="294"/>
        <v>0</v>
      </c>
      <c r="Z921">
        <f t="shared" si="295"/>
        <v>0</v>
      </c>
      <c r="AA921">
        <f>IF($D921="",0,IF($F921&lt;2,0,IF($E921="Win",('Guide &amp; Settings'!$C$42/(($F921-1)*COUNTIFS($A$4:$A$1510,$A921,$E$4:$E$1510,"Win")))*SUMIFS($Z$4:$Z$1510,$A$4:$A$1510,$A921,$E$4:$E$1510,"Loss"),-('Guide &amp; Settings'!$C$42/($F921-1))*$Z921)))</f>
        <v>0</v>
      </c>
      <c r="AB921" s="126">
        <f t="shared" si="296"/>
        <v>0</v>
      </c>
      <c r="AC921" t="str">
        <f>IF($D921="","",IF($AD921=0,0,IF(COUNTIFS($D$4:$D921,$D921,$B$4:$B921,$B921)&gt;1,0,IF($B921&lt;'Guide &amp; Settings'!$C$50,0,IF(($B921-$AD921)/7-'Guide &amp; Settings'!$C$48&gt;=0,(INT(($B921-$AD921)/7-'Guide &amp; Settings'!$C$48)+1)*'Guide &amp; Settings'!$C$49,0)))))</f>
        <v/>
      </c>
      <c r="AD921" s="142">
        <f t="shared" si="297"/>
        <v>0</v>
      </c>
      <c r="AE921">
        <f t="shared" si="298"/>
        <v>0</v>
      </c>
      <c r="AF921">
        <f t="shared" si="299"/>
        <v>0</v>
      </c>
    </row>
    <row r="922" spans="1:32" x14ac:dyDescent="0.2">
      <c r="A922" s="117"/>
      <c r="B922" s="118"/>
      <c r="C922" s="119"/>
      <c r="D922" s="119"/>
      <c r="E922" s="117"/>
      <c r="F922" s="120">
        <f t="shared" si="280"/>
        <v>0</v>
      </c>
      <c r="G922" s="121" t="str">
        <f t="shared" si="281"/>
        <v/>
      </c>
      <c r="H922" s="122">
        <f>IF($D922="",0,IFERROR(LOOKUP(2,1/(($D$3:D921=$D922)*($A$3:A921&lt;$A922)),$N$3:N921),'Guide &amp; Settings'!$C$41))</f>
        <v>0</v>
      </c>
      <c r="I922" s="123">
        <f t="shared" si="282"/>
        <v>0</v>
      </c>
      <c r="J922" s="124">
        <f>IF($D922="",0,IF($F922&lt;2,0,IF($E922="Win",('Guide &amp; Settings'!$C$42/(($F922-1)*COUNTIFS($A$4:$A$1510,$A922,$E$4:$E$1510,"Win")))*SUMIFS($X$4:$X$1510,$A$4:$A$1510,$A922,$E$4:$E$1510,"Loss"),-('Guide &amp; Settings'!$C$42/($F922-1))*$X922)))</f>
        <v>0</v>
      </c>
      <c r="K922" s="124">
        <f>IF($D922="",0,'Guide &amp; Settings'!$C$43*(IF($E922="Win",1,0)-$I922))</f>
        <v>0</v>
      </c>
      <c r="L922" s="125">
        <f>IF($D922="",0,'Guide &amp; Settings'!$C$44*IF($F922&gt;=3,$F922,0))</f>
        <v>0</v>
      </c>
      <c r="M922" s="124">
        <f t="shared" si="283"/>
        <v>0</v>
      </c>
      <c r="N922" s="122">
        <f t="shared" si="284"/>
        <v>0</v>
      </c>
      <c r="O922" s="121" t="str">
        <f t="shared" si="285"/>
        <v/>
      </c>
      <c r="P922">
        <f t="shared" si="286"/>
        <v>0</v>
      </c>
      <c r="Q922">
        <f t="shared" si="287"/>
        <v>0</v>
      </c>
      <c r="R922">
        <f t="shared" si="288"/>
        <v>0</v>
      </c>
      <c r="S922">
        <f t="shared" si="289"/>
        <v>0</v>
      </c>
      <c r="T922" s="89">
        <f t="shared" si="290"/>
        <v>0</v>
      </c>
      <c r="U922" s="126">
        <f>IF($D922="",0,IFERROR(LOOKUP(2,1/(($D$3:D921=$D922)*($C$3:C921=$C922)*($A$3:A921&lt;$A922)),$AB$3:AB921),1000))</f>
        <v>0</v>
      </c>
      <c r="V922" s="126">
        <f t="shared" si="291"/>
        <v>0</v>
      </c>
      <c r="W922">
        <f t="shared" si="292"/>
        <v>0</v>
      </c>
      <c r="X922">
        <f t="shared" si="293"/>
        <v>0</v>
      </c>
      <c r="Y922">
        <f t="shared" si="294"/>
        <v>0</v>
      </c>
      <c r="Z922">
        <f t="shared" si="295"/>
        <v>0</v>
      </c>
      <c r="AA922">
        <f>IF($D922="",0,IF($F922&lt;2,0,IF($E922="Win",('Guide &amp; Settings'!$C$42/(($F922-1)*COUNTIFS($A$4:$A$1510,$A922,$E$4:$E$1510,"Win")))*SUMIFS($Z$4:$Z$1510,$A$4:$A$1510,$A922,$E$4:$E$1510,"Loss"),-('Guide &amp; Settings'!$C$42/($F922-1))*$Z922)))</f>
        <v>0</v>
      </c>
      <c r="AB922" s="126">
        <f t="shared" si="296"/>
        <v>0</v>
      </c>
      <c r="AC922" t="str">
        <f>IF($D922="","",IF($AD922=0,0,IF(COUNTIFS($D$4:$D922,$D922,$B$4:$B922,$B922)&gt;1,0,IF($B922&lt;'Guide &amp; Settings'!$C$50,0,IF(($B922-$AD922)/7-'Guide &amp; Settings'!$C$48&gt;=0,(INT(($B922-$AD922)/7-'Guide &amp; Settings'!$C$48)+1)*'Guide &amp; Settings'!$C$49,0)))))</f>
        <v/>
      </c>
      <c r="AD922" s="142">
        <f t="shared" si="297"/>
        <v>0</v>
      </c>
      <c r="AE922">
        <f t="shared" si="298"/>
        <v>0</v>
      </c>
      <c r="AF922">
        <f t="shared" si="299"/>
        <v>0</v>
      </c>
    </row>
    <row r="923" spans="1:32" x14ac:dyDescent="0.2">
      <c r="A923" s="117"/>
      <c r="B923" s="118"/>
      <c r="C923" s="119"/>
      <c r="D923" s="119"/>
      <c r="E923" s="117"/>
      <c r="F923" s="120">
        <f t="shared" si="280"/>
        <v>0</v>
      </c>
      <c r="G923" s="121" t="str">
        <f t="shared" si="281"/>
        <v/>
      </c>
      <c r="H923" s="122">
        <f>IF($D923="",0,IFERROR(LOOKUP(2,1/(($D$3:D922=$D923)*($A$3:A922&lt;$A923)),$N$3:N922),'Guide &amp; Settings'!$C$41))</f>
        <v>0</v>
      </c>
      <c r="I923" s="123">
        <f t="shared" si="282"/>
        <v>0</v>
      </c>
      <c r="J923" s="124">
        <f>IF($D923="",0,IF($F923&lt;2,0,IF($E923="Win",('Guide &amp; Settings'!$C$42/(($F923-1)*COUNTIFS($A$4:$A$1510,$A923,$E$4:$E$1510,"Win")))*SUMIFS($X$4:$X$1510,$A$4:$A$1510,$A923,$E$4:$E$1510,"Loss"),-('Guide &amp; Settings'!$C$42/($F923-1))*$X923)))</f>
        <v>0</v>
      </c>
      <c r="K923" s="124">
        <f>IF($D923="",0,'Guide &amp; Settings'!$C$43*(IF($E923="Win",1,0)-$I923))</f>
        <v>0</v>
      </c>
      <c r="L923" s="125">
        <f>IF($D923="",0,'Guide &amp; Settings'!$C$44*IF($F923&gt;=3,$F923,0))</f>
        <v>0</v>
      </c>
      <c r="M923" s="124">
        <f t="shared" si="283"/>
        <v>0</v>
      </c>
      <c r="N923" s="122">
        <f t="shared" si="284"/>
        <v>0</v>
      </c>
      <c r="O923" s="121" t="str">
        <f t="shared" si="285"/>
        <v/>
      </c>
      <c r="P923">
        <f t="shared" si="286"/>
        <v>0</v>
      </c>
      <c r="Q923">
        <f t="shared" si="287"/>
        <v>0</v>
      </c>
      <c r="R923">
        <f t="shared" si="288"/>
        <v>0</v>
      </c>
      <c r="S923">
        <f t="shared" si="289"/>
        <v>0</v>
      </c>
      <c r="T923" s="89">
        <f t="shared" si="290"/>
        <v>0</v>
      </c>
      <c r="U923" s="126">
        <f>IF($D923="",0,IFERROR(LOOKUP(2,1/(($D$3:D922=$D923)*($C$3:C922=$C923)*($A$3:A922&lt;$A923)),$AB$3:AB922),1000))</f>
        <v>0</v>
      </c>
      <c r="V923" s="126">
        <f t="shared" si="291"/>
        <v>0</v>
      </c>
      <c r="W923">
        <f t="shared" si="292"/>
        <v>0</v>
      </c>
      <c r="X923">
        <f t="shared" si="293"/>
        <v>0</v>
      </c>
      <c r="Y923">
        <f t="shared" si="294"/>
        <v>0</v>
      </c>
      <c r="Z923">
        <f t="shared" si="295"/>
        <v>0</v>
      </c>
      <c r="AA923">
        <f>IF($D923="",0,IF($F923&lt;2,0,IF($E923="Win",('Guide &amp; Settings'!$C$42/(($F923-1)*COUNTIFS($A$4:$A$1510,$A923,$E$4:$E$1510,"Win")))*SUMIFS($Z$4:$Z$1510,$A$4:$A$1510,$A923,$E$4:$E$1510,"Loss"),-('Guide &amp; Settings'!$C$42/($F923-1))*$Z923)))</f>
        <v>0</v>
      </c>
      <c r="AB923" s="126">
        <f t="shared" si="296"/>
        <v>0</v>
      </c>
      <c r="AC923" t="str">
        <f>IF($D923="","",IF($AD923=0,0,IF(COUNTIFS($D$4:$D923,$D923,$B$4:$B923,$B923)&gt;1,0,IF($B923&lt;'Guide &amp; Settings'!$C$50,0,IF(($B923-$AD923)/7-'Guide &amp; Settings'!$C$48&gt;=0,(INT(($B923-$AD923)/7-'Guide &amp; Settings'!$C$48)+1)*'Guide &amp; Settings'!$C$49,0)))))</f>
        <v/>
      </c>
      <c r="AD923" s="142">
        <f t="shared" si="297"/>
        <v>0</v>
      </c>
      <c r="AE923">
        <f t="shared" si="298"/>
        <v>0</v>
      </c>
      <c r="AF923">
        <f t="shared" si="299"/>
        <v>0</v>
      </c>
    </row>
    <row r="924" spans="1:32" x14ac:dyDescent="0.2">
      <c r="A924" s="117"/>
      <c r="B924" s="118"/>
      <c r="C924" s="119"/>
      <c r="D924" s="119"/>
      <c r="E924" s="117"/>
      <c r="F924" s="120">
        <f t="shared" si="280"/>
        <v>0</v>
      </c>
      <c r="G924" s="121" t="str">
        <f t="shared" si="281"/>
        <v/>
      </c>
      <c r="H924" s="122">
        <f>IF($D924="",0,IFERROR(LOOKUP(2,1/(($D$3:D923=$D924)*($A$3:A923&lt;$A924)),$N$3:N923),'Guide &amp; Settings'!$C$41))</f>
        <v>0</v>
      </c>
      <c r="I924" s="123">
        <f t="shared" si="282"/>
        <v>0</v>
      </c>
      <c r="J924" s="124">
        <f>IF($D924="",0,IF($F924&lt;2,0,IF($E924="Win",('Guide &amp; Settings'!$C$42/(($F924-1)*COUNTIFS($A$4:$A$1510,$A924,$E$4:$E$1510,"Win")))*SUMIFS($X$4:$X$1510,$A$4:$A$1510,$A924,$E$4:$E$1510,"Loss"),-('Guide &amp; Settings'!$C$42/($F924-1))*$X924)))</f>
        <v>0</v>
      </c>
      <c r="K924" s="124">
        <f>IF($D924="",0,'Guide &amp; Settings'!$C$43*(IF($E924="Win",1,0)-$I924))</f>
        <v>0</v>
      </c>
      <c r="L924" s="125">
        <f>IF($D924="",0,'Guide &amp; Settings'!$C$44*IF($F924&gt;=3,$F924,0))</f>
        <v>0</v>
      </c>
      <c r="M924" s="124">
        <f t="shared" si="283"/>
        <v>0</v>
      </c>
      <c r="N924" s="122">
        <f t="shared" si="284"/>
        <v>0</v>
      </c>
      <c r="O924" s="121" t="str">
        <f t="shared" si="285"/>
        <v/>
      </c>
      <c r="P924">
        <f t="shared" si="286"/>
        <v>0</v>
      </c>
      <c r="Q924">
        <f t="shared" si="287"/>
        <v>0</v>
      </c>
      <c r="R924">
        <f t="shared" si="288"/>
        <v>0</v>
      </c>
      <c r="S924">
        <f t="shared" si="289"/>
        <v>0</v>
      </c>
      <c r="T924" s="89">
        <f t="shared" si="290"/>
        <v>0</v>
      </c>
      <c r="U924" s="126">
        <f>IF($D924="",0,IFERROR(LOOKUP(2,1/(($D$3:D923=$D924)*($C$3:C923=$C924)*($A$3:A923&lt;$A924)),$AB$3:AB923),1000))</f>
        <v>0</v>
      </c>
      <c r="V924" s="126">
        <f t="shared" si="291"/>
        <v>0</v>
      </c>
      <c r="W924">
        <f t="shared" si="292"/>
        <v>0</v>
      </c>
      <c r="X924">
        <f t="shared" si="293"/>
        <v>0</v>
      </c>
      <c r="Y924">
        <f t="shared" si="294"/>
        <v>0</v>
      </c>
      <c r="Z924">
        <f t="shared" si="295"/>
        <v>0</v>
      </c>
      <c r="AA924">
        <f>IF($D924="",0,IF($F924&lt;2,0,IF($E924="Win",('Guide &amp; Settings'!$C$42/(($F924-1)*COUNTIFS($A$4:$A$1510,$A924,$E$4:$E$1510,"Win")))*SUMIFS($Z$4:$Z$1510,$A$4:$A$1510,$A924,$E$4:$E$1510,"Loss"),-('Guide &amp; Settings'!$C$42/($F924-1))*$Z924)))</f>
        <v>0</v>
      </c>
      <c r="AB924" s="126">
        <f t="shared" si="296"/>
        <v>0</v>
      </c>
      <c r="AC924" t="str">
        <f>IF($D924="","",IF($AD924=0,0,IF(COUNTIFS($D$4:$D924,$D924,$B$4:$B924,$B924)&gt;1,0,IF($B924&lt;'Guide &amp; Settings'!$C$50,0,IF(($B924-$AD924)/7-'Guide &amp; Settings'!$C$48&gt;=0,(INT(($B924-$AD924)/7-'Guide &amp; Settings'!$C$48)+1)*'Guide &amp; Settings'!$C$49,0)))))</f>
        <v/>
      </c>
      <c r="AD924" s="142">
        <f t="shared" si="297"/>
        <v>0</v>
      </c>
      <c r="AE924">
        <f t="shared" si="298"/>
        <v>0</v>
      </c>
      <c r="AF924">
        <f t="shared" si="299"/>
        <v>0</v>
      </c>
    </row>
    <row r="925" spans="1:32" x14ac:dyDescent="0.2">
      <c r="A925" s="117"/>
      <c r="B925" s="118"/>
      <c r="C925" s="119"/>
      <c r="D925" s="119"/>
      <c r="E925" s="117"/>
      <c r="F925" s="120">
        <f t="shared" si="280"/>
        <v>0</v>
      </c>
      <c r="G925" s="121" t="str">
        <f t="shared" si="281"/>
        <v/>
      </c>
      <c r="H925" s="122">
        <f>IF($D925="",0,IFERROR(LOOKUP(2,1/(($D$3:D924=$D925)*($A$3:A924&lt;$A925)),$N$3:N924),'Guide &amp; Settings'!$C$41))</f>
        <v>0</v>
      </c>
      <c r="I925" s="123">
        <f t="shared" si="282"/>
        <v>0</v>
      </c>
      <c r="J925" s="124">
        <f>IF($D925="",0,IF($F925&lt;2,0,IF($E925="Win",('Guide &amp; Settings'!$C$42/(($F925-1)*COUNTIFS($A$4:$A$1510,$A925,$E$4:$E$1510,"Win")))*SUMIFS($X$4:$X$1510,$A$4:$A$1510,$A925,$E$4:$E$1510,"Loss"),-('Guide &amp; Settings'!$C$42/($F925-1))*$X925)))</f>
        <v>0</v>
      </c>
      <c r="K925" s="124">
        <f>IF($D925="",0,'Guide &amp; Settings'!$C$43*(IF($E925="Win",1,0)-$I925))</f>
        <v>0</v>
      </c>
      <c r="L925" s="125">
        <f>IF($D925="",0,'Guide &amp; Settings'!$C$44*IF($F925&gt;=3,$F925,0))</f>
        <v>0</v>
      </c>
      <c r="M925" s="124">
        <f t="shared" si="283"/>
        <v>0</v>
      </c>
      <c r="N925" s="122">
        <f t="shared" si="284"/>
        <v>0</v>
      </c>
      <c r="O925" s="121" t="str">
        <f t="shared" si="285"/>
        <v/>
      </c>
      <c r="P925">
        <f t="shared" si="286"/>
        <v>0</v>
      </c>
      <c r="Q925">
        <f t="shared" si="287"/>
        <v>0</v>
      </c>
      <c r="R925">
        <f t="shared" si="288"/>
        <v>0</v>
      </c>
      <c r="S925">
        <f t="shared" si="289"/>
        <v>0</v>
      </c>
      <c r="T925" s="89">
        <f t="shared" si="290"/>
        <v>0</v>
      </c>
      <c r="U925" s="126">
        <f>IF($D925="",0,IFERROR(LOOKUP(2,1/(($D$3:D924=$D925)*($C$3:C924=$C925)*($A$3:A924&lt;$A925)),$AB$3:AB924),1000))</f>
        <v>0</v>
      </c>
      <c r="V925" s="126">
        <f t="shared" si="291"/>
        <v>0</v>
      </c>
      <c r="W925">
        <f t="shared" si="292"/>
        <v>0</v>
      </c>
      <c r="X925">
        <f t="shared" si="293"/>
        <v>0</v>
      </c>
      <c r="Y925">
        <f t="shared" si="294"/>
        <v>0</v>
      </c>
      <c r="Z925">
        <f t="shared" si="295"/>
        <v>0</v>
      </c>
      <c r="AA925">
        <f>IF($D925="",0,IF($F925&lt;2,0,IF($E925="Win",('Guide &amp; Settings'!$C$42/(($F925-1)*COUNTIFS($A$4:$A$1510,$A925,$E$4:$E$1510,"Win")))*SUMIFS($Z$4:$Z$1510,$A$4:$A$1510,$A925,$E$4:$E$1510,"Loss"),-('Guide &amp; Settings'!$C$42/($F925-1))*$Z925)))</f>
        <v>0</v>
      </c>
      <c r="AB925" s="126">
        <f t="shared" si="296"/>
        <v>0</v>
      </c>
      <c r="AC925" t="str">
        <f>IF($D925="","",IF($AD925=0,0,IF(COUNTIFS($D$4:$D925,$D925,$B$4:$B925,$B925)&gt;1,0,IF($B925&lt;'Guide &amp; Settings'!$C$50,0,IF(($B925-$AD925)/7-'Guide &amp; Settings'!$C$48&gt;=0,(INT(($B925-$AD925)/7-'Guide &amp; Settings'!$C$48)+1)*'Guide &amp; Settings'!$C$49,0)))))</f>
        <v/>
      </c>
      <c r="AD925" s="142">
        <f t="shared" si="297"/>
        <v>0</v>
      </c>
      <c r="AE925">
        <f t="shared" si="298"/>
        <v>0</v>
      </c>
      <c r="AF925">
        <f t="shared" si="299"/>
        <v>0</v>
      </c>
    </row>
    <row r="926" spans="1:32" x14ac:dyDescent="0.2">
      <c r="A926" s="117"/>
      <c r="B926" s="118"/>
      <c r="C926" s="119"/>
      <c r="D926" s="119"/>
      <c r="E926" s="117"/>
      <c r="F926" s="120">
        <f t="shared" si="280"/>
        <v>0</v>
      </c>
      <c r="G926" s="121" t="str">
        <f t="shared" si="281"/>
        <v/>
      </c>
      <c r="H926" s="122">
        <f>IF($D926="",0,IFERROR(LOOKUP(2,1/(($D$3:D925=$D926)*($A$3:A925&lt;$A926)),$N$3:N925),'Guide &amp; Settings'!$C$41))</f>
        <v>0</v>
      </c>
      <c r="I926" s="123">
        <f t="shared" si="282"/>
        <v>0</v>
      </c>
      <c r="J926" s="124">
        <f>IF($D926="",0,IF($F926&lt;2,0,IF($E926="Win",('Guide &amp; Settings'!$C$42/(($F926-1)*COUNTIFS($A$4:$A$1510,$A926,$E$4:$E$1510,"Win")))*SUMIFS($X$4:$X$1510,$A$4:$A$1510,$A926,$E$4:$E$1510,"Loss"),-('Guide &amp; Settings'!$C$42/($F926-1))*$X926)))</f>
        <v>0</v>
      </c>
      <c r="K926" s="124">
        <f>IF($D926="",0,'Guide &amp; Settings'!$C$43*(IF($E926="Win",1,0)-$I926))</f>
        <v>0</v>
      </c>
      <c r="L926" s="125">
        <f>IF($D926="",0,'Guide &amp; Settings'!$C$44*IF($F926&gt;=3,$F926,0))</f>
        <v>0</v>
      </c>
      <c r="M926" s="124">
        <f t="shared" si="283"/>
        <v>0</v>
      </c>
      <c r="N926" s="122">
        <f t="shared" si="284"/>
        <v>0</v>
      </c>
      <c r="O926" s="121" t="str">
        <f t="shared" si="285"/>
        <v/>
      </c>
      <c r="P926">
        <f t="shared" si="286"/>
        <v>0</v>
      </c>
      <c r="Q926">
        <f t="shared" si="287"/>
        <v>0</v>
      </c>
      <c r="R926">
        <f t="shared" si="288"/>
        <v>0</v>
      </c>
      <c r="S926">
        <f t="shared" si="289"/>
        <v>0</v>
      </c>
      <c r="T926" s="89">
        <f t="shared" si="290"/>
        <v>0</v>
      </c>
      <c r="U926" s="126">
        <f>IF($D926="",0,IFERROR(LOOKUP(2,1/(($D$3:D925=$D926)*($C$3:C925=$C926)*($A$3:A925&lt;$A926)),$AB$3:AB925),1000))</f>
        <v>0</v>
      </c>
      <c r="V926" s="126">
        <f t="shared" si="291"/>
        <v>0</v>
      </c>
      <c r="W926">
        <f t="shared" si="292"/>
        <v>0</v>
      </c>
      <c r="X926">
        <f t="shared" si="293"/>
        <v>0</v>
      </c>
      <c r="Y926">
        <f t="shared" si="294"/>
        <v>0</v>
      </c>
      <c r="Z926">
        <f t="shared" si="295"/>
        <v>0</v>
      </c>
      <c r="AA926">
        <f>IF($D926="",0,IF($F926&lt;2,0,IF($E926="Win",('Guide &amp; Settings'!$C$42/(($F926-1)*COUNTIFS($A$4:$A$1510,$A926,$E$4:$E$1510,"Win")))*SUMIFS($Z$4:$Z$1510,$A$4:$A$1510,$A926,$E$4:$E$1510,"Loss"),-('Guide &amp; Settings'!$C$42/($F926-1))*$Z926)))</f>
        <v>0</v>
      </c>
      <c r="AB926" s="126">
        <f t="shared" si="296"/>
        <v>0</v>
      </c>
      <c r="AC926" t="str">
        <f>IF($D926="","",IF($AD926=0,0,IF(COUNTIFS($D$4:$D926,$D926,$B$4:$B926,$B926)&gt;1,0,IF($B926&lt;'Guide &amp; Settings'!$C$50,0,IF(($B926-$AD926)/7-'Guide &amp; Settings'!$C$48&gt;=0,(INT(($B926-$AD926)/7-'Guide &amp; Settings'!$C$48)+1)*'Guide &amp; Settings'!$C$49,0)))))</f>
        <v/>
      </c>
      <c r="AD926" s="142">
        <f t="shared" si="297"/>
        <v>0</v>
      </c>
      <c r="AE926">
        <f t="shared" si="298"/>
        <v>0</v>
      </c>
      <c r="AF926">
        <f t="shared" si="299"/>
        <v>0</v>
      </c>
    </row>
    <row r="927" spans="1:32" x14ac:dyDescent="0.2">
      <c r="A927" s="117"/>
      <c r="B927" s="118"/>
      <c r="C927" s="119"/>
      <c r="D927" s="119"/>
      <c r="E927" s="117"/>
      <c r="F927" s="120">
        <f t="shared" si="280"/>
        <v>0</v>
      </c>
      <c r="G927" s="121" t="str">
        <f t="shared" si="281"/>
        <v/>
      </c>
      <c r="H927" s="122">
        <f>IF($D927="",0,IFERROR(LOOKUP(2,1/(($D$3:D926=$D927)*($A$3:A926&lt;$A927)),$N$3:N926),'Guide &amp; Settings'!$C$41))</f>
        <v>0</v>
      </c>
      <c r="I927" s="123">
        <f t="shared" si="282"/>
        <v>0</v>
      </c>
      <c r="J927" s="124">
        <f>IF($D927="",0,IF($F927&lt;2,0,IF($E927="Win",('Guide &amp; Settings'!$C$42/(($F927-1)*COUNTIFS($A$4:$A$1510,$A927,$E$4:$E$1510,"Win")))*SUMIFS($X$4:$X$1510,$A$4:$A$1510,$A927,$E$4:$E$1510,"Loss"),-('Guide &amp; Settings'!$C$42/($F927-1))*$X927)))</f>
        <v>0</v>
      </c>
      <c r="K927" s="124">
        <f>IF($D927="",0,'Guide &amp; Settings'!$C$43*(IF($E927="Win",1,0)-$I927))</f>
        <v>0</v>
      </c>
      <c r="L927" s="125">
        <f>IF($D927="",0,'Guide &amp; Settings'!$C$44*IF($F927&gt;=3,$F927,0))</f>
        <v>0</v>
      </c>
      <c r="M927" s="124">
        <f t="shared" si="283"/>
        <v>0</v>
      </c>
      <c r="N927" s="122">
        <f t="shared" si="284"/>
        <v>0</v>
      </c>
      <c r="O927" s="121" t="str">
        <f t="shared" si="285"/>
        <v/>
      </c>
      <c r="P927">
        <f t="shared" si="286"/>
        <v>0</v>
      </c>
      <c r="Q927">
        <f t="shared" si="287"/>
        <v>0</v>
      </c>
      <c r="R927">
        <f t="shared" si="288"/>
        <v>0</v>
      </c>
      <c r="S927">
        <f t="shared" si="289"/>
        <v>0</v>
      </c>
      <c r="T927" s="89">
        <f t="shared" si="290"/>
        <v>0</v>
      </c>
      <c r="U927" s="126">
        <f>IF($D927="",0,IFERROR(LOOKUP(2,1/(($D$3:D926=$D927)*($C$3:C926=$C927)*($A$3:A926&lt;$A927)),$AB$3:AB926),1000))</f>
        <v>0</v>
      </c>
      <c r="V927" s="126">
        <f t="shared" si="291"/>
        <v>0</v>
      </c>
      <c r="W927">
        <f t="shared" si="292"/>
        <v>0</v>
      </c>
      <c r="X927">
        <f t="shared" si="293"/>
        <v>0</v>
      </c>
      <c r="Y927">
        <f t="shared" si="294"/>
        <v>0</v>
      </c>
      <c r="Z927">
        <f t="shared" si="295"/>
        <v>0</v>
      </c>
      <c r="AA927">
        <f>IF($D927="",0,IF($F927&lt;2,0,IF($E927="Win",('Guide &amp; Settings'!$C$42/(($F927-1)*COUNTIFS($A$4:$A$1510,$A927,$E$4:$E$1510,"Win")))*SUMIFS($Z$4:$Z$1510,$A$4:$A$1510,$A927,$E$4:$E$1510,"Loss"),-('Guide &amp; Settings'!$C$42/($F927-1))*$Z927)))</f>
        <v>0</v>
      </c>
      <c r="AB927" s="126">
        <f t="shared" si="296"/>
        <v>0</v>
      </c>
      <c r="AC927" t="str">
        <f>IF($D927="","",IF($AD927=0,0,IF(COUNTIFS($D$4:$D927,$D927,$B$4:$B927,$B927)&gt;1,0,IF($B927&lt;'Guide &amp; Settings'!$C$50,0,IF(($B927-$AD927)/7-'Guide &amp; Settings'!$C$48&gt;=0,(INT(($B927-$AD927)/7-'Guide &amp; Settings'!$C$48)+1)*'Guide &amp; Settings'!$C$49,0)))))</f>
        <v/>
      </c>
      <c r="AD927" s="142">
        <f t="shared" si="297"/>
        <v>0</v>
      </c>
      <c r="AE927">
        <f t="shared" si="298"/>
        <v>0</v>
      </c>
      <c r="AF927">
        <f t="shared" si="299"/>
        <v>0</v>
      </c>
    </row>
    <row r="928" spans="1:32" x14ac:dyDescent="0.2">
      <c r="A928" s="117"/>
      <c r="B928" s="118"/>
      <c r="C928" s="119"/>
      <c r="D928" s="119"/>
      <c r="E928" s="117"/>
      <c r="F928" s="120">
        <f t="shared" si="280"/>
        <v>0</v>
      </c>
      <c r="G928" s="121" t="str">
        <f t="shared" si="281"/>
        <v/>
      </c>
      <c r="H928" s="122">
        <f>IF($D928="",0,IFERROR(LOOKUP(2,1/(($D$3:D927=$D928)*($A$3:A927&lt;$A928)),$N$3:N927),'Guide &amp; Settings'!$C$41))</f>
        <v>0</v>
      </c>
      <c r="I928" s="123">
        <f t="shared" si="282"/>
        <v>0</v>
      </c>
      <c r="J928" s="124">
        <f>IF($D928="",0,IF($F928&lt;2,0,IF($E928="Win",('Guide &amp; Settings'!$C$42/(($F928-1)*COUNTIFS($A$4:$A$1510,$A928,$E$4:$E$1510,"Win")))*SUMIFS($X$4:$X$1510,$A$4:$A$1510,$A928,$E$4:$E$1510,"Loss"),-('Guide &amp; Settings'!$C$42/($F928-1))*$X928)))</f>
        <v>0</v>
      </c>
      <c r="K928" s="124">
        <f>IF($D928="",0,'Guide &amp; Settings'!$C$43*(IF($E928="Win",1,0)-$I928))</f>
        <v>0</v>
      </c>
      <c r="L928" s="125">
        <f>IF($D928="",0,'Guide &amp; Settings'!$C$44*IF($F928&gt;=3,$F928,0))</f>
        <v>0</v>
      </c>
      <c r="M928" s="124">
        <f t="shared" si="283"/>
        <v>0</v>
      </c>
      <c r="N928" s="122">
        <f t="shared" si="284"/>
        <v>0</v>
      </c>
      <c r="O928" s="121" t="str">
        <f t="shared" si="285"/>
        <v/>
      </c>
      <c r="P928">
        <f t="shared" si="286"/>
        <v>0</v>
      </c>
      <c r="Q928">
        <f t="shared" si="287"/>
        <v>0</v>
      </c>
      <c r="R928">
        <f t="shared" si="288"/>
        <v>0</v>
      </c>
      <c r="S928">
        <f t="shared" si="289"/>
        <v>0</v>
      </c>
      <c r="T928" s="89">
        <f t="shared" si="290"/>
        <v>0</v>
      </c>
      <c r="U928" s="126">
        <f>IF($D928="",0,IFERROR(LOOKUP(2,1/(($D$3:D927=$D928)*($C$3:C927=$C928)*($A$3:A927&lt;$A928)),$AB$3:AB927),1000))</f>
        <v>0</v>
      </c>
      <c r="V928" s="126">
        <f t="shared" si="291"/>
        <v>0</v>
      </c>
      <c r="W928">
        <f t="shared" si="292"/>
        <v>0</v>
      </c>
      <c r="X928">
        <f t="shared" si="293"/>
        <v>0</v>
      </c>
      <c r="Y928">
        <f t="shared" si="294"/>
        <v>0</v>
      </c>
      <c r="Z928">
        <f t="shared" si="295"/>
        <v>0</v>
      </c>
      <c r="AA928">
        <f>IF($D928="",0,IF($F928&lt;2,0,IF($E928="Win",('Guide &amp; Settings'!$C$42/(($F928-1)*COUNTIFS($A$4:$A$1510,$A928,$E$4:$E$1510,"Win")))*SUMIFS($Z$4:$Z$1510,$A$4:$A$1510,$A928,$E$4:$E$1510,"Loss"),-('Guide &amp; Settings'!$C$42/($F928-1))*$Z928)))</f>
        <v>0</v>
      </c>
      <c r="AB928" s="126">
        <f t="shared" si="296"/>
        <v>0</v>
      </c>
      <c r="AC928" t="str">
        <f>IF($D928="","",IF($AD928=0,0,IF(COUNTIFS($D$4:$D928,$D928,$B$4:$B928,$B928)&gt;1,0,IF($B928&lt;'Guide &amp; Settings'!$C$50,0,IF(($B928-$AD928)/7-'Guide &amp; Settings'!$C$48&gt;=0,(INT(($B928-$AD928)/7-'Guide &amp; Settings'!$C$48)+1)*'Guide &amp; Settings'!$C$49,0)))))</f>
        <v/>
      </c>
      <c r="AD928" s="142">
        <f t="shared" si="297"/>
        <v>0</v>
      </c>
      <c r="AE928">
        <f t="shared" si="298"/>
        <v>0</v>
      </c>
      <c r="AF928">
        <f t="shared" si="299"/>
        <v>0</v>
      </c>
    </row>
    <row r="929" spans="1:32" x14ac:dyDescent="0.2">
      <c r="A929" s="117"/>
      <c r="B929" s="118"/>
      <c r="C929" s="119"/>
      <c r="D929" s="119"/>
      <c r="E929" s="117"/>
      <c r="F929" s="120">
        <f t="shared" si="280"/>
        <v>0</v>
      </c>
      <c r="G929" s="121" t="str">
        <f t="shared" si="281"/>
        <v/>
      </c>
      <c r="H929" s="122">
        <f>IF($D929="",0,IFERROR(LOOKUP(2,1/(($D$3:D928=$D929)*($A$3:A928&lt;$A929)),$N$3:N928),'Guide &amp; Settings'!$C$41))</f>
        <v>0</v>
      </c>
      <c r="I929" s="123">
        <f t="shared" si="282"/>
        <v>0</v>
      </c>
      <c r="J929" s="124">
        <f>IF($D929="",0,IF($F929&lt;2,0,IF($E929="Win",('Guide &amp; Settings'!$C$42/(($F929-1)*COUNTIFS($A$4:$A$1510,$A929,$E$4:$E$1510,"Win")))*SUMIFS($X$4:$X$1510,$A$4:$A$1510,$A929,$E$4:$E$1510,"Loss"),-('Guide &amp; Settings'!$C$42/($F929-1))*$X929)))</f>
        <v>0</v>
      </c>
      <c r="K929" s="124">
        <f>IF($D929="",0,'Guide &amp; Settings'!$C$43*(IF($E929="Win",1,0)-$I929))</f>
        <v>0</v>
      </c>
      <c r="L929" s="125">
        <f>IF($D929="",0,'Guide &amp; Settings'!$C$44*IF($F929&gt;=3,$F929,0))</f>
        <v>0</v>
      </c>
      <c r="M929" s="124">
        <f t="shared" si="283"/>
        <v>0</v>
      </c>
      <c r="N929" s="122">
        <f t="shared" si="284"/>
        <v>0</v>
      </c>
      <c r="O929" s="121" t="str">
        <f t="shared" si="285"/>
        <v/>
      </c>
      <c r="P929">
        <f t="shared" si="286"/>
        <v>0</v>
      </c>
      <c r="Q929">
        <f t="shared" si="287"/>
        <v>0</v>
      </c>
      <c r="R929">
        <f t="shared" si="288"/>
        <v>0</v>
      </c>
      <c r="S929">
        <f t="shared" si="289"/>
        <v>0</v>
      </c>
      <c r="T929" s="89">
        <f t="shared" si="290"/>
        <v>0</v>
      </c>
      <c r="U929" s="126">
        <f>IF($D929="",0,IFERROR(LOOKUP(2,1/(($D$3:D928=$D929)*($C$3:C928=$C929)*($A$3:A928&lt;$A929)),$AB$3:AB928),1000))</f>
        <v>0</v>
      </c>
      <c r="V929" s="126">
        <f t="shared" si="291"/>
        <v>0</v>
      </c>
      <c r="W929">
        <f t="shared" si="292"/>
        <v>0</v>
      </c>
      <c r="X929">
        <f t="shared" si="293"/>
        <v>0</v>
      </c>
      <c r="Y929">
        <f t="shared" si="294"/>
        <v>0</v>
      </c>
      <c r="Z929">
        <f t="shared" si="295"/>
        <v>0</v>
      </c>
      <c r="AA929">
        <f>IF($D929="",0,IF($F929&lt;2,0,IF($E929="Win",('Guide &amp; Settings'!$C$42/(($F929-1)*COUNTIFS($A$4:$A$1510,$A929,$E$4:$E$1510,"Win")))*SUMIFS($Z$4:$Z$1510,$A$4:$A$1510,$A929,$E$4:$E$1510,"Loss"),-('Guide &amp; Settings'!$C$42/($F929-1))*$Z929)))</f>
        <v>0</v>
      </c>
      <c r="AB929" s="126">
        <f t="shared" si="296"/>
        <v>0</v>
      </c>
      <c r="AC929" t="str">
        <f>IF($D929="","",IF($AD929=0,0,IF(COUNTIFS($D$4:$D929,$D929,$B$4:$B929,$B929)&gt;1,0,IF($B929&lt;'Guide &amp; Settings'!$C$50,0,IF(($B929-$AD929)/7-'Guide &amp; Settings'!$C$48&gt;=0,(INT(($B929-$AD929)/7-'Guide &amp; Settings'!$C$48)+1)*'Guide &amp; Settings'!$C$49,0)))))</f>
        <v/>
      </c>
      <c r="AD929" s="142">
        <f t="shared" si="297"/>
        <v>0</v>
      </c>
      <c r="AE929">
        <f t="shared" si="298"/>
        <v>0</v>
      </c>
      <c r="AF929">
        <f t="shared" si="299"/>
        <v>0</v>
      </c>
    </row>
    <row r="930" spans="1:32" x14ac:dyDescent="0.2">
      <c r="A930" s="117"/>
      <c r="B930" s="118"/>
      <c r="C930" s="119"/>
      <c r="D930" s="119"/>
      <c r="E930" s="117"/>
      <c r="F930" s="120">
        <f t="shared" si="280"/>
        <v>0</v>
      </c>
      <c r="G930" s="121" t="str">
        <f t="shared" si="281"/>
        <v/>
      </c>
      <c r="H930" s="122">
        <f>IF($D930="",0,IFERROR(LOOKUP(2,1/(($D$3:D929=$D930)*($A$3:A929&lt;$A930)),$N$3:N929),'Guide &amp; Settings'!$C$41))</f>
        <v>0</v>
      </c>
      <c r="I930" s="123">
        <f t="shared" si="282"/>
        <v>0</v>
      </c>
      <c r="J930" s="124">
        <f>IF($D930="",0,IF($F930&lt;2,0,IF($E930="Win",('Guide &amp; Settings'!$C$42/(($F930-1)*COUNTIFS($A$4:$A$1510,$A930,$E$4:$E$1510,"Win")))*SUMIFS($X$4:$X$1510,$A$4:$A$1510,$A930,$E$4:$E$1510,"Loss"),-('Guide &amp; Settings'!$C$42/($F930-1))*$X930)))</f>
        <v>0</v>
      </c>
      <c r="K930" s="124">
        <f>IF($D930="",0,'Guide &amp; Settings'!$C$43*(IF($E930="Win",1,0)-$I930))</f>
        <v>0</v>
      </c>
      <c r="L930" s="125">
        <f>IF($D930="",0,'Guide &amp; Settings'!$C$44*IF($F930&gt;=3,$F930,0))</f>
        <v>0</v>
      </c>
      <c r="M930" s="124">
        <f t="shared" si="283"/>
        <v>0</v>
      </c>
      <c r="N930" s="122">
        <f t="shared" si="284"/>
        <v>0</v>
      </c>
      <c r="O930" s="121" t="str">
        <f t="shared" si="285"/>
        <v/>
      </c>
      <c r="P930">
        <f t="shared" si="286"/>
        <v>0</v>
      </c>
      <c r="Q930">
        <f t="shared" si="287"/>
        <v>0</v>
      </c>
      <c r="R930">
        <f t="shared" si="288"/>
        <v>0</v>
      </c>
      <c r="S930">
        <f t="shared" si="289"/>
        <v>0</v>
      </c>
      <c r="T930" s="89">
        <f t="shared" si="290"/>
        <v>0</v>
      </c>
      <c r="U930" s="126">
        <f>IF($D930="",0,IFERROR(LOOKUP(2,1/(($D$3:D929=$D930)*($C$3:C929=$C930)*($A$3:A929&lt;$A930)),$AB$3:AB929),1000))</f>
        <v>0</v>
      </c>
      <c r="V930" s="126">
        <f t="shared" si="291"/>
        <v>0</v>
      </c>
      <c r="W930">
        <f t="shared" si="292"/>
        <v>0</v>
      </c>
      <c r="X930">
        <f t="shared" si="293"/>
        <v>0</v>
      </c>
      <c r="Y930">
        <f t="shared" si="294"/>
        <v>0</v>
      </c>
      <c r="Z930">
        <f t="shared" si="295"/>
        <v>0</v>
      </c>
      <c r="AA930">
        <f>IF($D930="",0,IF($F930&lt;2,0,IF($E930="Win",('Guide &amp; Settings'!$C$42/(($F930-1)*COUNTIFS($A$4:$A$1510,$A930,$E$4:$E$1510,"Win")))*SUMIFS($Z$4:$Z$1510,$A$4:$A$1510,$A930,$E$4:$E$1510,"Loss"),-('Guide &amp; Settings'!$C$42/($F930-1))*$Z930)))</f>
        <v>0</v>
      </c>
      <c r="AB930" s="126">
        <f t="shared" si="296"/>
        <v>0</v>
      </c>
      <c r="AC930" t="str">
        <f>IF($D930="","",IF($AD930=0,0,IF(COUNTIFS($D$4:$D930,$D930,$B$4:$B930,$B930)&gt;1,0,IF($B930&lt;'Guide &amp; Settings'!$C$50,0,IF(($B930-$AD930)/7-'Guide &amp; Settings'!$C$48&gt;=0,(INT(($B930-$AD930)/7-'Guide &amp; Settings'!$C$48)+1)*'Guide &amp; Settings'!$C$49,0)))))</f>
        <v/>
      </c>
      <c r="AD930" s="142">
        <f t="shared" si="297"/>
        <v>0</v>
      </c>
      <c r="AE930">
        <f t="shared" si="298"/>
        <v>0</v>
      </c>
      <c r="AF930">
        <f t="shared" si="299"/>
        <v>0</v>
      </c>
    </row>
    <row r="931" spans="1:32" x14ac:dyDescent="0.2">
      <c r="A931" s="117"/>
      <c r="B931" s="118"/>
      <c r="C931" s="119"/>
      <c r="D931" s="119"/>
      <c r="E931" s="117"/>
      <c r="F931" s="120">
        <f t="shared" si="280"/>
        <v>0</v>
      </c>
      <c r="G931" s="121" t="str">
        <f t="shared" si="281"/>
        <v/>
      </c>
      <c r="H931" s="122">
        <f>IF($D931="",0,IFERROR(LOOKUP(2,1/(($D$3:D930=$D931)*($A$3:A930&lt;$A931)),$N$3:N930),'Guide &amp; Settings'!$C$41))</f>
        <v>0</v>
      </c>
      <c r="I931" s="123">
        <f t="shared" si="282"/>
        <v>0</v>
      </c>
      <c r="J931" s="124">
        <f>IF($D931="",0,IF($F931&lt;2,0,IF($E931="Win",('Guide &amp; Settings'!$C$42/(($F931-1)*COUNTIFS($A$4:$A$1510,$A931,$E$4:$E$1510,"Win")))*SUMIFS($X$4:$X$1510,$A$4:$A$1510,$A931,$E$4:$E$1510,"Loss"),-('Guide &amp; Settings'!$C$42/($F931-1))*$X931)))</f>
        <v>0</v>
      </c>
      <c r="K931" s="124">
        <f>IF($D931="",0,'Guide &amp; Settings'!$C$43*(IF($E931="Win",1,0)-$I931))</f>
        <v>0</v>
      </c>
      <c r="L931" s="125">
        <f>IF($D931="",0,'Guide &amp; Settings'!$C$44*IF($F931&gt;=3,$F931,0))</f>
        <v>0</v>
      </c>
      <c r="M931" s="124">
        <f t="shared" si="283"/>
        <v>0</v>
      </c>
      <c r="N931" s="122">
        <f t="shared" si="284"/>
        <v>0</v>
      </c>
      <c r="O931" s="121" t="str">
        <f t="shared" si="285"/>
        <v/>
      </c>
      <c r="P931">
        <f t="shared" si="286"/>
        <v>0</v>
      </c>
      <c r="Q931">
        <f t="shared" si="287"/>
        <v>0</v>
      </c>
      <c r="R931">
        <f t="shared" si="288"/>
        <v>0</v>
      </c>
      <c r="S931">
        <f t="shared" si="289"/>
        <v>0</v>
      </c>
      <c r="T931" s="89">
        <f t="shared" si="290"/>
        <v>0</v>
      </c>
      <c r="U931" s="126">
        <f>IF($D931="",0,IFERROR(LOOKUP(2,1/(($D$3:D930=$D931)*($C$3:C930=$C931)*($A$3:A930&lt;$A931)),$AB$3:AB930),1000))</f>
        <v>0</v>
      </c>
      <c r="V931" s="126">
        <f t="shared" si="291"/>
        <v>0</v>
      </c>
      <c r="W931">
        <f t="shared" si="292"/>
        <v>0</v>
      </c>
      <c r="X931">
        <f t="shared" si="293"/>
        <v>0</v>
      </c>
      <c r="Y931">
        <f t="shared" si="294"/>
        <v>0</v>
      </c>
      <c r="Z931">
        <f t="shared" si="295"/>
        <v>0</v>
      </c>
      <c r="AA931">
        <f>IF($D931="",0,IF($F931&lt;2,0,IF($E931="Win",('Guide &amp; Settings'!$C$42/(($F931-1)*COUNTIFS($A$4:$A$1510,$A931,$E$4:$E$1510,"Win")))*SUMIFS($Z$4:$Z$1510,$A$4:$A$1510,$A931,$E$4:$E$1510,"Loss"),-('Guide &amp; Settings'!$C$42/($F931-1))*$Z931)))</f>
        <v>0</v>
      </c>
      <c r="AB931" s="126">
        <f t="shared" si="296"/>
        <v>0</v>
      </c>
      <c r="AC931" t="str">
        <f>IF($D931="","",IF($AD931=0,0,IF(COUNTIFS($D$4:$D931,$D931,$B$4:$B931,$B931)&gt;1,0,IF($B931&lt;'Guide &amp; Settings'!$C$50,0,IF(($B931-$AD931)/7-'Guide &amp; Settings'!$C$48&gt;=0,(INT(($B931-$AD931)/7-'Guide &amp; Settings'!$C$48)+1)*'Guide &amp; Settings'!$C$49,0)))))</f>
        <v/>
      </c>
      <c r="AD931" s="142">
        <f t="shared" si="297"/>
        <v>0</v>
      </c>
      <c r="AE931">
        <f t="shared" si="298"/>
        <v>0</v>
      </c>
      <c r="AF931">
        <f t="shared" si="299"/>
        <v>0</v>
      </c>
    </row>
    <row r="932" spans="1:32" x14ac:dyDescent="0.2">
      <c r="A932" s="117"/>
      <c r="B932" s="118"/>
      <c r="C932" s="119"/>
      <c r="D932" s="119"/>
      <c r="E932" s="117"/>
      <c r="F932" s="120">
        <f t="shared" si="280"/>
        <v>0</v>
      </c>
      <c r="G932" s="121" t="str">
        <f t="shared" si="281"/>
        <v/>
      </c>
      <c r="H932" s="122">
        <f>IF($D932="",0,IFERROR(LOOKUP(2,1/(($D$3:D931=$D932)*($A$3:A931&lt;$A932)),$N$3:N931),'Guide &amp; Settings'!$C$41))</f>
        <v>0</v>
      </c>
      <c r="I932" s="123">
        <f t="shared" si="282"/>
        <v>0</v>
      </c>
      <c r="J932" s="124">
        <f>IF($D932="",0,IF($F932&lt;2,0,IF($E932="Win",('Guide &amp; Settings'!$C$42/(($F932-1)*COUNTIFS($A$4:$A$1510,$A932,$E$4:$E$1510,"Win")))*SUMIFS($X$4:$X$1510,$A$4:$A$1510,$A932,$E$4:$E$1510,"Loss"),-('Guide &amp; Settings'!$C$42/($F932-1))*$X932)))</f>
        <v>0</v>
      </c>
      <c r="K932" s="124">
        <f>IF($D932="",0,'Guide &amp; Settings'!$C$43*(IF($E932="Win",1,0)-$I932))</f>
        <v>0</v>
      </c>
      <c r="L932" s="125">
        <f>IF($D932="",0,'Guide &amp; Settings'!$C$44*IF($F932&gt;=3,$F932,0))</f>
        <v>0</v>
      </c>
      <c r="M932" s="124">
        <f t="shared" si="283"/>
        <v>0</v>
      </c>
      <c r="N932" s="122">
        <f t="shared" si="284"/>
        <v>0</v>
      </c>
      <c r="O932" s="121" t="str">
        <f t="shared" si="285"/>
        <v/>
      </c>
      <c r="P932">
        <f t="shared" si="286"/>
        <v>0</v>
      </c>
      <c r="Q932">
        <f t="shared" si="287"/>
        <v>0</v>
      </c>
      <c r="R932">
        <f t="shared" si="288"/>
        <v>0</v>
      </c>
      <c r="S932">
        <f t="shared" si="289"/>
        <v>0</v>
      </c>
      <c r="T932" s="89">
        <f t="shared" si="290"/>
        <v>0</v>
      </c>
      <c r="U932" s="126">
        <f>IF($D932="",0,IFERROR(LOOKUP(2,1/(($D$3:D931=$D932)*($C$3:C931=$C932)*($A$3:A931&lt;$A932)),$AB$3:AB931),1000))</f>
        <v>0</v>
      </c>
      <c r="V932" s="126">
        <f t="shared" si="291"/>
        <v>0</v>
      </c>
      <c r="W932">
        <f t="shared" si="292"/>
        <v>0</v>
      </c>
      <c r="X932">
        <f t="shared" si="293"/>
        <v>0</v>
      </c>
      <c r="Y932">
        <f t="shared" si="294"/>
        <v>0</v>
      </c>
      <c r="Z932">
        <f t="shared" si="295"/>
        <v>0</v>
      </c>
      <c r="AA932">
        <f>IF($D932="",0,IF($F932&lt;2,0,IF($E932="Win",('Guide &amp; Settings'!$C$42/(($F932-1)*COUNTIFS($A$4:$A$1510,$A932,$E$4:$E$1510,"Win")))*SUMIFS($Z$4:$Z$1510,$A$4:$A$1510,$A932,$E$4:$E$1510,"Loss"),-('Guide &amp; Settings'!$C$42/($F932-1))*$Z932)))</f>
        <v>0</v>
      </c>
      <c r="AB932" s="126">
        <f t="shared" si="296"/>
        <v>0</v>
      </c>
      <c r="AC932" t="str">
        <f>IF($D932="","",IF($AD932=0,0,IF(COUNTIFS($D$4:$D932,$D932,$B$4:$B932,$B932)&gt;1,0,IF($B932&lt;'Guide &amp; Settings'!$C$50,0,IF(($B932-$AD932)/7-'Guide &amp; Settings'!$C$48&gt;=0,(INT(($B932-$AD932)/7-'Guide &amp; Settings'!$C$48)+1)*'Guide &amp; Settings'!$C$49,0)))))</f>
        <v/>
      </c>
      <c r="AD932" s="142">
        <f t="shared" si="297"/>
        <v>0</v>
      </c>
      <c r="AE932">
        <f t="shared" si="298"/>
        <v>0</v>
      </c>
      <c r="AF932">
        <f t="shared" si="299"/>
        <v>0</v>
      </c>
    </row>
    <row r="933" spans="1:32" x14ac:dyDescent="0.2">
      <c r="A933" s="117"/>
      <c r="B933" s="118"/>
      <c r="C933" s="119"/>
      <c r="D933" s="119"/>
      <c r="E933" s="117"/>
      <c r="F933" s="120">
        <f t="shared" si="280"/>
        <v>0</v>
      </c>
      <c r="G933" s="121" t="str">
        <f t="shared" si="281"/>
        <v/>
      </c>
      <c r="H933" s="122">
        <f>IF($D933="",0,IFERROR(LOOKUP(2,1/(($D$3:D932=$D933)*($A$3:A932&lt;$A933)),$N$3:N932),'Guide &amp; Settings'!$C$41))</f>
        <v>0</v>
      </c>
      <c r="I933" s="123">
        <f t="shared" si="282"/>
        <v>0</v>
      </c>
      <c r="J933" s="124">
        <f>IF($D933="",0,IF($F933&lt;2,0,IF($E933="Win",('Guide &amp; Settings'!$C$42/(($F933-1)*COUNTIFS($A$4:$A$1510,$A933,$E$4:$E$1510,"Win")))*SUMIFS($X$4:$X$1510,$A$4:$A$1510,$A933,$E$4:$E$1510,"Loss"),-('Guide &amp; Settings'!$C$42/($F933-1))*$X933)))</f>
        <v>0</v>
      </c>
      <c r="K933" s="124">
        <f>IF($D933="",0,'Guide &amp; Settings'!$C$43*(IF($E933="Win",1,0)-$I933))</f>
        <v>0</v>
      </c>
      <c r="L933" s="125">
        <f>IF($D933="",0,'Guide &amp; Settings'!$C$44*IF($F933&gt;=3,$F933,0))</f>
        <v>0</v>
      </c>
      <c r="M933" s="124">
        <f t="shared" si="283"/>
        <v>0</v>
      </c>
      <c r="N933" s="122">
        <f t="shared" si="284"/>
        <v>0</v>
      </c>
      <c r="O933" s="121" t="str">
        <f t="shared" si="285"/>
        <v/>
      </c>
      <c r="P933">
        <f t="shared" si="286"/>
        <v>0</v>
      </c>
      <c r="Q933">
        <f t="shared" si="287"/>
        <v>0</v>
      </c>
      <c r="R933">
        <f t="shared" si="288"/>
        <v>0</v>
      </c>
      <c r="S933">
        <f t="shared" si="289"/>
        <v>0</v>
      </c>
      <c r="T933" s="89">
        <f t="shared" si="290"/>
        <v>0</v>
      </c>
      <c r="U933" s="126">
        <f>IF($D933="",0,IFERROR(LOOKUP(2,1/(($D$3:D932=$D933)*($C$3:C932=$C933)*($A$3:A932&lt;$A933)),$AB$3:AB932),1000))</f>
        <v>0</v>
      </c>
      <c r="V933" s="126">
        <f t="shared" si="291"/>
        <v>0</v>
      </c>
      <c r="W933">
        <f t="shared" si="292"/>
        <v>0</v>
      </c>
      <c r="X933">
        <f t="shared" si="293"/>
        <v>0</v>
      </c>
      <c r="Y933">
        <f t="shared" si="294"/>
        <v>0</v>
      </c>
      <c r="Z933">
        <f t="shared" si="295"/>
        <v>0</v>
      </c>
      <c r="AA933">
        <f>IF($D933="",0,IF($F933&lt;2,0,IF($E933="Win",('Guide &amp; Settings'!$C$42/(($F933-1)*COUNTIFS($A$4:$A$1510,$A933,$E$4:$E$1510,"Win")))*SUMIFS($Z$4:$Z$1510,$A$4:$A$1510,$A933,$E$4:$E$1510,"Loss"),-('Guide &amp; Settings'!$C$42/($F933-1))*$Z933)))</f>
        <v>0</v>
      </c>
      <c r="AB933" s="126">
        <f t="shared" si="296"/>
        <v>0</v>
      </c>
      <c r="AC933" t="str">
        <f>IF($D933="","",IF($AD933=0,0,IF(COUNTIFS($D$4:$D933,$D933,$B$4:$B933,$B933)&gt;1,0,IF($B933&lt;'Guide &amp; Settings'!$C$50,0,IF(($B933-$AD933)/7-'Guide &amp; Settings'!$C$48&gt;=0,(INT(($B933-$AD933)/7-'Guide &amp; Settings'!$C$48)+1)*'Guide &amp; Settings'!$C$49,0)))))</f>
        <v/>
      </c>
      <c r="AD933" s="142">
        <f t="shared" si="297"/>
        <v>0</v>
      </c>
      <c r="AE933">
        <f t="shared" si="298"/>
        <v>0</v>
      </c>
      <c r="AF933">
        <f t="shared" si="299"/>
        <v>0</v>
      </c>
    </row>
    <row r="934" spans="1:32" x14ac:dyDescent="0.2">
      <c r="A934" s="117"/>
      <c r="B934" s="118"/>
      <c r="C934" s="119"/>
      <c r="D934" s="119"/>
      <c r="E934" s="117"/>
      <c r="F934" s="120">
        <f t="shared" si="280"/>
        <v>0</v>
      </c>
      <c r="G934" s="121" t="str">
        <f t="shared" si="281"/>
        <v/>
      </c>
      <c r="H934" s="122">
        <f>IF($D934="",0,IFERROR(LOOKUP(2,1/(($D$3:D933=$D934)*($A$3:A933&lt;$A934)),$N$3:N933),'Guide &amp; Settings'!$C$41))</f>
        <v>0</v>
      </c>
      <c r="I934" s="123">
        <f t="shared" si="282"/>
        <v>0</v>
      </c>
      <c r="J934" s="124">
        <f>IF($D934="",0,IF($F934&lt;2,0,IF($E934="Win",('Guide &amp; Settings'!$C$42/(($F934-1)*COUNTIFS($A$4:$A$1510,$A934,$E$4:$E$1510,"Win")))*SUMIFS($X$4:$X$1510,$A$4:$A$1510,$A934,$E$4:$E$1510,"Loss"),-('Guide &amp; Settings'!$C$42/($F934-1))*$X934)))</f>
        <v>0</v>
      </c>
      <c r="K934" s="124">
        <f>IF($D934="",0,'Guide &amp; Settings'!$C$43*(IF($E934="Win",1,0)-$I934))</f>
        <v>0</v>
      </c>
      <c r="L934" s="125">
        <f>IF($D934="",0,'Guide &amp; Settings'!$C$44*IF($F934&gt;=3,$F934,0))</f>
        <v>0</v>
      </c>
      <c r="M934" s="124">
        <f t="shared" si="283"/>
        <v>0</v>
      </c>
      <c r="N934" s="122">
        <f t="shared" si="284"/>
        <v>0</v>
      </c>
      <c r="O934" s="121" t="str">
        <f t="shared" si="285"/>
        <v/>
      </c>
      <c r="P934">
        <f t="shared" si="286"/>
        <v>0</v>
      </c>
      <c r="Q934">
        <f t="shared" si="287"/>
        <v>0</v>
      </c>
      <c r="R934">
        <f t="shared" si="288"/>
        <v>0</v>
      </c>
      <c r="S934">
        <f t="shared" si="289"/>
        <v>0</v>
      </c>
      <c r="T934" s="89">
        <f t="shared" si="290"/>
        <v>0</v>
      </c>
      <c r="U934" s="126">
        <f>IF($D934="",0,IFERROR(LOOKUP(2,1/(($D$3:D933=$D934)*($C$3:C933=$C934)*($A$3:A933&lt;$A934)),$AB$3:AB933),1000))</f>
        <v>0</v>
      </c>
      <c r="V934" s="126">
        <f t="shared" si="291"/>
        <v>0</v>
      </c>
      <c r="W934">
        <f t="shared" si="292"/>
        <v>0</v>
      </c>
      <c r="X934">
        <f t="shared" si="293"/>
        <v>0</v>
      </c>
      <c r="Y934">
        <f t="shared" si="294"/>
        <v>0</v>
      </c>
      <c r="Z934">
        <f t="shared" si="295"/>
        <v>0</v>
      </c>
      <c r="AA934">
        <f>IF($D934="",0,IF($F934&lt;2,0,IF($E934="Win",('Guide &amp; Settings'!$C$42/(($F934-1)*COUNTIFS($A$4:$A$1510,$A934,$E$4:$E$1510,"Win")))*SUMIFS($Z$4:$Z$1510,$A$4:$A$1510,$A934,$E$4:$E$1510,"Loss"),-('Guide &amp; Settings'!$C$42/($F934-1))*$Z934)))</f>
        <v>0</v>
      </c>
      <c r="AB934" s="126">
        <f t="shared" si="296"/>
        <v>0</v>
      </c>
      <c r="AC934" t="str">
        <f>IF($D934="","",IF($AD934=0,0,IF(COUNTIFS($D$4:$D934,$D934,$B$4:$B934,$B934)&gt;1,0,IF($B934&lt;'Guide &amp; Settings'!$C$50,0,IF(($B934-$AD934)/7-'Guide &amp; Settings'!$C$48&gt;=0,(INT(($B934-$AD934)/7-'Guide &amp; Settings'!$C$48)+1)*'Guide &amp; Settings'!$C$49,0)))))</f>
        <v/>
      </c>
      <c r="AD934" s="142">
        <f t="shared" si="297"/>
        <v>0</v>
      </c>
      <c r="AE934">
        <f t="shared" si="298"/>
        <v>0</v>
      </c>
      <c r="AF934">
        <f t="shared" si="299"/>
        <v>0</v>
      </c>
    </row>
    <row r="935" spans="1:32" x14ac:dyDescent="0.2">
      <c r="A935" s="117"/>
      <c r="B935" s="118"/>
      <c r="C935" s="119"/>
      <c r="D935" s="119"/>
      <c r="E935" s="117"/>
      <c r="F935" s="120">
        <f t="shared" si="280"/>
        <v>0</v>
      </c>
      <c r="G935" s="121" t="str">
        <f t="shared" si="281"/>
        <v/>
      </c>
      <c r="H935" s="122">
        <f>IF($D935="",0,IFERROR(LOOKUP(2,1/(($D$3:D934=$D935)*($A$3:A934&lt;$A935)),$N$3:N934),'Guide &amp; Settings'!$C$41))</f>
        <v>0</v>
      </c>
      <c r="I935" s="123">
        <f t="shared" si="282"/>
        <v>0</v>
      </c>
      <c r="J935" s="124">
        <f>IF($D935="",0,IF($F935&lt;2,0,IF($E935="Win",('Guide &amp; Settings'!$C$42/(($F935-1)*COUNTIFS($A$4:$A$1510,$A935,$E$4:$E$1510,"Win")))*SUMIFS($X$4:$X$1510,$A$4:$A$1510,$A935,$E$4:$E$1510,"Loss"),-('Guide &amp; Settings'!$C$42/($F935-1))*$X935)))</f>
        <v>0</v>
      </c>
      <c r="K935" s="124">
        <f>IF($D935="",0,'Guide &amp; Settings'!$C$43*(IF($E935="Win",1,0)-$I935))</f>
        <v>0</v>
      </c>
      <c r="L935" s="125">
        <f>IF($D935="",0,'Guide &amp; Settings'!$C$44*IF($F935&gt;=3,$F935,0))</f>
        <v>0</v>
      </c>
      <c r="M935" s="124">
        <f t="shared" si="283"/>
        <v>0</v>
      </c>
      <c r="N935" s="122">
        <f t="shared" si="284"/>
        <v>0</v>
      </c>
      <c r="O935" s="121" t="str">
        <f t="shared" si="285"/>
        <v/>
      </c>
      <c r="P935">
        <f t="shared" si="286"/>
        <v>0</v>
      </c>
      <c r="Q935">
        <f t="shared" si="287"/>
        <v>0</v>
      </c>
      <c r="R935">
        <f t="shared" si="288"/>
        <v>0</v>
      </c>
      <c r="S935">
        <f t="shared" si="289"/>
        <v>0</v>
      </c>
      <c r="T935" s="89">
        <f t="shared" si="290"/>
        <v>0</v>
      </c>
      <c r="U935" s="126">
        <f>IF($D935="",0,IFERROR(LOOKUP(2,1/(($D$3:D934=$D935)*($C$3:C934=$C935)*($A$3:A934&lt;$A935)),$AB$3:AB934),1000))</f>
        <v>0</v>
      </c>
      <c r="V935" s="126">
        <f t="shared" si="291"/>
        <v>0</v>
      </c>
      <c r="W935">
        <f t="shared" si="292"/>
        <v>0</v>
      </c>
      <c r="X935">
        <f t="shared" si="293"/>
        <v>0</v>
      </c>
      <c r="Y935">
        <f t="shared" si="294"/>
        <v>0</v>
      </c>
      <c r="Z935">
        <f t="shared" si="295"/>
        <v>0</v>
      </c>
      <c r="AA935">
        <f>IF($D935="",0,IF($F935&lt;2,0,IF($E935="Win",('Guide &amp; Settings'!$C$42/(($F935-1)*COUNTIFS($A$4:$A$1510,$A935,$E$4:$E$1510,"Win")))*SUMIFS($Z$4:$Z$1510,$A$4:$A$1510,$A935,$E$4:$E$1510,"Loss"),-('Guide &amp; Settings'!$C$42/($F935-1))*$Z935)))</f>
        <v>0</v>
      </c>
      <c r="AB935" s="126">
        <f t="shared" si="296"/>
        <v>0</v>
      </c>
      <c r="AC935" t="str">
        <f>IF($D935="","",IF($AD935=0,0,IF(COUNTIFS($D$4:$D935,$D935,$B$4:$B935,$B935)&gt;1,0,IF($B935&lt;'Guide &amp; Settings'!$C$50,0,IF(($B935-$AD935)/7-'Guide &amp; Settings'!$C$48&gt;=0,(INT(($B935-$AD935)/7-'Guide &amp; Settings'!$C$48)+1)*'Guide &amp; Settings'!$C$49,0)))))</f>
        <v/>
      </c>
      <c r="AD935" s="142">
        <f t="shared" si="297"/>
        <v>0</v>
      </c>
      <c r="AE935">
        <f t="shared" si="298"/>
        <v>0</v>
      </c>
      <c r="AF935">
        <f t="shared" si="299"/>
        <v>0</v>
      </c>
    </row>
    <row r="936" spans="1:32" x14ac:dyDescent="0.2">
      <c r="A936" s="117"/>
      <c r="B936" s="118"/>
      <c r="C936" s="119"/>
      <c r="D936" s="119"/>
      <c r="E936" s="117"/>
      <c r="F936" s="120">
        <f t="shared" si="280"/>
        <v>0</v>
      </c>
      <c r="G936" s="121" t="str">
        <f t="shared" si="281"/>
        <v/>
      </c>
      <c r="H936" s="122">
        <f>IF($D936="",0,IFERROR(LOOKUP(2,1/(($D$3:D935=$D936)*($A$3:A935&lt;$A936)),$N$3:N935),'Guide &amp; Settings'!$C$41))</f>
        <v>0</v>
      </c>
      <c r="I936" s="123">
        <f t="shared" si="282"/>
        <v>0</v>
      </c>
      <c r="J936" s="124">
        <f>IF($D936="",0,IF($F936&lt;2,0,IF($E936="Win",('Guide &amp; Settings'!$C$42/(($F936-1)*COUNTIFS($A$4:$A$1510,$A936,$E$4:$E$1510,"Win")))*SUMIFS($X$4:$X$1510,$A$4:$A$1510,$A936,$E$4:$E$1510,"Loss"),-('Guide &amp; Settings'!$C$42/($F936-1))*$X936)))</f>
        <v>0</v>
      </c>
      <c r="K936" s="124">
        <f>IF($D936="",0,'Guide &amp; Settings'!$C$43*(IF($E936="Win",1,0)-$I936))</f>
        <v>0</v>
      </c>
      <c r="L936" s="125">
        <f>IF($D936="",0,'Guide &amp; Settings'!$C$44*IF($F936&gt;=3,$F936,0))</f>
        <v>0</v>
      </c>
      <c r="M936" s="124">
        <f t="shared" si="283"/>
        <v>0</v>
      </c>
      <c r="N936" s="122">
        <f t="shared" si="284"/>
        <v>0</v>
      </c>
      <c r="O936" s="121" t="str">
        <f t="shared" si="285"/>
        <v/>
      </c>
      <c r="P936">
        <f t="shared" si="286"/>
        <v>0</v>
      </c>
      <c r="Q936">
        <f t="shared" si="287"/>
        <v>0</v>
      </c>
      <c r="R936">
        <f t="shared" si="288"/>
        <v>0</v>
      </c>
      <c r="S936">
        <f t="shared" si="289"/>
        <v>0</v>
      </c>
      <c r="T936" s="89">
        <f t="shared" si="290"/>
        <v>0</v>
      </c>
      <c r="U936" s="126">
        <f>IF($D936="",0,IFERROR(LOOKUP(2,1/(($D$3:D935=$D936)*($C$3:C935=$C936)*($A$3:A935&lt;$A936)),$AB$3:AB935),1000))</f>
        <v>0</v>
      </c>
      <c r="V936" s="126">
        <f t="shared" si="291"/>
        <v>0</v>
      </c>
      <c r="W936">
        <f t="shared" si="292"/>
        <v>0</v>
      </c>
      <c r="X936">
        <f t="shared" si="293"/>
        <v>0</v>
      </c>
      <c r="Y936">
        <f t="shared" si="294"/>
        <v>0</v>
      </c>
      <c r="Z936">
        <f t="shared" si="295"/>
        <v>0</v>
      </c>
      <c r="AA936">
        <f>IF($D936="",0,IF($F936&lt;2,0,IF($E936="Win",('Guide &amp; Settings'!$C$42/(($F936-1)*COUNTIFS($A$4:$A$1510,$A936,$E$4:$E$1510,"Win")))*SUMIFS($Z$4:$Z$1510,$A$4:$A$1510,$A936,$E$4:$E$1510,"Loss"),-('Guide &amp; Settings'!$C$42/($F936-1))*$Z936)))</f>
        <v>0</v>
      </c>
      <c r="AB936" s="126">
        <f t="shared" si="296"/>
        <v>0</v>
      </c>
      <c r="AC936" t="str">
        <f>IF($D936="","",IF($AD936=0,0,IF(COUNTIFS($D$4:$D936,$D936,$B$4:$B936,$B936)&gt;1,0,IF($B936&lt;'Guide &amp; Settings'!$C$50,0,IF(($B936-$AD936)/7-'Guide &amp; Settings'!$C$48&gt;=0,(INT(($B936-$AD936)/7-'Guide &amp; Settings'!$C$48)+1)*'Guide &amp; Settings'!$C$49,0)))))</f>
        <v/>
      </c>
      <c r="AD936" s="142">
        <f t="shared" si="297"/>
        <v>0</v>
      </c>
      <c r="AE936">
        <f t="shared" si="298"/>
        <v>0</v>
      </c>
      <c r="AF936">
        <f t="shared" si="299"/>
        <v>0</v>
      </c>
    </row>
    <row r="937" spans="1:32" x14ac:dyDescent="0.2">
      <c r="A937" s="117"/>
      <c r="B937" s="118"/>
      <c r="C937" s="119"/>
      <c r="D937" s="119"/>
      <c r="E937" s="117"/>
      <c r="F937" s="120">
        <f t="shared" si="280"/>
        <v>0</v>
      </c>
      <c r="G937" s="121" t="str">
        <f t="shared" si="281"/>
        <v/>
      </c>
      <c r="H937" s="122">
        <f>IF($D937="",0,IFERROR(LOOKUP(2,1/(($D$3:D936=$D937)*($A$3:A936&lt;$A937)),$N$3:N936),'Guide &amp; Settings'!$C$41))</f>
        <v>0</v>
      </c>
      <c r="I937" s="123">
        <f t="shared" si="282"/>
        <v>0</v>
      </c>
      <c r="J937" s="124">
        <f>IF($D937="",0,IF($F937&lt;2,0,IF($E937="Win",('Guide &amp; Settings'!$C$42/(($F937-1)*COUNTIFS($A$4:$A$1510,$A937,$E$4:$E$1510,"Win")))*SUMIFS($X$4:$X$1510,$A$4:$A$1510,$A937,$E$4:$E$1510,"Loss"),-('Guide &amp; Settings'!$C$42/($F937-1))*$X937)))</f>
        <v>0</v>
      </c>
      <c r="K937" s="124">
        <f>IF($D937="",0,'Guide &amp; Settings'!$C$43*(IF($E937="Win",1,0)-$I937))</f>
        <v>0</v>
      </c>
      <c r="L937" s="125">
        <f>IF($D937="",0,'Guide &amp; Settings'!$C$44*IF($F937&gt;=3,$F937,0))</f>
        <v>0</v>
      </c>
      <c r="M937" s="124">
        <f t="shared" si="283"/>
        <v>0</v>
      </c>
      <c r="N937" s="122">
        <f t="shared" si="284"/>
        <v>0</v>
      </c>
      <c r="O937" s="121" t="str">
        <f t="shared" si="285"/>
        <v/>
      </c>
      <c r="P937">
        <f t="shared" si="286"/>
        <v>0</v>
      </c>
      <c r="Q937">
        <f t="shared" si="287"/>
        <v>0</v>
      </c>
      <c r="R937">
        <f t="shared" si="288"/>
        <v>0</v>
      </c>
      <c r="S937">
        <f t="shared" si="289"/>
        <v>0</v>
      </c>
      <c r="T937" s="89">
        <f t="shared" si="290"/>
        <v>0</v>
      </c>
      <c r="U937" s="126">
        <f>IF($D937="",0,IFERROR(LOOKUP(2,1/(($D$3:D936=$D937)*($C$3:C936=$C937)*($A$3:A936&lt;$A937)),$AB$3:AB936),1000))</f>
        <v>0</v>
      </c>
      <c r="V937" s="126">
        <f t="shared" si="291"/>
        <v>0</v>
      </c>
      <c r="W937">
        <f t="shared" si="292"/>
        <v>0</v>
      </c>
      <c r="X937">
        <f t="shared" si="293"/>
        <v>0</v>
      </c>
      <c r="Y937">
        <f t="shared" si="294"/>
        <v>0</v>
      </c>
      <c r="Z937">
        <f t="shared" si="295"/>
        <v>0</v>
      </c>
      <c r="AA937">
        <f>IF($D937="",0,IF($F937&lt;2,0,IF($E937="Win",('Guide &amp; Settings'!$C$42/(($F937-1)*COUNTIFS($A$4:$A$1510,$A937,$E$4:$E$1510,"Win")))*SUMIFS($Z$4:$Z$1510,$A$4:$A$1510,$A937,$E$4:$E$1510,"Loss"),-('Guide &amp; Settings'!$C$42/($F937-1))*$Z937)))</f>
        <v>0</v>
      </c>
      <c r="AB937" s="126">
        <f t="shared" si="296"/>
        <v>0</v>
      </c>
      <c r="AC937" t="str">
        <f>IF($D937="","",IF($AD937=0,0,IF(COUNTIFS($D$4:$D937,$D937,$B$4:$B937,$B937)&gt;1,0,IF($B937&lt;'Guide &amp; Settings'!$C$50,0,IF(($B937-$AD937)/7-'Guide &amp; Settings'!$C$48&gt;=0,(INT(($B937-$AD937)/7-'Guide &amp; Settings'!$C$48)+1)*'Guide &amp; Settings'!$C$49,0)))))</f>
        <v/>
      </c>
      <c r="AD937" s="142">
        <f t="shared" si="297"/>
        <v>0</v>
      </c>
      <c r="AE937">
        <f t="shared" si="298"/>
        <v>0</v>
      </c>
      <c r="AF937">
        <f t="shared" si="299"/>
        <v>0</v>
      </c>
    </row>
    <row r="938" spans="1:32" x14ac:dyDescent="0.2">
      <c r="A938" s="117"/>
      <c r="B938" s="118"/>
      <c r="C938" s="119"/>
      <c r="D938" s="119"/>
      <c r="E938" s="117"/>
      <c r="F938" s="120">
        <f t="shared" si="280"/>
        <v>0</v>
      </c>
      <c r="G938" s="121" t="str">
        <f t="shared" si="281"/>
        <v/>
      </c>
      <c r="H938" s="122">
        <f>IF($D938="",0,IFERROR(LOOKUP(2,1/(($D$3:D937=$D938)*($A$3:A937&lt;$A938)),$N$3:N937),'Guide &amp; Settings'!$C$41))</f>
        <v>0</v>
      </c>
      <c r="I938" s="123">
        <f t="shared" si="282"/>
        <v>0</v>
      </c>
      <c r="J938" s="124">
        <f>IF($D938="",0,IF($F938&lt;2,0,IF($E938="Win",('Guide &amp; Settings'!$C$42/(($F938-1)*COUNTIFS($A$4:$A$1510,$A938,$E$4:$E$1510,"Win")))*SUMIFS($X$4:$X$1510,$A$4:$A$1510,$A938,$E$4:$E$1510,"Loss"),-('Guide &amp; Settings'!$C$42/($F938-1))*$X938)))</f>
        <v>0</v>
      </c>
      <c r="K938" s="124">
        <f>IF($D938="",0,'Guide &amp; Settings'!$C$43*(IF($E938="Win",1,0)-$I938))</f>
        <v>0</v>
      </c>
      <c r="L938" s="125">
        <f>IF($D938="",0,'Guide &amp; Settings'!$C$44*IF($F938&gt;=3,$F938,0))</f>
        <v>0</v>
      </c>
      <c r="M938" s="124">
        <f t="shared" si="283"/>
        <v>0</v>
      </c>
      <c r="N938" s="122">
        <f t="shared" si="284"/>
        <v>0</v>
      </c>
      <c r="O938" s="121" t="str">
        <f t="shared" si="285"/>
        <v/>
      </c>
      <c r="P938">
        <f t="shared" si="286"/>
        <v>0</v>
      </c>
      <c r="Q938">
        <f t="shared" si="287"/>
        <v>0</v>
      </c>
      <c r="R938">
        <f t="shared" si="288"/>
        <v>0</v>
      </c>
      <c r="S938">
        <f t="shared" si="289"/>
        <v>0</v>
      </c>
      <c r="T938" s="89">
        <f t="shared" si="290"/>
        <v>0</v>
      </c>
      <c r="U938" s="126">
        <f>IF($D938="",0,IFERROR(LOOKUP(2,1/(($D$3:D937=$D938)*($C$3:C937=$C938)*($A$3:A937&lt;$A938)),$AB$3:AB937),1000))</f>
        <v>0</v>
      </c>
      <c r="V938" s="126">
        <f t="shared" si="291"/>
        <v>0</v>
      </c>
      <c r="W938">
        <f t="shared" si="292"/>
        <v>0</v>
      </c>
      <c r="X938">
        <f t="shared" si="293"/>
        <v>0</v>
      </c>
      <c r="Y938">
        <f t="shared" si="294"/>
        <v>0</v>
      </c>
      <c r="Z938">
        <f t="shared" si="295"/>
        <v>0</v>
      </c>
      <c r="AA938">
        <f>IF($D938="",0,IF($F938&lt;2,0,IF($E938="Win",('Guide &amp; Settings'!$C$42/(($F938-1)*COUNTIFS($A$4:$A$1510,$A938,$E$4:$E$1510,"Win")))*SUMIFS($Z$4:$Z$1510,$A$4:$A$1510,$A938,$E$4:$E$1510,"Loss"),-('Guide &amp; Settings'!$C$42/($F938-1))*$Z938)))</f>
        <v>0</v>
      </c>
      <c r="AB938" s="126">
        <f t="shared" si="296"/>
        <v>0</v>
      </c>
      <c r="AC938" t="str">
        <f>IF($D938="","",IF($AD938=0,0,IF(COUNTIFS($D$4:$D938,$D938,$B$4:$B938,$B938)&gt;1,0,IF($B938&lt;'Guide &amp; Settings'!$C$50,0,IF(($B938-$AD938)/7-'Guide &amp; Settings'!$C$48&gt;=0,(INT(($B938-$AD938)/7-'Guide &amp; Settings'!$C$48)+1)*'Guide &amp; Settings'!$C$49,0)))))</f>
        <v/>
      </c>
      <c r="AD938" s="142">
        <f t="shared" si="297"/>
        <v>0</v>
      </c>
      <c r="AE938">
        <f t="shared" si="298"/>
        <v>0</v>
      </c>
      <c r="AF938">
        <f t="shared" si="299"/>
        <v>0</v>
      </c>
    </row>
    <row r="939" spans="1:32" x14ac:dyDescent="0.2">
      <c r="A939" s="117"/>
      <c r="B939" s="118"/>
      <c r="C939" s="119"/>
      <c r="D939" s="119"/>
      <c r="E939" s="117"/>
      <c r="F939" s="120">
        <f t="shared" si="280"/>
        <v>0</v>
      </c>
      <c r="G939" s="121" t="str">
        <f t="shared" si="281"/>
        <v/>
      </c>
      <c r="H939" s="122">
        <f>IF($D939="",0,IFERROR(LOOKUP(2,1/(($D$3:D938=$D939)*($A$3:A938&lt;$A939)),$N$3:N938),'Guide &amp; Settings'!$C$41))</f>
        <v>0</v>
      </c>
      <c r="I939" s="123">
        <f t="shared" si="282"/>
        <v>0</v>
      </c>
      <c r="J939" s="124">
        <f>IF($D939="",0,IF($F939&lt;2,0,IF($E939="Win",('Guide &amp; Settings'!$C$42/(($F939-1)*COUNTIFS($A$4:$A$1510,$A939,$E$4:$E$1510,"Win")))*SUMIFS($X$4:$X$1510,$A$4:$A$1510,$A939,$E$4:$E$1510,"Loss"),-('Guide &amp; Settings'!$C$42/($F939-1))*$X939)))</f>
        <v>0</v>
      </c>
      <c r="K939" s="124">
        <f>IF($D939="",0,'Guide &amp; Settings'!$C$43*(IF($E939="Win",1,0)-$I939))</f>
        <v>0</v>
      </c>
      <c r="L939" s="125">
        <f>IF($D939="",0,'Guide &amp; Settings'!$C$44*IF($F939&gt;=3,$F939,0))</f>
        <v>0</v>
      </c>
      <c r="M939" s="124">
        <f t="shared" si="283"/>
        <v>0</v>
      </c>
      <c r="N939" s="122">
        <f t="shared" si="284"/>
        <v>0</v>
      </c>
      <c r="O939" s="121" t="str">
        <f t="shared" si="285"/>
        <v/>
      </c>
      <c r="P939">
        <f t="shared" si="286"/>
        <v>0</v>
      </c>
      <c r="Q939">
        <f t="shared" si="287"/>
        <v>0</v>
      </c>
      <c r="R939">
        <f t="shared" si="288"/>
        <v>0</v>
      </c>
      <c r="S939">
        <f t="shared" si="289"/>
        <v>0</v>
      </c>
      <c r="T939" s="89">
        <f t="shared" si="290"/>
        <v>0</v>
      </c>
      <c r="U939" s="126">
        <f>IF($D939="",0,IFERROR(LOOKUP(2,1/(($D$3:D938=$D939)*($C$3:C938=$C939)*($A$3:A938&lt;$A939)),$AB$3:AB938),1000))</f>
        <v>0</v>
      </c>
      <c r="V939" s="126">
        <f t="shared" si="291"/>
        <v>0</v>
      </c>
      <c r="W939">
        <f t="shared" si="292"/>
        <v>0</v>
      </c>
      <c r="X939">
        <f t="shared" si="293"/>
        <v>0</v>
      </c>
      <c r="Y939">
        <f t="shared" si="294"/>
        <v>0</v>
      </c>
      <c r="Z939">
        <f t="shared" si="295"/>
        <v>0</v>
      </c>
      <c r="AA939">
        <f>IF($D939="",0,IF($F939&lt;2,0,IF($E939="Win",('Guide &amp; Settings'!$C$42/(($F939-1)*COUNTIFS($A$4:$A$1510,$A939,$E$4:$E$1510,"Win")))*SUMIFS($Z$4:$Z$1510,$A$4:$A$1510,$A939,$E$4:$E$1510,"Loss"),-('Guide &amp; Settings'!$C$42/($F939-1))*$Z939)))</f>
        <v>0</v>
      </c>
      <c r="AB939" s="126">
        <f t="shared" si="296"/>
        <v>0</v>
      </c>
      <c r="AC939" t="str">
        <f>IF($D939="","",IF($AD939=0,0,IF(COUNTIFS($D$4:$D939,$D939,$B$4:$B939,$B939)&gt;1,0,IF($B939&lt;'Guide &amp; Settings'!$C$50,0,IF(($B939-$AD939)/7-'Guide &amp; Settings'!$C$48&gt;=0,(INT(($B939-$AD939)/7-'Guide &amp; Settings'!$C$48)+1)*'Guide &amp; Settings'!$C$49,0)))))</f>
        <v/>
      </c>
      <c r="AD939" s="142">
        <f t="shared" si="297"/>
        <v>0</v>
      </c>
      <c r="AE939">
        <f t="shared" si="298"/>
        <v>0</v>
      </c>
      <c r="AF939">
        <f t="shared" si="299"/>
        <v>0</v>
      </c>
    </row>
    <row r="940" spans="1:32" x14ac:dyDescent="0.2">
      <c r="A940" s="117"/>
      <c r="B940" s="118"/>
      <c r="C940" s="119"/>
      <c r="D940" s="119"/>
      <c r="E940" s="117"/>
      <c r="F940" s="120">
        <f t="shared" si="280"/>
        <v>0</v>
      </c>
      <c r="G940" s="121" t="str">
        <f t="shared" si="281"/>
        <v/>
      </c>
      <c r="H940" s="122">
        <f>IF($D940="",0,IFERROR(LOOKUP(2,1/(($D$3:D939=$D940)*($A$3:A939&lt;$A940)),$N$3:N939),'Guide &amp; Settings'!$C$41))</f>
        <v>0</v>
      </c>
      <c r="I940" s="123">
        <f t="shared" si="282"/>
        <v>0</v>
      </c>
      <c r="J940" s="124">
        <f>IF($D940="",0,IF($F940&lt;2,0,IF($E940="Win",('Guide &amp; Settings'!$C$42/(($F940-1)*COUNTIFS($A$4:$A$1510,$A940,$E$4:$E$1510,"Win")))*SUMIFS($X$4:$X$1510,$A$4:$A$1510,$A940,$E$4:$E$1510,"Loss"),-('Guide &amp; Settings'!$C$42/($F940-1))*$X940)))</f>
        <v>0</v>
      </c>
      <c r="K940" s="124">
        <f>IF($D940="",0,'Guide &amp; Settings'!$C$43*(IF($E940="Win",1,0)-$I940))</f>
        <v>0</v>
      </c>
      <c r="L940" s="125">
        <f>IF($D940="",0,'Guide &amp; Settings'!$C$44*IF($F940&gt;=3,$F940,0))</f>
        <v>0</v>
      </c>
      <c r="M940" s="124">
        <f t="shared" si="283"/>
        <v>0</v>
      </c>
      <c r="N940" s="122">
        <f t="shared" si="284"/>
        <v>0</v>
      </c>
      <c r="O940" s="121" t="str">
        <f t="shared" si="285"/>
        <v/>
      </c>
      <c r="P940">
        <f t="shared" si="286"/>
        <v>0</v>
      </c>
      <c r="Q940">
        <f t="shared" si="287"/>
        <v>0</v>
      </c>
      <c r="R940">
        <f t="shared" si="288"/>
        <v>0</v>
      </c>
      <c r="S940">
        <f t="shared" si="289"/>
        <v>0</v>
      </c>
      <c r="T940" s="89">
        <f t="shared" si="290"/>
        <v>0</v>
      </c>
      <c r="U940" s="126">
        <f>IF($D940="",0,IFERROR(LOOKUP(2,1/(($D$3:D939=$D940)*($C$3:C939=$C940)*($A$3:A939&lt;$A940)),$AB$3:AB939),1000))</f>
        <v>0</v>
      </c>
      <c r="V940" s="126">
        <f t="shared" si="291"/>
        <v>0</v>
      </c>
      <c r="W940">
        <f t="shared" si="292"/>
        <v>0</v>
      </c>
      <c r="X940">
        <f t="shared" si="293"/>
        <v>0</v>
      </c>
      <c r="Y940">
        <f t="shared" si="294"/>
        <v>0</v>
      </c>
      <c r="Z940">
        <f t="shared" si="295"/>
        <v>0</v>
      </c>
      <c r="AA940">
        <f>IF($D940="",0,IF($F940&lt;2,0,IF($E940="Win",('Guide &amp; Settings'!$C$42/(($F940-1)*COUNTIFS($A$4:$A$1510,$A940,$E$4:$E$1510,"Win")))*SUMIFS($Z$4:$Z$1510,$A$4:$A$1510,$A940,$E$4:$E$1510,"Loss"),-('Guide &amp; Settings'!$C$42/($F940-1))*$Z940)))</f>
        <v>0</v>
      </c>
      <c r="AB940" s="126">
        <f t="shared" si="296"/>
        <v>0</v>
      </c>
      <c r="AC940" t="str">
        <f>IF($D940="","",IF($AD940=0,0,IF(COUNTIFS($D$4:$D940,$D940,$B$4:$B940,$B940)&gt;1,0,IF($B940&lt;'Guide &amp; Settings'!$C$50,0,IF(($B940-$AD940)/7-'Guide &amp; Settings'!$C$48&gt;=0,(INT(($B940-$AD940)/7-'Guide &amp; Settings'!$C$48)+1)*'Guide &amp; Settings'!$C$49,0)))))</f>
        <v/>
      </c>
      <c r="AD940" s="142">
        <f t="shared" si="297"/>
        <v>0</v>
      </c>
      <c r="AE940">
        <f t="shared" si="298"/>
        <v>0</v>
      </c>
      <c r="AF940">
        <f t="shared" si="299"/>
        <v>0</v>
      </c>
    </row>
    <row r="941" spans="1:32" x14ac:dyDescent="0.2">
      <c r="A941" s="117"/>
      <c r="B941" s="118"/>
      <c r="C941" s="119"/>
      <c r="D941" s="119"/>
      <c r="E941" s="117"/>
      <c r="F941" s="120">
        <f t="shared" si="280"/>
        <v>0</v>
      </c>
      <c r="G941" s="121" t="str">
        <f t="shared" si="281"/>
        <v/>
      </c>
      <c r="H941" s="122">
        <f>IF($D941="",0,IFERROR(LOOKUP(2,1/(($D$3:D940=$D941)*($A$3:A940&lt;$A941)),$N$3:N940),'Guide &amp; Settings'!$C$41))</f>
        <v>0</v>
      </c>
      <c r="I941" s="123">
        <f t="shared" si="282"/>
        <v>0</v>
      </c>
      <c r="J941" s="124">
        <f>IF($D941="",0,IF($F941&lt;2,0,IF($E941="Win",('Guide &amp; Settings'!$C$42/(($F941-1)*COUNTIFS($A$4:$A$1510,$A941,$E$4:$E$1510,"Win")))*SUMIFS($X$4:$X$1510,$A$4:$A$1510,$A941,$E$4:$E$1510,"Loss"),-('Guide &amp; Settings'!$C$42/($F941-1))*$X941)))</f>
        <v>0</v>
      </c>
      <c r="K941" s="124">
        <f>IF($D941="",0,'Guide &amp; Settings'!$C$43*(IF($E941="Win",1,0)-$I941))</f>
        <v>0</v>
      </c>
      <c r="L941" s="125">
        <f>IF($D941="",0,'Guide &amp; Settings'!$C$44*IF($F941&gt;=3,$F941,0))</f>
        <v>0</v>
      </c>
      <c r="M941" s="124">
        <f t="shared" si="283"/>
        <v>0</v>
      </c>
      <c r="N941" s="122">
        <f t="shared" si="284"/>
        <v>0</v>
      </c>
      <c r="O941" s="121" t="str">
        <f t="shared" si="285"/>
        <v/>
      </c>
      <c r="P941">
        <f t="shared" si="286"/>
        <v>0</v>
      </c>
      <c r="Q941">
        <f t="shared" si="287"/>
        <v>0</v>
      </c>
      <c r="R941">
        <f t="shared" si="288"/>
        <v>0</v>
      </c>
      <c r="S941">
        <f t="shared" si="289"/>
        <v>0</v>
      </c>
      <c r="T941" s="89">
        <f t="shared" si="290"/>
        <v>0</v>
      </c>
      <c r="U941" s="126">
        <f>IF($D941="",0,IFERROR(LOOKUP(2,1/(($D$3:D940=$D941)*($C$3:C940=$C941)*($A$3:A940&lt;$A941)),$AB$3:AB940),1000))</f>
        <v>0</v>
      </c>
      <c r="V941" s="126">
        <f t="shared" si="291"/>
        <v>0</v>
      </c>
      <c r="W941">
        <f t="shared" si="292"/>
        <v>0</v>
      </c>
      <c r="X941">
        <f t="shared" si="293"/>
        <v>0</v>
      </c>
      <c r="Y941">
        <f t="shared" si="294"/>
        <v>0</v>
      </c>
      <c r="Z941">
        <f t="shared" si="295"/>
        <v>0</v>
      </c>
      <c r="AA941">
        <f>IF($D941="",0,IF($F941&lt;2,0,IF($E941="Win",('Guide &amp; Settings'!$C$42/(($F941-1)*COUNTIFS($A$4:$A$1510,$A941,$E$4:$E$1510,"Win")))*SUMIFS($Z$4:$Z$1510,$A$4:$A$1510,$A941,$E$4:$E$1510,"Loss"),-('Guide &amp; Settings'!$C$42/($F941-1))*$Z941)))</f>
        <v>0</v>
      </c>
      <c r="AB941" s="126">
        <f t="shared" si="296"/>
        <v>0</v>
      </c>
      <c r="AC941" t="str">
        <f>IF($D941="","",IF($AD941=0,0,IF(COUNTIFS($D$4:$D941,$D941,$B$4:$B941,$B941)&gt;1,0,IF($B941&lt;'Guide &amp; Settings'!$C$50,0,IF(($B941-$AD941)/7-'Guide &amp; Settings'!$C$48&gt;=0,(INT(($B941-$AD941)/7-'Guide &amp; Settings'!$C$48)+1)*'Guide &amp; Settings'!$C$49,0)))))</f>
        <v/>
      </c>
      <c r="AD941" s="142">
        <f t="shared" si="297"/>
        <v>0</v>
      </c>
      <c r="AE941">
        <f t="shared" si="298"/>
        <v>0</v>
      </c>
      <c r="AF941">
        <f t="shared" si="299"/>
        <v>0</v>
      </c>
    </row>
    <row r="942" spans="1:32" x14ac:dyDescent="0.2">
      <c r="A942" s="117"/>
      <c r="B942" s="118"/>
      <c r="C942" s="119"/>
      <c r="D942" s="119"/>
      <c r="E942" s="117"/>
      <c r="F942" s="120">
        <f t="shared" si="280"/>
        <v>0</v>
      </c>
      <c r="G942" s="121" t="str">
        <f t="shared" si="281"/>
        <v/>
      </c>
      <c r="H942" s="122">
        <f>IF($D942="",0,IFERROR(LOOKUP(2,1/(($D$3:D941=$D942)*($A$3:A941&lt;$A942)),$N$3:N941),'Guide &amp; Settings'!$C$41))</f>
        <v>0</v>
      </c>
      <c r="I942" s="123">
        <f t="shared" si="282"/>
        <v>0</v>
      </c>
      <c r="J942" s="124">
        <f>IF($D942="",0,IF($F942&lt;2,0,IF($E942="Win",('Guide &amp; Settings'!$C$42/(($F942-1)*COUNTIFS($A$4:$A$1510,$A942,$E$4:$E$1510,"Win")))*SUMIFS($X$4:$X$1510,$A$4:$A$1510,$A942,$E$4:$E$1510,"Loss"),-('Guide &amp; Settings'!$C$42/($F942-1))*$X942)))</f>
        <v>0</v>
      </c>
      <c r="K942" s="124">
        <f>IF($D942="",0,'Guide &amp; Settings'!$C$43*(IF($E942="Win",1,0)-$I942))</f>
        <v>0</v>
      </c>
      <c r="L942" s="125">
        <f>IF($D942="",0,'Guide &amp; Settings'!$C$44*IF($F942&gt;=3,$F942,0))</f>
        <v>0</v>
      </c>
      <c r="M942" s="124">
        <f t="shared" si="283"/>
        <v>0</v>
      </c>
      <c r="N942" s="122">
        <f t="shared" si="284"/>
        <v>0</v>
      </c>
      <c r="O942" s="121" t="str">
        <f t="shared" si="285"/>
        <v/>
      </c>
      <c r="P942">
        <f t="shared" si="286"/>
        <v>0</v>
      </c>
      <c r="Q942">
        <f t="shared" si="287"/>
        <v>0</v>
      </c>
      <c r="R942">
        <f t="shared" si="288"/>
        <v>0</v>
      </c>
      <c r="S942">
        <f t="shared" si="289"/>
        <v>0</v>
      </c>
      <c r="T942" s="89">
        <f t="shared" si="290"/>
        <v>0</v>
      </c>
      <c r="U942" s="126">
        <f>IF($D942="",0,IFERROR(LOOKUP(2,1/(($D$3:D941=$D942)*($C$3:C941=$C942)*($A$3:A941&lt;$A942)),$AB$3:AB941),1000))</f>
        <v>0</v>
      </c>
      <c r="V942" s="126">
        <f t="shared" si="291"/>
        <v>0</v>
      </c>
      <c r="W942">
        <f t="shared" si="292"/>
        <v>0</v>
      </c>
      <c r="X942">
        <f t="shared" si="293"/>
        <v>0</v>
      </c>
      <c r="Y942">
        <f t="shared" si="294"/>
        <v>0</v>
      </c>
      <c r="Z942">
        <f t="shared" si="295"/>
        <v>0</v>
      </c>
      <c r="AA942">
        <f>IF($D942="",0,IF($F942&lt;2,0,IF($E942="Win",('Guide &amp; Settings'!$C$42/(($F942-1)*COUNTIFS($A$4:$A$1510,$A942,$E$4:$E$1510,"Win")))*SUMIFS($Z$4:$Z$1510,$A$4:$A$1510,$A942,$E$4:$E$1510,"Loss"),-('Guide &amp; Settings'!$C$42/($F942-1))*$Z942)))</f>
        <v>0</v>
      </c>
      <c r="AB942" s="126">
        <f t="shared" si="296"/>
        <v>0</v>
      </c>
      <c r="AC942" t="str">
        <f>IF($D942="","",IF($AD942=0,0,IF(COUNTIFS($D$4:$D942,$D942,$B$4:$B942,$B942)&gt;1,0,IF($B942&lt;'Guide &amp; Settings'!$C$50,0,IF(($B942-$AD942)/7-'Guide &amp; Settings'!$C$48&gt;=0,(INT(($B942-$AD942)/7-'Guide &amp; Settings'!$C$48)+1)*'Guide &amp; Settings'!$C$49,0)))))</f>
        <v/>
      </c>
      <c r="AD942" s="142">
        <f t="shared" si="297"/>
        <v>0</v>
      </c>
      <c r="AE942">
        <f t="shared" si="298"/>
        <v>0</v>
      </c>
      <c r="AF942">
        <f t="shared" si="299"/>
        <v>0</v>
      </c>
    </row>
    <row r="943" spans="1:32" x14ac:dyDescent="0.2">
      <c r="A943" s="117"/>
      <c r="B943" s="118"/>
      <c r="C943" s="119"/>
      <c r="D943" s="119"/>
      <c r="E943" s="117"/>
      <c r="F943" s="120">
        <f t="shared" si="280"/>
        <v>0</v>
      </c>
      <c r="G943" s="121" t="str">
        <f t="shared" si="281"/>
        <v/>
      </c>
      <c r="H943" s="122">
        <f>IF($D943="",0,IFERROR(LOOKUP(2,1/(($D$3:D942=$D943)*($A$3:A942&lt;$A943)),$N$3:N942),'Guide &amp; Settings'!$C$41))</f>
        <v>0</v>
      </c>
      <c r="I943" s="123">
        <f t="shared" si="282"/>
        <v>0</v>
      </c>
      <c r="J943" s="124">
        <f>IF($D943="",0,IF($F943&lt;2,0,IF($E943="Win",('Guide &amp; Settings'!$C$42/(($F943-1)*COUNTIFS($A$4:$A$1510,$A943,$E$4:$E$1510,"Win")))*SUMIFS($X$4:$X$1510,$A$4:$A$1510,$A943,$E$4:$E$1510,"Loss"),-('Guide &amp; Settings'!$C$42/($F943-1))*$X943)))</f>
        <v>0</v>
      </c>
      <c r="K943" s="124">
        <f>IF($D943="",0,'Guide &amp; Settings'!$C$43*(IF($E943="Win",1,0)-$I943))</f>
        <v>0</v>
      </c>
      <c r="L943" s="125">
        <f>IF($D943="",0,'Guide &amp; Settings'!$C$44*IF($F943&gt;=3,$F943,0))</f>
        <v>0</v>
      </c>
      <c r="M943" s="124">
        <f t="shared" si="283"/>
        <v>0</v>
      </c>
      <c r="N943" s="122">
        <f t="shared" si="284"/>
        <v>0</v>
      </c>
      <c r="O943" s="121" t="str">
        <f t="shared" si="285"/>
        <v/>
      </c>
      <c r="P943">
        <f t="shared" si="286"/>
        <v>0</v>
      </c>
      <c r="Q943">
        <f t="shared" si="287"/>
        <v>0</v>
      </c>
      <c r="R943">
        <f t="shared" si="288"/>
        <v>0</v>
      </c>
      <c r="S943">
        <f t="shared" si="289"/>
        <v>0</v>
      </c>
      <c r="T943" s="89">
        <f t="shared" si="290"/>
        <v>0</v>
      </c>
      <c r="U943" s="126">
        <f>IF($D943="",0,IFERROR(LOOKUP(2,1/(($D$3:D942=$D943)*($C$3:C942=$C943)*($A$3:A942&lt;$A943)),$AB$3:AB942),1000))</f>
        <v>0</v>
      </c>
      <c r="V943" s="126">
        <f t="shared" si="291"/>
        <v>0</v>
      </c>
      <c r="W943">
        <f t="shared" si="292"/>
        <v>0</v>
      </c>
      <c r="X943">
        <f t="shared" si="293"/>
        <v>0</v>
      </c>
      <c r="Y943">
        <f t="shared" si="294"/>
        <v>0</v>
      </c>
      <c r="Z943">
        <f t="shared" si="295"/>
        <v>0</v>
      </c>
      <c r="AA943">
        <f>IF($D943="",0,IF($F943&lt;2,0,IF($E943="Win",('Guide &amp; Settings'!$C$42/(($F943-1)*COUNTIFS($A$4:$A$1510,$A943,$E$4:$E$1510,"Win")))*SUMIFS($Z$4:$Z$1510,$A$4:$A$1510,$A943,$E$4:$E$1510,"Loss"),-('Guide &amp; Settings'!$C$42/($F943-1))*$Z943)))</f>
        <v>0</v>
      </c>
      <c r="AB943" s="126">
        <f t="shared" si="296"/>
        <v>0</v>
      </c>
      <c r="AC943" t="str">
        <f>IF($D943="","",IF($AD943=0,0,IF(COUNTIFS($D$4:$D943,$D943,$B$4:$B943,$B943)&gt;1,0,IF($B943&lt;'Guide &amp; Settings'!$C$50,0,IF(($B943-$AD943)/7-'Guide &amp; Settings'!$C$48&gt;=0,(INT(($B943-$AD943)/7-'Guide &amp; Settings'!$C$48)+1)*'Guide &amp; Settings'!$C$49,0)))))</f>
        <v/>
      </c>
      <c r="AD943" s="142">
        <f t="shared" si="297"/>
        <v>0</v>
      </c>
      <c r="AE943">
        <f t="shared" si="298"/>
        <v>0</v>
      </c>
      <c r="AF943">
        <f t="shared" si="299"/>
        <v>0</v>
      </c>
    </row>
    <row r="944" spans="1:32" x14ac:dyDescent="0.2">
      <c r="A944" s="117"/>
      <c r="B944" s="118"/>
      <c r="C944" s="119"/>
      <c r="D944" s="119"/>
      <c r="E944" s="117"/>
      <c r="F944" s="120">
        <f t="shared" si="280"/>
        <v>0</v>
      </c>
      <c r="G944" s="121" t="str">
        <f t="shared" si="281"/>
        <v/>
      </c>
      <c r="H944" s="122">
        <f>IF($D944="",0,IFERROR(LOOKUP(2,1/(($D$3:D943=$D944)*($A$3:A943&lt;$A944)),$N$3:N943),'Guide &amp; Settings'!$C$41))</f>
        <v>0</v>
      </c>
      <c r="I944" s="123">
        <f t="shared" si="282"/>
        <v>0</v>
      </c>
      <c r="J944" s="124">
        <f>IF($D944="",0,IF($F944&lt;2,0,IF($E944="Win",('Guide &amp; Settings'!$C$42/(($F944-1)*COUNTIFS($A$4:$A$1510,$A944,$E$4:$E$1510,"Win")))*SUMIFS($X$4:$X$1510,$A$4:$A$1510,$A944,$E$4:$E$1510,"Loss"),-('Guide &amp; Settings'!$C$42/($F944-1))*$X944)))</f>
        <v>0</v>
      </c>
      <c r="K944" s="124">
        <f>IF($D944="",0,'Guide &amp; Settings'!$C$43*(IF($E944="Win",1,0)-$I944))</f>
        <v>0</v>
      </c>
      <c r="L944" s="125">
        <f>IF($D944="",0,'Guide &amp; Settings'!$C$44*IF($F944&gt;=3,$F944,0))</f>
        <v>0</v>
      </c>
      <c r="M944" s="124">
        <f t="shared" si="283"/>
        <v>0</v>
      </c>
      <c r="N944" s="122">
        <f t="shared" si="284"/>
        <v>0</v>
      </c>
      <c r="O944" s="121" t="str">
        <f t="shared" si="285"/>
        <v/>
      </c>
      <c r="P944">
        <f t="shared" si="286"/>
        <v>0</v>
      </c>
      <c r="Q944">
        <f t="shared" si="287"/>
        <v>0</v>
      </c>
      <c r="R944">
        <f t="shared" si="288"/>
        <v>0</v>
      </c>
      <c r="S944">
        <f t="shared" si="289"/>
        <v>0</v>
      </c>
      <c r="T944" s="89">
        <f t="shared" si="290"/>
        <v>0</v>
      </c>
      <c r="U944" s="126">
        <f>IF($D944="",0,IFERROR(LOOKUP(2,1/(($D$3:D943=$D944)*($C$3:C943=$C944)*($A$3:A943&lt;$A944)),$AB$3:AB943),1000))</f>
        <v>0</v>
      </c>
      <c r="V944" s="126">
        <f t="shared" si="291"/>
        <v>0</v>
      </c>
      <c r="W944">
        <f t="shared" si="292"/>
        <v>0</v>
      </c>
      <c r="X944">
        <f t="shared" si="293"/>
        <v>0</v>
      </c>
      <c r="Y944">
        <f t="shared" si="294"/>
        <v>0</v>
      </c>
      <c r="Z944">
        <f t="shared" si="295"/>
        <v>0</v>
      </c>
      <c r="AA944">
        <f>IF($D944="",0,IF($F944&lt;2,0,IF($E944="Win",('Guide &amp; Settings'!$C$42/(($F944-1)*COUNTIFS($A$4:$A$1510,$A944,$E$4:$E$1510,"Win")))*SUMIFS($Z$4:$Z$1510,$A$4:$A$1510,$A944,$E$4:$E$1510,"Loss"),-('Guide &amp; Settings'!$C$42/($F944-1))*$Z944)))</f>
        <v>0</v>
      </c>
      <c r="AB944" s="126">
        <f t="shared" si="296"/>
        <v>0</v>
      </c>
      <c r="AC944" t="str">
        <f>IF($D944="","",IF($AD944=0,0,IF(COUNTIFS($D$4:$D944,$D944,$B$4:$B944,$B944)&gt;1,0,IF($B944&lt;'Guide &amp; Settings'!$C$50,0,IF(($B944-$AD944)/7-'Guide &amp; Settings'!$C$48&gt;=0,(INT(($B944-$AD944)/7-'Guide &amp; Settings'!$C$48)+1)*'Guide &amp; Settings'!$C$49,0)))))</f>
        <v/>
      </c>
      <c r="AD944" s="142">
        <f t="shared" si="297"/>
        <v>0</v>
      </c>
      <c r="AE944">
        <f t="shared" si="298"/>
        <v>0</v>
      </c>
      <c r="AF944">
        <f t="shared" si="299"/>
        <v>0</v>
      </c>
    </row>
    <row r="945" spans="1:32" x14ac:dyDescent="0.2">
      <c r="A945" s="117"/>
      <c r="B945" s="118"/>
      <c r="C945" s="119"/>
      <c r="D945" s="119"/>
      <c r="E945" s="117"/>
      <c r="F945" s="120">
        <f t="shared" si="280"/>
        <v>0</v>
      </c>
      <c r="G945" s="121" t="str">
        <f t="shared" si="281"/>
        <v/>
      </c>
      <c r="H945" s="122">
        <f>IF($D945="",0,IFERROR(LOOKUP(2,1/(($D$3:D944=$D945)*($A$3:A944&lt;$A945)),$N$3:N944),'Guide &amp; Settings'!$C$41))</f>
        <v>0</v>
      </c>
      <c r="I945" s="123">
        <f t="shared" si="282"/>
        <v>0</v>
      </c>
      <c r="J945" s="124">
        <f>IF($D945="",0,IF($F945&lt;2,0,IF($E945="Win",('Guide &amp; Settings'!$C$42/(($F945-1)*COUNTIFS($A$4:$A$1510,$A945,$E$4:$E$1510,"Win")))*SUMIFS($X$4:$X$1510,$A$4:$A$1510,$A945,$E$4:$E$1510,"Loss"),-('Guide &amp; Settings'!$C$42/($F945-1))*$X945)))</f>
        <v>0</v>
      </c>
      <c r="K945" s="124">
        <f>IF($D945="",0,'Guide &amp; Settings'!$C$43*(IF($E945="Win",1,0)-$I945))</f>
        <v>0</v>
      </c>
      <c r="L945" s="125">
        <f>IF($D945="",0,'Guide &amp; Settings'!$C$44*IF($F945&gt;=3,$F945,0))</f>
        <v>0</v>
      </c>
      <c r="M945" s="124">
        <f t="shared" si="283"/>
        <v>0</v>
      </c>
      <c r="N945" s="122">
        <f t="shared" si="284"/>
        <v>0</v>
      </c>
      <c r="O945" s="121" t="str">
        <f t="shared" si="285"/>
        <v/>
      </c>
      <c r="P945">
        <f t="shared" si="286"/>
        <v>0</v>
      </c>
      <c r="Q945">
        <f t="shared" si="287"/>
        <v>0</v>
      </c>
      <c r="R945">
        <f t="shared" si="288"/>
        <v>0</v>
      </c>
      <c r="S945">
        <f t="shared" si="289"/>
        <v>0</v>
      </c>
      <c r="T945" s="89">
        <f t="shared" si="290"/>
        <v>0</v>
      </c>
      <c r="U945" s="126">
        <f>IF($D945="",0,IFERROR(LOOKUP(2,1/(($D$3:D944=$D945)*($C$3:C944=$C945)*($A$3:A944&lt;$A945)),$AB$3:AB944),1000))</f>
        <v>0</v>
      </c>
      <c r="V945" s="126">
        <f t="shared" si="291"/>
        <v>0</v>
      </c>
      <c r="W945">
        <f t="shared" si="292"/>
        <v>0</v>
      </c>
      <c r="X945">
        <f t="shared" si="293"/>
        <v>0</v>
      </c>
      <c r="Y945">
        <f t="shared" si="294"/>
        <v>0</v>
      </c>
      <c r="Z945">
        <f t="shared" si="295"/>
        <v>0</v>
      </c>
      <c r="AA945">
        <f>IF($D945="",0,IF($F945&lt;2,0,IF($E945="Win",('Guide &amp; Settings'!$C$42/(($F945-1)*COUNTIFS($A$4:$A$1510,$A945,$E$4:$E$1510,"Win")))*SUMIFS($Z$4:$Z$1510,$A$4:$A$1510,$A945,$E$4:$E$1510,"Loss"),-('Guide &amp; Settings'!$C$42/($F945-1))*$Z945)))</f>
        <v>0</v>
      </c>
      <c r="AB945" s="126">
        <f t="shared" si="296"/>
        <v>0</v>
      </c>
      <c r="AC945" t="str">
        <f>IF($D945="","",IF($AD945=0,0,IF(COUNTIFS($D$4:$D945,$D945,$B$4:$B945,$B945)&gt;1,0,IF($B945&lt;'Guide &amp; Settings'!$C$50,0,IF(($B945-$AD945)/7-'Guide &amp; Settings'!$C$48&gt;=0,(INT(($B945-$AD945)/7-'Guide &amp; Settings'!$C$48)+1)*'Guide &amp; Settings'!$C$49,0)))))</f>
        <v/>
      </c>
      <c r="AD945" s="142">
        <f t="shared" si="297"/>
        <v>0</v>
      </c>
      <c r="AE945">
        <f t="shared" si="298"/>
        <v>0</v>
      </c>
      <c r="AF945">
        <f t="shared" si="299"/>
        <v>0</v>
      </c>
    </row>
    <row r="946" spans="1:32" x14ac:dyDescent="0.2">
      <c r="A946" s="117"/>
      <c r="B946" s="118"/>
      <c r="C946" s="119"/>
      <c r="D946" s="119"/>
      <c r="E946" s="117"/>
      <c r="F946" s="120">
        <f t="shared" si="280"/>
        <v>0</v>
      </c>
      <c r="G946" s="121" t="str">
        <f t="shared" si="281"/>
        <v/>
      </c>
      <c r="H946" s="122">
        <f>IF($D946="",0,IFERROR(LOOKUP(2,1/(($D$3:D945=$D946)*($A$3:A945&lt;$A946)),$N$3:N945),'Guide &amp; Settings'!$C$41))</f>
        <v>0</v>
      </c>
      <c r="I946" s="123">
        <f t="shared" si="282"/>
        <v>0</v>
      </c>
      <c r="J946" s="124">
        <f>IF($D946="",0,IF($F946&lt;2,0,IF($E946="Win",('Guide &amp; Settings'!$C$42/(($F946-1)*COUNTIFS($A$4:$A$1510,$A946,$E$4:$E$1510,"Win")))*SUMIFS($X$4:$X$1510,$A$4:$A$1510,$A946,$E$4:$E$1510,"Loss"),-('Guide &amp; Settings'!$C$42/($F946-1))*$X946)))</f>
        <v>0</v>
      </c>
      <c r="K946" s="124">
        <f>IF($D946="",0,'Guide &amp; Settings'!$C$43*(IF($E946="Win",1,0)-$I946))</f>
        <v>0</v>
      </c>
      <c r="L946" s="125">
        <f>IF($D946="",0,'Guide &amp; Settings'!$C$44*IF($F946&gt;=3,$F946,0))</f>
        <v>0</v>
      </c>
      <c r="M946" s="124">
        <f t="shared" si="283"/>
        <v>0</v>
      </c>
      <c r="N946" s="122">
        <f t="shared" si="284"/>
        <v>0</v>
      </c>
      <c r="O946" s="121" t="str">
        <f t="shared" si="285"/>
        <v/>
      </c>
      <c r="P946">
        <f t="shared" si="286"/>
        <v>0</v>
      </c>
      <c r="Q946">
        <f t="shared" si="287"/>
        <v>0</v>
      </c>
      <c r="R946">
        <f t="shared" si="288"/>
        <v>0</v>
      </c>
      <c r="S946">
        <f t="shared" si="289"/>
        <v>0</v>
      </c>
      <c r="T946" s="89">
        <f t="shared" si="290"/>
        <v>0</v>
      </c>
      <c r="U946" s="126">
        <f>IF($D946="",0,IFERROR(LOOKUP(2,1/(($D$3:D945=$D946)*($C$3:C945=$C946)*($A$3:A945&lt;$A946)),$AB$3:AB945),1000))</f>
        <v>0</v>
      </c>
      <c r="V946" s="126">
        <f t="shared" si="291"/>
        <v>0</v>
      </c>
      <c r="W946">
        <f t="shared" si="292"/>
        <v>0</v>
      </c>
      <c r="X946">
        <f t="shared" si="293"/>
        <v>0</v>
      </c>
      <c r="Y946">
        <f t="shared" si="294"/>
        <v>0</v>
      </c>
      <c r="Z946">
        <f t="shared" si="295"/>
        <v>0</v>
      </c>
      <c r="AA946">
        <f>IF($D946="",0,IF($F946&lt;2,0,IF($E946="Win",('Guide &amp; Settings'!$C$42/(($F946-1)*COUNTIFS($A$4:$A$1510,$A946,$E$4:$E$1510,"Win")))*SUMIFS($Z$4:$Z$1510,$A$4:$A$1510,$A946,$E$4:$E$1510,"Loss"),-('Guide &amp; Settings'!$C$42/($F946-1))*$Z946)))</f>
        <v>0</v>
      </c>
      <c r="AB946" s="126">
        <f t="shared" si="296"/>
        <v>0</v>
      </c>
      <c r="AC946" t="str">
        <f>IF($D946="","",IF($AD946=0,0,IF(COUNTIFS($D$4:$D946,$D946,$B$4:$B946,$B946)&gt;1,0,IF($B946&lt;'Guide &amp; Settings'!$C$50,0,IF(($B946-$AD946)/7-'Guide &amp; Settings'!$C$48&gt;=0,(INT(($B946-$AD946)/7-'Guide &amp; Settings'!$C$48)+1)*'Guide &amp; Settings'!$C$49,0)))))</f>
        <v/>
      </c>
      <c r="AD946" s="142">
        <f t="shared" si="297"/>
        <v>0</v>
      </c>
      <c r="AE946">
        <f t="shared" si="298"/>
        <v>0</v>
      </c>
      <c r="AF946">
        <f t="shared" si="299"/>
        <v>0</v>
      </c>
    </row>
    <row r="947" spans="1:32" x14ac:dyDescent="0.2">
      <c r="A947" s="117"/>
      <c r="B947" s="118"/>
      <c r="C947" s="119"/>
      <c r="D947" s="119"/>
      <c r="E947" s="117"/>
      <c r="F947" s="120">
        <f t="shared" si="280"/>
        <v>0</v>
      </c>
      <c r="G947" s="121" t="str">
        <f t="shared" si="281"/>
        <v/>
      </c>
      <c r="H947" s="122">
        <f>IF($D947="",0,IFERROR(LOOKUP(2,1/(($D$3:D946=$D947)*($A$3:A946&lt;$A947)),$N$3:N946),'Guide &amp; Settings'!$C$41))</f>
        <v>0</v>
      </c>
      <c r="I947" s="123">
        <f t="shared" si="282"/>
        <v>0</v>
      </c>
      <c r="J947" s="124">
        <f>IF($D947="",0,IF($F947&lt;2,0,IF($E947="Win",('Guide &amp; Settings'!$C$42/(($F947-1)*COUNTIFS($A$4:$A$1510,$A947,$E$4:$E$1510,"Win")))*SUMIFS($X$4:$X$1510,$A$4:$A$1510,$A947,$E$4:$E$1510,"Loss"),-('Guide &amp; Settings'!$C$42/($F947-1))*$X947)))</f>
        <v>0</v>
      </c>
      <c r="K947" s="124">
        <f>IF($D947="",0,'Guide &amp; Settings'!$C$43*(IF($E947="Win",1,0)-$I947))</f>
        <v>0</v>
      </c>
      <c r="L947" s="125">
        <f>IF($D947="",0,'Guide &amp; Settings'!$C$44*IF($F947&gt;=3,$F947,0))</f>
        <v>0</v>
      </c>
      <c r="M947" s="124">
        <f t="shared" si="283"/>
        <v>0</v>
      </c>
      <c r="N947" s="122">
        <f t="shared" si="284"/>
        <v>0</v>
      </c>
      <c r="O947" s="121" t="str">
        <f t="shared" si="285"/>
        <v/>
      </c>
      <c r="P947">
        <f t="shared" si="286"/>
        <v>0</v>
      </c>
      <c r="Q947">
        <f t="shared" si="287"/>
        <v>0</v>
      </c>
      <c r="R947">
        <f t="shared" si="288"/>
        <v>0</v>
      </c>
      <c r="S947">
        <f t="shared" si="289"/>
        <v>0</v>
      </c>
      <c r="T947" s="89">
        <f t="shared" si="290"/>
        <v>0</v>
      </c>
      <c r="U947" s="126">
        <f>IF($D947="",0,IFERROR(LOOKUP(2,1/(($D$3:D946=$D947)*($C$3:C946=$C947)*($A$3:A946&lt;$A947)),$AB$3:AB946),1000))</f>
        <v>0</v>
      </c>
      <c r="V947" s="126">
        <f t="shared" si="291"/>
        <v>0</v>
      </c>
      <c r="W947">
        <f t="shared" si="292"/>
        <v>0</v>
      </c>
      <c r="X947">
        <f t="shared" si="293"/>
        <v>0</v>
      </c>
      <c r="Y947">
        <f t="shared" si="294"/>
        <v>0</v>
      </c>
      <c r="Z947">
        <f t="shared" si="295"/>
        <v>0</v>
      </c>
      <c r="AA947">
        <f>IF($D947="",0,IF($F947&lt;2,0,IF($E947="Win",('Guide &amp; Settings'!$C$42/(($F947-1)*COUNTIFS($A$4:$A$1510,$A947,$E$4:$E$1510,"Win")))*SUMIFS($Z$4:$Z$1510,$A$4:$A$1510,$A947,$E$4:$E$1510,"Loss"),-('Guide &amp; Settings'!$C$42/($F947-1))*$Z947)))</f>
        <v>0</v>
      </c>
      <c r="AB947" s="126">
        <f t="shared" si="296"/>
        <v>0</v>
      </c>
      <c r="AC947" t="str">
        <f>IF($D947="","",IF($AD947=0,0,IF(COUNTIFS($D$4:$D947,$D947,$B$4:$B947,$B947)&gt;1,0,IF($B947&lt;'Guide &amp; Settings'!$C$50,0,IF(($B947-$AD947)/7-'Guide &amp; Settings'!$C$48&gt;=0,(INT(($B947-$AD947)/7-'Guide &amp; Settings'!$C$48)+1)*'Guide &amp; Settings'!$C$49,0)))))</f>
        <v/>
      </c>
      <c r="AD947" s="142">
        <f t="shared" si="297"/>
        <v>0</v>
      </c>
      <c r="AE947">
        <f t="shared" si="298"/>
        <v>0</v>
      </c>
      <c r="AF947">
        <f t="shared" si="299"/>
        <v>0</v>
      </c>
    </row>
    <row r="948" spans="1:32" x14ac:dyDescent="0.2">
      <c r="A948" s="117"/>
      <c r="B948" s="118"/>
      <c r="C948" s="119"/>
      <c r="D948" s="119"/>
      <c r="E948" s="117"/>
      <c r="F948" s="120">
        <f t="shared" si="280"/>
        <v>0</v>
      </c>
      <c r="G948" s="121" t="str">
        <f t="shared" si="281"/>
        <v/>
      </c>
      <c r="H948" s="122">
        <f>IF($D948="",0,IFERROR(LOOKUP(2,1/(($D$3:D947=$D948)*($A$3:A947&lt;$A948)),$N$3:N947),'Guide &amp; Settings'!$C$41))</f>
        <v>0</v>
      </c>
      <c r="I948" s="123">
        <f t="shared" si="282"/>
        <v>0</v>
      </c>
      <c r="J948" s="124">
        <f>IF($D948="",0,IF($F948&lt;2,0,IF($E948="Win",('Guide &amp; Settings'!$C$42/(($F948-1)*COUNTIFS($A$4:$A$1510,$A948,$E$4:$E$1510,"Win")))*SUMIFS($X$4:$X$1510,$A$4:$A$1510,$A948,$E$4:$E$1510,"Loss"),-('Guide &amp; Settings'!$C$42/($F948-1))*$X948)))</f>
        <v>0</v>
      </c>
      <c r="K948" s="124">
        <f>IF($D948="",0,'Guide &amp; Settings'!$C$43*(IF($E948="Win",1,0)-$I948))</f>
        <v>0</v>
      </c>
      <c r="L948" s="125">
        <f>IF($D948="",0,'Guide &amp; Settings'!$C$44*IF($F948&gt;=3,$F948,0))</f>
        <v>0</v>
      </c>
      <c r="M948" s="124">
        <f t="shared" si="283"/>
        <v>0</v>
      </c>
      <c r="N948" s="122">
        <f t="shared" si="284"/>
        <v>0</v>
      </c>
      <c r="O948" s="121" t="str">
        <f t="shared" si="285"/>
        <v/>
      </c>
      <c r="P948">
        <f t="shared" si="286"/>
        <v>0</v>
      </c>
      <c r="Q948">
        <f t="shared" si="287"/>
        <v>0</v>
      </c>
      <c r="R948">
        <f t="shared" si="288"/>
        <v>0</v>
      </c>
      <c r="S948">
        <f t="shared" si="289"/>
        <v>0</v>
      </c>
      <c r="T948" s="89">
        <f t="shared" si="290"/>
        <v>0</v>
      </c>
      <c r="U948" s="126">
        <f>IF($D948="",0,IFERROR(LOOKUP(2,1/(($D$3:D947=$D948)*($C$3:C947=$C948)*($A$3:A947&lt;$A948)),$AB$3:AB947),1000))</f>
        <v>0</v>
      </c>
      <c r="V948" s="126">
        <f t="shared" si="291"/>
        <v>0</v>
      </c>
      <c r="W948">
        <f t="shared" si="292"/>
        <v>0</v>
      </c>
      <c r="X948">
        <f t="shared" si="293"/>
        <v>0</v>
      </c>
      <c r="Y948">
        <f t="shared" si="294"/>
        <v>0</v>
      </c>
      <c r="Z948">
        <f t="shared" si="295"/>
        <v>0</v>
      </c>
      <c r="AA948">
        <f>IF($D948="",0,IF($F948&lt;2,0,IF($E948="Win",('Guide &amp; Settings'!$C$42/(($F948-1)*COUNTIFS($A$4:$A$1510,$A948,$E$4:$E$1510,"Win")))*SUMIFS($Z$4:$Z$1510,$A$4:$A$1510,$A948,$E$4:$E$1510,"Loss"),-('Guide &amp; Settings'!$C$42/($F948-1))*$Z948)))</f>
        <v>0</v>
      </c>
      <c r="AB948" s="126">
        <f t="shared" si="296"/>
        <v>0</v>
      </c>
      <c r="AC948" t="str">
        <f>IF($D948="","",IF($AD948=0,0,IF(COUNTIFS($D$4:$D948,$D948,$B$4:$B948,$B948)&gt;1,0,IF($B948&lt;'Guide &amp; Settings'!$C$50,0,IF(($B948-$AD948)/7-'Guide &amp; Settings'!$C$48&gt;=0,(INT(($B948-$AD948)/7-'Guide &amp; Settings'!$C$48)+1)*'Guide &amp; Settings'!$C$49,0)))))</f>
        <v/>
      </c>
      <c r="AD948" s="142">
        <f t="shared" si="297"/>
        <v>0</v>
      </c>
      <c r="AE948">
        <f t="shared" si="298"/>
        <v>0</v>
      </c>
      <c r="AF948">
        <f t="shared" si="299"/>
        <v>0</v>
      </c>
    </row>
    <row r="949" spans="1:32" x14ac:dyDescent="0.2">
      <c r="A949" s="117"/>
      <c r="B949" s="118"/>
      <c r="C949" s="119"/>
      <c r="D949" s="119"/>
      <c r="E949" s="117"/>
      <c r="F949" s="120">
        <f t="shared" si="280"/>
        <v>0</v>
      </c>
      <c r="G949" s="121" t="str">
        <f t="shared" si="281"/>
        <v/>
      </c>
      <c r="H949" s="122">
        <f>IF($D949="",0,IFERROR(LOOKUP(2,1/(($D$3:D948=$D949)*($A$3:A948&lt;$A949)),$N$3:N948),'Guide &amp; Settings'!$C$41))</f>
        <v>0</v>
      </c>
      <c r="I949" s="123">
        <f t="shared" si="282"/>
        <v>0</v>
      </c>
      <c r="J949" s="124">
        <f>IF($D949="",0,IF($F949&lt;2,0,IF($E949="Win",('Guide &amp; Settings'!$C$42/(($F949-1)*COUNTIFS($A$4:$A$1510,$A949,$E$4:$E$1510,"Win")))*SUMIFS($X$4:$X$1510,$A$4:$A$1510,$A949,$E$4:$E$1510,"Loss"),-('Guide &amp; Settings'!$C$42/($F949-1))*$X949)))</f>
        <v>0</v>
      </c>
      <c r="K949" s="124">
        <f>IF($D949="",0,'Guide &amp; Settings'!$C$43*(IF($E949="Win",1,0)-$I949))</f>
        <v>0</v>
      </c>
      <c r="L949" s="125">
        <f>IF($D949="",0,'Guide &amp; Settings'!$C$44*IF($F949&gt;=3,$F949,0))</f>
        <v>0</v>
      </c>
      <c r="M949" s="124">
        <f t="shared" si="283"/>
        <v>0</v>
      </c>
      <c r="N949" s="122">
        <f t="shared" si="284"/>
        <v>0</v>
      </c>
      <c r="O949" s="121" t="str">
        <f t="shared" si="285"/>
        <v/>
      </c>
      <c r="P949">
        <f t="shared" si="286"/>
        <v>0</v>
      </c>
      <c r="Q949">
        <f t="shared" si="287"/>
        <v>0</v>
      </c>
      <c r="R949">
        <f t="shared" si="288"/>
        <v>0</v>
      </c>
      <c r="S949">
        <f t="shared" si="289"/>
        <v>0</v>
      </c>
      <c r="T949" s="89">
        <f t="shared" si="290"/>
        <v>0</v>
      </c>
      <c r="U949" s="126">
        <f>IF($D949="",0,IFERROR(LOOKUP(2,1/(($D$3:D948=$D949)*($C$3:C948=$C949)*($A$3:A948&lt;$A949)),$AB$3:AB948),1000))</f>
        <v>0</v>
      </c>
      <c r="V949" s="126">
        <f t="shared" si="291"/>
        <v>0</v>
      </c>
      <c r="W949">
        <f t="shared" si="292"/>
        <v>0</v>
      </c>
      <c r="X949">
        <f t="shared" si="293"/>
        <v>0</v>
      </c>
      <c r="Y949">
        <f t="shared" si="294"/>
        <v>0</v>
      </c>
      <c r="Z949">
        <f t="shared" si="295"/>
        <v>0</v>
      </c>
      <c r="AA949">
        <f>IF($D949="",0,IF($F949&lt;2,0,IF($E949="Win",('Guide &amp; Settings'!$C$42/(($F949-1)*COUNTIFS($A$4:$A$1510,$A949,$E$4:$E$1510,"Win")))*SUMIFS($Z$4:$Z$1510,$A$4:$A$1510,$A949,$E$4:$E$1510,"Loss"),-('Guide &amp; Settings'!$C$42/($F949-1))*$Z949)))</f>
        <v>0</v>
      </c>
      <c r="AB949" s="126">
        <f t="shared" si="296"/>
        <v>0</v>
      </c>
      <c r="AC949" t="str">
        <f>IF($D949="","",IF($AD949=0,0,IF(COUNTIFS($D$4:$D949,$D949,$B$4:$B949,$B949)&gt;1,0,IF($B949&lt;'Guide &amp; Settings'!$C$50,0,IF(($B949-$AD949)/7-'Guide &amp; Settings'!$C$48&gt;=0,(INT(($B949-$AD949)/7-'Guide &amp; Settings'!$C$48)+1)*'Guide &amp; Settings'!$C$49,0)))))</f>
        <v/>
      </c>
      <c r="AD949" s="142">
        <f t="shared" si="297"/>
        <v>0</v>
      </c>
      <c r="AE949">
        <f t="shared" si="298"/>
        <v>0</v>
      </c>
      <c r="AF949">
        <f t="shared" si="299"/>
        <v>0</v>
      </c>
    </row>
    <row r="950" spans="1:32" x14ac:dyDescent="0.2">
      <c r="A950" s="117"/>
      <c r="B950" s="118"/>
      <c r="C950" s="119"/>
      <c r="D950" s="119"/>
      <c r="E950" s="117"/>
      <c r="F950" s="120">
        <f t="shared" si="280"/>
        <v>0</v>
      </c>
      <c r="G950" s="121" t="str">
        <f t="shared" si="281"/>
        <v/>
      </c>
      <c r="H950" s="122">
        <f>IF($D950="",0,IFERROR(LOOKUP(2,1/(($D$3:D949=$D950)*($A$3:A949&lt;$A950)),$N$3:N949),'Guide &amp; Settings'!$C$41))</f>
        <v>0</v>
      </c>
      <c r="I950" s="123">
        <f t="shared" si="282"/>
        <v>0</v>
      </c>
      <c r="J950" s="124">
        <f>IF($D950="",0,IF($F950&lt;2,0,IF($E950="Win",('Guide &amp; Settings'!$C$42/(($F950-1)*COUNTIFS($A$4:$A$1510,$A950,$E$4:$E$1510,"Win")))*SUMIFS($X$4:$X$1510,$A$4:$A$1510,$A950,$E$4:$E$1510,"Loss"),-('Guide &amp; Settings'!$C$42/($F950-1))*$X950)))</f>
        <v>0</v>
      </c>
      <c r="K950" s="124">
        <f>IF($D950="",0,'Guide &amp; Settings'!$C$43*(IF($E950="Win",1,0)-$I950))</f>
        <v>0</v>
      </c>
      <c r="L950" s="125">
        <f>IF($D950="",0,'Guide &amp; Settings'!$C$44*IF($F950&gt;=3,$F950,0))</f>
        <v>0</v>
      </c>
      <c r="M950" s="124">
        <f t="shared" si="283"/>
        <v>0</v>
      </c>
      <c r="N950" s="122">
        <f t="shared" si="284"/>
        <v>0</v>
      </c>
      <c r="O950" s="121" t="str">
        <f t="shared" si="285"/>
        <v/>
      </c>
      <c r="P950">
        <f t="shared" si="286"/>
        <v>0</v>
      </c>
      <c r="Q950">
        <f t="shared" si="287"/>
        <v>0</v>
      </c>
      <c r="R950">
        <f t="shared" si="288"/>
        <v>0</v>
      </c>
      <c r="S950">
        <f t="shared" si="289"/>
        <v>0</v>
      </c>
      <c r="T950" s="89">
        <f t="shared" si="290"/>
        <v>0</v>
      </c>
      <c r="U950" s="126">
        <f>IF($D950="",0,IFERROR(LOOKUP(2,1/(($D$3:D949=$D950)*($C$3:C949=$C950)*($A$3:A949&lt;$A950)),$AB$3:AB949),1000))</f>
        <v>0</v>
      </c>
      <c r="V950" s="126">
        <f t="shared" si="291"/>
        <v>0</v>
      </c>
      <c r="W950">
        <f t="shared" si="292"/>
        <v>0</v>
      </c>
      <c r="X950">
        <f t="shared" si="293"/>
        <v>0</v>
      </c>
      <c r="Y950">
        <f t="shared" si="294"/>
        <v>0</v>
      </c>
      <c r="Z950">
        <f t="shared" si="295"/>
        <v>0</v>
      </c>
      <c r="AA950">
        <f>IF($D950="",0,IF($F950&lt;2,0,IF($E950="Win",('Guide &amp; Settings'!$C$42/(($F950-1)*COUNTIFS($A$4:$A$1510,$A950,$E$4:$E$1510,"Win")))*SUMIFS($Z$4:$Z$1510,$A$4:$A$1510,$A950,$E$4:$E$1510,"Loss"),-('Guide &amp; Settings'!$C$42/($F950-1))*$Z950)))</f>
        <v>0</v>
      </c>
      <c r="AB950" s="126">
        <f t="shared" si="296"/>
        <v>0</v>
      </c>
      <c r="AC950" t="str">
        <f>IF($D950="","",IF($AD950=0,0,IF(COUNTIFS($D$4:$D950,$D950,$B$4:$B950,$B950)&gt;1,0,IF($B950&lt;'Guide &amp; Settings'!$C$50,0,IF(($B950-$AD950)/7-'Guide &amp; Settings'!$C$48&gt;=0,(INT(($B950-$AD950)/7-'Guide &amp; Settings'!$C$48)+1)*'Guide &amp; Settings'!$C$49,0)))))</f>
        <v/>
      </c>
      <c r="AD950" s="142">
        <f t="shared" si="297"/>
        <v>0</v>
      </c>
      <c r="AE950">
        <f t="shared" si="298"/>
        <v>0</v>
      </c>
      <c r="AF950">
        <f t="shared" si="299"/>
        <v>0</v>
      </c>
    </row>
    <row r="951" spans="1:32" x14ac:dyDescent="0.2">
      <c r="A951" s="117"/>
      <c r="B951" s="118"/>
      <c r="C951" s="119"/>
      <c r="D951" s="119"/>
      <c r="E951" s="117"/>
      <c r="F951" s="120">
        <f t="shared" si="280"/>
        <v>0</v>
      </c>
      <c r="G951" s="121" t="str">
        <f t="shared" si="281"/>
        <v/>
      </c>
      <c r="H951" s="122">
        <f>IF($D951="",0,IFERROR(LOOKUP(2,1/(($D$3:D950=$D951)*($A$3:A950&lt;$A951)),$N$3:N950),'Guide &amp; Settings'!$C$41))</f>
        <v>0</v>
      </c>
      <c r="I951" s="123">
        <f t="shared" si="282"/>
        <v>0</v>
      </c>
      <c r="J951" s="124">
        <f>IF($D951="",0,IF($F951&lt;2,0,IF($E951="Win",('Guide &amp; Settings'!$C$42/(($F951-1)*COUNTIFS($A$4:$A$1510,$A951,$E$4:$E$1510,"Win")))*SUMIFS($X$4:$X$1510,$A$4:$A$1510,$A951,$E$4:$E$1510,"Loss"),-('Guide &amp; Settings'!$C$42/($F951-1))*$X951)))</f>
        <v>0</v>
      </c>
      <c r="K951" s="124">
        <f>IF($D951="",0,'Guide &amp; Settings'!$C$43*(IF($E951="Win",1,0)-$I951))</f>
        <v>0</v>
      </c>
      <c r="L951" s="125">
        <f>IF($D951="",0,'Guide &amp; Settings'!$C$44*IF($F951&gt;=3,$F951,0))</f>
        <v>0</v>
      </c>
      <c r="M951" s="124">
        <f t="shared" si="283"/>
        <v>0</v>
      </c>
      <c r="N951" s="122">
        <f t="shared" si="284"/>
        <v>0</v>
      </c>
      <c r="O951" s="121" t="str">
        <f t="shared" si="285"/>
        <v/>
      </c>
      <c r="P951">
        <f t="shared" si="286"/>
        <v>0</v>
      </c>
      <c r="Q951">
        <f t="shared" si="287"/>
        <v>0</v>
      </c>
      <c r="R951">
        <f t="shared" si="288"/>
        <v>0</v>
      </c>
      <c r="S951">
        <f t="shared" si="289"/>
        <v>0</v>
      </c>
      <c r="T951" s="89">
        <f t="shared" si="290"/>
        <v>0</v>
      </c>
      <c r="U951" s="126">
        <f>IF($D951="",0,IFERROR(LOOKUP(2,1/(($D$3:D950=$D951)*($C$3:C950=$C951)*($A$3:A950&lt;$A951)),$AB$3:AB950),1000))</f>
        <v>0</v>
      </c>
      <c r="V951" s="126">
        <f t="shared" si="291"/>
        <v>0</v>
      </c>
      <c r="W951">
        <f t="shared" si="292"/>
        <v>0</v>
      </c>
      <c r="X951">
        <f t="shared" si="293"/>
        <v>0</v>
      </c>
      <c r="Y951">
        <f t="shared" si="294"/>
        <v>0</v>
      </c>
      <c r="Z951">
        <f t="shared" si="295"/>
        <v>0</v>
      </c>
      <c r="AA951">
        <f>IF($D951="",0,IF($F951&lt;2,0,IF($E951="Win",('Guide &amp; Settings'!$C$42/(($F951-1)*COUNTIFS($A$4:$A$1510,$A951,$E$4:$E$1510,"Win")))*SUMIFS($Z$4:$Z$1510,$A$4:$A$1510,$A951,$E$4:$E$1510,"Loss"),-('Guide &amp; Settings'!$C$42/($F951-1))*$Z951)))</f>
        <v>0</v>
      </c>
      <c r="AB951" s="126">
        <f t="shared" si="296"/>
        <v>0</v>
      </c>
      <c r="AC951" t="str">
        <f>IF($D951="","",IF($AD951=0,0,IF(COUNTIFS($D$4:$D951,$D951,$B$4:$B951,$B951)&gt;1,0,IF($B951&lt;'Guide &amp; Settings'!$C$50,0,IF(($B951-$AD951)/7-'Guide &amp; Settings'!$C$48&gt;=0,(INT(($B951-$AD951)/7-'Guide &amp; Settings'!$C$48)+1)*'Guide &amp; Settings'!$C$49,0)))))</f>
        <v/>
      </c>
      <c r="AD951" s="142">
        <f t="shared" si="297"/>
        <v>0</v>
      </c>
      <c r="AE951">
        <f t="shared" si="298"/>
        <v>0</v>
      </c>
      <c r="AF951">
        <f t="shared" si="299"/>
        <v>0</v>
      </c>
    </row>
    <row r="952" spans="1:32" x14ac:dyDescent="0.2">
      <c r="A952" s="117"/>
      <c r="B952" s="118"/>
      <c r="C952" s="119"/>
      <c r="D952" s="119"/>
      <c r="E952" s="117"/>
      <c r="F952" s="120">
        <f t="shared" si="280"/>
        <v>0</v>
      </c>
      <c r="G952" s="121" t="str">
        <f t="shared" si="281"/>
        <v/>
      </c>
      <c r="H952" s="122">
        <f>IF($D952="",0,IFERROR(LOOKUP(2,1/(($D$3:D951=$D952)*($A$3:A951&lt;$A952)),$N$3:N951),'Guide &amp; Settings'!$C$41))</f>
        <v>0</v>
      </c>
      <c r="I952" s="123">
        <f t="shared" si="282"/>
        <v>0</v>
      </c>
      <c r="J952" s="124">
        <f>IF($D952="",0,IF($F952&lt;2,0,IF($E952="Win",('Guide &amp; Settings'!$C$42/(($F952-1)*COUNTIFS($A$4:$A$1510,$A952,$E$4:$E$1510,"Win")))*SUMIFS($X$4:$X$1510,$A$4:$A$1510,$A952,$E$4:$E$1510,"Loss"),-('Guide &amp; Settings'!$C$42/($F952-1))*$X952)))</f>
        <v>0</v>
      </c>
      <c r="K952" s="124">
        <f>IF($D952="",0,'Guide &amp; Settings'!$C$43*(IF($E952="Win",1,0)-$I952))</f>
        <v>0</v>
      </c>
      <c r="L952" s="125">
        <f>IF($D952="",0,'Guide &amp; Settings'!$C$44*IF($F952&gt;=3,$F952,0))</f>
        <v>0</v>
      </c>
      <c r="M952" s="124">
        <f t="shared" si="283"/>
        <v>0</v>
      </c>
      <c r="N952" s="122">
        <f t="shared" si="284"/>
        <v>0</v>
      </c>
      <c r="O952" s="121" t="str">
        <f t="shared" si="285"/>
        <v/>
      </c>
      <c r="P952">
        <f t="shared" si="286"/>
        <v>0</v>
      </c>
      <c r="Q952">
        <f t="shared" si="287"/>
        <v>0</v>
      </c>
      <c r="R952">
        <f t="shared" si="288"/>
        <v>0</v>
      </c>
      <c r="S952">
        <f t="shared" si="289"/>
        <v>0</v>
      </c>
      <c r="T952" s="89">
        <f t="shared" si="290"/>
        <v>0</v>
      </c>
      <c r="U952" s="126">
        <f>IF($D952="",0,IFERROR(LOOKUP(2,1/(($D$3:D951=$D952)*($C$3:C951=$C952)*($A$3:A951&lt;$A952)),$AB$3:AB951),1000))</f>
        <v>0</v>
      </c>
      <c r="V952" s="126">
        <f t="shared" si="291"/>
        <v>0</v>
      </c>
      <c r="W952">
        <f t="shared" si="292"/>
        <v>0</v>
      </c>
      <c r="X952">
        <f t="shared" si="293"/>
        <v>0</v>
      </c>
      <c r="Y952">
        <f t="shared" si="294"/>
        <v>0</v>
      </c>
      <c r="Z952">
        <f t="shared" si="295"/>
        <v>0</v>
      </c>
      <c r="AA952">
        <f>IF($D952="",0,IF($F952&lt;2,0,IF($E952="Win",('Guide &amp; Settings'!$C$42/(($F952-1)*COUNTIFS($A$4:$A$1510,$A952,$E$4:$E$1510,"Win")))*SUMIFS($Z$4:$Z$1510,$A$4:$A$1510,$A952,$E$4:$E$1510,"Loss"),-('Guide &amp; Settings'!$C$42/($F952-1))*$Z952)))</f>
        <v>0</v>
      </c>
      <c r="AB952" s="126">
        <f t="shared" si="296"/>
        <v>0</v>
      </c>
      <c r="AC952" t="str">
        <f>IF($D952="","",IF($AD952=0,0,IF(COUNTIFS($D$4:$D952,$D952,$B$4:$B952,$B952)&gt;1,0,IF($B952&lt;'Guide &amp; Settings'!$C$50,0,IF(($B952-$AD952)/7-'Guide &amp; Settings'!$C$48&gt;=0,(INT(($B952-$AD952)/7-'Guide &amp; Settings'!$C$48)+1)*'Guide &amp; Settings'!$C$49,0)))))</f>
        <v/>
      </c>
      <c r="AD952" s="142">
        <f t="shared" si="297"/>
        <v>0</v>
      </c>
      <c r="AE952">
        <f t="shared" si="298"/>
        <v>0</v>
      </c>
      <c r="AF952">
        <f t="shared" si="299"/>
        <v>0</v>
      </c>
    </row>
    <row r="953" spans="1:32" x14ac:dyDescent="0.2">
      <c r="A953" s="117"/>
      <c r="B953" s="118"/>
      <c r="C953" s="119"/>
      <c r="D953" s="119"/>
      <c r="E953" s="117"/>
      <c r="F953" s="120">
        <f t="shared" si="280"/>
        <v>0</v>
      </c>
      <c r="G953" s="121" t="str">
        <f t="shared" si="281"/>
        <v/>
      </c>
      <c r="H953" s="122">
        <f>IF($D953="",0,IFERROR(LOOKUP(2,1/(($D$3:D952=$D953)*($A$3:A952&lt;$A953)),$N$3:N952),'Guide &amp; Settings'!$C$41))</f>
        <v>0</v>
      </c>
      <c r="I953" s="123">
        <f t="shared" si="282"/>
        <v>0</v>
      </c>
      <c r="J953" s="124">
        <f>IF($D953="",0,IF($F953&lt;2,0,IF($E953="Win",('Guide &amp; Settings'!$C$42/(($F953-1)*COUNTIFS($A$4:$A$1510,$A953,$E$4:$E$1510,"Win")))*SUMIFS($X$4:$X$1510,$A$4:$A$1510,$A953,$E$4:$E$1510,"Loss"),-('Guide &amp; Settings'!$C$42/($F953-1))*$X953)))</f>
        <v>0</v>
      </c>
      <c r="K953" s="124">
        <f>IF($D953="",0,'Guide &amp; Settings'!$C$43*(IF($E953="Win",1,0)-$I953))</f>
        <v>0</v>
      </c>
      <c r="L953" s="125">
        <f>IF($D953="",0,'Guide &amp; Settings'!$C$44*IF($F953&gt;=3,$F953,0))</f>
        <v>0</v>
      </c>
      <c r="M953" s="124">
        <f t="shared" si="283"/>
        <v>0</v>
      </c>
      <c r="N953" s="122">
        <f t="shared" si="284"/>
        <v>0</v>
      </c>
      <c r="O953" s="121" t="str">
        <f t="shared" si="285"/>
        <v/>
      </c>
      <c r="P953">
        <f t="shared" si="286"/>
        <v>0</v>
      </c>
      <c r="Q953">
        <f t="shared" si="287"/>
        <v>0</v>
      </c>
      <c r="R953">
        <f t="shared" si="288"/>
        <v>0</v>
      </c>
      <c r="S953">
        <f t="shared" si="289"/>
        <v>0</v>
      </c>
      <c r="T953" s="89">
        <f t="shared" si="290"/>
        <v>0</v>
      </c>
      <c r="U953" s="126">
        <f>IF($D953="",0,IFERROR(LOOKUP(2,1/(($D$3:D952=$D953)*($C$3:C952=$C953)*($A$3:A952&lt;$A953)),$AB$3:AB952),1000))</f>
        <v>0</v>
      </c>
      <c r="V953" s="126">
        <f t="shared" si="291"/>
        <v>0</v>
      </c>
      <c r="W953">
        <f t="shared" si="292"/>
        <v>0</v>
      </c>
      <c r="X953">
        <f t="shared" si="293"/>
        <v>0</v>
      </c>
      <c r="Y953">
        <f t="shared" si="294"/>
        <v>0</v>
      </c>
      <c r="Z953">
        <f t="shared" si="295"/>
        <v>0</v>
      </c>
      <c r="AA953">
        <f>IF($D953="",0,IF($F953&lt;2,0,IF($E953="Win",('Guide &amp; Settings'!$C$42/(($F953-1)*COUNTIFS($A$4:$A$1510,$A953,$E$4:$E$1510,"Win")))*SUMIFS($Z$4:$Z$1510,$A$4:$A$1510,$A953,$E$4:$E$1510,"Loss"),-('Guide &amp; Settings'!$C$42/($F953-1))*$Z953)))</f>
        <v>0</v>
      </c>
      <c r="AB953" s="126">
        <f t="shared" si="296"/>
        <v>0</v>
      </c>
      <c r="AC953" t="str">
        <f>IF($D953="","",IF($AD953=0,0,IF(COUNTIFS($D$4:$D953,$D953,$B$4:$B953,$B953)&gt;1,0,IF($B953&lt;'Guide &amp; Settings'!$C$50,0,IF(($B953-$AD953)/7-'Guide &amp; Settings'!$C$48&gt;=0,(INT(($B953-$AD953)/7-'Guide &amp; Settings'!$C$48)+1)*'Guide &amp; Settings'!$C$49,0)))))</f>
        <v/>
      </c>
      <c r="AD953" s="142">
        <f t="shared" si="297"/>
        <v>0</v>
      </c>
      <c r="AE953">
        <f t="shared" si="298"/>
        <v>0</v>
      </c>
      <c r="AF953">
        <f t="shared" si="299"/>
        <v>0</v>
      </c>
    </row>
    <row r="954" spans="1:32" x14ac:dyDescent="0.2">
      <c r="A954" s="117"/>
      <c r="B954" s="118"/>
      <c r="C954" s="119"/>
      <c r="D954" s="119"/>
      <c r="E954" s="117"/>
      <c r="F954" s="120">
        <f t="shared" si="280"/>
        <v>0</v>
      </c>
      <c r="G954" s="121" t="str">
        <f t="shared" si="281"/>
        <v/>
      </c>
      <c r="H954" s="122">
        <f>IF($D954="",0,IFERROR(LOOKUP(2,1/(($D$3:D953=$D954)*($A$3:A953&lt;$A954)),$N$3:N953),'Guide &amp; Settings'!$C$41))</f>
        <v>0</v>
      </c>
      <c r="I954" s="123">
        <f t="shared" si="282"/>
        <v>0</v>
      </c>
      <c r="J954" s="124">
        <f>IF($D954="",0,IF($F954&lt;2,0,IF($E954="Win",('Guide &amp; Settings'!$C$42/(($F954-1)*COUNTIFS($A$4:$A$1510,$A954,$E$4:$E$1510,"Win")))*SUMIFS($X$4:$X$1510,$A$4:$A$1510,$A954,$E$4:$E$1510,"Loss"),-('Guide &amp; Settings'!$C$42/($F954-1))*$X954)))</f>
        <v>0</v>
      </c>
      <c r="K954" s="124">
        <f>IF($D954="",0,'Guide &amp; Settings'!$C$43*(IF($E954="Win",1,0)-$I954))</f>
        <v>0</v>
      </c>
      <c r="L954" s="125">
        <f>IF($D954="",0,'Guide &amp; Settings'!$C$44*IF($F954&gt;=3,$F954,0))</f>
        <v>0</v>
      </c>
      <c r="M954" s="124">
        <f t="shared" si="283"/>
        <v>0</v>
      </c>
      <c r="N954" s="122">
        <f t="shared" si="284"/>
        <v>0</v>
      </c>
      <c r="O954" s="121" t="str">
        <f t="shared" si="285"/>
        <v/>
      </c>
      <c r="P954">
        <f t="shared" si="286"/>
        <v>0</v>
      </c>
      <c r="Q954">
        <f t="shared" si="287"/>
        <v>0</v>
      </c>
      <c r="R954">
        <f t="shared" si="288"/>
        <v>0</v>
      </c>
      <c r="S954">
        <f t="shared" si="289"/>
        <v>0</v>
      </c>
      <c r="T954" s="89">
        <f t="shared" si="290"/>
        <v>0</v>
      </c>
      <c r="U954" s="126">
        <f>IF($D954="",0,IFERROR(LOOKUP(2,1/(($D$3:D953=$D954)*($C$3:C953=$C954)*($A$3:A953&lt;$A954)),$AB$3:AB953),1000))</f>
        <v>0</v>
      </c>
      <c r="V954" s="126">
        <f t="shared" si="291"/>
        <v>0</v>
      </c>
      <c r="W954">
        <f t="shared" si="292"/>
        <v>0</v>
      </c>
      <c r="X954">
        <f t="shared" si="293"/>
        <v>0</v>
      </c>
      <c r="Y954">
        <f t="shared" si="294"/>
        <v>0</v>
      </c>
      <c r="Z954">
        <f t="shared" si="295"/>
        <v>0</v>
      </c>
      <c r="AA954">
        <f>IF($D954="",0,IF($F954&lt;2,0,IF($E954="Win",('Guide &amp; Settings'!$C$42/(($F954-1)*COUNTIFS($A$4:$A$1510,$A954,$E$4:$E$1510,"Win")))*SUMIFS($Z$4:$Z$1510,$A$4:$A$1510,$A954,$E$4:$E$1510,"Loss"),-('Guide &amp; Settings'!$C$42/($F954-1))*$Z954)))</f>
        <v>0</v>
      </c>
      <c r="AB954" s="126">
        <f t="shared" si="296"/>
        <v>0</v>
      </c>
      <c r="AC954" t="str">
        <f>IF($D954="","",IF($AD954=0,0,IF(COUNTIFS($D$4:$D954,$D954,$B$4:$B954,$B954)&gt;1,0,IF($B954&lt;'Guide &amp; Settings'!$C$50,0,IF(($B954-$AD954)/7-'Guide &amp; Settings'!$C$48&gt;=0,(INT(($B954-$AD954)/7-'Guide &amp; Settings'!$C$48)+1)*'Guide &amp; Settings'!$C$49,0)))))</f>
        <v/>
      </c>
      <c r="AD954" s="142">
        <f t="shared" si="297"/>
        <v>0</v>
      </c>
      <c r="AE954">
        <f t="shared" si="298"/>
        <v>0</v>
      </c>
      <c r="AF954">
        <f t="shared" si="299"/>
        <v>0</v>
      </c>
    </row>
    <row r="955" spans="1:32" x14ac:dyDescent="0.2">
      <c r="A955" s="117"/>
      <c r="B955" s="118"/>
      <c r="C955" s="119"/>
      <c r="D955" s="119"/>
      <c r="E955" s="117"/>
      <c r="F955" s="120">
        <f t="shared" si="280"/>
        <v>0</v>
      </c>
      <c r="G955" s="121" t="str">
        <f t="shared" si="281"/>
        <v/>
      </c>
      <c r="H955" s="122">
        <f>IF($D955="",0,IFERROR(LOOKUP(2,1/(($D$3:D954=$D955)*($A$3:A954&lt;$A955)),$N$3:N954),'Guide &amp; Settings'!$C$41))</f>
        <v>0</v>
      </c>
      <c r="I955" s="123">
        <f t="shared" si="282"/>
        <v>0</v>
      </c>
      <c r="J955" s="124">
        <f>IF($D955="",0,IF($F955&lt;2,0,IF($E955="Win",('Guide &amp; Settings'!$C$42/(($F955-1)*COUNTIFS($A$4:$A$1510,$A955,$E$4:$E$1510,"Win")))*SUMIFS($X$4:$X$1510,$A$4:$A$1510,$A955,$E$4:$E$1510,"Loss"),-('Guide &amp; Settings'!$C$42/($F955-1))*$X955)))</f>
        <v>0</v>
      </c>
      <c r="K955" s="124">
        <f>IF($D955="",0,'Guide &amp; Settings'!$C$43*(IF($E955="Win",1,0)-$I955))</f>
        <v>0</v>
      </c>
      <c r="L955" s="125">
        <f>IF($D955="",0,'Guide &amp; Settings'!$C$44*IF($F955&gt;=3,$F955,0))</f>
        <v>0</v>
      </c>
      <c r="M955" s="124">
        <f t="shared" si="283"/>
        <v>0</v>
      </c>
      <c r="N955" s="122">
        <f t="shared" si="284"/>
        <v>0</v>
      </c>
      <c r="O955" s="121" t="str">
        <f t="shared" si="285"/>
        <v/>
      </c>
      <c r="P955">
        <f t="shared" si="286"/>
        <v>0</v>
      </c>
      <c r="Q955">
        <f t="shared" si="287"/>
        <v>0</v>
      </c>
      <c r="R955">
        <f t="shared" si="288"/>
        <v>0</v>
      </c>
      <c r="S955">
        <f t="shared" si="289"/>
        <v>0</v>
      </c>
      <c r="T955" s="89">
        <f t="shared" si="290"/>
        <v>0</v>
      </c>
      <c r="U955" s="126">
        <f>IF($D955="",0,IFERROR(LOOKUP(2,1/(($D$3:D954=$D955)*($C$3:C954=$C955)*($A$3:A954&lt;$A955)),$AB$3:AB954),1000))</f>
        <v>0</v>
      </c>
      <c r="V955" s="126">
        <f t="shared" si="291"/>
        <v>0</v>
      </c>
      <c r="W955">
        <f t="shared" si="292"/>
        <v>0</v>
      </c>
      <c r="X955">
        <f t="shared" si="293"/>
        <v>0</v>
      </c>
      <c r="Y955">
        <f t="shared" si="294"/>
        <v>0</v>
      </c>
      <c r="Z955">
        <f t="shared" si="295"/>
        <v>0</v>
      </c>
      <c r="AA955">
        <f>IF($D955="",0,IF($F955&lt;2,0,IF($E955="Win",('Guide &amp; Settings'!$C$42/(($F955-1)*COUNTIFS($A$4:$A$1510,$A955,$E$4:$E$1510,"Win")))*SUMIFS($Z$4:$Z$1510,$A$4:$A$1510,$A955,$E$4:$E$1510,"Loss"),-('Guide &amp; Settings'!$C$42/($F955-1))*$Z955)))</f>
        <v>0</v>
      </c>
      <c r="AB955" s="126">
        <f t="shared" si="296"/>
        <v>0</v>
      </c>
      <c r="AC955" t="str">
        <f>IF($D955="","",IF($AD955=0,0,IF(COUNTIFS($D$4:$D955,$D955,$B$4:$B955,$B955)&gt;1,0,IF($B955&lt;'Guide &amp; Settings'!$C$50,0,IF(($B955-$AD955)/7-'Guide &amp; Settings'!$C$48&gt;=0,(INT(($B955-$AD955)/7-'Guide &amp; Settings'!$C$48)+1)*'Guide &amp; Settings'!$C$49,0)))))</f>
        <v/>
      </c>
      <c r="AD955" s="142">
        <f t="shared" si="297"/>
        <v>0</v>
      </c>
      <c r="AE955">
        <f t="shared" si="298"/>
        <v>0</v>
      </c>
      <c r="AF955">
        <f t="shared" si="299"/>
        <v>0</v>
      </c>
    </row>
    <row r="956" spans="1:32" x14ac:dyDescent="0.2">
      <c r="A956" s="117"/>
      <c r="B956" s="118"/>
      <c r="C956" s="119"/>
      <c r="D956" s="119"/>
      <c r="E956" s="117"/>
      <c r="F956" s="120">
        <f t="shared" si="280"/>
        <v>0</v>
      </c>
      <c r="G956" s="121" t="str">
        <f t="shared" si="281"/>
        <v/>
      </c>
      <c r="H956" s="122">
        <f>IF($D956="",0,IFERROR(LOOKUP(2,1/(($D$3:D955=$D956)*($A$3:A955&lt;$A956)),$N$3:N955),'Guide &amp; Settings'!$C$41))</f>
        <v>0</v>
      </c>
      <c r="I956" s="123">
        <f t="shared" si="282"/>
        <v>0</v>
      </c>
      <c r="J956" s="124">
        <f>IF($D956="",0,IF($F956&lt;2,0,IF($E956="Win",('Guide &amp; Settings'!$C$42/(($F956-1)*COUNTIFS($A$4:$A$1510,$A956,$E$4:$E$1510,"Win")))*SUMIFS($X$4:$X$1510,$A$4:$A$1510,$A956,$E$4:$E$1510,"Loss"),-('Guide &amp; Settings'!$C$42/($F956-1))*$X956)))</f>
        <v>0</v>
      </c>
      <c r="K956" s="124">
        <f>IF($D956="",0,'Guide &amp; Settings'!$C$43*(IF($E956="Win",1,0)-$I956))</f>
        <v>0</v>
      </c>
      <c r="L956" s="125">
        <f>IF($D956="",0,'Guide &amp; Settings'!$C$44*IF($F956&gt;=3,$F956,0))</f>
        <v>0</v>
      </c>
      <c r="M956" s="124">
        <f t="shared" si="283"/>
        <v>0</v>
      </c>
      <c r="N956" s="122">
        <f t="shared" si="284"/>
        <v>0</v>
      </c>
      <c r="O956" s="121" t="str">
        <f t="shared" si="285"/>
        <v/>
      </c>
      <c r="P956">
        <f t="shared" si="286"/>
        <v>0</v>
      </c>
      <c r="Q956">
        <f t="shared" si="287"/>
        <v>0</v>
      </c>
      <c r="R956">
        <f t="shared" si="288"/>
        <v>0</v>
      </c>
      <c r="S956">
        <f t="shared" si="289"/>
        <v>0</v>
      </c>
      <c r="T956" s="89">
        <f t="shared" si="290"/>
        <v>0</v>
      </c>
      <c r="U956" s="126">
        <f>IF($D956="",0,IFERROR(LOOKUP(2,1/(($D$3:D955=$D956)*($C$3:C955=$C956)*($A$3:A955&lt;$A956)),$AB$3:AB955),1000))</f>
        <v>0</v>
      </c>
      <c r="V956" s="126">
        <f t="shared" si="291"/>
        <v>0</v>
      </c>
      <c r="W956">
        <f t="shared" si="292"/>
        <v>0</v>
      </c>
      <c r="X956">
        <f t="shared" si="293"/>
        <v>0</v>
      </c>
      <c r="Y956">
        <f t="shared" si="294"/>
        <v>0</v>
      </c>
      <c r="Z956">
        <f t="shared" si="295"/>
        <v>0</v>
      </c>
      <c r="AA956">
        <f>IF($D956="",0,IF($F956&lt;2,0,IF($E956="Win",('Guide &amp; Settings'!$C$42/(($F956-1)*COUNTIFS($A$4:$A$1510,$A956,$E$4:$E$1510,"Win")))*SUMIFS($Z$4:$Z$1510,$A$4:$A$1510,$A956,$E$4:$E$1510,"Loss"),-('Guide &amp; Settings'!$C$42/($F956-1))*$Z956)))</f>
        <v>0</v>
      </c>
      <c r="AB956" s="126">
        <f t="shared" si="296"/>
        <v>0</v>
      </c>
      <c r="AC956" t="str">
        <f>IF($D956="","",IF($AD956=0,0,IF(COUNTIFS($D$4:$D956,$D956,$B$4:$B956,$B956)&gt;1,0,IF($B956&lt;'Guide &amp; Settings'!$C$50,0,IF(($B956-$AD956)/7-'Guide &amp; Settings'!$C$48&gt;=0,(INT(($B956-$AD956)/7-'Guide &amp; Settings'!$C$48)+1)*'Guide &amp; Settings'!$C$49,0)))))</f>
        <v/>
      </c>
      <c r="AD956" s="142">
        <f t="shared" si="297"/>
        <v>0</v>
      </c>
      <c r="AE956">
        <f t="shared" si="298"/>
        <v>0</v>
      </c>
      <c r="AF956">
        <f t="shared" si="299"/>
        <v>0</v>
      </c>
    </row>
    <row r="957" spans="1:32" x14ac:dyDescent="0.2">
      <c r="A957" s="117"/>
      <c r="B957" s="118"/>
      <c r="C957" s="119"/>
      <c r="D957" s="119"/>
      <c r="E957" s="117"/>
      <c r="F957" s="120">
        <f t="shared" si="280"/>
        <v>0</v>
      </c>
      <c r="G957" s="121" t="str">
        <f t="shared" si="281"/>
        <v/>
      </c>
      <c r="H957" s="122">
        <f>IF($D957="",0,IFERROR(LOOKUP(2,1/(($D$3:D956=$D957)*($A$3:A956&lt;$A957)),$N$3:N956),'Guide &amp; Settings'!$C$41))</f>
        <v>0</v>
      </c>
      <c r="I957" s="123">
        <f t="shared" si="282"/>
        <v>0</v>
      </c>
      <c r="J957" s="124">
        <f>IF($D957="",0,IF($F957&lt;2,0,IF($E957="Win",('Guide &amp; Settings'!$C$42/(($F957-1)*COUNTIFS($A$4:$A$1510,$A957,$E$4:$E$1510,"Win")))*SUMIFS($X$4:$X$1510,$A$4:$A$1510,$A957,$E$4:$E$1510,"Loss"),-('Guide &amp; Settings'!$C$42/($F957-1))*$X957)))</f>
        <v>0</v>
      </c>
      <c r="K957" s="124">
        <f>IF($D957="",0,'Guide &amp; Settings'!$C$43*(IF($E957="Win",1,0)-$I957))</f>
        <v>0</v>
      </c>
      <c r="L957" s="125">
        <f>IF($D957="",0,'Guide &amp; Settings'!$C$44*IF($F957&gt;=3,$F957,0))</f>
        <v>0</v>
      </c>
      <c r="M957" s="124">
        <f t="shared" si="283"/>
        <v>0</v>
      </c>
      <c r="N957" s="122">
        <f t="shared" si="284"/>
        <v>0</v>
      </c>
      <c r="O957" s="121" t="str">
        <f t="shared" si="285"/>
        <v/>
      </c>
      <c r="P957">
        <f t="shared" si="286"/>
        <v>0</v>
      </c>
      <c r="Q957">
        <f t="shared" si="287"/>
        <v>0</v>
      </c>
      <c r="R957">
        <f t="shared" si="288"/>
        <v>0</v>
      </c>
      <c r="S957">
        <f t="shared" si="289"/>
        <v>0</v>
      </c>
      <c r="T957" s="89">
        <f t="shared" si="290"/>
        <v>0</v>
      </c>
      <c r="U957" s="126">
        <f>IF($D957="",0,IFERROR(LOOKUP(2,1/(($D$3:D956=$D957)*($C$3:C956=$C957)*($A$3:A956&lt;$A957)),$AB$3:AB956),1000))</f>
        <v>0</v>
      </c>
      <c r="V957" s="126">
        <f t="shared" si="291"/>
        <v>0</v>
      </c>
      <c r="W957">
        <f t="shared" si="292"/>
        <v>0</v>
      </c>
      <c r="X957">
        <f t="shared" si="293"/>
        <v>0</v>
      </c>
      <c r="Y957">
        <f t="shared" si="294"/>
        <v>0</v>
      </c>
      <c r="Z957">
        <f t="shared" si="295"/>
        <v>0</v>
      </c>
      <c r="AA957">
        <f>IF($D957="",0,IF($F957&lt;2,0,IF($E957="Win",('Guide &amp; Settings'!$C$42/(($F957-1)*COUNTIFS($A$4:$A$1510,$A957,$E$4:$E$1510,"Win")))*SUMIFS($Z$4:$Z$1510,$A$4:$A$1510,$A957,$E$4:$E$1510,"Loss"),-('Guide &amp; Settings'!$C$42/($F957-1))*$Z957)))</f>
        <v>0</v>
      </c>
      <c r="AB957" s="126">
        <f t="shared" si="296"/>
        <v>0</v>
      </c>
      <c r="AC957" t="str">
        <f>IF($D957="","",IF($AD957=0,0,IF(COUNTIFS($D$4:$D957,$D957,$B$4:$B957,$B957)&gt;1,0,IF($B957&lt;'Guide &amp; Settings'!$C$50,0,IF(($B957-$AD957)/7-'Guide &amp; Settings'!$C$48&gt;=0,(INT(($B957-$AD957)/7-'Guide &amp; Settings'!$C$48)+1)*'Guide &amp; Settings'!$C$49,0)))))</f>
        <v/>
      </c>
      <c r="AD957" s="142">
        <f t="shared" si="297"/>
        <v>0</v>
      </c>
      <c r="AE957">
        <f t="shared" si="298"/>
        <v>0</v>
      </c>
      <c r="AF957">
        <f t="shared" si="299"/>
        <v>0</v>
      </c>
    </row>
    <row r="958" spans="1:32" x14ac:dyDescent="0.2">
      <c r="A958" s="117"/>
      <c r="B958" s="118"/>
      <c r="C958" s="119"/>
      <c r="D958" s="119"/>
      <c r="E958" s="117"/>
      <c r="F958" s="120">
        <f t="shared" si="280"/>
        <v>0</v>
      </c>
      <c r="G958" s="121" t="str">
        <f t="shared" si="281"/>
        <v/>
      </c>
      <c r="H958" s="122">
        <f>IF($D958="",0,IFERROR(LOOKUP(2,1/(($D$3:D957=$D958)*($A$3:A957&lt;$A958)),$N$3:N957),'Guide &amp; Settings'!$C$41))</f>
        <v>0</v>
      </c>
      <c r="I958" s="123">
        <f t="shared" si="282"/>
        <v>0</v>
      </c>
      <c r="J958" s="124">
        <f>IF($D958="",0,IF($F958&lt;2,0,IF($E958="Win",('Guide &amp; Settings'!$C$42/(($F958-1)*COUNTIFS($A$4:$A$1510,$A958,$E$4:$E$1510,"Win")))*SUMIFS($X$4:$X$1510,$A$4:$A$1510,$A958,$E$4:$E$1510,"Loss"),-('Guide &amp; Settings'!$C$42/($F958-1))*$X958)))</f>
        <v>0</v>
      </c>
      <c r="K958" s="124">
        <f>IF($D958="",0,'Guide &amp; Settings'!$C$43*(IF($E958="Win",1,0)-$I958))</f>
        <v>0</v>
      </c>
      <c r="L958" s="125">
        <f>IF($D958="",0,'Guide &amp; Settings'!$C$44*IF($F958&gt;=3,$F958,0))</f>
        <v>0</v>
      </c>
      <c r="M958" s="124">
        <f t="shared" si="283"/>
        <v>0</v>
      </c>
      <c r="N958" s="122">
        <f t="shared" si="284"/>
        <v>0</v>
      </c>
      <c r="O958" s="121" t="str">
        <f t="shared" si="285"/>
        <v/>
      </c>
      <c r="P958">
        <f t="shared" si="286"/>
        <v>0</v>
      </c>
      <c r="Q958">
        <f t="shared" si="287"/>
        <v>0</v>
      </c>
      <c r="R958">
        <f t="shared" si="288"/>
        <v>0</v>
      </c>
      <c r="S958">
        <f t="shared" si="289"/>
        <v>0</v>
      </c>
      <c r="T958" s="89">
        <f t="shared" si="290"/>
        <v>0</v>
      </c>
      <c r="U958" s="126">
        <f>IF($D958="",0,IFERROR(LOOKUP(2,1/(($D$3:D957=$D958)*($C$3:C957=$C958)*($A$3:A957&lt;$A958)),$AB$3:AB957),1000))</f>
        <v>0</v>
      </c>
      <c r="V958" s="126">
        <f t="shared" si="291"/>
        <v>0</v>
      </c>
      <c r="W958">
        <f t="shared" si="292"/>
        <v>0</v>
      </c>
      <c r="X958">
        <f t="shared" si="293"/>
        <v>0</v>
      </c>
      <c r="Y958">
        <f t="shared" si="294"/>
        <v>0</v>
      </c>
      <c r="Z958">
        <f t="shared" si="295"/>
        <v>0</v>
      </c>
      <c r="AA958">
        <f>IF($D958="",0,IF($F958&lt;2,0,IF($E958="Win",('Guide &amp; Settings'!$C$42/(($F958-1)*COUNTIFS($A$4:$A$1510,$A958,$E$4:$E$1510,"Win")))*SUMIFS($Z$4:$Z$1510,$A$4:$A$1510,$A958,$E$4:$E$1510,"Loss"),-('Guide &amp; Settings'!$C$42/($F958-1))*$Z958)))</f>
        <v>0</v>
      </c>
      <c r="AB958" s="126">
        <f t="shared" si="296"/>
        <v>0</v>
      </c>
      <c r="AC958" t="str">
        <f>IF($D958="","",IF($AD958=0,0,IF(COUNTIFS($D$4:$D958,$D958,$B$4:$B958,$B958)&gt;1,0,IF($B958&lt;'Guide &amp; Settings'!$C$50,0,IF(($B958-$AD958)/7-'Guide &amp; Settings'!$C$48&gt;=0,(INT(($B958-$AD958)/7-'Guide &amp; Settings'!$C$48)+1)*'Guide &amp; Settings'!$C$49,0)))))</f>
        <v/>
      </c>
      <c r="AD958" s="142">
        <f t="shared" si="297"/>
        <v>0</v>
      </c>
      <c r="AE958">
        <f t="shared" si="298"/>
        <v>0</v>
      </c>
      <c r="AF958">
        <f t="shared" si="299"/>
        <v>0</v>
      </c>
    </row>
    <row r="959" spans="1:32" x14ac:dyDescent="0.2">
      <c r="A959" s="117"/>
      <c r="B959" s="118"/>
      <c r="C959" s="119"/>
      <c r="D959" s="119"/>
      <c r="E959" s="117"/>
      <c r="F959" s="120">
        <f t="shared" si="280"/>
        <v>0</v>
      </c>
      <c r="G959" s="121" t="str">
        <f t="shared" si="281"/>
        <v/>
      </c>
      <c r="H959" s="122">
        <f>IF($D959="",0,IFERROR(LOOKUP(2,1/(($D$3:D958=$D959)*($A$3:A958&lt;$A959)),$N$3:N958),'Guide &amp; Settings'!$C$41))</f>
        <v>0</v>
      </c>
      <c r="I959" s="123">
        <f t="shared" si="282"/>
        <v>0</v>
      </c>
      <c r="J959" s="124">
        <f>IF($D959="",0,IF($F959&lt;2,0,IF($E959="Win",('Guide &amp; Settings'!$C$42/(($F959-1)*COUNTIFS($A$4:$A$1510,$A959,$E$4:$E$1510,"Win")))*SUMIFS($X$4:$X$1510,$A$4:$A$1510,$A959,$E$4:$E$1510,"Loss"),-('Guide &amp; Settings'!$C$42/($F959-1))*$X959)))</f>
        <v>0</v>
      </c>
      <c r="K959" s="124">
        <f>IF($D959="",0,'Guide &amp; Settings'!$C$43*(IF($E959="Win",1,0)-$I959))</f>
        <v>0</v>
      </c>
      <c r="L959" s="125">
        <f>IF($D959="",0,'Guide &amp; Settings'!$C$44*IF($F959&gt;=3,$F959,0))</f>
        <v>0</v>
      </c>
      <c r="M959" s="124">
        <f t="shared" si="283"/>
        <v>0</v>
      </c>
      <c r="N959" s="122">
        <f t="shared" si="284"/>
        <v>0</v>
      </c>
      <c r="O959" s="121" t="str">
        <f t="shared" si="285"/>
        <v/>
      </c>
      <c r="P959">
        <f t="shared" si="286"/>
        <v>0</v>
      </c>
      <c r="Q959">
        <f t="shared" si="287"/>
        <v>0</v>
      </c>
      <c r="R959">
        <f t="shared" si="288"/>
        <v>0</v>
      </c>
      <c r="S959">
        <f t="shared" si="289"/>
        <v>0</v>
      </c>
      <c r="T959" s="89">
        <f t="shared" si="290"/>
        <v>0</v>
      </c>
      <c r="U959" s="126">
        <f>IF($D959="",0,IFERROR(LOOKUP(2,1/(($D$3:D958=$D959)*($C$3:C958=$C959)*($A$3:A958&lt;$A959)),$AB$3:AB958),1000))</f>
        <v>0</v>
      </c>
      <c r="V959" s="126">
        <f t="shared" si="291"/>
        <v>0</v>
      </c>
      <c r="W959">
        <f t="shared" si="292"/>
        <v>0</v>
      </c>
      <c r="X959">
        <f t="shared" si="293"/>
        <v>0</v>
      </c>
      <c r="Y959">
        <f t="shared" si="294"/>
        <v>0</v>
      </c>
      <c r="Z959">
        <f t="shared" si="295"/>
        <v>0</v>
      </c>
      <c r="AA959">
        <f>IF($D959="",0,IF($F959&lt;2,0,IF($E959="Win",('Guide &amp; Settings'!$C$42/(($F959-1)*COUNTIFS($A$4:$A$1510,$A959,$E$4:$E$1510,"Win")))*SUMIFS($Z$4:$Z$1510,$A$4:$A$1510,$A959,$E$4:$E$1510,"Loss"),-('Guide &amp; Settings'!$C$42/($F959-1))*$Z959)))</f>
        <v>0</v>
      </c>
      <c r="AB959" s="126">
        <f t="shared" si="296"/>
        <v>0</v>
      </c>
      <c r="AC959" t="str">
        <f>IF($D959="","",IF($AD959=0,0,IF(COUNTIFS($D$4:$D959,$D959,$B$4:$B959,$B959)&gt;1,0,IF($B959&lt;'Guide &amp; Settings'!$C$50,0,IF(($B959-$AD959)/7-'Guide &amp; Settings'!$C$48&gt;=0,(INT(($B959-$AD959)/7-'Guide &amp; Settings'!$C$48)+1)*'Guide &amp; Settings'!$C$49,0)))))</f>
        <v/>
      </c>
      <c r="AD959" s="142">
        <f t="shared" si="297"/>
        <v>0</v>
      </c>
      <c r="AE959">
        <f t="shared" si="298"/>
        <v>0</v>
      </c>
      <c r="AF959">
        <f t="shared" si="299"/>
        <v>0</v>
      </c>
    </row>
    <row r="960" spans="1:32" x14ac:dyDescent="0.2">
      <c r="A960" s="117"/>
      <c r="B960" s="118"/>
      <c r="C960" s="119"/>
      <c r="D960" s="119"/>
      <c r="E960" s="117"/>
      <c r="F960" s="120">
        <f t="shared" si="280"/>
        <v>0</v>
      </c>
      <c r="G960" s="121" t="str">
        <f t="shared" si="281"/>
        <v/>
      </c>
      <c r="H960" s="122">
        <f>IF($D960="",0,IFERROR(LOOKUP(2,1/(($D$3:D959=$D960)*($A$3:A959&lt;$A960)),$N$3:N959),'Guide &amp; Settings'!$C$41))</f>
        <v>0</v>
      </c>
      <c r="I960" s="123">
        <f t="shared" si="282"/>
        <v>0</v>
      </c>
      <c r="J960" s="124">
        <f>IF($D960="",0,IF($F960&lt;2,0,IF($E960="Win",('Guide &amp; Settings'!$C$42/(($F960-1)*COUNTIFS($A$4:$A$1510,$A960,$E$4:$E$1510,"Win")))*SUMIFS($X$4:$X$1510,$A$4:$A$1510,$A960,$E$4:$E$1510,"Loss"),-('Guide &amp; Settings'!$C$42/($F960-1))*$X960)))</f>
        <v>0</v>
      </c>
      <c r="K960" s="124">
        <f>IF($D960="",0,'Guide &amp; Settings'!$C$43*(IF($E960="Win",1,0)-$I960))</f>
        <v>0</v>
      </c>
      <c r="L960" s="125">
        <f>IF($D960="",0,'Guide &amp; Settings'!$C$44*IF($F960&gt;=3,$F960,0))</f>
        <v>0</v>
      </c>
      <c r="M960" s="124">
        <f t="shared" si="283"/>
        <v>0</v>
      </c>
      <c r="N960" s="122">
        <f t="shared" si="284"/>
        <v>0</v>
      </c>
      <c r="O960" s="121" t="str">
        <f t="shared" si="285"/>
        <v/>
      </c>
      <c r="P960">
        <f t="shared" si="286"/>
        <v>0</v>
      </c>
      <c r="Q960">
        <f t="shared" si="287"/>
        <v>0</v>
      </c>
      <c r="R960">
        <f t="shared" si="288"/>
        <v>0</v>
      </c>
      <c r="S960">
        <f t="shared" si="289"/>
        <v>0</v>
      </c>
      <c r="T960" s="89">
        <f t="shared" si="290"/>
        <v>0</v>
      </c>
      <c r="U960" s="126">
        <f>IF($D960="",0,IFERROR(LOOKUP(2,1/(($D$3:D959=$D960)*($C$3:C959=$C960)*($A$3:A959&lt;$A960)),$AB$3:AB959),1000))</f>
        <v>0</v>
      </c>
      <c r="V960" s="126">
        <f t="shared" si="291"/>
        <v>0</v>
      </c>
      <c r="W960">
        <f t="shared" si="292"/>
        <v>0</v>
      </c>
      <c r="X960">
        <f t="shared" si="293"/>
        <v>0</v>
      </c>
      <c r="Y960">
        <f t="shared" si="294"/>
        <v>0</v>
      </c>
      <c r="Z960">
        <f t="shared" si="295"/>
        <v>0</v>
      </c>
      <c r="AA960">
        <f>IF($D960="",0,IF($F960&lt;2,0,IF($E960="Win",('Guide &amp; Settings'!$C$42/(($F960-1)*COUNTIFS($A$4:$A$1510,$A960,$E$4:$E$1510,"Win")))*SUMIFS($Z$4:$Z$1510,$A$4:$A$1510,$A960,$E$4:$E$1510,"Loss"),-('Guide &amp; Settings'!$C$42/($F960-1))*$Z960)))</f>
        <v>0</v>
      </c>
      <c r="AB960" s="126">
        <f t="shared" si="296"/>
        <v>0</v>
      </c>
      <c r="AC960" t="str">
        <f>IF($D960="","",IF($AD960=0,0,IF(COUNTIFS($D$4:$D960,$D960,$B$4:$B960,$B960)&gt;1,0,IF($B960&lt;'Guide &amp; Settings'!$C$50,0,IF(($B960-$AD960)/7-'Guide &amp; Settings'!$C$48&gt;=0,(INT(($B960-$AD960)/7-'Guide &amp; Settings'!$C$48)+1)*'Guide &amp; Settings'!$C$49,0)))))</f>
        <v/>
      </c>
      <c r="AD960" s="142">
        <f t="shared" si="297"/>
        <v>0</v>
      </c>
      <c r="AE960">
        <f t="shared" si="298"/>
        <v>0</v>
      </c>
      <c r="AF960">
        <f t="shared" si="299"/>
        <v>0</v>
      </c>
    </row>
    <row r="961" spans="1:32" x14ac:dyDescent="0.2">
      <c r="A961" s="117"/>
      <c r="B961" s="118"/>
      <c r="C961" s="119"/>
      <c r="D961" s="119"/>
      <c r="E961" s="117"/>
      <c r="F961" s="120">
        <f t="shared" si="280"/>
        <v>0</v>
      </c>
      <c r="G961" s="121" t="str">
        <f t="shared" si="281"/>
        <v/>
      </c>
      <c r="H961" s="122">
        <f>IF($D961="",0,IFERROR(LOOKUP(2,1/(($D$3:D960=$D961)*($A$3:A960&lt;$A961)),$N$3:N960),'Guide &amp; Settings'!$C$41))</f>
        <v>0</v>
      </c>
      <c r="I961" s="123">
        <f t="shared" si="282"/>
        <v>0</v>
      </c>
      <c r="J961" s="124">
        <f>IF($D961="",0,IF($F961&lt;2,0,IF($E961="Win",('Guide &amp; Settings'!$C$42/(($F961-1)*COUNTIFS($A$4:$A$1510,$A961,$E$4:$E$1510,"Win")))*SUMIFS($X$4:$X$1510,$A$4:$A$1510,$A961,$E$4:$E$1510,"Loss"),-('Guide &amp; Settings'!$C$42/($F961-1))*$X961)))</f>
        <v>0</v>
      </c>
      <c r="K961" s="124">
        <f>IF($D961="",0,'Guide &amp; Settings'!$C$43*(IF($E961="Win",1,0)-$I961))</f>
        <v>0</v>
      </c>
      <c r="L961" s="125">
        <f>IF($D961="",0,'Guide &amp; Settings'!$C$44*IF($F961&gt;=3,$F961,0))</f>
        <v>0</v>
      </c>
      <c r="M961" s="124">
        <f t="shared" si="283"/>
        <v>0</v>
      </c>
      <c r="N961" s="122">
        <f t="shared" si="284"/>
        <v>0</v>
      </c>
      <c r="O961" s="121" t="str">
        <f t="shared" si="285"/>
        <v/>
      </c>
      <c r="P961">
        <f t="shared" si="286"/>
        <v>0</v>
      </c>
      <c r="Q961">
        <f t="shared" si="287"/>
        <v>0</v>
      </c>
      <c r="R961">
        <f t="shared" si="288"/>
        <v>0</v>
      </c>
      <c r="S961">
        <f t="shared" si="289"/>
        <v>0</v>
      </c>
      <c r="T961" s="89">
        <f t="shared" si="290"/>
        <v>0</v>
      </c>
      <c r="U961" s="126">
        <f>IF($D961="",0,IFERROR(LOOKUP(2,1/(($D$3:D960=$D961)*($C$3:C960=$C961)*($A$3:A960&lt;$A961)),$AB$3:AB960),1000))</f>
        <v>0</v>
      </c>
      <c r="V961" s="126">
        <f t="shared" si="291"/>
        <v>0</v>
      </c>
      <c r="W961">
        <f t="shared" si="292"/>
        <v>0</v>
      </c>
      <c r="X961">
        <f t="shared" si="293"/>
        <v>0</v>
      </c>
      <c r="Y961">
        <f t="shared" si="294"/>
        <v>0</v>
      </c>
      <c r="Z961">
        <f t="shared" si="295"/>
        <v>0</v>
      </c>
      <c r="AA961">
        <f>IF($D961="",0,IF($F961&lt;2,0,IF($E961="Win",('Guide &amp; Settings'!$C$42/(($F961-1)*COUNTIFS($A$4:$A$1510,$A961,$E$4:$E$1510,"Win")))*SUMIFS($Z$4:$Z$1510,$A$4:$A$1510,$A961,$E$4:$E$1510,"Loss"),-('Guide &amp; Settings'!$C$42/($F961-1))*$Z961)))</f>
        <v>0</v>
      </c>
      <c r="AB961" s="126">
        <f t="shared" si="296"/>
        <v>0</v>
      </c>
      <c r="AC961" t="str">
        <f>IF($D961="","",IF($AD961=0,0,IF(COUNTIFS($D$4:$D961,$D961,$B$4:$B961,$B961)&gt;1,0,IF($B961&lt;'Guide &amp; Settings'!$C$50,0,IF(($B961-$AD961)/7-'Guide &amp; Settings'!$C$48&gt;=0,(INT(($B961-$AD961)/7-'Guide &amp; Settings'!$C$48)+1)*'Guide &amp; Settings'!$C$49,0)))))</f>
        <v/>
      </c>
      <c r="AD961" s="142">
        <f t="shared" si="297"/>
        <v>0</v>
      </c>
      <c r="AE961">
        <f t="shared" si="298"/>
        <v>0</v>
      </c>
      <c r="AF961">
        <f t="shared" si="299"/>
        <v>0</v>
      </c>
    </row>
    <row r="962" spans="1:32" x14ac:dyDescent="0.2">
      <c r="A962" s="117"/>
      <c r="B962" s="118"/>
      <c r="C962" s="119"/>
      <c r="D962" s="119"/>
      <c r="E962" s="117"/>
      <c r="F962" s="120">
        <f t="shared" si="280"/>
        <v>0</v>
      </c>
      <c r="G962" s="121" t="str">
        <f t="shared" si="281"/>
        <v/>
      </c>
      <c r="H962" s="122">
        <f>IF($D962="",0,IFERROR(LOOKUP(2,1/(($D$3:D961=$D962)*($A$3:A961&lt;$A962)),$N$3:N961),'Guide &amp; Settings'!$C$41))</f>
        <v>0</v>
      </c>
      <c r="I962" s="123">
        <f t="shared" si="282"/>
        <v>0</v>
      </c>
      <c r="J962" s="124">
        <f>IF($D962="",0,IF($F962&lt;2,0,IF($E962="Win",('Guide &amp; Settings'!$C$42/(($F962-1)*COUNTIFS($A$4:$A$1510,$A962,$E$4:$E$1510,"Win")))*SUMIFS($X$4:$X$1510,$A$4:$A$1510,$A962,$E$4:$E$1510,"Loss"),-('Guide &amp; Settings'!$C$42/($F962-1))*$X962)))</f>
        <v>0</v>
      </c>
      <c r="K962" s="124">
        <f>IF($D962="",0,'Guide &amp; Settings'!$C$43*(IF($E962="Win",1,0)-$I962))</f>
        <v>0</v>
      </c>
      <c r="L962" s="125">
        <f>IF($D962="",0,'Guide &amp; Settings'!$C$44*IF($F962&gt;=3,$F962,0))</f>
        <v>0</v>
      </c>
      <c r="M962" s="124">
        <f t="shared" si="283"/>
        <v>0</v>
      </c>
      <c r="N962" s="122">
        <f t="shared" si="284"/>
        <v>0</v>
      </c>
      <c r="O962" s="121" t="str">
        <f t="shared" si="285"/>
        <v/>
      </c>
      <c r="P962">
        <f t="shared" si="286"/>
        <v>0</v>
      </c>
      <c r="Q962">
        <f t="shared" si="287"/>
        <v>0</v>
      </c>
      <c r="R962">
        <f t="shared" si="288"/>
        <v>0</v>
      </c>
      <c r="S962">
        <f t="shared" si="289"/>
        <v>0</v>
      </c>
      <c r="T962" s="89">
        <f t="shared" si="290"/>
        <v>0</v>
      </c>
      <c r="U962" s="126">
        <f>IF($D962="",0,IFERROR(LOOKUP(2,1/(($D$3:D961=$D962)*($C$3:C961=$C962)*($A$3:A961&lt;$A962)),$AB$3:AB961),1000))</f>
        <v>0</v>
      </c>
      <c r="V962" s="126">
        <f t="shared" si="291"/>
        <v>0</v>
      </c>
      <c r="W962">
        <f t="shared" si="292"/>
        <v>0</v>
      </c>
      <c r="X962">
        <f t="shared" si="293"/>
        <v>0</v>
      </c>
      <c r="Y962">
        <f t="shared" si="294"/>
        <v>0</v>
      </c>
      <c r="Z962">
        <f t="shared" si="295"/>
        <v>0</v>
      </c>
      <c r="AA962">
        <f>IF($D962="",0,IF($F962&lt;2,0,IF($E962="Win",('Guide &amp; Settings'!$C$42/(($F962-1)*COUNTIFS($A$4:$A$1510,$A962,$E$4:$E$1510,"Win")))*SUMIFS($Z$4:$Z$1510,$A$4:$A$1510,$A962,$E$4:$E$1510,"Loss"),-('Guide &amp; Settings'!$C$42/($F962-1))*$Z962)))</f>
        <v>0</v>
      </c>
      <c r="AB962" s="126">
        <f t="shared" si="296"/>
        <v>0</v>
      </c>
      <c r="AC962" t="str">
        <f>IF($D962="","",IF($AD962=0,0,IF(COUNTIFS($D$4:$D962,$D962,$B$4:$B962,$B962)&gt;1,0,IF($B962&lt;'Guide &amp; Settings'!$C$50,0,IF(($B962-$AD962)/7-'Guide &amp; Settings'!$C$48&gt;=0,(INT(($B962-$AD962)/7-'Guide &amp; Settings'!$C$48)+1)*'Guide &amp; Settings'!$C$49,0)))))</f>
        <v/>
      </c>
      <c r="AD962" s="142">
        <f t="shared" si="297"/>
        <v>0</v>
      </c>
      <c r="AE962">
        <f t="shared" si="298"/>
        <v>0</v>
      </c>
      <c r="AF962">
        <f t="shared" si="299"/>
        <v>0</v>
      </c>
    </row>
    <row r="963" spans="1:32" x14ac:dyDescent="0.2">
      <c r="A963" s="117"/>
      <c r="B963" s="118"/>
      <c r="C963" s="119"/>
      <c r="D963" s="119"/>
      <c r="E963" s="117"/>
      <c r="F963" s="120">
        <f t="shared" si="280"/>
        <v>0</v>
      </c>
      <c r="G963" s="121" t="str">
        <f t="shared" si="281"/>
        <v/>
      </c>
      <c r="H963" s="122">
        <f>IF($D963="",0,IFERROR(LOOKUP(2,1/(($D$3:D962=$D963)*($A$3:A962&lt;$A963)),$N$3:N962),'Guide &amp; Settings'!$C$41))</f>
        <v>0</v>
      </c>
      <c r="I963" s="123">
        <f t="shared" si="282"/>
        <v>0</v>
      </c>
      <c r="J963" s="124">
        <f>IF($D963="",0,IF($F963&lt;2,0,IF($E963="Win",('Guide &amp; Settings'!$C$42/(($F963-1)*COUNTIFS($A$4:$A$1510,$A963,$E$4:$E$1510,"Win")))*SUMIFS($X$4:$X$1510,$A$4:$A$1510,$A963,$E$4:$E$1510,"Loss"),-('Guide &amp; Settings'!$C$42/($F963-1))*$X963)))</f>
        <v>0</v>
      </c>
      <c r="K963" s="124">
        <f>IF($D963="",0,'Guide &amp; Settings'!$C$43*(IF($E963="Win",1,0)-$I963))</f>
        <v>0</v>
      </c>
      <c r="L963" s="125">
        <f>IF($D963="",0,'Guide &amp; Settings'!$C$44*IF($F963&gt;=3,$F963,0))</f>
        <v>0</v>
      </c>
      <c r="M963" s="124">
        <f t="shared" si="283"/>
        <v>0</v>
      </c>
      <c r="N963" s="122">
        <f t="shared" si="284"/>
        <v>0</v>
      </c>
      <c r="O963" s="121" t="str">
        <f t="shared" si="285"/>
        <v/>
      </c>
      <c r="P963">
        <f t="shared" si="286"/>
        <v>0</v>
      </c>
      <c r="Q963">
        <f t="shared" si="287"/>
        <v>0</v>
      </c>
      <c r="R963">
        <f t="shared" si="288"/>
        <v>0</v>
      </c>
      <c r="S963">
        <f t="shared" si="289"/>
        <v>0</v>
      </c>
      <c r="T963" s="89">
        <f t="shared" si="290"/>
        <v>0</v>
      </c>
      <c r="U963" s="126">
        <f>IF($D963="",0,IFERROR(LOOKUP(2,1/(($D$3:D962=$D963)*($C$3:C962=$C963)*($A$3:A962&lt;$A963)),$AB$3:AB962),1000))</f>
        <v>0</v>
      </c>
      <c r="V963" s="126">
        <f t="shared" si="291"/>
        <v>0</v>
      </c>
      <c r="W963">
        <f t="shared" si="292"/>
        <v>0</v>
      </c>
      <c r="X963">
        <f t="shared" si="293"/>
        <v>0</v>
      </c>
      <c r="Y963">
        <f t="shared" si="294"/>
        <v>0</v>
      </c>
      <c r="Z963">
        <f t="shared" si="295"/>
        <v>0</v>
      </c>
      <c r="AA963">
        <f>IF($D963="",0,IF($F963&lt;2,0,IF($E963="Win",('Guide &amp; Settings'!$C$42/(($F963-1)*COUNTIFS($A$4:$A$1510,$A963,$E$4:$E$1510,"Win")))*SUMIFS($Z$4:$Z$1510,$A$4:$A$1510,$A963,$E$4:$E$1510,"Loss"),-('Guide &amp; Settings'!$C$42/($F963-1))*$Z963)))</f>
        <v>0</v>
      </c>
      <c r="AB963" s="126">
        <f t="shared" si="296"/>
        <v>0</v>
      </c>
      <c r="AC963" t="str">
        <f>IF($D963="","",IF($AD963=0,0,IF(COUNTIFS($D$4:$D963,$D963,$B$4:$B963,$B963)&gt;1,0,IF($B963&lt;'Guide &amp; Settings'!$C$50,0,IF(($B963-$AD963)/7-'Guide &amp; Settings'!$C$48&gt;=0,(INT(($B963-$AD963)/7-'Guide &amp; Settings'!$C$48)+1)*'Guide &amp; Settings'!$C$49,0)))))</f>
        <v/>
      </c>
      <c r="AD963" s="142">
        <f t="shared" si="297"/>
        <v>0</v>
      </c>
      <c r="AE963">
        <f t="shared" si="298"/>
        <v>0</v>
      </c>
      <c r="AF963">
        <f t="shared" si="299"/>
        <v>0</v>
      </c>
    </row>
    <row r="964" spans="1:32" x14ac:dyDescent="0.2">
      <c r="A964" s="117"/>
      <c r="B964" s="118"/>
      <c r="C964" s="119"/>
      <c r="D964" s="119"/>
      <c r="E964" s="117"/>
      <c r="F964" s="120">
        <f t="shared" ref="F964:F1027" si="300">IF($D964="",0,COUNTIF($A$4:$A$1510,$A964))</f>
        <v>0</v>
      </c>
      <c r="G964" s="121" t="str">
        <f t="shared" ref="G964:G1027" si="301">IF($D964="","",IFERROR(LOOKUP(2,1/(($A$4:$A$1510=$A964)*($E$4:$E$1510="Win")),$D$4:$D$1510),"(no winner)"))</f>
        <v/>
      </c>
      <c r="H964" s="122">
        <f>IF($D964="",0,IFERROR(LOOKUP(2,1/(($D$3:D963=$D964)*($A$3:A963&lt;$A964)),$N$3:N963),'Guide &amp; Settings'!$C$41))</f>
        <v>0</v>
      </c>
      <c r="I964" s="123">
        <f t="shared" ref="I964:I1027" si="302">IF($D964="",0,IF($S964=0,0,$R964/$S964))</f>
        <v>0</v>
      </c>
      <c r="J964" s="124">
        <f>IF($D964="",0,IF($F964&lt;2,0,IF($E964="Win",('Guide &amp; Settings'!$C$42/(($F964-1)*COUNTIFS($A$4:$A$1510,$A964,$E$4:$E$1510,"Win")))*SUMIFS($X$4:$X$1510,$A$4:$A$1510,$A964,$E$4:$E$1510,"Loss"),-('Guide &amp; Settings'!$C$42/($F964-1))*$X964)))</f>
        <v>0</v>
      </c>
      <c r="K964" s="124">
        <f>IF($D964="",0,'Guide &amp; Settings'!$C$43*(IF($E964="Win",1,0)-$I964))</f>
        <v>0</v>
      </c>
      <c r="L964" s="125">
        <f>IF($D964="",0,'Guide &amp; Settings'!$C$44*IF($F964&gt;=3,$F964,0))</f>
        <v>0</v>
      </c>
      <c r="M964" s="124">
        <f t="shared" ref="M964:M1027" si="303">IF($D964="",0,$J964+$K964+$L964)</f>
        <v>0</v>
      </c>
      <c r="N964" s="122">
        <f t="shared" ref="N964:N1027" si="304">IF($D964="",0,$H964+$M964)</f>
        <v>0</v>
      </c>
      <c r="O964" s="121" t="str">
        <f t="shared" ref="O964:O1027" si="305">IF($D964="","",IF($AE964=0,"need a winner",IF($F964-$AE964=0,"need a loser",IF(MOD($AF964,2)=1,"duplicate player",IF(MOD(INT($AF964/2),2)=1,"mixed sports",IF($AF964&gt;=4,"mixed dates",IF($AE964&gt;1,IF($F964&gt;=4,"OK (team)","check winners"),"OK")))))))</f>
        <v/>
      </c>
      <c r="P964">
        <f t="shared" ref="P964:P1027" si="306">IF($D964="",0,IFERROR(SUMIFS($H$4:$H$1510,$A$4:$A$1510,$A964,$E$4:$E$1510,"Win")/COUNTIFS($A$4:$A$1510,$A964,$E$4:$E$1510,"Win"),0))</f>
        <v>0</v>
      </c>
      <c r="Q964">
        <f t="shared" ref="Q964:Q1027" si="307">IF($D964="",0,1/(1+10^(($P964-$H964)/400)))</f>
        <v>0</v>
      </c>
      <c r="R964">
        <f t="shared" ref="R964:R1027" si="308">IF($D964="",0,(COUNTIFS($D$4:$D$1510,$D964,$C$4:$C$1510,$C964,$E$4:$E$1510,"Win",$A$4:$A$1510,"&lt;"&amp;$A964)+1)/(COUNTIFS($D$4:$D$1510,$D964,$C$4:$C$1510,$C964,$A$4:$A$1510,"&lt;"&amp;$A964)+2))</f>
        <v>0</v>
      </c>
      <c r="S964">
        <f t="shared" ref="S964:S1027" si="309">IF($D964="",0,SUMIFS($R$4:$R$1510,$A$4:$A$1510,$A964))</f>
        <v>0</v>
      </c>
      <c r="T964" s="89">
        <f t="shared" ref="T964:T1027" si="310">IF($D964="",0,COUNTIFS($D$4:$D$1510,$D964,$C$4:$C$1510,$C964,$A$4:$A$1510,"&lt;"&amp;$A964))</f>
        <v>0</v>
      </c>
      <c r="U964" s="126">
        <f>IF($D964="",0,IFERROR(LOOKUP(2,1/(($D$3:D963=$D964)*($C$3:C963=$C964)*($A$3:A963&lt;$A964)),$AB$3:AB963),1000))</f>
        <v>0</v>
      </c>
      <c r="V964" s="126">
        <f t="shared" ref="V964:V1027" si="311">IF($D964="",0,$U964*($T964/($T964+5))+$H964*(1-$T964/($T964+5)))</f>
        <v>0</v>
      </c>
      <c r="W964">
        <f t="shared" ref="W964:W1027" si="312">IF($D964="",0,IFERROR(SUMIFS($V$4:$V$1510,$A$4:$A$1510,$A964,$E$4:$E$1510,"Win")/COUNTIFS($A$4:$A$1510,$A964,$E$4:$E$1510,"Win"),0))</f>
        <v>0</v>
      </c>
      <c r="X964">
        <f t="shared" ref="X964:X1027" si="313">IF($D964="",0,1/(1+10^(($W964-$V964)/400)))</f>
        <v>0</v>
      </c>
      <c r="Y964">
        <f t="shared" ref="Y964:Y1027" si="314">IF($D964="",0,IFERROR(SUMIFS($U$4:$U$1510,$A$4:$A$1510,$A964,$E$4:$E$1510,"Win")/COUNTIFS($A$4:$A$1510,$A964,$E$4:$E$1510,"Win"),0))</f>
        <v>0</v>
      </c>
      <c r="Z964">
        <f t="shared" ref="Z964:Z1027" si="315">IF($D964="",0,1/(1+10^(($Y964-$U964)/400)))</f>
        <v>0</v>
      </c>
      <c r="AA964">
        <f>IF($D964="",0,IF($F964&lt;2,0,IF($E964="Win",('Guide &amp; Settings'!$C$42/(($F964-1)*COUNTIFS($A$4:$A$1510,$A964,$E$4:$E$1510,"Win")))*SUMIFS($Z$4:$Z$1510,$A$4:$A$1510,$A964,$E$4:$E$1510,"Loss"),-('Guide &amp; Settings'!$C$42/($F964-1))*$Z964)))</f>
        <v>0</v>
      </c>
      <c r="AB964" s="126">
        <f t="shared" ref="AB964:AB1027" si="316">IF($D964="",0,$U964+$AA964)</f>
        <v>0</v>
      </c>
      <c r="AC964" t="str">
        <f>IF($D964="","",IF($AD964=0,0,IF(COUNTIFS($D$4:$D964,$D964,$B$4:$B964,$B964)&gt;1,0,IF($B964&lt;'Guide &amp; Settings'!$C$50,0,IF(($B964-$AD964)/7-'Guide &amp; Settings'!$C$48&gt;=0,(INT(($B964-$AD964)/7-'Guide &amp; Settings'!$C$48)+1)*'Guide &amp; Settings'!$C$49,0)))))</f>
        <v/>
      </c>
      <c r="AD964" s="142">
        <f t="shared" ref="AD964:AD1027" si="317">IF($D964="",0,SUMPRODUCT(MAX(($D$4:$D$1510=$D964)*($B$4:$B$1510&lt;$B964)*$B$4:$B$1510)))</f>
        <v>0</v>
      </c>
      <c r="AE964">
        <f t="shared" ref="AE964:AE1027" si="318">IF($D964="",0,COUNTIFS($A$4:$A$1510,$A964,$E$4:$E$1510,"Win"))</f>
        <v>0</v>
      </c>
      <c r="AF964">
        <f t="shared" ref="AF964:AF1027" si="319">IF($D964="",0,(COUNTIFS($A$4:$A$1510,$A964,$D$4:$D$1510,$D964)&gt;1)*1+(COUNTIFS($A$4:$A$1510,$A964,$C$4:$C$1510,"&lt;&gt;"&amp;$C964)&gt;0)*2+(COUNTIFS($A$4:$A$1510,$A964,$B$4:$B$1510,"&lt;&gt;"&amp;$B964)&gt;0)*4)</f>
        <v>0</v>
      </c>
    </row>
    <row r="965" spans="1:32" x14ac:dyDescent="0.2">
      <c r="A965" s="117"/>
      <c r="B965" s="118"/>
      <c r="C965" s="119"/>
      <c r="D965" s="119"/>
      <c r="E965" s="117"/>
      <c r="F965" s="120">
        <f t="shared" si="300"/>
        <v>0</v>
      </c>
      <c r="G965" s="121" t="str">
        <f t="shared" si="301"/>
        <v/>
      </c>
      <c r="H965" s="122">
        <f>IF($D965="",0,IFERROR(LOOKUP(2,1/(($D$3:D964=$D965)*($A$3:A964&lt;$A965)),$N$3:N964),'Guide &amp; Settings'!$C$41))</f>
        <v>0</v>
      </c>
      <c r="I965" s="123">
        <f t="shared" si="302"/>
        <v>0</v>
      </c>
      <c r="J965" s="124">
        <f>IF($D965="",0,IF($F965&lt;2,0,IF($E965="Win",('Guide &amp; Settings'!$C$42/(($F965-1)*COUNTIFS($A$4:$A$1510,$A965,$E$4:$E$1510,"Win")))*SUMIFS($X$4:$X$1510,$A$4:$A$1510,$A965,$E$4:$E$1510,"Loss"),-('Guide &amp; Settings'!$C$42/($F965-1))*$X965)))</f>
        <v>0</v>
      </c>
      <c r="K965" s="124">
        <f>IF($D965="",0,'Guide &amp; Settings'!$C$43*(IF($E965="Win",1,0)-$I965))</f>
        <v>0</v>
      </c>
      <c r="L965" s="125">
        <f>IF($D965="",0,'Guide &amp; Settings'!$C$44*IF($F965&gt;=3,$F965,0))</f>
        <v>0</v>
      </c>
      <c r="M965" s="124">
        <f t="shared" si="303"/>
        <v>0</v>
      </c>
      <c r="N965" s="122">
        <f t="shared" si="304"/>
        <v>0</v>
      </c>
      <c r="O965" s="121" t="str">
        <f t="shared" si="305"/>
        <v/>
      </c>
      <c r="P965">
        <f t="shared" si="306"/>
        <v>0</v>
      </c>
      <c r="Q965">
        <f t="shared" si="307"/>
        <v>0</v>
      </c>
      <c r="R965">
        <f t="shared" si="308"/>
        <v>0</v>
      </c>
      <c r="S965">
        <f t="shared" si="309"/>
        <v>0</v>
      </c>
      <c r="T965" s="89">
        <f t="shared" si="310"/>
        <v>0</v>
      </c>
      <c r="U965" s="126">
        <f>IF($D965="",0,IFERROR(LOOKUP(2,1/(($D$3:D964=$D965)*($C$3:C964=$C965)*($A$3:A964&lt;$A965)),$AB$3:AB964),1000))</f>
        <v>0</v>
      </c>
      <c r="V965" s="126">
        <f t="shared" si="311"/>
        <v>0</v>
      </c>
      <c r="W965">
        <f t="shared" si="312"/>
        <v>0</v>
      </c>
      <c r="X965">
        <f t="shared" si="313"/>
        <v>0</v>
      </c>
      <c r="Y965">
        <f t="shared" si="314"/>
        <v>0</v>
      </c>
      <c r="Z965">
        <f t="shared" si="315"/>
        <v>0</v>
      </c>
      <c r="AA965">
        <f>IF($D965="",0,IF($F965&lt;2,0,IF($E965="Win",('Guide &amp; Settings'!$C$42/(($F965-1)*COUNTIFS($A$4:$A$1510,$A965,$E$4:$E$1510,"Win")))*SUMIFS($Z$4:$Z$1510,$A$4:$A$1510,$A965,$E$4:$E$1510,"Loss"),-('Guide &amp; Settings'!$C$42/($F965-1))*$Z965)))</f>
        <v>0</v>
      </c>
      <c r="AB965" s="126">
        <f t="shared" si="316"/>
        <v>0</v>
      </c>
      <c r="AC965" t="str">
        <f>IF($D965="","",IF($AD965=0,0,IF(COUNTIFS($D$4:$D965,$D965,$B$4:$B965,$B965)&gt;1,0,IF($B965&lt;'Guide &amp; Settings'!$C$50,0,IF(($B965-$AD965)/7-'Guide &amp; Settings'!$C$48&gt;=0,(INT(($B965-$AD965)/7-'Guide &amp; Settings'!$C$48)+1)*'Guide &amp; Settings'!$C$49,0)))))</f>
        <v/>
      </c>
      <c r="AD965" s="142">
        <f t="shared" si="317"/>
        <v>0</v>
      </c>
      <c r="AE965">
        <f t="shared" si="318"/>
        <v>0</v>
      </c>
      <c r="AF965">
        <f t="shared" si="319"/>
        <v>0</v>
      </c>
    </row>
    <row r="966" spans="1:32" x14ac:dyDescent="0.2">
      <c r="A966" s="117"/>
      <c r="B966" s="118"/>
      <c r="C966" s="119"/>
      <c r="D966" s="119"/>
      <c r="E966" s="117"/>
      <c r="F966" s="120">
        <f t="shared" si="300"/>
        <v>0</v>
      </c>
      <c r="G966" s="121" t="str">
        <f t="shared" si="301"/>
        <v/>
      </c>
      <c r="H966" s="122">
        <f>IF($D966="",0,IFERROR(LOOKUP(2,1/(($D$3:D965=$D966)*($A$3:A965&lt;$A966)),$N$3:N965),'Guide &amp; Settings'!$C$41))</f>
        <v>0</v>
      </c>
      <c r="I966" s="123">
        <f t="shared" si="302"/>
        <v>0</v>
      </c>
      <c r="J966" s="124">
        <f>IF($D966="",0,IF($F966&lt;2,0,IF($E966="Win",('Guide &amp; Settings'!$C$42/(($F966-1)*COUNTIFS($A$4:$A$1510,$A966,$E$4:$E$1510,"Win")))*SUMIFS($X$4:$X$1510,$A$4:$A$1510,$A966,$E$4:$E$1510,"Loss"),-('Guide &amp; Settings'!$C$42/($F966-1))*$X966)))</f>
        <v>0</v>
      </c>
      <c r="K966" s="124">
        <f>IF($D966="",0,'Guide &amp; Settings'!$C$43*(IF($E966="Win",1,0)-$I966))</f>
        <v>0</v>
      </c>
      <c r="L966" s="125">
        <f>IF($D966="",0,'Guide &amp; Settings'!$C$44*IF($F966&gt;=3,$F966,0))</f>
        <v>0</v>
      </c>
      <c r="M966" s="124">
        <f t="shared" si="303"/>
        <v>0</v>
      </c>
      <c r="N966" s="122">
        <f t="shared" si="304"/>
        <v>0</v>
      </c>
      <c r="O966" s="121" t="str">
        <f t="shared" si="305"/>
        <v/>
      </c>
      <c r="P966">
        <f t="shared" si="306"/>
        <v>0</v>
      </c>
      <c r="Q966">
        <f t="shared" si="307"/>
        <v>0</v>
      </c>
      <c r="R966">
        <f t="shared" si="308"/>
        <v>0</v>
      </c>
      <c r="S966">
        <f t="shared" si="309"/>
        <v>0</v>
      </c>
      <c r="T966" s="89">
        <f t="shared" si="310"/>
        <v>0</v>
      </c>
      <c r="U966" s="126">
        <f>IF($D966="",0,IFERROR(LOOKUP(2,1/(($D$3:D965=$D966)*($C$3:C965=$C966)*($A$3:A965&lt;$A966)),$AB$3:AB965),1000))</f>
        <v>0</v>
      </c>
      <c r="V966" s="126">
        <f t="shared" si="311"/>
        <v>0</v>
      </c>
      <c r="W966">
        <f t="shared" si="312"/>
        <v>0</v>
      </c>
      <c r="X966">
        <f t="shared" si="313"/>
        <v>0</v>
      </c>
      <c r="Y966">
        <f t="shared" si="314"/>
        <v>0</v>
      </c>
      <c r="Z966">
        <f t="shared" si="315"/>
        <v>0</v>
      </c>
      <c r="AA966">
        <f>IF($D966="",0,IF($F966&lt;2,0,IF($E966="Win",('Guide &amp; Settings'!$C$42/(($F966-1)*COUNTIFS($A$4:$A$1510,$A966,$E$4:$E$1510,"Win")))*SUMIFS($Z$4:$Z$1510,$A$4:$A$1510,$A966,$E$4:$E$1510,"Loss"),-('Guide &amp; Settings'!$C$42/($F966-1))*$Z966)))</f>
        <v>0</v>
      </c>
      <c r="AB966" s="126">
        <f t="shared" si="316"/>
        <v>0</v>
      </c>
      <c r="AC966" t="str">
        <f>IF($D966="","",IF($AD966=0,0,IF(COUNTIFS($D$4:$D966,$D966,$B$4:$B966,$B966)&gt;1,0,IF($B966&lt;'Guide &amp; Settings'!$C$50,0,IF(($B966-$AD966)/7-'Guide &amp; Settings'!$C$48&gt;=0,(INT(($B966-$AD966)/7-'Guide &amp; Settings'!$C$48)+1)*'Guide &amp; Settings'!$C$49,0)))))</f>
        <v/>
      </c>
      <c r="AD966" s="142">
        <f t="shared" si="317"/>
        <v>0</v>
      </c>
      <c r="AE966">
        <f t="shared" si="318"/>
        <v>0</v>
      </c>
      <c r="AF966">
        <f t="shared" si="319"/>
        <v>0</v>
      </c>
    </row>
    <row r="967" spans="1:32" x14ac:dyDescent="0.2">
      <c r="A967" s="117"/>
      <c r="B967" s="118"/>
      <c r="C967" s="119"/>
      <c r="D967" s="119"/>
      <c r="E967" s="117"/>
      <c r="F967" s="120">
        <f t="shared" si="300"/>
        <v>0</v>
      </c>
      <c r="G967" s="121" t="str">
        <f t="shared" si="301"/>
        <v/>
      </c>
      <c r="H967" s="122">
        <f>IF($D967="",0,IFERROR(LOOKUP(2,1/(($D$3:D966=$D967)*($A$3:A966&lt;$A967)),$N$3:N966),'Guide &amp; Settings'!$C$41))</f>
        <v>0</v>
      </c>
      <c r="I967" s="123">
        <f t="shared" si="302"/>
        <v>0</v>
      </c>
      <c r="J967" s="124">
        <f>IF($D967="",0,IF($F967&lt;2,0,IF($E967="Win",('Guide &amp; Settings'!$C$42/(($F967-1)*COUNTIFS($A$4:$A$1510,$A967,$E$4:$E$1510,"Win")))*SUMIFS($X$4:$X$1510,$A$4:$A$1510,$A967,$E$4:$E$1510,"Loss"),-('Guide &amp; Settings'!$C$42/($F967-1))*$X967)))</f>
        <v>0</v>
      </c>
      <c r="K967" s="124">
        <f>IF($D967="",0,'Guide &amp; Settings'!$C$43*(IF($E967="Win",1,0)-$I967))</f>
        <v>0</v>
      </c>
      <c r="L967" s="125">
        <f>IF($D967="",0,'Guide &amp; Settings'!$C$44*IF($F967&gt;=3,$F967,0))</f>
        <v>0</v>
      </c>
      <c r="M967" s="124">
        <f t="shared" si="303"/>
        <v>0</v>
      </c>
      <c r="N967" s="122">
        <f t="shared" si="304"/>
        <v>0</v>
      </c>
      <c r="O967" s="121" t="str">
        <f t="shared" si="305"/>
        <v/>
      </c>
      <c r="P967">
        <f t="shared" si="306"/>
        <v>0</v>
      </c>
      <c r="Q967">
        <f t="shared" si="307"/>
        <v>0</v>
      </c>
      <c r="R967">
        <f t="shared" si="308"/>
        <v>0</v>
      </c>
      <c r="S967">
        <f t="shared" si="309"/>
        <v>0</v>
      </c>
      <c r="T967" s="89">
        <f t="shared" si="310"/>
        <v>0</v>
      </c>
      <c r="U967" s="126">
        <f>IF($D967="",0,IFERROR(LOOKUP(2,1/(($D$3:D966=$D967)*($C$3:C966=$C967)*($A$3:A966&lt;$A967)),$AB$3:AB966),1000))</f>
        <v>0</v>
      </c>
      <c r="V967" s="126">
        <f t="shared" si="311"/>
        <v>0</v>
      </c>
      <c r="W967">
        <f t="shared" si="312"/>
        <v>0</v>
      </c>
      <c r="X967">
        <f t="shared" si="313"/>
        <v>0</v>
      </c>
      <c r="Y967">
        <f t="shared" si="314"/>
        <v>0</v>
      </c>
      <c r="Z967">
        <f t="shared" si="315"/>
        <v>0</v>
      </c>
      <c r="AA967">
        <f>IF($D967="",0,IF($F967&lt;2,0,IF($E967="Win",('Guide &amp; Settings'!$C$42/(($F967-1)*COUNTIFS($A$4:$A$1510,$A967,$E$4:$E$1510,"Win")))*SUMIFS($Z$4:$Z$1510,$A$4:$A$1510,$A967,$E$4:$E$1510,"Loss"),-('Guide &amp; Settings'!$C$42/($F967-1))*$Z967)))</f>
        <v>0</v>
      </c>
      <c r="AB967" s="126">
        <f t="shared" si="316"/>
        <v>0</v>
      </c>
      <c r="AC967" t="str">
        <f>IF($D967="","",IF($AD967=0,0,IF(COUNTIFS($D$4:$D967,$D967,$B$4:$B967,$B967)&gt;1,0,IF($B967&lt;'Guide &amp; Settings'!$C$50,0,IF(($B967-$AD967)/7-'Guide &amp; Settings'!$C$48&gt;=0,(INT(($B967-$AD967)/7-'Guide &amp; Settings'!$C$48)+1)*'Guide &amp; Settings'!$C$49,0)))))</f>
        <v/>
      </c>
      <c r="AD967" s="142">
        <f t="shared" si="317"/>
        <v>0</v>
      </c>
      <c r="AE967">
        <f t="shared" si="318"/>
        <v>0</v>
      </c>
      <c r="AF967">
        <f t="shared" si="319"/>
        <v>0</v>
      </c>
    </row>
    <row r="968" spans="1:32" x14ac:dyDescent="0.2">
      <c r="A968" s="117"/>
      <c r="B968" s="118"/>
      <c r="C968" s="119"/>
      <c r="D968" s="119"/>
      <c r="E968" s="117"/>
      <c r="F968" s="120">
        <f t="shared" si="300"/>
        <v>0</v>
      </c>
      <c r="G968" s="121" t="str">
        <f t="shared" si="301"/>
        <v/>
      </c>
      <c r="H968" s="122">
        <f>IF($D968="",0,IFERROR(LOOKUP(2,1/(($D$3:D967=$D968)*($A$3:A967&lt;$A968)),$N$3:N967),'Guide &amp; Settings'!$C$41))</f>
        <v>0</v>
      </c>
      <c r="I968" s="123">
        <f t="shared" si="302"/>
        <v>0</v>
      </c>
      <c r="J968" s="124">
        <f>IF($D968="",0,IF($F968&lt;2,0,IF($E968="Win",('Guide &amp; Settings'!$C$42/(($F968-1)*COUNTIFS($A$4:$A$1510,$A968,$E$4:$E$1510,"Win")))*SUMIFS($X$4:$X$1510,$A$4:$A$1510,$A968,$E$4:$E$1510,"Loss"),-('Guide &amp; Settings'!$C$42/($F968-1))*$X968)))</f>
        <v>0</v>
      </c>
      <c r="K968" s="124">
        <f>IF($D968="",0,'Guide &amp; Settings'!$C$43*(IF($E968="Win",1,0)-$I968))</f>
        <v>0</v>
      </c>
      <c r="L968" s="125">
        <f>IF($D968="",0,'Guide &amp; Settings'!$C$44*IF($F968&gt;=3,$F968,0))</f>
        <v>0</v>
      </c>
      <c r="M968" s="124">
        <f t="shared" si="303"/>
        <v>0</v>
      </c>
      <c r="N968" s="122">
        <f t="shared" si="304"/>
        <v>0</v>
      </c>
      <c r="O968" s="121" t="str">
        <f t="shared" si="305"/>
        <v/>
      </c>
      <c r="P968">
        <f t="shared" si="306"/>
        <v>0</v>
      </c>
      <c r="Q968">
        <f t="shared" si="307"/>
        <v>0</v>
      </c>
      <c r="R968">
        <f t="shared" si="308"/>
        <v>0</v>
      </c>
      <c r="S968">
        <f t="shared" si="309"/>
        <v>0</v>
      </c>
      <c r="T968" s="89">
        <f t="shared" si="310"/>
        <v>0</v>
      </c>
      <c r="U968" s="126">
        <f>IF($D968="",0,IFERROR(LOOKUP(2,1/(($D$3:D967=$D968)*($C$3:C967=$C968)*($A$3:A967&lt;$A968)),$AB$3:AB967),1000))</f>
        <v>0</v>
      </c>
      <c r="V968" s="126">
        <f t="shared" si="311"/>
        <v>0</v>
      </c>
      <c r="W968">
        <f t="shared" si="312"/>
        <v>0</v>
      </c>
      <c r="X968">
        <f t="shared" si="313"/>
        <v>0</v>
      </c>
      <c r="Y968">
        <f t="shared" si="314"/>
        <v>0</v>
      </c>
      <c r="Z968">
        <f t="shared" si="315"/>
        <v>0</v>
      </c>
      <c r="AA968">
        <f>IF($D968="",0,IF($F968&lt;2,0,IF($E968="Win",('Guide &amp; Settings'!$C$42/(($F968-1)*COUNTIFS($A$4:$A$1510,$A968,$E$4:$E$1510,"Win")))*SUMIFS($Z$4:$Z$1510,$A$4:$A$1510,$A968,$E$4:$E$1510,"Loss"),-('Guide &amp; Settings'!$C$42/($F968-1))*$Z968)))</f>
        <v>0</v>
      </c>
      <c r="AB968" s="126">
        <f t="shared" si="316"/>
        <v>0</v>
      </c>
      <c r="AC968" t="str">
        <f>IF($D968="","",IF($AD968=0,0,IF(COUNTIFS($D$4:$D968,$D968,$B$4:$B968,$B968)&gt;1,0,IF($B968&lt;'Guide &amp; Settings'!$C$50,0,IF(($B968-$AD968)/7-'Guide &amp; Settings'!$C$48&gt;=0,(INT(($B968-$AD968)/7-'Guide &amp; Settings'!$C$48)+1)*'Guide &amp; Settings'!$C$49,0)))))</f>
        <v/>
      </c>
      <c r="AD968" s="142">
        <f t="shared" si="317"/>
        <v>0</v>
      </c>
      <c r="AE968">
        <f t="shared" si="318"/>
        <v>0</v>
      </c>
      <c r="AF968">
        <f t="shared" si="319"/>
        <v>0</v>
      </c>
    </row>
    <row r="969" spans="1:32" x14ac:dyDescent="0.2">
      <c r="A969" s="117"/>
      <c r="B969" s="118"/>
      <c r="C969" s="119"/>
      <c r="D969" s="119"/>
      <c r="E969" s="117"/>
      <c r="F969" s="120">
        <f t="shared" si="300"/>
        <v>0</v>
      </c>
      <c r="G969" s="121" t="str">
        <f t="shared" si="301"/>
        <v/>
      </c>
      <c r="H969" s="122">
        <f>IF($D969="",0,IFERROR(LOOKUP(2,1/(($D$3:D968=$D969)*($A$3:A968&lt;$A969)),$N$3:N968),'Guide &amp; Settings'!$C$41))</f>
        <v>0</v>
      </c>
      <c r="I969" s="123">
        <f t="shared" si="302"/>
        <v>0</v>
      </c>
      <c r="J969" s="124">
        <f>IF($D969="",0,IF($F969&lt;2,0,IF($E969="Win",('Guide &amp; Settings'!$C$42/(($F969-1)*COUNTIFS($A$4:$A$1510,$A969,$E$4:$E$1510,"Win")))*SUMIFS($X$4:$X$1510,$A$4:$A$1510,$A969,$E$4:$E$1510,"Loss"),-('Guide &amp; Settings'!$C$42/($F969-1))*$X969)))</f>
        <v>0</v>
      </c>
      <c r="K969" s="124">
        <f>IF($D969="",0,'Guide &amp; Settings'!$C$43*(IF($E969="Win",1,0)-$I969))</f>
        <v>0</v>
      </c>
      <c r="L969" s="125">
        <f>IF($D969="",0,'Guide &amp; Settings'!$C$44*IF($F969&gt;=3,$F969,0))</f>
        <v>0</v>
      </c>
      <c r="M969" s="124">
        <f t="shared" si="303"/>
        <v>0</v>
      </c>
      <c r="N969" s="122">
        <f t="shared" si="304"/>
        <v>0</v>
      </c>
      <c r="O969" s="121" t="str">
        <f t="shared" si="305"/>
        <v/>
      </c>
      <c r="P969">
        <f t="shared" si="306"/>
        <v>0</v>
      </c>
      <c r="Q969">
        <f t="shared" si="307"/>
        <v>0</v>
      </c>
      <c r="R969">
        <f t="shared" si="308"/>
        <v>0</v>
      </c>
      <c r="S969">
        <f t="shared" si="309"/>
        <v>0</v>
      </c>
      <c r="T969" s="89">
        <f t="shared" si="310"/>
        <v>0</v>
      </c>
      <c r="U969" s="126">
        <f>IF($D969="",0,IFERROR(LOOKUP(2,1/(($D$3:D968=$D969)*($C$3:C968=$C969)*($A$3:A968&lt;$A969)),$AB$3:AB968),1000))</f>
        <v>0</v>
      </c>
      <c r="V969" s="126">
        <f t="shared" si="311"/>
        <v>0</v>
      </c>
      <c r="W969">
        <f t="shared" si="312"/>
        <v>0</v>
      </c>
      <c r="X969">
        <f t="shared" si="313"/>
        <v>0</v>
      </c>
      <c r="Y969">
        <f t="shared" si="314"/>
        <v>0</v>
      </c>
      <c r="Z969">
        <f t="shared" si="315"/>
        <v>0</v>
      </c>
      <c r="AA969">
        <f>IF($D969="",0,IF($F969&lt;2,0,IF($E969="Win",('Guide &amp; Settings'!$C$42/(($F969-1)*COUNTIFS($A$4:$A$1510,$A969,$E$4:$E$1510,"Win")))*SUMIFS($Z$4:$Z$1510,$A$4:$A$1510,$A969,$E$4:$E$1510,"Loss"),-('Guide &amp; Settings'!$C$42/($F969-1))*$Z969)))</f>
        <v>0</v>
      </c>
      <c r="AB969" s="126">
        <f t="shared" si="316"/>
        <v>0</v>
      </c>
      <c r="AC969" t="str">
        <f>IF($D969="","",IF($AD969=0,0,IF(COUNTIFS($D$4:$D969,$D969,$B$4:$B969,$B969)&gt;1,0,IF($B969&lt;'Guide &amp; Settings'!$C$50,0,IF(($B969-$AD969)/7-'Guide &amp; Settings'!$C$48&gt;=0,(INT(($B969-$AD969)/7-'Guide &amp; Settings'!$C$48)+1)*'Guide &amp; Settings'!$C$49,0)))))</f>
        <v/>
      </c>
      <c r="AD969" s="142">
        <f t="shared" si="317"/>
        <v>0</v>
      </c>
      <c r="AE969">
        <f t="shared" si="318"/>
        <v>0</v>
      </c>
      <c r="AF969">
        <f t="shared" si="319"/>
        <v>0</v>
      </c>
    </row>
    <row r="970" spans="1:32" x14ac:dyDescent="0.2">
      <c r="A970" s="117"/>
      <c r="B970" s="118"/>
      <c r="C970" s="119"/>
      <c r="D970" s="119"/>
      <c r="E970" s="117"/>
      <c r="F970" s="120">
        <f t="shared" si="300"/>
        <v>0</v>
      </c>
      <c r="G970" s="121" t="str">
        <f t="shared" si="301"/>
        <v/>
      </c>
      <c r="H970" s="122">
        <f>IF($D970="",0,IFERROR(LOOKUP(2,1/(($D$3:D969=$D970)*($A$3:A969&lt;$A970)),$N$3:N969),'Guide &amp; Settings'!$C$41))</f>
        <v>0</v>
      </c>
      <c r="I970" s="123">
        <f t="shared" si="302"/>
        <v>0</v>
      </c>
      <c r="J970" s="124">
        <f>IF($D970="",0,IF($F970&lt;2,0,IF($E970="Win",('Guide &amp; Settings'!$C$42/(($F970-1)*COUNTIFS($A$4:$A$1510,$A970,$E$4:$E$1510,"Win")))*SUMIFS($X$4:$X$1510,$A$4:$A$1510,$A970,$E$4:$E$1510,"Loss"),-('Guide &amp; Settings'!$C$42/($F970-1))*$X970)))</f>
        <v>0</v>
      </c>
      <c r="K970" s="124">
        <f>IF($D970="",0,'Guide &amp; Settings'!$C$43*(IF($E970="Win",1,0)-$I970))</f>
        <v>0</v>
      </c>
      <c r="L970" s="125">
        <f>IF($D970="",0,'Guide &amp; Settings'!$C$44*IF($F970&gt;=3,$F970,0))</f>
        <v>0</v>
      </c>
      <c r="M970" s="124">
        <f t="shared" si="303"/>
        <v>0</v>
      </c>
      <c r="N970" s="122">
        <f t="shared" si="304"/>
        <v>0</v>
      </c>
      <c r="O970" s="121" t="str">
        <f t="shared" si="305"/>
        <v/>
      </c>
      <c r="P970">
        <f t="shared" si="306"/>
        <v>0</v>
      </c>
      <c r="Q970">
        <f t="shared" si="307"/>
        <v>0</v>
      </c>
      <c r="R970">
        <f t="shared" si="308"/>
        <v>0</v>
      </c>
      <c r="S970">
        <f t="shared" si="309"/>
        <v>0</v>
      </c>
      <c r="T970" s="89">
        <f t="shared" si="310"/>
        <v>0</v>
      </c>
      <c r="U970" s="126">
        <f>IF($D970="",0,IFERROR(LOOKUP(2,1/(($D$3:D969=$D970)*($C$3:C969=$C970)*($A$3:A969&lt;$A970)),$AB$3:AB969),1000))</f>
        <v>0</v>
      </c>
      <c r="V970" s="126">
        <f t="shared" si="311"/>
        <v>0</v>
      </c>
      <c r="W970">
        <f t="shared" si="312"/>
        <v>0</v>
      </c>
      <c r="X970">
        <f t="shared" si="313"/>
        <v>0</v>
      </c>
      <c r="Y970">
        <f t="shared" si="314"/>
        <v>0</v>
      </c>
      <c r="Z970">
        <f t="shared" si="315"/>
        <v>0</v>
      </c>
      <c r="AA970">
        <f>IF($D970="",0,IF($F970&lt;2,0,IF($E970="Win",('Guide &amp; Settings'!$C$42/(($F970-1)*COUNTIFS($A$4:$A$1510,$A970,$E$4:$E$1510,"Win")))*SUMIFS($Z$4:$Z$1510,$A$4:$A$1510,$A970,$E$4:$E$1510,"Loss"),-('Guide &amp; Settings'!$C$42/($F970-1))*$Z970)))</f>
        <v>0</v>
      </c>
      <c r="AB970" s="126">
        <f t="shared" si="316"/>
        <v>0</v>
      </c>
      <c r="AC970" t="str">
        <f>IF($D970="","",IF($AD970=0,0,IF(COUNTIFS($D$4:$D970,$D970,$B$4:$B970,$B970)&gt;1,0,IF($B970&lt;'Guide &amp; Settings'!$C$50,0,IF(($B970-$AD970)/7-'Guide &amp; Settings'!$C$48&gt;=0,(INT(($B970-$AD970)/7-'Guide &amp; Settings'!$C$48)+1)*'Guide &amp; Settings'!$C$49,0)))))</f>
        <v/>
      </c>
      <c r="AD970" s="142">
        <f t="shared" si="317"/>
        <v>0</v>
      </c>
      <c r="AE970">
        <f t="shared" si="318"/>
        <v>0</v>
      </c>
      <c r="AF970">
        <f t="shared" si="319"/>
        <v>0</v>
      </c>
    </row>
    <row r="971" spans="1:32" x14ac:dyDescent="0.2">
      <c r="A971" s="117"/>
      <c r="B971" s="118"/>
      <c r="C971" s="119"/>
      <c r="D971" s="119"/>
      <c r="E971" s="117"/>
      <c r="F971" s="120">
        <f t="shared" si="300"/>
        <v>0</v>
      </c>
      <c r="G971" s="121" t="str">
        <f t="shared" si="301"/>
        <v/>
      </c>
      <c r="H971" s="122">
        <f>IF($D971="",0,IFERROR(LOOKUP(2,1/(($D$3:D970=$D971)*($A$3:A970&lt;$A971)),$N$3:N970),'Guide &amp; Settings'!$C$41))</f>
        <v>0</v>
      </c>
      <c r="I971" s="123">
        <f t="shared" si="302"/>
        <v>0</v>
      </c>
      <c r="J971" s="124">
        <f>IF($D971="",0,IF($F971&lt;2,0,IF($E971="Win",('Guide &amp; Settings'!$C$42/(($F971-1)*COUNTIFS($A$4:$A$1510,$A971,$E$4:$E$1510,"Win")))*SUMIFS($X$4:$X$1510,$A$4:$A$1510,$A971,$E$4:$E$1510,"Loss"),-('Guide &amp; Settings'!$C$42/($F971-1))*$X971)))</f>
        <v>0</v>
      </c>
      <c r="K971" s="124">
        <f>IF($D971="",0,'Guide &amp; Settings'!$C$43*(IF($E971="Win",1,0)-$I971))</f>
        <v>0</v>
      </c>
      <c r="L971" s="125">
        <f>IF($D971="",0,'Guide &amp; Settings'!$C$44*IF($F971&gt;=3,$F971,0))</f>
        <v>0</v>
      </c>
      <c r="M971" s="124">
        <f t="shared" si="303"/>
        <v>0</v>
      </c>
      <c r="N971" s="122">
        <f t="shared" si="304"/>
        <v>0</v>
      </c>
      <c r="O971" s="121" t="str">
        <f t="shared" si="305"/>
        <v/>
      </c>
      <c r="P971">
        <f t="shared" si="306"/>
        <v>0</v>
      </c>
      <c r="Q971">
        <f t="shared" si="307"/>
        <v>0</v>
      </c>
      <c r="R971">
        <f t="shared" si="308"/>
        <v>0</v>
      </c>
      <c r="S971">
        <f t="shared" si="309"/>
        <v>0</v>
      </c>
      <c r="T971" s="89">
        <f t="shared" si="310"/>
        <v>0</v>
      </c>
      <c r="U971" s="126">
        <f>IF($D971="",0,IFERROR(LOOKUP(2,1/(($D$3:D970=$D971)*($C$3:C970=$C971)*($A$3:A970&lt;$A971)),$AB$3:AB970),1000))</f>
        <v>0</v>
      </c>
      <c r="V971" s="126">
        <f t="shared" si="311"/>
        <v>0</v>
      </c>
      <c r="W971">
        <f t="shared" si="312"/>
        <v>0</v>
      </c>
      <c r="X971">
        <f t="shared" si="313"/>
        <v>0</v>
      </c>
      <c r="Y971">
        <f t="shared" si="314"/>
        <v>0</v>
      </c>
      <c r="Z971">
        <f t="shared" si="315"/>
        <v>0</v>
      </c>
      <c r="AA971">
        <f>IF($D971="",0,IF($F971&lt;2,0,IF($E971="Win",('Guide &amp; Settings'!$C$42/(($F971-1)*COUNTIFS($A$4:$A$1510,$A971,$E$4:$E$1510,"Win")))*SUMIFS($Z$4:$Z$1510,$A$4:$A$1510,$A971,$E$4:$E$1510,"Loss"),-('Guide &amp; Settings'!$C$42/($F971-1))*$Z971)))</f>
        <v>0</v>
      </c>
      <c r="AB971" s="126">
        <f t="shared" si="316"/>
        <v>0</v>
      </c>
      <c r="AC971" t="str">
        <f>IF($D971="","",IF($AD971=0,0,IF(COUNTIFS($D$4:$D971,$D971,$B$4:$B971,$B971)&gt;1,0,IF($B971&lt;'Guide &amp; Settings'!$C$50,0,IF(($B971-$AD971)/7-'Guide &amp; Settings'!$C$48&gt;=0,(INT(($B971-$AD971)/7-'Guide &amp; Settings'!$C$48)+1)*'Guide &amp; Settings'!$C$49,0)))))</f>
        <v/>
      </c>
      <c r="AD971" s="142">
        <f t="shared" si="317"/>
        <v>0</v>
      </c>
      <c r="AE971">
        <f t="shared" si="318"/>
        <v>0</v>
      </c>
      <c r="AF971">
        <f t="shared" si="319"/>
        <v>0</v>
      </c>
    </row>
    <row r="972" spans="1:32" x14ac:dyDescent="0.2">
      <c r="A972" s="117"/>
      <c r="B972" s="118"/>
      <c r="C972" s="119"/>
      <c r="D972" s="119"/>
      <c r="E972" s="117"/>
      <c r="F972" s="120">
        <f t="shared" si="300"/>
        <v>0</v>
      </c>
      <c r="G972" s="121" t="str">
        <f t="shared" si="301"/>
        <v/>
      </c>
      <c r="H972" s="122">
        <f>IF($D972="",0,IFERROR(LOOKUP(2,1/(($D$3:D971=$D972)*($A$3:A971&lt;$A972)),$N$3:N971),'Guide &amp; Settings'!$C$41))</f>
        <v>0</v>
      </c>
      <c r="I972" s="123">
        <f t="shared" si="302"/>
        <v>0</v>
      </c>
      <c r="J972" s="124">
        <f>IF($D972="",0,IF($F972&lt;2,0,IF($E972="Win",('Guide &amp; Settings'!$C$42/(($F972-1)*COUNTIFS($A$4:$A$1510,$A972,$E$4:$E$1510,"Win")))*SUMIFS($X$4:$X$1510,$A$4:$A$1510,$A972,$E$4:$E$1510,"Loss"),-('Guide &amp; Settings'!$C$42/($F972-1))*$X972)))</f>
        <v>0</v>
      </c>
      <c r="K972" s="124">
        <f>IF($D972="",0,'Guide &amp; Settings'!$C$43*(IF($E972="Win",1,0)-$I972))</f>
        <v>0</v>
      </c>
      <c r="L972" s="125">
        <f>IF($D972="",0,'Guide &amp; Settings'!$C$44*IF($F972&gt;=3,$F972,0))</f>
        <v>0</v>
      </c>
      <c r="M972" s="124">
        <f t="shared" si="303"/>
        <v>0</v>
      </c>
      <c r="N972" s="122">
        <f t="shared" si="304"/>
        <v>0</v>
      </c>
      <c r="O972" s="121" t="str">
        <f t="shared" si="305"/>
        <v/>
      </c>
      <c r="P972">
        <f t="shared" si="306"/>
        <v>0</v>
      </c>
      <c r="Q972">
        <f t="shared" si="307"/>
        <v>0</v>
      </c>
      <c r="R972">
        <f t="shared" si="308"/>
        <v>0</v>
      </c>
      <c r="S972">
        <f t="shared" si="309"/>
        <v>0</v>
      </c>
      <c r="T972" s="89">
        <f t="shared" si="310"/>
        <v>0</v>
      </c>
      <c r="U972" s="126">
        <f>IF($D972="",0,IFERROR(LOOKUP(2,1/(($D$3:D971=$D972)*($C$3:C971=$C972)*($A$3:A971&lt;$A972)),$AB$3:AB971),1000))</f>
        <v>0</v>
      </c>
      <c r="V972" s="126">
        <f t="shared" si="311"/>
        <v>0</v>
      </c>
      <c r="W972">
        <f t="shared" si="312"/>
        <v>0</v>
      </c>
      <c r="X972">
        <f t="shared" si="313"/>
        <v>0</v>
      </c>
      <c r="Y972">
        <f t="shared" si="314"/>
        <v>0</v>
      </c>
      <c r="Z972">
        <f t="shared" si="315"/>
        <v>0</v>
      </c>
      <c r="AA972">
        <f>IF($D972="",0,IF($F972&lt;2,0,IF($E972="Win",('Guide &amp; Settings'!$C$42/(($F972-1)*COUNTIFS($A$4:$A$1510,$A972,$E$4:$E$1510,"Win")))*SUMIFS($Z$4:$Z$1510,$A$4:$A$1510,$A972,$E$4:$E$1510,"Loss"),-('Guide &amp; Settings'!$C$42/($F972-1))*$Z972)))</f>
        <v>0</v>
      </c>
      <c r="AB972" s="126">
        <f t="shared" si="316"/>
        <v>0</v>
      </c>
      <c r="AC972" t="str">
        <f>IF($D972="","",IF($AD972=0,0,IF(COUNTIFS($D$4:$D972,$D972,$B$4:$B972,$B972)&gt;1,0,IF($B972&lt;'Guide &amp; Settings'!$C$50,0,IF(($B972-$AD972)/7-'Guide &amp; Settings'!$C$48&gt;=0,(INT(($B972-$AD972)/7-'Guide &amp; Settings'!$C$48)+1)*'Guide &amp; Settings'!$C$49,0)))))</f>
        <v/>
      </c>
      <c r="AD972" s="142">
        <f t="shared" si="317"/>
        <v>0</v>
      </c>
      <c r="AE972">
        <f t="shared" si="318"/>
        <v>0</v>
      </c>
      <c r="AF972">
        <f t="shared" si="319"/>
        <v>0</v>
      </c>
    </row>
    <row r="973" spans="1:32" x14ac:dyDescent="0.2">
      <c r="A973" s="117"/>
      <c r="B973" s="118"/>
      <c r="C973" s="119"/>
      <c r="D973" s="119"/>
      <c r="E973" s="117"/>
      <c r="F973" s="120">
        <f t="shared" si="300"/>
        <v>0</v>
      </c>
      <c r="G973" s="121" t="str">
        <f t="shared" si="301"/>
        <v/>
      </c>
      <c r="H973" s="122">
        <f>IF($D973="",0,IFERROR(LOOKUP(2,1/(($D$3:D972=$D973)*($A$3:A972&lt;$A973)),$N$3:N972),'Guide &amp; Settings'!$C$41))</f>
        <v>0</v>
      </c>
      <c r="I973" s="123">
        <f t="shared" si="302"/>
        <v>0</v>
      </c>
      <c r="J973" s="124">
        <f>IF($D973="",0,IF($F973&lt;2,0,IF($E973="Win",('Guide &amp; Settings'!$C$42/(($F973-1)*COUNTIFS($A$4:$A$1510,$A973,$E$4:$E$1510,"Win")))*SUMIFS($X$4:$X$1510,$A$4:$A$1510,$A973,$E$4:$E$1510,"Loss"),-('Guide &amp; Settings'!$C$42/($F973-1))*$X973)))</f>
        <v>0</v>
      </c>
      <c r="K973" s="124">
        <f>IF($D973="",0,'Guide &amp; Settings'!$C$43*(IF($E973="Win",1,0)-$I973))</f>
        <v>0</v>
      </c>
      <c r="L973" s="125">
        <f>IF($D973="",0,'Guide &amp; Settings'!$C$44*IF($F973&gt;=3,$F973,0))</f>
        <v>0</v>
      </c>
      <c r="M973" s="124">
        <f t="shared" si="303"/>
        <v>0</v>
      </c>
      <c r="N973" s="122">
        <f t="shared" si="304"/>
        <v>0</v>
      </c>
      <c r="O973" s="121" t="str">
        <f t="shared" si="305"/>
        <v/>
      </c>
      <c r="P973">
        <f t="shared" si="306"/>
        <v>0</v>
      </c>
      <c r="Q973">
        <f t="shared" si="307"/>
        <v>0</v>
      </c>
      <c r="R973">
        <f t="shared" si="308"/>
        <v>0</v>
      </c>
      <c r="S973">
        <f t="shared" si="309"/>
        <v>0</v>
      </c>
      <c r="T973" s="89">
        <f t="shared" si="310"/>
        <v>0</v>
      </c>
      <c r="U973" s="126">
        <f>IF($D973="",0,IFERROR(LOOKUP(2,1/(($D$3:D972=$D973)*($C$3:C972=$C973)*($A$3:A972&lt;$A973)),$AB$3:AB972),1000))</f>
        <v>0</v>
      </c>
      <c r="V973" s="126">
        <f t="shared" si="311"/>
        <v>0</v>
      </c>
      <c r="W973">
        <f t="shared" si="312"/>
        <v>0</v>
      </c>
      <c r="X973">
        <f t="shared" si="313"/>
        <v>0</v>
      </c>
      <c r="Y973">
        <f t="shared" si="314"/>
        <v>0</v>
      </c>
      <c r="Z973">
        <f t="shared" si="315"/>
        <v>0</v>
      </c>
      <c r="AA973">
        <f>IF($D973="",0,IF($F973&lt;2,0,IF($E973="Win",('Guide &amp; Settings'!$C$42/(($F973-1)*COUNTIFS($A$4:$A$1510,$A973,$E$4:$E$1510,"Win")))*SUMIFS($Z$4:$Z$1510,$A$4:$A$1510,$A973,$E$4:$E$1510,"Loss"),-('Guide &amp; Settings'!$C$42/($F973-1))*$Z973)))</f>
        <v>0</v>
      </c>
      <c r="AB973" s="126">
        <f t="shared" si="316"/>
        <v>0</v>
      </c>
      <c r="AC973" t="str">
        <f>IF($D973="","",IF($AD973=0,0,IF(COUNTIFS($D$4:$D973,$D973,$B$4:$B973,$B973)&gt;1,0,IF($B973&lt;'Guide &amp; Settings'!$C$50,0,IF(($B973-$AD973)/7-'Guide &amp; Settings'!$C$48&gt;=0,(INT(($B973-$AD973)/7-'Guide &amp; Settings'!$C$48)+1)*'Guide &amp; Settings'!$C$49,0)))))</f>
        <v/>
      </c>
      <c r="AD973" s="142">
        <f t="shared" si="317"/>
        <v>0</v>
      </c>
      <c r="AE973">
        <f t="shared" si="318"/>
        <v>0</v>
      </c>
      <c r="AF973">
        <f t="shared" si="319"/>
        <v>0</v>
      </c>
    </row>
    <row r="974" spans="1:32" x14ac:dyDescent="0.2">
      <c r="A974" s="117"/>
      <c r="B974" s="118"/>
      <c r="C974" s="119"/>
      <c r="D974" s="119"/>
      <c r="E974" s="117"/>
      <c r="F974" s="120">
        <f t="shared" si="300"/>
        <v>0</v>
      </c>
      <c r="G974" s="121" t="str">
        <f t="shared" si="301"/>
        <v/>
      </c>
      <c r="H974" s="122">
        <f>IF($D974="",0,IFERROR(LOOKUP(2,1/(($D$3:D973=$D974)*($A$3:A973&lt;$A974)),$N$3:N973),'Guide &amp; Settings'!$C$41))</f>
        <v>0</v>
      </c>
      <c r="I974" s="123">
        <f t="shared" si="302"/>
        <v>0</v>
      </c>
      <c r="J974" s="124">
        <f>IF($D974="",0,IF($F974&lt;2,0,IF($E974="Win",('Guide &amp; Settings'!$C$42/(($F974-1)*COUNTIFS($A$4:$A$1510,$A974,$E$4:$E$1510,"Win")))*SUMIFS($X$4:$X$1510,$A$4:$A$1510,$A974,$E$4:$E$1510,"Loss"),-('Guide &amp; Settings'!$C$42/($F974-1))*$X974)))</f>
        <v>0</v>
      </c>
      <c r="K974" s="124">
        <f>IF($D974="",0,'Guide &amp; Settings'!$C$43*(IF($E974="Win",1,0)-$I974))</f>
        <v>0</v>
      </c>
      <c r="L974" s="125">
        <f>IF($D974="",0,'Guide &amp; Settings'!$C$44*IF($F974&gt;=3,$F974,0))</f>
        <v>0</v>
      </c>
      <c r="M974" s="124">
        <f t="shared" si="303"/>
        <v>0</v>
      </c>
      <c r="N974" s="122">
        <f t="shared" si="304"/>
        <v>0</v>
      </c>
      <c r="O974" s="121" t="str">
        <f t="shared" si="305"/>
        <v/>
      </c>
      <c r="P974">
        <f t="shared" si="306"/>
        <v>0</v>
      </c>
      <c r="Q974">
        <f t="shared" si="307"/>
        <v>0</v>
      </c>
      <c r="R974">
        <f t="shared" si="308"/>
        <v>0</v>
      </c>
      <c r="S974">
        <f t="shared" si="309"/>
        <v>0</v>
      </c>
      <c r="T974" s="89">
        <f t="shared" si="310"/>
        <v>0</v>
      </c>
      <c r="U974" s="126">
        <f>IF($D974="",0,IFERROR(LOOKUP(2,1/(($D$3:D973=$D974)*($C$3:C973=$C974)*($A$3:A973&lt;$A974)),$AB$3:AB973),1000))</f>
        <v>0</v>
      </c>
      <c r="V974" s="126">
        <f t="shared" si="311"/>
        <v>0</v>
      </c>
      <c r="W974">
        <f t="shared" si="312"/>
        <v>0</v>
      </c>
      <c r="X974">
        <f t="shared" si="313"/>
        <v>0</v>
      </c>
      <c r="Y974">
        <f t="shared" si="314"/>
        <v>0</v>
      </c>
      <c r="Z974">
        <f t="shared" si="315"/>
        <v>0</v>
      </c>
      <c r="AA974">
        <f>IF($D974="",0,IF($F974&lt;2,0,IF($E974="Win",('Guide &amp; Settings'!$C$42/(($F974-1)*COUNTIFS($A$4:$A$1510,$A974,$E$4:$E$1510,"Win")))*SUMIFS($Z$4:$Z$1510,$A$4:$A$1510,$A974,$E$4:$E$1510,"Loss"),-('Guide &amp; Settings'!$C$42/($F974-1))*$Z974)))</f>
        <v>0</v>
      </c>
      <c r="AB974" s="126">
        <f t="shared" si="316"/>
        <v>0</v>
      </c>
      <c r="AC974" t="str">
        <f>IF($D974="","",IF($AD974=0,0,IF(COUNTIFS($D$4:$D974,$D974,$B$4:$B974,$B974)&gt;1,0,IF($B974&lt;'Guide &amp; Settings'!$C$50,0,IF(($B974-$AD974)/7-'Guide &amp; Settings'!$C$48&gt;=0,(INT(($B974-$AD974)/7-'Guide &amp; Settings'!$C$48)+1)*'Guide &amp; Settings'!$C$49,0)))))</f>
        <v/>
      </c>
      <c r="AD974" s="142">
        <f t="shared" si="317"/>
        <v>0</v>
      </c>
      <c r="AE974">
        <f t="shared" si="318"/>
        <v>0</v>
      </c>
      <c r="AF974">
        <f t="shared" si="319"/>
        <v>0</v>
      </c>
    </row>
    <row r="975" spans="1:32" x14ac:dyDescent="0.2">
      <c r="A975" s="117"/>
      <c r="B975" s="118"/>
      <c r="C975" s="119"/>
      <c r="D975" s="119"/>
      <c r="E975" s="117"/>
      <c r="F975" s="120">
        <f t="shared" si="300"/>
        <v>0</v>
      </c>
      <c r="G975" s="121" t="str">
        <f t="shared" si="301"/>
        <v/>
      </c>
      <c r="H975" s="122">
        <f>IF($D975="",0,IFERROR(LOOKUP(2,1/(($D$3:D974=$D975)*($A$3:A974&lt;$A975)),$N$3:N974),'Guide &amp; Settings'!$C$41))</f>
        <v>0</v>
      </c>
      <c r="I975" s="123">
        <f t="shared" si="302"/>
        <v>0</v>
      </c>
      <c r="J975" s="124">
        <f>IF($D975="",0,IF($F975&lt;2,0,IF($E975="Win",('Guide &amp; Settings'!$C$42/(($F975-1)*COUNTIFS($A$4:$A$1510,$A975,$E$4:$E$1510,"Win")))*SUMIFS($X$4:$X$1510,$A$4:$A$1510,$A975,$E$4:$E$1510,"Loss"),-('Guide &amp; Settings'!$C$42/($F975-1))*$X975)))</f>
        <v>0</v>
      </c>
      <c r="K975" s="124">
        <f>IF($D975="",0,'Guide &amp; Settings'!$C$43*(IF($E975="Win",1,0)-$I975))</f>
        <v>0</v>
      </c>
      <c r="L975" s="125">
        <f>IF($D975="",0,'Guide &amp; Settings'!$C$44*IF($F975&gt;=3,$F975,0))</f>
        <v>0</v>
      </c>
      <c r="M975" s="124">
        <f t="shared" si="303"/>
        <v>0</v>
      </c>
      <c r="N975" s="122">
        <f t="shared" si="304"/>
        <v>0</v>
      </c>
      <c r="O975" s="121" t="str">
        <f t="shared" si="305"/>
        <v/>
      </c>
      <c r="P975">
        <f t="shared" si="306"/>
        <v>0</v>
      </c>
      <c r="Q975">
        <f t="shared" si="307"/>
        <v>0</v>
      </c>
      <c r="R975">
        <f t="shared" si="308"/>
        <v>0</v>
      </c>
      <c r="S975">
        <f t="shared" si="309"/>
        <v>0</v>
      </c>
      <c r="T975" s="89">
        <f t="shared" si="310"/>
        <v>0</v>
      </c>
      <c r="U975" s="126">
        <f>IF($D975="",0,IFERROR(LOOKUP(2,1/(($D$3:D974=$D975)*($C$3:C974=$C975)*($A$3:A974&lt;$A975)),$AB$3:AB974),1000))</f>
        <v>0</v>
      </c>
      <c r="V975" s="126">
        <f t="shared" si="311"/>
        <v>0</v>
      </c>
      <c r="W975">
        <f t="shared" si="312"/>
        <v>0</v>
      </c>
      <c r="X975">
        <f t="shared" si="313"/>
        <v>0</v>
      </c>
      <c r="Y975">
        <f t="shared" si="314"/>
        <v>0</v>
      </c>
      <c r="Z975">
        <f t="shared" si="315"/>
        <v>0</v>
      </c>
      <c r="AA975">
        <f>IF($D975="",0,IF($F975&lt;2,0,IF($E975="Win",('Guide &amp; Settings'!$C$42/(($F975-1)*COUNTIFS($A$4:$A$1510,$A975,$E$4:$E$1510,"Win")))*SUMIFS($Z$4:$Z$1510,$A$4:$A$1510,$A975,$E$4:$E$1510,"Loss"),-('Guide &amp; Settings'!$C$42/($F975-1))*$Z975)))</f>
        <v>0</v>
      </c>
      <c r="AB975" s="126">
        <f t="shared" si="316"/>
        <v>0</v>
      </c>
      <c r="AC975" t="str">
        <f>IF($D975="","",IF($AD975=0,0,IF(COUNTIFS($D$4:$D975,$D975,$B$4:$B975,$B975)&gt;1,0,IF($B975&lt;'Guide &amp; Settings'!$C$50,0,IF(($B975-$AD975)/7-'Guide &amp; Settings'!$C$48&gt;=0,(INT(($B975-$AD975)/7-'Guide &amp; Settings'!$C$48)+1)*'Guide &amp; Settings'!$C$49,0)))))</f>
        <v/>
      </c>
      <c r="AD975" s="142">
        <f t="shared" si="317"/>
        <v>0</v>
      </c>
      <c r="AE975">
        <f t="shared" si="318"/>
        <v>0</v>
      </c>
      <c r="AF975">
        <f t="shared" si="319"/>
        <v>0</v>
      </c>
    </row>
    <row r="976" spans="1:32" x14ac:dyDescent="0.2">
      <c r="A976" s="117"/>
      <c r="B976" s="118"/>
      <c r="C976" s="119"/>
      <c r="D976" s="119"/>
      <c r="E976" s="117"/>
      <c r="F976" s="120">
        <f t="shared" si="300"/>
        <v>0</v>
      </c>
      <c r="G976" s="121" t="str">
        <f t="shared" si="301"/>
        <v/>
      </c>
      <c r="H976" s="122">
        <f>IF($D976="",0,IFERROR(LOOKUP(2,1/(($D$3:D975=$D976)*($A$3:A975&lt;$A976)),$N$3:N975),'Guide &amp; Settings'!$C$41))</f>
        <v>0</v>
      </c>
      <c r="I976" s="123">
        <f t="shared" si="302"/>
        <v>0</v>
      </c>
      <c r="J976" s="124">
        <f>IF($D976="",0,IF($F976&lt;2,0,IF($E976="Win",('Guide &amp; Settings'!$C$42/(($F976-1)*COUNTIFS($A$4:$A$1510,$A976,$E$4:$E$1510,"Win")))*SUMIFS($X$4:$X$1510,$A$4:$A$1510,$A976,$E$4:$E$1510,"Loss"),-('Guide &amp; Settings'!$C$42/($F976-1))*$X976)))</f>
        <v>0</v>
      </c>
      <c r="K976" s="124">
        <f>IF($D976="",0,'Guide &amp; Settings'!$C$43*(IF($E976="Win",1,0)-$I976))</f>
        <v>0</v>
      </c>
      <c r="L976" s="125">
        <f>IF($D976="",0,'Guide &amp; Settings'!$C$44*IF($F976&gt;=3,$F976,0))</f>
        <v>0</v>
      </c>
      <c r="M976" s="124">
        <f t="shared" si="303"/>
        <v>0</v>
      </c>
      <c r="N976" s="122">
        <f t="shared" si="304"/>
        <v>0</v>
      </c>
      <c r="O976" s="121" t="str">
        <f t="shared" si="305"/>
        <v/>
      </c>
      <c r="P976">
        <f t="shared" si="306"/>
        <v>0</v>
      </c>
      <c r="Q976">
        <f t="shared" si="307"/>
        <v>0</v>
      </c>
      <c r="R976">
        <f t="shared" si="308"/>
        <v>0</v>
      </c>
      <c r="S976">
        <f t="shared" si="309"/>
        <v>0</v>
      </c>
      <c r="T976" s="89">
        <f t="shared" si="310"/>
        <v>0</v>
      </c>
      <c r="U976" s="126">
        <f>IF($D976="",0,IFERROR(LOOKUP(2,1/(($D$3:D975=$D976)*($C$3:C975=$C976)*($A$3:A975&lt;$A976)),$AB$3:AB975),1000))</f>
        <v>0</v>
      </c>
      <c r="V976" s="126">
        <f t="shared" si="311"/>
        <v>0</v>
      </c>
      <c r="W976">
        <f t="shared" si="312"/>
        <v>0</v>
      </c>
      <c r="X976">
        <f t="shared" si="313"/>
        <v>0</v>
      </c>
      <c r="Y976">
        <f t="shared" si="314"/>
        <v>0</v>
      </c>
      <c r="Z976">
        <f t="shared" si="315"/>
        <v>0</v>
      </c>
      <c r="AA976">
        <f>IF($D976="",0,IF($F976&lt;2,0,IF($E976="Win",('Guide &amp; Settings'!$C$42/(($F976-1)*COUNTIFS($A$4:$A$1510,$A976,$E$4:$E$1510,"Win")))*SUMIFS($Z$4:$Z$1510,$A$4:$A$1510,$A976,$E$4:$E$1510,"Loss"),-('Guide &amp; Settings'!$C$42/($F976-1))*$Z976)))</f>
        <v>0</v>
      </c>
      <c r="AB976" s="126">
        <f t="shared" si="316"/>
        <v>0</v>
      </c>
      <c r="AC976" t="str">
        <f>IF($D976="","",IF($AD976=0,0,IF(COUNTIFS($D$4:$D976,$D976,$B$4:$B976,$B976)&gt;1,0,IF($B976&lt;'Guide &amp; Settings'!$C$50,0,IF(($B976-$AD976)/7-'Guide &amp; Settings'!$C$48&gt;=0,(INT(($B976-$AD976)/7-'Guide &amp; Settings'!$C$48)+1)*'Guide &amp; Settings'!$C$49,0)))))</f>
        <v/>
      </c>
      <c r="AD976" s="142">
        <f t="shared" si="317"/>
        <v>0</v>
      </c>
      <c r="AE976">
        <f t="shared" si="318"/>
        <v>0</v>
      </c>
      <c r="AF976">
        <f t="shared" si="319"/>
        <v>0</v>
      </c>
    </row>
    <row r="977" spans="1:32" x14ac:dyDescent="0.2">
      <c r="A977" s="117"/>
      <c r="B977" s="118"/>
      <c r="C977" s="119"/>
      <c r="D977" s="119"/>
      <c r="E977" s="117"/>
      <c r="F977" s="120">
        <f t="shared" si="300"/>
        <v>0</v>
      </c>
      <c r="G977" s="121" t="str">
        <f t="shared" si="301"/>
        <v/>
      </c>
      <c r="H977" s="122">
        <f>IF($D977="",0,IFERROR(LOOKUP(2,1/(($D$3:D976=$D977)*($A$3:A976&lt;$A977)),$N$3:N976),'Guide &amp; Settings'!$C$41))</f>
        <v>0</v>
      </c>
      <c r="I977" s="123">
        <f t="shared" si="302"/>
        <v>0</v>
      </c>
      <c r="J977" s="124">
        <f>IF($D977="",0,IF($F977&lt;2,0,IF($E977="Win",('Guide &amp; Settings'!$C$42/(($F977-1)*COUNTIFS($A$4:$A$1510,$A977,$E$4:$E$1510,"Win")))*SUMIFS($X$4:$X$1510,$A$4:$A$1510,$A977,$E$4:$E$1510,"Loss"),-('Guide &amp; Settings'!$C$42/($F977-1))*$X977)))</f>
        <v>0</v>
      </c>
      <c r="K977" s="124">
        <f>IF($D977="",0,'Guide &amp; Settings'!$C$43*(IF($E977="Win",1,0)-$I977))</f>
        <v>0</v>
      </c>
      <c r="L977" s="125">
        <f>IF($D977="",0,'Guide &amp; Settings'!$C$44*IF($F977&gt;=3,$F977,0))</f>
        <v>0</v>
      </c>
      <c r="M977" s="124">
        <f t="shared" si="303"/>
        <v>0</v>
      </c>
      <c r="N977" s="122">
        <f t="shared" si="304"/>
        <v>0</v>
      </c>
      <c r="O977" s="121" t="str">
        <f t="shared" si="305"/>
        <v/>
      </c>
      <c r="P977">
        <f t="shared" si="306"/>
        <v>0</v>
      </c>
      <c r="Q977">
        <f t="shared" si="307"/>
        <v>0</v>
      </c>
      <c r="R977">
        <f t="shared" si="308"/>
        <v>0</v>
      </c>
      <c r="S977">
        <f t="shared" si="309"/>
        <v>0</v>
      </c>
      <c r="T977" s="89">
        <f t="shared" si="310"/>
        <v>0</v>
      </c>
      <c r="U977" s="126">
        <f>IF($D977="",0,IFERROR(LOOKUP(2,1/(($D$3:D976=$D977)*($C$3:C976=$C977)*($A$3:A976&lt;$A977)),$AB$3:AB976),1000))</f>
        <v>0</v>
      </c>
      <c r="V977" s="126">
        <f t="shared" si="311"/>
        <v>0</v>
      </c>
      <c r="W977">
        <f t="shared" si="312"/>
        <v>0</v>
      </c>
      <c r="X977">
        <f t="shared" si="313"/>
        <v>0</v>
      </c>
      <c r="Y977">
        <f t="shared" si="314"/>
        <v>0</v>
      </c>
      <c r="Z977">
        <f t="shared" si="315"/>
        <v>0</v>
      </c>
      <c r="AA977">
        <f>IF($D977="",0,IF($F977&lt;2,0,IF($E977="Win",('Guide &amp; Settings'!$C$42/(($F977-1)*COUNTIFS($A$4:$A$1510,$A977,$E$4:$E$1510,"Win")))*SUMIFS($Z$4:$Z$1510,$A$4:$A$1510,$A977,$E$4:$E$1510,"Loss"),-('Guide &amp; Settings'!$C$42/($F977-1))*$Z977)))</f>
        <v>0</v>
      </c>
      <c r="AB977" s="126">
        <f t="shared" si="316"/>
        <v>0</v>
      </c>
      <c r="AC977" t="str">
        <f>IF($D977="","",IF($AD977=0,0,IF(COUNTIFS($D$4:$D977,$D977,$B$4:$B977,$B977)&gt;1,0,IF($B977&lt;'Guide &amp; Settings'!$C$50,0,IF(($B977-$AD977)/7-'Guide &amp; Settings'!$C$48&gt;=0,(INT(($B977-$AD977)/7-'Guide &amp; Settings'!$C$48)+1)*'Guide &amp; Settings'!$C$49,0)))))</f>
        <v/>
      </c>
      <c r="AD977" s="142">
        <f t="shared" si="317"/>
        <v>0</v>
      </c>
      <c r="AE977">
        <f t="shared" si="318"/>
        <v>0</v>
      </c>
      <c r="AF977">
        <f t="shared" si="319"/>
        <v>0</v>
      </c>
    </row>
    <row r="978" spans="1:32" x14ac:dyDescent="0.2">
      <c r="A978" s="117"/>
      <c r="B978" s="118"/>
      <c r="C978" s="119"/>
      <c r="D978" s="119"/>
      <c r="E978" s="117"/>
      <c r="F978" s="120">
        <f t="shared" si="300"/>
        <v>0</v>
      </c>
      <c r="G978" s="121" t="str">
        <f t="shared" si="301"/>
        <v/>
      </c>
      <c r="H978" s="122">
        <f>IF($D978="",0,IFERROR(LOOKUP(2,1/(($D$3:D977=$D978)*($A$3:A977&lt;$A978)),$N$3:N977),'Guide &amp; Settings'!$C$41))</f>
        <v>0</v>
      </c>
      <c r="I978" s="123">
        <f t="shared" si="302"/>
        <v>0</v>
      </c>
      <c r="J978" s="124">
        <f>IF($D978="",0,IF($F978&lt;2,0,IF($E978="Win",('Guide &amp; Settings'!$C$42/(($F978-1)*COUNTIFS($A$4:$A$1510,$A978,$E$4:$E$1510,"Win")))*SUMIFS($X$4:$X$1510,$A$4:$A$1510,$A978,$E$4:$E$1510,"Loss"),-('Guide &amp; Settings'!$C$42/($F978-1))*$X978)))</f>
        <v>0</v>
      </c>
      <c r="K978" s="124">
        <f>IF($D978="",0,'Guide &amp; Settings'!$C$43*(IF($E978="Win",1,0)-$I978))</f>
        <v>0</v>
      </c>
      <c r="L978" s="125">
        <f>IF($D978="",0,'Guide &amp; Settings'!$C$44*IF($F978&gt;=3,$F978,0))</f>
        <v>0</v>
      </c>
      <c r="M978" s="124">
        <f t="shared" si="303"/>
        <v>0</v>
      </c>
      <c r="N978" s="122">
        <f t="shared" si="304"/>
        <v>0</v>
      </c>
      <c r="O978" s="121" t="str">
        <f t="shared" si="305"/>
        <v/>
      </c>
      <c r="P978">
        <f t="shared" si="306"/>
        <v>0</v>
      </c>
      <c r="Q978">
        <f t="shared" si="307"/>
        <v>0</v>
      </c>
      <c r="R978">
        <f t="shared" si="308"/>
        <v>0</v>
      </c>
      <c r="S978">
        <f t="shared" si="309"/>
        <v>0</v>
      </c>
      <c r="T978" s="89">
        <f t="shared" si="310"/>
        <v>0</v>
      </c>
      <c r="U978" s="126">
        <f>IF($D978="",0,IFERROR(LOOKUP(2,1/(($D$3:D977=$D978)*($C$3:C977=$C978)*($A$3:A977&lt;$A978)),$AB$3:AB977),1000))</f>
        <v>0</v>
      </c>
      <c r="V978" s="126">
        <f t="shared" si="311"/>
        <v>0</v>
      </c>
      <c r="W978">
        <f t="shared" si="312"/>
        <v>0</v>
      </c>
      <c r="X978">
        <f t="shared" si="313"/>
        <v>0</v>
      </c>
      <c r="Y978">
        <f t="shared" si="314"/>
        <v>0</v>
      </c>
      <c r="Z978">
        <f t="shared" si="315"/>
        <v>0</v>
      </c>
      <c r="AA978">
        <f>IF($D978="",0,IF($F978&lt;2,0,IF($E978="Win",('Guide &amp; Settings'!$C$42/(($F978-1)*COUNTIFS($A$4:$A$1510,$A978,$E$4:$E$1510,"Win")))*SUMIFS($Z$4:$Z$1510,$A$4:$A$1510,$A978,$E$4:$E$1510,"Loss"),-('Guide &amp; Settings'!$C$42/($F978-1))*$Z978)))</f>
        <v>0</v>
      </c>
      <c r="AB978" s="126">
        <f t="shared" si="316"/>
        <v>0</v>
      </c>
      <c r="AC978" t="str">
        <f>IF($D978="","",IF($AD978=0,0,IF(COUNTIFS($D$4:$D978,$D978,$B$4:$B978,$B978)&gt;1,0,IF($B978&lt;'Guide &amp; Settings'!$C$50,0,IF(($B978-$AD978)/7-'Guide &amp; Settings'!$C$48&gt;=0,(INT(($B978-$AD978)/7-'Guide &amp; Settings'!$C$48)+1)*'Guide &amp; Settings'!$C$49,0)))))</f>
        <v/>
      </c>
      <c r="AD978" s="142">
        <f t="shared" si="317"/>
        <v>0</v>
      </c>
      <c r="AE978">
        <f t="shared" si="318"/>
        <v>0</v>
      </c>
      <c r="AF978">
        <f t="shared" si="319"/>
        <v>0</v>
      </c>
    </row>
    <row r="979" spans="1:32" x14ac:dyDescent="0.2">
      <c r="A979" s="117"/>
      <c r="B979" s="118"/>
      <c r="C979" s="119"/>
      <c r="D979" s="119"/>
      <c r="E979" s="117"/>
      <c r="F979" s="120">
        <f t="shared" si="300"/>
        <v>0</v>
      </c>
      <c r="G979" s="121" t="str">
        <f t="shared" si="301"/>
        <v/>
      </c>
      <c r="H979" s="122">
        <f>IF($D979="",0,IFERROR(LOOKUP(2,1/(($D$3:D978=$D979)*($A$3:A978&lt;$A979)),$N$3:N978),'Guide &amp; Settings'!$C$41))</f>
        <v>0</v>
      </c>
      <c r="I979" s="123">
        <f t="shared" si="302"/>
        <v>0</v>
      </c>
      <c r="J979" s="124">
        <f>IF($D979="",0,IF($F979&lt;2,0,IF($E979="Win",('Guide &amp; Settings'!$C$42/(($F979-1)*COUNTIFS($A$4:$A$1510,$A979,$E$4:$E$1510,"Win")))*SUMIFS($X$4:$X$1510,$A$4:$A$1510,$A979,$E$4:$E$1510,"Loss"),-('Guide &amp; Settings'!$C$42/($F979-1))*$X979)))</f>
        <v>0</v>
      </c>
      <c r="K979" s="124">
        <f>IF($D979="",0,'Guide &amp; Settings'!$C$43*(IF($E979="Win",1,0)-$I979))</f>
        <v>0</v>
      </c>
      <c r="L979" s="125">
        <f>IF($D979="",0,'Guide &amp; Settings'!$C$44*IF($F979&gt;=3,$F979,0))</f>
        <v>0</v>
      </c>
      <c r="M979" s="124">
        <f t="shared" si="303"/>
        <v>0</v>
      </c>
      <c r="N979" s="122">
        <f t="shared" si="304"/>
        <v>0</v>
      </c>
      <c r="O979" s="121" t="str">
        <f t="shared" si="305"/>
        <v/>
      </c>
      <c r="P979">
        <f t="shared" si="306"/>
        <v>0</v>
      </c>
      <c r="Q979">
        <f t="shared" si="307"/>
        <v>0</v>
      </c>
      <c r="R979">
        <f t="shared" si="308"/>
        <v>0</v>
      </c>
      <c r="S979">
        <f t="shared" si="309"/>
        <v>0</v>
      </c>
      <c r="T979" s="89">
        <f t="shared" si="310"/>
        <v>0</v>
      </c>
      <c r="U979" s="126">
        <f>IF($D979="",0,IFERROR(LOOKUP(2,1/(($D$3:D978=$D979)*($C$3:C978=$C979)*($A$3:A978&lt;$A979)),$AB$3:AB978),1000))</f>
        <v>0</v>
      </c>
      <c r="V979" s="126">
        <f t="shared" si="311"/>
        <v>0</v>
      </c>
      <c r="W979">
        <f t="shared" si="312"/>
        <v>0</v>
      </c>
      <c r="X979">
        <f t="shared" si="313"/>
        <v>0</v>
      </c>
      <c r="Y979">
        <f t="shared" si="314"/>
        <v>0</v>
      </c>
      <c r="Z979">
        <f t="shared" si="315"/>
        <v>0</v>
      </c>
      <c r="AA979">
        <f>IF($D979="",0,IF($F979&lt;2,0,IF($E979="Win",('Guide &amp; Settings'!$C$42/(($F979-1)*COUNTIFS($A$4:$A$1510,$A979,$E$4:$E$1510,"Win")))*SUMIFS($Z$4:$Z$1510,$A$4:$A$1510,$A979,$E$4:$E$1510,"Loss"),-('Guide &amp; Settings'!$C$42/($F979-1))*$Z979)))</f>
        <v>0</v>
      </c>
      <c r="AB979" s="126">
        <f t="shared" si="316"/>
        <v>0</v>
      </c>
      <c r="AC979" t="str">
        <f>IF($D979="","",IF($AD979=0,0,IF(COUNTIFS($D$4:$D979,$D979,$B$4:$B979,$B979)&gt;1,0,IF($B979&lt;'Guide &amp; Settings'!$C$50,0,IF(($B979-$AD979)/7-'Guide &amp; Settings'!$C$48&gt;=0,(INT(($B979-$AD979)/7-'Guide &amp; Settings'!$C$48)+1)*'Guide &amp; Settings'!$C$49,0)))))</f>
        <v/>
      </c>
      <c r="AD979" s="142">
        <f t="shared" si="317"/>
        <v>0</v>
      </c>
      <c r="AE979">
        <f t="shared" si="318"/>
        <v>0</v>
      </c>
      <c r="AF979">
        <f t="shared" si="319"/>
        <v>0</v>
      </c>
    </row>
    <row r="980" spans="1:32" x14ac:dyDescent="0.2">
      <c r="A980" s="117"/>
      <c r="B980" s="118"/>
      <c r="C980" s="119"/>
      <c r="D980" s="119"/>
      <c r="E980" s="117"/>
      <c r="F980" s="120">
        <f t="shared" si="300"/>
        <v>0</v>
      </c>
      <c r="G980" s="121" t="str">
        <f t="shared" si="301"/>
        <v/>
      </c>
      <c r="H980" s="122">
        <f>IF($D980="",0,IFERROR(LOOKUP(2,1/(($D$3:D979=$D980)*($A$3:A979&lt;$A980)),$N$3:N979),'Guide &amp; Settings'!$C$41))</f>
        <v>0</v>
      </c>
      <c r="I980" s="123">
        <f t="shared" si="302"/>
        <v>0</v>
      </c>
      <c r="J980" s="124">
        <f>IF($D980="",0,IF($F980&lt;2,0,IF($E980="Win",('Guide &amp; Settings'!$C$42/(($F980-1)*COUNTIFS($A$4:$A$1510,$A980,$E$4:$E$1510,"Win")))*SUMIFS($X$4:$X$1510,$A$4:$A$1510,$A980,$E$4:$E$1510,"Loss"),-('Guide &amp; Settings'!$C$42/($F980-1))*$X980)))</f>
        <v>0</v>
      </c>
      <c r="K980" s="124">
        <f>IF($D980="",0,'Guide &amp; Settings'!$C$43*(IF($E980="Win",1,0)-$I980))</f>
        <v>0</v>
      </c>
      <c r="L980" s="125">
        <f>IF($D980="",0,'Guide &amp; Settings'!$C$44*IF($F980&gt;=3,$F980,0))</f>
        <v>0</v>
      </c>
      <c r="M980" s="124">
        <f t="shared" si="303"/>
        <v>0</v>
      </c>
      <c r="N980" s="122">
        <f t="shared" si="304"/>
        <v>0</v>
      </c>
      <c r="O980" s="121" t="str">
        <f t="shared" si="305"/>
        <v/>
      </c>
      <c r="P980">
        <f t="shared" si="306"/>
        <v>0</v>
      </c>
      <c r="Q980">
        <f t="shared" si="307"/>
        <v>0</v>
      </c>
      <c r="R980">
        <f t="shared" si="308"/>
        <v>0</v>
      </c>
      <c r="S980">
        <f t="shared" si="309"/>
        <v>0</v>
      </c>
      <c r="T980" s="89">
        <f t="shared" si="310"/>
        <v>0</v>
      </c>
      <c r="U980" s="126">
        <f>IF($D980="",0,IFERROR(LOOKUP(2,1/(($D$3:D979=$D980)*($C$3:C979=$C980)*($A$3:A979&lt;$A980)),$AB$3:AB979),1000))</f>
        <v>0</v>
      </c>
      <c r="V980" s="126">
        <f t="shared" si="311"/>
        <v>0</v>
      </c>
      <c r="W980">
        <f t="shared" si="312"/>
        <v>0</v>
      </c>
      <c r="X980">
        <f t="shared" si="313"/>
        <v>0</v>
      </c>
      <c r="Y980">
        <f t="shared" si="314"/>
        <v>0</v>
      </c>
      <c r="Z980">
        <f t="shared" si="315"/>
        <v>0</v>
      </c>
      <c r="AA980">
        <f>IF($D980="",0,IF($F980&lt;2,0,IF($E980="Win",('Guide &amp; Settings'!$C$42/(($F980-1)*COUNTIFS($A$4:$A$1510,$A980,$E$4:$E$1510,"Win")))*SUMIFS($Z$4:$Z$1510,$A$4:$A$1510,$A980,$E$4:$E$1510,"Loss"),-('Guide &amp; Settings'!$C$42/($F980-1))*$Z980)))</f>
        <v>0</v>
      </c>
      <c r="AB980" s="126">
        <f t="shared" si="316"/>
        <v>0</v>
      </c>
      <c r="AC980" t="str">
        <f>IF($D980="","",IF($AD980=0,0,IF(COUNTIFS($D$4:$D980,$D980,$B$4:$B980,$B980)&gt;1,0,IF($B980&lt;'Guide &amp; Settings'!$C$50,0,IF(($B980-$AD980)/7-'Guide &amp; Settings'!$C$48&gt;=0,(INT(($B980-$AD980)/7-'Guide &amp; Settings'!$C$48)+1)*'Guide &amp; Settings'!$C$49,0)))))</f>
        <v/>
      </c>
      <c r="AD980" s="142">
        <f t="shared" si="317"/>
        <v>0</v>
      </c>
      <c r="AE980">
        <f t="shared" si="318"/>
        <v>0</v>
      </c>
      <c r="AF980">
        <f t="shared" si="319"/>
        <v>0</v>
      </c>
    </row>
    <row r="981" spans="1:32" x14ac:dyDescent="0.2">
      <c r="A981" s="117"/>
      <c r="B981" s="118"/>
      <c r="C981" s="119"/>
      <c r="D981" s="119"/>
      <c r="E981" s="117"/>
      <c r="F981" s="120">
        <f t="shared" si="300"/>
        <v>0</v>
      </c>
      <c r="G981" s="121" t="str">
        <f t="shared" si="301"/>
        <v/>
      </c>
      <c r="H981" s="122">
        <f>IF($D981="",0,IFERROR(LOOKUP(2,1/(($D$3:D980=$D981)*($A$3:A980&lt;$A981)),$N$3:N980),'Guide &amp; Settings'!$C$41))</f>
        <v>0</v>
      </c>
      <c r="I981" s="123">
        <f t="shared" si="302"/>
        <v>0</v>
      </c>
      <c r="J981" s="124">
        <f>IF($D981="",0,IF($F981&lt;2,0,IF($E981="Win",('Guide &amp; Settings'!$C$42/(($F981-1)*COUNTIFS($A$4:$A$1510,$A981,$E$4:$E$1510,"Win")))*SUMIFS($X$4:$X$1510,$A$4:$A$1510,$A981,$E$4:$E$1510,"Loss"),-('Guide &amp; Settings'!$C$42/($F981-1))*$X981)))</f>
        <v>0</v>
      </c>
      <c r="K981" s="124">
        <f>IF($D981="",0,'Guide &amp; Settings'!$C$43*(IF($E981="Win",1,0)-$I981))</f>
        <v>0</v>
      </c>
      <c r="L981" s="125">
        <f>IF($D981="",0,'Guide &amp; Settings'!$C$44*IF($F981&gt;=3,$F981,0))</f>
        <v>0</v>
      </c>
      <c r="M981" s="124">
        <f t="shared" si="303"/>
        <v>0</v>
      </c>
      <c r="N981" s="122">
        <f t="shared" si="304"/>
        <v>0</v>
      </c>
      <c r="O981" s="121" t="str">
        <f t="shared" si="305"/>
        <v/>
      </c>
      <c r="P981">
        <f t="shared" si="306"/>
        <v>0</v>
      </c>
      <c r="Q981">
        <f t="shared" si="307"/>
        <v>0</v>
      </c>
      <c r="R981">
        <f t="shared" si="308"/>
        <v>0</v>
      </c>
      <c r="S981">
        <f t="shared" si="309"/>
        <v>0</v>
      </c>
      <c r="T981" s="89">
        <f t="shared" si="310"/>
        <v>0</v>
      </c>
      <c r="U981" s="126">
        <f>IF($D981="",0,IFERROR(LOOKUP(2,1/(($D$3:D980=$D981)*($C$3:C980=$C981)*($A$3:A980&lt;$A981)),$AB$3:AB980),1000))</f>
        <v>0</v>
      </c>
      <c r="V981" s="126">
        <f t="shared" si="311"/>
        <v>0</v>
      </c>
      <c r="W981">
        <f t="shared" si="312"/>
        <v>0</v>
      </c>
      <c r="X981">
        <f t="shared" si="313"/>
        <v>0</v>
      </c>
      <c r="Y981">
        <f t="shared" si="314"/>
        <v>0</v>
      </c>
      <c r="Z981">
        <f t="shared" si="315"/>
        <v>0</v>
      </c>
      <c r="AA981">
        <f>IF($D981="",0,IF($F981&lt;2,0,IF($E981="Win",('Guide &amp; Settings'!$C$42/(($F981-1)*COUNTIFS($A$4:$A$1510,$A981,$E$4:$E$1510,"Win")))*SUMIFS($Z$4:$Z$1510,$A$4:$A$1510,$A981,$E$4:$E$1510,"Loss"),-('Guide &amp; Settings'!$C$42/($F981-1))*$Z981)))</f>
        <v>0</v>
      </c>
      <c r="AB981" s="126">
        <f t="shared" si="316"/>
        <v>0</v>
      </c>
      <c r="AC981" t="str">
        <f>IF($D981="","",IF($AD981=0,0,IF(COUNTIFS($D$4:$D981,$D981,$B$4:$B981,$B981)&gt;1,0,IF($B981&lt;'Guide &amp; Settings'!$C$50,0,IF(($B981-$AD981)/7-'Guide &amp; Settings'!$C$48&gt;=0,(INT(($B981-$AD981)/7-'Guide &amp; Settings'!$C$48)+1)*'Guide &amp; Settings'!$C$49,0)))))</f>
        <v/>
      </c>
      <c r="AD981" s="142">
        <f t="shared" si="317"/>
        <v>0</v>
      </c>
      <c r="AE981">
        <f t="shared" si="318"/>
        <v>0</v>
      </c>
      <c r="AF981">
        <f t="shared" si="319"/>
        <v>0</v>
      </c>
    </row>
    <row r="982" spans="1:32" x14ac:dyDescent="0.2">
      <c r="A982" s="117"/>
      <c r="B982" s="118"/>
      <c r="C982" s="119"/>
      <c r="D982" s="119"/>
      <c r="E982" s="117"/>
      <c r="F982" s="120">
        <f t="shared" si="300"/>
        <v>0</v>
      </c>
      <c r="G982" s="121" t="str">
        <f t="shared" si="301"/>
        <v/>
      </c>
      <c r="H982" s="122">
        <f>IF($D982="",0,IFERROR(LOOKUP(2,1/(($D$3:D981=$D982)*($A$3:A981&lt;$A982)),$N$3:N981),'Guide &amp; Settings'!$C$41))</f>
        <v>0</v>
      </c>
      <c r="I982" s="123">
        <f t="shared" si="302"/>
        <v>0</v>
      </c>
      <c r="J982" s="124">
        <f>IF($D982="",0,IF($F982&lt;2,0,IF($E982="Win",('Guide &amp; Settings'!$C$42/(($F982-1)*COUNTIFS($A$4:$A$1510,$A982,$E$4:$E$1510,"Win")))*SUMIFS($X$4:$X$1510,$A$4:$A$1510,$A982,$E$4:$E$1510,"Loss"),-('Guide &amp; Settings'!$C$42/($F982-1))*$X982)))</f>
        <v>0</v>
      </c>
      <c r="K982" s="124">
        <f>IF($D982="",0,'Guide &amp; Settings'!$C$43*(IF($E982="Win",1,0)-$I982))</f>
        <v>0</v>
      </c>
      <c r="L982" s="125">
        <f>IF($D982="",0,'Guide &amp; Settings'!$C$44*IF($F982&gt;=3,$F982,0))</f>
        <v>0</v>
      </c>
      <c r="M982" s="124">
        <f t="shared" si="303"/>
        <v>0</v>
      </c>
      <c r="N982" s="122">
        <f t="shared" si="304"/>
        <v>0</v>
      </c>
      <c r="O982" s="121" t="str">
        <f t="shared" si="305"/>
        <v/>
      </c>
      <c r="P982">
        <f t="shared" si="306"/>
        <v>0</v>
      </c>
      <c r="Q982">
        <f t="shared" si="307"/>
        <v>0</v>
      </c>
      <c r="R982">
        <f t="shared" si="308"/>
        <v>0</v>
      </c>
      <c r="S982">
        <f t="shared" si="309"/>
        <v>0</v>
      </c>
      <c r="T982" s="89">
        <f t="shared" si="310"/>
        <v>0</v>
      </c>
      <c r="U982" s="126">
        <f>IF($D982="",0,IFERROR(LOOKUP(2,1/(($D$3:D981=$D982)*($C$3:C981=$C982)*($A$3:A981&lt;$A982)),$AB$3:AB981),1000))</f>
        <v>0</v>
      </c>
      <c r="V982" s="126">
        <f t="shared" si="311"/>
        <v>0</v>
      </c>
      <c r="W982">
        <f t="shared" si="312"/>
        <v>0</v>
      </c>
      <c r="X982">
        <f t="shared" si="313"/>
        <v>0</v>
      </c>
      <c r="Y982">
        <f t="shared" si="314"/>
        <v>0</v>
      </c>
      <c r="Z982">
        <f t="shared" si="315"/>
        <v>0</v>
      </c>
      <c r="AA982">
        <f>IF($D982="",0,IF($F982&lt;2,0,IF($E982="Win",('Guide &amp; Settings'!$C$42/(($F982-1)*COUNTIFS($A$4:$A$1510,$A982,$E$4:$E$1510,"Win")))*SUMIFS($Z$4:$Z$1510,$A$4:$A$1510,$A982,$E$4:$E$1510,"Loss"),-('Guide &amp; Settings'!$C$42/($F982-1))*$Z982)))</f>
        <v>0</v>
      </c>
      <c r="AB982" s="126">
        <f t="shared" si="316"/>
        <v>0</v>
      </c>
      <c r="AC982" t="str">
        <f>IF($D982="","",IF($AD982=0,0,IF(COUNTIFS($D$4:$D982,$D982,$B$4:$B982,$B982)&gt;1,0,IF($B982&lt;'Guide &amp; Settings'!$C$50,0,IF(($B982-$AD982)/7-'Guide &amp; Settings'!$C$48&gt;=0,(INT(($B982-$AD982)/7-'Guide &amp; Settings'!$C$48)+1)*'Guide &amp; Settings'!$C$49,0)))))</f>
        <v/>
      </c>
      <c r="AD982" s="142">
        <f t="shared" si="317"/>
        <v>0</v>
      </c>
      <c r="AE982">
        <f t="shared" si="318"/>
        <v>0</v>
      </c>
      <c r="AF982">
        <f t="shared" si="319"/>
        <v>0</v>
      </c>
    </row>
    <row r="983" spans="1:32" x14ac:dyDescent="0.2">
      <c r="A983" s="117"/>
      <c r="B983" s="118"/>
      <c r="C983" s="119"/>
      <c r="D983" s="119"/>
      <c r="E983" s="117"/>
      <c r="F983" s="120">
        <f t="shared" si="300"/>
        <v>0</v>
      </c>
      <c r="G983" s="121" t="str">
        <f t="shared" si="301"/>
        <v/>
      </c>
      <c r="H983" s="122">
        <f>IF($D983="",0,IFERROR(LOOKUP(2,1/(($D$3:D982=$D983)*($A$3:A982&lt;$A983)),$N$3:N982),'Guide &amp; Settings'!$C$41))</f>
        <v>0</v>
      </c>
      <c r="I983" s="123">
        <f t="shared" si="302"/>
        <v>0</v>
      </c>
      <c r="J983" s="124">
        <f>IF($D983="",0,IF($F983&lt;2,0,IF($E983="Win",('Guide &amp; Settings'!$C$42/(($F983-1)*COUNTIFS($A$4:$A$1510,$A983,$E$4:$E$1510,"Win")))*SUMIFS($X$4:$X$1510,$A$4:$A$1510,$A983,$E$4:$E$1510,"Loss"),-('Guide &amp; Settings'!$C$42/($F983-1))*$X983)))</f>
        <v>0</v>
      </c>
      <c r="K983" s="124">
        <f>IF($D983="",0,'Guide &amp; Settings'!$C$43*(IF($E983="Win",1,0)-$I983))</f>
        <v>0</v>
      </c>
      <c r="L983" s="125">
        <f>IF($D983="",0,'Guide &amp; Settings'!$C$44*IF($F983&gt;=3,$F983,0))</f>
        <v>0</v>
      </c>
      <c r="M983" s="124">
        <f t="shared" si="303"/>
        <v>0</v>
      </c>
      <c r="N983" s="122">
        <f t="shared" si="304"/>
        <v>0</v>
      </c>
      <c r="O983" s="121" t="str">
        <f t="shared" si="305"/>
        <v/>
      </c>
      <c r="P983">
        <f t="shared" si="306"/>
        <v>0</v>
      </c>
      <c r="Q983">
        <f t="shared" si="307"/>
        <v>0</v>
      </c>
      <c r="R983">
        <f t="shared" si="308"/>
        <v>0</v>
      </c>
      <c r="S983">
        <f t="shared" si="309"/>
        <v>0</v>
      </c>
      <c r="T983" s="89">
        <f t="shared" si="310"/>
        <v>0</v>
      </c>
      <c r="U983" s="126">
        <f>IF($D983="",0,IFERROR(LOOKUP(2,1/(($D$3:D982=$D983)*($C$3:C982=$C983)*($A$3:A982&lt;$A983)),$AB$3:AB982),1000))</f>
        <v>0</v>
      </c>
      <c r="V983" s="126">
        <f t="shared" si="311"/>
        <v>0</v>
      </c>
      <c r="W983">
        <f t="shared" si="312"/>
        <v>0</v>
      </c>
      <c r="X983">
        <f t="shared" si="313"/>
        <v>0</v>
      </c>
      <c r="Y983">
        <f t="shared" si="314"/>
        <v>0</v>
      </c>
      <c r="Z983">
        <f t="shared" si="315"/>
        <v>0</v>
      </c>
      <c r="AA983">
        <f>IF($D983="",0,IF($F983&lt;2,0,IF($E983="Win",('Guide &amp; Settings'!$C$42/(($F983-1)*COUNTIFS($A$4:$A$1510,$A983,$E$4:$E$1510,"Win")))*SUMIFS($Z$4:$Z$1510,$A$4:$A$1510,$A983,$E$4:$E$1510,"Loss"),-('Guide &amp; Settings'!$C$42/($F983-1))*$Z983)))</f>
        <v>0</v>
      </c>
      <c r="AB983" s="126">
        <f t="shared" si="316"/>
        <v>0</v>
      </c>
      <c r="AC983" t="str">
        <f>IF($D983="","",IF($AD983=0,0,IF(COUNTIFS($D$4:$D983,$D983,$B$4:$B983,$B983)&gt;1,0,IF($B983&lt;'Guide &amp; Settings'!$C$50,0,IF(($B983-$AD983)/7-'Guide &amp; Settings'!$C$48&gt;=0,(INT(($B983-$AD983)/7-'Guide &amp; Settings'!$C$48)+1)*'Guide &amp; Settings'!$C$49,0)))))</f>
        <v/>
      </c>
      <c r="AD983" s="142">
        <f t="shared" si="317"/>
        <v>0</v>
      </c>
      <c r="AE983">
        <f t="shared" si="318"/>
        <v>0</v>
      </c>
      <c r="AF983">
        <f t="shared" si="319"/>
        <v>0</v>
      </c>
    </row>
    <row r="984" spans="1:32" x14ac:dyDescent="0.2">
      <c r="A984" s="117"/>
      <c r="B984" s="118"/>
      <c r="C984" s="119"/>
      <c r="D984" s="119"/>
      <c r="E984" s="117"/>
      <c r="F984" s="120">
        <f t="shared" si="300"/>
        <v>0</v>
      </c>
      <c r="G984" s="121" t="str">
        <f t="shared" si="301"/>
        <v/>
      </c>
      <c r="H984" s="122">
        <f>IF($D984="",0,IFERROR(LOOKUP(2,1/(($D$3:D983=$D984)*($A$3:A983&lt;$A984)),$N$3:N983),'Guide &amp; Settings'!$C$41))</f>
        <v>0</v>
      </c>
      <c r="I984" s="123">
        <f t="shared" si="302"/>
        <v>0</v>
      </c>
      <c r="J984" s="124">
        <f>IF($D984="",0,IF($F984&lt;2,0,IF($E984="Win",('Guide &amp; Settings'!$C$42/(($F984-1)*COUNTIFS($A$4:$A$1510,$A984,$E$4:$E$1510,"Win")))*SUMIFS($X$4:$X$1510,$A$4:$A$1510,$A984,$E$4:$E$1510,"Loss"),-('Guide &amp; Settings'!$C$42/($F984-1))*$X984)))</f>
        <v>0</v>
      </c>
      <c r="K984" s="124">
        <f>IF($D984="",0,'Guide &amp; Settings'!$C$43*(IF($E984="Win",1,0)-$I984))</f>
        <v>0</v>
      </c>
      <c r="L984" s="125">
        <f>IF($D984="",0,'Guide &amp; Settings'!$C$44*IF($F984&gt;=3,$F984,0))</f>
        <v>0</v>
      </c>
      <c r="M984" s="124">
        <f t="shared" si="303"/>
        <v>0</v>
      </c>
      <c r="N984" s="122">
        <f t="shared" si="304"/>
        <v>0</v>
      </c>
      <c r="O984" s="121" t="str">
        <f t="shared" si="305"/>
        <v/>
      </c>
      <c r="P984">
        <f t="shared" si="306"/>
        <v>0</v>
      </c>
      <c r="Q984">
        <f t="shared" si="307"/>
        <v>0</v>
      </c>
      <c r="R984">
        <f t="shared" si="308"/>
        <v>0</v>
      </c>
      <c r="S984">
        <f t="shared" si="309"/>
        <v>0</v>
      </c>
      <c r="T984" s="89">
        <f t="shared" si="310"/>
        <v>0</v>
      </c>
      <c r="U984" s="126">
        <f>IF($D984="",0,IFERROR(LOOKUP(2,1/(($D$3:D983=$D984)*($C$3:C983=$C984)*($A$3:A983&lt;$A984)),$AB$3:AB983),1000))</f>
        <v>0</v>
      </c>
      <c r="V984" s="126">
        <f t="shared" si="311"/>
        <v>0</v>
      </c>
      <c r="W984">
        <f t="shared" si="312"/>
        <v>0</v>
      </c>
      <c r="X984">
        <f t="shared" si="313"/>
        <v>0</v>
      </c>
      <c r="Y984">
        <f t="shared" si="314"/>
        <v>0</v>
      </c>
      <c r="Z984">
        <f t="shared" si="315"/>
        <v>0</v>
      </c>
      <c r="AA984">
        <f>IF($D984="",0,IF($F984&lt;2,0,IF($E984="Win",('Guide &amp; Settings'!$C$42/(($F984-1)*COUNTIFS($A$4:$A$1510,$A984,$E$4:$E$1510,"Win")))*SUMIFS($Z$4:$Z$1510,$A$4:$A$1510,$A984,$E$4:$E$1510,"Loss"),-('Guide &amp; Settings'!$C$42/($F984-1))*$Z984)))</f>
        <v>0</v>
      </c>
      <c r="AB984" s="126">
        <f t="shared" si="316"/>
        <v>0</v>
      </c>
      <c r="AC984" t="str">
        <f>IF($D984="","",IF($AD984=0,0,IF(COUNTIFS($D$4:$D984,$D984,$B$4:$B984,$B984)&gt;1,0,IF($B984&lt;'Guide &amp; Settings'!$C$50,0,IF(($B984-$AD984)/7-'Guide &amp; Settings'!$C$48&gt;=0,(INT(($B984-$AD984)/7-'Guide &amp; Settings'!$C$48)+1)*'Guide &amp; Settings'!$C$49,0)))))</f>
        <v/>
      </c>
      <c r="AD984" s="142">
        <f t="shared" si="317"/>
        <v>0</v>
      </c>
      <c r="AE984">
        <f t="shared" si="318"/>
        <v>0</v>
      </c>
      <c r="AF984">
        <f t="shared" si="319"/>
        <v>0</v>
      </c>
    </row>
    <row r="985" spans="1:32" x14ac:dyDescent="0.2">
      <c r="A985" s="117"/>
      <c r="B985" s="118"/>
      <c r="C985" s="119"/>
      <c r="D985" s="119"/>
      <c r="E985" s="117"/>
      <c r="F985" s="120">
        <f t="shared" si="300"/>
        <v>0</v>
      </c>
      <c r="G985" s="121" t="str">
        <f t="shared" si="301"/>
        <v/>
      </c>
      <c r="H985" s="122">
        <f>IF($D985="",0,IFERROR(LOOKUP(2,1/(($D$3:D984=$D985)*($A$3:A984&lt;$A985)),$N$3:N984),'Guide &amp; Settings'!$C$41))</f>
        <v>0</v>
      </c>
      <c r="I985" s="123">
        <f t="shared" si="302"/>
        <v>0</v>
      </c>
      <c r="J985" s="124">
        <f>IF($D985="",0,IF($F985&lt;2,0,IF($E985="Win",('Guide &amp; Settings'!$C$42/(($F985-1)*COUNTIFS($A$4:$A$1510,$A985,$E$4:$E$1510,"Win")))*SUMIFS($X$4:$X$1510,$A$4:$A$1510,$A985,$E$4:$E$1510,"Loss"),-('Guide &amp; Settings'!$C$42/($F985-1))*$X985)))</f>
        <v>0</v>
      </c>
      <c r="K985" s="124">
        <f>IF($D985="",0,'Guide &amp; Settings'!$C$43*(IF($E985="Win",1,0)-$I985))</f>
        <v>0</v>
      </c>
      <c r="L985" s="125">
        <f>IF($D985="",0,'Guide &amp; Settings'!$C$44*IF($F985&gt;=3,$F985,0))</f>
        <v>0</v>
      </c>
      <c r="M985" s="124">
        <f t="shared" si="303"/>
        <v>0</v>
      </c>
      <c r="N985" s="122">
        <f t="shared" si="304"/>
        <v>0</v>
      </c>
      <c r="O985" s="121" t="str">
        <f t="shared" si="305"/>
        <v/>
      </c>
      <c r="P985">
        <f t="shared" si="306"/>
        <v>0</v>
      </c>
      <c r="Q985">
        <f t="shared" si="307"/>
        <v>0</v>
      </c>
      <c r="R985">
        <f t="shared" si="308"/>
        <v>0</v>
      </c>
      <c r="S985">
        <f t="shared" si="309"/>
        <v>0</v>
      </c>
      <c r="T985" s="89">
        <f t="shared" si="310"/>
        <v>0</v>
      </c>
      <c r="U985" s="126">
        <f>IF($D985="",0,IFERROR(LOOKUP(2,1/(($D$3:D984=$D985)*($C$3:C984=$C985)*($A$3:A984&lt;$A985)),$AB$3:AB984),1000))</f>
        <v>0</v>
      </c>
      <c r="V985" s="126">
        <f t="shared" si="311"/>
        <v>0</v>
      </c>
      <c r="W985">
        <f t="shared" si="312"/>
        <v>0</v>
      </c>
      <c r="X985">
        <f t="shared" si="313"/>
        <v>0</v>
      </c>
      <c r="Y985">
        <f t="shared" si="314"/>
        <v>0</v>
      </c>
      <c r="Z985">
        <f t="shared" si="315"/>
        <v>0</v>
      </c>
      <c r="AA985">
        <f>IF($D985="",0,IF($F985&lt;2,0,IF($E985="Win",('Guide &amp; Settings'!$C$42/(($F985-1)*COUNTIFS($A$4:$A$1510,$A985,$E$4:$E$1510,"Win")))*SUMIFS($Z$4:$Z$1510,$A$4:$A$1510,$A985,$E$4:$E$1510,"Loss"),-('Guide &amp; Settings'!$C$42/($F985-1))*$Z985)))</f>
        <v>0</v>
      </c>
      <c r="AB985" s="126">
        <f t="shared" si="316"/>
        <v>0</v>
      </c>
      <c r="AC985" t="str">
        <f>IF($D985="","",IF($AD985=0,0,IF(COUNTIFS($D$4:$D985,$D985,$B$4:$B985,$B985)&gt;1,0,IF($B985&lt;'Guide &amp; Settings'!$C$50,0,IF(($B985-$AD985)/7-'Guide &amp; Settings'!$C$48&gt;=0,(INT(($B985-$AD985)/7-'Guide &amp; Settings'!$C$48)+1)*'Guide &amp; Settings'!$C$49,0)))))</f>
        <v/>
      </c>
      <c r="AD985" s="142">
        <f t="shared" si="317"/>
        <v>0</v>
      </c>
      <c r="AE985">
        <f t="shared" si="318"/>
        <v>0</v>
      </c>
      <c r="AF985">
        <f t="shared" si="319"/>
        <v>0</v>
      </c>
    </row>
    <row r="986" spans="1:32" x14ac:dyDescent="0.2">
      <c r="A986" s="117"/>
      <c r="B986" s="118"/>
      <c r="C986" s="119"/>
      <c r="D986" s="119"/>
      <c r="E986" s="117"/>
      <c r="F986" s="120">
        <f t="shared" si="300"/>
        <v>0</v>
      </c>
      <c r="G986" s="121" t="str">
        <f t="shared" si="301"/>
        <v/>
      </c>
      <c r="H986" s="122">
        <f>IF($D986="",0,IFERROR(LOOKUP(2,1/(($D$3:D985=$D986)*($A$3:A985&lt;$A986)),$N$3:N985),'Guide &amp; Settings'!$C$41))</f>
        <v>0</v>
      </c>
      <c r="I986" s="123">
        <f t="shared" si="302"/>
        <v>0</v>
      </c>
      <c r="J986" s="124">
        <f>IF($D986="",0,IF($F986&lt;2,0,IF($E986="Win",('Guide &amp; Settings'!$C$42/(($F986-1)*COUNTIFS($A$4:$A$1510,$A986,$E$4:$E$1510,"Win")))*SUMIFS($X$4:$X$1510,$A$4:$A$1510,$A986,$E$4:$E$1510,"Loss"),-('Guide &amp; Settings'!$C$42/($F986-1))*$X986)))</f>
        <v>0</v>
      </c>
      <c r="K986" s="124">
        <f>IF($D986="",0,'Guide &amp; Settings'!$C$43*(IF($E986="Win",1,0)-$I986))</f>
        <v>0</v>
      </c>
      <c r="L986" s="125">
        <f>IF($D986="",0,'Guide &amp; Settings'!$C$44*IF($F986&gt;=3,$F986,0))</f>
        <v>0</v>
      </c>
      <c r="M986" s="124">
        <f t="shared" si="303"/>
        <v>0</v>
      </c>
      <c r="N986" s="122">
        <f t="shared" si="304"/>
        <v>0</v>
      </c>
      <c r="O986" s="121" t="str">
        <f t="shared" si="305"/>
        <v/>
      </c>
      <c r="P986">
        <f t="shared" si="306"/>
        <v>0</v>
      </c>
      <c r="Q986">
        <f t="shared" si="307"/>
        <v>0</v>
      </c>
      <c r="R986">
        <f t="shared" si="308"/>
        <v>0</v>
      </c>
      <c r="S986">
        <f t="shared" si="309"/>
        <v>0</v>
      </c>
      <c r="T986" s="89">
        <f t="shared" si="310"/>
        <v>0</v>
      </c>
      <c r="U986" s="126">
        <f>IF($D986="",0,IFERROR(LOOKUP(2,1/(($D$3:D985=$D986)*($C$3:C985=$C986)*($A$3:A985&lt;$A986)),$AB$3:AB985),1000))</f>
        <v>0</v>
      </c>
      <c r="V986" s="126">
        <f t="shared" si="311"/>
        <v>0</v>
      </c>
      <c r="W986">
        <f t="shared" si="312"/>
        <v>0</v>
      </c>
      <c r="X986">
        <f t="shared" si="313"/>
        <v>0</v>
      </c>
      <c r="Y986">
        <f t="shared" si="314"/>
        <v>0</v>
      </c>
      <c r="Z986">
        <f t="shared" si="315"/>
        <v>0</v>
      </c>
      <c r="AA986">
        <f>IF($D986="",0,IF($F986&lt;2,0,IF($E986="Win",('Guide &amp; Settings'!$C$42/(($F986-1)*COUNTIFS($A$4:$A$1510,$A986,$E$4:$E$1510,"Win")))*SUMIFS($Z$4:$Z$1510,$A$4:$A$1510,$A986,$E$4:$E$1510,"Loss"),-('Guide &amp; Settings'!$C$42/($F986-1))*$Z986)))</f>
        <v>0</v>
      </c>
      <c r="AB986" s="126">
        <f t="shared" si="316"/>
        <v>0</v>
      </c>
      <c r="AC986" t="str">
        <f>IF($D986="","",IF($AD986=0,0,IF(COUNTIFS($D$4:$D986,$D986,$B$4:$B986,$B986)&gt;1,0,IF($B986&lt;'Guide &amp; Settings'!$C$50,0,IF(($B986-$AD986)/7-'Guide &amp; Settings'!$C$48&gt;=0,(INT(($B986-$AD986)/7-'Guide &amp; Settings'!$C$48)+1)*'Guide &amp; Settings'!$C$49,0)))))</f>
        <v/>
      </c>
      <c r="AD986" s="142">
        <f t="shared" si="317"/>
        <v>0</v>
      </c>
      <c r="AE986">
        <f t="shared" si="318"/>
        <v>0</v>
      </c>
      <c r="AF986">
        <f t="shared" si="319"/>
        <v>0</v>
      </c>
    </row>
    <row r="987" spans="1:32" x14ac:dyDescent="0.2">
      <c r="A987" s="117"/>
      <c r="B987" s="118"/>
      <c r="C987" s="119"/>
      <c r="D987" s="119"/>
      <c r="E987" s="117"/>
      <c r="F987" s="120">
        <f t="shared" si="300"/>
        <v>0</v>
      </c>
      <c r="G987" s="121" t="str">
        <f t="shared" si="301"/>
        <v/>
      </c>
      <c r="H987" s="122">
        <f>IF($D987="",0,IFERROR(LOOKUP(2,1/(($D$3:D986=$D987)*($A$3:A986&lt;$A987)),$N$3:N986),'Guide &amp; Settings'!$C$41))</f>
        <v>0</v>
      </c>
      <c r="I987" s="123">
        <f t="shared" si="302"/>
        <v>0</v>
      </c>
      <c r="J987" s="124">
        <f>IF($D987="",0,IF($F987&lt;2,0,IF($E987="Win",('Guide &amp; Settings'!$C$42/(($F987-1)*COUNTIFS($A$4:$A$1510,$A987,$E$4:$E$1510,"Win")))*SUMIFS($X$4:$X$1510,$A$4:$A$1510,$A987,$E$4:$E$1510,"Loss"),-('Guide &amp; Settings'!$C$42/($F987-1))*$X987)))</f>
        <v>0</v>
      </c>
      <c r="K987" s="124">
        <f>IF($D987="",0,'Guide &amp; Settings'!$C$43*(IF($E987="Win",1,0)-$I987))</f>
        <v>0</v>
      </c>
      <c r="L987" s="125">
        <f>IF($D987="",0,'Guide &amp; Settings'!$C$44*IF($F987&gt;=3,$F987,0))</f>
        <v>0</v>
      </c>
      <c r="M987" s="124">
        <f t="shared" si="303"/>
        <v>0</v>
      </c>
      <c r="N987" s="122">
        <f t="shared" si="304"/>
        <v>0</v>
      </c>
      <c r="O987" s="121" t="str">
        <f t="shared" si="305"/>
        <v/>
      </c>
      <c r="P987">
        <f t="shared" si="306"/>
        <v>0</v>
      </c>
      <c r="Q987">
        <f t="shared" si="307"/>
        <v>0</v>
      </c>
      <c r="R987">
        <f t="shared" si="308"/>
        <v>0</v>
      </c>
      <c r="S987">
        <f t="shared" si="309"/>
        <v>0</v>
      </c>
      <c r="T987" s="89">
        <f t="shared" si="310"/>
        <v>0</v>
      </c>
      <c r="U987" s="126">
        <f>IF($D987="",0,IFERROR(LOOKUP(2,1/(($D$3:D986=$D987)*($C$3:C986=$C987)*($A$3:A986&lt;$A987)),$AB$3:AB986),1000))</f>
        <v>0</v>
      </c>
      <c r="V987" s="126">
        <f t="shared" si="311"/>
        <v>0</v>
      </c>
      <c r="W987">
        <f t="shared" si="312"/>
        <v>0</v>
      </c>
      <c r="X987">
        <f t="shared" si="313"/>
        <v>0</v>
      </c>
      <c r="Y987">
        <f t="shared" si="314"/>
        <v>0</v>
      </c>
      <c r="Z987">
        <f t="shared" si="315"/>
        <v>0</v>
      </c>
      <c r="AA987">
        <f>IF($D987="",0,IF($F987&lt;2,0,IF($E987="Win",('Guide &amp; Settings'!$C$42/(($F987-1)*COUNTIFS($A$4:$A$1510,$A987,$E$4:$E$1510,"Win")))*SUMIFS($Z$4:$Z$1510,$A$4:$A$1510,$A987,$E$4:$E$1510,"Loss"),-('Guide &amp; Settings'!$C$42/($F987-1))*$Z987)))</f>
        <v>0</v>
      </c>
      <c r="AB987" s="126">
        <f t="shared" si="316"/>
        <v>0</v>
      </c>
      <c r="AC987" t="str">
        <f>IF($D987="","",IF($AD987=0,0,IF(COUNTIFS($D$4:$D987,$D987,$B$4:$B987,$B987)&gt;1,0,IF($B987&lt;'Guide &amp; Settings'!$C$50,0,IF(($B987-$AD987)/7-'Guide &amp; Settings'!$C$48&gt;=0,(INT(($B987-$AD987)/7-'Guide &amp; Settings'!$C$48)+1)*'Guide &amp; Settings'!$C$49,0)))))</f>
        <v/>
      </c>
      <c r="AD987" s="142">
        <f t="shared" si="317"/>
        <v>0</v>
      </c>
      <c r="AE987">
        <f t="shared" si="318"/>
        <v>0</v>
      </c>
      <c r="AF987">
        <f t="shared" si="319"/>
        <v>0</v>
      </c>
    </row>
    <row r="988" spans="1:32" x14ac:dyDescent="0.2">
      <c r="A988" s="117"/>
      <c r="B988" s="118"/>
      <c r="C988" s="119"/>
      <c r="D988" s="119"/>
      <c r="E988" s="117"/>
      <c r="F988" s="120">
        <f t="shared" si="300"/>
        <v>0</v>
      </c>
      <c r="G988" s="121" t="str">
        <f t="shared" si="301"/>
        <v/>
      </c>
      <c r="H988" s="122">
        <f>IF($D988="",0,IFERROR(LOOKUP(2,1/(($D$3:D987=$D988)*($A$3:A987&lt;$A988)),$N$3:N987),'Guide &amp; Settings'!$C$41))</f>
        <v>0</v>
      </c>
      <c r="I988" s="123">
        <f t="shared" si="302"/>
        <v>0</v>
      </c>
      <c r="J988" s="124">
        <f>IF($D988="",0,IF($F988&lt;2,0,IF($E988="Win",('Guide &amp; Settings'!$C$42/(($F988-1)*COUNTIFS($A$4:$A$1510,$A988,$E$4:$E$1510,"Win")))*SUMIFS($X$4:$X$1510,$A$4:$A$1510,$A988,$E$4:$E$1510,"Loss"),-('Guide &amp; Settings'!$C$42/($F988-1))*$X988)))</f>
        <v>0</v>
      </c>
      <c r="K988" s="124">
        <f>IF($D988="",0,'Guide &amp; Settings'!$C$43*(IF($E988="Win",1,0)-$I988))</f>
        <v>0</v>
      </c>
      <c r="L988" s="125">
        <f>IF($D988="",0,'Guide &amp; Settings'!$C$44*IF($F988&gt;=3,$F988,0))</f>
        <v>0</v>
      </c>
      <c r="M988" s="124">
        <f t="shared" si="303"/>
        <v>0</v>
      </c>
      <c r="N988" s="122">
        <f t="shared" si="304"/>
        <v>0</v>
      </c>
      <c r="O988" s="121" t="str">
        <f t="shared" si="305"/>
        <v/>
      </c>
      <c r="P988">
        <f t="shared" si="306"/>
        <v>0</v>
      </c>
      <c r="Q988">
        <f t="shared" si="307"/>
        <v>0</v>
      </c>
      <c r="R988">
        <f t="shared" si="308"/>
        <v>0</v>
      </c>
      <c r="S988">
        <f t="shared" si="309"/>
        <v>0</v>
      </c>
      <c r="T988" s="89">
        <f t="shared" si="310"/>
        <v>0</v>
      </c>
      <c r="U988" s="126">
        <f>IF($D988="",0,IFERROR(LOOKUP(2,1/(($D$3:D987=$D988)*($C$3:C987=$C988)*($A$3:A987&lt;$A988)),$AB$3:AB987),1000))</f>
        <v>0</v>
      </c>
      <c r="V988" s="126">
        <f t="shared" si="311"/>
        <v>0</v>
      </c>
      <c r="W988">
        <f t="shared" si="312"/>
        <v>0</v>
      </c>
      <c r="X988">
        <f t="shared" si="313"/>
        <v>0</v>
      </c>
      <c r="Y988">
        <f t="shared" si="314"/>
        <v>0</v>
      </c>
      <c r="Z988">
        <f t="shared" si="315"/>
        <v>0</v>
      </c>
      <c r="AA988">
        <f>IF($D988="",0,IF($F988&lt;2,0,IF($E988="Win",('Guide &amp; Settings'!$C$42/(($F988-1)*COUNTIFS($A$4:$A$1510,$A988,$E$4:$E$1510,"Win")))*SUMIFS($Z$4:$Z$1510,$A$4:$A$1510,$A988,$E$4:$E$1510,"Loss"),-('Guide &amp; Settings'!$C$42/($F988-1))*$Z988)))</f>
        <v>0</v>
      </c>
      <c r="AB988" s="126">
        <f t="shared" si="316"/>
        <v>0</v>
      </c>
      <c r="AC988" t="str">
        <f>IF($D988="","",IF($AD988=0,0,IF(COUNTIFS($D$4:$D988,$D988,$B$4:$B988,$B988)&gt;1,0,IF($B988&lt;'Guide &amp; Settings'!$C$50,0,IF(($B988-$AD988)/7-'Guide &amp; Settings'!$C$48&gt;=0,(INT(($B988-$AD988)/7-'Guide &amp; Settings'!$C$48)+1)*'Guide &amp; Settings'!$C$49,0)))))</f>
        <v/>
      </c>
      <c r="AD988" s="142">
        <f t="shared" si="317"/>
        <v>0</v>
      </c>
      <c r="AE988">
        <f t="shared" si="318"/>
        <v>0</v>
      </c>
      <c r="AF988">
        <f t="shared" si="319"/>
        <v>0</v>
      </c>
    </row>
    <row r="989" spans="1:32" x14ac:dyDescent="0.2">
      <c r="A989" s="117"/>
      <c r="B989" s="118"/>
      <c r="C989" s="119"/>
      <c r="D989" s="119"/>
      <c r="E989" s="117"/>
      <c r="F989" s="120">
        <f t="shared" si="300"/>
        <v>0</v>
      </c>
      <c r="G989" s="121" t="str">
        <f t="shared" si="301"/>
        <v/>
      </c>
      <c r="H989" s="122">
        <f>IF($D989="",0,IFERROR(LOOKUP(2,1/(($D$3:D988=$D989)*($A$3:A988&lt;$A989)),$N$3:N988),'Guide &amp; Settings'!$C$41))</f>
        <v>0</v>
      </c>
      <c r="I989" s="123">
        <f t="shared" si="302"/>
        <v>0</v>
      </c>
      <c r="J989" s="124">
        <f>IF($D989="",0,IF($F989&lt;2,0,IF($E989="Win",('Guide &amp; Settings'!$C$42/(($F989-1)*COUNTIFS($A$4:$A$1510,$A989,$E$4:$E$1510,"Win")))*SUMIFS($X$4:$X$1510,$A$4:$A$1510,$A989,$E$4:$E$1510,"Loss"),-('Guide &amp; Settings'!$C$42/($F989-1))*$X989)))</f>
        <v>0</v>
      </c>
      <c r="K989" s="124">
        <f>IF($D989="",0,'Guide &amp; Settings'!$C$43*(IF($E989="Win",1,0)-$I989))</f>
        <v>0</v>
      </c>
      <c r="L989" s="125">
        <f>IF($D989="",0,'Guide &amp; Settings'!$C$44*IF($F989&gt;=3,$F989,0))</f>
        <v>0</v>
      </c>
      <c r="M989" s="124">
        <f t="shared" si="303"/>
        <v>0</v>
      </c>
      <c r="N989" s="122">
        <f t="shared" si="304"/>
        <v>0</v>
      </c>
      <c r="O989" s="121" t="str">
        <f t="shared" si="305"/>
        <v/>
      </c>
      <c r="P989">
        <f t="shared" si="306"/>
        <v>0</v>
      </c>
      <c r="Q989">
        <f t="shared" si="307"/>
        <v>0</v>
      </c>
      <c r="R989">
        <f t="shared" si="308"/>
        <v>0</v>
      </c>
      <c r="S989">
        <f t="shared" si="309"/>
        <v>0</v>
      </c>
      <c r="T989" s="89">
        <f t="shared" si="310"/>
        <v>0</v>
      </c>
      <c r="U989" s="126">
        <f>IF($D989="",0,IFERROR(LOOKUP(2,1/(($D$3:D988=$D989)*($C$3:C988=$C989)*($A$3:A988&lt;$A989)),$AB$3:AB988),1000))</f>
        <v>0</v>
      </c>
      <c r="V989" s="126">
        <f t="shared" si="311"/>
        <v>0</v>
      </c>
      <c r="W989">
        <f t="shared" si="312"/>
        <v>0</v>
      </c>
      <c r="X989">
        <f t="shared" si="313"/>
        <v>0</v>
      </c>
      <c r="Y989">
        <f t="shared" si="314"/>
        <v>0</v>
      </c>
      <c r="Z989">
        <f t="shared" si="315"/>
        <v>0</v>
      </c>
      <c r="AA989">
        <f>IF($D989="",0,IF($F989&lt;2,0,IF($E989="Win",('Guide &amp; Settings'!$C$42/(($F989-1)*COUNTIFS($A$4:$A$1510,$A989,$E$4:$E$1510,"Win")))*SUMIFS($Z$4:$Z$1510,$A$4:$A$1510,$A989,$E$4:$E$1510,"Loss"),-('Guide &amp; Settings'!$C$42/($F989-1))*$Z989)))</f>
        <v>0</v>
      </c>
      <c r="AB989" s="126">
        <f t="shared" si="316"/>
        <v>0</v>
      </c>
      <c r="AC989" t="str">
        <f>IF($D989="","",IF($AD989=0,0,IF(COUNTIFS($D$4:$D989,$D989,$B$4:$B989,$B989)&gt;1,0,IF($B989&lt;'Guide &amp; Settings'!$C$50,0,IF(($B989-$AD989)/7-'Guide &amp; Settings'!$C$48&gt;=0,(INT(($B989-$AD989)/7-'Guide &amp; Settings'!$C$48)+1)*'Guide &amp; Settings'!$C$49,0)))))</f>
        <v/>
      </c>
      <c r="AD989" s="142">
        <f t="shared" si="317"/>
        <v>0</v>
      </c>
      <c r="AE989">
        <f t="shared" si="318"/>
        <v>0</v>
      </c>
      <c r="AF989">
        <f t="shared" si="319"/>
        <v>0</v>
      </c>
    </row>
    <row r="990" spans="1:32" x14ac:dyDescent="0.2">
      <c r="A990" s="117"/>
      <c r="B990" s="118"/>
      <c r="C990" s="119"/>
      <c r="D990" s="119"/>
      <c r="E990" s="117"/>
      <c r="F990" s="120">
        <f t="shared" si="300"/>
        <v>0</v>
      </c>
      <c r="G990" s="121" t="str">
        <f t="shared" si="301"/>
        <v/>
      </c>
      <c r="H990" s="122">
        <f>IF($D990="",0,IFERROR(LOOKUP(2,1/(($D$3:D989=$D990)*($A$3:A989&lt;$A990)),$N$3:N989),'Guide &amp; Settings'!$C$41))</f>
        <v>0</v>
      </c>
      <c r="I990" s="123">
        <f t="shared" si="302"/>
        <v>0</v>
      </c>
      <c r="J990" s="124">
        <f>IF($D990="",0,IF($F990&lt;2,0,IF($E990="Win",('Guide &amp; Settings'!$C$42/(($F990-1)*COUNTIFS($A$4:$A$1510,$A990,$E$4:$E$1510,"Win")))*SUMIFS($X$4:$X$1510,$A$4:$A$1510,$A990,$E$4:$E$1510,"Loss"),-('Guide &amp; Settings'!$C$42/($F990-1))*$X990)))</f>
        <v>0</v>
      </c>
      <c r="K990" s="124">
        <f>IF($D990="",0,'Guide &amp; Settings'!$C$43*(IF($E990="Win",1,0)-$I990))</f>
        <v>0</v>
      </c>
      <c r="L990" s="125">
        <f>IF($D990="",0,'Guide &amp; Settings'!$C$44*IF($F990&gt;=3,$F990,0))</f>
        <v>0</v>
      </c>
      <c r="M990" s="124">
        <f t="shared" si="303"/>
        <v>0</v>
      </c>
      <c r="N990" s="122">
        <f t="shared" si="304"/>
        <v>0</v>
      </c>
      <c r="O990" s="121" t="str">
        <f t="shared" si="305"/>
        <v/>
      </c>
      <c r="P990">
        <f t="shared" si="306"/>
        <v>0</v>
      </c>
      <c r="Q990">
        <f t="shared" si="307"/>
        <v>0</v>
      </c>
      <c r="R990">
        <f t="shared" si="308"/>
        <v>0</v>
      </c>
      <c r="S990">
        <f t="shared" si="309"/>
        <v>0</v>
      </c>
      <c r="T990" s="89">
        <f t="shared" si="310"/>
        <v>0</v>
      </c>
      <c r="U990" s="126">
        <f>IF($D990="",0,IFERROR(LOOKUP(2,1/(($D$3:D989=$D990)*($C$3:C989=$C990)*($A$3:A989&lt;$A990)),$AB$3:AB989),1000))</f>
        <v>0</v>
      </c>
      <c r="V990" s="126">
        <f t="shared" si="311"/>
        <v>0</v>
      </c>
      <c r="W990">
        <f t="shared" si="312"/>
        <v>0</v>
      </c>
      <c r="X990">
        <f t="shared" si="313"/>
        <v>0</v>
      </c>
      <c r="Y990">
        <f t="shared" si="314"/>
        <v>0</v>
      </c>
      <c r="Z990">
        <f t="shared" si="315"/>
        <v>0</v>
      </c>
      <c r="AA990">
        <f>IF($D990="",0,IF($F990&lt;2,0,IF($E990="Win",('Guide &amp; Settings'!$C$42/(($F990-1)*COUNTIFS($A$4:$A$1510,$A990,$E$4:$E$1510,"Win")))*SUMIFS($Z$4:$Z$1510,$A$4:$A$1510,$A990,$E$4:$E$1510,"Loss"),-('Guide &amp; Settings'!$C$42/($F990-1))*$Z990)))</f>
        <v>0</v>
      </c>
      <c r="AB990" s="126">
        <f t="shared" si="316"/>
        <v>0</v>
      </c>
      <c r="AC990" t="str">
        <f>IF($D990="","",IF($AD990=0,0,IF(COUNTIFS($D$4:$D990,$D990,$B$4:$B990,$B990)&gt;1,0,IF($B990&lt;'Guide &amp; Settings'!$C$50,0,IF(($B990-$AD990)/7-'Guide &amp; Settings'!$C$48&gt;=0,(INT(($B990-$AD990)/7-'Guide &amp; Settings'!$C$48)+1)*'Guide &amp; Settings'!$C$49,0)))))</f>
        <v/>
      </c>
      <c r="AD990" s="142">
        <f t="shared" si="317"/>
        <v>0</v>
      </c>
      <c r="AE990">
        <f t="shared" si="318"/>
        <v>0</v>
      </c>
      <c r="AF990">
        <f t="shared" si="319"/>
        <v>0</v>
      </c>
    </row>
    <row r="991" spans="1:32" x14ac:dyDescent="0.2">
      <c r="A991" s="117"/>
      <c r="B991" s="118"/>
      <c r="C991" s="119"/>
      <c r="D991" s="119"/>
      <c r="E991" s="117"/>
      <c r="F991" s="120">
        <f t="shared" si="300"/>
        <v>0</v>
      </c>
      <c r="G991" s="121" t="str">
        <f t="shared" si="301"/>
        <v/>
      </c>
      <c r="H991" s="122">
        <f>IF($D991="",0,IFERROR(LOOKUP(2,1/(($D$3:D990=$D991)*($A$3:A990&lt;$A991)),$N$3:N990),'Guide &amp; Settings'!$C$41))</f>
        <v>0</v>
      </c>
      <c r="I991" s="123">
        <f t="shared" si="302"/>
        <v>0</v>
      </c>
      <c r="J991" s="124">
        <f>IF($D991="",0,IF($F991&lt;2,0,IF($E991="Win",('Guide &amp; Settings'!$C$42/(($F991-1)*COUNTIFS($A$4:$A$1510,$A991,$E$4:$E$1510,"Win")))*SUMIFS($X$4:$X$1510,$A$4:$A$1510,$A991,$E$4:$E$1510,"Loss"),-('Guide &amp; Settings'!$C$42/($F991-1))*$X991)))</f>
        <v>0</v>
      </c>
      <c r="K991" s="124">
        <f>IF($D991="",0,'Guide &amp; Settings'!$C$43*(IF($E991="Win",1,0)-$I991))</f>
        <v>0</v>
      </c>
      <c r="L991" s="125">
        <f>IF($D991="",0,'Guide &amp; Settings'!$C$44*IF($F991&gt;=3,$F991,0))</f>
        <v>0</v>
      </c>
      <c r="M991" s="124">
        <f t="shared" si="303"/>
        <v>0</v>
      </c>
      <c r="N991" s="122">
        <f t="shared" si="304"/>
        <v>0</v>
      </c>
      <c r="O991" s="121" t="str">
        <f t="shared" si="305"/>
        <v/>
      </c>
      <c r="P991">
        <f t="shared" si="306"/>
        <v>0</v>
      </c>
      <c r="Q991">
        <f t="shared" si="307"/>
        <v>0</v>
      </c>
      <c r="R991">
        <f t="shared" si="308"/>
        <v>0</v>
      </c>
      <c r="S991">
        <f t="shared" si="309"/>
        <v>0</v>
      </c>
      <c r="T991" s="89">
        <f t="shared" si="310"/>
        <v>0</v>
      </c>
      <c r="U991" s="126">
        <f>IF($D991="",0,IFERROR(LOOKUP(2,1/(($D$3:D990=$D991)*($C$3:C990=$C991)*($A$3:A990&lt;$A991)),$AB$3:AB990),1000))</f>
        <v>0</v>
      </c>
      <c r="V991" s="126">
        <f t="shared" si="311"/>
        <v>0</v>
      </c>
      <c r="W991">
        <f t="shared" si="312"/>
        <v>0</v>
      </c>
      <c r="X991">
        <f t="shared" si="313"/>
        <v>0</v>
      </c>
      <c r="Y991">
        <f t="shared" si="314"/>
        <v>0</v>
      </c>
      <c r="Z991">
        <f t="shared" si="315"/>
        <v>0</v>
      </c>
      <c r="AA991">
        <f>IF($D991="",0,IF($F991&lt;2,0,IF($E991="Win",('Guide &amp; Settings'!$C$42/(($F991-1)*COUNTIFS($A$4:$A$1510,$A991,$E$4:$E$1510,"Win")))*SUMIFS($Z$4:$Z$1510,$A$4:$A$1510,$A991,$E$4:$E$1510,"Loss"),-('Guide &amp; Settings'!$C$42/($F991-1))*$Z991)))</f>
        <v>0</v>
      </c>
      <c r="AB991" s="126">
        <f t="shared" si="316"/>
        <v>0</v>
      </c>
      <c r="AC991" t="str">
        <f>IF($D991="","",IF($AD991=0,0,IF(COUNTIFS($D$4:$D991,$D991,$B$4:$B991,$B991)&gt;1,0,IF($B991&lt;'Guide &amp; Settings'!$C$50,0,IF(($B991-$AD991)/7-'Guide &amp; Settings'!$C$48&gt;=0,(INT(($B991-$AD991)/7-'Guide &amp; Settings'!$C$48)+1)*'Guide &amp; Settings'!$C$49,0)))))</f>
        <v/>
      </c>
      <c r="AD991" s="142">
        <f t="shared" si="317"/>
        <v>0</v>
      </c>
      <c r="AE991">
        <f t="shared" si="318"/>
        <v>0</v>
      </c>
      <c r="AF991">
        <f t="shared" si="319"/>
        <v>0</v>
      </c>
    </row>
    <row r="992" spans="1:32" x14ac:dyDescent="0.2">
      <c r="A992" s="117"/>
      <c r="B992" s="118"/>
      <c r="C992" s="119"/>
      <c r="D992" s="119"/>
      <c r="E992" s="117"/>
      <c r="F992" s="120">
        <f t="shared" si="300"/>
        <v>0</v>
      </c>
      <c r="G992" s="121" t="str">
        <f t="shared" si="301"/>
        <v/>
      </c>
      <c r="H992" s="122">
        <f>IF($D992="",0,IFERROR(LOOKUP(2,1/(($D$3:D991=$D992)*($A$3:A991&lt;$A992)),$N$3:N991),'Guide &amp; Settings'!$C$41))</f>
        <v>0</v>
      </c>
      <c r="I992" s="123">
        <f t="shared" si="302"/>
        <v>0</v>
      </c>
      <c r="J992" s="124">
        <f>IF($D992="",0,IF($F992&lt;2,0,IF($E992="Win",('Guide &amp; Settings'!$C$42/(($F992-1)*COUNTIFS($A$4:$A$1510,$A992,$E$4:$E$1510,"Win")))*SUMIFS($X$4:$X$1510,$A$4:$A$1510,$A992,$E$4:$E$1510,"Loss"),-('Guide &amp; Settings'!$C$42/($F992-1))*$X992)))</f>
        <v>0</v>
      </c>
      <c r="K992" s="124">
        <f>IF($D992="",0,'Guide &amp; Settings'!$C$43*(IF($E992="Win",1,0)-$I992))</f>
        <v>0</v>
      </c>
      <c r="L992" s="125">
        <f>IF($D992="",0,'Guide &amp; Settings'!$C$44*IF($F992&gt;=3,$F992,0))</f>
        <v>0</v>
      </c>
      <c r="M992" s="124">
        <f t="shared" si="303"/>
        <v>0</v>
      </c>
      <c r="N992" s="122">
        <f t="shared" si="304"/>
        <v>0</v>
      </c>
      <c r="O992" s="121" t="str">
        <f t="shared" si="305"/>
        <v/>
      </c>
      <c r="P992">
        <f t="shared" si="306"/>
        <v>0</v>
      </c>
      <c r="Q992">
        <f t="shared" si="307"/>
        <v>0</v>
      </c>
      <c r="R992">
        <f t="shared" si="308"/>
        <v>0</v>
      </c>
      <c r="S992">
        <f t="shared" si="309"/>
        <v>0</v>
      </c>
      <c r="T992" s="89">
        <f t="shared" si="310"/>
        <v>0</v>
      </c>
      <c r="U992" s="126">
        <f>IF($D992="",0,IFERROR(LOOKUP(2,1/(($D$3:D991=$D992)*($C$3:C991=$C992)*($A$3:A991&lt;$A992)),$AB$3:AB991),1000))</f>
        <v>0</v>
      </c>
      <c r="V992" s="126">
        <f t="shared" si="311"/>
        <v>0</v>
      </c>
      <c r="W992">
        <f t="shared" si="312"/>
        <v>0</v>
      </c>
      <c r="X992">
        <f t="shared" si="313"/>
        <v>0</v>
      </c>
      <c r="Y992">
        <f t="shared" si="314"/>
        <v>0</v>
      </c>
      <c r="Z992">
        <f t="shared" si="315"/>
        <v>0</v>
      </c>
      <c r="AA992">
        <f>IF($D992="",0,IF($F992&lt;2,0,IF($E992="Win",('Guide &amp; Settings'!$C$42/(($F992-1)*COUNTIFS($A$4:$A$1510,$A992,$E$4:$E$1510,"Win")))*SUMIFS($Z$4:$Z$1510,$A$4:$A$1510,$A992,$E$4:$E$1510,"Loss"),-('Guide &amp; Settings'!$C$42/($F992-1))*$Z992)))</f>
        <v>0</v>
      </c>
      <c r="AB992" s="126">
        <f t="shared" si="316"/>
        <v>0</v>
      </c>
      <c r="AC992" t="str">
        <f>IF($D992="","",IF($AD992=0,0,IF(COUNTIFS($D$4:$D992,$D992,$B$4:$B992,$B992)&gt;1,0,IF($B992&lt;'Guide &amp; Settings'!$C$50,0,IF(($B992-$AD992)/7-'Guide &amp; Settings'!$C$48&gt;=0,(INT(($B992-$AD992)/7-'Guide &amp; Settings'!$C$48)+1)*'Guide &amp; Settings'!$C$49,0)))))</f>
        <v/>
      </c>
      <c r="AD992" s="142">
        <f t="shared" si="317"/>
        <v>0</v>
      </c>
      <c r="AE992">
        <f t="shared" si="318"/>
        <v>0</v>
      </c>
      <c r="AF992">
        <f t="shared" si="319"/>
        <v>0</v>
      </c>
    </row>
    <row r="993" spans="1:32" x14ac:dyDescent="0.2">
      <c r="A993" s="117"/>
      <c r="B993" s="118"/>
      <c r="C993" s="119"/>
      <c r="D993" s="119"/>
      <c r="E993" s="117"/>
      <c r="F993" s="120">
        <f t="shared" si="300"/>
        <v>0</v>
      </c>
      <c r="G993" s="121" t="str">
        <f t="shared" si="301"/>
        <v/>
      </c>
      <c r="H993" s="122">
        <f>IF($D993="",0,IFERROR(LOOKUP(2,1/(($D$3:D992=$D993)*($A$3:A992&lt;$A993)),$N$3:N992),'Guide &amp; Settings'!$C$41))</f>
        <v>0</v>
      </c>
      <c r="I993" s="123">
        <f t="shared" si="302"/>
        <v>0</v>
      </c>
      <c r="J993" s="124">
        <f>IF($D993="",0,IF($F993&lt;2,0,IF($E993="Win",('Guide &amp; Settings'!$C$42/(($F993-1)*COUNTIFS($A$4:$A$1510,$A993,$E$4:$E$1510,"Win")))*SUMIFS($X$4:$X$1510,$A$4:$A$1510,$A993,$E$4:$E$1510,"Loss"),-('Guide &amp; Settings'!$C$42/($F993-1))*$X993)))</f>
        <v>0</v>
      </c>
      <c r="K993" s="124">
        <f>IF($D993="",0,'Guide &amp; Settings'!$C$43*(IF($E993="Win",1,0)-$I993))</f>
        <v>0</v>
      </c>
      <c r="L993" s="125">
        <f>IF($D993="",0,'Guide &amp; Settings'!$C$44*IF($F993&gt;=3,$F993,0))</f>
        <v>0</v>
      </c>
      <c r="M993" s="124">
        <f t="shared" si="303"/>
        <v>0</v>
      </c>
      <c r="N993" s="122">
        <f t="shared" si="304"/>
        <v>0</v>
      </c>
      <c r="O993" s="121" t="str">
        <f t="shared" si="305"/>
        <v/>
      </c>
      <c r="P993">
        <f t="shared" si="306"/>
        <v>0</v>
      </c>
      <c r="Q993">
        <f t="shared" si="307"/>
        <v>0</v>
      </c>
      <c r="R993">
        <f t="shared" si="308"/>
        <v>0</v>
      </c>
      <c r="S993">
        <f t="shared" si="309"/>
        <v>0</v>
      </c>
      <c r="T993" s="89">
        <f t="shared" si="310"/>
        <v>0</v>
      </c>
      <c r="U993" s="126">
        <f>IF($D993="",0,IFERROR(LOOKUP(2,1/(($D$3:D992=$D993)*($C$3:C992=$C993)*($A$3:A992&lt;$A993)),$AB$3:AB992),1000))</f>
        <v>0</v>
      </c>
      <c r="V993" s="126">
        <f t="shared" si="311"/>
        <v>0</v>
      </c>
      <c r="W993">
        <f t="shared" si="312"/>
        <v>0</v>
      </c>
      <c r="X993">
        <f t="shared" si="313"/>
        <v>0</v>
      </c>
      <c r="Y993">
        <f t="shared" si="314"/>
        <v>0</v>
      </c>
      <c r="Z993">
        <f t="shared" si="315"/>
        <v>0</v>
      </c>
      <c r="AA993">
        <f>IF($D993="",0,IF($F993&lt;2,0,IF($E993="Win",('Guide &amp; Settings'!$C$42/(($F993-1)*COUNTIFS($A$4:$A$1510,$A993,$E$4:$E$1510,"Win")))*SUMIFS($Z$4:$Z$1510,$A$4:$A$1510,$A993,$E$4:$E$1510,"Loss"),-('Guide &amp; Settings'!$C$42/($F993-1))*$Z993)))</f>
        <v>0</v>
      </c>
      <c r="AB993" s="126">
        <f t="shared" si="316"/>
        <v>0</v>
      </c>
      <c r="AC993" t="str">
        <f>IF($D993="","",IF($AD993=0,0,IF(COUNTIFS($D$4:$D993,$D993,$B$4:$B993,$B993)&gt;1,0,IF($B993&lt;'Guide &amp; Settings'!$C$50,0,IF(($B993-$AD993)/7-'Guide &amp; Settings'!$C$48&gt;=0,(INT(($B993-$AD993)/7-'Guide &amp; Settings'!$C$48)+1)*'Guide &amp; Settings'!$C$49,0)))))</f>
        <v/>
      </c>
      <c r="AD993" s="142">
        <f t="shared" si="317"/>
        <v>0</v>
      </c>
      <c r="AE993">
        <f t="shared" si="318"/>
        <v>0</v>
      </c>
      <c r="AF993">
        <f t="shared" si="319"/>
        <v>0</v>
      </c>
    </row>
    <row r="994" spans="1:32" x14ac:dyDescent="0.2">
      <c r="A994" s="117"/>
      <c r="B994" s="118"/>
      <c r="C994" s="119"/>
      <c r="D994" s="119"/>
      <c r="E994" s="117"/>
      <c r="F994" s="120">
        <f t="shared" si="300"/>
        <v>0</v>
      </c>
      <c r="G994" s="121" t="str">
        <f t="shared" si="301"/>
        <v/>
      </c>
      <c r="H994" s="122">
        <f>IF($D994="",0,IFERROR(LOOKUP(2,1/(($D$3:D993=$D994)*($A$3:A993&lt;$A994)),$N$3:N993),'Guide &amp; Settings'!$C$41))</f>
        <v>0</v>
      </c>
      <c r="I994" s="123">
        <f t="shared" si="302"/>
        <v>0</v>
      </c>
      <c r="J994" s="124">
        <f>IF($D994="",0,IF($F994&lt;2,0,IF($E994="Win",('Guide &amp; Settings'!$C$42/(($F994-1)*COUNTIFS($A$4:$A$1510,$A994,$E$4:$E$1510,"Win")))*SUMIFS($X$4:$X$1510,$A$4:$A$1510,$A994,$E$4:$E$1510,"Loss"),-('Guide &amp; Settings'!$C$42/($F994-1))*$X994)))</f>
        <v>0</v>
      </c>
      <c r="K994" s="124">
        <f>IF($D994="",0,'Guide &amp; Settings'!$C$43*(IF($E994="Win",1,0)-$I994))</f>
        <v>0</v>
      </c>
      <c r="L994" s="125">
        <f>IF($D994="",0,'Guide &amp; Settings'!$C$44*IF($F994&gt;=3,$F994,0))</f>
        <v>0</v>
      </c>
      <c r="M994" s="124">
        <f t="shared" si="303"/>
        <v>0</v>
      </c>
      <c r="N994" s="122">
        <f t="shared" si="304"/>
        <v>0</v>
      </c>
      <c r="O994" s="121" t="str">
        <f t="shared" si="305"/>
        <v/>
      </c>
      <c r="P994">
        <f t="shared" si="306"/>
        <v>0</v>
      </c>
      <c r="Q994">
        <f t="shared" si="307"/>
        <v>0</v>
      </c>
      <c r="R994">
        <f t="shared" si="308"/>
        <v>0</v>
      </c>
      <c r="S994">
        <f t="shared" si="309"/>
        <v>0</v>
      </c>
      <c r="T994" s="89">
        <f t="shared" si="310"/>
        <v>0</v>
      </c>
      <c r="U994" s="126">
        <f>IF($D994="",0,IFERROR(LOOKUP(2,1/(($D$3:D993=$D994)*($C$3:C993=$C994)*($A$3:A993&lt;$A994)),$AB$3:AB993),1000))</f>
        <v>0</v>
      </c>
      <c r="V994" s="126">
        <f t="shared" si="311"/>
        <v>0</v>
      </c>
      <c r="W994">
        <f t="shared" si="312"/>
        <v>0</v>
      </c>
      <c r="X994">
        <f t="shared" si="313"/>
        <v>0</v>
      </c>
      <c r="Y994">
        <f t="shared" si="314"/>
        <v>0</v>
      </c>
      <c r="Z994">
        <f t="shared" si="315"/>
        <v>0</v>
      </c>
      <c r="AA994">
        <f>IF($D994="",0,IF($F994&lt;2,0,IF($E994="Win",('Guide &amp; Settings'!$C$42/(($F994-1)*COUNTIFS($A$4:$A$1510,$A994,$E$4:$E$1510,"Win")))*SUMIFS($Z$4:$Z$1510,$A$4:$A$1510,$A994,$E$4:$E$1510,"Loss"),-('Guide &amp; Settings'!$C$42/($F994-1))*$Z994)))</f>
        <v>0</v>
      </c>
      <c r="AB994" s="126">
        <f t="shared" si="316"/>
        <v>0</v>
      </c>
      <c r="AC994" t="str">
        <f>IF($D994="","",IF($AD994=0,0,IF(COUNTIFS($D$4:$D994,$D994,$B$4:$B994,$B994)&gt;1,0,IF($B994&lt;'Guide &amp; Settings'!$C$50,0,IF(($B994-$AD994)/7-'Guide &amp; Settings'!$C$48&gt;=0,(INT(($B994-$AD994)/7-'Guide &amp; Settings'!$C$48)+1)*'Guide &amp; Settings'!$C$49,0)))))</f>
        <v/>
      </c>
      <c r="AD994" s="142">
        <f t="shared" si="317"/>
        <v>0</v>
      </c>
      <c r="AE994">
        <f t="shared" si="318"/>
        <v>0</v>
      </c>
      <c r="AF994">
        <f t="shared" si="319"/>
        <v>0</v>
      </c>
    </row>
    <row r="995" spans="1:32" x14ac:dyDescent="0.2">
      <c r="A995" s="117"/>
      <c r="B995" s="118"/>
      <c r="C995" s="119"/>
      <c r="D995" s="119"/>
      <c r="E995" s="117"/>
      <c r="F995" s="120">
        <f t="shared" si="300"/>
        <v>0</v>
      </c>
      <c r="G995" s="121" t="str">
        <f t="shared" si="301"/>
        <v/>
      </c>
      <c r="H995" s="122">
        <f>IF($D995="",0,IFERROR(LOOKUP(2,1/(($D$3:D994=$D995)*($A$3:A994&lt;$A995)),$N$3:N994),'Guide &amp; Settings'!$C$41))</f>
        <v>0</v>
      </c>
      <c r="I995" s="123">
        <f t="shared" si="302"/>
        <v>0</v>
      </c>
      <c r="J995" s="124">
        <f>IF($D995="",0,IF($F995&lt;2,0,IF($E995="Win",('Guide &amp; Settings'!$C$42/(($F995-1)*COUNTIFS($A$4:$A$1510,$A995,$E$4:$E$1510,"Win")))*SUMIFS($X$4:$X$1510,$A$4:$A$1510,$A995,$E$4:$E$1510,"Loss"),-('Guide &amp; Settings'!$C$42/($F995-1))*$X995)))</f>
        <v>0</v>
      </c>
      <c r="K995" s="124">
        <f>IF($D995="",0,'Guide &amp; Settings'!$C$43*(IF($E995="Win",1,0)-$I995))</f>
        <v>0</v>
      </c>
      <c r="L995" s="125">
        <f>IF($D995="",0,'Guide &amp; Settings'!$C$44*IF($F995&gt;=3,$F995,0))</f>
        <v>0</v>
      </c>
      <c r="M995" s="124">
        <f t="shared" si="303"/>
        <v>0</v>
      </c>
      <c r="N995" s="122">
        <f t="shared" si="304"/>
        <v>0</v>
      </c>
      <c r="O995" s="121" t="str">
        <f t="shared" si="305"/>
        <v/>
      </c>
      <c r="P995">
        <f t="shared" si="306"/>
        <v>0</v>
      </c>
      <c r="Q995">
        <f t="shared" si="307"/>
        <v>0</v>
      </c>
      <c r="R995">
        <f t="shared" si="308"/>
        <v>0</v>
      </c>
      <c r="S995">
        <f t="shared" si="309"/>
        <v>0</v>
      </c>
      <c r="T995" s="89">
        <f t="shared" si="310"/>
        <v>0</v>
      </c>
      <c r="U995" s="126">
        <f>IF($D995="",0,IFERROR(LOOKUP(2,1/(($D$3:D994=$D995)*($C$3:C994=$C995)*($A$3:A994&lt;$A995)),$AB$3:AB994),1000))</f>
        <v>0</v>
      </c>
      <c r="V995" s="126">
        <f t="shared" si="311"/>
        <v>0</v>
      </c>
      <c r="W995">
        <f t="shared" si="312"/>
        <v>0</v>
      </c>
      <c r="X995">
        <f t="shared" si="313"/>
        <v>0</v>
      </c>
      <c r="Y995">
        <f t="shared" si="314"/>
        <v>0</v>
      </c>
      <c r="Z995">
        <f t="shared" si="315"/>
        <v>0</v>
      </c>
      <c r="AA995">
        <f>IF($D995="",0,IF($F995&lt;2,0,IF($E995="Win",('Guide &amp; Settings'!$C$42/(($F995-1)*COUNTIFS($A$4:$A$1510,$A995,$E$4:$E$1510,"Win")))*SUMIFS($Z$4:$Z$1510,$A$4:$A$1510,$A995,$E$4:$E$1510,"Loss"),-('Guide &amp; Settings'!$C$42/($F995-1))*$Z995)))</f>
        <v>0</v>
      </c>
      <c r="AB995" s="126">
        <f t="shared" si="316"/>
        <v>0</v>
      </c>
      <c r="AC995" t="str">
        <f>IF($D995="","",IF($AD995=0,0,IF(COUNTIFS($D$4:$D995,$D995,$B$4:$B995,$B995)&gt;1,0,IF($B995&lt;'Guide &amp; Settings'!$C$50,0,IF(($B995-$AD995)/7-'Guide &amp; Settings'!$C$48&gt;=0,(INT(($B995-$AD995)/7-'Guide &amp; Settings'!$C$48)+1)*'Guide &amp; Settings'!$C$49,0)))))</f>
        <v/>
      </c>
      <c r="AD995" s="142">
        <f t="shared" si="317"/>
        <v>0</v>
      </c>
      <c r="AE995">
        <f t="shared" si="318"/>
        <v>0</v>
      </c>
      <c r="AF995">
        <f t="shared" si="319"/>
        <v>0</v>
      </c>
    </row>
    <row r="996" spans="1:32" x14ac:dyDescent="0.2">
      <c r="A996" s="117"/>
      <c r="B996" s="118"/>
      <c r="C996" s="119"/>
      <c r="D996" s="119"/>
      <c r="E996" s="117"/>
      <c r="F996" s="120">
        <f t="shared" si="300"/>
        <v>0</v>
      </c>
      <c r="G996" s="121" t="str">
        <f t="shared" si="301"/>
        <v/>
      </c>
      <c r="H996" s="122">
        <f>IF($D996="",0,IFERROR(LOOKUP(2,1/(($D$3:D995=$D996)*($A$3:A995&lt;$A996)),$N$3:N995),'Guide &amp; Settings'!$C$41))</f>
        <v>0</v>
      </c>
      <c r="I996" s="123">
        <f t="shared" si="302"/>
        <v>0</v>
      </c>
      <c r="J996" s="124">
        <f>IF($D996="",0,IF($F996&lt;2,0,IF($E996="Win",('Guide &amp; Settings'!$C$42/(($F996-1)*COUNTIFS($A$4:$A$1510,$A996,$E$4:$E$1510,"Win")))*SUMIFS($X$4:$X$1510,$A$4:$A$1510,$A996,$E$4:$E$1510,"Loss"),-('Guide &amp; Settings'!$C$42/($F996-1))*$X996)))</f>
        <v>0</v>
      </c>
      <c r="K996" s="124">
        <f>IF($D996="",0,'Guide &amp; Settings'!$C$43*(IF($E996="Win",1,0)-$I996))</f>
        <v>0</v>
      </c>
      <c r="L996" s="125">
        <f>IF($D996="",0,'Guide &amp; Settings'!$C$44*IF($F996&gt;=3,$F996,0))</f>
        <v>0</v>
      </c>
      <c r="M996" s="124">
        <f t="shared" si="303"/>
        <v>0</v>
      </c>
      <c r="N996" s="122">
        <f t="shared" si="304"/>
        <v>0</v>
      </c>
      <c r="O996" s="121" t="str">
        <f t="shared" si="305"/>
        <v/>
      </c>
      <c r="P996">
        <f t="shared" si="306"/>
        <v>0</v>
      </c>
      <c r="Q996">
        <f t="shared" si="307"/>
        <v>0</v>
      </c>
      <c r="R996">
        <f t="shared" si="308"/>
        <v>0</v>
      </c>
      <c r="S996">
        <f t="shared" si="309"/>
        <v>0</v>
      </c>
      <c r="T996" s="89">
        <f t="shared" si="310"/>
        <v>0</v>
      </c>
      <c r="U996" s="126">
        <f>IF($D996="",0,IFERROR(LOOKUP(2,1/(($D$3:D995=$D996)*($C$3:C995=$C996)*($A$3:A995&lt;$A996)),$AB$3:AB995),1000))</f>
        <v>0</v>
      </c>
      <c r="V996" s="126">
        <f t="shared" si="311"/>
        <v>0</v>
      </c>
      <c r="W996">
        <f t="shared" si="312"/>
        <v>0</v>
      </c>
      <c r="X996">
        <f t="shared" si="313"/>
        <v>0</v>
      </c>
      <c r="Y996">
        <f t="shared" si="314"/>
        <v>0</v>
      </c>
      <c r="Z996">
        <f t="shared" si="315"/>
        <v>0</v>
      </c>
      <c r="AA996">
        <f>IF($D996="",0,IF($F996&lt;2,0,IF($E996="Win",('Guide &amp; Settings'!$C$42/(($F996-1)*COUNTIFS($A$4:$A$1510,$A996,$E$4:$E$1510,"Win")))*SUMIFS($Z$4:$Z$1510,$A$4:$A$1510,$A996,$E$4:$E$1510,"Loss"),-('Guide &amp; Settings'!$C$42/($F996-1))*$Z996)))</f>
        <v>0</v>
      </c>
      <c r="AB996" s="126">
        <f t="shared" si="316"/>
        <v>0</v>
      </c>
      <c r="AC996" t="str">
        <f>IF($D996="","",IF($AD996=0,0,IF(COUNTIFS($D$4:$D996,$D996,$B$4:$B996,$B996)&gt;1,0,IF($B996&lt;'Guide &amp; Settings'!$C$50,0,IF(($B996-$AD996)/7-'Guide &amp; Settings'!$C$48&gt;=0,(INT(($B996-$AD996)/7-'Guide &amp; Settings'!$C$48)+1)*'Guide &amp; Settings'!$C$49,0)))))</f>
        <v/>
      </c>
      <c r="AD996" s="142">
        <f t="shared" si="317"/>
        <v>0</v>
      </c>
      <c r="AE996">
        <f t="shared" si="318"/>
        <v>0</v>
      </c>
      <c r="AF996">
        <f t="shared" si="319"/>
        <v>0</v>
      </c>
    </row>
    <row r="997" spans="1:32" x14ac:dyDescent="0.2">
      <c r="A997" s="117"/>
      <c r="B997" s="118"/>
      <c r="C997" s="119"/>
      <c r="D997" s="119"/>
      <c r="E997" s="117"/>
      <c r="F997" s="120">
        <f t="shared" si="300"/>
        <v>0</v>
      </c>
      <c r="G997" s="121" t="str">
        <f t="shared" si="301"/>
        <v/>
      </c>
      <c r="H997" s="122">
        <f>IF($D997="",0,IFERROR(LOOKUP(2,1/(($D$3:D996=$D997)*($A$3:A996&lt;$A997)),$N$3:N996),'Guide &amp; Settings'!$C$41))</f>
        <v>0</v>
      </c>
      <c r="I997" s="123">
        <f t="shared" si="302"/>
        <v>0</v>
      </c>
      <c r="J997" s="124">
        <f>IF($D997="",0,IF($F997&lt;2,0,IF($E997="Win",('Guide &amp; Settings'!$C$42/(($F997-1)*COUNTIFS($A$4:$A$1510,$A997,$E$4:$E$1510,"Win")))*SUMIFS($X$4:$X$1510,$A$4:$A$1510,$A997,$E$4:$E$1510,"Loss"),-('Guide &amp; Settings'!$C$42/($F997-1))*$X997)))</f>
        <v>0</v>
      </c>
      <c r="K997" s="124">
        <f>IF($D997="",0,'Guide &amp; Settings'!$C$43*(IF($E997="Win",1,0)-$I997))</f>
        <v>0</v>
      </c>
      <c r="L997" s="125">
        <f>IF($D997="",0,'Guide &amp; Settings'!$C$44*IF($F997&gt;=3,$F997,0))</f>
        <v>0</v>
      </c>
      <c r="M997" s="124">
        <f t="shared" si="303"/>
        <v>0</v>
      </c>
      <c r="N997" s="122">
        <f t="shared" si="304"/>
        <v>0</v>
      </c>
      <c r="O997" s="121" t="str">
        <f t="shared" si="305"/>
        <v/>
      </c>
      <c r="P997">
        <f t="shared" si="306"/>
        <v>0</v>
      </c>
      <c r="Q997">
        <f t="shared" si="307"/>
        <v>0</v>
      </c>
      <c r="R997">
        <f t="shared" si="308"/>
        <v>0</v>
      </c>
      <c r="S997">
        <f t="shared" si="309"/>
        <v>0</v>
      </c>
      <c r="T997" s="89">
        <f t="shared" si="310"/>
        <v>0</v>
      </c>
      <c r="U997" s="126">
        <f>IF($D997="",0,IFERROR(LOOKUP(2,1/(($D$3:D996=$D997)*($C$3:C996=$C997)*($A$3:A996&lt;$A997)),$AB$3:AB996),1000))</f>
        <v>0</v>
      </c>
      <c r="V997" s="126">
        <f t="shared" si="311"/>
        <v>0</v>
      </c>
      <c r="W997">
        <f t="shared" si="312"/>
        <v>0</v>
      </c>
      <c r="X997">
        <f t="shared" si="313"/>
        <v>0</v>
      </c>
      <c r="Y997">
        <f t="shared" si="314"/>
        <v>0</v>
      </c>
      <c r="Z997">
        <f t="shared" si="315"/>
        <v>0</v>
      </c>
      <c r="AA997">
        <f>IF($D997="",0,IF($F997&lt;2,0,IF($E997="Win",('Guide &amp; Settings'!$C$42/(($F997-1)*COUNTIFS($A$4:$A$1510,$A997,$E$4:$E$1510,"Win")))*SUMIFS($Z$4:$Z$1510,$A$4:$A$1510,$A997,$E$4:$E$1510,"Loss"),-('Guide &amp; Settings'!$C$42/($F997-1))*$Z997)))</f>
        <v>0</v>
      </c>
      <c r="AB997" s="126">
        <f t="shared" si="316"/>
        <v>0</v>
      </c>
      <c r="AC997" t="str">
        <f>IF($D997="","",IF($AD997=0,0,IF(COUNTIFS($D$4:$D997,$D997,$B$4:$B997,$B997)&gt;1,0,IF($B997&lt;'Guide &amp; Settings'!$C$50,0,IF(($B997-$AD997)/7-'Guide &amp; Settings'!$C$48&gt;=0,(INT(($B997-$AD997)/7-'Guide &amp; Settings'!$C$48)+1)*'Guide &amp; Settings'!$C$49,0)))))</f>
        <v/>
      </c>
      <c r="AD997" s="142">
        <f t="shared" si="317"/>
        <v>0</v>
      </c>
      <c r="AE997">
        <f t="shared" si="318"/>
        <v>0</v>
      </c>
      <c r="AF997">
        <f t="shared" si="319"/>
        <v>0</v>
      </c>
    </row>
    <row r="998" spans="1:32" x14ac:dyDescent="0.2">
      <c r="A998" s="117"/>
      <c r="B998" s="118"/>
      <c r="C998" s="119"/>
      <c r="D998" s="119"/>
      <c r="E998" s="117"/>
      <c r="F998" s="120">
        <f t="shared" si="300"/>
        <v>0</v>
      </c>
      <c r="G998" s="121" t="str">
        <f t="shared" si="301"/>
        <v/>
      </c>
      <c r="H998" s="122">
        <f>IF($D998="",0,IFERROR(LOOKUP(2,1/(($D$3:D997=$D998)*($A$3:A997&lt;$A998)),$N$3:N997),'Guide &amp; Settings'!$C$41))</f>
        <v>0</v>
      </c>
      <c r="I998" s="123">
        <f t="shared" si="302"/>
        <v>0</v>
      </c>
      <c r="J998" s="124">
        <f>IF($D998="",0,IF($F998&lt;2,0,IF($E998="Win",('Guide &amp; Settings'!$C$42/(($F998-1)*COUNTIFS($A$4:$A$1510,$A998,$E$4:$E$1510,"Win")))*SUMIFS($X$4:$X$1510,$A$4:$A$1510,$A998,$E$4:$E$1510,"Loss"),-('Guide &amp; Settings'!$C$42/($F998-1))*$X998)))</f>
        <v>0</v>
      </c>
      <c r="K998" s="124">
        <f>IF($D998="",0,'Guide &amp; Settings'!$C$43*(IF($E998="Win",1,0)-$I998))</f>
        <v>0</v>
      </c>
      <c r="L998" s="125">
        <f>IF($D998="",0,'Guide &amp; Settings'!$C$44*IF($F998&gt;=3,$F998,0))</f>
        <v>0</v>
      </c>
      <c r="M998" s="124">
        <f t="shared" si="303"/>
        <v>0</v>
      </c>
      <c r="N998" s="122">
        <f t="shared" si="304"/>
        <v>0</v>
      </c>
      <c r="O998" s="121" t="str">
        <f t="shared" si="305"/>
        <v/>
      </c>
      <c r="P998">
        <f t="shared" si="306"/>
        <v>0</v>
      </c>
      <c r="Q998">
        <f t="shared" si="307"/>
        <v>0</v>
      </c>
      <c r="R998">
        <f t="shared" si="308"/>
        <v>0</v>
      </c>
      <c r="S998">
        <f t="shared" si="309"/>
        <v>0</v>
      </c>
      <c r="T998" s="89">
        <f t="shared" si="310"/>
        <v>0</v>
      </c>
      <c r="U998" s="126">
        <f>IF($D998="",0,IFERROR(LOOKUP(2,1/(($D$3:D997=$D998)*($C$3:C997=$C998)*($A$3:A997&lt;$A998)),$AB$3:AB997),1000))</f>
        <v>0</v>
      </c>
      <c r="V998" s="126">
        <f t="shared" si="311"/>
        <v>0</v>
      </c>
      <c r="W998">
        <f t="shared" si="312"/>
        <v>0</v>
      </c>
      <c r="X998">
        <f t="shared" si="313"/>
        <v>0</v>
      </c>
      <c r="Y998">
        <f t="shared" si="314"/>
        <v>0</v>
      </c>
      <c r="Z998">
        <f t="shared" si="315"/>
        <v>0</v>
      </c>
      <c r="AA998">
        <f>IF($D998="",0,IF($F998&lt;2,0,IF($E998="Win",('Guide &amp; Settings'!$C$42/(($F998-1)*COUNTIFS($A$4:$A$1510,$A998,$E$4:$E$1510,"Win")))*SUMIFS($Z$4:$Z$1510,$A$4:$A$1510,$A998,$E$4:$E$1510,"Loss"),-('Guide &amp; Settings'!$C$42/($F998-1))*$Z998)))</f>
        <v>0</v>
      </c>
      <c r="AB998" s="126">
        <f t="shared" si="316"/>
        <v>0</v>
      </c>
      <c r="AC998" t="str">
        <f>IF($D998="","",IF($AD998=0,0,IF(COUNTIFS($D$4:$D998,$D998,$B$4:$B998,$B998)&gt;1,0,IF($B998&lt;'Guide &amp; Settings'!$C$50,0,IF(($B998-$AD998)/7-'Guide &amp; Settings'!$C$48&gt;=0,(INT(($B998-$AD998)/7-'Guide &amp; Settings'!$C$48)+1)*'Guide &amp; Settings'!$C$49,0)))))</f>
        <v/>
      </c>
      <c r="AD998" s="142">
        <f t="shared" si="317"/>
        <v>0</v>
      </c>
      <c r="AE998">
        <f t="shared" si="318"/>
        <v>0</v>
      </c>
      <c r="AF998">
        <f t="shared" si="319"/>
        <v>0</v>
      </c>
    </row>
    <row r="999" spans="1:32" x14ac:dyDescent="0.2">
      <c r="A999" s="117"/>
      <c r="B999" s="118"/>
      <c r="C999" s="119"/>
      <c r="D999" s="119"/>
      <c r="E999" s="117"/>
      <c r="F999" s="120">
        <f t="shared" si="300"/>
        <v>0</v>
      </c>
      <c r="G999" s="121" t="str">
        <f t="shared" si="301"/>
        <v/>
      </c>
      <c r="H999" s="122">
        <f>IF($D999="",0,IFERROR(LOOKUP(2,1/(($D$3:D998=$D999)*($A$3:A998&lt;$A999)),$N$3:N998),'Guide &amp; Settings'!$C$41))</f>
        <v>0</v>
      </c>
      <c r="I999" s="123">
        <f t="shared" si="302"/>
        <v>0</v>
      </c>
      <c r="J999" s="124">
        <f>IF($D999="",0,IF($F999&lt;2,0,IF($E999="Win",('Guide &amp; Settings'!$C$42/(($F999-1)*COUNTIFS($A$4:$A$1510,$A999,$E$4:$E$1510,"Win")))*SUMIFS($X$4:$X$1510,$A$4:$A$1510,$A999,$E$4:$E$1510,"Loss"),-('Guide &amp; Settings'!$C$42/($F999-1))*$X999)))</f>
        <v>0</v>
      </c>
      <c r="K999" s="124">
        <f>IF($D999="",0,'Guide &amp; Settings'!$C$43*(IF($E999="Win",1,0)-$I999))</f>
        <v>0</v>
      </c>
      <c r="L999" s="125">
        <f>IF($D999="",0,'Guide &amp; Settings'!$C$44*IF($F999&gt;=3,$F999,0))</f>
        <v>0</v>
      </c>
      <c r="M999" s="124">
        <f t="shared" si="303"/>
        <v>0</v>
      </c>
      <c r="N999" s="122">
        <f t="shared" si="304"/>
        <v>0</v>
      </c>
      <c r="O999" s="121" t="str">
        <f t="shared" si="305"/>
        <v/>
      </c>
      <c r="P999">
        <f t="shared" si="306"/>
        <v>0</v>
      </c>
      <c r="Q999">
        <f t="shared" si="307"/>
        <v>0</v>
      </c>
      <c r="R999">
        <f t="shared" si="308"/>
        <v>0</v>
      </c>
      <c r="S999">
        <f t="shared" si="309"/>
        <v>0</v>
      </c>
      <c r="T999" s="89">
        <f t="shared" si="310"/>
        <v>0</v>
      </c>
      <c r="U999" s="126">
        <f>IF($D999="",0,IFERROR(LOOKUP(2,1/(($D$3:D998=$D999)*($C$3:C998=$C999)*($A$3:A998&lt;$A999)),$AB$3:AB998),1000))</f>
        <v>0</v>
      </c>
      <c r="V999" s="126">
        <f t="shared" si="311"/>
        <v>0</v>
      </c>
      <c r="W999">
        <f t="shared" si="312"/>
        <v>0</v>
      </c>
      <c r="X999">
        <f t="shared" si="313"/>
        <v>0</v>
      </c>
      <c r="Y999">
        <f t="shared" si="314"/>
        <v>0</v>
      </c>
      <c r="Z999">
        <f t="shared" si="315"/>
        <v>0</v>
      </c>
      <c r="AA999">
        <f>IF($D999="",0,IF($F999&lt;2,0,IF($E999="Win",('Guide &amp; Settings'!$C$42/(($F999-1)*COUNTIFS($A$4:$A$1510,$A999,$E$4:$E$1510,"Win")))*SUMIFS($Z$4:$Z$1510,$A$4:$A$1510,$A999,$E$4:$E$1510,"Loss"),-('Guide &amp; Settings'!$C$42/($F999-1))*$Z999)))</f>
        <v>0</v>
      </c>
      <c r="AB999" s="126">
        <f t="shared" si="316"/>
        <v>0</v>
      </c>
      <c r="AC999" t="str">
        <f>IF($D999="","",IF($AD999=0,0,IF(COUNTIFS($D$4:$D999,$D999,$B$4:$B999,$B999)&gt;1,0,IF($B999&lt;'Guide &amp; Settings'!$C$50,0,IF(($B999-$AD999)/7-'Guide &amp; Settings'!$C$48&gt;=0,(INT(($B999-$AD999)/7-'Guide &amp; Settings'!$C$48)+1)*'Guide &amp; Settings'!$C$49,0)))))</f>
        <v/>
      </c>
      <c r="AD999" s="142">
        <f t="shared" si="317"/>
        <v>0</v>
      </c>
      <c r="AE999">
        <f t="shared" si="318"/>
        <v>0</v>
      </c>
      <c r="AF999">
        <f t="shared" si="319"/>
        <v>0</v>
      </c>
    </row>
    <row r="1000" spans="1:32" x14ac:dyDescent="0.2">
      <c r="A1000" s="117"/>
      <c r="B1000" s="118"/>
      <c r="C1000" s="119"/>
      <c r="D1000" s="119"/>
      <c r="E1000" s="117"/>
      <c r="F1000" s="120">
        <f t="shared" si="300"/>
        <v>0</v>
      </c>
      <c r="G1000" s="121" t="str">
        <f t="shared" si="301"/>
        <v/>
      </c>
      <c r="H1000" s="122">
        <f>IF($D1000="",0,IFERROR(LOOKUP(2,1/(($D$3:D999=$D1000)*($A$3:A999&lt;$A1000)),$N$3:N999),'Guide &amp; Settings'!$C$41))</f>
        <v>0</v>
      </c>
      <c r="I1000" s="123">
        <f t="shared" si="302"/>
        <v>0</v>
      </c>
      <c r="J1000" s="124">
        <f>IF($D1000="",0,IF($F1000&lt;2,0,IF($E1000="Win",('Guide &amp; Settings'!$C$42/(($F1000-1)*COUNTIFS($A$4:$A$1510,$A1000,$E$4:$E$1510,"Win")))*SUMIFS($X$4:$X$1510,$A$4:$A$1510,$A1000,$E$4:$E$1510,"Loss"),-('Guide &amp; Settings'!$C$42/($F1000-1))*$X1000)))</f>
        <v>0</v>
      </c>
      <c r="K1000" s="124">
        <f>IF($D1000="",0,'Guide &amp; Settings'!$C$43*(IF($E1000="Win",1,0)-$I1000))</f>
        <v>0</v>
      </c>
      <c r="L1000" s="125">
        <f>IF($D1000="",0,'Guide &amp; Settings'!$C$44*IF($F1000&gt;=3,$F1000,0))</f>
        <v>0</v>
      </c>
      <c r="M1000" s="124">
        <f t="shared" si="303"/>
        <v>0</v>
      </c>
      <c r="N1000" s="122">
        <f t="shared" si="304"/>
        <v>0</v>
      </c>
      <c r="O1000" s="121" t="str">
        <f t="shared" si="305"/>
        <v/>
      </c>
      <c r="P1000">
        <f t="shared" si="306"/>
        <v>0</v>
      </c>
      <c r="Q1000">
        <f t="shared" si="307"/>
        <v>0</v>
      </c>
      <c r="R1000">
        <f t="shared" si="308"/>
        <v>0</v>
      </c>
      <c r="S1000">
        <f t="shared" si="309"/>
        <v>0</v>
      </c>
      <c r="T1000" s="89">
        <f t="shared" si="310"/>
        <v>0</v>
      </c>
      <c r="U1000" s="126">
        <f>IF($D1000="",0,IFERROR(LOOKUP(2,1/(($D$3:D999=$D1000)*($C$3:C999=$C1000)*($A$3:A999&lt;$A1000)),$AB$3:AB999),1000))</f>
        <v>0</v>
      </c>
      <c r="V1000" s="126">
        <f t="shared" si="311"/>
        <v>0</v>
      </c>
      <c r="W1000">
        <f t="shared" si="312"/>
        <v>0</v>
      </c>
      <c r="X1000">
        <f t="shared" si="313"/>
        <v>0</v>
      </c>
      <c r="Y1000">
        <f t="shared" si="314"/>
        <v>0</v>
      </c>
      <c r="Z1000">
        <f t="shared" si="315"/>
        <v>0</v>
      </c>
      <c r="AA1000">
        <f>IF($D1000="",0,IF($F1000&lt;2,0,IF($E1000="Win",('Guide &amp; Settings'!$C$42/(($F1000-1)*COUNTIFS($A$4:$A$1510,$A1000,$E$4:$E$1510,"Win")))*SUMIFS($Z$4:$Z$1510,$A$4:$A$1510,$A1000,$E$4:$E$1510,"Loss"),-('Guide &amp; Settings'!$C$42/($F1000-1))*$Z1000)))</f>
        <v>0</v>
      </c>
      <c r="AB1000" s="126">
        <f t="shared" si="316"/>
        <v>0</v>
      </c>
      <c r="AC1000" t="str">
        <f>IF($D1000="","",IF($AD1000=0,0,IF(COUNTIFS($D$4:$D1000,$D1000,$B$4:$B1000,$B1000)&gt;1,0,IF($B1000&lt;'Guide &amp; Settings'!$C$50,0,IF(($B1000-$AD1000)/7-'Guide &amp; Settings'!$C$48&gt;=0,(INT(($B1000-$AD1000)/7-'Guide &amp; Settings'!$C$48)+1)*'Guide &amp; Settings'!$C$49,0)))))</f>
        <v/>
      </c>
      <c r="AD1000" s="142">
        <f t="shared" si="317"/>
        <v>0</v>
      </c>
      <c r="AE1000">
        <f t="shared" si="318"/>
        <v>0</v>
      </c>
      <c r="AF1000">
        <f t="shared" si="319"/>
        <v>0</v>
      </c>
    </row>
    <row r="1001" spans="1:32" x14ac:dyDescent="0.2">
      <c r="A1001" s="117"/>
      <c r="B1001" s="118"/>
      <c r="C1001" s="119"/>
      <c r="D1001" s="119"/>
      <c r="E1001" s="117"/>
      <c r="F1001" s="120">
        <f t="shared" si="300"/>
        <v>0</v>
      </c>
      <c r="G1001" s="121" t="str">
        <f t="shared" si="301"/>
        <v/>
      </c>
      <c r="H1001" s="122">
        <f>IF($D1001="",0,IFERROR(LOOKUP(2,1/(($D$3:D1000=$D1001)*($A$3:A1000&lt;$A1001)),$N$3:N1000),'Guide &amp; Settings'!$C$41))</f>
        <v>0</v>
      </c>
      <c r="I1001" s="123">
        <f t="shared" si="302"/>
        <v>0</v>
      </c>
      <c r="J1001" s="124">
        <f>IF($D1001="",0,IF($F1001&lt;2,0,IF($E1001="Win",('Guide &amp; Settings'!$C$42/(($F1001-1)*COUNTIFS($A$4:$A$1510,$A1001,$E$4:$E$1510,"Win")))*SUMIFS($X$4:$X$1510,$A$4:$A$1510,$A1001,$E$4:$E$1510,"Loss"),-('Guide &amp; Settings'!$C$42/($F1001-1))*$X1001)))</f>
        <v>0</v>
      </c>
      <c r="K1001" s="124">
        <f>IF($D1001="",0,'Guide &amp; Settings'!$C$43*(IF($E1001="Win",1,0)-$I1001))</f>
        <v>0</v>
      </c>
      <c r="L1001" s="125">
        <f>IF($D1001="",0,'Guide &amp; Settings'!$C$44*IF($F1001&gt;=3,$F1001,0))</f>
        <v>0</v>
      </c>
      <c r="M1001" s="124">
        <f t="shared" si="303"/>
        <v>0</v>
      </c>
      <c r="N1001" s="122">
        <f t="shared" si="304"/>
        <v>0</v>
      </c>
      <c r="O1001" s="121" t="str">
        <f t="shared" si="305"/>
        <v/>
      </c>
      <c r="P1001">
        <f t="shared" si="306"/>
        <v>0</v>
      </c>
      <c r="Q1001">
        <f t="shared" si="307"/>
        <v>0</v>
      </c>
      <c r="R1001">
        <f t="shared" si="308"/>
        <v>0</v>
      </c>
      <c r="S1001">
        <f t="shared" si="309"/>
        <v>0</v>
      </c>
      <c r="T1001" s="89">
        <f t="shared" si="310"/>
        <v>0</v>
      </c>
      <c r="U1001" s="126">
        <f>IF($D1001="",0,IFERROR(LOOKUP(2,1/(($D$3:D1000=$D1001)*($C$3:C1000=$C1001)*($A$3:A1000&lt;$A1001)),$AB$3:AB1000),1000))</f>
        <v>0</v>
      </c>
      <c r="V1001" s="126">
        <f t="shared" si="311"/>
        <v>0</v>
      </c>
      <c r="W1001">
        <f t="shared" si="312"/>
        <v>0</v>
      </c>
      <c r="X1001">
        <f t="shared" si="313"/>
        <v>0</v>
      </c>
      <c r="Y1001">
        <f t="shared" si="314"/>
        <v>0</v>
      </c>
      <c r="Z1001">
        <f t="shared" si="315"/>
        <v>0</v>
      </c>
      <c r="AA1001">
        <f>IF($D1001="",0,IF($F1001&lt;2,0,IF($E1001="Win",('Guide &amp; Settings'!$C$42/(($F1001-1)*COUNTIFS($A$4:$A$1510,$A1001,$E$4:$E$1510,"Win")))*SUMIFS($Z$4:$Z$1510,$A$4:$A$1510,$A1001,$E$4:$E$1510,"Loss"),-('Guide &amp; Settings'!$C$42/($F1001-1))*$Z1001)))</f>
        <v>0</v>
      </c>
      <c r="AB1001" s="126">
        <f t="shared" si="316"/>
        <v>0</v>
      </c>
      <c r="AC1001" t="str">
        <f>IF($D1001="","",IF($AD1001=0,0,IF(COUNTIFS($D$4:$D1001,$D1001,$B$4:$B1001,$B1001)&gt;1,0,IF($B1001&lt;'Guide &amp; Settings'!$C$50,0,IF(($B1001-$AD1001)/7-'Guide &amp; Settings'!$C$48&gt;=0,(INT(($B1001-$AD1001)/7-'Guide &amp; Settings'!$C$48)+1)*'Guide &amp; Settings'!$C$49,0)))))</f>
        <v/>
      </c>
      <c r="AD1001" s="142">
        <f t="shared" si="317"/>
        <v>0</v>
      </c>
      <c r="AE1001">
        <f t="shared" si="318"/>
        <v>0</v>
      </c>
      <c r="AF1001">
        <f t="shared" si="319"/>
        <v>0</v>
      </c>
    </row>
    <row r="1002" spans="1:32" x14ac:dyDescent="0.2">
      <c r="A1002" s="117"/>
      <c r="B1002" s="118"/>
      <c r="C1002" s="119"/>
      <c r="D1002" s="119"/>
      <c r="E1002" s="117"/>
      <c r="F1002" s="120">
        <f t="shared" si="300"/>
        <v>0</v>
      </c>
      <c r="G1002" s="121" t="str">
        <f t="shared" si="301"/>
        <v/>
      </c>
      <c r="H1002" s="122">
        <f>IF($D1002="",0,IFERROR(LOOKUP(2,1/(($D$3:D1001=$D1002)*($A$3:A1001&lt;$A1002)),$N$3:N1001),'Guide &amp; Settings'!$C$41))</f>
        <v>0</v>
      </c>
      <c r="I1002" s="123">
        <f t="shared" si="302"/>
        <v>0</v>
      </c>
      <c r="J1002" s="124">
        <f>IF($D1002="",0,IF($F1002&lt;2,0,IF($E1002="Win",('Guide &amp; Settings'!$C$42/(($F1002-1)*COUNTIFS($A$4:$A$1510,$A1002,$E$4:$E$1510,"Win")))*SUMIFS($X$4:$X$1510,$A$4:$A$1510,$A1002,$E$4:$E$1510,"Loss"),-('Guide &amp; Settings'!$C$42/($F1002-1))*$X1002)))</f>
        <v>0</v>
      </c>
      <c r="K1002" s="124">
        <f>IF($D1002="",0,'Guide &amp; Settings'!$C$43*(IF($E1002="Win",1,0)-$I1002))</f>
        <v>0</v>
      </c>
      <c r="L1002" s="125">
        <f>IF($D1002="",0,'Guide &amp; Settings'!$C$44*IF($F1002&gt;=3,$F1002,0))</f>
        <v>0</v>
      </c>
      <c r="M1002" s="124">
        <f t="shared" si="303"/>
        <v>0</v>
      </c>
      <c r="N1002" s="122">
        <f t="shared" si="304"/>
        <v>0</v>
      </c>
      <c r="O1002" s="121" t="str">
        <f t="shared" si="305"/>
        <v/>
      </c>
      <c r="P1002">
        <f t="shared" si="306"/>
        <v>0</v>
      </c>
      <c r="Q1002">
        <f t="shared" si="307"/>
        <v>0</v>
      </c>
      <c r="R1002">
        <f t="shared" si="308"/>
        <v>0</v>
      </c>
      <c r="S1002">
        <f t="shared" si="309"/>
        <v>0</v>
      </c>
      <c r="T1002" s="89">
        <f t="shared" si="310"/>
        <v>0</v>
      </c>
      <c r="U1002" s="126">
        <f>IF($D1002="",0,IFERROR(LOOKUP(2,1/(($D$3:D1001=$D1002)*($C$3:C1001=$C1002)*($A$3:A1001&lt;$A1002)),$AB$3:AB1001),1000))</f>
        <v>0</v>
      </c>
      <c r="V1002" s="126">
        <f t="shared" si="311"/>
        <v>0</v>
      </c>
      <c r="W1002">
        <f t="shared" si="312"/>
        <v>0</v>
      </c>
      <c r="X1002">
        <f t="shared" si="313"/>
        <v>0</v>
      </c>
      <c r="Y1002">
        <f t="shared" si="314"/>
        <v>0</v>
      </c>
      <c r="Z1002">
        <f t="shared" si="315"/>
        <v>0</v>
      </c>
      <c r="AA1002">
        <f>IF($D1002="",0,IF($F1002&lt;2,0,IF($E1002="Win",('Guide &amp; Settings'!$C$42/(($F1002-1)*COUNTIFS($A$4:$A$1510,$A1002,$E$4:$E$1510,"Win")))*SUMIFS($Z$4:$Z$1510,$A$4:$A$1510,$A1002,$E$4:$E$1510,"Loss"),-('Guide &amp; Settings'!$C$42/($F1002-1))*$Z1002)))</f>
        <v>0</v>
      </c>
      <c r="AB1002" s="126">
        <f t="shared" si="316"/>
        <v>0</v>
      </c>
      <c r="AC1002" t="str">
        <f>IF($D1002="","",IF($AD1002=0,0,IF(COUNTIFS($D$4:$D1002,$D1002,$B$4:$B1002,$B1002)&gt;1,0,IF($B1002&lt;'Guide &amp; Settings'!$C$50,0,IF(($B1002-$AD1002)/7-'Guide &amp; Settings'!$C$48&gt;=0,(INT(($B1002-$AD1002)/7-'Guide &amp; Settings'!$C$48)+1)*'Guide &amp; Settings'!$C$49,0)))))</f>
        <v/>
      </c>
      <c r="AD1002" s="142">
        <f t="shared" si="317"/>
        <v>0</v>
      </c>
      <c r="AE1002">
        <f t="shared" si="318"/>
        <v>0</v>
      </c>
      <c r="AF1002">
        <f t="shared" si="319"/>
        <v>0</v>
      </c>
    </row>
    <row r="1003" spans="1:32" x14ac:dyDescent="0.2">
      <c r="A1003" s="117"/>
      <c r="B1003" s="118"/>
      <c r="C1003" s="119"/>
      <c r="D1003" s="119"/>
      <c r="E1003" s="117"/>
      <c r="F1003" s="120">
        <f t="shared" si="300"/>
        <v>0</v>
      </c>
      <c r="G1003" s="121" t="str">
        <f t="shared" si="301"/>
        <v/>
      </c>
      <c r="H1003" s="122">
        <f>IF($D1003="",0,IFERROR(LOOKUP(2,1/(($D$3:D1002=$D1003)*($A$3:A1002&lt;$A1003)),$N$3:N1002),'Guide &amp; Settings'!$C$41))</f>
        <v>0</v>
      </c>
      <c r="I1003" s="123">
        <f t="shared" si="302"/>
        <v>0</v>
      </c>
      <c r="J1003" s="124">
        <f>IF($D1003="",0,IF($F1003&lt;2,0,IF($E1003="Win",('Guide &amp; Settings'!$C$42/(($F1003-1)*COUNTIFS($A$4:$A$1510,$A1003,$E$4:$E$1510,"Win")))*SUMIFS($X$4:$X$1510,$A$4:$A$1510,$A1003,$E$4:$E$1510,"Loss"),-('Guide &amp; Settings'!$C$42/($F1003-1))*$X1003)))</f>
        <v>0</v>
      </c>
      <c r="K1003" s="124">
        <f>IF($D1003="",0,'Guide &amp; Settings'!$C$43*(IF($E1003="Win",1,0)-$I1003))</f>
        <v>0</v>
      </c>
      <c r="L1003" s="125">
        <f>IF($D1003="",0,'Guide &amp; Settings'!$C$44*IF($F1003&gt;=3,$F1003,0))</f>
        <v>0</v>
      </c>
      <c r="M1003" s="124">
        <f t="shared" si="303"/>
        <v>0</v>
      </c>
      <c r="N1003" s="122">
        <f t="shared" si="304"/>
        <v>0</v>
      </c>
      <c r="O1003" s="121" t="str">
        <f t="shared" si="305"/>
        <v/>
      </c>
      <c r="P1003">
        <f t="shared" si="306"/>
        <v>0</v>
      </c>
      <c r="Q1003">
        <f t="shared" si="307"/>
        <v>0</v>
      </c>
      <c r="R1003">
        <f t="shared" si="308"/>
        <v>0</v>
      </c>
      <c r="S1003">
        <f t="shared" si="309"/>
        <v>0</v>
      </c>
      <c r="T1003" s="89">
        <f t="shared" si="310"/>
        <v>0</v>
      </c>
      <c r="U1003" s="126">
        <f>IF($D1003="",0,IFERROR(LOOKUP(2,1/(($D$3:D1002=$D1003)*($C$3:C1002=$C1003)*($A$3:A1002&lt;$A1003)),$AB$3:AB1002),1000))</f>
        <v>0</v>
      </c>
      <c r="V1003" s="126">
        <f t="shared" si="311"/>
        <v>0</v>
      </c>
      <c r="W1003">
        <f t="shared" si="312"/>
        <v>0</v>
      </c>
      <c r="X1003">
        <f t="shared" si="313"/>
        <v>0</v>
      </c>
      <c r="Y1003">
        <f t="shared" si="314"/>
        <v>0</v>
      </c>
      <c r="Z1003">
        <f t="shared" si="315"/>
        <v>0</v>
      </c>
      <c r="AA1003">
        <f>IF($D1003="",0,IF($F1003&lt;2,0,IF($E1003="Win",('Guide &amp; Settings'!$C$42/(($F1003-1)*COUNTIFS($A$4:$A$1510,$A1003,$E$4:$E$1510,"Win")))*SUMIFS($Z$4:$Z$1510,$A$4:$A$1510,$A1003,$E$4:$E$1510,"Loss"),-('Guide &amp; Settings'!$C$42/($F1003-1))*$Z1003)))</f>
        <v>0</v>
      </c>
      <c r="AB1003" s="126">
        <f t="shared" si="316"/>
        <v>0</v>
      </c>
      <c r="AC1003" t="str">
        <f>IF($D1003="","",IF($AD1003=0,0,IF(COUNTIFS($D$4:$D1003,$D1003,$B$4:$B1003,$B1003)&gt;1,0,IF($B1003&lt;'Guide &amp; Settings'!$C$50,0,IF(($B1003-$AD1003)/7-'Guide &amp; Settings'!$C$48&gt;=0,(INT(($B1003-$AD1003)/7-'Guide &amp; Settings'!$C$48)+1)*'Guide &amp; Settings'!$C$49,0)))))</f>
        <v/>
      </c>
      <c r="AD1003" s="142">
        <f t="shared" si="317"/>
        <v>0</v>
      </c>
      <c r="AE1003">
        <f t="shared" si="318"/>
        <v>0</v>
      </c>
      <c r="AF1003">
        <f t="shared" si="319"/>
        <v>0</v>
      </c>
    </row>
    <row r="1004" spans="1:32" x14ac:dyDescent="0.2">
      <c r="A1004" s="117"/>
      <c r="B1004" s="118"/>
      <c r="C1004" s="119"/>
      <c r="D1004" s="119"/>
      <c r="E1004" s="117"/>
      <c r="F1004" s="120">
        <f t="shared" si="300"/>
        <v>0</v>
      </c>
      <c r="G1004" s="121" t="str">
        <f t="shared" si="301"/>
        <v/>
      </c>
      <c r="H1004" s="122">
        <f>IF($D1004="",0,IFERROR(LOOKUP(2,1/(($D$3:D1003=$D1004)*($A$3:A1003&lt;$A1004)),$N$3:N1003),'Guide &amp; Settings'!$C$41))</f>
        <v>0</v>
      </c>
      <c r="I1004" s="123">
        <f t="shared" si="302"/>
        <v>0</v>
      </c>
      <c r="J1004" s="124">
        <f>IF($D1004="",0,IF($F1004&lt;2,0,IF($E1004="Win",('Guide &amp; Settings'!$C$42/(($F1004-1)*COUNTIFS($A$4:$A$1510,$A1004,$E$4:$E$1510,"Win")))*SUMIFS($X$4:$X$1510,$A$4:$A$1510,$A1004,$E$4:$E$1510,"Loss"),-('Guide &amp; Settings'!$C$42/($F1004-1))*$X1004)))</f>
        <v>0</v>
      </c>
      <c r="K1004" s="124">
        <f>IF($D1004="",0,'Guide &amp; Settings'!$C$43*(IF($E1004="Win",1,0)-$I1004))</f>
        <v>0</v>
      </c>
      <c r="L1004" s="125">
        <f>IF($D1004="",0,'Guide &amp; Settings'!$C$44*IF($F1004&gt;=3,$F1004,0))</f>
        <v>0</v>
      </c>
      <c r="M1004" s="124">
        <f t="shared" si="303"/>
        <v>0</v>
      </c>
      <c r="N1004" s="122">
        <f t="shared" si="304"/>
        <v>0</v>
      </c>
      <c r="O1004" s="121" t="str">
        <f t="shared" si="305"/>
        <v/>
      </c>
      <c r="P1004">
        <f t="shared" si="306"/>
        <v>0</v>
      </c>
      <c r="Q1004">
        <f t="shared" si="307"/>
        <v>0</v>
      </c>
      <c r="R1004">
        <f t="shared" si="308"/>
        <v>0</v>
      </c>
      <c r="S1004">
        <f t="shared" si="309"/>
        <v>0</v>
      </c>
      <c r="T1004" s="89">
        <f t="shared" si="310"/>
        <v>0</v>
      </c>
      <c r="U1004" s="126">
        <f>IF($D1004="",0,IFERROR(LOOKUP(2,1/(($D$3:D1003=$D1004)*($C$3:C1003=$C1004)*($A$3:A1003&lt;$A1004)),$AB$3:AB1003),1000))</f>
        <v>0</v>
      </c>
      <c r="V1004" s="126">
        <f t="shared" si="311"/>
        <v>0</v>
      </c>
      <c r="W1004">
        <f t="shared" si="312"/>
        <v>0</v>
      </c>
      <c r="X1004">
        <f t="shared" si="313"/>
        <v>0</v>
      </c>
      <c r="Y1004">
        <f t="shared" si="314"/>
        <v>0</v>
      </c>
      <c r="Z1004">
        <f t="shared" si="315"/>
        <v>0</v>
      </c>
      <c r="AA1004">
        <f>IF($D1004="",0,IF($F1004&lt;2,0,IF($E1004="Win",('Guide &amp; Settings'!$C$42/(($F1004-1)*COUNTIFS($A$4:$A$1510,$A1004,$E$4:$E$1510,"Win")))*SUMIFS($Z$4:$Z$1510,$A$4:$A$1510,$A1004,$E$4:$E$1510,"Loss"),-('Guide &amp; Settings'!$C$42/($F1004-1))*$Z1004)))</f>
        <v>0</v>
      </c>
      <c r="AB1004" s="126">
        <f t="shared" si="316"/>
        <v>0</v>
      </c>
      <c r="AC1004" t="str">
        <f>IF($D1004="","",IF($AD1004=0,0,IF(COUNTIFS($D$4:$D1004,$D1004,$B$4:$B1004,$B1004)&gt;1,0,IF($B1004&lt;'Guide &amp; Settings'!$C$50,0,IF(($B1004-$AD1004)/7-'Guide &amp; Settings'!$C$48&gt;=0,(INT(($B1004-$AD1004)/7-'Guide &amp; Settings'!$C$48)+1)*'Guide &amp; Settings'!$C$49,0)))))</f>
        <v/>
      </c>
      <c r="AD1004" s="142">
        <f t="shared" si="317"/>
        <v>0</v>
      </c>
      <c r="AE1004">
        <f t="shared" si="318"/>
        <v>0</v>
      </c>
      <c r="AF1004">
        <f t="shared" si="319"/>
        <v>0</v>
      </c>
    </row>
    <row r="1005" spans="1:32" x14ac:dyDescent="0.2">
      <c r="A1005" s="117"/>
      <c r="B1005" s="118"/>
      <c r="C1005" s="119"/>
      <c r="D1005" s="119"/>
      <c r="E1005" s="117"/>
      <c r="F1005" s="120">
        <f t="shared" si="300"/>
        <v>0</v>
      </c>
      <c r="G1005" s="121" t="str">
        <f t="shared" si="301"/>
        <v/>
      </c>
      <c r="H1005" s="122">
        <f>IF($D1005="",0,IFERROR(LOOKUP(2,1/(($D$3:D1004=$D1005)*($A$3:A1004&lt;$A1005)),$N$3:N1004),'Guide &amp; Settings'!$C$41))</f>
        <v>0</v>
      </c>
      <c r="I1005" s="123">
        <f t="shared" si="302"/>
        <v>0</v>
      </c>
      <c r="J1005" s="124">
        <f>IF($D1005="",0,IF($F1005&lt;2,0,IF($E1005="Win",('Guide &amp; Settings'!$C$42/(($F1005-1)*COUNTIFS($A$4:$A$1510,$A1005,$E$4:$E$1510,"Win")))*SUMIFS($X$4:$X$1510,$A$4:$A$1510,$A1005,$E$4:$E$1510,"Loss"),-('Guide &amp; Settings'!$C$42/($F1005-1))*$X1005)))</f>
        <v>0</v>
      </c>
      <c r="K1005" s="124">
        <f>IF($D1005="",0,'Guide &amp; Settings'!$C$43*(IF($E1005="Win",1,0)-$I1005))</f>
        <v>0</v>
      </c>
      <c r="L1005" s="125">
        <f>IF($D1005="",0,'Guide &amp; Settings'!$C$44*IF($F1005&gt;=3,$F1005,0))</f>
        <v>0</v>
      </c>
      <c r="M1005" s="124">
        <f t="shared" si="303"/>
        <v>0</v>
      </c>
      <c r="N1005" s="122">
        <f t="shared" si="304"/>
        <v>0</v>
      </c>
      <c r="O1005" s="121" t="str">
        <f t="shared" si="305"/>
        <v/>
      </c>
      <c r="P1005">
        <f t="shared" si="306"/>
        <v>0</v>
      </c>
      <c r="Q1005">
        <f t="shared" si="307"/>
        <v>0</v>
      </c>
      <c r="R1005">
        <f t="shared" si="308"/>
        <v>0</v>
      </c>
      <c r="S1005">
        <f t="shared" si="309"/>
        <v>0</v>
      </c>
      <c r="T1005" s="89">
        <f t="shared" si="310"/>
        <v>0</v>
      </c>
      <c r="U1005" s="126">
        <f>IF($D1005="",0,IFERROR(LOOKUP(2,1/(($D$3:D1004=$D1005)*($C$3:C1004=$C1005)*($A$3:A1004&lt;$A1005)),$AB$3:AB1004),1000))</f>
        <v>0</v>
      </c>
      <c r="V1005" s="126">
        <f t="shared" si="311"/>
        <v>0</v>
      </c>
      <c r="W1005">
        <f t="shared" si="312"/>
        <v>0</v>
      </c>
      <c r="X1005">
        <f t="shared" si="313"/>
        <v>0</v>
      </c>
      <c r="Y1005">
        <f t="shared" si="314"/>
        <v>0</v>
      </c>
      <c r="Z1005">
        <f t="shared" si="315"/>
        <v>0</v>
      </c>
      <c r="AA1005">
        <f>IF($D1005="",0,IF($F1005&lt;2,0,IF($E1005="Win",('Guide &amp; Settings'!$C$42/(($F1005-1)*COUNTIFS($A$4:$A$1510,$A1005,$E$4:$E$1510,"Win")))*SUMIFS($Z$4:$Z$1510,$A$4:$A$1510,$A1005,$E$4:$E$1510,"Loss"),-('Guide &amp; Settings'!$C$42/($F1005-1))*$Z1005)))</f>
        <v>0</v>
      </c>
      <c r="AB1005" s="126">
        <f t="shared" si="316"/>
        <v>0</v>
      </c>
      <c r="AC1005" t="str">
        <f>IF($D1005="","",IF($AD1005=0,0,IF(COUNTIFS($D$4:$D1005,$D1005,$B$4:$B1005,$B1005)&gt;1,0,IF($B1005&lt;'Guide &amp; Settings'!$C$50,0,IF(($B1005-$AD1005)/7-'Guide &amp; Settings'!$C$48&gt;=0,(INT(($B1005-$AD1005)/7-'Guide &amp; Settings'!$C$48)+1)*'Guide &amp; Settings'!$C$49,0)))))</f>
        <v/>
      </c>
      <c r="AD1005" s="142">
        <f t="shared" si="317"/>
        <v>0</v>
      </c>
      <c r="AE1005">
        <f t="shared" si="318"/>
        <v>0</v>
      </c>
      <c r="AF1005">
        <f t="shared" si="319"/>
        <v>0</v>
      </c>
    </row>
    <row r="1006" spans="1:32" x14ac:dyDescent="0.2">
      <c r="A1006" s="117"/>
      <c r="B1006" s="118"/>
      <c r="C1006" s="119"/>
      <c r="D1006" s="119"/>
      <c r="E1006" s="117"/>
      <c r="F1006" s="120">
        <f t="shared" si="300"/>
        <v>0</v>
      </c>
      <c r="G1006" s="121" t="str">
        <f t="shared" si="301"/>
        <v/>
      </c>
      <c r="H1006" s="122">
        <f>IF($D1006="",0,IFERROR(LOOKUP(2,1/(($D$3:D1005=$D1006)*($A$3:A1005&lt;$A1006)),$N$3:N1005),'Guide &amp; Settings'!$C$41))</f>
        <v>0</v>
      </c>
      <c r="I1006" s="123">
        <f t="shared" si="302"/>
        <v>0</v>
      </c>
      <c r="J1006" s="124">
        <f>IF($D1006="",0,IF($F1006&lt;2,0,IF($E1006="Win",('Guide &amp; Settings'!$C$42/(($F1006-1)*COUNTIFS($A$4:$A$1510,$A1006,$E$4:$E$1510,"Win")))*SUMIFS($X$4:$X$1510,$A$4:$A$1510,$A1006,$E$4:$E$1510,"Loss"),-('Guide &amp; Settings'!$C$42/($F1006-1))*$X1006)))</f>
        <v>0</v>
      </c>
      <c r="K1006" s="124">
        <f>IF($D1006="",0,'Guide &amp; Settings'!$C$43*(IF($E1006="Win",1,0)-$I1006))</f>
        <v>0</v>
      </c>
      <c r="L1006" s="125">
        <f>IF($D1006="",0,'Guide &amp; Settings'!$C$44*IF($F1006&gt;=3,$F1006,0))</f>
        <v>0</v>
      </c>
      <c r="M1006" s="124">
        <f t="shared" si="303"/>
        <v>0</v>
      </c>
      <c r="N1006" s="122">
        <f t="shared" si="304"/>
        <v>0</v>
      </c>
      <c r="O1006" s="121" t="str">
        <f t="shared" si="305"/>
        <v/>
      </c>
      <c r="P1006">
        <f t="shared" si="306"/>
        <v>0</v>
      </c>
      <c r="Q1006">
        <f t="shared" si="307"/>
        <v>0</v>
      </c>
      <c r="R1006">
        <f t="shared" si="308"/>
        <v>0</v>
      </c>
      <c r="S1006">
        <f t="shared" si="309"/>
        <v>0</v>
      </c>
      <c r="T1006" s="89">
        <f t="shared" si="310"/>
        <v>0</v>
      </c>
      <c r="U1006" s="126">
        <f>IF($D1006="",0,IFERROR(LOOKUP(2,1/(($D$3:D1005=$D1006)*($C$3:C1005=$C1006)*($A$3:A1005&lt;$A1006)),$AB$3:AB1005),1000))</f>
        <v>0</v>
      </c>
      <c r="V1006" s="126">
        <f t="shared" si="311"/>
        <v>0</v>
      </c>
      <c r="W1006">
        <f t="shared" si="312"/>
        <v>0</v>
      </c>
      <c r="X1006">
        <f t="shared" si="313"/>
        <v>0</v>
      </c>
      <c r="Y1006">
        <f t="shared" si="314"/>
        <v>0</v>
      </c>
      <c r="Z1006">
        <f t="shared" si="315"/>
        <v>0</v>
      </c>
      <c r="AA1006">
        <f>IF($D1006="",0,IF($F1006&lt;2,0,IF($E1006="Win",('Guide &amp; Settings'!$C$42/(($F1006-1)*COUNTIFS($A$4:$A$1510,$A1006,$E$4:$E$1510,"Win")))*SUMIFS($Z$4:$Z$1510,$A$4:$A$1510,$A1006,$E$4:$E$1510,"Loss"),-('Guide &amp; Settings'!$C$42/($F1006-1))*$Z1006)))</f>
        <v>0</v>
      </c>
      <c r="AB1006" s="126">
        <f t="shared" si="316"/>
        <v>0</v>
      </c>
      <c r="AC1006" t="str">
        <f>IF($D1006="","",IF($AD1006=0,0,IF(COUNTIFS($D$4:$D1006,$D1006,$B$4:$B1006,$B1006)&gt;1,0,IF($B1006&lt;'Guide &amp; Settings'!$C$50,0,IF(($B1006-$AD1006)/7-'Guide &amp; Settings'!$C$48&gt;=0,(INT(($B1006-$AD1006)/7-'Guide &amp; Settings'!$C$48)+1)*'Guide &amp; Settings'!$C$49,0)))))</f>
        <v/>
      </c>
      <c r="AD1006" s="142">
        <f t="shared" si="317"/>
        <v>0</v>
      </c>
      <c r="AE1006">
        <f t="shared" si="318"/>
        <v>0</v>
      </c>
      <c r="AF1006">
        <f t="shared" si="319"/>
        <v>0</v>
      </c>
    </row>
    <row r="1007" spans="1:32" x14ac:dyDescent="0.2">
      <c r="A1007" s="117"/>
      <c r="B1007" s="118"/>
      <c r="C1007" s="119"/>
      <c r="D1007" s="119"/>
      <c r="E1007" s="117"/>
      <c r="F1007" s="120">
        <f t="shared" si="300"/>
        <v>0</v>
      </c>
      <c r="G1007" s="121" t="str">
        <f t="shared" si="301"/>
        <v/>
      </c>
      <c r="H1007" s="122">
        <f>IF($D1007="",0,IFERROR(LOOKUP(2,1/(($D$3:D1006=$D1007)*($A$3:A1006&lt;$A1007)),$N$3:N1006),'Guide &amp; Settings'!$C$41))</f>
        <v>0</v>
      </c>
      <c r="I1007" s="123">
        <f t="shared" si="302"/>
        <v>0</v>
      </c>
      <c r="J1007" s="124">
        <f>IF($D1007="",0,IF($F1007&lt;2,0,IF($E1007="Win",('Guide &amp; Settings'!$C$42/(($F1007-1)*COUNTIFS($A$4:$A$1510,$A1007,$E$4:$E$1510,"Win")))*SUMIFS($X$4:$X$1510,$A$4:$A$1510,$A1007,$E$4:$E$1510,"Loss"),-('Guide &amp; Settings'!$C$42/($F1007-1))*$X1007)))</f>
        <v>0</v>
      </c>
      <c r="K1007" s="124">
        <f>IF($D1007="",0,'Guide &amp; Settings'!$C$43*(IF($E1007="Win",1,0)-$I1007))</f>
        <v>0</v>
      </c>
      <c r="L1007" s="125">
        <f>IF($D1007="",0,'Guide &amp; Settings'!$C$44*IF($F1007&gt;=3,$F1007,0))</f>
        <v>0</v>
      </c>
      <c r="M1007" s="124">
        <f t="shared" si="303"/>
        <v>0</v>
      </c>
      <c r="N1007" s="122">
        <f t="shared" si="304"/>
        <v>0</v>
      </c>
      <c r="O1007" s="121" t="str">
        <f t="shared" si="305"/>
        <v/>
      </c>
      <c r="P1007">
        <f t="shared" si="306"/>
        <v>0</v>
      </c>
      <c r="Q1007">
        <f t="shared" si="307"/>
        <v>0</v>
      </c>
      <c r="R1007">
        <f t="shared" si="308"/>
        <v>0</v>
      </c>
      <c r="S1007">
        <f t="shared" si="309"/>
        <v>0</v>
      </c>
      <c r="T1007" s="89">
        <f t="shared" si="310"/>
        <v>0</v>
      </c>
      <c r="U1007" s="126">
        <f>IF($D1007="",0,IFERROR(LOOKUP(2,1/(($D$3:D1006=$D1007)*($C$3:C1006=$C1007)*($A$3:A1006&lt;$A1007)),$AB$3:AB1006),1000))</f>
        <v>0</v>
      </c>
      <c r="V1007" s="126">
        <f t="shared" si="311"/>
        <v>0</v>
      </c>
      <c r="W1007">
        <f t="shared" si="312"/>
        <v>0</v>
      </c>
      <c r="X1007">
        <f t="shared" si="313"/>
        <v>0</v>
      </c>
      <c r="Y1007">
        <f t="shared" si="314"/>
        <v>0</v>
      </c>
      <c r="Z1007">
        <f t="shared" si="315"/>
        <v>0</v>
      </c>
      <c r="AA1007">
        <f>IF($D1007="",0,IF($F1007&lt;2,0,IF($E1007="Win",('Guide &amp; Settings'!$C$42/(($F1007-1)*COUNTIFS($A$4:$A$1510,$A1007,$E$4:$E$1510,"Win")))*SUMIFS($Z$4:$Z$1510,$A$4:$A$1510,$A1007,$E$4:$E$1510,"Loss"),-('Guide &amp; Settings'!$C$42/($F1007-1))*$Z1007)))</f>
        <v>0</v>
      </c>
      <c r="AB1007" s="126">
        <f t="shared" si="316"/>
        <v>0</v>
      </c>
      <c r="AC1007" t="str">
        <f>IF($D1007="","",IF($AD1007=0,0,IF(COUNTIFS($D$4:$D1007,$D1007,$B$4:$B1007,$B1007)&gt;1,0,IF($B1007&lt;'Guide &amp; Settings'!$C$50,0,IF(($B1007-$AD1007)/7-'Guide &amp; Settings'!$C$48&gt;=0,(INT(($B1007-$AD1007)/7-'Guide &amp; Settings'!$C$48)+1)*'Guide &amp; Settings'!$C$49,0)))))</f>
        <v/>
      </c>
      <c r="AD1007" s="142">
        <f t="shared" si="317"/>
        <v>0</v>
      </c>
      <c r="AE1007">
        <f t="shared" si="318"/>
        <v>0</v>
      </c>
      <c r="AF1007">
        <f t="shared" si="319"/>
        <v>0</v>
      </c>
    </row>
    <row r="1008" spans="1:32" x14ac:dyDescent="0.2">
      <c r="A1008" s="117"/>
      <c r="B1008" s="118"/>
      <c r="C1008" s="119"/>
      <c r="D1008" s="119"/>
      <c r="E1008" s="117"/>
      <c r="F1008" s="120">
        <f t="shared" si="300"/>
        <v>0</v>
      </c>
      <c r="G1008" s="121" t="str">
        <f t="shared" si="301"/>
        <v/>
      </c>
      <c r="H1008" s="122">
        <f>IF($D1008="",0,IFERROR(LOOKUP(2,1/(($D$3:D1007=$D1008)*($A$3:A1007&lt;$A1008)),$N$3:N1007),'Guide &amp; Settings'!$C$41))</f>
        <v>0</v>
      </c>
      <c r="I1008" s="123">
        <f t="shared" si="302"/>
        <v>0</v>
      </c>
      <c r="J1008" s="124">
        <f>IF($D1008="",0,IF($F1008&lt;2,0,IF($E1008="Win",('Guide &amp; Settings'!$C$42/(($F1008-1)*COUNTIFS($A$4:$A$1510,$A1008,$E$4:$E$1510,"Win")))*SUMIFS($X$4:$X$1510,$A$4:$A$1510,$A1008,$E$4:$E$1510,"Loss"),-('Guide &amp; Settings'!$C$42/($F1008-1))*$X1008)))</f>
        <v>0</v>
      </c>
      <c r="K1008" s="124">
        <f>IF($D1008="",0,'Guide &amp; Settings'!$C$43*(IF($E1008="Win",1,0)-$I1008))</f>
        <v>0</v>
      </c>
      <c r="L1008" s="125">
        <f>IF($D1008="",0,'Guide &amp; Settings'!$C$44*IF($F1008&gt;=3,$F1008,0))</f>
        <v>0</v>
      </c>
      <c r="M1008" s="124">
        <f t="shared" si="303"/>
        <v>0</v>
      </c>
      <c r="N1008" s="122">
        <f t="shared" si="304"/>
        <v>0</v>
      </c>
      <c r="O1008" s="121" t="str">
        <f t="shared" si="305"/>
        <v/>
      </c>
      <c r="P1008">
        <f t="shared" si="306"/>
        <v>0</v>
      </c>
      <c r="Q1008">
        <f t="shared" si="307"/>
        <v>0</v>
      </c>
      <c r="R1008">
        <f t="shared" si="308"/>
        <v>0</v>
      </c>
      <c r="S1008">
        <f t="shared" si="309"/>
        <v>0</v>
      </c>
      <c r="T1008" s="89">
        <f t="shared" si="310"/>
        <v>0</v>
      </c>
      <c r="U1008" s="126">
        <f>IF($D1008="",0,IFERROR(LOOKUP(2,1/(($D$3:D1007=$D1008)*($C$3:C1007=$C1008)*($A$3:A1007&lt;$A1008)),$AB$3:AB1007),1000))</f>
        <v>0</v>
      </c>
      <c r="V1008" s="126">
        <f t="shared" si="311"/>
        <v>0</v>
      </c>
      <c r="W1008">
        <f t="shared" si="312"/>
        <v>0</v>
      </c>
      <c r="X1008">
        <f t="shared" si="313"/>
        <v>0</v>
      </c>
      <c r="Y1008">
        <f t="shared" si="314"/>
        <v>0</v>
      </c>
      <c r="Z1008">
        <f t="shared" si="315"/>
        <v>0</v>
      </c>
      <c r="AA1008">
        <f>IF($D1008="",0,IF($F1008&lt;2,0,IF($E1008="Win",('Guide &amp; Settings'!$C$42/(($F1008-1)*COUNTIFS($A$4:$A$1510,$A1008,$E$4:$E$1510,"Win")))*SUMIFS($Z$4:$Z$1510,$A$4:$A$1510,$A1008,$E$4:$E$1510,"Loss"),-('Guide &amp; Settings'!$C$42/($F1008-1))*$Z1008)))</f>
        <v>0</v>
      </c>
      <c r="AB1008" s="126">
        <f t="shared" si="316"/>
        <v>0</v>
      </c>
      <c r="AC1008" t="str">
        <f>IF($D1008="","",IF($AD1008=0,0,IF(COUNTIFS($D$4:$D1008,$D1008,$B$4:$B1008,$B1008)&gt;1,0,IF($B1008&lt;'Guide &amp; Settings'!$C$50,0,IF(($B1008-$AD1008)/7-'Guide &amp; Settings'!$C$48&gt;=0,(INT(($B1008-$AD1008)/7-'Guide &amp; Settings'!$C$48)+1)*'Guide &amp; Settings'!$C$49,0)))))</f>
        <v/>
      </c>
      <c r="AD1008" s="142">
        <f t="shared" si="317"/>
        <v>0</v>
      </c>
      <c r="AE1008">
        <f t="shared" si="318"/>
        <v>0</v>
      </c>
      <c r="AF1008">
        <f t="shared" si="319"/>
        <v>0</v>
      </c>
    </row>
    <row r="1009" spans="1:32" x14ac:dyDescent="0.2">
      <c r="A1009" s="117"/>
      <c r="B1009" s="118"/>
      <c r="C1009" s="119"/>
      <c r="D1009" s="119"/>
      <c r="E1009" s="117"/>
      <c r="F1009" s="120">
        <f t="shared" si="300"/>
        <v>0</v>
      </c>
      <c r="G1009" s="121" t="str">
        <f t="shared" si="301"/>
        <v/>
      </c>
      <c r="H1009" s="122">
        <f>IF($D1009="",0,IFERROR(LOOKUP(2,1/(($D$3:D1008=$D1009)*($A$3:A1008&lt;$A1009)),$N$3:N1008),'Guide &amp; Settings'!$C$41))</f>
        <v>0</v>
      </c>
      <c r="I1009" s="123">
        <f t="shared" si="302"/>
        <v>0</v>
      </c>
      <c r="J1009" s="124">
        <f>IF($D1009="",0,IF($F1009&lt;2,0,IF($E1009="Win",('Guide &amp; Settings'!$C$42/(($F1009-1)*COUNTIFS($A$4:$A$1510,$A1009,$E$4:$E$1510,"Win")))*SUMIFS($X$4:$X$1510,$A$4:$A$1510,$A1009,$E$4:$E$1510,"Loss"),-('Guide &amp; Settings'!$C$42/($F1009-1))*$X1009)))</f>
        <v>0</v>
      </c>
      <c r="K1009" s="124">
        <f>IF($D1009="",0,'Guide &amp; Settings'!$C$43*(IF($E1009="Win",1,0)-$I1009))</f>
        <v>0</v>
      </c>
      <c r="L1009" s="125">
        <f>IF($D1009="",0,'Guide &amp; Settings'!$C$44*IF($F1009&gt;=3,$F1009,0))</f>
        <v>0</v>
      </c>
      <c r="M1009" s="124">
        <f t="shared" si="303"/>
        <v>0</v>
      </c>
      <c r="N1009" s="122">
        <f t="shared" si="304"/>
        <v>0</v>
      </c>
      <c r="O1009" s="121" t="str">
        <f t="shared" si="305"/>
        <v/>
      </c>
      <c r="P1009">
        <f t="shared" si="306"/>
        <v>0</v>
      </c>
      <c r="Q1009">
        <f t="shared" si="307"/>
        <v>0</v>
      </c>
      <c r="R1009">
        <f t="shared" si="308"/>
        <v>0</v>
      </c>
      <c r="S1009">
        <f t="shared" si="309"/>
        <v>0</v>
      </c>
      <c r="T1009" s="89">
        <f t="shared" si="310"/>
        <v>0</v>
      </c>
      <c r="U1009" s="126">
        <f>IF($D1009="",0,IFERROR(LOOKUP(2,1/(($D$3:D1008=$D1009)*($C$3:C1008=$C1009)*($A$3:A1008&lt;$A1009)),$AB$3:AB1008),1000))</f>
        <v>0</v>
      </c>
      <c r="V1009" s="126">
        <f t="shared" si="311"/>
        <v>0</v>
      </c>
      <c r="W1009">
        <f t="shared" si="312"/>
        <v>0</v>
      </c>
      <c r="X1009">
        <f t="shared" si="313"/>
        <v>0</v>
      </c>
      <c r="Y1009">
        <f t="shared" si="314"/>
        <v>0</v>
      </c>
      <c r="Z1009">
        <f t="shared" si="315"/>
        <v>0</v>
      </c>
      <c r="AA1009">
        <f>IF($D1009="",0,IF($F1009&lt;2,0,IF($E1009="Win",('Guide &amp; Settings'!$C$42/(($F1009-1)*COUNTIFS($A$4:$A$1510,$A1009,$E$4:$E$1510,"Win")))*SUMIFS($Z$4:$Z$1510,$A$4:$A$1510,$A1009,$E$4:$E$1510,"Loss"),-('Guide &amp; Settings'!$C$42/($F1009-1))*$Z1009)))</f>
        <v>0</v>
      </c>
      <c r="AB1009" s="126">
        <f t="shared" si="316"/>
        <v>0</v>
      </c>
      <c r="AC1009" t="str">
        <f>IF($D1009="","",IF($AD1009=0,0,IF(COUNTIFS($D$4:$D1009,$D1009,$B$4:$B1009,$B1009)&gt;1,0,IF($B1009&lt;'Guide &amp; Settings'!$C$50,0,IF(($B1009-$AD1009)/7-'Guide &amp; Settings'!$C$48&gt;=0,(INT(($B1009-$AD1009)/7-'Guide &amp; Settings'!$C$48)+1)*'Guide &amp; Settings'!$C$49,0)))))</f>
        <v/>
      </c>
      <c r="AD1009" s="142">
        <f t="shared" si="317"/>
        <v>0</v>
      </c>
      <c r="AE1009">
        <f t="shared" si="318"/>
        <v>0</v>
      </c>
      <c r="AF1009">
        <f t="shared" si="319"/>
        <v>0</v>
      </c>
    </row>
    <row r="1010" spans="1:32" x14ac:dyDescent="0.2">
      <c r="A1010" s="117"/>
      <c r="B1010" s="118"/>
      <c r="C1010" s="119"/>
      <c r="D1010" s="119"/>
      <c r="E1010" s="117"/>
      <c r="F1010" s="120">
        <f t="shared" si="300"/>
        <v>0</v>
      </c>
      <c r="G1010" s="121" t="str">
        <f t="shared" si="301"/>
        <v/>
      </c>
      <c r="H1010" s="122">
        <f>IF($D1010="",0,IFERROR(LOOKUP(2,1/(($D$3:D1009=$D1010)*($A$3:A1009&lt;$A1010)),$N$3:N1009),'Guide &amp; Settings'!$C$41))</f>
        <v>0</v>
      </c>
      <c r="I1010" s="123">
        <f t="shared" si="302"/>
        <v>0</v>
      </c>
      <c r="J1010" s="124">
        <f>IF($D1010="",0,IF($F1010&lt;2,0,IF($E1010="Win",('Guide &amp; Settings'!$C$42/(($F1010-1)*COUNTIFS($A$4:$A$1510,$A1010,$E$4:$E$1510,"Win")))*SUMIFS($X$4:$X$1510,$A$4:$A$1510,$A1010,$E$4:$E$1510,"Loss"),-('Guide &amp; Settings'!$C$42/($F1010-1))*$X1010)))</f>
        <v>0</v>
      </c>
      <c r="K1010" s="124">
        <f>IF($D1010="",0,'Guide &amp; Settings'!$C$43*(IF($E1010="Win",1,0)-$I1010))</f>
        <v>0</v>
      </c>
      <c r="L1010" s="125">
        <f>IF($D1010="",0,'Guide &amp; Settings'!$C$44*IF($F1010&gt;=3,$F1010,0))</f>
        <v>0</v>
      </c>
      <c r="M1010" s="124">
        <f t="shared" si="303"/>
        <v>0</v>
      </c>
      <c r="N1010" s="122">
        <f t="shared" si="304"/>
        <v>0</v>
      </c>
      <c r="O1010" s="121" t="str">
        <f t="shared" si="305"/>
        <v/>
      </c>
      <c r="P1010">
        <f t="shared" si="306"/>
        <v>0</v>
      </c>
      <c r="Q1010">
        <f t="shared" si="307"/>
        <v>0</v>
      </c>
      <c r="R1010">
        <f t="shared" si="308"/>
        <v>0</v>
      </c>
      <c r="S1010">
        <f t="shared" si="309"/>
        <v>0</v>
      </c>
      <c r="T1010" s="89">
        <f t="shared" si="310"/>
        <v>0</v>
      </c>
      <c r="U1010" s="126">
        <f>IF($D1010="",0,IFERROR(LOOKUP(2,1/(($D$3:D1009=$D1010)*($C$3:C1009=$C1010)*($A$3:A1009&lt;$A1010)),$AB$3:AB1009),1000))</f>
        <v>0</v>
      </c>
      <c r="V1010" s="126">
        <f t="shared" si="311"/>
        <v>0</v>
      </c>
      <c r="W1010">
        <f t="shared" si="312"/>
        <v>0</v>
      </c>
      <c r="X1010">
        <f t="shared" si="313"/>
        <v>0</v>
      </c>
      <c r="Y1010">
        <f t="shared" si="314"/>
        <v>0</v>
      </c>
      <c r="Z1010">
        <f t="shared" si="315"/>
        <v>0</v>
      </c>
      <c r="AA1010">
        <f>IF($D1010="",0,IF($F1010&lt;2,0,IF($E1010="Win",('Guide &amp; Settings'!$C$42/(($F1010-1)*COUNTIFS($A$4:$A$1510,$A1010,$E$4:$E$1510,"Win")))*SUMIFS($Z$4:$Z$1510,$A$4:$A$1510,$A1010,$E$4:$E$1510,"Loss"),-('Guide &amp; Settings'!$C$42/($F1010-1))*$Z1010)))</f>
        <v>0</v>
      </c>
      <c r="AB1010" s="126">
        <f t="shared" si="316"/>
        <v>0</v>
      </c>
      <c r="AC1010" t="str">
        <f>IF($D1010="","",IF($AD1010=0,0,IF(COUNTIFS($D$4:$D1010,$D1010,$B$4:$B1010,$B1010)&gt;1,0,IF($B1010&lt;'Guide &amp; Settings'!$C$50,0,IF(($B1010-$AD1010)/7-'Guide &amp; Settings'!$C$48&gt;=0,(INT(($B1010-$AD1010)/7-'Guide &amp; Settings'!$C$48)+1)*'Guide &amp; Settings'!$C$49,0)))))</f>
        <v/>
      </c>
      <c r="AD1010" s="142">
        <f t="shared" si="317"/>
        <v>0</v>
      </c>
      <c r="AE1010">
        <f t="shared" si="318"/>
        <v>0</v>
      </c>
      <c r="AF1010">
        <f t="shared" si="319"/>
        <v>0</v>
      </c>
    </row>
    <row r="1011" spans="1:32" x14ac:dyDescent="0.2">
      <c r="A1011" s="117"/>
      <c r="B1011" s="118"/>
      <c r="C1011" s="119"/>
      <c r="D1011" s="119"/>
      <c r="E1011" s="117"/>
      <c r="F1011" s="120">
        <f t="shared" si="300"/>
        <v>0</v>
      </c>
      <c r="G1011" s="121" t="str">
        <f t="shared" si="301"/>
        <v/>
      </c>
      <c r="H1011" s="122">
        <f>IF($D1011="",0,IFERROR(LOOKUP(2,1/(($D$3:D1010=$D1011)*($A$3:A1010&lt;$A1011)),$N$3:N1010),'Guide &amp; Settings'!$C$41))</f>
        <v>0</v>
      </c>
      <c r="I1011" s="123">
        <f t="shared" si="302"/>
        <v>0</v>
      </c>
      <c r="J1011" s="124">
        <f>IF($D1011="",0,IF($F1011&lt;2,0,IF($E1011="Win",('Guide &amp; Settings'!$C$42/(($F1011-1)*COUNTIFS($A$4:$A$1510,$A1011,$E$4:$E$1510,"Win")))*SUMIFS($X$4:$X$1510,$A$4:$A$1510,$A1011,$E$4:$E$1510,"Loss"),-('Guide &amp; Settings'!$C$42/($F1011-1))*$X1011)))</f>
        <v>0</v>
      </c>
      <c r="K1011" s="124">
        <f>IF($D1011="",0,'Guide &amp; Settings'!$C$43*(IF($E1011="Win",1,0)-$I1011))</f>
        <v>0</v>
      </c>
      <c r="L1011" s="125">
        <f>IF($D1011="",0,'Guide &amp; Settings'!$C$44*IF($F1011&gt;=3,$F1011,0))</f>
        <v>0</v>
      </c>
      <c r="M1011" s="124">
        <f t="shared" si="303"/>
        <v>0</v>
      </c>
      <c r="N1011" s="122">
        <f t="shared" si="304"/>
        <v>0</v>
      </c>
      <c r="O1011" s="121" t="str">
        <f t="shared" si="305"/>
        <v/>
      </c>
      <c r="P1011">
        <f t="shared" si="306"/>
        <v>0</v>
      </c>
      <c r="Q1011">
        <f t="shared" si="307"/>
        <v>0</v>
      </c>
      <c r="R1011">
        <f t="shared" si="308"/>
        <v>0</v>
      </c>
      <c r="S1011">
        <f t="shared" si="309"/>
        <v>0</v>
      </c>
      <c r="T1011" s="89">
        <f t="shared" si="310"/>
        <v>0</v>
      </c>
      <c r="U1011" s="126">
        <f>IF($D1011="",0,IFERROR(LOOKUP(2,1/(($D$3:D1010=$D1011)*($C$3:C1010=$C1011)*($A$3:A1010&lt;$A1011)),$AB$3:AB1010),1000))</f>
        <v>0</v>
      </c>
      <c r="V1011" s="126">
        <f t="shared" si="311"/>
        <v>0</v>
      </c>
      <c r="W1011">
        <f t="shared" si="312"/>
        <v>0</v>
      </c>
      <c r="X1011">
        <f t="shared" si="313"/>
        <v>0</v>
      </c>
      <c r="Y1011">
        <f t="shared" si="314"/>
        <v>0</v>
      </c>
      <c r="Z1011">
        <f t="shared" si="315"/>
        <v>0</v>
      </c>
      <c r="AA1011">
        <f>IF($D1011="",0,IF($F1011&lt;2,0,IF($E1011="Win",('Guide &amp; Settings'!$C$42/(($F1011-1)*COUNTIFS($A$4:$A$1510,$A1011,$E$4:$E$1510,"Win")))*SUMIFS($Z$4:$Z$1510,$A$4:$A$1510,$A1011,$E$4:$E$1510,"Loss"),-('Guide &amp; Settings'!$C$42/($F1011-1))*$Z1011)))</f>
        <v>0</v>
      </c>
      <c r="AB1011" s="126">
        <f t="shared" si="316"/>
        <v>0</v>
      </c>
      <c r="AC1011" t="str">
        <f>IF($D1011="","",IF($AD1011=0,0,IF(COUNTIFS($D$4:$D1011,$D1011,$B$4:$B1011,$B1011)&gt;1,0,IF($B1011&lt;'Guide &amp; Settings'!$C$50,0,IF(($B1011-$AD1011)/7-'Guide &amp; Settings'!$C$48&gt;=0,(INT(($B1011-$AD1011)/7-'Guide &amp; Settings'!$C$48)+1)*'Guide &amp; Settings'!$C$49,0)))))</f>
        <v/>
      </c>
      <c r="AD1011" s="142">
        <f t="shared" si="317"/>
        <v>0</v>
      </c>
      <c r="AE1011">
        <f t="shared" si="318"/>
        <v>0</v>
      </c>
      <c r="AF1011">
        <f t="shared" si="319"/>
        <v>0</v>
      </c>
    </row>
    <row r="1012" spans="1:32" x14ac:dyDescent="0.2">
      <c r="A1012" s="117"/>
      <c r="B1012" s="118"/>
      <c r="C1012" s="119"/>
      <c r="D1012" s="119"/>
      <c r="E1012" s="117"/>
      <c r="F1012" s="120">
        <f t="shared" si="300"/>
        <v>0</v>
      </c>
      <c r="G1012" s="121" t="str">
        <f t="shared" si="301"/>
        <v/>
      </c>
      <c r="H1012" s="122">
        <f>IF($D1012="",0,IFERROR(LOOKUP(2,1/(($D$3:D1011=$D1012)*($A$3:A1011&lt;$A1012)),$N$3:N1011),'Guide &amp; Settings'!$C$41))</f>
        <v>0</v>
      </c>
      <c r="I1012" s="123">
        <f t="shared" si="302"/>
        <v>0</v>
      </c>
      <c r="J1012" s="124">
        <f>IF($D1012="",0,IF($F1012&lt;2,0,IF($E1012="Win",('Guide &amp; Settings'!$C$42/(($F1012-1)*COUNTIFS($A$4:$A$1510,$A1012,$E$4:$E$1510,"Win")))*SUMIFS($X$4:$X$1510,$A$4:$A$1510,$A1012,$E$4:$E$1510,"Loss"),-('Guide &amp; Settings'!$C$42/($F1012-1))*$X1012)))</f>
        <v>0</v>
      </c>
      <c r="K1012" s="124">
        <f>IF($D1012="",0,'Guide &amp; Settings'!$C$43*(IF($E1012="Win",1,0)-$I1012))</f>
        <v>0</v>
      </c>
      <c r="L1012" s="125">
        <f>IF($D1012="",0,'Guide &amp; Settings'!$C$44*IF($F1012&gt;=3,$F1012,0))</f>
        <v>0</v>
      </c>
      <c r="M1012" s="124">
        <f t="shared" si="303"/>
        <v>0</v>
      </c>
      <c r="N1012" s="122">
        <f t="shared" si="304"/>
        <v>0</v>
      </c>
      <c r="O1012" s="121" t="str">
        <f t="shared" si="305"/>
        <v/>
      </c>
      <c r="P1012">
        <f t="shared" si="306"/>
        <v>0</v>
      </c>
      <c r="Q1012">
        <f t="shared" si="307"/>
        <v>0</v>
      </c>
      <c r="R1012">
        <f t="shared" si="308"/>
        <v>0</v>
      </c>
      <c r="S1012">
        <f t="shared" si="309"/>
        <v>0</v>
      </c>
      <c r="T1012" s="89">
        <f t="shared" si="310"/>
        <v>0</v>
      </c>
      <c r="U1012" s="126">
        <f>IF($D1012="",0,IFERROR(LOOKUP(2,1/(($D$3:D1011=$D1012)*($C$3:C1011=$C1012)*($A$3:A1011&lt;$A1012)),$AB$3:AB1011),1000))</f>
        <v>0</v>
      </c>
      <c r="V1012" s="126">
        <f t="shared" si="311"/>
        <v>0</v>
      </c>
      <c r="W1012">
        <f t="shared" si="312"/>
        <v>0</v>
      </c>
      <c r="X1012">
        <f t="shared" si="313"/>
        <v>0</v>
      </c>
      <c r="Y1012">
        <f t="shared" si="314"/>
        <v>0</v>
      </c>
      <c r="Z1012">
        <f t="shared" si="315"/>
        <v>0</v>
      </c>
      <c r="AA1012">
        <f>IF($D1012="",0,IF($F1012&lt;2,0,IF($E1012="Win",('Guide &amp; Settings'!$C$42/(($F1012-1)*COUNTIFS($A$4:$A$1510,$A1012,$E$4:$E$1510,"Win")))*SUMIFS($Z$4:$Z$1510,$A$4:$A$1510,$A1012,$E$4:$E$1510,"Loss"),-('Guide &amp; Settings'!$C$42/($F1012-1))*$Z1012)))</f>
        <v>0</v>
      </c>
      <c r="AB1012" s="126">
        <f t="shared" si="316"/>
        <v>0</v>
      </c>
      <c r="AC1012" t="str">
        <f>IF($D1012="","",IF($AD1012=0,0,IF(COUNTIFS($D$4:$D1012,$D1012,$B$4:$B1012,$B1012)&gt;1,0,IF($B1012&lt;'Guide &amp; Settings'!$C$50,0,IF(($B1012-$AD1012)/7-'Guide &amp; Settings'!$C$48&gt;=0,(INT(($B1012-$AD1012)/7-'Guide &amp; Settings'!$C$48)+1)*'Guide &amp; Settings'!$C$49,0)))))</f>
        <v/>
      </c>
      <c r="AD1012" s="142">
        <f t="shared" si="317"/>
        <v>0</v>
      </c>
      <c r="AE1012">
        <f t="shared" si="318"/>
        <v>0</v>
      </c>
      <c r="AF1012">
        <f t="shared" si="319"/>
        <v>0</v>
      </c>
    </row>
    <row r="1013" spans="1:32" x14ac:dyDescent="0.2">
      <c r="A1013" s="117"/>
      <c r="B1013" s="118"/>
      <c r="C1013" s="119"/>
      <c r="D1013" s="119"/>
      <c r="E1013" s="117"/>
      <c r="F1013" s="120">
        <f t="shared" si="300"/>
        <v>0</v>
      </c>
      <c r="G1013" s="121" t="str">
        <f t="shared" si="301"/>
        <v/>
      </c>
      <c r="H1013" s="122">
        <f>IF($D1013="",0,IFERROR(LOOKUP(2,1/(($D$3:D1012=$D1013)*($A$3:A1012&lt;$A1013)),$N$3:N1012),'Guide &amp; Settings'!$C$41))</f>
        <v>0</v>
      </c>
      <c r="I1013" s="123">
        <f t="shared" si="302"/>
        <v>0</v>
      </c>
      <c r="J1013" s="124">
        <f>IF($D1013="",0,IF($F1013&lt;2,0,IF($E1013="Win",('Guide &amp; Settings'!$C$42/(($F1013-1)*COUNTIFS($A$4:$A$1510,$A1013,$E$4:$E$1510,"Win")))*SUMIFS($X$4:$X$1510,$A$4:$A$1510,$A1013,$E$4:$E$1510,"Loss"),-('Guide &amp; Settings'!$C$42/($F1013-1))*$X1013)))</f>
        <v>0</v>
      </c>
      <c r="K1013" s="124">
        <f>IF($D1013="",0,'Guide &amp; Settings'!$C$43*(IF($E1013="Win",1,0)-$I1013))</f>
        <v>0</v>
      </c>
      <c r="L1013" s="125">
        <f>IF($D1013="",0,'Guide &amp; Settings'!$C$44*IF($F1013&gt;=3,$F1013,0))</f>
        <v>0</v>
      </c>
      <c r="M1013" s="124">
        <f t="shared" si="303"/>
        <v>0</v>
      </c>
      <c r="N1013" s="122">
        <f t="shared" si="304"/>
        <v>0</v>
      </c>
      <c r="O1013" s="121" t="str">
        <f t="shared" si="305"/>
        <v/>
      </c>
      <c r="P1013">
        <f t="shared" si="306"/>
        <v>0</v>
      </c>
      <c r="Q1013">
        <f t="shared" si="307"/>
        <v>0</v>
      </c>
      <c r="R1013">
        <f t="shared" si="308"/>
        <v>0</v>
      </c>
      <c r="S1013">
        <f t="shared" si="309"/>
        <v>0</v>
      </c>
      <c r="T1013" s="89">
        <f t="shared" si="310"/>
        <v>0</v>
      </c>
      <c r="U1013" s="126">
        <f>IF($D1013="",0,IFERROR(LOOKUP(2,1/(($D$3:D1012=$D1013)*($C$3:C1012=$C1013)*($A$3:A1012&lt;$A1013)),$AB$3:AB1012),1000))</f>
        <v>0</v>
      </c>
      <c r="V1013" s="126">
        <f t="shared" si="311"/>
        <v>0</v>
      </c>
      <c r="W1013">
        <f t="shared" si="312"/>
        <v>0</v>
      </c>
      <c r="X1013">
        <f t="shared" si="313"/>
        <v>0</v>
      </c>
      <c r="Y1013">
        <f t="shared" si="314"/>
        <v>0</v>
      </c>
      <c r="Z1013">
        <f t="shared" si="315"/>
        <v>0</v>
      </c>
      <c r="AA1013">
        <f>IF($D1013="",0,IF($F1013&lt;2,0,IF($E1013="Win",('Guide &amp; Settings'!$C$42/(($F1013-1)*COUNTIFS($A$4:$A$1510,$A1013,$E$4:$E$1510,"Win")))*SUMIFS($Z$4:$Z$1510,$A$4:$A$1510,$A1013,$E$4:$E$1510,"Loss"),-('Guide &amp; Settings'!$C$42/($F1013-1))*$Z1013)))</f>
        <v>0</v>
      </c>
      <c r="AB1013" s="126">
        <f t="shared" si="316"/>
        <v>0</v>
      </c>
      <c r="AC1013" t="str">
        <f>IF($D1013="","",IF($AD1013=0,0,IF(COUNTIFS($D$4:$D1013,$D1013,$B$4:$B1013,$B1013)&gt;1,0,IF($B1013&lt;'Guide &amp; Settings'!$C$50,0,IF(($B1013-$AD1013)/7-'Guide &amp; Settings'!$C$48&gt;=0,(INT(($B1013-$AD1013)/7-'Guide &amp; Settings'!$C$48)+1)*'Guide &amp; Settings'!$C$49,0)))))</f>
        <v/>
      </c>
      <c r="AD1013" s="142">
        <f t="shared" si="317"/>
        <v>0</v>
      </c>
      <c r="AE1013">
        <f t="shared" si="318"/>
        <v>0</v>
      </c>
      <c r="AF1013">
        <f t="shared" si="319"/>
        <v>0</v>
      </c>
    </row>
    <row r="1014" spans="1:32" x14ac:dyDescent="0.2">
      <c r="A1014" s="117"/>
      <c r="B1014" s="118"/>
      <c r="C1014" s="119"/>
      <c r="D1014" s="119"/>
      <c r="E1014" s="117"/>
      <c r="F1014" s="120">
        <f t="shared" si="300"/>
        <v>0</v>
      </c>
      <c r="G1014" s="121" t="str">
        <f t="shared" si="301"/>
        <v/>
      </c>
      <c r="H1014" s="122">
        <f>IF($D1014="",0,IFERROR(LOOKUP(2,1/(($D$3:D1013=$D1014)*($A$3:A1013&lt;$A1014)),$N$3:N1013),'Guide &amp; Settings'!$C$41))</f>
        <v>0</v>
      </c>
      <c r="I1014" s="123">
        <f t="shared" si="302"/>
        <v>0</v>
      </c>
      <c r="J1014" s="124">
        <f>IF($D1014="",0,IF($F1014&lt;2,0,IF($E1014="Win",('Guide &amp; Settings'!$C$42/(($F1014-1)*COUNTIFS($A$4:$A$1510,$A1014,$E$4:$E$1510,"Win")))*SUMIFS($X$4:$X$1510,$A$4:$A$1510,$A1014,$E$4:$E$1510,"Loss"),-('Guide &amp; Settings'!$C$42/($F1014-1))*$X1014)))</f>
        <v>0</v>
      </c>
      <c r="K1014" s="124">
        <f>IF($D1014="",0,'Guide &amp; Settings'!$C$43*(IF($E1014="Win",1,0)-$I1014))</f>
        <v>0</v>
      </c>
      <c r="L1014" s="125">
        <f>IF($D1014="",0,'Guide &amp; Settings'!$C$44*IF($F1014&gt;=3,$F1014,0))</f>
        <v>0</v>
      </c>
      <c r="M1014" s="124">
        <f t="shared" si="303"/>
        <v>0</v>
      </c>
      <c r="N1014" s="122">
        <f t="shared" si="304"/>
        <v>0</v>
      </c>
      <c r="O1014" s="121" t="str">
        <f t="shared" si="305"/>
        <v/>
      </c>
      <c r="P1014">
        <f t="shared" si="306"/>
        <v>0</v>
      </c>
      <c r="Q1014">
        <f t="shared" si="307"/>
        <v>0</v>
      </c>
      <c r="R1014">
        <f t="shared" si="308"/>
        <v>0</v>
      </c>
      <c r="S1014">
        <f t="shared" si="309"/>
        <v>0</v>
      </c>
      <c r="T1014" s="89">
        <f t="shared" si="310"/>
        <v>0</v>
      </c>
      <c r="U1014" s="126">
        <f>IF($D1014="",0,IFERROR(LOOKUP(2,1/(($D$3:D1013=$D1014)*($C$3:C1013=$C1014)*($A$3:A1013&lt;$A1014)),$AB$3:AB1013),1000))</f>
        <v>0</v>
      </c>
      <c r="V1014" s="126">
        <f t="shared" si="311"/>
        <v>0</v>
      </c>
      <c r="W1014">
        <f t="shared" si="312"/>
        <v>0</v>
      </c>
      <c r="X1014">
        <f t="shared" si="313"/>
        <v>0</v>
      </c>
      <c r="Y1014">
        <f t="shared" si="314"/>
        <v>0</v>
      </c>
      <c r="Z1014">
        <f t="shared" si="315"/>
        <v>0</v>
      </c>
      <c r="AA1014">
        <f>IF($D1014="",0,IF($F1014&lt;2,0,IF($E1014="Win",('Guide &amp; Settings'!$C$42/(($F1014-1)*COUNTIFS($A$4:$A$1510,$A1014,$E$4:$E$1510,"Win")))*SUMIFS($Z$4:$Z$1510,$A$4:$A$1510,$A1014,$E$4:$E$1510,"Loss"),-('Guide &amp; Settings'!$C$42/($F1014-1))*$Z1014)))</f>
        <v>0</v>
      </c>
      <c r="AB1014" s="126">
        <f t="shared" si="316"/>
        <v>0</v>
      </c>
      <c r="AC1014" t="str">
        <f>IF($D1014="","",IF($AD1014=0,0,IF(COUNTIFS($D$4:$D1014,$D1014,$B$4:$B1014,$B1014)&gt;1,0,IF($B1014&lt;'Guide &amp; Settings'!$C$50,0,IF(($B1014-$AD1014)/7-'Guide &amp; Settings'!$C$48&gt;=0,(INT(($B1014-$AD1014)/7-'Guide &amp; Settings'!$C$48)+1)*'Guide &amp; Settings'!$C$49,0)))))</f>
        <v/>
      </c>
      <c r="AD1014" s="142">
        <f t="shared" si="317"/>
        <v>0</v>
      </c>
      <c r="AE1014">
        <f t="shared" si="318"/>
        <v>0</v>
      </c>
      <c r="AF1014">
        <f t="shared" si="319"/>
        <v>0</v>
      </c>
    </row>
    <row r="1015" spans="1:32" x14ac:dyDescent="0.2">
      <c r="A1015" s="117"/>
      <c r="B1015" s="118"/>
      <c r="C1015" s="119"/>
      <c r="D1015" s="119"/>
      <c r="E1015" s="117"/>
      <c r="F1015" s="120">
        <f t="shared" si="300"/>
        <v>0</v>
      </c>
      <c r="G1015" s="121" t="str">
        <f t="shared" si="301"/>
        <v/>
      </c>
      <c r="H1015" s="122">
        <f>IF($D1015="",0,IFERROR(LOOKUP(2,1/(($D$3:D1014=$D1015)*($A$3:A1014&lt;$A1015)),$N$3:N1014),'Guide &amp; Settings'!$C$41))</f>
        <v>0</v>
      </c>
      <c r="I1015" s="123">
        <f t="shared" si="302"/>
        <v>0</v>
      </c>
      <c r="J1015" s="124">
        <f>IF($D1015="",0,IF($F1015&lt;2,0,IF($E1015="Win",('Guide &amp; Settings'!$C$42/(($F1015-1)*COUNTIFS($A$4:$A$1510,$A1015,$E$4:$E$1510,"Win")))*SUMIFS($X$4:$X$1510,$A$4:$A$1510,$A1015,$E$4:$E$1510,"Loss"),-('Guide &amp; Settings'!$C$42/($F1015-1))*$X1015)))</f>
        <v>0</v>
      </c>
      <c r="K1015" s="124">
        <f>IF($D1015="",0,'Guide &amp; Settings'!$C$43*(IF($E1015="Win",1,0)-$I1015))</f>
        <v>0</v>
      </c>
      <c r="L1015" s="125">
        <f>IF($D1015="",0,'Guide &amp; Settings'!$C$44*IF($F1015&gt;=3,$F1015,0))</f>
        <v>0</v>
      </c>
      <c r="M1015" s="124">
        <f t="shared" si="303"/>
        <v>0</v>
      </c>
      <c r="N1015" s="122">
        <f t="shared" si="304"/>
        <v>0</v>
      </c>
      <c r="O1015" s="121" t="str">
        <f t="shared" si="305"/>
        <v/>
      </c>
      <c r="P1015">
        <f t="shared" si="306"/>
        <v>0</v>
      </c>
      <c r="Q1015">
        <f t="shared" si="307"/>
        <v>0</v>
      </c>
      <c r="R1015">
        <f t="shared" si="308"/>
        <v>0</v>
      </c>
      <c r="S1015">
        <f t="shared" si="309"/>
        <v>0</v>
      </c>
      <c r="T1015" s="89">
        <f t="shared" si="310"/>
        <v>0</v>
      </c>
      <c r="U1015" s="126">
        <f>IF($D1015="",0,IFERROR(LOOKUP(2,1/(($D$3:D1014=$D1015)*($C$3:C1014=$C1015)*($A$3:A1014&lt;$A1015)),$AB$3:AB1014),1000))</f>
        <v>0</v>
      </c>
      <c r="V1015" s="126">
        <f t="shared" si="311"/>
        <v>0</v>
      </c>
      <c r="W1015">
        <f t="shared" si="312"/>
        <v>0</v>
      </c>
      <c r="X1015">
        <f t="shared" si="313"/>
        <v>0</v>
      </c>
      <c r="Y1015">
        <f t="shared" si="314"/>
        <v>0</v>
      </c>
      <c r="Z1015">
        <f t="shared" si="315"/>
        <v>0</v>
      </c>
      <c r="AA1015">
        <f>IF($D1015="",0,IF($F1015&lt;2,0,IF($E1015="Win",('Guide &amp; Settings'!$C$42/(($F1015-1)*COUNTIFS($A$4:$A$1510,$A1015,$E$4:$E$1510,"Win")))*SUMIFS($Z$4:$Z$1510,$A$4:$A$1510,$A1015,$E$4:$E$1510,"Loss"),-('Guide &amp; Settings'!$C$42/($F1015-1))*$Z1015)))</f>
        <v>0</v>
      </c>
      <c r="AB1015" s="126">
        <f t="shared" si="316"/>
        <v>0</v>
      </c>
      <c r="AC1015" t="str">
        <f>IF($D1015="","",IF($AD1015=0,0,IF(COUNTIFS($D$4:$D1015,$D1015,$B$4:$B1015,$B1015)&gt;1,0,IF($B1015&lt;'Guide &amp; Settings'!$C$50,0,IF(($B1015-$AD1015)/7-'Guide &amp; Settings'!$C$48&gt;=0,(INT(($B1015-$AD1015)/7-'Guide &amp; Settings'!$C$48)+1)*'Guide &amp; Settings'!$C$49,0)))))</f>
        <v/>
      </c>
      <c r="AD1015" s="142">
        <f t="shared" si="317"/>
        <v>0</v>
      </c>
      <c r="AE1015">
        <f t="shared" si="318"/>
        <v>0</v>
      </c>
      <c r="AF1015">
        <f t="shared" si="319"/>
        <v>0</v>
      </c>
    </row>
    <row r="1016" spans="1:32" x14ac:dyDescent="0.2">
      <c r="A1016" s="117"/>
      <c r="B1016" s="118"/>
      <c r="C1016" s="119"/>
      <c r="D1016" s="119"/>
      <c r="E1016" s="117"/>
      <c r="F1016" s="120">
        <f t="shared" si="300"/>
        <v>0</v>
      </c>
      <c r="G1016" s="121" t="str">
        <f t="shared" si="301"/>
        <v/>
      </c>
      <c r="H1016" s="122">
        <f>IF($D1016="",0,IFERROR(LOOKUP(2,1/(($D$3:D1015=$D1016)*($A$3:A1015&lt;$A1016)),$N$3:N1015),'Guide &amp; Settings'!$C$41))</f>
        <v>0</v>
      </c>
      <c r="I1016" s="123">
        <f t="shared" si="302"/>
        <v>0</v>
      </c>
      <c r="J1016" s="124">
        <f>IF($D1016="",0,IF($F1016&lt;2,0,IF($E1016="Win",('Guide &amp; Settings'!$C$42/(($F1016-1)*COUNTIFS($A$4:$A$1510,$A1016,$E$4:$E$1510,"Win")))*SUMIFS($X$4:$X$1510,$A$4:$A$1510,$A1016,$E$4:$E$1510,"Loss"),-('Guide &amp; Settings'!$C$42/($F1016-1))*$X1016)))</f>
        <v>0</v>
      </c>
      <c r="K1016" s="124">
        <f>IF($D1016="",0,'Guide &amp; Settings'!$C$43*(IF($E1016="Win",1,0)-$I1016))</f>
        <v>0</v>
      </c>
      <c r="L1016" s="125">
        <f>IF($D1016="",0,'Guide &amp; Settings'!$C$44*IF($F1016&gt;=3,$F1016,0))</f>
        <v>0</v>
      </c>
      <c r="M1016" s="124">
        <f t="shared" si="303"/>
        <v>0</v>
      </c>
      <c r="N1016" s="122">
        <f t="shared" si="304"/>
        <v>0</v>
      </c>
      <c r="O1016" s="121" t="str">
        <f t="shared" si="305"/>
        <v/>
      </c>
      <c r="P1016">
        <f t="shared" si="306"/>
        <v>0</v>
      </c>
      <c r="Q1016">
        <f t="shared" si="307"/>
        <v>0</v>
      </c>
      <c r="R1016">
        <f t="shared" si="308"/>
        <v>0</v>
      </c>
      <c r="S1016">
        <f t="shared" si="309"/>
        <v>0</v>
      </c>
      <c r="T1016" s="89">
        <f t="shared" si="310"/>
        <v>0</v>
      </c>
      <c r="U1016" s="126">
        <f>IF($D1016="",0,IFERROR(LOOKUP(2,1/(($D$3:D1015=$D1016)*($C$3:C1015=$C1016)*($A$3:A1015&lt;$A1016)),$AB$3:AB1015),1000))</f>
        <v>0</v>
      </c>
      <c r="V1016" s="126">
        <f t="shared" si="311"/>
        <v>0</v>
      </c>
      <c r="W1016">
        <f t="shared" si="312"/>
        <v>0</v>
      </c>
      <c r="X1016">
        <f t="shared" si="313"/>
        <v>0</v>
      </c>
      <c r="Y1016">
        <f t="shared" si="314"/>
        <v>0</v>
      </c>
      <c r="Z1016">
        <f t="shared" si="315"/>
        <v>0</v>
      </c>
      <c r="AA1016">
        <f>IF($D1016="",0,IF($F1016&lt;2,0,IF($E1016="Win",('Guide &amp; Settings'!$C$42/(($F1016-1)*COUNTIFS($A$4:$A$1510,$A1016,$E$4:$E$1510,"Win")))*SUMIFS($Z$4:$Z$1510,$A$4:$A$1510,$A1016,$E$4:$E$1510,"Loss"),-('Guide &amp; Settings'!$C$42/($F1016-1))*$Z1016)))</f>
        <v>0</v>
      </c>
      <c r="AB1016" s="126">
        <f t="shared" si="316"/>
        <v>0</v>
      </c>
      <c r="AC1016" t="str">
        <f>IF($D1016="","",IF($AD1016=0,0,IF(COUNTIFS($D$4:$D1016,$D1016,$B$4:$B1016,$B1016)&gt;1,0,IF($B1016&lt;'Guide &amp; Settings'!$C$50,0,IF(($B1016-$AD1016)/7-'Guide &amp; Settings'!$C$48&gt;=0,(INT(($B1016-$AD1016)/7-'Guide &amp; Settings'!$C$48)+1)*'Guide &amp; Settings'!$C$49,0)))))</f>
        <v/>
      </c>
      <c r="AD1016" s="142">
        <f t="shared" si="317"/>
        <v>0</v>
      </c>
      <c r="AE1016">
        <f t="shared" si="318"/>
        <v>0</v>
      </c>
      <c r="AF1016">
        <f t="shared" si="319"/>
        <v>0</v>
      </c>
    </row>
    <row r="1017" spans="1:32" x14ac:dyDescent="0.2">
      <c r="A1017" s="117"/>
      <c r="B1017" s="118"/>
      <c r="C1017" s="119"/>
      <c r="D1017" s="119"/>
      <c r="E1017" s="117"/>
      <c r="F1017" s="120">
        <f t="shared" si="300"/>
        <v>0</v>
      </c>
      <c r="G1017" s="121" t="str">
        <f t="shared" si="301"/>
        <v/>
      </c>
      <c r="H1017" s="122">
        <f>IF($D1017="",0,IFERROR(LOOKUP(2,1/(($D$3:D1016=$D1017)*($A$3:A1016&lt;$A1017)),$N$3:N1016),'Guide &amp; Settings'!$C$41))</f>
        <v>0</v>
      </c>
      <c r="I1017" s="123">
        <f t="shared" si="302"/>
        <v>0</v>
      </c>
      <c r="J1017" s="124">
        <f>IF($D1017="",0,IF($F1017&lt;2,0,IF($E1017="Win",('Guide &amp; Settings'!$C$42/(($F1017-1)*COUNTIFS($A$4:$A$1510,$A1017,$E$4:$E$1510,"Win")))*SUMIFS($X$4:$X$1510,$A$4:$A$1510,$A1017,$E$4:$E$1510,"Loss"),-('Guide &amp; Settings'!$C$42/($F1017-1))*$X1017)))</f>
        <v>0</v>
      </c>
      <c r="K1017" s="124">
        <f>IF($D1017="",0,'Guide &amp; Settings'!$C$43*(IF($E1017="Win",1,0)-$I1017))</f>
        <v>0</v>
      </c>
      <c r="L1017" s="125">
        <f>IF($D1017="",0,'Guide &amp; Settings'!$C$44*IF($F1017&gt;=3,$F1017,0))</f>
        <v>0</v>
      </c>
      <c r="M1017" s="124">
        <f t="shared" si="303"/>
        <v>0</v>
      </c>
      <c r="N1017" s="122">
        <f t="shared" si="304"/>
        <v>0</v>
      </c>
      <c r="O1017" s="121" t="str">
        <f t="shared" si="305"/>
        <v/>
      </c>
      <c r="P1017">
        <f t="shared" si="306"/>
        <v>0</v>
      </c>
      <c r="Q1017">
        <f t="shared" si="307"/>
        <v>0</v>
      </c>
      <c r="R1017">
        <f t="shared" si="308"/>
        <v>0</v>
      </c>
      <c r="S1017">
        <f t="shared" si="309"/>
        <v>0</v>
      </c>
      <c r="T1017" s="89">
        <f t="shared" si="310"/>
        <v>0</v>
      </c>
      <c r="U1017" s="126">
        <f>IF($D1017="",0,IFERROR(LOOKUP(2,1/(($D$3:D1016=$D1017)*($C$3:C1016=$C1017)*($A$3:A1016&lt;$A1017)),$AB$3:AB1016),1000))</f>
        <v>0</v>
      </c>
      <c r="V1017" s="126">
        <f t="shared" si="311"/>
        <v>0</v>
      </c>
      <c r="W1017">
        <f t="shared" si="312"/>
        <v>0</v>
      </c>
      <c r="X1017">
        <f t="shared" si="313"/>
        <v>0</v>
      </c>
      <c r="Y1017">
        <f t="shared" si="314"/>
        <v>0</v>
      </c>
      <c r="Z1017">
        <f t="shared" si="315"/>
        <v>0</v>
      </c>
      <c r="AA1017">
        <f>IF($D1017="",0,IF($F1017&lt;2,0,IF($E1017="Win",('Guide &amp; Settings'!$C$42/(($F1017-1)*COUNTIFS($A$4:$A$1510,$A1017,$E$4:$E$1510,"Win")))*SUMIFS($Z$4:$Z$1510,$A$4:$A$1510,$A1017,$E$4:$E$1510,"Loss"),-('Guide &amp; Settings'!$C$42/($F1017-1))*$Z1017)))</f>
        <v>0</v>
      </c>
      <c r="AB1017" s="126">
        <f t="shared" si="316"/>
        <v>0</v>
      </c>
      <c r="AC1017" t="str">
        <f>IF($D1017="","",IF($AD1017=0,0,IF(COUNTIFS($D$4:$D1017,$D1017,$B$4:$B1017,$B1017)&gt;1,0,IF($B1017&lt;'Guide &amp; Settings'!$C$50,0,IF(($B1017-$AD1017)/7-'Guide &amp; Settings'!$C$48&gt;=0,(INT(($B1017-$AD1017)/7-'Guide &amp; Settings'!$C$48)+1)*'Guide &amp; Settings'!$C$49,0)))))</f>
        <v/>
      </c>
      <c r="AD1017" s="142">
        <f t="shared" si="317"/>
        <v>0</v>
      </c>
      <c r="AE1017">
        <f t="shared" si="318"/>
        <v>0</v>
      </c>
      <c r="AF1017">
        <f t="shared" si="319"/>
        <v>0</v>
      </c>
    </row>
    <row r="1018" spans="1:32" x14ac:dyDescent="0.2">
      <c r="A1018" s="117"/>
      <c r="B1018" s="118"/>
      <c r="C1018" s="119"/>
      <c r="D1018" s="119"/>
      <c r="E1018" s="117"/>
      <c r="F1018" s="120">
        <f t="shared" si="300"/>
        <v>0</v>
      </c>
      <c r="G1018" s="121" t="str">
        <f t="shared" si="301"/>
        <v/>
      </c>
      <c r="H1018" s="122">
        <f>IF($D1018="",0,IFERROR(LOOKUP(2,1/(($D$3:D1017=$D1018)*($A$3:A1017&lt;$A1018)),$N$3:N1017),'Guide &amp; Settings'!$C$41))</f>
        <v>0</v>
      </c>
      <c r="I1018" s="123">
        <f t="shared" si="302"/>
        <v>0</v>
      </c>
      <c r="J1018" s="124">
        <f>IF($D1018="",0,IF($F1018&lt;2,0,IF($E1018="Win",('Guide &amp; Settings'!$C$42/(($F1018-1)*COUNTIFS($A$4:$A$1510,$A1018,$E$4:$E$1510,"Win")))*SUMIFS($X$4:$X$1510,$A$4:$A$1510,$A1018,$E$4:$E$1510,"Loss"),-('Guide &amp; Settings'!$C$42/($F1018-1))*$X1018)))</f>
        <v>0</v>
      </c>
      <c r="K1018" s="124">
        <f>IF($D1018="",0,'Guide &amp; Settings'!$C$43*(IF($E1018="Win",1,0)-$I1018))</f>
        <v>0</v>
      </c>
      <c r="L1018" s="125">
        <f>IF($D1018="",0,'Guide &amp; Settings'!$C$44*IF($F1018&gt;=3,$F1018,0))</f>
        <v>0</v>
      </c>
      <c r="M1018" s="124">
        <f t="shared" si="303"/>
        <v>0</v>
      </c>
      <c r="N1018" s="122">
        <f t="shared" si="304"/>
        <v>0</v>
      </c>
      <c r="O1018" s="121" t="str">
        <f t="shared" si="305"/>
        <v/>
      </c>
      <c r="P1018">
        <f t="shared" si="306"/>
        <v>0</v>
      </c>
      <c r="Q1018">
        <f t="shared" si="307"/>
        <v>0</v>
      </c>
      <c r="R1018">
        <f t="shared" si="308"/>
        <v>0</v>
      </c>
      <c r="S1018">
        <f t="shared" si="309"/>
        <v>0</v>
      </c>
      <c r="T1018" s="89">
        <f t="shared" si="310"/>
        <v>0</v>
      </c>
      <c r="U1018" s="126">
        <f>IF($D1018="",0,IFERROR(LOOKUP(2,1/(($D$3:D1017=$D1018)*($C$3:C1017=$C1018)*($A$3:A1017&lt;$A1018)),$AB$3:AB1017),1000))</f>
        <v>0</v>
      </c>
      <c r="V1018" s="126">
        <f t="shared" si="311"/>
        <v>0</v>
      </c>
      <c r="W1018">
        <f t="shared" si="312"/>
        <v>0</v>
      </c>
      <c r="X1018">
        <f t="shared" si="313"/>
        <v>0</v>
      </c>
      <c r="Y1018">
        <f t="shared" si="314"/>
        <v>0</v>
      </c>
      <c r="Z1018">
        <f t="shared" si="315"/>
        <v>0</v>
      </c>
      <c r="AA1018">
        <f>IF($D1018="",0,IF($F1018&lt;2,0,IF($E1018="Win",('Guide &amp; Settings'!$C$42/(($F1018-1)*COUNTIFS($A$4:$A$1510,$A1018,$E$4:$E$1510,"Win")))*SUMIFS($Z$4:$Z$1510,$A$4:$A$1510,$A1018,$E$4:$E$1510,"Loss"),-('Guide &amp; Settings'!$C$42/($F1018-1))*$Z1018)))</f>
        <v>0</v>
      </c>
      <c r="AB1018" s="126">
        <f t="shared" si="316"/>
        <v>0</v>
      </c>
      <c r="AC1018" t="str">
        <f>IF($D1018="","",IF($AD1018=0,0,IF(COUNTIFS($D$4:$D1018,$D1018,$B$4:$B1018,$B1018)&gt;1,0,IF($B1018&lt;'Guide &amp; Settings'!$C$50,0,IF(($B1018-$AD1018)/7-'Guide &amp; Settings'!$C$48&gt;=0,(INT(($B1018-$AD1018)/7-'Guide &amp; Settings'!$C$48)+1)*'Guide &amp; Settings'!$C$49,0)))))</f>
        <v/>
      </c>
      <c r="AD1018" s="142">
        <f t="shared" si="317"/>
        <v>0</v>
      </c>
      <c r="AE1018">
        <f t="shared" si="318"/>
        <v>0</v>
      </c>
      <c r="AF1018">
        <f t="shared" si="319"/>
        <v>0</v>
      </c>
    </row>
    <row r="1019" spans="1:32" x14ac:dyDescent="0.2">
      <c r="A1019" s="117"/>
      <c r="B1019" s="118"/>
      <c r="C1019" s="119"/>
      <c r="D1019" s="119"/>
      <c r="E1019" s="117"/>
      <c r="F1019" s="120">
        <f t="shared" si="300"/>
        <v>0</v>
      </c>
      <c r="G1019" s="121" t="str">
        <f t="shared" si="301"/>
        <v/>
      </c>
      <c r="H1019" s="122">
        <f>IF($D1019="",0,IFERROR(LOOKUP(2,1/(($D$3:D1018=$D1019)*($A$3:A1018&lt;$A1019)),$N$3:N1018),'Guide &amp; Settings'!$C$41))</f>
        <v>0</v>
      </c>
      <c r="I1019" s="123">
        <f t="shared" si="302"/>
        <v>0</v>
      </c>
      <c r="J1019" s="124">
        <f>IF($D1019="",0,IF($F1019&lt;2,0,IF($E1019="Win",('Guide &amp; Settings'!$C$42/(($F1019-1)*COUNTIFS($A$4:$A$1510,$A1019,$E$4:$E$1510,"Win")))*SUMIFS($X$4:$X$1510,$A$4:$A$1510,$A1019,$E$4:$E$1510,"Loss"),-('Guide &amp; Settings'!$C$42/($F1019-1))*$X1019)))</f>
        <v>0</v>
      </c>
      <c r="K1019" s="124">
        <f>IF($D1019="",0,'Guide &amp; Settings'!$C$43*(IF($E1019="Win",1,0)-$I1019))</f>
        <v>0</v>
      </c>
      <c r="L1019" s="125">
        <f>IF($D1019="",0,'Guide &amp; Settings'!$C$44*IF($F1019&gt;=3,$F1019,0))</f>
        <v>0</v>
      </c>
      <c r="M1019" s="124">
        <f t="shared" si="303"/>
        <v>0</v>
      </c>
      <c r="N1019" s="122">
        <f t="shared" si="304"/>
        <v>0</v>
      </c>
      <c r="O1019" s="121" t="str">
        <f t="shared" si="305"/>
        <v/>
      </c>
      <c r="P1019">
        <f t="shared" si="306"/>
        <v>0</v>
      </c>
      <c r="Q1019">
        <f t="shared" si="307"/>
        <v>0</v>
      </c>
      <c r="R1019">
        <f t="shared" si="308"/>
        <v>0</v>
      </c>
      <c r="S1019">
        <f t="shared" si="309"/>
        <v>0</v>
      </c>
      <c r="T1019" s="89">
        <f t="shared" si="310"/>
        <v>0</v>
      </c>
      <c r="U1019" s="126">
        <f>IF($D1019="",0,IFERROR(LOOKUP(2,1/(($D$3:D1018=$D1019)*($C$3:C1018=$C1019)*($A$3:A1018&lt;$A1019)),$AB$3:AB1018),1000))</f>
        <v>0</v>
      </c>
      <c r="V1019" s="126">
        <f t="shared" si="311"/>
        <v>0</v>
      </c>
      <c r="W1019">
        <f t="shared" si="312"/>
        <v>0</v>
      </c>
      <c r="X1019">
        <f t="shared" si="313"/>
        <v>0</v>
      </c>
      <c r="Y1019">
        <f t="shared" si="314"/>
        <v>0</v>
      </c>
      <c r="Z1019">
        <f t="shared" si="315"/>
        <v>0</v>
      </c>
      <c r="AA1019">
        <f>IF($D1019="",0,IF($F1019&lt;2,0,IF($E1019="Win",('Guide &amp; Settings'!$C$42/(($F1019-1)*COUNTIFS($A$4:$A$1510,$A1019,$E$4:$E$1510,"Win")))*SUMIFS($Z$4:$Z$1510,$A$4:$A$1510,$A1019,$E$4:$E$1510,"Loss"),-('Guide &amp; Settings'!$C$42/($F1019-1))*$Z1019)))</f>
        <v>0</v>
      </c>
      <c r="AB1019" s="126">
        <f t="shared" si="316"/>
        <v>0</v>
      </c>
      <c r="AC1019" t="str">
        <f>IF($D1019="","",IF($AD1019=0,0,IF(COUNTIFS($D$4:$D1019,$D1019,$B$4:$B1019,$B1019)&gt;1,0,IF($B1019&lt;'Guide &amp; Settings'!$C$50,0,IF(($B1019-$AD1019)/7-'Guide &amp; Settings'!$C$48&gt;=0,(INT(($B1019-$AD1019)/7-'Guide &amp; Settings'!$C$48)+1)*'Guide &amp; Settings'!$C$49,0)))))</f>
        <v/>
      </c>
      <c r="AD1019" s="142">
        <f t="shared" si="317"/>
        <v>0</v>
      </c>
      <c r="AE1019">
        <f t="shared" si="318"/>
        <v>0</v>
      </c>
      <c r="AF1019">
        <f t="shared" si="319"/>
        <v>0</v>
      </c>
    </row>
    <row r="1020" spans="1:32" x14ac:dyDescent="0.2">
      <c r="A1020" s="117"/>
      <c r="B1020" s="118"/>
      <c r="C1020" s="119"/>
      <c r="D1020" s="119"/>
      <c r="E1020" s="117"/>
      <c r="F1020" s="120">
        <f t="shared" si="300"/>
        <v>0</v>
      </c>
      <c r="G1020" s="121" t="str">
        <f t="shared" si="301"/>
        <v/>
      </c>
      <c r="H1020" s="122">
        <f>IF($D1020="",0,IFERROR(LOOKUP(2,1/(($D$3:D1019=$D1020)*($A$3:A1019&lt;$A1020)),$N$3:N1019),'Guide &amp; Settings'!$C$41))</f>
        <v>0</v>
      </c>
      <c r="I1020" s="123">
        <f t="shared" si="302"/>
        <v>0</v>
      </c>
      <c r="J1020" s="124">
        <f>IF($D1020="",0,IF($F1020&lt;2,0,IF($E1020="Win",('Guide &amp; Settings'!$C$42/(($F1020-1)*COUNTIFS($A$4:$A$1510,$A1020,$E$4:$E$1510,"Win")))*SUMIFS($X$4:$X$1510,$A$4:$A$1510,$A1020,$E$4:$E$1510,"Loss"),-('Guide &amp; Settings'!$C$42/($F1020-1))*$X1020)))</f>
        <v>0</v>
      </c>
      <c r="K1020" s="124">
        <f>IF($D1020="",0,'Guide &amp; Settings'!$C$43*(IF($E1020="Win",1,0)-$I1020))</f>
        <v>0</v>
      </c>
      <c r="L1020" s="125">
        <f>IF($D1020="",0,'Guide &amp; Settings'!$C$44*IF($F1020&gt;=3,$F1020,0))</f>
        <v>0</v>
      </c>
      <c r="M1020" s="124">
        <f t="shared" si="303"/>
        <v>0</v>
      </c>
      <c r="N1020" s="122">
        <f t="shared" si="304"/>
        <v>0</v>
      </c>
      <c r="O1020" s="121" t="str">
        <f t="shared" si="305"/>
        <v/>
      </c>
      <c r="P1020">
        <f t="shared" si="306"/>
        <v>0</v>
      </c>
      <c r="Q1020">
        <f t="shared" si="307"/>
        <v>0</v>
      </c>
      <c r="R1020">
        <f t="shared" si="308"/>
        <v>0</v>
      </c>
      <c r="S1020">
        <f t="shared" si="309"/>
        <v>0</v>
      </c>
      <c r="T1020" s="89">
        <f t="shared" si="310"/>
        <v>0</v>
      </c>
      <c r="U1020" s="126">
        <f>IF($D1020="",0,IFERROR(LOOKUP(2,1/(($D$3:D1019=$D1020)*($C$3:C1019=$C1020)*($A$3:A1019&lt;$A1020)),$AB$3:AB1019),1000))</f>
        <v>0</v>
      </c>
      <c r="V1020" s="126">
        <f t="shared" si="311"/>
        <v>0</v>
      </c>
      <c r="W1020">
        <f t="shared" si="312"/>
        <v>0</v>
      </c>
      <c r="X1020">
        <f t="shared" si="313"/>
        <v>0</v>
      </c>
      <c r="Y1020">
        <f t="shared" si="314"/>
        <v>0</v>
      </c>
      <c r="Z1020">
        <f t="shared" si="315"/>
        <v>0</v>
      </c>
      <c r="AA1020">
        <f>IF($D1020="",0,IF($F1020&lt;2,0,IF($E1020="Win",('Guide &amp; Settings'!$C$42/(($F1020-1)*COUNTIFS($A$4:$A$1510,$A1020,$E$4:$E$1510,"Win")))*SUMIFS($Z$4:$Z$1510,$A$4:$A$1510,$A1020,$E$4:$E$1510,"Loss"),-('Guide &amp; Settings'!$C$42/($F1020-1))*$Z1020)))</f>
        <v>0</v>
      </c>
      <c r="AB1020" s="126">
        <f t="shared" si="316"/>
        <v>0</v>
      </c>
      <c r="AC1020" t="str">
        <f>IF($D1020="","",IF($AD1020=0,0,IF(COUNTIFS($D$4:$D1020,$D1020,$B$4:$B1020,$B1020)&gt;1,0,IF($B1020&lt;'Guide &amp; Settings'!$C$50,0,IF(($B1020-$AD1020)/7-'Guide &amp; Settings'!$C$48&gt;=0,(INT(($B1020-$AD1020)/7-'Guide &amp; Settings'!$C$48)+1)*'Guide &amp; Settings'!$C$49,0)))))</f>
        <v/>
      </c>
      <c r="AD1020" s="142">
        <f t="shared" si="317"/>
        <v>0</v>
      </c>
      <c r="AE1020">
        <f t="shared" si="318"/>
        <v>0</v>
      </c>
      <c r="AF1020">
        <f t="shared" si="319"/>
        <v>0</v>
      </c>
    </row>
    <row r="1021" spans="1:32" x14ac:dyDescent="0.2">
      <c r="A1021" s="117"/>
      <c r="B1021" s="118"/>
      <c r="C1021" s="119"/>
      <c r="D1021" s="119"/>
      <c r="E1021" s="117"/>
      <c r="F1021" s="120">
        <f t="shared" si="300"/>
        <v>0</v>
      </c>
      <c r="G1021" s="121" t="str">
        <f t="shared" si="301"/>
        <v/>
      </c>
      <c r="H1021" s="122">
        <f>IF($D1021="",0,IFERROR(LOOKUP(2,1/(($D$3:D1020=$D1021)*($A$3:A1020&lt;$A1021)),$N$3:N1020),'Guide &amp; Settings'!$C$41))</f>
        <v>0</v>
      </c>
      <c r="I1021" s="123">
        <f t="shared" si="302"/>
        <v>0</v>
      </c>
      <c r="J1021" s="124">
        <f>IF($D1021="",0,IF($F1021&lt;2,0,IF($E1021="Win",('Guide &amp; Settings'!$C$42/(($F1021-1)*COUNTIFS($A$4:$A$1510,$A1021,$E$4:$E$1510,"Win")))*SUMIFS($X$4:$X$1510,$A$4:$A$1510,$A1021,$E$4:$E$1510,"Loss"),-('Guide &amp; Settings'!$C$42/($F1021-1))*$X1021)))</f>
        <v>0</v>
      </c>
      <c r="K1021" s="124">
        <f>IF($D1021="",0,'Guide &amp; Settings'!$C$43*(IF($E1021="Win",1,0)-$I1021))</f>
        <v>0</v>
      </c>
      <c r="L1021" s="125">
        <f>IF($D1021="",0,'Guide &amp; Settings'!$C$44*IF($F1021&gt;=3,$F1021,0))</f>
        <v>0</v>
      </c>
      <c r="M1021" s="124">
        <f t="shared" si="303"/>
        <v>0</v>
      </c>
      <c r="N1021" s="122">
        <f t="shared" si="304"/>
        <v>0</v>
      </c>
      <c r="O1021" s="121" t="str">
        <f t="shared" si="305"/>
        <v/>
      </c>
      <c r="P1021">
        <f t="shared" si="306"/>
        <v>0</v>
      </c>
      <c r="Q1021">
        <f t="shared" si="307"/>
        <v>0</v>
      </c>
      <c r="R1021">
        <f t="shared" si="308"/>
        <v>0</v>
      </c>
      <c r="S1021">
        <f t="shared" si="309"/>
        <v>0</v>
      </c>
      <c r="T1021" s="89">
        <f t="shared" si="310"/>
        <v>0</v>
      </c>
      <c r="U1021" s="126">
        <f>IF($D1021="",0,IFERROR(LOOKUP(2,1/(($D$3:D1020=$D1021)*($C$3:C1020=$C1021)*($A$3:A1020&lt;$A1021)),$AB$3:AB1020),1000))</f>
        <v>0</v>
      </c>
      <c r="V1021" s="126">
        <f t="shared" si="311"/>
        <v>0</v>
      </c>
      <c r="W1021">
        <f t="shared" si="312"/>
        <v>0</v>
      </c>
      <c r="X1021">
        <f t="shared" si="313"/>
        <v>0</v>
      </c>
      <c r="Y1021">
        <f t="shared" si="314"/>
        <v>0</v>
      </c>
      <c r="Z1021">
        <f t="shared" si="315"/>
        <v>0</v>
      </c>
      <c r="AA1021">
        <f>IF($D1021="",0,IF($F1021&lt;2,0,IF($E1021="Win",('Guide &amp; Settings'!$C$42/(($F1021-1)*COUNTIFS($A$4:$A$1510,$A1021,$E$4:$E$1510,"Win")))*SUMIFS($Z$4:$Z$1510,$A$4:$A$1510,$A1021,$E$4:$E$1510,"Loss"),-('Guide &amp; Settings'!$C$42/($F1021-1))*$Z1021)))</f>
        <v>0</v>
      </c>
      <c r="AB1021" s="126">
        <f t="shared" si="316"/>
        <v>0</v>
      </c>
      <c r="AC1021" t="str">
        <f>IF($D1021="","",IF($AD1021=0,0,IF(COUNTIFS($D$4:$D1021,$D1021,$B$4:$B1021,$B1021)&gt;1,0,IF($B1021&lt;'Guide &amp; Settings'!$C$50,0,IF(($B1021-$AD1021)/7-'Guide &amp; Settings'!$C$48&gt;=0,(INT(($B1021-$AD1021)/7-'Guide &amp; Settings'!$C$48)+1)*'Guide &amp; Settings'!$C$49,0)))))</f>
        <v/>
      </c>
      <c r="AD1021" s="142">
        <f t="shared" si="317"/>
        <v>0</v>
      </c>
      <c r="AE1021">
        <f t="shared" si="318"/>
        <v>0</v>
      </c>
      <c r="AF1021">
        <f t="shared" si="319"/>
        <v>0</v>
      </c>
    </row>
    <row r="1022" spans="1:32" x14ac:dyDescent="0.2">
      <c r="A1022" s="117"/>
      <c r="B1022" s="118"/>
      <c r="C1022" s="119"/>
      <c r="D1022" s="119"/>
      <c r="E1022" s="117"/>
      <c r="F1022" s="120">
        <f t="shared" si="300"/>
        <v>0</v>
      </c>
      <c r="G1022" s="121" t="str">
        <f t="shared" si="301"/>
        <v/>
      </c>
      <c r="H1022" s="122">
        <f>IF($D1022="",0,IFERROR(LOOKUP(2,1/(($D$3:D1021=$D1022)*($A$3:A1021&lt;$A1022)),$N$3:N1021),'Guide &amp; Settings'!$C$41))</f>
        <v>0</v>
      </c>
      <c r="I1022" s="123">
        <f t="shared" si="302"/>
        <v>0</v>
      </c>
      <c r="J1022" s="124">
        <f>IF($D1022="",0,IF($F1022&lt;2,0,IF($E1022="Win",('Guide &amp; Settings'!$C$42/(($F1022-1)*COUNTIFS($A$4:$A$1510,$A1022,$E$4:$E$1510,"Win")))*SUMIFS($X$4:$X$1510,$A$4:$A$1510,$A1022,$E$4:$E$1510,"Loss"),-('Guide &amp; Settings'!$C$42/($F1022-1))*$X1022)))</f>
        <v>0</v>
      </c>
      <c r="K1022" s="124">
        <f>IF($D1022="",0,'Guide &amp; Settings'!$C$43*(IF($E1022="Win",1,0)-$I1022))</f>
        <v>0</v>
      </c>
      <c r="L1022" s="125">
        <f>IF($D1022="",0,'Guide &amp; Settings'!$C$44*IF($F1022&gt;=3,$F1022,0))</f>
        <v>0</v>
      </c>
      <c r="M1022" s="124">
        <f t="shared" si="303"/>
        <v>0</v>
      </c>
      <c r="N1022" s="122">
        <f t="shared" si="304"/>
        <v>0</v>
      </c>
      <c r="O1022" s="121" t="str">
        <f t="shared" si="305"/>
        <v/>
      </c>
      <c r="P1022">
        <f t="shared" si="306"/>
        <v>0</v>
      </c>
      <c r="Q1022">
        <f t="shared" si="307"/>
        <v>0</v>
      </c>
      <c r="R1022">
        <f t="shared" si="308"/>
        <v>0</v>
      </c>
      <c r="S1022">
        <f t="shared" si="309"/>
        <v>0</v>
      </c>
      <c r="T1022" s="89">
        <f t="shared" si="310"/>
        <v>0</v>
      </c>
      <c r="U1022" s="126">
        <f>IF($D1022="",0,IFERROR(LOOKUP(2,1/(($D$3:D1021=$D1022)*($C$3:C1021=$C1022)*($A$3:A1021&lt;$A1022)),$AB$3:AB1021),1000))</f>
        <v>0</v>
      </c>
      <c r="V1022" s="126">
        <f t="shared" si="311"/>
        <v>0</v>
      </c>
      <c r="W1022">
        <f t="shared" si="312"/>
        <v>0</v>
      </c>
      <c r="X1022">
        <f t="shared" si="313"/>
        <v>0</v>
      </c>
      <c r="Y1022">
        <f t="shared" si="314"/>
        <v>0</v>
      </c>
      <c r="Z1022">
        <f t="shared" si="315"/>
        <v>0</v>
      </c>
      <c r="AA1022">
        <f>IF($D1022="",0,IF($F1022&lt;2,0,IF($E1022="Win",('Guide &amp; Settings'!$C$42/(($F1022-1)*COUNTIFS($A$4:$A$1510,$A1022,$E$4:$E$1510,"Win")))*SUMIFS($Z$4:$Z$1510,$A$4:$A$1510,$A1022,$E$4:$E$1510,"Loss"),-('Guide &amp; Settings'!$C$42/($F1022-1))*$Z1022)))</f>
        <v>0</v>
      </c>
      <c r="AB1022" s="126">
        <f t="shared" si="316"/>
        <v>0</v>
      </c>
      <c r="AC1022" t="str">
        <f>IF($D1022="","",IF($AD1022=0,0,IF(COUNTIFS($D$4:$D1022,$D1022,$B$4:$B1022,$B1022)&gt;1,0,IF($B1022&lt;'Guide &amp; Settings'!$C$50,0,IF(($B1022-$AD1022)/7-'Guide &amp; Settings'!$C$48&gt;=0,(INT(($B1022-$AD1022)/7-'Guide &amp; Settings'!$C$48)+1)*'Guide &amp; Settings'!$C$49,0)))))</f>
        <v/>
      </c>
      <c r="AD1022" s="142">
        <f t="shared" si="317"/>
        <v>0</v>
      </c>
      <c r="AE1022">
        <f t="shared" si="318"/>
        <v>0</v>
      </c>
      <c r="AF1022">
        <f t="shared" si="319"/>
        <v>0</v>
      </c>
    </row>
    <row r="1023" spans="1:32" x14ac:dyDescent="0.2">
      <c r="A1023" s="117"/>
      <c r="B1023" s="118"/>
      <c r="C1023" s="119"/>
      <c r="D1023" s="119"/>
      <c r="E1023" s="117"/>
      <c r="F1023" s="120">
        <f t="shared" si="300"/>
        <v>0</v>
      </c>
      <c r="G1023" s="121" t="str">
        <f t="shared" si="301"/>
        <v/>
      </c>
      <c r="H1023" s="122">
        <f>IF($D1023="",0,IFERROR(LOOKUP(2,1/(($D$3:D1022=$D1023)*($A$3:A1022&lt;$A1023)),$N$3:N1022),'Guide &amp; Settings'!$C$41))</f>
        <v>0</v>
      </c>
      <c r="I1023" s="123">
        <f t="shared" si="302"/>
        <v>0</v>
      </c>
      <c r="J1023" s="124">
        <f>IF($D1023="",0,IF($F1023&lt;2,0,IF($E1023="Win",('Guide &amp; Settings'!$C$42/(($F1023-1)*COUNTIFS($A$4:$A$1510,$A1023,$E$4:$E$1510,"Win")))*SUMIFS($X$4:$X$1510,$A$4:$A$1510,$A1023,$E$4:$E$1510,"Loss"),-('Guide &amp; Settings'!$C$42/($F1023-1))*$X1023)))</f>
        <v>0</v>
      </c>
      <c r="K1023" s="124">
        <f>IF($D1023="",0,'Guide &amp; Settings'!$C$43*(IF($E1023="Win",1,0)-$I1023))</f>
        <v>0</v>
      </c>
      <c r="L1023" s="125">
        <f>IF($D1023="",0,'Guide &amp; Settings'!$C$44*IF($F1023&gt;=3,$F1023,0))</f>
        <v>0</v>
      </c>
      <c r="M1023" s="124">
        <f t="shared" si="303"/>
        <v>0</v>
      </c>
      <c r="N1023" s="122">
        <f t="shared" si="304"/>
        <v>0</v>
      </c>
      <c r="O1023" s="121" t="str">
        <f t="shared" si="305"/>
        <v/>
      </c>
      <c r="P1023">
        <f t="shared" si="306"/>
        <v>0</v>
      </c>
      <c r="Q1023">
        <f t="shared" si="307"/>
        <v>0</v>
      </c>
      <c r="R1023">
        <f t="shared" si="308"/>
        <v>0</v>
      </c>
      <c r="S1023">
        <f t="shared" si="309"/>
        <v>0</v>
      </c>
      <c r="T1023" s="89">
        <f t="shared" si="310"/>
        <v>0</v>
      </c>
      <c r="U1023" s="126">
        <f>IF($D1023="",0,IFERROR(LOOKUP(2,1/(($D$3:D1022=$D1023)*($C$3:C1022=$C1023)*($A$3:A1022&lt;$A1023)),$AB$3:AB1022),1000))</f>
        <v>0</v>
      </c>
      <c r="V1023" s="126">
        <f t="shared" si="311"/>
        <v>0</v>
      </c>
      <c r="W1023">
        <f t="shared" si="312"/>
        <v>0</v>
      </c>
      <c r="X1023">
        <f t="shared" si="313"/>
        <v>0</v>
      </c>
      <c r="Y1023">
        <f t="shared" si="314"/>
        <v>0</v>
      </c>
      <c r="Z1023">
        <f t="shared" si="315"/>
        <v>0</v>
      </c>
      <c r="AA1023">
        <f>IF($D1023="",0,IF($F1023&lt;2,0,IF($E1023="Win",('Guide &amp; Settings'!$C$42/(($F1023-1)*COUNTIFS($A$4:$A$1510,$A1023,$E$4:$E$1510,"Win")))*SUMIFS($Z$4:$Z$1510,$A$4:$A$1510,$A1023,$E$4:$E$1510,"Loss"),-('Guide &amp; Settings'!$C$42/($F1023-1))*$Z1023)))</f>
        <v>0</v>
      </c>
      <c r="AB1023" s="126">
        <f t="shared" si="316"/>
        <v>0</v>
      </c>
      <c r="AC1023" t="str">
        <f>IF($D1023="","",IF($AD1023=0,0,IF(COUNTIFS($D$4:$D1023,$D1023,$B$4:$B1023,$B1023)&gt;1,0,IF($B1023&lt;'Guide &amp; Settings'!$C$50,0,IF(($B1023-$AD1023)/7-'Guide &amp; Settings'!$C$48&gt;=0,(INT(($B1023-$AD1023)/7-'Guide &amp; Settings'!$C$48)+1)*'Guide &amp; Settings'!$C$49,0)))))</f>
        <v/>
      </c>
      <c r="AD1023" s="142">
        <f t="shared" si="317"/>
        <v>0</v>
      </c>
      <c r="AE1023">
        <f t="shared" si="318"/>
        <v>0</v>
      </c>
      <c r="AF1023">
        <f t="shared" si="319"/>
        <v>0</v>
      </c>
    </row>
    <row r="1024" spans="1:32" x14ac:dyDescent="0.2">
      <c r="A1024" s="117"/>
      <c r="B1024" s="118"/>
      <c r="C1024" s="119"/>
      <c r="D1024" s="119"/>
      <c r="E1024" s="117"/>
      <c r="F1024" s="120">
        <f t="shared" si="300"/>
        <v>0</v>
      </c>
      <c r="G1024" s="121" t="str">
        <f t="shared" si="301"/>
        <v/>
      </c>
      <c r="H1024" s="122">
        <f>IF($D1024="",0,IFERROR(LOOKUP(2,1/(($D$3:D1023=$D1024)*($A$3:A1023&lt;$A1024)),$N$3:N1023),'Guide &amp; Settings'!$C$41))</f>
        <v>0</v>
      </c>
      <c r="I1024" s="123">
        <f t="shared" si="302"/>
        <v>0</v>
      </c>
      <c r="J1024" s="124">
        <f>IF($D1024="",0,IF($F1024&lt;2,0,IF($E1024="Win",('Guide &amp; Settings'!$C$42/(($F1024-1)*COUNTIFS($A$4:$A$1510,$A1024,$E$4:$E$1510,"Win")))*SUMIFS($X$4:$X$1510,$A$4:$A$1510,$A1024,$E$4:$E$1510,"Loss"),-('Guide &amp; Settings'!$C$42/($F1024-1))*$X1024)))</f>
        <v>0</v>
      </c>
      <c r="K1024" s="124">
        <f>IF($D1024="",0,'Guide &amp; Settings'!$C$43*(IF($E1024="Win",1,0)-$I1024))</f>
        <v>0</v>
      </c>
      <c r="L1024" s="125">
        <f>IF($D1024="",0,'Guide &amp; Settings'!$C$44*IF($F1024&gt;=3,$F1024,0))</f>
        <v>0</v>
      </c>
      <c r="M1024" s="124">
        <f t="shared" si="303"/>
        <v>0</v>
      </c>
      <c r="N1024" s="122">
        <f t="shared" si="304"/>
        <v>0</v>
      </c>
      <c r="O1024" s="121" t="str">
        <f t="shared" si="305"/>
        <v/>
      </c>
      <c r="P1024">
        <f t="shared" si="306"/>
        <v>0</v>
      </c>
      <c r="Q1024">
        <f t="shared" si="307"/>
        <v>0</v>
      </c>
      <c r="R1024">
        <f t="shared" si="308"/>
        <v>0</v>
      </c>
      <c r="S1024">
        <f t="shared" si="309"/>
        <v>0</v>
      </c>
      <c r="T1024" s="89">
        <f t="shared" si="310"/>
        <v>0</v>
      </c>
      <c r="U1024" s="126">
        <f>IF($D1024="",0,IFERROR(LOOKUP(2,1/(($D$3:D1023=$D1024)*($C$3:C1023=$C1024)*($A$3:A1023&lt;$A1024)),$AB$3:AB1023),1000))</f>
        <v>0</v>
      </c>
      <c r="V1024" s="126">
        <f t="shared" si="311"/>
        <v>0</v>
      </c>
      <c r="W1024">
        <f t="shared" si="312"/>
        <v>0</v>
      </c>
      <c r="X1024">
        <f t="shared" si="313"/>
        <v>0</v>
      </c>
      <c r="Y1024">
        <f t="shared" si="314"/>
        <v>0</v>
      </c>
      <c r="Z1024">
        <f t="shared" si="315"/>
        <v>0</v>
      </c>
      <c r="AA1024">
        <f>IF($D1024="",0,IF($F1024&lt;2,0,IF($E1024="Win",('Guide &amp; Settings'!$C$42/(($F1024-1)*COUNTIFS($A$4:$A$1510,$A1024,$E$4:$E$1510,"Win")))*SUMIFS($Z$4:$Z$1510,$A$4:$A$1510,$A1024,$E$4:$E$1510,"Loss"),-('Guide &amp; Settings'!$C$42/($F1024-1))*$Z1024)))</f>
        <v>0</v>
      </c>
      <c r="AB1024" s="126">
        <f t="shared" si="316"/>
        <v>0</v>
      </c>
      <c r="AC1024" t="str">
        <f>IF($D1024="","",IF($AD1024=0,0,IF(COUNTIFS($D$4:$D1024,$D1024,$B$4:$B1024,$B1024)&gt;1,0,IF($B1024&lt;'Guide &amp; Settings'!$C$50,0,IF(($B1024-$AD1024)/7-'Guide &amp; Settings'!$C$48&gt;=0,(INT(($B1024-$AD1024)/7-'Guide &amp; Settings'!$C$48)+1)*'Guide &amp; Settings'!$C$49,0)))))</f>
        <v/>
      </c>
      <c r="AD1024" s="142">
        <f t="shared" si="317"/>
        <v>0</v>
      </c>
      <c r="AE1024">
        <f t="shared" si="318"/>
        <v>0</v>
      </c>
      <c r="AF1024">
        <f t="shared" si="319"/>
        <v>0</v>
      </c>
    </row>
    <row r="1025" spans="1:32" x14ac:dyDescent="0.2">
      <c r="A1025" s="117"/>
      <c r="B1025" s="118"/>
      <c r="C1025" s="119"/>
      <c r="D1025" s="119"/>
      <c r="E1025" s="117"/>
      <c r="F1025" s="120">
        <f t="shared" si="300"/>
        <v>0</v>
      </c>
      <c r="G1025" s="121" t="str">
        <f t="shared" si="301"/>
        <v/>
      </c>
      <c r="H1025" s="122">
        <f>IF($D1025="",0,IFERROR(LOOKUP(2,1/(($D$3:D1024=$D1025)*($A$3:A1024&lt;$A1025)),$N$3:N1024),'Guide &amp; Settings'!$C$41))</f>
        <v>0</v>
      </c>
      <c r="I1025" s="123">
        <f t="shared" si="302"/>
        <v>0</v>
      </c>
      <c r="J1025" s="124">
        <f>IF($D1025="",0,IF($F1025&lt;2,0,IF($E1025="Win",('Guide &amp; Settings'!$C$42/(($F1025-1)*COUNTIFS($A$4:$A$1510,$A1025,$E$4:$E$1510,"Win")))*SUMIFS($X$4:$X$1510,$A$4:$A$1510,$A1025,$E$4:$E$1510,"Loss"),-('Guide &amp; Settings'!$C$42/($F1025-1))*$X1025)))</f>
        <v>0</v>
      </c>
      <c r="K1025" s="124">
        <f>IF($D1025="",0,'Guide &amp; Settings'!$C$43*(IF($E1025="Win",1,0)-$I1025))</f>
        <v>0</v>
      </c>
      <c r="L1025" s="125">
        <f>IF($D1025="",0,'Guide &amp; Settings'!$C$44*IF($F1025&gt;=3,$F1025,0))</f>
        <v>0</v>
      </c>
      <c r="M1025" s="124">
        <f t="shared" si="303"/>
        <v>0</v>
      </c>
      <c r="N1025" s="122">
        <f t="shared" si="304"/>
        <v>0</v>
      </c>
      <c r="O1025" s="121" t="str">
        <f t="shared" si="305"/>
        <v/>
      </c>
      <c r="P1025">
        <f t="shared" si="306"/>
        <v>0</v>
      </c>
      <c r="Q1025">
        <f t="shared" si="307"/>
        <v>0</v>
      </c>
      <c r="R1025">
        <f t="shared" si="308"/>
        <v>0</v>
      </c>
      <c r="S1025">
        <f t="shared" si="309"/>
        <v>0</v>
      </c>
      <c r="T1025" s="89">
        <f t="shared" si="310"/>
        <v>0</v>
      </c>
      <c r="U1025" s="126">
        <f>IF($D1025="",0,IFERROR(LOOKUP(2,1/(($D$3:D1024=$D1025)*($C$3:C1024=$C1025)*($A$3:A1024&lt;$A1025)),$AB$3:AB1024),1000))</f>
        <v>0</v>
      </c>
      <c r="V1025" s="126">
        <f t="shared" si="311"/>
        <v>0</v>
      </c>
      <c r="W1025">
        <f t="shared" si="312"/>
        <v>0</v>
      </c>
      <c r="X1025">
        <f t="shared" si="313"/>
        <v>0</v>
      </c>
      <c r="Y1025">
        <f t="shared" si="314"/>
        <v>0</v>
      </c>
      <c r="Z1025">
        <f t="shared" si="315"/>
        <v>0</v>
      </c>
      <c r="AA1025">
        <f>IF($D1025="",0,IF($F1025&lt;2,0,IF($E1025="Win",('Guide &amp; Settings'!$C$42/(($F1025-1)*COUNTIFS($A$4:$A$1510,$A1025,$E$4:$E$1510,"Win")))*SUMIFS($Z$4:$Z$1510,$A$4:$A$1510,$A1025,$E$4:$E$1510,"Loss"),-('Guide &amp; Settings'!$C$42/($F1025-1))*$Z1025)))</f>
        <v>0</v>
      </c>
      <c r="AB1025" s="126">
        <f t="shared" si="316"/>
        <v>0</v>
      </c>
      <c r="AC1025" t="str">
        <f>IF($D1025="","",IF($AD1025=0,0,IF(COUNTIFS($D$4:$D1025,$D1025,$B$4:$B1025,$B1025)&gt;1,0,IF($B1025&lt;'Guide &amp; Settings'!$C$50,0,IF(($B1025-$AD1025)/7-'Guide &amp; Settings'!$C$48&gt;=0,(INT(($B1025-$AD1025)/7-'Guide &amp; Settings'!$C$48)+1)*'Guide &amp; Settings'!$C$49,0)))))</f>
        <v/>
      </c>
      <c r="AD1025" s="142">
        <f t="shared" si="317"/>
        <v>0</v>
      </c>
      <c r="AE1025">
        <f t="shared" si="318"/>
        <v>0</v>
      </c>
      <c r="AF1025">
        <f t="shared" si="319"/>
        <v>0</v>
      </c>
    </row>
    <row r="1026" spans="1:32" x14ac:dyDescent="0.2">
      <c r="A1026" s="117"/>
      <c r="B1026" s="118"/>
      <c r="C1026" s="119"/>
      <c r="D1026" s="119"/>
      <c r="E1026" s="117"/>
      <c r="F1026" s="120">
        <f t="shared" si="300"/>
        <v>0</v>
      </c>
      <c r="G1026" s="121" t="str">
        <f t="shared" si="301"/>
        <v/>
      </c>
      <c r="H1026" s="122">
        <f>IF($D1026="",0,IFERROR(LOOKUP(2,1/(($D$3:D1025=$D1026)*($A$3:A1025&lt;$A1026)),$N$3:N1025),'Guide &amp; Settings'!$C$41))</f>
        <v>0</v>
      </c>
      <c r="I1026" s="123">
        <f t="shared" si="302"/>
        <v>0</v>
      </c>
      <c r="J1026" s="124">
        <f>IF($D1026="",0,IF($F1026&lt;2,0,IF($E1026="Win",('Guide &amp; Settings'!$C$42/(($F1026-1)*COUNTIFS($A$4:$A$1510,$A1026,$E$4:$E$1510,"Win")))*SUMIFS($X$4:$X$1510,$A$4:$A$1510,$A1026,$E$4:$E$1510,"Loss"),-('Guide &amp; Settings'!$C$42/($F1026-1))*$X1026)))</f>
        <v>0</v>
      </c>
      <c r="K1026" s="124">
        <f>IF($D1026="",0,'Guide &amp; Settings'!$C$43*(IF($E1026="Win",1,0)-$I1026))</f>
        <v>0</v>
      </c>
      <c r="L1026" s="125">
        <f>IF($D1026="",0,'Guide &amp; Settings'!$C$44*IF($F1026&gt;=3,$F1026,0))</f>
        <v>0</v>
      </c>
      <c r="M1026" s="124">
        <f t="shared" si="303"/>
        <v>0</v>
      </c>
      <c r="N1026" s="122">
        <f t="shared" si="304"/>
        <v>0</v>
      </c>
      <c r="O1026" s="121" t="str">
        <f t="shared" si="305"/>
        <v/>
      </c>
      <c r="P1026">
        <f t="shared" si="306"/>
        <v>0</v>
      </c>
      <c r="Q1026">
        <f t="shared" si="307"/>
        <v>0</v>
      </c>
      <c r="R1026">
        <f t="shared" si="308"/>
        <v>0</v>
      </c>
      <c r="S1026">
        <f t="shared" si="309"/>
        <v>0</v>
      </c>
      <c r="T1026" s="89">
        <f t="shared" si="310"/>
        <v>0</v>
      </c>
      <c r="U1026" s="126">
        <f>IF($D1026="",0,IFERROR(LOOKUP(2,1/(($D$3:D1025=$D1026)*($C$3:C1025=$C1026)*($A$3:A1025&lt;$A1026)),$AB$3:AB1025),1000))</f>
        <v>0</v>
      </c>
      <c r="V1026" s="126">
        <f t="shared" si="311"/>
        <v>0</v>
      </c>
      <c r="W1026">
        <f t="shared" si="312"/>
        <v>0</v>
      </c>
      <c r="X1026">
        <f t="shared" si="313"/>
        <v>0</v>
      </c>
      <c r="Y1026">
        <f t="shared" si="314"/>
        <v>0</v>
      </c>
      <c r="Z1026">
        <f t="shared" si="315"/>
        <v>0</v>
      </c>
      <c r="AA1026">
        <f>IF($D1026="",0,IF($F1026&lt;2,0,IF($E1026="Win",('Guide &amp; Settings'!$C$42/(($F1026-1)*COUNTIFS($A$4:$A$1510,$A1026,$E$4:$E$1510,"Win")))*SUMIFS($Z$4:$Z$1510,$A$4:$A$1510,$A1026,$E$4:$E$1510,"Loss"),-('Guide &amp; Settings'!$C$42/($F1026-1))*$Z1026)))</f>
        <v>0</v>
      </c>
      <c r="AB1026" s="126">
        <f t="shared" si="316"/>
        <v>0</v>
      </c>
      <c r="AC1026" t="str">
        <f>IF($D1026="","",IF($AD1026=0,0,IF(COUNTIFS($D$4:$D1026,$D1026,$B$4:$B1026,$B1026)&gt;1,0,IF($B1026&lt;'Guide &amp; Settings'!$C$50,0,IF(($B1026-$AD1026)/7-'Guide &amp; Settings'!$C$48&gt;=0,(INT(($B1026-$AD1026)/7-'Guide &amp; Settings'!$C$48)+1)*'Guide &amp; Settings'!$C$49,0)))))</f>
        <v/>
      </c>
      <c r="AD1026" s="142">
        <f t="shared" si="317"/>
        <v>0</v>
      </c>
      <c r="AE1026">
        <f t="shared" si="318"/>
        <v>0</v>
      </c>
      <c r="AF1026">
        <f t="shared" si="319"/>
        <v>0</v>
      </c>
    </row>
    <row r="1027" spans="1:32" x14ac:dyDescent="0.2">
      <c r="A1027" s="117"/>
      <c r="B1027" s="118"/>
      <c r="C1027" s="119"/>
      <c r="D1027" s="119"/>
      <c r="E1027" s="117"/>
      <c r="F1027" s="120">
        <f t="shared" si="300"/>
        <v>0</v>
      </c>
      <c r="G1027" s="121" t="str">
        <f t="shared" si="301"/>
        <v/>
      </c>
      <c r="H1027" s="122">
        <f>IF($D1027="",0,IFERROR(LOOKUP(2,1/(($D$3:D1026=$D1027)*($A$3:A1026&lt;$A1027)),$N$3:N1026),'Guide &amp; Settings'!$C$41))</f>
        <v>0</v>
      </c>
      <c r="I1027" s="123">
        <f t="shared" si="302"/>
        <v>0</v>
      </c>
      <c r="J1027" s="124">
        <f>IF($D1027="",0,IF($F1027&lt;2,0,IF($E1027="Win",('Guide &amp; Settings'!$C$42/(($F1027-1)*COUNTIFS($A$4:$A$1510,$A1027,$E$4:$E$1510,"Win")))*SUMIFS($X$4:$X$1510,$A$4:$A$1510,$A1027,$E$4:$E$1510,"Loss"),-('Guide &amp; Settings'!$C$42/($F1027-1))*$X1027)))</f>
        <v>0</v>
      </c>
      <c r="K1027" s="124">
        <f>IF($D1027="",0,'Guide &amp; Settings'!$C$43*(IF($E1027="Win",1,0)-$I1027))</f>
        <v>0</v>
      </c>
      <c r="L1027" s="125">
        <f>IF($D1027="",0,'Guide &amp; Settings'!$C$44*IF($F1027&gt;=3,$F1027,0))</f>
        <v>0</v>
      </c>
      <c r="M1027" s="124">
        <f t="shared" si="303"/>
        <v>0</v>
      </c>
      <c r="N1027" s="122">
        <f t="shared" si="304"/>
        <v>0</v>
      </c>
      <c r="O1027" s="121" t="str">
        <f t="shared" si="305"/>
        <v/>
      </c>
      <c r="P1027">
        <f t="shared" si="306"/>
        <v>0</v>
      </c>
      <c r="Q1027">
        <f t="shared" si="307"/>
        <v>0</v>
      </c>
      <c r="R1027">
        <f t="shared" si="308"/>
        <v>0</v>
      </c>
      <c r="S1027">
        <f t="shared" si="309"/>
        <v>0</v>
      </c>
      <c r="T1027" s="89">
        <f t="shared" si="310"/>
        <v>0</v>
      </c>
      <c r="U1027" s="126">
        <f>IF($D1027="",0,IFERROR(LOOKUP(2,1/(($D$3:D1026=$D1027)*($C$3:C1026=$C1027)*($A$3:A1026&lt;$A1027)),$AB$3:AB1026),1000))</f>
        <v>0</v>
      </c>
      <c r="V1027" s="126">
        <f t="shared" si="311"/>
        <v>0</v>
      </c>
      <c r="W1027">
        <f t="shared" si="312"/>
        <v>0</v>
      </c>
      <c r="X1027">
        <f t="shared" si="313"/>
        <v>0</v>
      </c>
      <c r="Y1027">
        <f t="shared" si="314"/>
        <v>0</v>
      </c>
      <c r="Z1027">
        <f t="shared" si="315"/>
        <v>0</v>
      </c>
      <c r="AA1027">
        <f>IF($D1027="",0,IF($F1027&lt;2,0,IF($E1027="Win",('Guide &amp; Settings'!$C$42/(($F1027-1)*COUNTIFS($A$4:$A$1510,$A1027,$E$4:$E$1510,"Win")))*SUMIFS($Z$4:$Z$1510,$A$4:$A$1510,$A1027,$E$4:$E$1510,"Loss"),-('Guide &amp; Settings'!$C$42/($F1027-1))*$Z1027)))</f>
        <v>0</v>
      </c>
      <c r="AB1027" s="126">
        <f t="shared" si="316"/>
        <v>0</v>
      </c>
      <c r="AC1027" t="str">
        <f>IF($D1027="","",IF($AD1027=0,0,IF(COUNTIFS($D$4:$D1027,$D1027,$B$4:$B1027,$B1027)&gt;1,0,IF($B1027&lt;'Guide &amp; Settings'!$C$50,0,IF(($B1027-$AD1027)/7-'Guide &amp; Settings'!$C$48&gt;=0,(INT(($B1027-$AD1027)/7-'Guide &amp; Settings'!$C$48)+1)*'Guide &amp; Settings'!$C$49,0)))))</f>
        <v/>
      </c>
      <c r="AD1027" s="142">
        <f t="shared" si="317"/>
        <v>0</v>
      </c>
      <c r="AE1027">
        <f t="shared" si="318"/>
        <v>0</v>
      </c>
      <c r="AF1027">
        <f t="shared" si="319"/>
        <v>0</v>
      </c>
    </row>
    <row r="1028" spans="1:32" x14ac:dyDescent="0.2">
      <c r="A1028" s="117"/>
      <c r="B1028" s="118"/>
      <c r="C1028" s="119"/>
      <c r="D1028" s="119"/>
      <c r="E1028" s="117"/>
      <c r="F1028" s="120">
        <f t="shared" ref="F1028:F1091" si="320">IF($D1028="",0,COUNTIF($A$4:$A$1510,$A1028))</f>
        <v>0</v>
      </c>
      <c r="G1028" s="121" t="str">
        <f t="shared" ref="G1028:G1091" si="321">IF($D1028="","",IFERROR(LOOKUP(2,1/(($A$4:$A$1510=$A1028)*($E$4:$E$1510="Win")),$D$4:$D$1510),"(no winner)"))</f>
        <v/>
      </c>
      <c r="H1028" s="122">
        <f>IF($D1028="",0,IFERROR(LOOKUP(2,1/(($D$3:D1027=$D1028)*($A$3:A1027&lt;$A1028)),$N$3:N1027),'Guide &amp; Settings'!$C$41))</f>
        <v>0</v>
      </c>
      <c r="I1028" s="123">
        <f t="shared" ref="I1028:I1091" si="322">IF($D1028="",0,IF($S1028=0,0,$R1028/$S1028))</f>
        <v>0</v>
      </c>
      <c r="J1028" s="124">
        <f>IF($D1028="",0,IF($F1028&lt;2,0,IF($E1028="Win",('Guide &amp; Settings'!$C$42/(($F1028-1)*COUNTIFS($A$4:$A$1510,$A1028,$E$4:$E$1510,"Win")))*SUMIFS($X$4:$X$1510,$A$4:$A$1510,$A1028,$E$4:$E$1510,"Loss"),-('Guide &amp; Settings'!$C$42/($F1028-1))*$X1028)))</f>
        <v>0</v>
      </c>
      <c r="K1028" s="124">
        <f>IF($D1028="",0,'Guide &amp; Settings'!$C$43*(IF($E1028="Win",1,0)-$I1028))</f>
        <v>0</v>
      </c>
      <c r="L1028" s="125">
        <f>IF($D1028="",0,'Guide &amp; Settings'!$C$44*IF($F1028&gt;=3,$F1028,0))</f>
        <v>0</v>
      </c>
      <c r="M1028" s="124">
        <f t="shared" ref="M1028:M1091" si="323">IF($D1028="",0,$J1028+$K1028+$L1028)</f>
        <v>0</v>
      </c>
      <c r="N1028" s="122">
        <f t="shared" ref="N1028:N1091" si="324">IF($D1028="",0,$H1028+$M1028)</f>
        <v>0</v>
      </c>
      <c r="O1028" s="121" t="str">
        <f t="shared" ref="O1028:O1091" si="325">IF($D1028="","",IF($AE1028=0,"need a winner",IF($F1028-$AE1028=0,"need a loser",IF(MOD($AF1028,2)=1,"duplicate player",IF(MOD(INT($AF1028/2),2)=1,"mixed sports",IF($AF1028&gt;=4,"mixed dates",IF($AE1028&gt;1,IF($F1028&gt;=4,"OK (team)","check winners"),"OK")))))))</f>
        <v/>
      </c>
      <c r="P1028">
        <f t="shared" ref="P1028:P1091" si="326">IF($D1028="",0,IFERROR(SUMIFS($H$4:$H$1510,$A$4:$A$1510,$A1028,$E$4:$E$1510,"Win")/COUNTIFS($A$4:$A$1510,$A1028,$E$4:$E$1510,"Win"),0))</f>
        <v>0</v>
      </c>
      <c r="Q1028">
        <f t="shared" ref="Q1028:Q1091" si="327">IF($D1028="",0,1/(1+10^(($P1028-$H1028)/400)))</f>
        <v>0</v>
      </c>
      <c r="R1028">
        <f t="shared" ref="R1028:R1091" si="328">IF($D1028="",0,(COUNTIFS($D$4:$D$1510,$D1028,$C$4:$C$1510,$C1028,$E$4:$E$1510,"Win",$A$4:$A$1510,"&lt;"&amp;$A1028)+1)/(COUNTIFS($D$4:$D$1510,$D1028,$C$4:$C$1510,$C1028,$A$4:$A$1510,"&lt;"&amp;$A1028)+2))</f>
        <v>0</v>
      </c>
      <c r="S1028">
        <f t="shared" ref="S1028:S1091" si="329">IF($D1028="",0,SUMIFS($R$4:$R$1510,$A$4:$A$1510,$A1028))</f>
        <v>0</v>
      </c>
      <c r="T1028" s="89">
        <f t="shared" ref="T1028:T1091" si="330">IF($D1028="",0,COUNTIFS($D$4:$D$1510,$D1028,$C$4:$C$1510,$C1028,$A$4:$A$1510,"&lt;"&amp;$A1028))</f>
        <v>0</v>
      </c>
      <c r="U1028" s="126">
        <f>IF($D1028="",0,IFERROR(LOOKUP(2,1/(($D$3:D1027=$D1028)*($C$3:C1027=$C1028)*($A$3:A1027&lt;$A1028)),$AB$3:AB1027),1000))</f>
        <v>0</v>
      </c>
      <c r="V1028" s="126">
        <f t="shared" ref="V1028:V1091" si="331">IF($D1028="",0,$U1028*($T1028/($T1028+5))+$H1028*(1-$T1028/($T1028+5)))</f>
        <v>0</v>
      </c>
      <c r="W1028">
        <f t="shared" ref="W1028:W1091" si="332">IF($D1028="",0,IFERROR(SUMIFS($V$4:$V$1510,$A$4:$A$1510,$A1028,$E$4:$E$1510,"Win")/COUNTIFS($A$4:$A$1510,$A1028,$E$4:$E$1510,"Win"),0))</f>
        <v>0</v>
      </c>
      <c r="X1028">
        <f t="shared" ref="X1028:X1091" si="333">IF($D1028="",0,1/(1+10^(($W1028-$V1028)/400)))</f>
        <v>0</v>
      </c>
      <c r="Y1028">
        <f t="shared" ref="Y1028:Y1091" si="334">IF($D1028="",0,IFERROR(SUMIFS($U$4:$U$1510,$A$4:$A$1510,$A1028,$E$4:$E$1510,"Win")/COUNTIFS($A$4:$A$1510,$A1028,$E$4:$E$1510,"Win"),0))</f>
        <v>0</v>
      </c>
      <c r="Z1028">
        <f t="shared" ref="Z1028:Z1091" si="335">IF($D1028="",0,1/(1+10^(($Y1028-$U1028)/400)))</f>
        <v>0</v>
      </c>
      <c r="AA1028">
        <f>IF($D1028="",0,IF($F1028&lt;2,0,IF($E1028="Win",('Guide &amp; Settings'!$C$42/(($F1028-1)*COUNTIFS($A$4:$A$1510,$A1028,$E$4:$E$1510,"Win")))*SUMIFS($Z$4:$Z$1510,$A$4:$A$1510,$A1028,$E$4:$E$1510,"Loss"),-('Guide &amp; Settings'!$C$42/($F1028-1))*$Z1028)))</f>
        <v>0</v>
      </c>
      <c r="AB1028" s="126">
        <f t="shared" ref="AB1028:AB1091" si="336">IF($D1028="",0,$U1028+$AA1028)</f>
        <v>0</v>
      </c>
      <c r="AC1028" t="str">
        <f>IF($D1028="","",IF($AD1028=0,0,IF(COUNTIFS($D$4:$D1028,$D1028,$B$4:$B1028,$B1028)&gt;1,0,IF($B1028&lt;'Guide &amp; Settings'!$C$50,0,IF(($B1028-$AD1028)/7-'Guide &amp; Settings'!$C$48&gt;=0,(INT(($B1028-$AD1028)/7-'Guide &amp; Settings'!$C$48)+1)*'Guide &amp; Settings'!$C$49,0)))))</f>
        <v/>
      </c>
      <c r="AD1028" s="142">
        <f t="shared" ref="AD1028:AD1091" si="337">IF($D1028="",0,SUMPRODUCT(MAX(($D$4:$D$1510=$D1028)*($B$4:$B$1510&lt;$B1028)*$B$4:$B$1510)))</f>
        <v>0</v>
      </c>
      <c r="AE1028">
        <f t="shared" ref="AE1028:AE1091" si="338">IF($D1028="",0,COUNTIFS($A$4:$A$1510,$A1028,$E$4:$E$1510,"Win"))</f>
        <v>0</v>
      </c>
      <c r="AF1028">
        <f t="shared" ref="AF1028:AF1091" si="339">IF($D1028="",0,(COUNTIFS($A$4:$A$1510,$A1028,$D$4:$D$1510,$D1028)&gt;1)*1+(COUNTIFS($A$4:$A$1510,$A1028,$C$4:$C$1510,"&lt;&gt;"&amp;$C1028)&gt;0)*2+(COUNTIFS($A$4:$A$1510,$A1028,$B$4:$B$1510,"&lt;&gt;"&amp;$B1028)&gt;0)*4)</f>
        <v>0</v>
      </c>
    </row>
    <row r="1029" spans="1:32" x14ac:dyDescent="0.2">
      <c r="A1029" s="117"/>
      <c r="B1029" s="118"/>
      <c r="C1029" s="119"/>
      <c r="D1029" s="119"/>
      <c r="E1029" s="117"/>
      <c r="F1029" s="120">
        <f t="shared" si="320"/>
        <v>0</v>
      </c>
      <c r="G1029" s="121" t="str">
        <f t="shared" si="321"/>
        <v/>
      </c>
      <c r="H1029" s="122">
        <f>IF($D1029="",0,IFERROR(LOOKUP(2,1/(($D$3:D1028=$D1029)*($A$3:A1028&lt;$A1029)),$N$3:N1028),'Guide &amp; Settings'!$C$41))</f>
        <v>0</v>
      </c>
      <c r="I1029" s="123">
        <f t="shared" si="322"/>
        <v>0</v>
      </c>
      <c r="J1029" s="124">
        <f>IF($D1029="",0,IF($F1029&lt;2,0,IF($E1029="Win",('Guide &amp; Settings'!$C$42/(($F1029-1)*COUNTIFS($A$4:$A$1510,$A1029,$E$4:$E$1510,"Win")))*SUMIFS($X$4:$X$1510,$A$4:$A$1510,$A1029,$E$4:$E$1510,"Loss"),-('Guide &amp; Settings'!$C$42/($F1029-1))*$X1029)))</f>
        <v>0</v>
      </c>
      <c r="K1029" s="124">
        <f>IF($D1029="",0,'Guide &amp; Settings'!$C$43*(IF($E1029="Win",1,0)-$I1029))</f>
        <v>0</v>
      </c>
      <c r="L1029" s="125">
        <f>IF($D1029="",0,'Guide &amp; Settings'!$C$44*IF($F1029&gt;=3,$F1029,0))</f>
        <v>0</v>
      </c>
      <c r="M1029" s="124">
        <f t="shared" si="323"/>
        <v>0</v>
      </c>
      <c r="N1029" s="122">
        <f t="shared" si="324"/>
        <v>0</v>
      </c>
      <c r="O1029" s="121" t="str">
        <f t="shared" si="325"/>
        <v/>
      </c>
      <c r="P1029">
        <f t="shared" si="326"/>
        <v>0</v>
      </c>
      <c r="Q1029">
        <f t="shared" si="327"/>
        <v>0</v>
      </c>
      <c r="R1029">
        <f t="shared" si="328"/>
        <v>0</v>
      </c>
      <c r="S1029">
        <f t="shared" si="329"/>
        <v>0</v>
      </c>
      <c r="T1029" s="89">
        <f t="shared" si="330"/>
        <v>0</v>
      </c>
      <c r="U1029" s="126">
        <f>IF($D1029="",0,IFERROR(LOOKUP(2,1/(($D$3:D1028=$D1029)*($C$3:C1028=$C1029)*($A$3:A1028&lt;$A1029)),$AB$3:AB1028),1000))</f>
        <v>0</v>
      </c>
      <c r="V1029" s="126">
        <f t="shared" si="331"/>
        <v>0</v>
      </c>
      <c r="W1029">
        <f t="shared" si="332"/>
        <v>0</v>
      </c>
      <c r="X1029">
        <f t="shared" si="333"/>
        <v>0</v>
      </c>
      <c r="Y1029">
        <f t="shared" si="334"/>
        <v>0</v>
      </c>
      <c r="Z1029">
        <f t="shared" si="335"/>
        <v>0</v>
      </c>
      <c r="AA1029">
        <f>IF($D1029="",0,IF($F1029&lt;2,0,IF($E1029="Win",('Guide &amp; Settings'!$C$42/(($F1029-1)*COUNTIFS($A$4:$A$1510,$A1029,$E$4:$E$1510,"Win")))*SUMIFS($Z$4:$Z$1510,$A$4:$A$1510,$A1029,$E$4:$E$1510,"Loss"),-('Guide &amp; Settings'!$C$42/($F1029-1))*$Z1029)))</f>
        <v>0</v>
      </c>
      <c r="AB1029" s="126">
        <f t="shared" si="336"/>
        <v>0</v>
      </c>
      <c r="AC1029" t="str">
        <f>IF($D1029="","",IF($AD1029=0,0,IF(COUNTIFS($D$4:$D1029,$D1029,$B$4:$B1029,$B1029)&gt;1,0,IF($B1029&lt;'Guide &amp; Settings'!$C$50,0,IF(($B1029-$AD1029)/7-'Guide &amp; Settings'!$C$48&gt;=0,(INT(($B1029-$AD1029)/7-'Guide &amp; Settings'!$C$48)+1)*'Guide &amp; Settings'!$C$49,0)))))</f>
        <v/>
      </c>
      <c r="AD1029" s="142">
        <f t="shared" si="337"/>
        <v>0</v>
      </c>
      <c r="AE1029">
        <f t="shared" si="338"/>
        <v>0</v>
      </c>
      <c r="AF1029">
        <f t="shared" si="339"/>
        <v>0</v>
      </c>
    </row>
    <row r="1030" spans="1:32" x14ac:dyDescent="0.2">
      <c r="A1030" s="117"/>
      <c r="B1030" s="118"/>
      <c r="C1030" s="119"/>
      <c r="D1030" s="119"/>
      <c r="E1030" s="117"/>
      <c r="F1030" s="120">
        <f t="shared" si="320"/>
        <v>0</v>
      </c>
      <c r="G1030" s="121" t="str">
        <f t="shared" si="321"/>
        <v/>
      </c>
      <c r="H1030" s="122">
        <f>IF($D1030="",0,IFERROR(LOOKUP(2,1/(($D$3:D1029=$D1030)*($A$3:A1029&lt;$A1030)),$N$3:N1029),'Guide &amp; Settings'!$C$41))</f>
        <v>0</v>
      </c>
      <c r="I1030" s="123">
        <f t="shared" si="322"/>
        <v>0</v>
      </c>
      <c r="J1030" s="124">
        <f>IF($D1030="",0,IF($F1030&lt;2,0,IF($E1030="Win",('Guide &amp; Settings'!$C$42/(($F1030-1)*COUNTIFS($A$4:$A$1510,$A1030,$E$4:$E$1510,"Win")))*SUMIFS($X$4:$X$1510,$A$4:$A$1510,$A1030,$E$4:$E$1510,"Loss"),-('Guide &amp; Settings'!$C$42/($F1030-1))*$X1030)))</f>
        <v>0</v>
      </c>
      <c r="K1030" s="124">
        <f>IF($D1030="",0,'Guide &amp; Settings'!$C$43*(IF($E1030="Win",1,0)-$I1030))</f>
        <v>0</v>
      </c>
      <c r="L1030" s="125">
        <f>IF($D1030="",0,'Guide &amp; Settings'!$C$44*IF($F1030&gt;=3,$F1030,0))</f>
        <v>0</v>
      </c>
      <c r="M1030" s="124">
        <f t="shared" si="323"/>
        <v>0</v>
      </c>
      <c r="N1030" s="122">
        <f t="shared" si="324"/>
        <v>0</v>
      </c>
      <c r="O1030" s="121" t="str">
        <f t="shared" si="325"/>
        <v/>
      </c>
      <c r="P1030">
        <f t="shared" si="326"/>
        <v>0</v>
      </c>
      <c r="Q1030">
        <f t="shared" si="327"/>
        <v>0</v>
      </c>
      <c r="R1030">
        <f t="shared" si="328"/>
        <v>0</v>
      </c>
      <c r="S1030">
        <f t="shared" si="329"/>
        <v>0</v>
      </c>
      <c r="T1030" s="89">
        <f t="shared" si="330"/>
        <v>0</v>
      </c>
      <c r="U1030" s="126">
        <f>IF($D1030="",0,IFERROR(LOOKUP(2,1/(($D$3:D1029=$D1030)*($C$3:C1029=$C1030)*($A$3:A1029&lt;$A1030)),$AB$3:AB1029),1000))</f>
        <v>0</v>
      </c>
      <c r="V1030" s="126">
        <f t="shared" si="331"/>
        <v>0</v>
      </c>
      <c r="W1030">
        <f t="shared" si="332"/>
        <v>0</v>
      </c>
      <c r="X1030">
        <f t="shared" si="333"/>
        <v>0</v>
      </c>
      <c r="Y1030">
        <f t="shared" si="334"/>
        <v>0</v>
      </c>
      <c r="Z1030">
        <f t="shared" si="335"/>
        <v>0</v>
      </c>
      <c r="AA1030">
        <f>IF($D1030="",0,IF($F1030&lt;2,0,IF($E1030="Win",('Guide &amp; Settings'!$C$42/(($F1030-1)*COUNTIFS($A$4:$A$1510,$A1030,$E$4:$E$1510,"Win")))*SUMIFS($Z$4:$Z$1510,$A$4:$A$1510,$A1030,$E$4:$E$1510,"Loss"),-('Guide &amp; Settings'!$C$42/($F1030-1))*$Z1030)))</f>
        <v>0</v>
      </c>
      <c r="AB1030" s="126">
        <f t="shared" si="336"/>
        <v>0</v>
      </c>
      <c r="AC1030" t="str">
        <f>IF($D1030="","",IF($AD1030=0,0,IF(COUNTIFS($D$4:$D1030,$D1030,$B$4:$B1030,$B1030)&gt;1,0,IF($B1030&lt;'Guide &amp; Settings'!$C$50,0,IF(($B1030-$AD1030)/7-'Guide &amp; Settings'!$C$48&gt;=0,(INT(($B1030-$AD1030)/7-'Guide &amp; Settings'!$C$48)+1)*'Guide &amp; Settings'!$C$49,0)))))</f>
        <v/>
      </c>
      <c r="AD1030" s="142">
        <f t="shared" si="337"/>
        <v>0</v>
      </c>
      <c r="AE1030">
        <f t="shared" si="338"/>
        <v>0</v>
      </c>
      <c r="AF1030">
        <f t="shared" si="339"/>
        <v>0</v>
      </c>
    </row>
    <row r="1031" spans="1:32" x14ac:dyDescent="0.2">
      <c r="A1031" s="117"/>
      <c r="B1031" s="118"/>
      <c r="C1031" s="119"/>
      <c r="D1031" s="119"/>
      <c r="E1031" s="117"/>
      <c r="F1031" s="120">
        <f t="shared" si="320"/>
        <v>0</v>
      </c>
      <c r="G1031" s="121" t="str">
        <f t="shared" si="321"/>
        <v/>
      </c>
      <c r="H1031" s="122">
        <f>IF($D1031="",0,IFERROR(LOOKUP(2,1/(($D$3:D1030=$D1031)*($A$3:A1030&lt;$A1031)),$N$3:N1030),'Guide &amp; Settings'!$C$41))</f>
        <v>0</v>
      </c>
      <c r="I1031" s="123">
        <f t="shared" si="322"/>
        <v>0</v>
      </c>
      <c r="J1031" s="124">
        <f>IF($D1031="",0,IF($F1031&lt;2,0,IF($E1031="Win",('Guide &amp; Settings'!$C$42/(($F1031-1)*COUNTIFS($A$4:$A$1510,$A1031,$E$4:$E$1510,"Win")))*SUMIFS($X$4:$X$1510,$A$4:$A$1510,$A1031,$E$4:$E$1510,"Loss"),-('Guide &amp; Settings'!$C$42/($F1031-1))*$X1031)))</f>
        <v>0</v>
      </c>
      <c r="K1031" s="124">
        <f>IF($D1031="",0,'Guide &amp; Settings'!$C$43*(IF($E1031="Win",1,0)-$I1031))</f>
        <v>0</v>
      </c>
      <c r="L1031" s="125">
        <f>IF($D1031="",0,'Guide &amp; Settings'!$C$44*IF($F1031&gt;=3,$F1031,0))</f>
        <v>0</v>
      </c>
      <c r="M1031" s="124">
        <f t="shared" si="323"/>
        <v>0</v>
      </c>
      <c r="N1031" s="122">
        <f t="shared" si="324"/>
        <v>0</v>
      </c>
      <c r="O1031" s="121" t="str">
        <f t="shared" si="325"/>
        <v/>
      </c>
      <c r="P1031">
        <f t="shared" si="326"/>
        <v>0</v>
      </c>
      <c r="Q1031">
        <f t="shared" si="327"/>
        <v>0</v>
      </c>
      <c r="R1031">
        <f t="shared" si="328"/>
        <v>0</v>
      </c>
      <c r="S1031">
        <f t="shared" si="329"/>
        <v>0</v>
      </c>
      <c r="T1031" s="89">
        <f t="shared" si="330"/>
        <v>0</v>
      </c>
      <c r="U1031" s="126">
        <f>IF($D1031="",0,IFERROR(LOOKUP(2,1/(($D$3:D1030=$D1031)*($C$3:C1030=$C1031)*($A$3:A1030&lt;$A1031)),$AB$3:AB1030),1000))</f>
        <v>0</v>
      </c>
      <c r="V1031" s="126">
        <f t="shared" si="331"/>
        <v>0</v>
      </c>
      <c r="W1031">
        <f t="shared" si="332"/>
        <v>0</v>
      </c>
      <c r="X1031">
        <f t="shared" si="333"/>
        <v>0</v>
      </c>
      <c r="Y1031">
        <f t="shared" si="334"/>
        <v>0</v>
      </c>
      <c r="Z1031">
        <f t="shared" si="335"/>
        <v>0</v>
      </c>
      <c r="AA1031">
        <f>IF($D1031="",0,IF($F1031&lt;2,0,IF($E1031="Win",('Guide &amp; Settings'!$C$42/(($F1031-1)*COUNTIFS($A$4:$A$1510,$A1031,$E$4:$E$1510,"Win")))*SUMIFS($Z$4:$Z$1510,$A$4:$A$1510,$A1031,$E$4:$E$1510,"Loss"),-('Guide &amp; Settings'!$C$42/($F1031-1))*$Z1031)))</f>
        <v>0</v>
      </c>
      <c r="AB1031" s="126">
        <f t="shared" si="336"/>
        <v>0</v>
      </c>
      <c r="AC1031" t="str">
        <f>IF($D1031="","",IF($AD1031=0,0,IF(COUNTIFS($D$4:$D1031,$D1031,$B$4:$B1031,$B1031)&gt;1,0,IF($B1031&lt;'Guide &amp; Settings'!$C$50,0,IF(($B1031-$AD1031)/7-'Guide &amp; Settings'!$C$48&gt;=0,(INT(($B1031-$AD1031)/7-'Guide &amp; Settings'!$C$48)+1)*'Guide &amp; Settings'!$C$49,0)))))</f>
        <v/>
      </c>
      <c r="AD1031" s="142">
        <f t="shared" si="337"/>
        <v>0</v>
      </c>
      <c r="AE1031">
        <f t="shared" si="338"/>
        <v>0</v>
      </c>
      <c r="AF1031">
        <f t="shared" si="339"/>
        <v>0</v>
      </c>
    </row>
    <row r="1032" spans="1:32" x14ac:dyDescent="0.2">
      <c r="A1032" s="117"/>
      <c r="B1032" s="118"/>
      <c r="C1032" s="119"/>
      <c r="D1032" s="119"/>
      <c r="E1032" s="117"/>
      <c r="F1032" s="120">
        <f t="shared" si="320"/>
        <v>0</v>
      </c>
      <c r="G1032" s="121" t="str">
        <f t="shared" si="321"/>
        <v/>
      </c>
      <c r="H1032" s="122">
        <f>IF($D1032="",0,IFERROR(LOOKUP(2,1/(($D$3:D1031=$D1032)*($A$3:A1031&lt;$A1032)),$N$3:N1031),'Guide &amp; Settings'!$C$41))</f>
        <v>0</v>
      </c>
      <c r="I1032" s="123">
        <f t="shared" si="322"/>
        <v>0</v>
      </c>
      <c r="J1032" s="124">
        <f>IF($D1032="",0,IF($F1032&lt;2,0,IF($E1032="Win",('Guide &amp; Settings'!$C$42/(($F1032-1)*COUNTIFS($A$4:$A$1510,$A1032,$E$4:$E$1510,"Win")))*SUMIFS($X$4:$X$1510,$A$4:$A$1510,$A1032,$E$4:$E$1510,"Loss"),-('Guide &amp; Settings'!$C$42/($F1032-1))*$X1032)))</f>
        <v>0</v>
      </c>
      <c r="K1032" s="124">
        <f>IF($D1032="",0,'Guide &amp; Settings'!$C$43*(IF($E1032="Win",1,0)-$I1032))</f>
        <v>0</v>
      </c>
      <c r="L1032" s="125">
        <f>IF($D1032="",0,'Guide &amp; Settings'!$C$44*IF($F1032&gt;=3,$F1032,0))</f>
        <v>0</v>
      </c>
      <c r="M1032" s="124">
        <f t="shared" si="323"/>
        <v>0</v>
      </c>
      <c r="N1032" s="122">
        <f t="shared" si="324"/>
        <v>0</v>
      </c>
      <c r="O1032" s="121" t="str">
        <f t="shared" si="325"/>
        <v/>
      </c>
      <c r="P1032">
        <f t="shared" si="326"/>
        <v>0</v>
      </c>
      <c r="Q1032">
        <f t="shared" si="327"/>
        <v>0</v>
      </c>
      <c r="R1032">
        <f t="shared" si="328"/>
        <v>0</v>
      </c>
      <c r="S1032">
        <f t="shared" si="329"/>
        <v>0</v>
      </c>
      <c r="T1032" s="89">
        <f t="shared" si="330"/>
        <v>0</v>
      </c>
      <c r="U1032" s="126">
        <f>IF($D1032="",0,IFERROR(LOOKUP(2,1/(($D$3:D1031=$D1032)*($C$3:C1031=$C1032)*($A$3:A1031&lt;$A1032)),$AB$3:AB1031),1000))</f>
        <v>0</v>
      </c>
      <c r="V1032" s="126">
        <f t="shared" si="331"/>
        <v>0</v>
      </c>
      <c r="W1032">
        <f t="shared" si="332"/>
        <v>0</v>
      </c>
      <c r="X1032">
        <f t="shared" si="333"/>
        <v>0</v>
      </c>
      <c r="Y1032">
        <f t="shared" si="334"/>
        <v>0</v>
      </c>
      <c r="Z1032">
        <f t="shared" si="335"/>
        <v>0</v>
      </c>
      <c r="AA1032">
        <f>IF($D1032="",0,IF($F1032&lt;2,0,IF($E1032="Win",('Guide &amp; Settings'!$C$42/(($F1032-1)*COUNTIFS($A$4:$A$1510,$A1032,$E$4:$E$1510,"Win")))*SUMIFS($Z$4:$Z$1510,$A$4:$A$1510,$A1032,$E$4:$E$1510,"Loss"),-('Guide &amp; Settings'!$C$42/($F1032-1))*$Z1032)))</f>
        <v>0</v>
      </c>
      <c r="AB1032" s="126">
        <f t="shared" si="336"/>
        <v>0</v>
      </c>
      <c r="AC1032" t="str">
        <f>IF($D1032="","",IF($AD1032=0,0,IF(COUNTIFS($D$4:$D1032,$D1032,$B$4:$B1032,$B1032)&gt;1,0,IF($B1032&lt;'Guide &amp; Settings'!$C$50,0,IF(($B1032-$AD1032)/7-'Guide &amp; Settings'!$C$48&gt;=0,(INT(($B1032-$AD1032)/7-'Guide &amp; Settings'!$C$48)+1)*'Guide &amp; Settings'!$C$49,0)))))</f>
        <v/>
      </c>
      <c r="AD1032" s="142">
        <f t="shared" si="337"/>
        <v>0</v>
      </c>
      <c r="AE1032">
        <f t="shared" si="338"/>
        <v>0</v>
      </c>
      <c r="AF1032">
        <f t="shared" si="339"/>
        <v>0</v>
      </c>
    </row>
    <row r="1033" spans="1:32" x14ac:dyDescent="0.2">
      <c r="A1033" s="117"/>
      <c r="B1033" s="118"/>
      <c r="C1033" s="119"/>
      <c r="D1033" s="119"/>
      <c r="E1033" s="117"/>
      <c r="F1033" s="120">
        <f t="shared" si="320"/>
        <v>0</v>
      </c>
      <c r="G1033" s="121" t="str">
        <f t="shared" si="321"/>
        <v/>
      </c>
      <c r="H1033" s="122">
        <f>IF($D1033="",0,IFERROR(LOOKUP(2,1/(($D$3:D1032=$D1033)*($A$3:A1032&lt;$A1033)),$N$3:N1032),'Guide &amp; Settings'!$C$41))</f>
        <v>0</v>
      </c>
      <c r="I1033" s="123">
        <f t="shared" si="322"/>
        <v>0</v>
      </c>
      <c r="J1033" s="124">
        <f>IF($D1033="",0,IF($F1033&lt;2,0,IF($E1033="Win",('Guide &amp; Settings'!$C$42/(($F1033-1)*COUNTIFS($A$4:$A$1510,$A1033,$E$4:$E$1510,"Win")))*SUMIFS($X$4:$X$1510,$A$4:$A$1510,$A1033,$E$4:$E$1510,"Loss"),-('Guide &amp; Settings'!$C$42/($F1033-1))*$X1033)))</f>
        <v>0</v>
      </c>
      <c r="K1033" s="124">
        <f>IF($D1033="",0,'Guide &amp; Settings'!$C$43*(IF($E1033="Win",1,0)-$I1033))</f>
        <v>0</v>
      </c>
      <c r="L1033" s="125">
        <f>IF($D1033="",0,'Guide &amp; Settings'!$C$44*IF($F1033&gt;=3,$F1033,0))</f>
        <v>0</v>
      </c>
      <c r="M1033" s="124">
        <f t="shared" si="323"/>
        <v>0</v>
      </c>
      <c r="N1033" s="122">
        <f t="shared" si="324"/>
        <v>0</v>
      </c>
      <c r="O1033" s="121" t="str">
        <f t="shared" si="325"/>
        <v/>
      </c>
      <c r="P1033">
        <f t="shared" si="326"/>
        <v>0</v>
      </c>
      <c r="Q1033">
        <f t="shared" si="327"/>
        <v>0</v>
      </c>
      <c r="R1033">
        <f t="shared" si="328"/>
        <v>0</v>
      </c>
      <c r="S1033">
        <f t="shared" si="329"/>
        <v>0</v>
      </c>
      <c r="T1033" s="89">
        <f t="shared" si="330"/>
        <v>0</v>
      </c>
      <c r="U1033" s="126">
        <f>IF($D1033="",0,IFERROR(LOOKUP(2,1/(($D$3:D1032=$D1033)*($C$3:C1032=$C1033)*($A$3:A1032&lt;$A1033)),$AB$3:AB1032),1000))</f>
        <v>0</v>
      </c>
      <c r="V1033" s="126">
        <f t="shared" si="331"/>
        <v>0</v>
      </c>
      <c r="W1033">
        <f t="shared" si="332"/>
        <v>0</v>
      </c>
      <c r="X1033">
        <f t="shared" si="333"/>
        <v>0</v>
      </c>
      <c r="Y1033">
        <f t="shared" si="334"/>
        <v>0</v>
      </c>
      <c r="Z1033">
        <f t="shared" si="335"/>
        <v>0</v>
      </c>
      <c r="AA1033">
        <f>IF($D1033="",0,IF($F1033&lt;2,0,IF($E1033="Win",('Guide &amp; Settings'!$C$42/(($F1033-1)*COUNTIFS($A$4:$A$1510,$A1033,$E$4:$E$1510,"Win")))*SUMIFS($Z$4:$Z$1510,$A$4:$A$1510,$A1033,$E$4:$E$1510,"Loss"),-('Guide &amp; Settings'!$C$42/($F1033-1))*$Z1033)))</f>
        <v>0</v>
      </c>
      <c r="AB1033" s="126">
        <f t="shared" si="336"/>
        <v>0</v>
      </c>
      <c r="AC1033" t="str">
        <f>IF($D1033="","",IF($AD1033=0,0,IF(COUNTIFS($D$4:$D1033,$D1033,$B$4:$B1033,$B1033)&gt;1,0,IF($B1033&lt;'Guide &amp; Settings'!$C$50,0,IF(($B1033-$AD1033)/7-'Guide &amp; Settings'!$C$48&gt;=0,(INT(($B1033-$AD1033)/7-'Guide &amp; Settings'!$C$48)+1)*'Guide &amp; Settings'!$C$49,0)))))</f>
        <v/>
      </c>
      <c r="AD1033" s="142">
        <f t="shared" si="337"/>
        <v>0</v>
      </c>
      <c r="AE1033">
        <f t="shared" si="338"/>
        <v>0</v>
      </c>
      <c r="AF1033">
        <f t="shared" si="339"/>
        <v>0</v>
      </c>
    </row>
    <row r="1034" spans="1:32" x14ac:dyDescent="0.2">
      <c r="A1034" s="117"/>
      <c r="B1034" s="118"/>
      <c r="C1034" s="119"/>
      <c r="D1034" s="119"/>
      <c r="E1034" s="117"/>
      <c r="F1034" s="120">
        <f t="shared" si="320"/>
        <v>0</v>
      </c>
      <c r="G1034" s="121" t="str">
        <f t="shared" si="321"/>
        <v/>
      </c>
      <c r="H1034" s="122">
        <f>IF($D1034="",0,IFERROR(LOOKUP(2,1/(($D$3:D1033=$D1034)*($A$3:A1033&lt;$A1034)),$N$3:N1033),'Guide &amp; Settings'!$C$41))</f>
        <v>0</v>
      </c>
      <c r="I1034" s="123">
        <f t="shared" si="322"/>
        <v>0</v>
      </c>
      <c r="J1034" s="124">
        <f>IF($D1034="",0,IF($F1034&lt;2,0,IF($E1034="Win",('Guide &amp; Settings'!$C$42/(($F1034-1)*COUNTIFS($A$4:$A$1510,$A1034,$E$4:$E$1510,"Win")))*SUMIFS($X$4:$X$1510,$A$4:$A$1510,$A1034,$E$4:$E$1510,"Loss"),-('Guide &amp; Settings'!$C$42/($F1034-1))*$X1034)))</f>
        <v>0</v>
      </c>
      <c r="K1034" s="124">
        <f>IF($D1034="",0,'Guide &amp; Settings'!$C$43*(IF($E1034="Win",1,0)-$I1034))</f>
        <v>0</v>
      </c>
      <c r="L1034" s="125">
        <f>IF($D1034="",0,'Guide &amp; Settings'!$C$44*IF($F1034&gt;=3,$F1034,0))</f>
        <v>0</v>
      </c>
      <c r="M1034" s="124">
        <f t="shared" si="323"/>
        <v>0</v>
      </c>
      <c r="N1034" s="122">
        <f t="shared" si="324"/>
        <v>0</v>
      </c>
      <c r="O1034" s="121" t="str">
        <f t="shared" si="325"/>
        <v/>
      </c>
      <c r="P1034">
        <f t="shared" si="326"/>
        <v>0</v>
      </c>
      <c r="Q1034">
        <f t="shared" si="327"/>
        <v>0</v>
      </c>
      <c r="R1034">
        <f t="shared" si="328"/>
        <v>0</v>
      </c>
      <c r="S1034">
        <f t="shared" si="329"/>
        <v>0</v>
      </c>
      <c r="T1034" s="89">
        <f t="shared" si="330"/>
        <v>0</v>
      </c>
      <c r="U1034" s="126">
        <f>IF($D1034="",0,IFERROR(LOOKUP(2,1/(($D$3:D1033=$D1034)*($C$3:C1033=$C1034)*($A$3:A1033&lt;$A1034)),$AB$3:AB1033),1000))</f>
        <v>0</v>
      </c>
      <c r="V1034" s="126">
        <f t="shared" si="331"/>
        <v>0</v>
      </c>
      <c r="W1034">
        <f t="shared" si="332"/>
        <v>0</v>
      </c>
      <c r="X1034">
        <f t="shared" si="333"/>
        <v>0</v>
      </c>
      <c r="Y1034">
        <f t="shared" si="334"/>
        <v>0</v>
      </c>
      <c r="Z1034">
        <f t="shared" si="335"/>
        <v>0</v>
      </c>
      <c r="AA1034">
        <f>IF($D1034="",0,IF($F1034&lt;2,0,IF($E1034="Win",('Guide &amp; Settings'!$C$42/(($F1034-1)*COUNTIFS($A$4:$A$1510,$A1034,$E$4:$E$1510,"Win")))*SUMIFS($Z$4:$Z$1510,$A$4:$A$1510,$A1034,$E$4:$E$1510,"Loss"),-('Guide &amp; Settings'!$C$42/($F1034-1))*$Z1034)))</f>
        <v>0</v>
      </c>
      <c r="AB1034" s="126">
        <f t="shared" si="336"/>
        <v>0</v>
      </c>
      <c r="AC1034" t="str">
        <f>IF($D1034="","",IF($AD1034=0,0,IF(COUNTIFS($D$4:$D1034,$D1034,$B$4:$B1034,$B1034)&gt;1,0,IF($B1034&lt;'Guide &amp; Settings'!$C$50,0,IF(($B1034-$AD1034)/7-'Guide &amp; Settings'!$C$48&gt;=0,(INT(($B1034-$AD1034)/7-'Guide &amp; Settings'!$C$48)+1)*'Guide &amp; Settings'!$C$49,0)))))</f>
        <v/>
      </c>
      <c r="AD1034" s="142">
        <f t="shared" si="337"/>
        <v>0</v>
      </c>
      <c r="AE1034">
        <f t="shared" si="338"/>
        <v>0</v>
      </c>
      <c r="AF1034">
        <f t="shared" si="339"/>
        <v>0</v>
      </c>
    </row>
    <row r="1035" spans="1:32" x14ac:dyDescent="0.2">
      <c r="A1035" s="117"/>
      <c r="B1035" s="118"/>
      <c r="C1035" s="119"/>
      <c r="D1035" s="119"/>
      <c r="E1035" s="117"/>
      <c r="F1035" s="120">
        <f t="shared" si="320"/>
        <v>0</v>
      </c>
      <c r="G1035" s="121" t="str">
        <f t="shared" si="321"/>
        <v/>
      </c>
      <c r="H1035" s="122">
        <f>IF($D1035="",0,IFERROR(LOOKUP(2,1/(($D$3:D1034=$D1035)*($A$3:A1034&lt;$A1035)),$N$3:N1034),'Guide &amp; Settings'!$C$41))</f>
        <v>0</v>
      </c>
      <c r="I1035" s="123">
        <f t="shared" si="322"/>
        <v>0</v>
      </c>
      <c r="J1035" s="124">
        <f>IF($D1035="",0,IF($F1035&lt;2,0,IF($E1035="Win",('Guide &amp; Settings'!$C$42/(($F1035-1)*COUNTIFS($A$4:$A$1510,$A1035,$E$4:$E$1510,"Win")))*SUMIFS($X$4:$X$1510,$A$4:$A$1510,$A1035,$E$4:$E$1510,"Loss"),-('Guide &amp; Settings'!$C$42/($F1035-1))*$X1035)))</f>
        <v>0</v>
      </c>
      <c r="K1035" s="124">
        <f>IF($D1035="",0,'Guide &amp; Settings'!$C$43*(IF($E1035="Win",1,0)-$I1035))</f>
        <v>0</v>
      </c>
      <c r="L1035" s="125">
        <f>IF($D1035="",0,'Guide &amp; Settings'!$C$44*IF($F1035&gt;=3,$F1035,0))</f>
        <v>0</v>
      </c>
      <c r="M1035" s="124">
        <f t="shared" si="323"/>
        <v>0</v>
      </c>
      <c r="N1035" s="122">
        <f t="shared" si="324"/>
        <v>0</v>
      </c>
      <c r="O1035" s="121" t="str">
        <f t="shared" si="325"/>
        <v/>
      </c>
      <c r="P1035">
        <f t="shared" si="326"/>
        <v>0</v>
      </c>
      <c r="Q1035">
        <f t="shared" si="327"/>
        <v>0</v>
      </c>
      <c r="R1035">
        <f t="shared" si="328"/>
        <v>0</v>
      </c>
      <c r="S1035">
        <f t="shared" si="329"/>
        <v>0</v>
      </c>
      <c r="T1035" s="89">
        <f t="shared" si="330"/>
        <v>0</v>
      </c>
      <c r="U1035" s="126">
        <f>IF($D1035="",0,IFERROR(LOOKUP(2,1/(($D$3:D1034=$D1035)*($C$3:C1034=$C1035)*($A$3:A1034&lt;$A1035)),$AB$3:AB1034),1000))</f>
        <v>0</v>
      </c>
      <c r="V1035" s="126">
        <f t="shared" si="331"/>
        <v>0</v>
      </c>
      <c r="W1035">
        <f t="shared" si="332"/>
        <v>0</v>
      </c>
      <c r="X1035">
        <f t="shared" si="333"/>
        <v>0</v>
      </c>
      <c r="Y1035">
        <f t="shared" si="334"/>
        <v>0</v>
      </c>
      <c r="Z1035">
        <f t="shared" si="335"/>
        <v>0</v>
      </c>
      <c r="AA1035">
        <f>IF($D1035="",0,IF($F1035&lt;2,0,IF($E1035="Win",('Guide &amp; Settings'!$C$42/(($F1035-1)*COUNTIFS($A$4:$A$1510,$A1035,$E$4:$E$1510,"Win")))*SUMIFS($Z$4:$Z$1510,$A$4:$A$1510,$A1035,$E$4:$E$1510,"Loss"),-('Guide &amp; Settings'!$C$42/($F1035-1))*$Z1035)))</f>
        <v>0</v>
      </c>
      <c r="AB1035" s="126">
        <f t="shared" si="336"/>
        <v>0</v>
      </c>
      <c r="AC1035" t="str">
        <f>IF($D1035="","",IF($AD1035=0,0,IF(COUNTIFS($D$4:$D1035,$D1035,$B$4:$B1035,$B1035)&gt;1,0,IF($B1035&lt;'Guide &amp; Settings'!$C$50,0,IF(($B1035-$AD1035)/7-'Guide &amp; Settings'!$C$48&gt;=0,(INT(($B1035-$AD1035)/7-'Guide &amp; Settings'!$C$48)+1)*'Guide &amp; Settings'!$C$49,0)))))</f>
        <v/>
      </c>
      <c r="AD1035" s="142">
        <f t="shared" si="337"/>
        <v>0</v>
      </c>
      <c r="AE1035">
        <f t="shared" si="338"/>
        <v>0</v>
      </c>
      <c r="AF1035">
        <f t="shared" si="339"/>
        <v>0</v>
      </c>
    </row>
    <row r="1036" spans="1:32" x14ac:dyDescent="0.2">
      <c r="A1036" s="117"/>
      <c r="B1036" s="118"/>
      <c r="C1036" s="119"/>
      <c r="D1036" s="119"/>
      <c r="E1036" s="117"/>
      <c r="F1036" s="120">
        <f t="shared" si="320"/>
        <v>0</v>
      </c>
      <c r="G1036" s="121" t="str">
        <f t="shared" si="321"/>
        <v/>
      </c>
      <c r="H1036" s="122">
        <f>IF($D1036="",0,IFERROR(LOOKUP(2,1/(($D$3:D1035=$D1036)*($A$3:A1035&lt;$A1036)),$N$3:N1035),'Guide &amp; Settings'!$C$41))</f>
        <v>0</v>
      </c>
      <c r="I1036" s="123">
        <f t="shared" si="322"/>
        <v>0</v>
      </c>
      <c r="J1036" s="124">
        <f>IF($D1036="",0,IF($F1036&lt;2,0,IF($E1036="Win",('Guide &amp; Settings'!$C$42/(($F1036-1)*COUNTIFS($A$4:$A$1510,$A1036,$E$4:$E$1510,"Win")))*SUMIFS($X$4:$X$1510,$A$4:$A$1510,$A1036,$E$4:$E$1510,"Loss"),-('Guide &amp; Settings'!$C$42/($F1036-1))*$X1036)))</f>
        <v>0</v>
      </c>
      <c r="K1036" s="124">
        <f>IF($D1036="",0,'Guide &amp; Settings'!$C$43*(IF($E1036="Win",1,0)-$I1036))</f>
        <v>0</v>
      </c>
      <c r="L1036" s="125">
        <f>IF($D1036="",0,'Guide &amp; Settings'!$C$44*IF($F1036&gt;=3,$F1036,0))</f>
        <v>0</v>
      </c>
      <c r="M1036" s="124">
        <f t="shared" si="323"/>
        <v>0</v>
      </c>
      <c r="N1036" s="122">
        <f t="shared" si="324"/>
        <v>0</v>
      </c>
      <c r="O1036" s="121" t="str">
        <f t="shared" si="325"/>
        <v/>
      </c>
      <c r="P1036">
        <f t="shared" si="326"/>
        <v>0</v>
      </c>
      <c r="Q1036">
        <f t="shared" si="327"/>
        <v>0</v>
      </c>
      <c r="R1036">
        <f t="shared" si="328"/>
        <v>0</v>
      </c>
      <c r="S1036">
        <f t="shared" si="329"/>
        <v>0</v>
      </c>
      <c r="T1036" s="89">
        <f t="shared" si="330"/>
        <v>0</v>
      </c>
      <c r="U1036" s="126">
        <f>IF($D1036="",0,IFERROR(LOOKUP(2,1/(($D$3:D1035=$D1036)*($C$3:C1035=$C1036)*($A$3:A1035&lt;$A1036)),$AB$3:AB1035),1000))</f>
        <v>0</v>
      </c>
      <c r="V1036" s="126">
        <f t="shared" si="331"/>
        <v>0</v>
      </c>
      <c r="W1036">
        <f t="shared" si="332"/>
        <v>0</v>
      </c>
      <c r="X1036">
        <f t="shared" si="333"/>
        <v>0</v>
      </c>
      <c r="Y1036">
        <f t="shared" si="334"/>
        <v>0</v>
      </c>
      <c r="Z1036">
        <f t="shared" si="335"/>
        <v>0</v>
      </c>
      <c r="AA1036">
        <f>IF($D1036="",0,IF($F1036&lt;2,0,IF($E1036="Win",('Guide &amp; Settings'!$C$42/(($F1036-1)*COUNTIFS($A$4:$A$1510,$A1036,$E$4:$E$1510,"Win")))*SUMIFS($Z$4:$Z$1510,$A$4:$A$1510,$A1036,$E$4:$E$1510,"Loss"),-('Guide &amp; Settings'!$C$42/($F1036-1))*$Z1036)))</f>
        <v>0</v>
      </c>
      <c r="AB1036" s="126">
        <f t="shared" si="336"/>
        <v>0</v>
      </c>
      <c r="AC1036" t="str">
        <f>IF($D1036="","",IF($AD1036=0,0,IF(COUNTIFS($D$4:$D1036,$D1036,$B$4:$B1036,$B1036)&gt;1,0,IF($B1036&lt;'Guide &amp; Settings'!$C$50,0,IF(($B1036-$AD1036)/7-'Guide &amp; Settings'!$C$48&gt;=0,(INT(($B1036-$AD1036)/7-'Guide &amp; Settings'!$C$48)+1)*'Guide &amp; Settings'!$C$49,0)))))</f>
        <v/>
      </c>
      <c r="AD1036" s="142">
        <f t="shared" si="337"/>
        <v>0</v>
      </c>
      <c r="AE1036">
        <f t="shared" si="338"/>
        <v>0</v>
      </c>
      <c r="AF1036">
        <f t="shared" si="339"/>
        <v>0</v>
      </c>
    </row>
    <row r="1037" spans="1:32" x14ac:dyDescent="0.2">
      <c r="A1037" s="117"/>
      <c r="B1037" s="118"/>
      <c r="C1037" s="119"/>
      <c r="D1037" s="119"/>
      <c r="E1037" s="117"/>
      <c r="F1037" s="120">
        <f t="shared" si="320"/>
        <v>0</v>
      </c>
      <c r="G1037" s="121" t="str">
        <f t="shared" si="321"/>
        <v/>
      </c>
      <c r="H1037" s="122">
        <f>IF($D1037="",0,IFERROR(LOOKUP(2,1/(($D$3:D1036=$D1037)*($A$3:A1036&lt;$A1037)),$N$3:N1036),'Guide &amp; Settings'!$C$41))</f>
        <v>0</v>
      </c>
      <c r="I1037" s="123">
        <f t="shared" si="322"/>
        <v>0</v>
      </c>
      <c r="J1037" s="124">
        <f>IF($D1037="",0,IF($F1037&lt;2,0,IF($E1037="Win",('Guide &amp; Settings'!$C$42/(($F1037-1)*COUNTIFS($A$4:$A$1510,$A1037,$E$4:$E$1510,"Win")))*SUMIFS($X$4:$X$1510,$A$4:$A$1510,$A1037,$E$4:$E$1510,"Loss"),-('Guide &amp; Settings'!$C$42/($F1037-1))*$X1037)))</f>
        <v>0</v>
      </c>
      <c r="K1037" s="124">
        <f>IF($D1037="",0,'Guide &amp; Settings'!$C$43*(IF($E1037="Win",1,0)-$I1037))</f>
        <v>0</v>
      </c>
      <c r="L1037" s="125">
        <f>IF($D1037="",0,'Guide &amp; Settings'!$C$44*IF($F1037&gt;=3,$F1037,0))</f>
        <v>0</v>
      </c>
      <c r="M1037" s="124">
        <f t="shared" si="323"/>
        <v>0</v>
      </c>
      <c r="N1037" s="122">
        <f t="shared" si="324"/>
        <v>0</v>
      </c>
      <c r="O1037" s="121" t="str">
        <f t="shared" si="325"/>
        <v/>
      </c>
      <c r="P1037">
        <f t="shared" si="326"/>
        <v>0</v>
      </c>
      <c r="Q1037">
        <f t="shared" si="327"/>
        <v>0</v>
      </c>
      <c r="R1037">
        <f t="shared" si="328"/>
        <v>0</v>
      </c>
      <c r="S1037">
        <f t="shared" si="329"/>
        <v>0</v>
      </c>
      <c r="T1037" s="89">
        <f t="shared" si="330"/>
        <v>0</v>
      </c>
      <c r="U1037" s="126">
        <f>IF($D1037="",0,IFERROR(LOOKUP(2,1/(($D$3:D1036=$D1037)*($C$3:C1036=$C1037)*($A$3:A1036&lt;$A1037)),$AB$3:AB1036),1000))</f>
        <v>0</v>
      </c>
      <c r="V1037" s="126">
        <f t="shared" si="331"/>
        <v>0</v>
      </c>
      <c r="W1037">
        <f t="shared" si="332"/>
        <v>0</v>
      </c>
      <c r="X1037">
        <f t="shared" si="333"/>
        <v>0</v>
      </c>
      <c r="Y1037">
        <f t="shared" si="334"/>
        <v>0</v>
      </c>
      <c r="Z1037">
        <f t="shared" si="335"/>
        <v>0</v>
      </c>
      <c r="AA1037">
        <f>IF($D1037="",0,IF($F1037&lt;2,0,IF($E1037="Win",('Guide &amp; Settings'!$C$42/(($F1037-1)*COUNTIFS($A$4:$A$1510,$A1037,$E$4:$E$1510,"Win")))*SUMIFS($Z$4:$Z$1510,$A$4:$A$1510,$A1037,$E$4:$E$1510,"Loss"),-('Guide &amp; Settings'!$C$42/($F1037-1))*$Z1037)))</f>
        <v>0</v>
      </c>
      <c r="AB1037" s="126">
        <f t="shared" si="336"/>
        <v>0</v>
      </c>
      <c r="AC1037" t="str">
        <f>IF($D1037="","",IF($AD1037=0,0,IF(COUNTIFS($D$4:$D1037,$D1037,$B$4:$B1037,$B1037)&gt;1,0,IF($B1037&lt;'Guide &amp; Settings'!$C$50,0,IF(($B1037-$AD1037)/7-'Guide &amp; Settings'!$C$48&gt;=0,(INT(($B1037-$AD1037)/7-'Guide &amp; Settings'!$C$48)+1)*'Guide &amp; Settings'!$C$49,0)))))</f>
        <v/>
      </c>
      <c r="AD1037" s="142">
        <f t="shared" si="337"/>
        <v>0</v>
      </c>
      <c r="AE1037">
        <f t="shared" si="338"/>
        <v>0</v>
      </c>
      <c r="AF1037">
        <f t="shared" si="339"/>
        <v>0</v>
      </c>
    </row>
    <row r="1038" spans="1:32" x14ac:dyDescent="0.2">
      <c r="A1038" s="117"/>
      <c r="B1038" s="118"/>
      <c r="C1038" s="119"/>
      <c r="D1038" s="119"/>
      <c r="E1038" s="117"/>
      <c r="F1038" s="120">
        <f t="shared" si="320"/>
        <v>0</v>
      </c>
      <c r="G1038" s="121" t="str">
        <f t="shared" si="321"/>
        <v/>
      </c>
      <c r="H1038" s="122">
        <f>IF($D1038="",0,IFERROR(LOOKUP(2,1/(($D$3:D1037=$D1038)*($A$3:A1037&lt;$A1038)),$N$3:N1037),'Guide &amp; Settings'!$C$41))</f>
        <v>0</v>
      </c>
      <c r="I1038" s="123">
        <f t="shared" si="322"/>
        <v>0</v>
      </c>
      <c r="J1038" s="124">
        <f>IF($D1038="",0,IF($F1038&lt;2,0,IF($E1038="Win",('Guide &amp; Settings'!$C$42/(($F1038-1)*COUNTIFS($A$4:$A$1510,$A1038,$E$4:$E$1510,"Win")))*SUMIFS($X$4:$X$1510,$A$4:$A$1510,$A1038,$E$4:$E$1510,"Loss"),-('Guide &amp; Settings'!$C$42/($F1038-1))*$X1038)))</f>
        <v>0</v>
      </c>
      <c r="K1038" s="124">
        <f>IF($D1038="",0,'Guide &amp; Settings'!$C$43*(IF($E1038="Win",1,0)-$I1038))</f>
        <v>0</v>
      </c>
      <c r="L1038" s="125">
        <f>IF($D1038="",0,'Guide &amp; Settings'!$C$44*IF($F1038&gt;=3,$F1038,0))</f>
        <v>0</v>
      </c>
      <c r="M1038" s="124">
        <f t="shared" si="323"/>
        <v>0</v>
      </c>
      <c r="N1038" s="122">
        <f t="shared" si="324"/>
        <v>0</v>
      </c>
      <c r="O1038" s="121" t="str">
        <f t="shared" si="325"/>
        <v/>
      </c>
      <c r="P1038">
        <f t="shared" si="326"/>
        <v>0</v>
      </c>
      <c r="Q1038">
        <f t="shared" si="327"/>
        <v>0</v>
      </c>
      <c r="R1038">
        <f t="shared" si="328"/>
        <v>0</v>
      </c>
      <c r="S1038">
        <f t="shared" si="329"/>
        <v>0</v>
      </c>
      <c r="T1038" s="89">
        <f t="shared" si="330"/>
        <v>0</v>
      </c>
      <c r="U1038" s="126">
        <f>IF($D1038="",0,IFERROR(LOOKUP(2,1/(($D$3:D1037=$D1038)*($C$3:C1037=$C1038)*($A$3:A1037&lt;$A1038)),$AB$3:AB1037),1000))</f>
        <v>0</v>
      </c>
      <c r="V1038" s="126">
        <f t="shared" si="331"/>
        <v>0</v>
      </c>
      <c r="W1038">
        <f t="shared" si="332"/>
        <v>0</v>
      </c>
      <c r="X1038">
        <f t="shared" si="333"/>
        <v>0</v>
      </c>
      <c r="Y1038">
        <f t="shared" si="334"/>
        <v>0</v>
      </c>
      <c r="Z1038">
        <f t="shared" si="335"/>
        <v>0</v>
      </c>
      <c r="AA1038">
        <f>IF($D1038="",0,IF($F1038&lt;2,0,IF($E1038="Win",('Guide &amp; Settings'!$C$42/(($F1038-1)*COUNTIFS($A$4:$A$1510,$A1038,$E$4:$E$1510,"Win")))*SUMIFS($Z$4:$Z$1510,$A$4:$A$1510,$A1038,$E$4:$E$1510,"Loss"),-('Guide &amp; Settings'!$C$42/($F1038-1))*$Z1038)))</f>
        <v>0</v>
      </c>
      <c r="AB1038" s="126">
        <f t="shared" si="336"/>
        <v>0</v>
      </c>
      <c r="AC1038" t="str">
        <f>IF($D1038="","",IF($AD1038=0,0,IF(COUNTIFS($D$4:$D1038,$D1038,$B$4:$B1038,$B1038)&gt;1,0,IF($B1038&lt;'Guide &amp; Settings'!$C$50,0,IF(($B1038-$AD1038)/7-'Guide &amp; Settings'!$C$48&gt;=0,(INT(($B1038-$AD1038)/7-'Guide &amp; Settings'!$C$48)+1)*'Guide &amp; Settings'!$C$49,0)))))</f>
        <v/>
      </c>
      <c r="AD1038" s="142">
        <f t="shared" si="337"/>
        <v>0</v>
      </c>
      <c r="AE1038">
        <f t="shared" si="338"/>
        <v>0</v>
      </c>
      <c r="AF1038">
        <f t="shared" si="339"/>
        <v>0</v>
      </c>
    </row>
    <row r="1039" spans="1:32" x14ac:dyDescent="0.2">
      <c r="A1039" s="117"/>
      <c r="B1039" s="118"/>
      <c r="C1039" s="119"/>
      <c r="D1039" s="119"/>
      <c r="E1039" s="117"/>
      <c r="F1039" s="120">
        <f t="shared" si="320"/>
        <v>0</v>
      </c>
      <c r="G1039" s="121" t="str">
        <f t="shared" si="321"/>
        <v/>
      </c>
      <c r="H1039" s="122">
        <f>IF($D1039="",0,IFERROR(LOOKUP(2,1/(($D$3:D1038=$D1039)*($A$3:A1038&lt;$A1039)),$N$3:N1038),'Guide &amp; Settings'!$C$41))</f>
        <v>0</v>
      </c>
      <c r="I1039" s="123">
        <f t="shared" si="322"/>
        <v>0</v>
      </c>
      <c r="J1039" s="124">
        <f>IF($D1039="",0,IF($F1039&lt;2,0,IF($E1039="Win",('Guide &amp; Settings'!$C$42/(($F1039-1)*COUNTIFS($A$4:$A$1510,$A1039,$E$4:$E$1510,"Win")))*SUMIFS($X$4:$X$1510,$A$4:$A$1510,$A1039,$E$4:$E$1510,"Loss"),-('Guide &amp; Settings'!$C$42/($F1039-1))*$X1039)))</f>
        <v>0</v>
      </c>
      <c r="K1039" s="124">
        <f>IF($D1039="",0,'Guide &amp; Settings'!$C$43*(IF($E1039="Win",1,0)-$I1039))</f>
        <v>0</v>
      </c>
      <c r="L1039" s="125">
        <f>IF($D1039="",0,'Guide &amp; Settings'!$C$44*IF($F1039&gt;=3,$F1039,0))</f>
        <v>0</v>
      </c>
      <c r="M1039" s="124">
        <f t="shared" si="323"/>
        <v>0</v>
      </c>
      <c r="N1039" s="122">
        <f t="shared" si="324"/>
        <v>0</v>
      </c>
      <c r="O1039" s="121" t="str">
        <f t="shared" si="325"/>
        <v/>
      </c>
      <c r="P1039">
        <f t="shared" si="326"/>
        <v>0</v>
      </c>
      <c r="Q1039">
        <f t="shared" si="327"/>
        <v>0</v>
      </c>
      <c r="R1039">
        <f t="shared" si="328"/>
        <v>0</v>
      </c>
      <c r="S1039">
        <f t="shared" si="329"/>
        <v>0</v>
      </c>
      <c r="T1039" s="89">
        <f t="shared" si="330"/>
        <v>0</v>
      </c>
      <c r="U1039" s="126">
        <f>IF($D1039="",0,IFERROR(LOOKUP(2,1/(($D$3:D1038=$D1039)*($C$3:C1038=$C1039)*($A$3:A1038&lt;$A1039)),$AB$3:AB1038),1000))</f>
        <v>0</v>
      </c>
      <c r="V1039" s="126">
        <f t="shared" si="331"/>
        <v>0</v>
      </c>
      <c r="W1039">
        <f t="shared" si="332"/>
        <v>0</v>
      </c>
      <c r="X1039">
        <f t="shared" si="333"/>
        <v>0</v>
      </c>
      <c r="Y1039">
        <f t="shared" si="334"/>
        <v>0</v>
      </c>
      <c r="Z1039">
        <f t="shared" si="335"/>
        <v>0</v>
      </c>
      <c r="AA1039">
        <f>IF($D1039="",0,IF($F1039&lt;2,0,IF($E1039="Win",('Guide &amp; Settings'!$C$42/(($F1039-1)*COUNTIFS($A$4:$A$1510,$A1039,$E$4:$E$1510,"Win")))*SUMIFS($Z$4:$Z$1510,$A$4:$A$1510,$A1039,$E$4:$E$1510,"Loss"),-('Guide &amp; Settings'!$C$42/($F1039-1))*$Z1039)))</f>
        <v>0</v>
      </c>
      <c r="AB1039" s="126">
        <f t="shared" si="336"/>
        <v>0</v>
      </c>
      <c r="AC1039" t="str">
        <f>IF($D1039="","",IF($AD1039=0,0,IF(COUNTIFS($D$4:$D1039,$D1039,$B$4:$B1039,$B1039)&gt;1,0,IF($B1039&lt;'Guide &amp; Settings'!$C$50,0,IF(($B1039-$AD1039)/7-'Guide &amp; Settings'!$C$48&gt;=0,(INT(($B1039-$AD1039)/7-'Guide &amp; Settings'!$C$48)+1)*'Guide &amp; Settings'!$C$49,0)))))</f>
        <v/>
      </c>
      <c r="AD1039" s="142">
        <f t="shared" si="337"/>
        <v>0</v>
      </c>
      <c r="AE1039">
        <f t="shared" si="338"/>
        <v>0</v>
      </c>
      <c r="AF1039">
        <f t="shared" si="339"/>
        <v>0</v>
      </c>
    </row>
    <row r="1040" spans="1:32" x14ac:dyDescent="0.2">
      <c r="A1040" s="117"/>
      <c r="B1040" s="118"/>
      <c r="C1040" s="119"/>
      <c r="D1040" s="119"/>
      <c r="E1040" s="117"/>
      <c r="F1040" s="120">
        <f t="shared" si="320"/>
        <v>0</v>
      </c>
      <c r="G1040" s="121" t="str">
        <f t="shared" si="321"/>
        <v/>
      </c>
      <c r="H1040" s="122">
        <f>IF($D1040="",0,IFERROR(LOOKUP(2,1/(($D$3:D1039=$D1040)*($A$3:A1039&lt;$A1040)),$N$3:N1039),'Guide &amp; Settings'!$C$41))</f>
        <v>0</v>
      </c>
      <c r="I1040" s="123">
        <f t="shared" si="322"/>
        <v>0</v>
      </c>
      <c r="J1040" s="124">
        <f>IF($D1040="",0,IF($F1040&lt;2,0,IF($E1040="Win",('Guide &amp; Settings'!$C$42/(($F1040-1)*COUNTIFS($A$4:$A$1510,$A1040,$E$4:$E$1510,"Win")))*SUMIFS($X$4:$X$1510,$A$4:$A$1510,$A1040,$E$4:$E$1510,"Loss"),-('Guide &amp; Settings'!$C$42/($F1040-1))*$X1040)))</f>
        <v>0</v>
      </c>
      <c r="K1040" s="124">
        <f>IF($D1040="",0,'Guide &amp; Settings'!$C$43*(IF($E1040="Win",1,0)-$I1040))</f>
        <v>0</v>
      </c>
      <c r="L1040" s="125">
        <f>IF($D1040="",0,'Guide &amp; Settings'!$C$44*IF($F1040&gt;=3,$F1040,0))</f>
        <v>0</v>
      </c>
      <c r="M1040" s="124">
        <f t="shared" si="323"/>
        <v>0</v>
      </c>
      <c r="N1040" s="122">
        <f t="shared" si="324"/>
        <v>0</v>
      </c>
      <c r="O1040" s="121" t="str">
        <f t="shared" si="325"/>
        <v/>
      </c>
      <c r="P1040">
        <f t="shared" si="326"/>
        <v>0</v>
      </c>
      <c r="Q1040">
        <f t="shared" si="327"/>
        <v>0</v>
      </c>
      <c r="R1040">
        <f t="shared" si="328"/>
        <v>0</v>
      </c>
      <c r="S1040">
        <f t="shared" si="329"/>
        <v>0</v>
      </c>
      <c r="T1040" s="89">
        <f t="shared" si="330"/>
        <v>0</v>
      </c>
      <c r="U1040" s="126">
        <f>IF($D1040="",0,IFERROR(LOOKUP(2,1/(($D$3:D1039=$D1040)*($C$3:C1039=$C1040)*($A$3:A1039&lt;$A1040)),$AB$3:AB1039),1000))</f>
        <v>0</v>
      </c>
      <c r="V1040" s="126">
        <f t="shared" si="331"/>
        <v>0</v>
      </c>
      <c r="W1040">
        <f t="shared" si="332"/>
        <v>0</v>
      </c>
      <c r="X1040">
        <f t="shared" si="333"/>
        <v>0</v>
      </c>
      <c r="Y1040">
        <f t="shared" si="334"/>
        <v>0</v>
      </c>
      <c r="Z1040">
        <f t="shared" si="335"/>
        <v>0</v>
      </c>
      <c r="AA1040">
        <f>IF($D1040="",0,IF($F1040&lt;2,0,IF($E1040="Win",('Guide &amp; Settings'!$C$42/(($F1040-1)*COUNTIFS($A$4:$A$1510,$A1040,$E$4:$E$1510,"Win")))*SUMIFS($Z$4:$Z$1510,$A$4:$A$1510,$A1040,$E$4:$E$1510,"Loss"),-('Guide &amp; Settings'!$C$42/($F1040-1))*$Z1040)))</f>
        <v>0</v>
      </c>
      <c r="AB1040" s="126">
        <f t="shared" si="336"/>
        <v>0</v>
      </c>
      <c r="AC1040" t="str">
        <f>IF($D1040="","",IF($AD1040=0,0,IF(COUNTIFS($D$4:$D1040,$D1040,$B$4:$B1040,$B1040)&gt;1,0,IF($B1040&lt;'Guide &amp; Settings'!$C$50,0,IF(($B1040-$AD1040)/7-'Guide &amp; Settings'!$C$48&gt;=0,(INT(($B1040-$AD1040)/7-'Guide &amp; Settings'!$C$48)+1)*'Guide &amp; Settings'!$C$49,0)))))</f>
        <v/>
      </c>
      <c r="AD1040" s="142">
        <f t="shared" si="337"/>
        <v>0</v>
      </c>
      <c r="AE1040">
        <f t="shared" si="338"/>
        <v>0</v>
      </c>
      <c r="AF1040">
        <f t="shared" si="339"/>
        <v>0</v>
      </c>
    </row>
    <row r="1041" spans="1:32" x14ac:dyDescent="0.2">
      <c r="A1041" s="117"/>
      <c r="B1041" s="118"/>
      <c r="C1041" s="119"/>
      <c r="D1041" s="119"/>
      <c r="E1041" s="117"/>
      <c r="F1041" s="120">
        <f t="shared" si="320"/>
        <v>0</v>
      </c>
      <c r="G1041" s="121" t="str">
        <f t="shared" si="321"/>
        <v/>
      </c>
      <c r="H1041" s="122">
        <f>IF($D1041="",0,IFERROR(LOOKUP(2,1/(($D$3:D1040=$D1041)*($A$3:A1040&lt;$A1041)),$N$3:N1040),'Guide &amp; Settings'!$C$41))</f>
        <v>0</v>
      </c>
      <c r="I1041" s="123">
        <f t="shared" si="322"/>
        <v>0</v>
      </c>
      <c r="J1041" s="124">
        <f>IF($D1041="",0,IF($F1041&lt;2,0,IF($E1041="Win",('Guide &amp; Settings'!$C$42/(($F1041-1)*COUNTIFS($A$4:$A$1510,$A1041,$E$4:$E$1510,"Win")))*SUMIFS($X$4:$X$1510,$A$4:$A$1510,$A1041,$E$4:$E$1510,"Loss"),-('Guide &amp; Settings'!$C$42/($F1041-1))*$X1041)))</f>
        <v>0</v>
      </c>
      <c r="K1041" s="124">
        <f>IF($D1041="",0,'Guide &amp; Settings'!$C$43*(IF($E1041="Win",1,0)-$I1041))</f>
        <v>0</v>
      </c>
      <c r="L1041" s="125">
        <f>IF($D1041="",0,'Guide &amp; Settings'!$C$44*IF($F1041&gt;=3,$F1041,0))</f>
        <v>0</v>
      </c>
      <c r="M1041" s="124">
        <f t="shared" si="323"/>
        <v>0</v>
      </c>
      <c r="N1041" s="122">
        <f t="shared" si="324"/>
        <v>0</v>
      </c>
      <c r="O1041" s="121" t="str">
        <f t="shared" si="325"/>
        <v/>
      </c>
      <c r="P1041">
        <f t="shared" si="326"/>
        <v>0</v>
      </c>
      <c r="Q1041">
        <f t="shared" si="327"/>
        <v>0</v>
      </c>
      <c r="R1041">
        <f t="shared" si="328"/>
        <v>0</v>
      </c>
      <c r="S1041">
        <f t="shared" si="329"/>
        <v>0</v>
      </c>
      <c r="T1041" s="89">
        <f t="shared" si="330"/>
        <v>0</v>
      </c>
      <c r="U1041" s="126">
        <f>IF($D1041="",0,IFERROR(LOOKUP(2,1/(($D$3:D1040=$D1041)*($C$3:C1040=$C1041)*($A$3:A1040&lt;$A1041)),$AB$3:AB1040),1000))</f>
        <v>0</v>
      </c>
      <c r="V1041" s="126">
        <f t="shared" si="331"/>
        <v>0</v>
      </c>
      <c r="W1041">
        <f t="shared" si="332"/>
        <v>0</v>
      </c>
      <c r="X1041">
        <f t="shared" si="333"/>
        <v>0</v>
      </c>
      <c r="Y1041">
        <f t="shared" si="334"/>
        <v>0</v>
      </c>
      <c r="Z1041">
        <f t="shared" si="335"/>
        <v>0</v>
      </c>
      <c r="AA1041">
        <f>IF($D1041="",0,IF($F1041&lt;2,0,IF($E1041="Win",('Guide &amp; Settings'!$C$42/(($F1041-1)*COUNTIFS($A$4:$A$1510,$A1041,$E$4:$E$1510,"Win")))*SUMIFS($Z$4:$Z$1510,$A$4:$A$1510,$A1041,$E$4:$E$1510,"Loss"),-('Guide &amp; Settings'!$C$42/($F1041-1))*$Z1041)))</f>
        <v>0</v>
      </c>
      <c r="AB1041" s="126">
        <f t="shared" si="336"/>
        <v>0</v>
      </c>
      <c r="AC1041" t="str">
        <f>IF($D1041="","",IF($AD1041=0,0,IF(COUNTIFS($D$4:$D1041,$D1041,$B$4:$B1041,$B1041)&gt;1,0,IF($B1041&lt;'Guide &amp; Settings'!$C$50,0,IF(($B1041-$AD1041)/7-'Guide &amp; Settings'!$C$48&gt;=0,(INT(($B1041-$AD1041)/7-'Guide &amp; Settings'!$C$48)+1)*'Guide &amp; Settings'!$C$49,0)))))</f>
        <v/>
      </c>
      <c r="AD1041" s="142">
        <f t="shared" si="337"/>
        <v>0</v>
      </c>
      <c r="AE1041">
        <f t="shared" si="338"/>
        <v>0</v>
      </c>
      <c r="AF1041">
        <f t="shared" si="339"/>
        <v>0</v>
      </c>
    </row>
    <row r="1042" spans="1:32" x14ac:dyDescent="0.2">
      <c r="A1042" s="117"/>
      <c r="B1042" s="118"/>
      <c r="C1042" s="119"/>
      <c r="D1042" s="119"/>
      <c r="E1042" s="117"/>
      <c r="F1042" s="120">
        <f t="shared" si="320"/>
        <v>0</v>
      </c>
      <c r="G1042" s="121" t="str">
        <f t="shared" si="321"/>
        <v/>
      </c>
      <c r="H1042" s="122">
        <f>IF($D1042="",0,IFERROR(LOOKUP(2,1/(($D$3:D1041=$D1042)*($A$3:A1041&lt;$A1042)),$N$3:N1041),'Guide &amp; Settings'!$C$41))</f>
        <v>0</v>
      </c>
      <c r="I1042" s="123">
        <f t="shared" si="322"/>
        <v>0</v>
      </c>
      <c r="J1042" s="124">
        <f>IF($D1042="",0,IF($F1042&lt;2,0,IF($E1042="Win",('Guide &amp; Settings'!$C$42/(($F1042-1)*COUNTIFS($A$4:$A$1510,$A1042,$E$4:$E$1510,"Win")))*SUMIFS($X$4:$X$1510,$A$4:$A$1510,$A1042,$E$4:$E$1510,"Loss"),-('Guide &amp; Settings'!$C$42/($F1042-1))*$X1042)))</f>
        <v>0</v>
      </c>
      <c r="K1042" s="124">
        <f>IF($D1042="",0,'Guide &amp; Settings'!$C$43*(IF($E1042="Win",1,0)-$I1042))</f>
        <v>0</v>
      </c>
      <c r="L1042" s="125">
        <f>IF($D1042="",0,'Guide &amp; Settings'!$C$44*IF($F1042&gt;=3,$F1042,0))</f>
        <v>0</v>
      </c>
      <c r="M1042" s="124">
        <f t="shared" si="323"/>
        <v>0</v>
      </c>
      <c r="N1042" s="122">
        <f t="shared" si="324"/>
        <v>0</v>
      </c>
      <c r="O1042" s="121" t="str">
        <f t="shared" si="325"/>
        <v/>
      </c>
      <c r="P1042">
        <f t="shared" si="326"/>
        <v>0</v>
      </c>
      <c r="Q1042">
        <f t="shared" si="327"/>
        <v>0</v>
      </c>
      <c r="R1042">
        <f t="shared" si="328"/>
        <v>0</v>
      </c>
      <c r="S1042">
        <f t="shared" si="329"/>
        <v>0</v>
      </c>
      <c r="T1042" s="89">
        <f t="shared" si="330"/>
        <v>0</v>
      </c>
      <c r="U1042" s="126">
        <f>IF($D1042="",0,IFERROR(LOOKUP(2,1/(($D$3:D1041=$D1042)*($C$3:C1041=$C1042)*($A$3:A1041&lt;$A1042)),$AB$3:AB1041),1000))</f>
        <v>0</v>
      </c>
      <c r="V1042" s="126">
        <f t="shared" si="331"/>
        <v>0</v>
      </c>
      <c r="W1042">
        <f t="shared" si="332"/>
        <v>0</v>
      </c>
      <c r="X1042">
        <f t="shared" si="333"/>
        <v>0</v>
      </c>
      <c r="Y1042">
        <f t="shared" si="334"/>
        <v>0</v>
      </c>
      <c r="Z1042">
        <f t="shared" si="335"/>
        <v>0</v>
      </c>
      <c r="AA1042">
        <f>IF($D1042="",0,IF($F1042&lt;2,0,IF($E1042="Win",('Guide &amp; Settings'!$C$42/(($F1042-1)*COUNTIFS($A$4:$A$1510,$A1042,$E$4:$E$1510,"Win")))*SUMIFS($Z$4:$Z$1510,$A$4:$A$1510,$A1042,$E$4:$E$1510,"Loss"),-('Guide &amp; Settings'!$C$42/($F1042-1))*$Z1042)))</f>
        <v>0</v>
      </c>
      <c r="AB1042" s="126">
        <f t="shared" si="336"/>
        <v>0</v>
      </c>
      <c r="AC1042" t="str">
        <f>IF($D1042="","",IF($AD1042=0,0,IF(COUNTIFS($D$4:$D1042,$D1042,$B$4:$B1042,$B1042)&gt;1,0,IF($B1042&lt;'Guide &amp; Settings'!$C$50,0,IF(($B1042-$AD1042)/7-'Guide &amp; Settings'!$C$48&gt;=0,(INT(($B1042-$AD1042)/7-'Guide &amp; Settings'!$C$48)+1)*'Guide &amp; Settings'!$C$49,0)))))</f>
        <v/>
      </c>
      <c r="AD1042" s="142">
        <f t="shared" si="337"/>
        <v>0</v>
      </c>
      <c r="AE1042">
        <f t="shared" si="338"/>
        <v>0</v>
      </c>
      <c r="AF1042">
        <f t="shared" si="339"/>
        <v>0</v>
      </c>
    </row>
    <row r="1043" spans="1:32" x14ac:dyDescent="0.2">
      <c r="A1043" s="117"/>
      <c r="B1043" s="118"/>
      <c r="C1043" s="119"/>
      <c r="D1043" s="119"/>
      <c r="E1043" s="117"/>
      <c r="F1043" s="120">
        <f t="shared" si="320"/>
        <v>0</v>
      </c>
      <c r="G1043" s="121" t="str">
        <f t="shared" si="321"/>
        <v/>
      </c>
      <c r="H1043" s="122">
        <f>IF($D1043="",0,IFERROR(LOOKUP(2,1/(($D$3:D1042=$D1043)*($A$3:A1042&lt;$A1043)),$N$3:N1042),'Guide &amp; Settings'!$C$41))</f>
        <v>0</v>
      </c>
      <c r="I1043" s="123">
        <f t="shared" si="322"/>
        <v>0</v>
      </c>
      <c r="J1043" s="124">
        <f>IF($D1043="",0,IF($F1043&lt;2,0,IF($E1043="Win",('Guide &amp; Settings'!$C$42/(($F1043-1)*COUNTIFS($A$4:$A$1510,$A1043,$E$4:$E$1510,"Win")))*SUMIFS($X$4:$X$1510,$A$4:$A$1510,$A1043,$E$4:$E$1510,"Loss"),-('Guide &amp; Settings'!$C$42/($F1043-1))*$X1043)))</f>
        <v>0</v>
      </c>
      <c r="K1043" s="124">
        <f>IF($D1043="",0,'Guide &amp; Settings'!$C$43*(IF($E1043="Win",1,0)-$I1043))</f>
        <v>0</v>
      </c>
      <c r="L1043" s="125">
        <f>IF($D1043="",0,'Guide &amp; Settings'!$C$44*IF($F1043&gt;=3,$F1043,0))</f>
        <v>0</v>
      </c>
      <c r="M1043" s="124">
        <f t="shared" si="323"/>
        <v>0</v>
      </c>
      <c r="N1043" s="122">
        <f t="shared" si="324"/>
        <v>0</v>
      </c>
      <c r="O1043" s="121" t="str">
        <f t="shared" si="325"/>
        <v/>
      </c>
      <c r="P1043">
        <f t="shared" si="326"/>
        <v>0</v>
      </c>
      <c r="Q1043">
        <f t="shared" si="327"/>
        <v>0</v>
      </c>
      <c r="R1043">
        <f t="shared" si="328"/>
        <v>0</v>
      </c>
      <c r="S1043">
        <f t="shared" si="329"/>
        <v>0</v>
      </c>
      <c r="T1043" s="89">
        <f t="shared" si="330"/>
        <v>0</v>
      </c>
      <c r="U1043" s="126">
        <f>IF($D1043="",0,IFERROR(LOOKUP(2,1/(($D$3:D1042=$D1043)*($C$3:C1042=$C1043)*($A$3:A1042&lt;$A1043)),$AB$3:AB1042),1000))</f>
        <v>0</v>
      </c>
      <c r="V1043" s="126">
        <f t="shared" si="331"/>
        <v>0</v>
      </c>
      <c r="W1043">
        <f t="shared" si="332"/>
        <v>0</v>
      </c>
      <c r="X1043">
        <f t="shared" si="333"/>
        <v>0</v>
      </c>
      <c r="Y1043">
        <f t="shared" si="334"/>
        <v>0</v>
      </c>
      <c r="Z1043">
        <f t="shared" si="335"/>
        <v>0</v>
      </c>
      <c r="AA1043">
        <f>IF($D1043="",0,IF($F1043&lt;2,0,IF($E1043="Win",('Guide &amp; Settings'!$C$42/(($F1043-1)*COUNTIFS($A$4:$A$1510,$A1043,$E$4:$E$1510,"Win")))*SUMIFS($Z$4:$Z$1510,$A$4:$A$1510,$A1043,$E$4:$E$1510,"Loss"),-('Guide &amp; Settings'!$C$42/($F1043-1))*$Z1043)))</f>
        <v>0</v>
      </c>
      <c r="AB1043" s="126">
        <f t="shared" si="336"/>
        <v>0</v>
      </c>
      <c r="AC1043" t="str">
        <f>IF($D1043="","",IF($AD1043=0,0,IF(COUNTIFS($D$4:$D1043,$D1043,$B$4:$B1043,$B1043)&gt;1,0,IF($B1043&lt;'Guide &amp; Settings'!$C$50,0,IF(($B1043-$AD1043)/7-'Guide &amp; Settings'!$C$48&gt;=0,(INT(($B1043-$AD1043)/7-'Guide &amp; Settings'!$C$48)+1)*'Guide &amp; Settings'!$C$49,0)))))</f>
        <v/>
      </c>
      <c r="AD1043" s="142">
        <f t="shared" si="337"/>
        <v>0</v>
      </c>
      <c r="AE1043">
        <f t="shared" si="338"/>
        <v>0</v>
      </c>
      <c r="AF1043">
        <f t="shared" si="339"/>
        <v>0</v>
      </c>
    </row>
    <row r="1044" spans="1:32" x14ac:dyDescent="0.2">
      <c r="A1044" s="117"/>
      <c r="B1044" s="118"/>
      <c r="C1044" s="119"/>
      <c r="D1044" s="119"/>
      <c r="E1044" s="117"/>
      <c r="F1044" s="120">
        <f t="shared" si="320"/>
        <v>0</v>
      </c>
      <c r="G1044" s="121" t="str">
        <f t="shared" si="321"/>
        <v/>
      </c>
      <c r="H1044" s="122">
        <f>IF($D1044="",0,IFERROR(LOOKUP(2,1/(($D$3:D1043=$D1044)*($A$3:A1043&lt;$A1044)),$N$3:N1043),'Guide &amp; Settings'!$C$41))</f>
        <v>0</v>
      </c>
      <c r="I1044" s="123">
        <f t="shared" si="322"/>
        <v>0</v>
      </c>
      <c r="J1044" s="124">
        <f>IF($D1044="",0,IF($F1044&lt;2,0,IF($E1044="Win",('Guide &amp; Settings'!$C$42/(($F1044-1)*COUNTIFS($A$4:$A$1510,$A1044,$E$4:$E$1510,"Win")))*SUMIFS($X$4:$X$1510,$A$4:$A$1510,$A1044,$E$4:$E$1510,"Loss"),-('Guide &amp; Settings'!$C$42/($F1044-1))*$X1044)))</f>
        <v>0</v>
      </c>
      <c r="K1044" s="124">
        <f>IF($D1044="",0,'Guide &amp; Settings'!$C$43*(IF($E1044="Win",1,0)-$I1044))</f>
        <v>0</v>
      </c>
      <c r="L1044" s="125">
        <f>IF($D1044="",0,'Guide &amp; Settings'!$C$44*IF($F1044&gt;=3,$F1044,0))</f>
        <v>0</v>
      </c>
      <c r="M1044" s="124">
        <f t="shared" si="323"/>
        <v>0</v>
      </c>
      <c r="N1044" s="122">
        <f t="shared" si="324"/>
        <v>0</v>
      </c>
      <c r="O1044" s="121" t="str">
        <f t="shared" si="325"/>
        <v/>
      </c>
      <c r="P1044">
        <f t="shared" si="326"/>
        <v>0</v>
      </c>
      <c r="Q1044">
        <f t="shared" si="327"/>
        <v>0</v>
      </c>
      <c r="R1044">
        <f t="shared" si="328"/>
        <v>0</v>
      </c>
      <c r="S1044">
        <f t="shared" si="329"/>
        <v>0</v>
      </c>
      <c r="T1044" s="89">
        <f t="shared" si="330"/>
        <v>0</v>
      </c>
      <c r="U1044" s="126">
        <f>IF($D1044="",0,IFERROR(LOOKUP(2,1/(($D$3:D1043=$D1044)*($C$3:C1043=$C1044)*($A$3:A1043&lt;$A1044)),$AB$3:AB1043),1000))</f>
        <v>0</v>
      </c>
      <c r="V1044" s="126">
        <f t="shared" si="331"/>
        <v>0</v>
      </c>
      <c r="W1044">
        <f t="shared" si="332"/>
        <v>0</v>
      </c>
      <c r="X1044">
        <f t="shared" si="333"/>
        <v>0</v>
      </c>
      <c r="Y1044">
        <f t="shared" si="334"/>
        <v>0</v>
      </c>
      <c r="Z1044">
        <f t="shared" si="335"/>
        <v>0</v>
      </c>
      <c r="AA1044">
        <f>IF($D1044="",0,IF($F1044&lt;2,0,IF($E1044="Win",('Guide &amp; Settings'!$C$42/(($F1044-1)*COUNTIFS($A$4:$A$1510,$A1044,$E$4:$E$1510,"Win")))*SUMIFS($Z$4:$Z$1510,$A$4:$A$1510,$A1044,$E$4:$E$1510,"Loss"),-('Guide &amp; Settings'!$C$42/($F1044-1))*$Z1044)))</f>
        <v>0</v>
      </c>
      <c r="AB1044" s="126">
        <f t="shared" si="336"/>
        <v>0</v>
      </c>
      <c r="AC1044" t="str">
        <f>IF($D1044="","",IF($AD1044=0,0,IF(COUNTIFS($D$4:$D1044,$D1044,$B$4:$B1044,$B1044)&gt;1,0,IF($B1044&lt;'Guide &amp; Settings'!$C$50,0,IF(($B1044-$AD1044)/7-'Guide &amp; Settings'!$C$48&gt;=0,(INT(($B1044-$AD1044)/7-'Guide &amp; Settings'!$C$48)+1)*'Guide &amp; Settings'!$C$49,0)))))</f>
        <v/>
      </c>
      <c r="AD1044" s="142">
        <f t="shared" si="337"/>
        <v>0</v>
      </c>
      <c r="AE1044">
        <f t="shared" si="338"/>
        <v>0</v>
      </c>
      <c r="AF1044">
        <f t="shared" si="339"/>
        <v>0</v>
      </c>
    </row>
    <row r="1045" spans="1:32" x14ac:dyDescent="0.2">
      <c r="A1045" s="117"/>
      <c r="B1045" s="118"/>
      <c r="C1045" s="119"/>
      <c r="D1045" s="119"/>
      <c r="E1045" s="117"/>
      <c r="F1045" s="120">
        <f t="shared" si="320"/>
        <v>0</v>
      </c>
      <c r="G1045" s="121" t="str">
        <f t="shared" si="321"/>
        <v/>
      </c>
      <c r="H1045" s="122">
        <f>IF($D1045="",0,IFERROR(LOOKUP(2,1/(($D$3:D1044=$D1045)*($A$3:A1044&lt;$A1045)),$N$3:N1044),'Guide &amp; Settings'!$C$41))</f>
        <v>0</v>
      </c>
      <c r="I1045" s="123">
        <f t="shared" si="322"/>
        <v>0</v>
      </c>
      <c r="J1045" s="124">
        <f>IF($D1045="",0,IF($F1045&lt;2,0,IF($E1045="Win",('Guide &amp; Settings'!$C$42/(($F1045-1)*COUNTIFS($A$4:$A$1510,$A1045,$E$4:$E$1510,"Win")))*SUMIFS($X$4:$X$1510,$A$4:$A$1510,$A1045,$E$4:$E$1510,"Loss"),-('Guide &amp; Settings'!$C$42/($F1045-1))*$X1045)))</f>
        <v>0</v>
      </c>
      <c r="K1045" s="124">
        <f>IF($D1045="",0,'Guide &amp; Settings'!$C$43*(IF($E1045="Win",1,0)-$I1045))</f>
        <v>0</v>
      </c>
      <c r="L1045" s="125">
        <f>IF($D1045="",0,'Guide &amp; Settings'!$C$44*IF($F1045&gt;=3,$F1045,0))</f>
        <v>0</v>
      </c>
      <c r="M1045" s="124">
        <f t="shared" si="323"/>
        <v>0</v>
      </c>
      <c r="N1045" s="122">
        <f t="shared" si="324"/>
        <v>0</v>
      </c>
      <c r="O1045" s="121" t="str">
        <f t="shared" si="325"/>
        <v/>
      </c>
      <c r="P1045">
        <f t="shared" si="326"/>
        <v>0</v>
      </c>
      <c r="Q1045">
        <f t="shared" si="327"/>
        <v>0</v>
      </c>
      <c r="R1045">
        <f t="shared" si="328"/>
        <v>0</v>
      </c>
      <c r="S1045">
        <f t="shared" si="329"/>
        <v>0</v>
      </c>
      <c r="T1045" s="89">
        <f t="shared" si="330"/>
        <v>0</v>
      </c>
      <c r="U1045" s="126">
        <f>IF($D1045="",0,IFERROR(LOOKUP(2,1/(($D$3:D1044=$D1045)*($C$3:C1044=$C1045)*($A$3:A1044&lt;$A1045)),$AB$3:AB1044),1000))</f>
        <v>0</v>
      </c>
      <c r="V1045" s="126">
        <f t="shared" si="331"/>
        <v>0</v>
      </c>
      <c r="W1045">
        <f t="shared" si="332"/>
        <v>0</v>
      </c>
      <c r="X1045">
        <f t="shared" si="333"/>
        <v>0</v>
      </c>
      <c r="Y1045">
        <f t="shared" si="334"/>
        <v>0</v>
      </c>
      <c r="Z1045">
        <f t="shared" si="335"/>
        <v>0</v>
      </c>
      <c r="AA1045">
        <f>IF($D1045="",0,IF($F1045&lt;2,0,IF($E1045="Win",('Guide &amp; Settings'!$C$42/(($F1045-1)*COUNTIFS($A$4:$A$1510,$A1045,$E$4:$E$1510,"Win")))*SUMIFS($Z$4:$Z$1510,$A$4:$A$1510,$A1045,$E$4:$E$1510,"Loss"),-('Guide &amp; Settings'!$C$42/($F1045-1))*$Z1045)))</f>
        <v>0</v>
      </c>
      <c r="AB1045" s="126">
        <f t="shared" si="336"/>
        <v>0</v>
      </c>
      <c r="AC1045" t="str">
        <f>IF($D1045="","",IF($AD1045=0,0,IF(COUNTIFS($D$4:$D1045,$D1045,$B$4:$B1045,$B1045)&gt;1,0,IF($B1045&lt;'Guide &amp; Settings'!$C$50,0,IF(($B1045-$AD1045)/7-'Guide &amp; Settings'!$C$48&gt;=0,(INT(($B1045-$AD1045)/7-'Guide &amp; Settings'!$C$48)+1)*'Guide &amp; Settings'!$C$49,0)))))</f>
        <v/>
      </c>
      <c r="AD1045" s="142">
        <f t="shared" si="337"/>
        <v>0</v>
      </c>
      <c r="AE1045">
        <f t="shared" si="338"/>
        <v>0</v>
      </c>
      <c r="AF1045">
        <f t="shared" si="339"/>
        <v>0</v>
      </c>
    </row>
    <row r="1046" spans="1:32" x14ac:dyDescent="0.2">
      <c r="A1046" s="117"/>
      <c r="B1046" s="118"/>
      <c r="C1046" s="119"/>
      <c r="D1046" s="119"/>
      <c r="E1046" s="117"/>
      <c r="F1046" s="120">
        <f t="shared" si="320"/>
        <v>0</v>
      </c>
      <c r="G1046" s="121" t="str">
        <f t="shared" si="321"/>
        <v/>
      </c>
      <c r="H1046" s="122">
        <f>IF($D1046="",0,IFERROR(LOOKUP(2,1/(($D$3:D1045=$D1046)*($A$3:A1045&lt;$A1046)),$N$3:N1045),'Guide &amp; Settings'!$C$41))</f>
        <v>0</v>
      </c>
      <c r="I1046" s="123">
        <f t="shared" si="322"/>
        <v>0</v>
      </c>
      <c r="J1046" s="124">
        <f>IF($D1046="",0,IF($F1046&lt;2,0,IF($E1046="Win",('Guide &amp; Settings'!$C$42/(($F1046-1)*COUNTIFS($A$4:$A$1510,$A1046,$E$4:$E$1510,"Win")))*SUMIFS($X$4:$X$1510,$A$4:$A$1510,$A1046,$E$4:$E$1510,"Loss"),-('Guide &amp; Settings'!$C$42/($F1046-1))*$X1046)))</f>
        <v>0</v>
      </c>
      <c r="K1046" s="124">
        <f>IF($D1046="",0,'Guide &amp; Settings'!$C$43*(IF($E1046="Win",1,0)-$I1046))</f>
        <v>0</v>
      </c>
      <c r="L1046" s="125">
        <f>IF($D1046="",0,'Guide &amp; Settings'!$C$44*IF($F1046&gt;=3,$F1046,0))</f>
        <v>0</v>
      </c>
      <c r="M1046" s="124">
        <f t="shared" si="323"/>
        <v>0</v>
      </c>
      <c r="N1046" s="122">
        <f t="shared" si="324"/>
        <v>0</v>
      </c>
      <c r="O1046" s="121" t="str">
        <f t="shared" si="325"/>
        <v/>
      </c>
      <c r="P1046">
        <f t="shared" si="326"/>
        <v>0</v>
      </c>
      <c r="Q1046">
        <f t="shared" si="327"/>
        <v>0</v>
      </c>
      <c r="R1046">
        <f t="shared" si="328"/>
        <v>0</v>
      </c>
      <c r="S1046">
        <f t="shared" si="329"/>
        <v>0</v>
      </c>
      <c r="T1046" s="89">
        <f t="shared" si="330"/>
        <v>0</v>
      </c>
      <c r="U1046" s="126">
        <f>IF($D1046="",0,IFERROR(LOOKUP(2,1/(($D$3:D1045=$D1046)*($C$3:C1045=$C1046)*($A$3:A1045&lt;$A1046)),$AB$3:AB1045),1000))</f>
        <v>0</v>
      </c>
      <c r="V1046" s="126">
        <f t="shared" si="331"/>
        <v>0</v>
      </c>
      <c r="W1046">
        <f t="shared" si="332"/>
        <v>0</v>
      </c>
      <c r="X1046">
        <f t="shared" si="333"/>
        <v>0</v>
      </c>
      <c r="Y1046">
        <f t="shared" si="334"/>
        <v>0</v>
      </c>
      <c r="Z1046">
        <f t="shared" si="335"/>
        <v>0</v>
      </c>
      <c r="AA1046">
        <f>IF($D1046="",0,IF($F1046&lt;2,0,IF($E1046="Win",('Guide &amp; Settings'!$C$42/(($F1046-1)*COUNTIFS($A$4:$A$1510,$A1046,$E$4:$E$1510,"Win")))*SUMIFS($Z$4:$Z$1510,$A$4:$A$1510,$A1046,$E$4:$E$1510,"Loss"),-('Guide &amp; Settings'!$C$42/($F1046-1))*$Z1046)))</f>
        <v>0</v>
      </c>
      <c r="AB1046" s="126">
        <f t="shared" si="336"/>
        <v>0</v>
      </c>
      <c r="AC1046" t="str">
        <f>IF($D1046="","",IF($AD1046=0,0,IF(COUNTIFS($D$4:$D1046,$D1046,$B$4:$B1046,$B1046)&gt;1,0,IF($B1046&lt;'Guide &amp; Settings'!$C$50,0,IF(($B1046-$AD1046)/7-'Guide &amp; Settings'!$C$48&gt;=0,(INT(($B1046-$AD1046)/7-'Guide &amp; Settings'!$C$48)+1)*'Guide &amp; Settings'!$C$49,0)))))</f>
        <v/>
      </c>
      <c r="AD1046" s="142">
        <f t="shared" si="337"/>
        <v>0</v>
      </c>
      <c r="AE1046">
        <f t="shared" si="338"/>
        <v>0</v>
      </c>
      <c r="AF1046">
        <f t="shared" si="339"/>
        <v>0</v>
      </c>
    </row>
    <row r="1047" spans="1:32" x14ac:dyDescent="0.2">
      <c r="A1047" s="117"/>
      <c r="B1047" s="118"/>
      <c r="C1047" s="119"/>
      <c r="D1047" s="119"/>
      <c r="E1047" s="117"/>
      <c r="F1047" s="120">
        <f t="shared" si="320"/>
        <v>0</v>
      </c>
      <c r="G1047" s="121" t="str">
        <f t="shared" si="321"/>
        <v/>
      </c>
      <c r="H1047" s="122">
        <f>IF($D1047="",0,IFERROR(LOOKUP(2,1/(($D$3:D1046=$D1047)*($A$3:A1046&lt;$A1047)),$N$3:N1046),'Guide &amp; Settings'!$C$41))</f>
        <v>0</v>
      </c>
      <c r="I1047" s="123">
        <f t="shared" si="322"/>
        <v>0</v>
      </c>
      <c r="J1047" s="124">
        <f>IF($D1047="",0,IF($F1047&lt;2,0,IF($E1047="Win",('Guide &amp; Settings'!$C$42/(($F1047-1)*COUNTIFS($A$4:$A$1510,$A1047,$E$4:$E$1510,"Win")))*SUMIFS($X$4:$X$1510,$A$4:$A$1510,$A1047,$E$4:$E$1510,"Loss"),-('Guide &amp; Settings'!$C$42/($F1047-1))*$X1047)))</f>
        <v>0</v>
      </c>
      <c r="K1047" s="124">
        <f>IF($D1047="",0,'Guide &amp; Settings'!$C$43*(IF($E1047="Win",1,0)-$I1047))</f>
        <v>0</v>
      </c>
      <c r="L1047" s="125">
        <f>IF($D1047="",0,'Guide &amp; Settings'!$C$44*IF($F1047&gt;=3,$F1047,0))</f>
        <v>0</v>
      </c>
      <c r="M1047" s="124">
        <f t="shared" si="323"/>
        <v>0</v>
      </c>
      <c r="N1047" s="122">
        <f t="shared" si="324"/>
        <v>0</v>
      </c>
      <c r="O1047" s="121" t="str">
        <f t="shared" si="325"/>
        <v/>
      </c>
      <c r="P1047">
        <f t="shared" si="326"/>
        <v>0</v>
      </c>
      <c r="Q1047">
        <f t="shared" si="327"/>
        <v>0</v>
      </c>
      <c r="R1047">
        <f t="shared" si="328"/>
        <v>0</v>
      </c>
      <c r="S1047">
        <f t="shared" si="329"/>
        <v>0</v>
      </c>
      <c r="T1047" s="89">
        <f t="shared" si="330"/>
        <v>0</v>
      </c>
      <c r="U1047" s="126">
        <f>IF($D1047="",0,IFERROR(LOOKUP(2,1/(($D$3:D1046=$D1047)*($C$3:C1046=$C1047)*($A$3:A1046&lt;$A1047)),$AB$3:AB1046),1000))</f>
        <v>0</v>
      </c>
      <c r="V1047" s="126">
        <f t="shared" si="331"/>
        <v>0</v>
      </c>
      <c r="W1047">
        <f t="shared" si="332"/>
        <v>0</v>
      </c>
      <c r="X1047">
        <f t="shared" si="333"/>
        <v>0</v>
      </c>
      <c r="Y1047">
        <f t="shared" si="334"/>
        <v>0</v>
      </c>
      <c r="Z1047">
        <f t="shared" si="335"/>
        <v>0</v>
      </c>
      <c r="AA1047">
        <f>IF($D1047="",0,IF($F1047&lt;2,0,IF($E1047="Win",('Guide &amp; Settings'!$C$42/(($F1047-1)*COUNTIFS($A$4:$A$1510,$A1047,$E$4:$E$1510,"Win")))*SUMIFS($Z$4:$Z$1510,$A$4:$A$1510,$A1047,$E$4:$E$1510,"Loss"),-('Guide &amp; Settings'!$C$42/($F1047-1))*$Z1047)))</f>
        <v>0</v>
      </c>
      <c r="AB1047" s="126">
        <f t="shared" si="336"/>
        <v>0</v>
      </c>
      <c r="AC1047" t="str">
        <f>IF($D1047="","",IF($AD1047=0,0,IF(COUNTIFS($D$4:$D1047,$D1047,$B$4:$B1047,$B1047)&gt;1,0,IF($B1047&lt;'Guide &amp; Settings'!$C$50,0,IF(($B1047-$AD1047)/7-'Guide &amp; Settings'!$C$48&gt;=0,(INT(($B1047-$AD1047)/7-'Guide &amp; Settings'!$C$48)+1)*'Guide &amp; Settings'!$C$49,0)))))</f>
        <v/>
      </c>
      <c r="AD1047" s="142">
        <f t="shared" si="337"/>
        <v>0</v>
      </c>
      <c r="AE1047">
        <f t="shared" si="338"/>
        <v>0</v>
      </c>
      <c r="AF1047">
        <f t="shared" si="339"/>
        <v>0</v>
      </c>
    </row>
    <row r="1048" spans="1:32" x14ac:dyDescent="0.2">
      <c r="A1048" s="117"/>
      <c r="B1048" s="118"/>
      <c r="C1048" s="119"/>
      <c r="D1048" s="119"/>
      <c r="E1048" s="117"/>
      <c r="F1048" s="120">
        <f t="shared" si="320"/>
        <v>0</v>
      </c>
      <c r="G1048" s="121" t="str">
        <f t="shared" si="321"/>
        <v/>
      </c>
      <c r="H1048" s="122">
        <f>IF($D1048="",0,IFERROR(LOOKUP(2,1/(($D$3:D1047=$D1048)*($A$3:A1047&lt;$A1048)),$N$3:N1047),'Guide &amp; Settings'!$C$41))</f>
        <v>0</v>
      </c>
      <c r="I1048" s="123">
        <f t="shared" si="322"/>
        <v>0</v>
      </c>
      <c r="J1048" s="124">
        <f>IF($D1048="",0,IF($F1048&lt;2,0,IF($E1048="Win",('Guide &amp; Settings'!$C$42/(($F1048-1)*COUNTIFS($A$4:$A$1510,$A1048,$E$4:$E$1510,"Win")))*SUMIFS($X$4:$X$1510,$A$4:$A$1510,$A1048,$E$4:$E$1510,"Loss"),-('Guide &amp; Settings'!$C$42/($F1048-1))*$X1048)))</f>
        <v>0</v>
      </c>
      <c r="K1048" s="124">
        <f>IF($D1048="",0,'Guide &amp; Settings'!$C$43*(IF($E1048="Win",1,0)-$I1048))</f>
        <v>0</v>
      </c>
      <c r="L1048" s="125">
        <f>IF($D1048="",0,'Guide &amp; Settings'!$C$44*IF($F1048&gt;=3,$F1048,0))</f>
        <v>0</v>
      </c>
      <c r="M1048" s="124">
        <f t="shared" si="323"/>
        <v>0</v>
      </c>
      <c r="N1048" s="122">
        <f t="shared" si="324"/>
        <v>0</v>
      </c>
      <c r="O1048" s="121" t="str">
        <f t="shared" si="325"/>
        <v/>
      </c>
      <c r="P1048">
        <f t="shared" si="326"/>
        <v>0</v>
      </c>
      <c r="Q1048">
        <f t="shared" si="327"/>
        <v>0</v>
      </c>
      <c r="R1048">
        <f t="shared" si="328"/>
        <v>0</v>
      </c>
      <c r="S1048">
        <f t="shared" si="329"/>
        <v>0</v>
      </c>
      <c r="T1048" s="89">
        <f t="shared" si="330"/>
        <v>0</v>
      </c>
      <c r="U1048" s="126">
        <f>IF($D1048="",0,IFERROR(LOOKUP(2,1/(($D$3:D1047=$D1048)*($C$3:C1047=$C1048)*($A$3:A1047&lt;$A1048)),$AB$3:AB1047),1000))</f>
        <v>0</v>
      </c>
      <c r="V1048" s="126">
        <f t="shared" si="331"/>
        <v>0</v>
      </c>
      <c r="W1048">
        <f t="shared" si="332"/>
        <v>0</v>
      </c>
      <c r="X1048">
        <f t="shared" si="333"/>
        <v>0</v>
      </c>
      <c r="Y1048">
        <f t="shared" si="334"/>
        <v>0</v>
      </c>
      <c r="Z1048">
        <f t="shared" si="335"/>
        <v>0</v>
      </c>
      <c r="AA1048">
        <f>IF($D1048="",0,IF($F1048&lt;2,0,IF($E1048="Win",('Guide &amp; Settings'!$C$42/(($F1048-1)*COUNTIFS($A$4:$A$1510,$A1048,$E$4:$E$1510,"Win")))*SUMIFS($Z$4:$Z$1510,$A$4:$A$1510,$A1048,$E$4:$E$1510,"Loss"),-('Guide &amp; Settings'!$C$42/($F1048-1))*$Z1048)))</f>
        <v>0</v>
      </c>
      <c r="AB1048" s="126">
        <f t="shared" si="336"/>
        <v>0</v>
      </c>
      <c r="AC1048" t="str">
        <f>IF($D1048="","",IF($AD1048=0,0,IF(COUNTIFS($D$4:$D1048,$D1048,$B$4:$B1048,$B1048)&gt;1,0,IF($B1048&lt;'Guide &amp; Settings'!$C$50,0,IF(($B1048-$AD1048)/7-'Guide &amp; Settings'!$C$48&gt;=0,(INT(($B1048-$AD1048)/7-'Guide &amp; Settings'!$C$48)+1)*'Guide &amp; Settings'!$C$49,0)))))</f>
        <v/>
      </c>
      <c r="AD1048" s="142">
        <f t="shared" si="337"/>
        <v>0</v>
      </c>
      <c r="AE1048">
        <f t="shared" si="338"/>
        <v>0</v>
      </c>
      <c r="AF1048">
        <f t="shared" si="339"/>
        <v>0</v>
      </c>
    </row>
    <row r="1049" spans="1:32" x14ac:dyDescent="0.2">
      <c r="A1049" s="117"/>
      <c r="B1049" s="118"/>
      <c r="C1049" s="119"/>
      <c r="D1049" s="119"/>
      <c r="E1049" s="117"/>
      <c r="F1049" s="120">
        <f t="shared" si="320"/>
        <v>0</v>
      </c>
      <c r="G1049" s="121" t="str">
        <f t="shared" si="321"/>
        <v/>
      </c>
      <c r="H1049" s="122">
        <f>IF($D1049="",0,IFERROR(LOOKUP(2,1/(($D$3:D1048=$D1049)*($A$3:A1048&lt;$A1049)),$N$3:N1048),'Guide &amp; Settings'!$C$41))</f>
        <v>0</v>
      </c>
      <c r="I1049" s="123">
        <f t="shared" si="322"/>
        <v>0</v>
      </c>
      <c r="J1049" s="124">
        <f>IF($D1049="",0,IF($F1049&lt;2,0,IF($E1049="Win",('Guide &amp; Settings'!$C$42/(($F1049-1)*COUNTIFS($A$4:$A$1510,$A1049,$E$4:$E$1510,"Win")))*SUMIFS($X$4:$X$1510,$A$4:$A$1510,$A1049,$E$4:$E$1510,"Loss"),-('Guide &amp; Settings'!$C$42/($F1049-1))*$X1049)))</f>
        <v>0</v>
      </c>
      <c r="K1049" s="124">
        <f>IF($D1049="",0,'Guide &amp; Settings'!$C$43*(IF($E1049="Win",1,0)-$I1049))</f>
        <v>0</v>
      </c>
      <c r="L1049" s="125">
        <f>IF($D1049="",0,'Guide &amp; Settings'!$C$44*IF($F1049&gt;=3,$F1049,0))</f>
        <v>0</v>
      </c>
      <c r="M1049" s="124">
        <f t="shared" si="323"/>
        <v>0</v>
      </c>
      <c r="N1049" s="122">
        <f t="shared" si="324"/>
        <v>0</v>
      </c>
      <c r="O1049" s="121" t="str">
        <f t="shared" si="325"/>
        <v/>
      </c>
      <c r="P1049">
        <f t="shared" si="326"/>
        <v>0</v>
      </c>
      <c r="Q1049">
        <f t="shared" si="327"/>
        <v>0</v>
      </c>
      <c r="R1049">
        <f t="shared" si="328"/>
        <v>0</v>
      </c>
      <c r="S1049">
        <f t="shared" si="329"/>
        <v>0</v>
      </c>
      <c r="T1049" s="89">
        <f t="shared" si="330"/>
        <v>0</v>
      </c>
      <c r="U1049" s="126">
        <f>IF($D1049="",0,IFERROR(LOOKUP(2,1/(($D$3:D1048=$D1049)*($C$3:C1048=$C1049)*($A$3:A1048&lt;$A1049)),$AB$3:AB1048),1000))</f>
        <v>0</v>
      </c>
      <c r="V1049" s="126">
        <f t="shared" si="331"/>
        <v>0</v>
      </c>
      <c r="W1049">
        <f t="shared" si="332"/>
        <v>0</v>
      </c>
      <c r="X1049">
        <f t="shared" si="333"/>
        <v>0</v>
      </c>
      <c r="Y1049">
        <f t="shared" si="334"/>
        <v>0</v>
      </c>
      <c r="Z1049">
        <f t="shared" si="335"/>
        <v>0</v>
      </c>
      <c r="AA1049">
        <f>IF($D1049="",0,IF($F1049&lt;2,0,IF($E1049="Win",('Guide &amp; Settings'!$C$42/(($F1049-1)*COUNTIFS($A$4:$A$1510,$A1049,$E$4:$E$1510,"Win")))*SUMIFS($Z$4:$Z$1510,$A$4:$A$1510,$A1049,$E$4:$E$1510,"Loss"),-('Guide &amp; Settings'!$C$42/($F1049-1))*$Z1049)))</f>
        <v>0</v>
      </c>
      <c r="AB1049" s="126">
        <f t="shared" si="336"/>
        <v>0</v>
      </c>
      <c r="AC1049" t="str">
        <f>IF($D1049="","",IF($AD1049=0,0,IF(COUNTIFS($D$4:$D1049,$D1049,$B$4:$B1049,$B1049)&gt;1,0,IF($B1049&lt;'Guide &amp; Settings'!$C$50,0,IF(($B1049-$AD1049)/7-'Guide &amp; Settings'!$C$48&gt;=0,(INT(($B1049-$AD1049)/7-'Guide &amp; Settings'!$C$48)+1)*'Guide &amp; Settings'!$C$49,0)))))</f>
        <v/>
      </c>
      <c r="AD1049" s="142">
        <f t="shared" si="337"/>
        <v>0</v>
      </c>
      <c r="AE1049">
        <f t="shared" si="338"/>
        <v>0</v>
      </c>
      <c r="AF1049">
        <f t="shared" si="339"/>
        <v>0</v>
      </c>
    </row>
    <row r="1050" spans="1:32" x14ac:dyDescent="0.2">
      <c r="A1050" s="117"/>
      <c r="B1050" s="118"/>
      <c r="C1050" s="119"/>
      <c r="D1050" s="119"/>
      <c r="E1050" s="117"/>
      <c r="F1050" s="120">
        <f t="shared" si="320"/>
        <v>0</v>
      </c>
      <c r="G1050" s="121" t="str">
        <f t="shared" si="321"/>
        <v/>
      </c>
      <c r="H1050" s="122">
        <f>IF($D1050="",0,IFERROR(LOOKUP(2,1/(($D$3:D1049=$D1050)*($A$3:A1049&lt;$A1050)),$N$3:N1049),'Guide &amp; Settings'!$C$41))</f>
        <v>0</v>
      </c>
      <c r="I1050" s="123">
        <f t="shared" si="322"/>
        <v>0</v>
      </c>
      <c r="J1050" s="124">
        <f>IF($D1050="",0,IF($F1050&lt;2,0,IF($E1050="Win",('Guide &amp; Settings'!$C$42/(($F1050-1)*COUNTIFS($A$4:$A$1510,$A1050,$E$4:$E$1510,"Win")))*SUMIFS($X$4:$X$1510,$A$4:$A$1510,$A1050,$E$4:$E$1510,"Loss"),-('Guide &amp; Settings'!$C$42/($F1050-1))*$X1050)))</f>
        <v>0</v>
      </c>
      <c r="K1050" s="124">
        <f>IF($D1050="",0,'Guide &amp; Settings'!$C$43*(IF($E1050="Win",1,0)-$I1050))</f>
        <v>0</v>
      </c>
      <c r="L1050" s="125">
        <f>IF($D1050="",0,'Guide &amp; Settings'!$C$44*IF($F1050&gt;=3,$F1050,0))</f>
        <v>0</v>
      </c>
      <c r="M1050" s="124">
        <f t="shared" si="323"/>
        <v>0</v>
      </c>
      <c r="N1050" s="122">
        <f t="shared" si="324"/>
        <v>0</v>
      </c>
      <c r="O1050" s="121" t="str">
        <f t="shared" si="325"/>
        <v/>
      </c>
      <c r="P1050">
        <f t="shared" si="326"/>
        <v>0</v>
      </c>
      <c r="Q1050">
        <f t="shared" si="327"/>
        <v>0</v>
      </c>
      <c r="R1050">
        <f t="shared" si="328"/>
        <v>0</v>
      </c>
      <c r="S1050">
        <f t="shared" si="329"/>
        <v>0</v>
      </c>
      <c r="T1050" s="89">
        <f t="shared" si="330"/>
        <v>0</v>
      </c>
      <c r="U1050" s="126">
        <f>IF($D1050="",0,IFERROR(LOOKUP(2,1/(($D$3:D1049=$D1050)*($C$3:C1049=$C1050)*($A$3:A1049&lt;$A1050)),$AB$3:AB1049),1000))</f>
        <v>0</v>
      </c>
      <c r="V1050" s="126">
        <f t="shared" si="331"/>
        <v>0</v>
      </c>
      <c r="W1050">
        <f t="shared" si="332"/>
        <v>0</v>
      </c>
      <c r="X1050">
        <f t="shared" si="333"/>
        <v>0</v>
      </c>
      <c r="Y1050">
        <f t="shared" si="334"/>
        <v>0</v>
      </c>
      <c r="Z1050">
        <f t="shared" si="335"/>
        <v>0</v>
      </c>
      <c r="AA1050">
        <f>IF($D1050="",0,IF($F1050&lt;2,0,IF($E1050="Win",('Guide &amp; Settings'!$C$42/(($F1050-1)*COUNTIFS($A$4:$A$1510,$A1050,$E$4:$E$1510,"Win")))*SUMIFS($Z$4:$Z$1510,$A$4:$A$1510,$A1050,$E$4:$E$1510,"Loss"),-('Guide &amp; Settings'!$C$42/($F1050-1))*$Z1050)))</f>
        <v>0</v>
      </c>
      <c r="AB1050" s="126">
        <f t="shared" si="336"/>
        <v>0</v>
      </c>
      <c r="AC1050" t="str">
        <f>IF($D1050="","",IF($AD1050=0,0,IF(COUNTIFS($D$4:$D1050,$D1050,$B$4:$B1050,$B1050)&gt;1,0,IF($B1050&lt;'Guide &amp; Settings'!$C$50,0,IF(($B1050-$AD1050)/7-'Guide &amp; Settings'!$C$48&gt;=0,(INT(($B1050-$AD1050)/7-'Guide &amp; Settings'!$C$48)+1)*'Guide &amp; Settings'!$C$49,0)))))</f>
        <v/>
      </c>
      <c r="AD1050" s="142">
        <f t="shared" si="337"/>
        <v>0</v>
      </c>
      <c r="AE1050">
        <f t="shared" si="338"/>
        <v>0</v>
      </c>
      <c r="AF1050">
        <f t="shared" si="339"/>
        <v>0</v>
      </c>
    </row>
    <row r="1051" spans="1:32" x14ac:dyDescent="0.2">
      <c r="A1051" s="117"/>
      <c r="B1051" s="118"/>
      <c r="C1051" s="119"/>
      <c r="D1051" s="119"/>
      <c r="E1051" s="117"/>
      <c r="F1051" s="120">
        <f t="shared" si="320"/>
        <v>0</v>
      </c>
      <c r="G1051" s="121" t="str">
        <f t="shared" si="321"/>
        <v/>
      </c>
      <c r="H1051" s="122">
        <f>IF($D1051="",0,IFERROR(LOOKUP(2,1/(($D$3:D1050=$D1051)*($A$3:A1050&lt;$A1051)),$N$3:N1050),'Guide &amp; Settings'!$C$41))</f>
        <v>0</v>
      </c>
      <c r="I1051" s="123">
        <f t="shared" si="322"/>
        <v>0</v>
      </c>
      <c r="J1051" s="124">
        <f>IF($D1051="",0,IF($F1051&lt;2,0,IF($E1051="Win",('Guide &amp; Settings'!$C$42/(($F1051-1)*COUNTIFS($A$4:$A$1510,$A1051,$E$4:$E$1510,"Win")))*SUMIFS($X$4:$X$1510,$A$4:$A$1510,$A1051,$E$4:$E$1510,"Loss"),-('Guide &amp; Settings'!$C$42/($F1051-1))*$X1051)))</f>
        <v>0</v>
      </c>
      <c r="K1051" s="124">
        <f>IF($D1051="",0,'Guide &amp; Settings'!$C$43*(IF($E1051="Win",1,0)-$I1051))</f>
        <v>0</v>
      </c>
      <c r="L1051" s="125">
        <f>IF($D1051="",0,'Guide &amp; Settings'!$C$44*IF($F1051&gt;=3,$F1051,0))</f>
        <v>0</v>
      </c>
      <c r="M1051" s="124">
        <f t="shared" si="323"/>
        <v>0</v>
      </c>
      <c r="N1051" s="122">
        <f t="shared" si="324"/>
        <v>0</v>
      </c>
      <c r="O1051" s="121" t="str">
        <f t="shared" si="325"/>
        <v/>
      </c>
      <c r="P1051">
        <f t="shared" si="326"/>
        <v>0</v>
      </c>
      <c r="Q1051">
        <f t="shared" si="327"/>
        <v>0</v>
      </c>
      <c r="R1051">
        <f t="shared" si="328"/>
        <v>0</v>
      </c>
      <c r="S1051">
        <f t="shared" si="329"/>
        <v>0</v>
      </c>
      <c r="T1051" s="89">
        <f t="shared" si="330"/>
        <v>0</v>
      </c>
      <c r="U1051" s="126">
        <f>IF($D1051="",0,IFERROR(LOOKUP(2,1/(($D$3:D1050=$D1051)*($C$3:C1050=$C1051)*($A$3:A1050&lt;$A1051)),$AB$3:AB1050),1000))</f>
        <v>0</v>
      </c>
      <c r="V1051" s="126">
        <f t="shared" si="331"/>
        <v>0</v>
      </c>
      <c r="W1051">
        <f t="shared" si="332"/>
        <v>0</v>
      </c>
      <c r="X1051">
        <f t="shared" si="333"/>
        <v>0</v>
      </c>
      <c r="Y1051">
        <f t="shared" si="334"/>
        <v>0</v>
      </c>
      <c r="Z1051">
        <f t="shared" si="335"/>
        <v>0</v>
      </c>
      <c r="AA1051">
        <f>IF($D1051="",0,IF($F1051&lt;2,0,IF($E1051="Win",('Guide &amp; Settings'!$C$42/(($F1051-1)*COUNTIFS($A$4:$A$1510,$A1051,$E$4:$E$1510,"Win")))*SUMIFS($Z$4:$Z$1510,$A$4:$A$1510,$A1051,$E$4:$E$1510,"Loss"),-('Guide &amp; Settings'!$C$42/($F1051-1))*$Z1051)))</f>
        <v>0</v>
      </c>
      <c r="AB1051" s="126">
        <f t="shared" si="336"/>
        <v>0</v>
      </c>
      <c r="AC1051" t="str">
        <f>IF($D1051="","",IF($AD1051=0,0,IF(COUNTIFS($D$4:$D1051,$D1051,$B$4:$B1051,$B1051)&gt;1,0,IF($B1051&lt;'Guide &amp; Settings'!$C$50,0,IF(($B1051-$AD1051)/7-'Guide &amp; Settings'!$C$48&gt;=0,(INT(($B1051-$AD1051)/7-'Guide &amp; Settings'!$C$48)+1)*'Guide &amp; Settings'!$C$49,0)))))</f>
        <v/>
      </c>
      <c r="AD1051" s="142">
        <f t="shared" si="337"/>
        <v>0</v>
      </c>
      <c r="AE1051">
        <f t="shared" si="338"/>
        <v>0</v>
      </c>
      <c r="AF1051">
        <f t="shared" si="339"/>
        <v>0</v>
      </c>
    </row>
    <row r="1052" spans="1:32" x14ac:dyDescent="0.2">
      <c r="A1052" s="117"/>
      <c r="B1052" s="118"/>
      <c r="C1052" s="119"/>
      <c r="D1052" s="119"/>
      <c r="E1052" s="117"/>
      <c r="F1052" s="120">
        <f t="shared" si="320"/>
        <v>0</v>
      </c>
      <c r="G1052" s="121" t="str">
        <f t="shared" si="321"/>
        <v/>
      </c>
      <c r="H1052" s="122">
        <f>IF($D1052="",0,IFERROR(LOOKUP(2,1/(($D$3:D1051=$D1052)*($A$3:A1051&lt;$A1052)),$N$3:N1051),'Guide &amp; Settings'!$C$41))</f>
        <v>0</v>
      </c>
      <c r="I1052" s="123">
        <f t="shared" si="322"/>
        <v>0</v>
      </c>
      <c r="J1052" s="124">
        <f>IF($D1052="",0,IF($F1052&lt;2,0,IF($E1052="Win",('Guide &amp; Settings'!$C$42/(($F1052-1)*COUNTIFS($A$4:$A$1510,$A1052,$E$4:$E$1510,"Win")))*SUMIFS($X$4:$X$1510,$A$4:$A$1510,$A1052,$E$4:$E$1510,"Loss"),-('Guide &amp; Settings'!$C$42/($F1052-1))*$X1052)))</f>
        <v>0</v>
      </c>
      <c r="K1052" s="124">
        <f>IF($D1052="",0,'Guide &amp; Settings'!$C$43*(IF($E1052="Win",1,0)-$I1052))</f>
        <v>0</v>
      </c>
      <c r="L1052" s="125">
        <f>IF($D1052="",0,'Guide &amp; Settings'!$C$44*IF($F1052&gt;=3,$F1052,0))</f>
        <v>0</v>
      </c>
      <c r="M1052" s="124">
        <f t="shared" si="323"/>
        <v>0</v>
      </c>
      <c r="N1052" s="122">
        <f t="shared" si="324"/>
        <v>0</v>
      </c>
      <c r="O1052" s="121" t="str">
        <f t="shared" si="325"/>
        <v/>
      </c>
      <c r="P1052">
        <f t="shared" si="326"/>
        <v>0</v>
      </c>
      <c r="Q1052">
        <f t="shared" si="327"/>
        <v>0</v>
      </c>
      <c r="R1052">
        <f t="shared" si="328"/>
        <v>0</v>
      </c>
      <c r="S1052">
        <f t="shared" si="329"/>
        <v>0</v>
      </c>
      <c r="T1052" s="89">
        <f t="shared" si="330"/>
        <v>0</v>
      </c>
      <c r="U1052" s="126">
        <f>IF($D1052="",0,IFERROR(LOOKUP(2,1/(($D$3:D1051=$D1052)*($C$3:C1051=$C1052)*($A$3:A1051&lt;$A1052)),$AB$3:AB1051),1000))</f>
        <v>0</v>
      </c>
      <c r="V1052" s="126">
        <f t="shared" si="331"/>
        <v>0</v>
      </c>
      <c r="W1052">
        <f t="shared" si="332"/>
        <v>0</v>
      </c>
      <c r="X1052">
        <f t="shared" si="333"/>
        <v>0</v>
      </c>
      <c r="Y1052">
        <f t="shared" si="334"/>
        <v>0</v>
      </c>
      <c r="Z1052">
        <f t="shared" si="335"/>
        <v>0</v>
      </c>
      <c r="AA1052">
        <f>IF($D1052="",0,IF($F1052&lt;2,0,IF($E1052="Win",('Guide &amp; Settings'!$C$42/(($F1052-1)*COUNTIFS($A$4:$A$1510,$A1052,$E$4:$E$1510,"Win")))*SUMIFS($Z$4:$Z$1510,$A$4:$A$1510,$A1052,$E$4:$E$1510,"Loss"),-('Guide &amp; Settings'!$C$42/($F1052-1))*$Z1052)))</f>
        <v>0</v>
      </c>
      <c r="AB1052" s="126">
        <f t="shared" si="336"/>
        <v>0</v>
      </c>
      <c r="AC1052" t="str">
        <f>IF($D1052="","",IF($AD1052=0,0,IF(COUNTIFS($D$4:$D1052,$D1052,$B$4:$B1052,$B1052)&gt;1,0,IF($B1052&lt;'Guide &amp; Settings'!$C$50,0,IF(($B1052-$AD1052)/7-'Guide &amp; Settings'!$C$48&gt;=0,(INT(($B1052-$AD1052)/7-'Guide &amp; Settings'!$C$48)+1)*'Guide &amp; Settings'!$C$49,0)))))</f>
        <v/>
      </c>
      <c r="AD1052" s="142">
        <f t="shared" si="337"/>
        <v>0</v>
      </c>
      <c r="AE1052">
        <f t="shared" si="338"/>
        <v>0</v>
      </c>
      <c r="AF1052">
        <f t="shared" si="339"/>
        <v>0</v>
      </c>
    </row>
    <row r="1053" spans="1:32" x14ac:dyDescent="0.2">
      <c r="A1053" s="117"/>
      <c r="B1053" s="118"/>
      <c r="C1053" s="119"/>
      <c r="D1053" s="119"/>
      <c r="E1053" s="117"/>
      <c r="F1053" s="120">
        <f t="shared" si="320"/>
        <v>0</v>
      </c>
      <c r="G1053" s="121" t="str">
        <f t="shared" si="321"/>
        <v/>
      </c>
      <c r="H1053" s="122">
        <f>IF($D1053="",0,IFERROR(LOOKUP(2,1/(($D$3:D1052=$D1053)*($A$3:A1052&lt;$A1053)),$N$3:N1052),'Guide &amp; Settings'!$C$41))</f>
        <v>0</v>
      </c>
      <c r="I1053" s="123">
        <f t="shared" si="322"/>
        <v>0</v>
      </c>
      <c r="J1053" s="124">
        <f>IF($D1053="",0,IF($F1053&lt;2,0,IF($E1053="Win",('Guide &amp; Settings'!$C$42/(($F1053-1)*COUNTIFS($A$4:$A$1510,$A1053,$E$4:$E$1510,"Win")))*SUMIFS($X$4:$X$1510,$A$4:$A$1510,$A1053,$E$4:$E$1510,"Loss"),-('Guide &amp; Settings'!$C$42/($F1053-1))*$X1053)))</f>
        <v>0</v>
      </c>
      <c r="K1053" s="124">
        <f>IF($D1053="",0,'Guide &amp; Settings'!$C$43*(IF($E1053="Win",1,0)-$I1053))</f>
        <v>0</v>
      </c>
      <c r="L1053" s="125">
        <f>IF($D1053="",0,'Guide &amp; Settings'!$C$44*IF($F1053&gt;=3,$F1053,0))</f>
        <v>0</v>
      </c>
      <c r="M1053" s="124">
        <f t="shared" si="323"/>
        <v>0</v>
      </c>
      <c r="N1053" s="122">
        <f t="shared" si="324"/>
        <v>0</v>
      </c>
      <c r="O1053" s="121" t="str">
        <f t="shared" si="325"/>
        <v/>
      </c>
      <c r="P1053">
        <f t="shared" si="326"/>
        <v>0</v>
      </c>
      <c r="Q1053">
        <f t="shared" si="327"/>
        <v>0</v>
      </c>
      <c r="R1053">
        <f t="shared" si="328"/>
        <v>0</v>
      </c>
      <c r="S1053">
        <f t="shared" si="329"/>
        <v>0</v>
      </c>
      <c r="T1053" s="89">
        <f t="shared" si="330"/>
        <v>0</v>
      </c>
      <c r="U1053" s="126">
        <f>IF($D1053="",0,IFERROR(LOOKUP(2,1/(($D$3:D1052=$D1053)*($C$3:C1052=$C1053)*($A$3:A1052&lt;$A1053)),$AB$3:AB1052),1000))</f>
        <v>0</v>
      </c>
      <c r="V1053" s="126">
        <f t="shared" si="331"/>
        <v>0</v>
      </c>
      <c r="W1053">
        <f t="shared" si="332"/>
        <v>0</v>
      </c>
      <c r="X1053">
        <f t="shared" si="333"/>
        <v>0</v>
      </c>
      <c r="Y1053">
        <f t="shared" si="334"/>
        <v>0</v>
      </c>
      <c r="Z1053">
        <f t="shared" si="335"/>
        <v>0</v>
      </c>
      <c r="AA1053">
        <f>IF($D1053="",0,IF($F1053&lt;2,0,IF($E1053="Win",('Guide &amp; Settings'!$C$42/(($F1053-1)*COUNTIFS($A$4:$A$1510,$A1053,$E$4:$E$1510,"Win")))*SUMIFS($Z$4:$Z$1510,$A$4:$A$1510,$A1053,$E$4:$E$1510,"Loss"),-('Guide &amp; Settings'!$C$42/($F1053-1))*$Z1053)))</f>
        <v>0</v>
      </c>
      <c r="AB1053" s="126">
        <f t="shared" si="336"/>
        <v>0</v>
      </c>
      <c r="AC1053" t="str">
        <f>IF($D1053="","",IF($AD1053=0,0,IF(COUNTIFS($D$4:$D1053,$D1053,$B$4:$B1053,$B1053)&gt;1,0,IF($B1053&lt;'Guide &amp; Settings'!$C$50,0,IF(($B1053-$AD1053)/7-'Guide &amp; Settings'!$C$48&gt;=0,(INT(($B1053-$AD1053)/7-'Guide &amp; Settings'!$C$48)+1)*'Guide &amp; Settings'!$C$49,0)))))</f>
        <v/>
      </c>
      <c r="AD1053" s="142">
        <f t="shared" si="337"/>
        <v>0</v>
      </c>
      <c r="AE1053">
        <f t="shared" si="338"/>
        <v>0</v>
      </c>
      <c r="AF1053">
        <f t="shared" si="339"/>
        <v>0</v>
      </c>
    </row>
    <row r="1054" spans="1:32" x14ac:dyDescent="0.2">
      <c r="A1054" s="117"/>
      <c r="B1054" s="118"/>
      <c r="C1054" s="119"/>
      <c r="D1054" s="119"/>
      <c r="E1054" s="117"/>
      <c r="F1054" s="120">
        <f t="shared" si="320"/>
        <v>0</v>
      </c>
      <c r="G1054" s="121" t="str">
        <f t="shared" si="321"/>
        <v/>
      </c>
      <c r="H1054" s="122">
        <f>IF($D1054="",0,IFERROR(LOOKUP(2,1/(($D$3:D1053=$D1054)*($A$3:A1053&lt;$A1054)),$N$3:N1053),'Guide &amp; Settings'!$C$41))</f>
        <v>0</v>
      </c>
      <c r="I1054" s="123">
        <f t="shared" si="322"/>
        <v>0</v>
      </c>
      <c r="J1054" s="124">
        <f>IF($D1054="",0,IF($F1054&lt;2,0,IF($E1054="Win",('Guide &amp; Settings'!$C$42/(($F1054-1)*COUNTIFS($A$4:$A$1510,$A1054,$E$4:$E$1510,"Win")))*SUMIFS($X$4:$X$1510,$A$4:$A$1510,$A1054,$E$4:$E$1510,"Loss"),-('Guide &amp; Settings'!$C$42/($F1054-1))*$X1054)))</f>
        <v>0</v>
      </c>
      <c r="K1054" s="124">
        <f>IF($D1054="",0,'Guide &amp; Settings'!$C$43*(IF($E1054="Win",1,0)-$I1054))</f>
        <v>0</v>
      </c>
      <c r="L1054" s="125">
        <f>IF($D1054="",0,'Guide &amp; Settings'!$C$44*IF($F1054&gt;=3,$F1054,0))</f>
        <v>0</v>
      </c>
      <c r="M1054" s="124">
        <f t="shared" si="323"/>
        <v>0</v>
      </c>
      <c r="N1054" s="122">
        <f t="shared" si="324"/>
        <v>0</v>
      </c>
      <c r="O1054" s="121" t="str">
        <f t="shared" si="325"/>
        <v/>
      </c>
      <c r="P1054">
        <f t="shared" si="326"/>
        <v>0</v>
      </c>
      <c r="Q1054">
        <f t="shared" si="327"/>
        <v>0</v>
      </c>
      <c r="R1054">
        <f t="shared" si="328"/>
        <v>0</v>
      </c>
      <c r="S1054">
        <f t="shared" si="329"/>
        <v>0</v>
      </c>
      <c r="T1054" s="89">
        <f t="shared" si="330"/>
        <v>0</v>
      </c>
      <c r="U1054" s="126">
        <f>IF($D1054="",0,IFERROR(LOOKUP(2,1/(($D$3:D1053=$D1054)*($C$3:C1053=$C1054)*($A$3:A1053&lt;$A1054)),$AB$3:AB1053),1000))</f>
        <v>0</v>
      </c>
      <c r="V1054" s="126">
        <f t="shared" si="331"/>
        <v>0</v>
      </c>
      <c r="W1054">
        <f t="shared" si="332"/>
        <v>0</v>
      </c>
      <c r="X1054">
        <f t="shared" si="333"/>
        <v>0</v>
      </c>
      <c r="Y1054">
        <f t="shared" si="334"/>
        <v>0</v>
      </c>
      <c r="Z1054">
        <f t="shared" si="335"/>
        <v>0</v>
      </c>
      <c r="AA1054">
        <f>IF($D1054="",0,IF($F1054&lt;2,0,IF($E1054="Win",('Guide &amp; Settings'!$C$42/(($F1054-1)*COUNTIFS($A$4:$A$1510,$A1054,$E$4:$E$1510,"Win")))*SUMIFS($Z$4:$Z$1510,$A$4:$A$1510,$A1054,$E$4:$E$1510,"Loss"),-('Guide &amp; Settings'!$C$42/($F1054-1))*$Z1054)))</f>
        <v>0</v>
      </c>
      <c r="AB1054" s="126">
        <f t="shared" si="336"/>
        <v>0</v>
      </c>
      <c r="AC1054" t="str">
        <f>IF($D1054="","",IF($AD1054=0,0,IF(COUNTIFS($D$4:$D1054,$D1054,$B$4:$B1054,$B1054)&gt;1,0,IF($B1054&lt;'Guide &amp; Settings'!$C$50,0,IF(($B1054-$AD1054)/7-'Guide &amp; Settings'!$C$48&gt;=0,(INT(($B1054-$AD1054)/7-'Guide &amp; Settings'!$C$48)+1)*'Guide &amp; Settings'!$C$49,0)))))</f>
        <v/>
      </c>
      <c r="AD1054" s="142">
        <f t="shared" si="337"/>
        <v>0</v>
      </c>
      <c r="AE1054">
        <f t="shared" si="338"/>
        <v>0</v>
      </c>
      <c r="AF1054">
        <f t="shared" si="339"/>
        <v>0</v>
      </c>
    </row>
    <row r="1055" spans="1:32" x14ac:dyDescent="0.2">
      <c r="A1055" s="117"/>
      <c r="B1055" s="118"/>
      <c r="C1055" s="119"/>
      <c r="D1055" s="119"/>
      <c r="E1055" s="117"/>
      <c r="F1055" s="120">
        <f t="shared" si="320"/>
        <v>0</v>
      </c>
      <c r="G1055" s="121" t="str">
        <f t="shared" si="321"/>
        <v/>
      </c>
      <c r="H1055" s="122">
        <f>IF($D1055="",0,IFERROR(LOOKUP(2,1/(($D$3:D1054=$D1055)*($A$3:A1054&lt;$A1055)),$N$3:N1054),'Guide &amp; Settings'!$C$41))</f>
        <v>0</v>
      </c>
      <c r="I1055" s="123">
        <f t="shared" si="322"/>
        <v>0</v>
      </c>
      <c r="J1055" s="124">
        <f>IF($D1055="",0,IF($F1055&lt;2,0,IF($E1055="Win",('Guide &amp; Settings'!$C$42/(($F1055-1)*COUNTIFS($A$4:$A$1510,$A1055,$E$4:$E$1510,"Win")))*SUMIFS($X$4:$X$1510,$A$4:$A$1510,$A1055,$E$4:$E$1510,"Loss"),-('Guide &amp; Settings'!$C$42/($F1055-1))*$X1055)))</f>
        <v>0</v>
      </c>
      <c r="K1055" s="124">
        <f>IF($D1055="",0,'Guide &amp; Settings'!$C$43*(IF($E1055="Win",1,0)-$I1055))</f>
        <v>0</v>
      </c>
      <c r="L1055" s="125">
        <f>IF($D1055="",0,'Guide &amp; Settings'!$C$44*IF($F1055&gt;=3,$F1055,0))</f>
        <v>0</v>
      </c>
      <c r="M1055" s="124">
        <f t="shared" si="323"/>
        <v>0</v>
      </c>
      <c r="N1055" s="122">
        <f t="shared" si="324"/>
        <v>0</v>
      </c>
      <c r="O1055" s="121" t="str">
        <f t="shared" si="325"/>
        <v/>
      </c>
      <c r="P1055">
        <f t="shared" si="326"/>
        <v>0</v>
      </c>
      <c r="Q1055">
        <f t="shared" si="327"/>
        <v>0</v>
      </c>
      <c r="R1055">
        <f t="shared" si="328"/>
        <v>0</v>
      </c>
      <c r="S1055">
        <f t="shared" si="329"/>
        <v>0</v>
      </c>
      <c r="T1055" s="89">
        <f t="shared" si="330"/>
        <v>0</v>
      </c>
      <c r="U1055" s="126">
        <f>IF($D1055="",0,IFERROR(LOOKUP(2,1/(($D$3:D1054=$D1055)*($C$3:C1054=$C1055)*($A$3:A1054&lt;$A1055)),$AB$3:AB1054),1000))</f>
        <v>0</v>
      </c>
      <c r="V1055" s="126">
        <f t="shared" si="331"/>
        <v>0</v>
      </c>
      <c r="W1055">
        <f t="shared" si="332"/>
        <v>0</v>
      </c>
      <c r="X1055">
        <f t="shared" si="333"/>
        <v>0</v>
      </c>
      <c r="Y1055">
        <f t="shared" si="334"/>
        <v>0</v>
      </c>
      <c r="Z1055">
        <f t="shared" si="335"/>
        <v>0</v>
      </c>
      <c r="AA1055">
        <f>IF($D1055="",0,IF($F1055&lt;2,0,IF($E1055="Win",('Guide &amp; Settings'!$C$42/(($F1055-1)*COUNTIFS($A$4:$A$1510,$A1055,$E$4:$E$1510,"Win")))*SUMIFS($Z$4:$Z$1510,$A$4:$A$1510,$A1055,$E$4:$E$1510,"Loss"),-('Guide &amp; Settings'!$C$42/($F1055-1))*$Z1055)))</f>
        <v>0</v>
      </c>
      <c r="AB1055" s="126">
        <f t="shared" si="336"/>
        <v>0</v>
      </c>
      <c r="AC1055" t="str">
        <f>IF($D1055="","",IF($AD1055=0,0,IF(COUNTIFS($D$4:$D1055,$D1055,$B$4:$B1055,$B1055)&gt;1,0,IF($B1055&lt;'Guide &amp; Settings'!$C$50,0,IF(($B1055-$AD1055)/7-'Guide &amp; Settings'!$C$48&gt;=0,(INT(($B1055-$AD1055)/7-'Guide &amp; Settings'!$C$48)+1)*'Guide &amp; Settings'!$C$49,0)))))</f>
        <v/>
      </c>
      <c r="AD1055" s="142">
        <f t="shared" si="337"/>
        <v>0</v>
      </c>
      <c r="AE1055">
        <f t="shared" si="338"/>
        <v>0</v>
      </c>
      <c r="AF1055">
        <f t="shared" si="339"/>
        <v>0</v>
      </c>
    </row>
    <row r="1056" spans="1:32" x14ac:dyDescent="0.2">
      <c r="A1056" s="117"/>
      <c r="B1056" s="118"/>
      <c r="C1056" s="119"/>
      <c r="D1056" s="119"/>
      <c r="E1056" s="117"/>
      <c r="F1056" s="120">
        <f t="shared" si="320"/>
        <v>0</v>
      </c>
      <c r="G1056" s="121" t="str">
        <f t="shared" si="321"/>
        <v/>
      </c>
      <c r="H1056" s="122">
        <f>IF($D1056="",0,IFERROR(LOOKUP(2,1/(($D$3:D1055=$D1056)*($A$3:A1055&lt;$A1056)),$N$3:N1055),'Guide &amp; Settings'!$C$41))</f>
        <v>0</v>
      </c>
      <c r="I1056" s="123">
        <f t="shared" si="322"/>
        <v>0</v>
      </c>
      <c r="J1056" s="124">
        <f>IF($D1056="",0,IF($F1056&lt;2,0,IF($E1056="Win",('Guide &amp; Settings'!$C$42/(($F1056-1)*COUNTIFS($A$4:$A$1510,$A1056,$E$4:$E$1510,"Win")))*SUMIFS($X$4:$X$1510,$A$4:$A$1510,$A1056,$E$4:$E$1510,"Loss"),-('Guide &amp; Settings'!$C$42/($F1056-1))*$X1056)))</f>
        <v>0</v>
      </c>
      <c r="K1056" s="124">
        <f>IF($D1056="",0,'Guide &amp; Settings'!$C$43*(IF($E1056="Win",1,0)-$I1056))</f>
        <v>0</v>
      </c>
      <c r="L1056" s="125">
        <f>IF($D1056="",0,'Guide &amp; Settings'!$C$44*IF($F1056&gt;=3,$F1056,0))</f>
        <v>0</v>
      </c>
      <c r="M1056" s="124">
        <f t="shared" si="323"/>
        <v>0</v>
      </c>
      <c r="N1056" s="122">
        <f t="shared" si="324"/>
        <v>0</v>
      </c>
      <c r="O1056" s="121" t="str">
        <f t="shared" si="325"/>
        <v/>
      </c>
      <c r="P1056">
        <f t="shared" si="326"/>
        <v>0</v>
      </c>
      <c r="Q1056">
        <f t="shared" si="327"/>
        <v>0</v>
      </c>
      <c r="R1056">
        <f t="shared" si="328"/>
        <v>0</v>
      </c>
      <c r="S1056">
        <f t="shared" si="329"/>
        <v>0</v>
      </c>
      <c r="T1056" s="89">
        <f t="shared" si="330"/>
        <v>0</v>
      </c>
      <c r="U1056" s="126">
        <f>IF($D1056="",0,IFERROR(LOOKUP(2,1/(($D$3:D1055=$D1056)*($C$3:C1055=$C1056)*($A$3:A1055&lt;$A1056)),$AB$3:AB1055),1000))</f>
        <v>0</v>
      </c>
      <c r="V1056" s="126">
        <f t="shared" si="331"/>
        <v>0</v>
      </c>
      <c r="W1056">
        <f t="shared" si="332"/>
        <v>0</v>
      </c>
      <c r="X1056">
        <f t="shared" si="333"/>
        <v>0</v>
      </c>
      <c r="Y1056">
        <f t="shared" si="334"/>
        <v>0</v>
      </c>
      <c r="Z1056">
        <f t="shared" si="335"/>
        <v>0</v>
      </c>
      <c r="AA1056">
        <f>IF($D1056="",0,IF($F1056&lt;2,0,IF($E1056="Win",('Guide &amp; Settings'!$C$42/(($F1056-1)*COUNTIFS($A$4:$A$1510,$A1056,$E$4:$E$1510,"Win")))*SUMIFS($Z$4:$Z$1510,$A$4:$A$1510,$A1056,$E$4:$E$1510,"Loss"),-('Guide &amp; Settings'!$C$42/($F1056-1))*$Z1056)))</f>
        <v>0</v>
      </c>
      <c r="AB1056" s="126">
        <f t="shared" si="336"/>
        <v>0</v>
      </c>
      <c r="AC1056" t="str">
        <f>IF($D1056="","",IF($AD1056=0,0,IF(COUNTIFS($D$4:$D1056,$D1056,$B$4:$B1056,$B1056)&gt;1,0,IF($B1056&lt;'Guide &amp; Settings'!$C$50,0,IF(($B1056-$AD1056)/7-'Guide &amp; Settings'!$C$48&gt;=0,(INT(($B1056-$AD1056)/7-'Guide &amp; Settings'!$C$48)+1)*'Guide &amp; Settings'!$C$49,0)))))</f>
        <v/>
      </c>
      <c r="AD1056" s="142">
        <f t="shared" si="337"/>
        <v>0</v>
      </c>
      <c r="AE1056">
        <f t="shared" si="338"/>
        <v>0</v>
      </c>
      <c r="AF1056">
        <f t="shared" si="339"/>
        <v>0</v>
      </c>
    </row>
    <row r="1057" spans="1:32" x14ac:dyDescent="0.2">
      <c r="A1057" s="117"/>
      <c r="B1057" s="118"/>
      <c r="C1057" s="119"/>
      <c r="D1057" s="119"/>
      <c r="E1057" s="117"/>
      <c r="F1057" s="120">
        <f t="shared" si="320"/>
        <v>0</v>
      </c>
      <c r="G1057" s="121" t="str">
        <f t="shared" si="321"/>
        <v/>
      </c>
      <c r="H1057" s="122">
        <f>IF($D1057="",0,IFERROR(LOOKUP(2,1/(($D$3:D1056=$D1057)*($A$3:A1056&lt;$A1057)),$N$3:N1056),'Guide &amp; Settings'!$C$41))</f>
        <v>0</v>
      </c>
      <c r="I1057" s="123">
        <f t="shared" si="322"/>
        <v>0</v>
      </c>
      <c r="J1057" s="124">
        <f>IF($D1057="",0,IF($F1057&lt;2,0,IF($E1057="Win",('Guide &amp; Settings'!$C$42/(($F1057-1)*COUNTIFS($A$4:$A$1510,$A1057,$E$4:$E$1510,"Win")))*SUMIFS($X$4:$X$1510,$A$4:$A$1510,$A1057,$E$4:$E$1510,"Loss"),-('Guide &amp; Settings'!$C$42/($F1057-1))*$X1057)))</f>
        <v>0</v>
      </c>
      <c r="K1057" s="124">
        <f>IF($D1057="",0,'Guide &amp; Settings'!$C$43*(IF($E1057="Win",1,0)-$I1057))</f>
        <v>0</v>
      </c>
      <c r="L1057" s="125">
        <f>IF($D1057="",0,'Guide &amp; Settings'!$C$44*IF($F1057&gt;=3,$F1057,0))</f>
        <v>0</v>
      </c>
      <c r="M1057" s="124">
        <f t="shared" si="323"/>
        <v>0</v>
      </c>
      <c r="N1057" s="122">
        <f t="shared" si="324"/>
        <v>0</v>
      </c>
      <c r="O1057" s="121" t="str">
        <f t="shared" si="325"/>
        <v/>
      </c>
      <c r="P1057">
        <f t="shared" si="326"/>
        <v>0</v>
      </c>
      <c r="Q1057">
        <f t="shared" si="327"/>
        <v>0</v>
      </c>
      <c r="R1057">
        <f t="shared" si="328"/>
        <v>0</v>
      </c>
      <c r="S1057">
        <f t="shared" si="329"/>
        <v>0</v>
      </c>
      <c r="T1057" s="89">
        <f t="shared" si="330"/>
        <v>0</v>
      </c>
      <c r="U1057" s="126">
        <f>IF($D1057="",0,IFERROR(LOOKUP(2,1/(($D$3:D1056=$D1057)*($C$3:C1056=$C1057)*($A$3:A1056&lt;$A1057)),$AB$3:AB1056),1000))</f>
        <v>0</v>
      </c>
      <c r="V1057" s="126">
        <f t="shared" si="331"/>
        <v>0</v>
      </c>
      <c r="W1057">
        <f t="shared" si="332"/>
        <v>0</v>
      </c>
      <c r="X1057">
        <f t="shared" si="333"/>
        <v>0</v>
      </c>
      <c r="Y1057">
        <f t="shared" si="334"/>
        <v>0</v>
      </c>
      <c r="Z1057">
        <f t="shared" si="335"/>
        <v>0</v>
      </c>
      <c r="AA1057">
        <f>IF($D1057="",0,IF($F1057&lt;2,0,IF($E1057="Win",('Guide &amp; Settings'!$C$42/(($F1057-1)*COUNTIFS($A$4:$A$1510,$A1057,$E$4:$E$1510,"Win")))*SUMIFS($Z$4:$Z$1510,$A$4:$A$1510,$A1057,$E$4:$E$1510,"Loss"),-('Guide &amp; Settings'!$C$42/($F1057-1))*$Z1057)))</f>
        <v>0</v>
      </c>
      <c r="AB1057" s="126">
        <f t="shared" si="336"/>
        <v>0</v>
      </c>
      <c r="AC1057" t="str">
        <f>IF($D1057="","",IF($AD1057=0,0,IF(COUNTIFS($D$4:$D1057,$D1057,$B$4:$B1057,$B1057)&gt;1,0,IF($B1057&lt;'Guide &amp; Settings'!$C$50,0,IF(($B1057-$AD1057)/7-'Guide &amp; Settings'!$C$48&gt;=0,(INT(($B1057-$AD1057)/7-'Guide &amp; Settings'!$C$48)+1)*'Guide &amp; Settings'!$C$49,0)))))</f>
        <v/>
      </c>
      <c r="AD1057" s="142">
        <f t="shared" si="337"/>
        <v>0</v>
      </c>
      <c r="AE1057">
        <f t="shared" si="338"/>
        <v>0</v>
      </c>
      <c r="AF1057">
        <f t="shared" si="339"/>
        <v>0</v>
      </c>
    </row>
    <row r="1058" spans="1:32" x14ac:dyDescent="0.2">
      <c r="A1058" s="117"/>
      <c r="B1058" s="118"/>
      <c r="C1058" s="119"/>
      <c r="D1058" s="119"/>
      <c r="E1058" s="117"/>
      <c r="F1058" s="120">
        <f t="shared" si="320"/>
        <v>0</v>
      </c>
      <c r="G1058" s="121" t="str">
        <f t="shared" si="321"/>
        <v/>
      </c>
      <c r="H1058" s="122">
        <f>IF($D1058="",0,IFERROR(LOOKUP(2,1/(($D$3:D1057=$D1058)*($A$3:A1057&lt;$A1058)),$N$3:N1057),'Guide &amp; Settings'!$C$41))</f>
        <v>0</v>
      </c>
      <c r="I1058" s="123">
        <f t="shared" si="322"/>
        <v>0</v>
      </c>
      <c r="J1058" s="124">
        <f>IF($D1058="",0,IF($F1058&lt;2,0,IF($E1058="Win",('Guide &amp; Settings'!$C$42/(($F1058-1)*COUNTIFS($A$4:$A$1510,$A1058,$E$4:$E$1510,"Win")))*SUMIFS($X$4:$X$1510,$A$4:$A$1510,$A1058,$E$4:$E$1510,"Loss"),-('Guide &amp; Settings'!$C$42/($F1058-1))*$X1058)))</f>
        <v>0</v>
      </c>
      <c r="K1058" s="124">
        <f>IF($D1058="",0,'Guide &amp; Settings'!$C$43*(IF($E1058="Win",1,0)-$I1058))</f>
        <v>0</v>
      </c>
      <c r="L1058" s="125">
        <f>IF($D1058="",0,'Guide &amp; Settings'!$C$44*IF($F1058&gt;=3,$F1058,0))</f>
        <v>0</v>
      </c>
      <c r="M1058" s="124">
        <f t="shared" si="323"/>
        <v>0</v>
      </c>
      <c r="N1058" s="122">
        <f t="shared" si="324"/>
        <v>0</v>
      </c>
      <c r="O1058" s="121" t="str">
        <f t="shared" si="325"/>
        <v/>
      </c>
      <c r="P1058">
        <f t="shared" si="326"/>
        <v>0</v>
      </c>
      <c r="Q1058">
        <f t="shared" si="327"/>
        <v>0</v>
      </c>
      <c r="R1058">
        <f t="shared" si="328"/>
        <v>0</v>
      </c>
      <c r="S1058">
        <f t="shared" si="329"/>
        <v>0</v>
      </c>
      <c r="T1058" s="89">
        <f t="shared" si="330"/>
        <v>0</v>
      </c>
      <c r="U1058" s="126">
        <f>IF($D1058="",0,IFERROR(LOOKUP(2,1/(($D$3:D1057=$D1058)*($C$3:C1057=$C1058)*($A$3:A1057&lt;$A1058)),$AB$3:AB1057),1000))</f>
        <v>0</v>
      </c>
      <c r="V1058" s="126">
        <f t="shared" si="331"/>
        <v>0</v>
      </c>
      <c r="W1058">
        <f t="shared" si="332"/>
        <v>0</v>
      </c>
      <c r="X1058">
        <f t="shared" si="333"/>
        <v>0</v>
      </c>
      <c r="Y1058">
        <f t="shared" si="334"/>
        <v>0</v>
      </c>
      <c r="Z1058">
        <f t="shared" si="335"/>
        <v>0</v>
      </c>
      <c r="AA1058">
        <f>IF($D1058="",0,IF($F1058&lt;2,0,IF($E1058="Win",('Guide &amp; Settings'!$C$42/(($F1058-1)*COUNTIFS($A$4:$A$1510,$A1058,$E$4:$E$1510,"Win")))*SUMIFS($Z$4:$Z$1510,$A$4:$A$1510,$A1058,$E$4:$E$1510,"Loss"),-('Guide &amp; Settings'!$C$42/($F1058-1))*$Z1058)))</f>
        <v>0</v>
      </c>
      <c r="AB1058" s="126">
        <f t="shared" si="336"/>
        <v>0</v>
      </c>
      <c r="AC1058" t="str">
        <f>IF($D1058="","",IF($AD1058=0,0,IF(COUNTIFS($D$4:$D1058,$D1058,$B$4:$B1058,$B1058)&gt;1,0,IF($B1058&lt;'Guide &amp; Settings'!$C$50,0,IF(($B1058-$AD1058)/7-'Guide &amp; Settings'!$C$48&gt;=0,(INT(($B1058-$AD1058)/7-'Guide &amp; Settings'!$C$48)+1)*'Guide &amp; Settings'!$C$49,0)))))</f>
        <v/>
      </c>
      <c r="AD1058" s="142">
        <f t="shared" si="337"/>
        <v>0</v>
      </c>
      <c r="AE1058">
        <f t="shared" si="338"/>
        <v>0</v>
      </c>
      <c r="AF1058">
        <f t="shared" si="339"/>
        <v>0</v>
      </c>
    </row>
    <row r="1059" spans="1:32" x14ac:dyDescent="0.2">
      <c r="A1059" s="117"/>
      <c r="B1059" s="118"/>
      <c r="C1059" s="119"/>
      <c r="D1059" s="119"/>
      <c r="E1059" s="117"/>
      <c r="F1059" s="120">
        <f t="shared" si="320"/>
        <v>0</v>
      </c>
      <c r="G1059" s="121" t="str">
        <f t="shared" si="321"/>
        <v/>
      </c>
      <c r="H1059" s="122">
        <f>IF($D1059="",0,IFERROR(LOOKUP(2,1/(($D$3:D1058=$D1059)*($A$3:A1058&lt;$A1059)),$N$3:N1058),'Guide &amp; Settings'!$C$41))</f>
        <v>0</v>
      </c>
      <c r="I1059" s="123">
        <f t="shared" si="322"/>
        <v>0</v>
      </c>
      <c r="J1059" s="124">
        <f>IF($D1059="",0,IF($F1059&lt;2,0,IF($E1059="Win",('Guide &amp; Settings'!$C$42/(($F1059-1)*COUNTIFS($A$4:$A$1510,$A1059,$E$4:$E$1510,"Win")))*SUMIFS($X$4:$X$1510,$A$4:$A$1510,$A1059,$E$4:$E$1510,"Loss"),-('Guide &amp; Settings'!$C$42/($F1059-1))*$X1059)))</f>
        <v>0</v>
      </c>
      <c r="K1059" s="124">
        <f>IF($D1059="",0,'Guide &amp; Settings'!$C$43*(IF($E1059="Win",1,0)-$I1059))</f>
        <v>0</v>
      </c>
      <c r="L1059" s="125">
        <f>IF($D1059="",0,'Guide &amp; Settings'!$C$44*IF($F1059&gt;=3,$F1059,0))</f>
        <v>0</v>
      </c>
      <c r="M1059" s="124">
        <f t="shared" si="323"/>
        <v>0</v>
      </c>
      <c r="N1059" s="122">
        <f t="shared" si="324"/>
        <v>0</v>
      </c>
      <c r="O1059" s="121" t="str">
        <f t="shared" si="325"/>
        <v/>
      </c>
      <c r="P1059">
        <f t="shared" si="326"/>
        <v>0</v>
      </c>
      <c r="Q1059">
        <f t="shared" si="327"/>
        <v>0</v>
      </c>
      <c r="R1059">
        <f t="shared" si="328"/>
        <v>0</v>
      </c>
      <c r="S1059">
        <f t="shared" si="329"/>
        <v>0</v>
      </c>
      <c r="T1059" s="89">
        <f t="shared" si="330"/>
        <v>0</v>
      </c>
      <c r="U1059" s="126">
        <f>IF($D1059="",0,IFERROR(LOOKUP(2,1/(($D$3:D1058=$D1059)*($C$3:C1058=$C1059)*($A$3:A1058&lt;$A1059)),$AB$3:AB1058),1000))</f>
        <v>0</v>
      </c>
      <c r="V1059" s="126">
        <f t="shared" si="331"/>
        <v>0</v>
      </c>
      <c r="W1059">
        <f t="shared" si="332"/>
        <v>0</v>
      </c>
      <c r="X1059">
        <f t="shared" si="333"/>
        <v>0</v>
      </c>
      <c r="Y1059">
        <f t="shared" si="334"/>
        <v>0</v>
      </c>
      <c r="Z1059">
        <f t="shared" si="335"/>
        <v>0</v>
      </c>
      <c r="AA1059">
        <f>IF($D1059="",0,IF($F1059&lt;2,0,IF($E1059="Win",('Guide &amp; Settings'!$C$42/(($F1059-1)*COUNTIFS($A$4:$A$1510,$A1059,$E$4:$E$1510,"Win")))*SUMIFS($Z$4:$Z$1510,$A$4:$A$1510,$A1059,$E$4:$E$1510,"Loss"),-('Guide &amp; Settings'!$C$42/($F1059-1))*$Z1059)))</f>
        <v>0</v>
      </c>
      <c r="AB1059" s="126">
        <f t="shared" si="336"/>
        <v>0</v>
      </c>
      <c r="AC1059" t="str">
        <f>IF($D1059="","",IF($AD1059=0,0,IF(COUNTIFS($D$4:$D1059,$D1059,$B$4:$B1059,$B1059)&gt;1,0,IF($B1059&lt;'Guide &amp; Settings'!$C$50,0,IF(($B1059-$AD1059)/7-'Guide &amp; Settings'!$C$48&gt;=0,(INT(($B1059-$AD1059)/7-'Guide &amp; Settings'!$C$48)+1)*'Guide &amp; Settings'!$C$49,0)))))</f>
        <v/>
      </c>
      <c r="AD1059" s="142">
        <f t="shared" si="337"/>
        <v>0</v>
      </c>
      <c r="AE1059">
        <f t="shared" si="338"/>
        <v>0</v>
      </c>
      <c r="AF1059">
        <f t="shared" si="339"/>
        <v>0</v>
      </c>
    </row>
    <row r="1060" spans="1:32" x14ac:dyDescent="0.2">
      <c r="A1060" s="117"/>
      <c r="B1060" s="118"/>
      <c r="C1060" s="119"/>
      <c r="D1060" s="119"/>
      <c r="E1060" s="117"/>
      <c r="F1060" s="120">
        <f t="shared" si="320"/>
        <v>0</v>
      </c>
      <c r="G1060" s="121" t="str">
        <f t="shared" si="321"/>
        <v/>
      </c>
      <c r="H1060" s="122">
        <f>IF($D1060="",0,IFERROR(LOOKUP(2,1/(($D$3:D1059=$D1060)*($A$3:A1059&lt;$A1060)),$N$3:N1059),'Guide &amp; Settings'!$C$41))</f>
        <v>0</v>
      </c>
      <c r="I1060" s="123">
        <f t="shared" si="322"/>
        <v>0</v>
      </c>
      <c r="J1060" s="124">
        <f>IF($D1060="",0,IF($F1060&lt;2,0,IF($E1060="Win",('Guide &amp; Settings'!$C$42/(($F1060-1)*COUNTIFS($A$4:$A$1510,$A1060,$E$4:$E$1510,"Win")))*SUMIFS($X$4:$X$1510,$A$4:$A$1510,$A1060,$E$4:$E$1510,"Loss"),-('Guide &amp; Settings'!$C$42/($F1060-1))*$X1060)))</f>
        <v>0</v>
      </c>
      <c r="K1060" s="124">
        <f>IF($D1060="",0,'Guide &amp; Settings'!$C$43*(IF($E1060="Win",1,0)-$I1060))</f>
        <v>0</v>
      </c>
      <c r="L1060" s="125">
        <f>IF($D1060="",0,'Guide &amp; Settings'!$C$44*IF($F1060&gt;=3,$F1060,0))</f>
        <v>0</v>
      </c>
      <c r="M1060" s="124">
        <f t="shared" si="323"/>
        <v>0</v>
      </c>
      <c r="N1060" s="122">
        <f t="shared" si="324"/>
        <v>0</v>
      </c>
      <c r="O1060" s="121" t="str">
        <f t="shared" si="325"/>
        <v/>
      </c>
      <c r="P1060">
        <f t="shared" si="326"/>
        <v>0</v>
      </c>
      <c r="Q1060">
        <f t="shared" si="327"/>
        <v>0</v>
      </c>
      <c r="R1060">
        <f t="shared" si="328"/>
        <v>0</v>
      </c>
      <c r="S1060">
        <f t="shared" si="329"/>
        <v>0</v>
      </c>
      <c r="T1060" s="89">
        <f t="shared" si="330"/>
        <v>0</v>
      </c>
      <c r="U1060" s="126">
        <f>IF($D1060="",0,IFERROR(LOOKUP(2,1/(($D$3:D1059=$D1060)*($C$3:C1059=$C1060)*($A$3:A1059&lt;$A1060)),$AB$3:AB1059),1000))</f>
        <v>0</v>
      </c>
      <c r="V1060" s="126">
        <f t="shared" si="331"/>
        <v>0</v>
      </c>
      <c r="W1060">
        <f t="shared" si="332"/>
        <v>0</v>
      </c>
      <c r="X1060">
        <f t="shared" si="333"/>
        <v>0</v>
      </c>
      <c r="Y1060">
        <f t="shared" si="334"/>
        <v>0</v>
      </c>
      <c r="Z1060">
        <f t="shared" si="335"/>
        <v>0</v>
      </c>
      <c r="AA1060">
        <f>IF($D1060="",0,IF($F1060&lt;2,0,IF($E1060="Win",('Guide &amp; Settings'!$C$42/(($F1060-1)*COUNTIFS($A$4:$A$1510,$A1060,$E$4:$E$1510,"Win")))*SUMIFS($Z$4:$Z$1510,$A$4:$A$1510,$A1060,$E$4:$E$1510,"Loss"),-('Guide &amp; Settings'!$C$42/($F1060-1))*$Z1060)))</f>
        <v>0</v>
      </c>
      <c r="AB1060" s="126">
        <f t="shared" si="336"/>
        <v>0</v>
      </c>
      <c r="AC1060" t="str">
        <f>IF($D1060="","",IF($AD1060=0,0,IF(COUNTIFS($D$4:$D1060,$D1060,$B$4:$B1060,$B1060)&gt;1,0,IF($B1060&lt;'Guide &amp; Settings'!$C$50,0,IF(($B1060-$AD1060)/7-'Guide &amp; Settings'!$C$48&gt;=0,(INT(($B1060-$AD1060)/7-'Guide &amp; Settings'!$C$48)+1)*'Guide &amp; Settings'!$C$49,0)))))</f>
        <v/>
      </c>
      <c r="AD1060" s="142">
        <f t="shared" si="337"/>
        <v>0</v>
      </c>
      <c r="AE1060">
        <f t="shared" si="338"/>
        <v>0</v>
      </c>
      <c r="AF1060">
        <f t="shared" si="339"/>
        <v>0</v>
      </c>
    </row>
    <row r="1061" spans="1:32" x14ac:dyDescent="0.2">
      <c r="A1061" s="117"/>
      <c r="B1061" s="118"/>
      <c r="C1061" s="119"/>
      <c r="D1061" s="119"/>
      <c r="E1061" s="117"/>
      <c r="F1061" s="120">
        <f t="shared" si="320"/>
        <v>0</v>
      </c>
      <c r="G1061" s="121" t="str">
        <f t="shared" si="321"/>
        <v/>
      </c>
      <c r="H1061" s="122">
        <f>IF($D1061="",0,IFERROR(LOOKUP(2,1/(($D$3:D1060=$D1061)*($A$3:A1060&lt;$A1061)),$N$3:N1060),'Guide &amp; Settings'!$C$41))</f>
        <v>0</v>
      </c>
      <c r="I1061" s="123">
        <f t="shared" si="322"/>
        <v>0</v>
      </c>
      <c r="J1061" s="124">
        <f>IF($D1061="",0,IF($F1061&lt;2,0,IF($E1061="Win",('Guide &amp; Settings'!$C$42/(($F1061-1)*COUNTIFS($A$4:$A$1510,$A1061,$E$4:$E$1510,"Win")))*SUMIFS($X$4:$X$1510,$A$4:$A$1510,$A1061,$E$4:$E$1510,"Loss"),-('Guide &amp; Settings'!$C$42/($F1061-1))*$X1061)))</f>
        <v>0</v>
      </c>
      <c r="K1061" s="124">
        <f>IF($D1061="",0,'Guide &amp; Settings'!$C$43*(IF($E1061="Win",1,0)-$I1061))</f>
        <v>0</v>
      </c>
      <c r="L1061" s="125">
        <f>IF($D1061="",0,'Guide &amp; Settings'!$C$44*IF($F1061&gt;=3,$F1061,0))</f>
        <v>0</v>
      </c>
      <c r="M1061" s="124">
        <f t="shared" si="323"/>
        <v>0</v>
      </c>
      <c r="N1061" s="122">
        <f t="shared" si="324"/>
        <v>0</v>
      </c>
      <c r="O1061" s="121" t="str">
        <f t="shared" si="325"/>
        <v/>
      </c>
      <c r="P1061">
        <f t="shared" si="326"/>
        <v>0</v>
      </c>
      <c r="Q1061">
        <f t="shared" si="327"/>
        <v>0</v>
      </c>
      <c r="R1061">
        <f t="shared" si="328"/>
        <v>0</v>
      </c>
      <c r="S1061">
        <f t="shared" si="329"/>
        <v>0</v>
      </c>
      <c r="T1061" s="89">
        <f t="shared" si="330"/>
        <v>0</v>
      </c>
      <c r="U1061" s="126">
        <f>IF($D1061="",0,IFERROR(LOOKUP(2,1/(($D$3:D1060=$D1061)*($C$3:C1060=$C1061)*($A$3:A1060&lt;$A1061)),$AB$3:AB1060),1000))</f>
        <v>0</v>
      </c>
      <c r="V1061" s="126">
        <f t="shared" si="331"/>
        <v>0</v>
      </c>
      <c r="W1061">
        <f t="shared" si="332"/>
        <v>0</v>
      </c>
      <c r="X1061">
        <f t="shared" si="333"/>
        <v>0</v>
      </c>
      <c r="Y1061">
        <f t="shared" si="334"/>
        <v>0</v>
      </c>
      <c r="Z1061">
        <f t="shared" si="335"/>
        <v>0</v>
      </c>
      <c r="AA1061">
        <f>IF($D1061="",0,IF($F1061&lt;2,0,IF($E1061="Win",('Guide &amp; Settings'!$C$42/(($F1061-1)*COUNTIFS($A$4:$A$1510,$A1061,$E$4:$E$1510,"Win")))*SUMIFS($Z$4:$Z$1510,$A$4:$A$1510,$A1061,$E$4:$E$1510,"Loss"),-('Guide &amp; Settings'!$C$42/($F1061-1))*$Z1061)))</f>
        <v>0</v>
      </c>
      <c r="AB1061" s="126">
        <f t="shared" si="336"/>
        <v>0</v>
      </c>
      <c r="AC1061" t="str">
        <f>IF($D1061="","",IF($AD1061=0,0,IF(COUNTIFS($D$4:$D1061,$D1061,$B$4:$B1061,$B1061)&gt;1,0,IF($B1061&lt;'Guide &amp; Settings'!$C$50,0,IF(($B1061-$AD1061)/7-'Guide &amp; Settings'!$C$48&gt;=0,(INT(($B1061-$AD1061)/7-'Guide &amp; Settings'!$C$48)+1)*'Guide &amp; Settings'!$C$49,0)))))</f>
        <v/>
      </c>
      <c r="AD1061" s="142">
        <f t="shared" si="337"/>
        <v>0</v>
      </c>
      <c r="AE1061">
        <f t="shared" si="338"/>
        <v>0</v>
      </c>
      <c r="AF1061">
        <f t="shared" si="339"/>
        <v>0</v>
      </c>
    </row>
    <row r="1062" spans="1:32" x14ac:dyDescent="0.2">
      <c r="A1062" s="117"/>
      <c r="B1062" s="118"/>
      <c r="C1062" s="119"/>
      <c r="D1062" s="119"/>
      <c r="E1062" s="117"/>
      <c r="F1062" s="120">
        <f t="shared" si="320"/>
        <v>0</v>
      </c>
      <c r="G1062" s="121" t="str">
        <f t="shared" si="321"/>
        <v/>
      </c>
      <c r="H1062" s="122">
        <f>IF($D1062="",0,IFERROR(LOOKUP(2,1/(($D$3:D1061=$D1062)*($A$3:A1061&lt;$A1062)),$N$3:N1061),'Guide &amp; Settings'!$C$41))</f>
        <v>0</v>
      </c>
      <c r="I1062" s="123">
        <f t="shared" si="322"/>
        <v>0</v>
      </c>
      <c r="J1062" s="124">
        <f>IF($D1062="",0,IF($F1062&lt;2,0,IF($E1062="Win",('Guide &amp; Settings'!$C$42/(($F1062-1)*COUNTIFS($A$4:$A$1510,$A1062,$E$4:$E$1510,"Win")))*SUMIFS($X$4:$X$1510,$A$4:$A$1510,$A1062,$E$4:$E$1510,"Loss"),-('Guide &amp; Settings'!$C$42/($F1062-1))*$X1062)))</f>
        <v>0</v>
      </c>
      <c r="K1062" s="124">
        <f>IF($D1062="",0,'Guide &amp; Settings'!$C$43*(IF($E1062="Win",1,0)-$I1062))</f>
        <v>0</v>
      </c>
      <c r="L1062" s="125">
        <f>IF($D1062="",0,'Guide &amp; Settings'!$C$44*IF($F1062&gt;=3,$F1062,0))</f>
        <v>0</v>
      </c>
      <c r="M1062" s="124">
        <f t="shared" si="323"/>
        <v>0</v>
      </c>
      <c r="N1062" s="122">
        <f t="shared" si="324"/>
        <v>0</v>
      </c>
      <c r="O1062" s="121" t="str">
        <f t="shared" si="325"/>
        <v/>
      </c>
      <c r="P1062">
        <f t="shared" si="326"/>
        <v>0</v>
      </c>
      <c r="Q1062">
        <f t="shared" si="327"/>
        <v>0</v>
      </c>
      <c r="R1062">
        <f t="shared" si="328"/>
        <v>0</v>
      </c>
      <c r="S1062">
        <f t="shared" si="329"/>
        <v>0</v>
      </c>
      <c r="T1062" s="89">
        <f t="shared" si="330"/>
        <v>0</v>
      </c>
      <c r="U1062" s="126">
        <f>IF($D1062="",0,IFERROR(LOOKUP(2,1/(($D$3:D1061=$D1062)*($C$3:C1061=$C1062)*($A$3:A1061&lt;$A1062)),$AB$3:AB1061),1000))</f>
        <v>0</v>
      </c>
      <c r="V1062" s="126">
        <f t="shared" si="331"/>
        <v>0</v>
      </c>
      <c r="W1062">
        <f t="shared" si="332"/>
        <v>0</v>
      </c>
      <c r="X1062">
        <f t="shared" si="333"/>
        <v>0</v>
      </c>
      <c r="Y1062">
        <f t="shared" si="334"/>
        <v>0</v>
      </c>
      <c r="Z1062">
        <f t="shared" si="335"/>
        <v>0</v>
      </c>
      <c r="AA1062">
        <f>IF($D1062="",0,IF($F1062&lt;2,0,IF($E1062="Win",('Guide &amp; Settings'!$C$42/(($F1062-1)*COUNTIFS($A$4:$A$1510,$A1062,$E$4:$E$1510,"Win")))*SUMIFS($Z$4:$Z$1510,$A$4:$A$1510,$A1062,$E$4:$E$1510,"Loss"),-('Guide &amp; Settings'!$C$42/($F1062-1))*$Z1062)))</f>
        <v>0</v>
      </c>
      <c r="AB1062" s="126">
        <f t="shared" si="336"/>
        <v>0</v>
      </c>
      <c r="AC1062" t="str">
        <f>IF($D1062="","",IF($AD1062=0,0,IF(COUNTIFS($D$4:$D1062,$D1062,$B$4:$B1062,$B1062)&gt;1,0,IF($B1062&lt;'Guide &amp; Settings'!$C$50,0,IF(($B1062-$AD1062)/7-'Guide &amp; Settings'!$C$48&gt;=0,(INT(($B1062-$AD1062)/7-'Guide &amp; Settings'!$C$48)+1)*'Guide &amp; Settings'!$C$49,0)))))</f>
        <v/>
      </c>
      <c r="AD1062" s="142">
        <f t="shared" si="337"/>
        <v>0</v>
      </c>
      <c r="AE1062">
        <f t="shared" si="338"/>
        <v>0</v>
      </c>
      <c r="AF1062">
        <f t="shared" si="339"/>
        <v>0</v>
      </c>
    </row>
    <row r="1063" spans="1:32" x14ac:dyDescent="0.2">
      <c r="A1063" s="117"/>
      <c r="B1063" s="118"/>
      <c r="C1063" s="119"/>
      <c r="D1063" s="119"/>
      <c r="E1063" s="117"/>
      <c r="F1063" s="120">
        <f t="shared" si="320"/>
        <v>0</v>
      </c>
      <c r="G1063" s="121" t="str">
        <f t="shared" si="321"/>
        <v/>
      </c>
      <c r="H1063" s="122">
        <f>IF($D1063="",0,IFERROR(LOOKUP(2,1/(($D$3:D1062=$D1063)*($A$3:A1062&lt;$A1063)),$N$3:N1062),'Guide &amp; Settings'!$C$41))</f>
        <v>0</v>
      </c>
      <c r="I1063" s="123">
        <f t="shared" si="322"/>
        <v>0</v>
      </c>
      <c r="J1063" s="124">
        <f>IF($D1063="",0,IF($F1063&lt;2,0,IF($E1063="Win",('Guide &amp; Settings'!$C$42/(($F1063-1)*COUNTIFS($A$4:$A$1510,$A1063,$E$4:$E$1510,"Win")))*SUMIFS($X$4:$X$1510,$A$4:$A$1510,$A1063,$E$4:$E$1510,"Loss"),-('Guide &amp; Settings'!$C$42/($F1063-1))*$X1063)))</f>
        <v>0</v>
      </c>
      <c r="K1063" s="124">
        <f>IF($D1063="",0,'Guide &amp; Settings'!$C$43*(IF($E1063="Win",1,0)-$I1063))</f>
        <v>0</v>
      </c>
      <c r="L1063" s="125">
        <f>IF($D1063="",0,'Guide &amp; Settings'!$C$44*IF($F1063&gt;=3,$F1063,0))</f>
        <v>0</v>
      </c>
      <c r="M1063" s="124">
        <f t="shared" si="323"/>
        <v>0</v>
      </c>
      <c r="N1063" s="122">
        <f t="shared" si="324"/>
        <v>0</v>
      </c>
      <c r="O1063" s="121" t="str">
        <f t="shared" si="325"/>
        <v/>
      </c>
      <c r="P1063">
        <f t="shared" si="326"/>
        <v>0</v>
      </c>
      <c r="Q1063">
        <f t="shared" si="327"/>
        <v>0</v>
      </c>
      <c r="R1063">
        <f t="shared" si="328"/>
        <v>0</v>
      </c>
      <c r="S1063">
        <f t="shared" si="329"/>
        <v>0</v>
      </c>
      <c r="T1063" s="89">
        <f t="shared" si="330"/>
        <v>0</v>
      </c>
      <c r="U1063" s="126">
        <f>IF($D1063="",0,IFERROR(LOOKUP(2,1/(($D$3:D1062=$D1063)*($C$3:C1062=$C1063)*($A$3:A1062&lt;$A1063)),$AB$3:AB1062),1000))</f>
        <v>0</v>
      </c>
      <c r="V1063" s="126">
        <f t="shared" si="331"/>
        <v>0</v>
      </c>
      <c r="W1063">
        <f t="shared" si="332"/>
        <v>0</v>
      </c>
      <c r="X1063">
        <f t="shared" si="333"/>
        <v>0</v>
      </c>
      <c r="Y1063">
        <f t="shared" si="334"/>
        <v>0</v>
      </c>
      <c r="Z1063">
        <f t="shared" si="335"/>
        <v>0</v>
      </c>
      <c r="AA1063">
        <f>IF($D1063="",0,IF($F1063&lt;2,0,IF($E1063="Win",('Guide &amp; Settings'!$C$42/(($F1063-1)*COUNTIFS($A$4:$A$1510,$A1063,$E$4:$E$1510,"Win")))*SUMIFS($Z$4:$Z$1510,$A$4:$A$1510,$A1063,$E$4:$E$1510,"Loss"),-('Guide &amp; Settings'!$C$42/($F1063-1))*$Z1063)))</f>
        <v>0</v>
      </c>
      <c r="AB1063" s="126">
        <f t="shared" si="336"/>
        <v>0</v>
      </c>
      <c r="AC1063" t="str">
        <f>IF($D1063="","",IF($AD1063=0,0,IF(COUNTIFS($D$4:$D1063,$D1063,$B$4:$B1063,$B1063)&gt;1,0,IF($B1063&lt;'Guide &amp; Settings'!$C$50,0,IF(($B1063-$AD1063)/7-'Guide &amp; Settings'!$C$48&gt;=0,(INT(($B1063-$AD1063)/7-'Guide &amp; Settings'!$C$48)+1)*'Guide &amp; Settings'!$C$49,0)))))</f>
        <v/>
      </c>
      <c r="AD1063" s="142">
        <f t="shared" si="337"/>
        <v>0</v>
      </c>
      <c r="AE1063">
        <f t="shared" si="338"/>
        <v>0</v>
      </c>
      <c r="AF1063">
        <f t="shared" si="339"/>
        <v>0</v>
      </c>
    </row>
    <row r="1064" spans="1:32" x14ac:dyDescent="0.2">
      <c r="A1064" s="117"/>
      <c r="B1064" s="118"/>
      <c r="C1064" s="119"/>
      <c r="D1064" s="119"/>
      <c r="E1064" s="117"/>
      <c r="F1064" s="120">
        <f t="shared" si="320"/>
        <v>0</v>
      </c>
      <c r="G1064" s="121" t="str">
        <f t="shared" si="321"/>
        <v/>
      </c>
      <c r="H1064" s="122">
        <f>IF($D1064="",0,IFERROR(LOOKUP(2,1/(($D$3:D1063=$D1064)*($A$3:A1063&lt;$A1064)),$N$3:N1063),'Guide &amp; Settings'!$C$41))</f>
        <v>0</v>
      </c>
      <c r="I1064" s="123">
        <f t="shared" si="322"/>
        <v>0</v>
      </c>
      <c r="J1064" s="124">
        <f>IF($D1064="",0,IF($F1064&lt;2,0,IF($E1064="Win",('Guide &amp; Settings'!$C$42/(($F1064-1)*COUNTIFS($A$4:$A$1510,$A1064,$E$4:$E$1510,"Win")))*SUMIFS($X$4:$X$1510,$A$4:$A$1510,$A1064,$E$4:$E$1510,"Loss"),-('Guide &amp; Settings'!$C$42/($F1064-1))*$X1064)))</f>
        <v>0</v>
      </c>
      <c r="K1064" s="124">
        <f>IF($D1064="",0,'Guide &amp; Settings'!$C$43*(IF($E1064="Win",1,0)-$I1064))</f>
        <v>0</v>
      </c>
      <c r="L1064" s="125">
        <f>IF($D1064="",0,'Guide &amp; Settings'!$C$44*IF($F1064&gt;=3,$F1064,0))</f>
        <v>0</v>
      </c>
      <c r="M1064" s="124">
        <f t="shared" si="323"/>
        <v>0</v>
      </c>
      <c r="N1064" s="122">
        <f t="shared" si="324"/>
        <v>0</v>
      </c>
      <c r="O1064" s="121" t="str">
        <f t="shared" si="325"/>
        <v/>
      </c>
      <c r="P1064">
        <f t="shared" si="326"/>
        <v>0</v>
      </c>
      <c r="Q1064">
        <f t="shared" si="327"/>
        <v>0</v>
      </c>
      <c r="R1064">
        <f t="shared" si="328"/>
        <v>0</v>
      </c>
      <c r="S1064">
        <f t="shared" si="329"/>
        <v>0</v>
      </c>
      <c r="T1064" s="89">
        <f t="shared" si="330"/>
        <v>0</v>
      </c>
      <c r="U1064" s="126">
        <f>IF($D1064="",0,IFERROR(LOOKUP(2,1/(($D$3:D1063=$D1064)*($C$3:C1063=$C1064)*($A$3:A1063&lt;$A1064)),$AB$3:AB1063),1000))</f>
        <v>0</v>
      </c>
      <c r="V1064" s="126">
        <f t="shared" si="331"/>
        <v>0</v>
      </c>
      <c r="W1064">
        <f t="shared" si="332"/>
        <v>0</v>
      </c>
      <c r="X1064">
        <f t="shared" si="333"/>
        <v>0</v>
      </c>
      <c r="Y1064">
        <f t="shared" si="334"/>
        <v>0</v>
      </c>
      <c r="Z1064">
        <f t="shared" si="335"/>
        <v>0</v>
      </c>
      <c r="AA1064">
        <f>IF($D1064="",0,IF($F1064&lt;2,0,IF($E1064="Win",('Guide &amp; Settings'!$C$42/(($F1064-1)*COUNTIFS($A$4:$A$1510,$A1064,$E$4:$E$1510,"Win")))*SUMIFS($Z$4:$Z$1510,$A$4:$A$1510,$A1064,$E$4:$E$1510,"Loss"),-('Guide &amp; Settings'!$C$42/($F1064-1))*$Z1064)))</f>
        <v>0</v>
      </c>
      <c r="AB1064" s="126">
        <f t="shared" si="336"/>
        <v>0</v>
      </c>
      <c r="AC1064" t="str">
        <f>IF($D1064="","",IF($AD1064=0,0,IF(COUNTIFS($D$4:$D1064,$D1064,$B$4:$B1064,$B1064)&gt;1,0,IF($B1064&lt;'Guide &amp; Settings'!$C$50,0,IF(($B1064-$AD1064)/7-'Guide &amp; Settings'!$C$48&gt;=0,(INT(($B1064-$AD1064)/7-'Guide &amp; Settings'!$C$48)+1)*'Guide &amp; Settings'!$C$49,0)))))</f>
        <v/>
      </c>
      <c r="AD1064" s="142">
        <f t="shared" si="337"/>
        <v>0</v>
      </c>
      <c r="AE1064">
        <f t="shared" si="338"/>
        <v>0</v>
      </c>
      <c r="AF1064">
        <f t="shared" si="339"/>
        <v>0</v>
      </c>
    </row>
    <row r="1065" spans="1:32" x14ac:dyDescent="0.2">
      <c r="A1065" s="117"/>
      <c r="B1065" s="118"/>
      <c r="C1065" s="119"/>
      <c r="D1065" s="119"/>
      <c r="E1065" s="117"/>
      <c r="F1065" s="120">
        <f t="shared" si="320"/>
        <v>0</v>
      </c>
      <c r="G1065" s="121" t="str">
        <f t="shared" si="321"/>
        <v/>
      </c>
      <c r="H1065" s="122">
        <f>IF($D1065="",0,IFERROR(LOOKUP(2,1/(($D$3:D1064=$D1065)*($A$3:A1064&lt;$A1065)),$N$3:N1064),'Guide &amp; Settings'!$C$41))</f>
        <v>0</v>
      </c>
      <c r="I1065" s="123">
        <f t="shared" si="322"/>
        <v>0</v>
      </c>
      <c r="J1065" s="124">
        <f>IF($D1065="",0,IF($F1065&lt;2,0,IF($E1065="Win",('Guide &amp; Settings'!$C$42/(($F1065-1)*COUNTIFS($A$4:$A$1510,$A1065,$E$4:$E$1510,"Win")))*SUMIFS($X$4:$X$1510,$A$4:$A$1510,$A1065,$E$4:$E$1510,"Loss"),-('Guide &amp; Settings'!$C$42/($F1065-1))*$X1065)))</f>
        <v>0</v>
      </c>
      <c r="K1065" s="124">
        <f>IF($D1065="",0,'Guide &amp; Settings'!$C$43*(IF($E1065="Win",1,0)-$I1065))</f>
        <v>0</v>
      </c>
      <c r="L1065" s="125">
        <f>IF($D1065="",0,'Guide &amp; Settings'!$C$44*IF($F1065&gt;=3,$F1065,0))</f>
        <v>0</v>
      </c>
      <c r="M1065" s="124">
        <f t="shared" si="323"/>
        <v>0</v>
      </c>
      <c r="N1065" s="122">
        <f t="shared" si="324"/>
        <v>0</v>
      </c>
      <c r="O1065" s="121" t="str">
        <f t="shared" si="325"/>
        <v/>
      </c>
      <c r="P1065">
        <f t="shared" si="326"/>
        <v>0</v>
      </c>
      <c r="Q1065">
        <f t="shared" si="327"/>
        <v>0</v>
      </c>
      <c r="R1065">
        <f t="shared" si="328"/>
        <v>0</v>
      </c>
      <c r="S1065">
        <f t="shared" si="329"/>
        <v>0</v>
      </c>
      <c r="T1065" s="89">
        <f t="shared" si="330"/>
        <v>0</v>
      </c>
      <c r="U1065" s="126">
        <f>IF($D1065="",0,IFERROR(LOOKUP(2,1/(($D$3:D1064=$D1065)*($C$3:C1064=$C1065)*($A$3:A1064&lt;$A1065)),$AB$3:AB1064),1000))</f>
        <v>0</v>
      </c>
      <c r="V1065" s="126">
        <f t="shared" si="331"/>
        <v>0</v>
      </c>
      <c r="W1065">
        <f t="shared" si="332"/>
        <v>0</v>
      </c>
      <c r="X1065">
        <f t="shared" si="333"/>
        <v>0</v>
      </c>
      <c r="Y1065">
        <f t="shared" si="334"/>
        <v>0</v>
      </c>
      <c r="Z1065">
        <f t="shared" si="335"/>
        <v>0</v>
      </c>
      <c r="AA1065">
        <f>IF($D1065="",0,IF($F1065&lt;2,0,IF($E1065="Win",('Guide &amp; Settings'!$C$42/(($F1065-1)*COUNTIFS($A$4:$A$1510,$A1065,$E$4:$E$1510,"Win")))*SUMIFS($Z$4:$Z$1510,$A$4:$A$1510,$A1065,$E$4:$E$1510,"Loss"),-('Guide &amp; Settings'!$C$42/($F1065-1))*$Z1065)))</f>
        <v>0</v>
      </c>
      <c r="AB1065" s="126">
        <f t="shared" si="336"/>
        <v>0</v>
      </c>
      <c r="AC1065" t="str">
        <f>IF($D1065="","",IF($AD1065=0,0,IF(COUNTIFS($D$4:$D1065,$D1065,$B$4:$B1065,$B1065)&gt;1,0,IF($B1065&lt;'Guide &amp; Settings'!$C$50,0,IF(($B1065-$AD1065)/7-'Guide &amp; Settings'!$C$48&gt;=0,(INT(($B1065-$AD1065)/7-'Guide &amp; Settings'!$C$48)+1)*'Guide &amp; Settings'!$C$49,0)))))</f>
        <v/>
      </c>
      <c r="AD1065" s="142">
        <f t="shared" si="337"/>
        <v>0</v>
      </c>
      <c r="AE1065">
        <f t="shared" si="338"/>
        <v>0</v>
      </c>
      <c r="AF1065">
        <f t="shared" si="339"/>
        <v>0</v>
      </c>
    </row>
    <row r="1066" spans="1:32" x14ac:dyDescent="0.2">
      <c r="A1066" s="117"/>
      <c r="B1066" s="118"/>
      <c r="C1066" s="119"/>
      <c r="D1066" s="119"/>
      <c r="E1066" s="117"/>
      <c r="F1066" s="120">
        <f t="shared" si="320"/>
        <v>0</v>
      </c>
      <c r="G1066" s="121" t="str">
        <f t="shared" si="321"/>
        <v/>
      </c>
      <c r="H1066" s="122">
        <f>IF($D1066="",0,IFERROR(LOOKUP(2,1/(($D$3:D1065=$D1066)*($A$3:A1065&lt;$A1066)),$N$3:N1065),'Guide &amp; Settings'!$C$41))</f>
        <v>0</v>
      </c>
      <c r="I1066" s="123">
        <f t="shared" si="322"/>
        <v>0</v>
      </c>
      <c r="J1066" s="124">
        <f>IF($D1066="",0,IF($F1066&lt;2,0,IF($E1066="Win",('Guide &amp; Settings'!$C$42/(($F1066-1)*COUNTIFS($A$4:$A$1510,$A1066,$E$4:$E$1510,"Win")))*SUMIFS($X$4:$X$1510,$A$4:$A$1510,$A1066,$E$4:$E$1510,"Loss"),-('Guide &amp; Settings'!$C$42/($F1066-1))*$X1066)))</f>
        <v>0</v>
      </c>
      <c r="K1066" s="124">
        <f>IF($D1066="",0,'Guide &amp; Settings'!$C$43*(IF($E1066="Win",1,0)-$I1066))</f>
        <v>0</v>
      </c>
      <c r="L1066" s="125">
        <f>IF($D1066="",0,'Guide &amp; Settings'!$C$44*IF($F1066&gt;=3,$F1066,0))</f>
        <v>0</v>
      </c>
      <c r="M1066" s="124">
        <f t="shared" si="323"/>
        <v>0</v>
      </c>
      <c r="N1066" s="122">
        <f t="shared" si="324"/>
        <v>0</v>
      </c>
      <c r="O1066" s="121" t="str">
        <f t="shared" si="325"/>
        <v/>
      </c>
      <c r="P1066">
        <f t="shared" si="326"/>
        <v>0</v>
      </c>
      <c r="Q1066">
        <f t="shared" si="327"/>
        <v>0</v>
      </c>
      <c r="R1066">
        <f t="shared" si="328"/>
        <v>0</v>
      </c>
      <c r="S1066">
        <f t="shared" si="329"/>
        <v>0</v>
      </c>
      <c r="T1066" s="89">
        <f t="shared" si="330"/>
        <v>0</v>
      </c>
      <c r="U1066" s="126">
        <f>IF($D1066="",0,IFERROR(LOOKUP(2,1/(($D$3:D1065=$D1066)*($C$3:C1065=$C1066)*($A$3:A1065&lt;$A1066)),$AB$3:AB1065),1000))</f>
        <v>0</v>
      </c>
      <c r="V1066" s="126">
        <f t="shared" si="331"/>
        <v>0</v>
      </c>
      <c r="W1066">
        <f t="shared" si="332"/>
        <v>0</v>
      </c>
      <c r="X1066">
        <f t="shared" si="333"/>
        <v>0</v>
      </c>
      <c r="Y1066">
        <f t="shared" si="334"/>
        <v>0</v>
      </c>
      <c r="Z1066">
        <f t="shared" si="335"/>
        <v>0</v>
      </c>
      <c r="AA1066">
        <f>IF($D1066="",0,IF($F1066&lt;2,0,IF($E1066="Win",('Guide &amp; Settings'!$C$42/(($F1066-1)*COUNTIFS($A$4:$A$1510,$A1066,$E$4:$E$1510,"Win")))*SUMIFS($Z$4:$Z$1510,$A$4:$A$1510,$A1066,$E$4:$E$1510,"Loss"),-('Guide &amp; Settings'!$C$42/($F1066-1))*$Z1066)))</f>
        <v>0</v>
      </c>
      <c r="AB1066" s="126">
        <f t="shared" si="336"/>
        <v>0</v>
      </c>
      <c r="AC1066" t="str">
        <f>IF($D1066="","",IF($AD1066=0,0,IF(COUNTIFS($D$4:$D1066,$D1066,$B$4:$B1066,$B1066)&gt;1,0,IF($B1066&lt;'Guide &amp; Settings'!$C$50,0,IF(($B1066-$AD1066)/7-'Guide &amp; Settings'!$C$48&gt;=0,(INT(($B1066-$AD1066)/7-'Guide &amp; Settings'!$C$48)+1)*'Guide &amp; Settings'!$C$49,0)))))</f>
        <v/>
      </c>
      <c r="AD1066" s="142">
        <f t="shared" si="337"/>
        <v>0</v>
      </c>
      <c r="AE1066">
        <f t="shared" si="338"/>
        <v>0</v>
      </c>
      <c r="AF1066">
        <f t="shared" si="339"/>
        <v>0</v>
      </c>
    </row>
    <row r="1067" spans="1:32" x14ac:dyDescent="0.2">
      <c r="A1067" s="117"/>
      <c r="B1067" s="118"/>
      <c r="C1067" s="119"/>
      <c r="D1067" s="119"/>
      <c r="E1067" s="117"/>
      <c r="F1067" s="120">
        <f t="shared" si="320"/>
        <v>0</v>
      </c>
      <c r="G1067" s="121" t="str">
        <f t="shared" si="321"/>
        <v/>
      </c>
      <c r="H1067" s="122">
        <f>IF($D1067="",0,IFERROR(LOOKUP(2,1/(($D$3:D1066=$D1067)*($A$3:A1066&lt;$A1067)),$N$3:N1066),'Guide &amp; Settings'!$C$41))</f>
        <v>0</v>
      </c>
      <c r="I1067" s="123">
        <f t="shared" si="322"/>
        <v>0</v>
      </c>
      <c r="J1067" s="124">
        <f>IF($D1067="",0,IF($F1067&lt;2,0,IF($E1067="Win",('Guide &amp; Settings'!$C$42/(($F1067-1)*COUNTIFS($A$4:$A$1510,$A1067,$E$4:$E$1510,"Win")))*SUMIFS($X$4:$X$1510,$A$4:$A$1510,$A1067,$E$4:$E$1510,"Loss"),-('Guide &amp; Settings'!$C$42/($F1067-1))*$X1067)))</f>
        <v>0</v>
      </c>
      <c r="K1067" s="124">
        <f>IF($D1067="",0,'Guide &amp; Settings'!$C$43*(IF($E1067="Win",1,0)-$I1067))</f>
        <v>0</v>
      </c>
      <c r="L1067" s="125">
        <f>IF($D1067="",0,'Guide &amp; Settings'!$C$44*IF($F1067&gt;=3,$F1067,0))</f>
        <v>0</v>
      </c>
      <c r="M1067" s="124">
        <f t="shared" si="323"/>
        <v>0</v>
      </c>
      <c r="N1067" s="122">
        <f t="shared" si="324"/>
        <v>0</v>
      </c>
      <c r="O1067" s="121" t="str">
        <f t="shared" si="325"/>
        <v/>
      </c>
      <c r="P1067">
        <f t="shared" si="326"/>
        <v>0</v>
      </c>
      <c r="Q1067">
        <f t="shared" si="327"/>
        <v>0</v>
      </c>
      <c r="R1067">
        <f t="shared" si="328"/>
        <v>0</v>
      </c>
      <c r="S1067">
        <f t="shared" si="329"/>
        <v>0</v>
      </c>
      <c r="T1067" s="89">
        <f t="shared" si="330"/>
        <v>0</v>
      </c>
      <c r="U1067" s="126">
        <f>IF($D1067="",0,IFERROR(LOOKUP(2,1/(($D$3:D1066=$D1067)*($C$3:C1066=$C1067)*($A$3:A1066&lt;$A1067)),$AB$3:AB1066),1000))</f>
        <v>0</v>
      </c>
      <c r="V1067" s="126">
        <f t="shared" si="331"/>
        <v>0</v>
      </c>
      <c r="W1067">
        <f t="shared" si="332"/>
        <v>0</v>
      </c>
      <c r="X1067">
        <f t="shared" si="333"/>
        <v>0</v>
      </c>
      <c r="Y1067">
        <f t="shared" si="334"/>
        <v>0</v>
      </c>
      <c r="Z1067">
        <f t="shared" si="335"/>
        <v>0</v>
      </c>
      <c r="AA1067">
        <f>IF($D1067="",0,IF($F1067&lt;2,0,IF($E1067="Win",('Guide &amp; Settings'!$C$42/(($F1067-1)*COUNTIFS($A$4:$A$1510,$A1067,$E$4:$E$1510,"Win")))*SUMIFS($Z$4:$Z$1510,$A$4:$A$1510,$A1067,$E$4:$E$1510,"Loss"),-('Guide &amp; Settings'!$C$42/($F1067-1))*$Z1067)))</f>
        <v>0</v>
      </c>
      <c r="AB1067" s="126">
        <f t="shared" si="336"/>
        <v>0</v>
      </c>
      <c r="AC1067" t="str">
        <f>IF($D1067="","",IF($AD1067=0,0,IF(COUNTIFS($D$4:$D1067,$D1067,$B$4:$B1067,$B1067)&gt;1,0,IF($B1067&lt;'Guide &amp; Settings'!$C$50,0,IF(($B1067-$AD1067)/7-'Guide &amp; Settings'!$C$48&gt;=0,(INT(($B1067-$AD1067)/7-'Guide &amp; Settings'!$C$48)+1)*'Guide &amp; Settings'!$C$49,0)))))</f>
        <v/>
      </c>
      <c r="AD1067" s="142">
        <f t="shared" si="337"/>
        <v>0</v>
      </c>
      <c r="AE1067">
        <f t="shared" si="338"/>
        <v>0</v>
      </c>
      <c r="AF1067">
        <f t="shared" si="339"/>
        <v>0</v>
      </c>
    </row>
    <row r="1068" spans="1:32" x14ac:dyDescent="0.2">
      <c r="A1068" s="117"/>
      <c r="B1068" s="118"/>
      <c r="C1068" s="119"/>
      <c r="D1068" s="119"/>
      <c r="E1068" s="117"/>
      <c r="F1068" s="120">
        <f t="shared" si="320"/>
        <v>0</v>
      </c>
      <c r="G1068" s="121" t="str">
        <f t="shared" si="321"/>
        <v/>
      </c>
      <c r="H1068" s="122">
        <f>IF($D1068="",0,IFERROR(LOOKUP(2,1/(($D$3:D1067=$D1068)*($A$3:A1067&lt;$A1068)),$N$3:N1067),'Guide &amp; Settings'!$C$41))</f>
        <v>0</v>
      </c>
      <c r="I1068" s="123">
        <f t="shared" si="322"/>
        <v>0</v>
      </c>
      <c r="J1068" s="124">
        <f>IF($D1068="",0,IF($F1068&lt;2,0,IF($E1068="Win",('Guide &amp; Settings'!$C$42/(($F1068-1)*COUNTIFS($A$4:$A$1510,$A1068,$E$4:$E$1510,"Win")))*SUMIFS($X$4:$X$1510,$A$4:$A$1510,$A1068,$E$4:$E$1510,"Loss"),-('Guide &amp; Settings'!$C$42/($F1068-1))*$X1068)))</f>
        <v>0</v>
      </c>
      <c r="K1068" s="124">
        <f>IF($D1068="",0,'Guide &amp; Settings'!$C$43*(IF($E1068="Win",1,0)-$I1068))</f>
        <v>0</v>
      </c>
      <c r="L1068" s="125">
        <f>IF($D1068="",0,'Guide &amp; Settings'!$C$44*IF($F1068&gt;=3,$F1068,0))</f>
        <v>0</v>
      </c>
      <c r="M1068" s="124">
        <f t="shared" si="323"/>
        <v>0</v>
      </c>
      <c r="N1068" s="122">
        <f t="shared" si="324"/>
        <v>0</v>
      </c>
      <c r="O1068" s="121" t="str">
        <f t="shared" si="325"/>
        <v/>
      </c>
      <c r="P1068">
        <f t="shared" si="326"/>
        <v>0</v>
      </c>
      <c r="Q1068">
        <f t="shared" si="327"/>
        <v>0</v>
      </c>
      <c r="R1068">
        <f t="shared" si="328"/>
        <v>0</v>
      </c>
      <c r="S1068">
        <f t="shared" si="329"/>
        <v>0</v>
      </c>
      <c r="T1068" s="89">
        <f t="shared" si="330"/>
        <v>0</v>
      </c>
      <c r="U1068" s="126">
        <f>IF($D1068="",0,IFERROR(LOOKUP(2,1/(($D$3:D1067=$D1068)*($C$3:C1067=$C1068)*($A$3:A1067&lt;$A1068)),$AB$3:AB1067),1000))</f>
        <v>0</v>
      </c>
      <c r="V1068" s="126">
        <f t="shared" si="331"/>
        <v>0</v>
      </c>
      <c r="W1068">
        <f t="shared" si="332"/>
        <v>0</v>
      </c>
      <c r="X1068">
        <f t="shared" si="333"/>
        <v>0</v>
      </c>
      <c r="Y1068">
        <f t="shared" si="334"/>
        <v>0</v>
      </c>
      <c r="Z1068">
        <f t="shared" si="335"/>
        <v>0</v>
      </c>
      <c r="AA1068">
        <f>IF($D1068="",0,IF($F1068&lt;2,0,IF($E1068="Win",('Guide &amp; Settings'!$C$42/(($F1068-1)*COUNTIFS($A$4:$A$1510,$A1068,$E$4:$E$1510,"Win")))*SUMIFS($Z$4:$Z$1510,$A$4:$A$1510,$A1068,$E$4:$E$1510,"Loss"),-('Guide &amp; Settings'!$C$42/($F1068-1))*$Z1068)))</f>
        <v>0</v>
      </c>
      <c r="AB1068" s="126">
        <f t="shared" si="336"/>
        <v>0</v>
      </c>
      <c r="AC1068" t="str">
        <f>IF($D1068="","",IF($AD1068=0,0,IF(COUNTIFS($D$4:$D1068,$D1068,$B$4:$B1068,$B1068)&gt;1,0,IF($B1068&lt;'Guide &amp; Settings'!$C$50,0,IF(($B1068-$AD1068)/7-'Guide &amp; Settings'!$C$48&gt;=0,(INT(($B1068-$AD1068)/7-'Guide &amp; Settings'!$C$48)+1)*'Guide &amp; Settings'!$C$49,0)))))</f>
        <v/>
      </c>
      <c r="AD1068" s="142">
        <f t="shared" si="337"/>
        <v>0</v>
      </c>
      <c r="AE1068">
        <f t="shared" si="338"/>
        <v>0</v>
      </c>
      <c r="AF1068">
        <f t="shared" si="339"/>
        <v>0</v>
      </c>
    </row>
    <row r="1069" spans="1:32" x14ac:dyDescent="0.2">
      <c r="A1069" s="117"/>
      <c r="B1069" s="118"/>
      <c r="C1069" s="119"/>
      <c r="D1069" s="119"/>
      <c r="E1069" s="117"/>
      <c r="F1069" s="120">
        <f t="shared" si="320"/>
        <v>0</v>
      </c>
      <c r="G1069" s="121" t="str">
        <f t="shared" si="321"/>
        <v/>
      </c>
      <c r="H1069" s="122">
        <f>IF($D1069="",0,IFERROR(LOOKUP(2,1/(($D$3:D1068=$D1069)*($A$3:A1068&lt;$A1069)),$N$3:N1068),'Guide &amp; Settings'!$C$41))</f>
        <v>0</v>
      </c>
      <c r="I1069" s="123">
        <f t="shared" si="322"/>
        <v>0</v>
      </c>
      <c r="J1069" s="124">
        <f>IF($D1069="",0,IF($F1069&lt;2,0,IF($E1069="Win",('Guide &amp; Settings'!$C$42/(($F1069-1)*COUNTIFS($A$4:$A$1510,$A1069,$E$4:$E$1510,"Win")))*SUMIFS($X$4:$X$1510,$A$4:$A$1510,$A1069,$E$4:$E$1510,"Loss"),-('Guide &amp; Settings'!$C$42/($F1069-1))*$X1069)))</f>
        <v>0</v>
      </c>
      <c r="K1069" s="124">
        <f>IF($D1069="",0,'Guide &amp; Settings'!$C$43*(IF($E1069="Win",1,0)-$I1069))</f>
        <v>0</v>
      </c>
      <c r="L1069" s="125">
        <f>IF($D1069="",0,'Guide &amp; Settings'!$C$44*IF($F1069&gt;=3,$F1069,0))</f>
        <v>0</v>
      </c>
      <c r="M1069" s="124">
        <f t="shared" si="323"/>
        <v>0</v>
      </c>
      <c r="N1069" s="122">
        <f t="shared" si="324"/>
        <v>0</v>
      </c>
      <c r="O1069" s="121" t="str">
        <f t="shared" si="325"/>
        <v/>
      </c>
      <c r="P1069">
        <f t="shared" si="326"/>
        <v>0</v>
      </c>
      <c r="Q1069">
        <f t="shared" si="327"/>
        <v>0</v>
      </c>
      <c r="R1069">
        <f t="shared" si="328"/>
        <v>0</v>
      </c>
      <c r="S1069">
        <f t="shared" si="329"/>
        <v>0</v>
      </c>
      <c r="T1069" s="89">
        <f t="shared" si="330"/>
        <v>0</v>
      </c>
      <c r="U1069" s="126">
        <f>IF($D1069="",0,IFERROR(LOOKUP(2,1/(($D$3:D1068=$D1069)*($C$3:C1068=$C1069)*($A$3:A1068&lt;$A1069)),$AB$3:AB1068),1000))</f>
        <v>0</v>
      </c>
      <c r="V1069" s="126">
        <f t="shared" si="331"/>
        <v>0</v>
      </c>
      <c r="W1069">
        <f t="shared" si="332"/>
        <v>0</v>
      </c>
      <c r="X1069">
        <f t="shared" si="333"/>
        <v>0</v>
      </c>
      <c r="Y1069">
        <f t="shared" si="334"/>
        <v>0</v>
      </c>
      <c r="Z1069">
        <f t="shared" si="335"/>
        <v>0</v>
      </c>
      <c r="AA1069">
        <f>IF($D1069="",0,IF($F1069&lt;2,0,IF($E1069="Win",('Guide &amp; Settings'!$C$42/(($F1069-1)*COUNTIFS($A$4:$A$1510,$A1069,$E$4:$E$1510,"Win")))*SUMIFS($Z$4:$Z$1510,$A$4:$A$1510,$A1069,$E$4:$E$1510,"Loss"),-('Guide &amp; Settings'!$C$42/($F1069-1))*$Z1069)))</f>
        <v>0</v>
      </c>
      <c r="AB1069" s="126">
        <f t="shared" si="336"/>
        <v>0</v>
      </c>
      <c r="AC1069" t="str">
        <f>IF($D1069="","",IF($AD1069=0,0,IF(COUNTIFS($D$4:$D1069,$D1069,$B$4:$B1069,$B1069)&gt;1,0,IF($B1069&lt;'Guide &amp; Settings'!$C$50,0,IF(($B1069-$AD1069)/7-'Guide &amp; Settings'!$C$48&gt;=0,(INT(($B1069-$AD1069)/7-'Guide &amp; Settings'!$C$48)+1)*'Guide &amp; Settings'!$C$49,0)))))</f>
        <v/>
      </c>
      <c r="AD1069" s="142">
        <f t="shared" si="337"/>
        <v>0</v>
      </c>
      <c r="AE1069">
        <f t="shared" si="338"/>
        <v>0</v>
      </c>
      <c r="AF1069">
        <f t="shared" si="339"/>
        <v>0</v>
      </c>
    </row>
    <row r="1070" spans="1:32" x14ac:dyDescent="0.2">
      <c r="A1070" s="117"/>
      <c r="B1070" s="118"/>
      <c r="C1070" s="119"/>
      <c r="D1070" s="119"/>
      <c r="E1070" s="117"/>
      <c r="F1070" s="120">
        <f t="shared" si="320"/>
        <v>0</v>
      </c>
      <c r="G1070" s="121" t="str">
        <f t="shared" si="321"/>
        <v/>
      </c>
      <c r="H1070" s="122">
        <f>IF($D1070="",0,IFERROR(LOOKUP(2,1/(($D$3:D1069=$D1070)*($A$3:A1069&lt;$A1070)),$N$3:N1069),'Guide &amp; Settings'!$C$41))</f>
        <v>0</v>
      </c>
      <c r="I1070" s="123">
        <f t="shared" si="322"/>
        <v>0</v>
      </c>
      <c r="J1070" s="124">
        <f>IF($D1070="",0,IF($F1070&lt;2,0,IF($E1070="Win",('Guide &amp; Settings'!$C$42/(($F1070-1)*COUNTIFS($A$4:$A$1510,$A1070,$E$4:$E$1510,"Win")))*SUMIFS($X$4:$X$1510,$A$4:$A$1510,$A1070,$E$4:$E$1510,"Loss"),-('Guide &amp; Settings'!$C$42/($F1070-1))*$X1070)))</f>
        <v>0</v>
      </c>
      <c r="K1070" s="124">
        <f>IF($D1070="",0,'Guide &amp; Settings'!$C$43*(IF($E1070="Win",1,0)-$I1070))</f>
        <v>0</v>
      </c>
      <c r="L1070" s="125">
        <f>IF($D1070="",0,'Guide &amp; Settings'!$C$44*IF($F1070&gt;=3,$F1070,0))</f>
        <v>0</v>
      </c>
      <c r="M1070" s="124">
        <f t="shared" si="323"/>
        <v>0</v>
      </c>
      <c r="N1070" s="122">
        <f t="shared" si="324"/>
        <v>0</v>
      </c>
      <c r="O1070" s="121" t="str">
        <f t="shared" si="325"/>
        <v/>
      </c>
      <c r="P1070">
        <f t="shared" si="326"/>
        <v>0</v>
      </c>
      <c r="Q1070">
        <f t="shared" si="327"/>
        <v>0</v>
      </c>
      <c r="R1070">
        <f t="shared" si="328"/>
        <v>0</v>
      </c>
      <c r="S1070">
        <f t="shared" si="329"/>
        <v>0</v>
      </c>
      <c r="T1070" s="89">
        <f t="shared" si="330"/>
        <v>0</v>
      </c>
      <c r="U1070" s="126">
        <f>IF($D1070="",0,IFERROR(LOOKUP(2,1/(($D$3:D1069=$D1070)*($C$3:C1069=$C1070)*($A$3:A1069&lt;$A1070)),$AB$3:AB1069),1000))</f>
        <v>0</v>
      </c>
      <c r="V1070" s="126">
        <f t="shared" si="331"/>
        <v>0</v>
      </c>
      <c r="W1070">
        <f t="shared" si="332"/>
        <v>0</v>
      </c>
      <c r="X1070">
        <f t="shared" si="333"/>
        <v>0</v>
      </c>
      <c r="Y1070">
        <f t="shared" si="334"/>
        <v>0</v>
      </c>
      <c r="Z1070">
        <f t="shared" si="335"/>
        <v>0</v>
      </c>
      <c r="AA1070">
        <f>IF($D1070="",0,IF($F1070&lt;2,0,IF($E1070="Win",('Guide &amp; Settings'!$C$42/(($F1070-1)*COUNTIFS($A$4:$A$1510,$A1070,$E$4:$E$1510,"Win")))*SUMIFS($Z$4:$Z$1510,$A$4:$A$1510,$A1070,$E$4:$E$1510,"Loss"),-('Guide &amp; Settings'!$C$42/($F1070-1))*$Z1070)))</f>
        <v>0</v>
      </c>
      <c r="AB1070" s="126">
        <f t="shared" si="336"/>
        <v>0</v>
      </c>
      <c r="AC1070" t="str">
        <f>IF($D1070="","",IF($AD1070=0,0,IF(COUNTIFS($D$4:$D1070,$D1070,$B$4:$B1070,$B1070)&gt;1,0,IF($B1070&lt;'Guide &amp; Settings'!$C$50,0,IF(($B1070-$AD1070)/7-'Guide &amp; Settings'!$C$48&gt;=0,(INT(($B1070-$AD1070)/7-'Guide &amp; Settings'!$C$48)+1)*'Guide &amp; Settings'!$C$49,0)))))</f>
        <v/>
      </c>
      <c r="AD1070" s="142">
        <f t="shared" si="337"/>
        <v>0</v>
      </c>
      <c r="AE1070">
        <f t="shared" si="338"/>
        <v>0</v>
      </c>
      <c r="AF1070">
        <f t="shared" si="339"/>
        <v>0</v>
      </c>
    </row>
    <row r="1071" spans="1:32" x14ac:dyDescent="0.2">
      <c r="A1071" s="117"/>
      <c r="B1071" s="118"/>
      <c r="C1071" s="119"/>
      <c r="D1071" s="119"/>
      <c r="E1071" s="117"/>
      <c r="F1071" s="120">
        <f t="shared" si="320"/>
        <v>0</v>
      </c>
      <c r="G1071" s="121" t="str">
        <f t="shared" si="321"/>
        <v/>
      </c>
      <c r="H1071" s="122">
        <f>IF($D1071="",0,IFERROR(LOOKUP(2,1/(($D$3:D1070=$D1071)*($A$3:A1070&lt;$A1071)),$N$3:N1070),'Guide &amp; Settings'!$C$41))</f>
        <v>0</v>
      </c>
      <c r="I1071" s="123">
        <f t="shared" si="322"/>
        <v>0</v>
      </c>
      <c r="J1071" s="124">
        <f>IF($D1071="",0,IF($F1071&lt;2,0,IF($E1071="Win",('Guide &amp; Settings'!$C$42/(($F1071-1)*COUNTIFS($A$4:$A$1510,$A1071,$E$4:$E$1510,"Win")))*SUMIFS($X$4:$X$1510,$A$4:$A$1510,$A1071,$E$4:$E$1510,"Loss"),-('Guide &amp; Settings'!$C$42/($F1071-1))*$X1071)))</f>
        <v>0</v>
      </c>
      <c r="K1071" s="124">
        <f>IF($D1071="",0,'Guide &amp; Settings'!$C$43*(IF($E1071="Win",1,0)-$I1071))</f>
        <v>0</v>
      </c>
      <c r="L1071" s="125">
        <f>IF($D1071="",0,'Guide &amp; Settings'!$C$44*IF($F1071&gt;=3,$F1071,0))</f>
        <v>0</v>
      </c>
      <c r="M1071" s="124">
        <f t="shared" si="323"/>
        <v>0</v>
      </c>
      <c r="N1071" s="122">
        <f t="shared" si="324"/>
        <v>0</v>
      </c>
      <c r="O1071" s="121" t="str">
        <f t="shared" si="325"/>
        <v/>
      </c>
      <c r="P1071">
        <f t="shared" si="326"/>
        <v>0</v>
      </c>
      <c r="Q1071">
        <f t="shared" si="327"/>
        <v>0</v>
      </c>
      <c r="R1071">
        <f t="shared" si="328"/>
        <v>0</v>
      </c>
      <c r="S1071">
        <f t="shared" si="329"/>
        <v>0</v>
      </c>
      <c r="T1071" s="89">
        <f t="shared" si="330"/>
        <v>0</v>
      </c>
      <c r="U1071" s="126">
        <f>IF($D1071="",0,IFERROR(LOOKUP(2,1/(($D$3:D1070=$D1071)*($C$3:C1070=$C1071)*($A$3:A1070&lt;$A1071)),$AB$3:AB1070),1000))</f>
        <v>0</v>
      </c>
      <c r="V1071" s="126">
        <f t="shared" si="331"/>
        <v>0</v>
      </c>
      <c r="W1071">
        <f t="shared" si="332"/>
        <v>0</v>
      </c>
      <c r="X1071">
        <f t="shared" si="333"/>
        <v>0</v>
      </c>
      <c r="Y1071">
        <f t="shared" si="334"/>
        <v>0</v>
      </c>
      <c r="Z1071">
        <f t="shared" si="335"/>
        <v>0</v>
      </c>
      <c r="AA1071">
        <f>IF($D1071="",0,IF($F1071&lt;2,0,IF($E1071="Win",('Guide &amp; Settings'!$C$42/(($F1071-1)*COUNTIFS($A$4:$A$1510,$A1071,$E$4:$E$1510,"Win")))*SUMIFS($Z$4:$Z$1510,$A$4:$A$1510,$A1071,$E$4:$E$1510,"Loss"),-('Guide &amp; Settings'!$C$42/($F1071-1))*$Z1071)))</f>
        <v>0</v>
      </c>
      <c r="AB1071" s="126">
        <f t="shared" si="336"/>
        <v>0</v>
      </c>
      <c r="AC1071" t="str">
        <f>IF($D1071="","",IF($AD1071=0,0,IF(COUNTIFS($D$4:$D1071,$D1071,$B$4:$B1071,$B1071)&gt;1,0,IF($B1071&lt;'Guide &amp; Settings'!$C$50,0,IF(($B1071-$AD1071)/7-'Guide &amp; Settings'!$C$48&gt;=0,(INT(($B1071-$AD1071)/7-'Guide &amp; Settings'!$C$48)+1)*'Guide &amp; Settings'!$C$49,0)))))</f>
        <v/>
      </c>
      <c r="AD1071" s="142">
        <f t="shared" si="337"/>
        <v>0</v>
      </c>
      <c r="AE1071">
        <f t="shared" si="338"/>
        <v>0</v>
      </c>
      <c r="AF1071">
        <f t="shared" si="339"/>
        <v>0</v>
      </c>
    </row>
    <row r="1072" spans="1:32" x14ac:dyDescent="0.2">
      <c r="A1072" s="117"/>
      <c r="B1072" s="118"/>
      <c r="C1072" s="119"/>
      <c r="D1072" s="119"/>
      <c r="E1072" s="117"/>
      <c r="F1072" s="120">
        <f t="shared" si="320"/>
        <v>0</v>
      </c>
      <c r="G1072" s="121" t="str">
        <f t="shared" si="321"/>
        <v/>
      </c>
      <c r="H1072" s="122">
        <f>IF($D1072="",0,IFERROR(LOOKUP(2,1/(($D$3:D1071=$D1072)*($A$3:A1071&lt;$A1072)),$N$3:N1071),'Guide &amp; Settings'!$C$41))</f>
        <v>0</v>
      </c>
      <c r="I1072" s="123">
        <f t="shared" si="322"/>
        <v>0</v>
      </c>
      <c r="J1072" s="124">
        <f>IF($D1072="",0,IF($F1072&lt;2,0,IF($E1072="Win",('Guide &amp; Settings'!$C$42/(($F1072-1)*COUNTIFS($A$4:$A$1510,$A1072,$E$4:$E$1510,"Win")))*SUMIFS($X$4:$X$1510,$A$4:$A$1510,$A1072,$E$4:$E$1510,"Loss"),-('Guide &amp; Settings'!$C$42/($F1072-1))*$X1072)))</f>
        <v>0</v>
      </c>
      <c r="K1072" s="124">
        <f>IF($D1072="",0,'Guide &amp; Settings'!$C$43*(IF($E1072="Win",1,0)-$I1072))</f>
        <v>0</v>
      </c>
      <c r="L1072" s="125">
        <f>IF($D1072="",0,'Guide &amp; Settings'!$C$44*IF($F1072&gt;=3,$F1072,0))</f>
        <v>0</v>
      </c>
      <c r="M1072" s="124">
        <f t="shared" si="323"/>
        <v>0</v>
      </c>
      <c r="N1072" s="122">
        <f t="shared" si="324"/>
        <v>0</v>
      </c>
      <c r="O1072" s="121" t="str">
        <f t="shared" si="325"/>
        <v/>
      </c>
      <c r="P1072">
        <f t="shared" si="326"/>
        <v>0</v>
      </c>
      <c r="Q1072">
        <f t="shared" si="327"/>
        <v>0</v>
      </c>
      <c r="R1072">
        <f t="shared" si="328"/>
        <v>0</v>
      </c>
      <c r="S1072">
        <f t="shared" si="329"/>
        <v>0</v>
      </c>
      <c r="T1072" s="89">
        <f t="shared" si="330"/>
        <v>0</v>
      </c>
      <c r="U1072" s="126">
        <f>IF($D1072="",0,IFERROR(LOOKUP(2,1/(($D$3:D1071=$D1072)*($C$3:C1071=$C1072)*($A$3:A1071&lt;$A1072)),$AB$3:AB1071),1000))</f>
        <v>0</v>
      </c>
      <c r="V1072" s="126">
        <f t="shared" si="331"/>
        <v>0</v>
      </c>
      <c r="W1072">
        <f t="shared" si="332"/>
        <v>0</v>
      </c>
      <c r="X1072">
        <f t="shared" si="333"/>
        <v>0</v>
      </c>
      <c r="Y1072">
        <f t="shared" si="334"/>
        <v>0</v>
      </c>
      <c r="Z1072">
        <f t="shared" si="335"/>
        <v>0</v>
      </c>
      <c r="AA1072">
        <f>IF($D1072="",0,IF($F1072&lt;2,0,IF($E1072="Win",('Guide &amp; Settings'!$C$42/(($F1072-1)*COUNTIFS($A$4:$A$1510,$A1072,$E$4:$E$1510,"Win")))*SUMIFS($Z$4:$Z$1510,$A$4:$A$1510,$A1072,$E$4:$E$1510,"Loss"),-('Guide &amp; Settings'!$C$42/($F1072-1))*$Z1072)))</f>
        <v>0</v>
      </c>
      <c r="AB1072" s="126">
        <f t="shared" si="336"/>
        <v>0</v>
      </c>
      <c r="AC1072" t="str">
        <f>IF($D1072="","",IF($AD1072=0,0,IF(COUNTIFS($D$4:$D1072,$D1072,$B$4:$B1072,$B1072)&gt;1,0,IF($B1072&lt;'Guide &amp; Settings'!$C$50,0,IF(($B1072-$AD1072)/7-'Guide &amp; Settings'!$C$48&gt;=0,(INT(($B1072-$AD1072)/7-'Guide &amp; Settings'!$C$48)+1)*'Guide &amp; Settings'!$C$49,0)))))</f>
        <v/>
      </c>
      <c r="AD1072" s="142">
        <f t="shared" si="337"/>
        <v>0</v>
      </c>
      <c r="AE1072">
        <f t="shared" si="338"/>
        <v>0</v>
      </c>
      <c r="AF1072">
        <f t="shared" si="339"/>
        <v>0</v>
      </c>
    </row>
    <row r="1073" spans="1:32" x14ac:dyDescent="0.2">
      <c r="A1073" s="117"/>
      <c r="B1073" s="118"/>
      <c r="C1073" s="119"/>
      <c r="D1073" s="119"/>
      <c r="E1073" s="117"/>
      <c r="F1073" s="120">
        <f t="shared" si="320"/>
        <v>0</v>
      </c>
      <c r="G1073" s="121" t="str">
        <f t="shared" si="321"/>
        <v/>
      </c>
      <c r="H1073" s="122">
        <f>IF($D1073="",0,IFERROR(LOOKUP(2,1/(($D$3:D1072=$D1073)*($A$3:A1072&lt;$A1073)),$N$3:N1072),'Guide &amp; Settings'!$C$41))</f>
        <v>0</v>
      </c>
      <c r="I1073" s="123">
        <f t="shared" si="322"/>
        <v>0</v>
      </c>
      <c r="J1073" s="124">
        <f>IF($D1073="",0,IF($F1073&lt;2,0,IF($E1073="Win",('Guide &amp; Settings'!$C$42/(($F1073-1)*COUNTIFS($A$4:$A$1510,$A1073,$E$4:$E$1510,"Win")))*SUMIFS($X$4:$X$1510,$A$4:$A$1510,$A1073,$E$4:$E$1510,"Loss"),-('Guide &amp; Settings'!$C$42/($F1073-1))*$X1073)))</f>
        <v>0</v>
      </c>
      <c r="K1073" s="124">
        <f>IF($D1073="",0,'Guide &amp; Settings'!$C$43*(IF($E1073="Win",1,0)-$I1073))</f>
        <v>0</v>
      </c>
      <c r="L1073" s="125">
        <f>IF($D1073="",0,'Guide &amp; Settings'!$C$44*IF($F1073&gt;=3,$F1073,0))</f>
        <v>0</v>
      </c>
      <c r="M1073" s="124">
        <f t="shared" si="323"/>
        <v>0</v>
      </c>
      <c r="N1073" s="122">
        <f t="shared" si="324"/>
        <v>0</v>
      </c>
      <c r="O1073" s="121" t="str">
        <f t="shared" si="325"/>
        <v/>
      </c>
      <c r="P1073">
        <f t="shared" si="326"/>
        <v>0</v>
      </c>
      <c r="Q1073">
        <f t="shared" si="327"/>
        <v>0</v>
      </c>
      <c r="R1073">
        <f t="shared" si="328"/>
        <v>0</v>
      </c>
      <c r="S1073">
        <f t="shared" si="329"/>
        <v>0</v>
      </c>
      <c r="T1073" s="89">
        <f t="shared" si="330"/>
        <v>0</v>
      </c>
      <c r="U1073" s="126">
        <f>IF($D1073="",0,IFERROR(LOOKUP(2,1/(($D$3:D1072=$D1073)*($C$3:C1072=$C1073)*($A$3:A1072&lt;$A1073)),$AB$3:AB1072),1000))</f>
        <v>0</v>
      </c>
      <c r="V1073" s="126">
        <f t="shared" si="331"/>
        <v>0</v>
      </c>
      <c r="W1073">
        <f t="shared" si="332"/>
        <v>0</v>
      </c>
      <c r="X1073">
        <f t="shared" si="333"/>
        <v>0</v>
      </c>
      <c r="Y1073">
        <f t="shared" si="334"/>
        <v>0</v>
      </c>
      <c r="Z1073">
        <f t="shared" si="335"/>
        <v>0</v>
      </c>
      <c r="AA1073">
        <f>IF($D1073="",0,IF($F1073&lt;2,0,IF($E1073="Win",('Guide &amp; Settings'!$C$42/(($F1073-1)*COUNTIFS($A$4:$A$1510,$A1073,$E$4:$E$1510,"Win")))*SUMIFS($Z$4:$Z$1510,$A$4:$A$1510,$A1073,$E$4:$E$1510,"Loss"),-('Guide &amp; Settings'!$C$42/($F1073-1))*$Z1073)))</f>
        <v>0</v>
      </c>
      <c r="AB1073" s="126">
        <f t="shared" si="336"/>
        <v>0</v>
      </c>
      <c r="AC1073" t="str">
        <f>IF($D1073="","",IF($AD1073=0,0,IF(COUNTIFS($D$4:$D1073,$D1073,$B$4:$B1073,$B1073)&gt;1,0,IF($B1073&lt;'Guide &amp; Settings'!$C$50,0,IF(($B1073-$AD1073)/7-'Guide &amp; Settings'!$C$48&gt;=0,(INT(($B1073-$AD1073)/7-'Guide &amp; Settings'!$C$48)+1)*'Guide &amp; Settings'!$C$49,0)))))</f>
        <v/>
      </c>
      <c r="AD1073" s="142">
        <f t="shared" si="337"/>
        <v>0</v>
      </c>
      <c r="AE1073">
        <f t="shared" si="338"/>
        <v>0</v>
      </c>
      <c r="AF1073">
        <f t="shared" si="339"/>
        <v>0</v>
      </c>
    </row>
    <row r="1074" spans="1:32" x14ac:dyDescent="0.2">
      <c r="A1074" s="117"/>
      <c r="B1074" s="118"/>
      <c r="C1074" s="119"/>
      <c r="D1074" s="119"/>
      <c r="E1074" s="117"/>
      <c r="F1074" s="120">
        <f t="shared" si="320"/>
        <v>0</v>
      </c>
      <c r="G1074" s="121" t="str">
        <f t="shared" si="321"/>
        <v/>
      </c>
      <c r="H1074" s="122">
        <f>IF($D1074="",0,IFERROR(LOOKUP(2,1/(($D$3:D1073=$D1074)*($A$3:A1073&lt;$A1074)),$N$3:N1073),'Guide &amp; Settings'!$C$41))</f>
        <v>0</v>
      </c>
      <c r="I1074" s="123">
        <f t="shared" si="322"/>
        <v>0</v>
      </c>
      <c r="J1074" s="124">
        <f>IF($D1074="",0,IF($F1074&lt;2,0,IF($E1074="Win",('Guide &amp; Settings'!$C$42/(($F1074-1)*COUNTIFS($A$4:$A$1510,$A1074,$E$4:$E$1510,"Win")))*SUMIFS($X$4:$X$1510,$A$4:$A$1510,$A1074,$E$4:$E$1510,"Loss"),-('Guide &amp; Settings'!$C$42/($F1074-1))*$X1074)))</f>
        <v>0</v>
      </c>
      <c r="K1074" s="124">
        <f>IF($D1074="",0,'Guide &amp; Settings'!$C$43*(IF($E1074="Win",1,0)-$I1074))</f>
        <v>0</v>
      </c>
      <c r="L1074" s="125">
        <f>IF($D1074="",0,'Guide &amp; Settings'!$C$44*IF($F1074&gt;=3,$F1074,0))</f>
        <v>0</v>
      </c>
      <c r="M1074" s="124">
        <f t="shared" si="323"/>
        <v>0</v>
      </c>
      <c r="N1074" s="122">
        <f t="shared" si="324"/>
        <v>0</v>
      </c>
      <c r="O1074" s="121" t="str">
        <f t="shared" si="325"/>
        <v/>
      </c>
      <c r="P1074">
        <f t="shared" si="326"/>
        <v>0</v>
      </c>
      <c r="Q1074">
        <f t="shared" si="327"/>
        <v>0</v>
      </c>
      <c r="R1074">
        <f t="shared" si="328"/>
        <v>0</v>
      </c>
      <c r="S1074">
        <f t="shared" si="329"/>
        <v>0</v>
      </c>
      <c r="T1074" s="89">
        <f t="shared" si="330"/>
        <v>0</v>
      </c>
      <c r="U1074" s="126">
        <f>IF($D1074="",0,IFERROR(LOOKUP(2,1/(($D$3:D1073=$D1074)*($C$3:C1073=$C1074)*($A$3:A1073&lt;$A1074)),$AB$3:AB1073),1000))</f>
        <v>0</v>
      </c>
      <c r="V1074" s="126">
        <f t="shared" si="331"/>
        <v>0</v>
      </c>
      <c r="W1074">
        <f t="shared" si="332"/>
        <v>0</v>
      </c>
      <c r="X1074">
        <f t="shared" si="333"/>
        <v>0</v>
      </c>
      <c r="Y1074">
        <f t="shared" si="334"/>
        <v>0</v>
      </c>
      <c r="Z1074">
        <f t="shared" si="335"/>
        <v>0</v>
      </c>
      <c r="AA1074">
        <f>IF($D1074="",0,IF($F1074&lt;2,0,IF($E1074="Win",('Guide &amp; Settings'!$C$42/(($F1074-1)*COUNTIFS($A$4:$A$1510,$A1074,$E$4:$E$1510,"Win")))*SUMIFS($Z$4:$Z$1510,$A$4:$A$1510,$A1074,$E$4:$E$1510,"Loss"),-('Guide &amp; Settings'!$C$42/($F1074-1))*$Z1074)))</f>
        <v>0</v>
      </c>
      <c r="AB1074" s="126">
        <f t="shared" si="336"/>
        <v>0</v>
      </c>
      <c r="AC1074" t="str">
        <f>IF($D1074="","",IF($AD1074=0,0,IF(COUNTIFS($D$4:$D1074,$D1074,$B$4:$B1074,$B1074)&gt;1,0,IF($B1074&lt;'Guide &amp; Settings'!$C$50,0,IF(($B1074-$AD1074)/7-'Guide &amp; Settings'!$C$48&gt;=0,(INT(($B1074-$AD1074)/7-'Guide &amp; Settings'!$C$48)+1)*'Guide &amp; Settings'!$C$49,0)))))</f>
        <v/>
      </c>
      <c r="AD1074" s="142">
        <f t="shared" si="337"/>
        <v>0</v>
      </c>
      <c r="AE1074">
        <f t="shared" si="338"/>
        <v>0</v>
      </c>
      <c r="AF1074">
        <f t="shared" si="339"/>
        <v>0</v>
      </c>
    </row>
    <row r="1075" spans="1:32" x14ac:dyDescent="0.2">
      <c r="A1075" s="117"/>
      <c r="B1075" s="118"/>
      <c r="C1075" s="119"/>
      <c r="D1075" s="119"/>
      <c r="E1075" s="117"/>
      <c r="F1075" s="120">
        <f t="shared" si="320"/>
        <v>0</v>
      </c>
      <c r="G1075" s="121" t="str">
        <f t="shared" si="321"/>
        <v/>
      </c>
      <c r="H1075" s="122">
        <f>IF($D1075="",0,IFERROR(LOOKUP(2,1/(($D$3:D1074=$D1075)*($A$3:A1074&lt;$A1075)),$N$3:N1074),'Guide &amp; Settings'!$C$41))</f>
        <v>0</v>
      </c>
      <c r="I1075" s="123">
        <f t="shared" si="322"/>
        <v>0</v>
      </c>
      <c r="J1075" s="124">
        <f>IF($D1075="",0,IF($F1075&lt;2,0,IF($E1075="Win",('Guide &amp; Settings'!$C$42/(($F1075-1)*COUNTIFS($A$4:$A$1510,$A1075,$E$4:$E$1510,"Win")))*SUMIFS($X$4:$X$1510,$A$4:$A$1510,$A1075,$E$4:$E$1510,"Loss"),-('Guide &amp; Settings'!$C$42/($F1075-1))*$X1075)))</f>
        <v>0</v>
      </c>
      <c r="K1075" s="124">
        <f>IF($D1075="",0,'Guide &amp; Settings'!$C$43*(IF($E1075="Win",1,0)-$I1075))</f>
        <v>0</v>
      </c>
      <c r="L1075" s="125">
        <f>IF($D1075="",0,'Guide &amp; Settings'!$C$44*IF($F1075&gt;=3,$F1075,0))</f>
        <v>0</v>
      </c>
      <c r="M1075" s="124">
        <f t="shared" si="323"/>
        <v>0</v>
      </c>
      <c r="N1075" s="122">
        <f t="shared" si="324"/>
        <v>0</v>
      </c>
      <c r="O1075" s="121" t="str">
        <f t="shared" si="325"/>
        <v/>
      </c>
      <c r="P1075">
        <f t="shared" si="326"/>
        <v>0</v>
      </c>
      <c r="Q1075">
        <f t="shared" si="327"/>
        <v>0</v>
      </c>
      <c r="R1075">
        <f t="shared" si="328"/>
        <v>0</v>
      </c>
      <c r="S1075">
        <f t="shared" si="329"/>
        <v>0</v>
      </c>
      <c r="T1075" s="89">
        <f t="shared" si="330"/>
        <v>0</v>
      </c>
      <c r="U1075" s="126">
        <f>IF($D1075="",0,IFERROR(LOOKUP(2,1/(($D$3:D1074=$D1075)*($C$3:C1074=$C1075)*($A$3:A1074&lt;$A1075)),$AB$3:AB1074),1000))</f>
        <v>0</v>
      </c>
      <c r="V1075" s="126">
        <f t="shared" si="331"/>
        <v>0</v>
      </c>
      <c r="W1075">
        <f t="shared" si="332"/>
        <v>0</v>
      </c>
      <c r="X1075">
        <f t="shared" si="333"/>
        <v>0</v>
      </c>
      <c r="Y1075">
        <f t="shared" si="334"/>
        <v>0</v>
      </c>
      <c r="Z1075">
        <f t="shared" si="335"/>
        <v>0</v>
      </c>
      <c r="AA1075">
        <f>IF($D1075="",0,IF($F1075&lt;2,0,IF($E1075="Win",('Guide &amp; Settings'!$C$42/(($F1075-1)*COUNTIFS($A$4:$A$1510,$A1075,$E$4:$E$1510,"Win")))*SUMIFS($Z$4:$Z$1510,$A$4:$A$1510,$A1075,$E$4:$E$1510,"Loss"),-('Guide &amp; Settings'!$C$42/($F1075-1))*$Z1075)))</f>
        <v>0</v>
      </c>
      <c r="AB1075" s="126">
        <f t="shared" si="336"/>
        <v>0</v>
      </c>
      <c r="AC1075" t="str">
        <f>IF($D1075="","",IF($AD1075=0,0,IF(COUNTIFS($D$4:$D1075,$D1075,$B$4:$B1075,$B1075)&gt;1,0,IF($B1075&lt;'Guide &amp; Settings'!$C$50,0,IF(($B1075-$AD1075)/7-'Guide &amp; Settings'!$C$48&gt;=0,(INT(($B1075-$AD1075)/7-'Guide &amp; Settings'!$C$48)+1)*'Guide &amp; Settings'!$C$49,0)))))</f>
        <v/>
      </c>
      <c r="AD1075" s="142">
        <f t="shared" si="337"/>
        <v>0</v>
      </c>
      <c r="AE1075">
        <f t="shared" si="338"/>
        <v>0</v>
      </c>
      <c r="AF1075">
        <f t="shared" si="339"/>
        <v>0</v>
      </c>
    </row>
    <row r="1076" spans="1:32" x14ac:dyDescent="0.2">
      <c r="A1076" s="117"/>
      <c r="B1076" s="118"/>
      <c r="C1076" s="119"/>
      <c r="D1076" s="119"/>
      <c r="E1076" s="117"/>
      <c r="F1076" s="120">
        <f t="shared" si="320"/>
        <v>0</v>
      </c>
      <c r="G1076" s="121" t="str">
        <f t="shared" si="321"/>
        <v/>
      </c>
      <c r="H1076" s="122">
        <f>IF($D1076="",0,IFERROR(LOOKUP(2,1/(($D$3:D1075=$D1076)*($A$3:A1075&lt;$A1076)),$N$3:N1075),'Guide &amp; Settings'!$C$41))</f>
        <v>0</v>
      </c>
      <c r="I1076" s="123">
        <f t="shared" si="322"/>
        <v>0</v>
      </c>
      <c r="J1076" s="124">
        <f>IF($D1076="",0,IF($F1076&lt;2,0,IF($E1076="Win",('Guide &amp; Settings'!$C$42/(($F1076-1)*COUNTIFS($A$4:$A$1510,$A1076,$E$4:$E$1510,"Win")))*SUMIFS($X$4:$X$1510,$A$4:$A$1510,$A1076,$E$4:$E$1510,"Loss"),-('Guide &amp; Settings'!$C$42/($F1076-1))*$X1076)))</f>
        <v>0</v>
      </c>
      <c r="K1076" s="124">
        <f>IF($D1076="",0,'Guide &amp; Settings'!$C$43*(IF($E1076="Win",1,0)-$I1076))</f>
        <v>0</v>
      </c>
      <c r="L1076" s="125">
        <f>IF($D1076="",0,'Guide &amp; Settings'!$C$44*IF($F1076&gt;=3,$F1076,0))</f>
        <v>0</v>
      </c>
      <c r="M1076" s="124">
        <f t="shared" si="323"/>
        <v>0</v>
      </c>
      <c r="N1076" s="122">
        <f t="shared" si="324"/>
        <v>0</v>
      </c>
      <c r="O1076" s="121" t="str">
        <f t="shared" si="325"/>
        <v/>
      </c>
      <c r="P1076">
        <f t="shared" si="326"/>
        <v>0</v>
      </c>
      <c r="Q1076">
        <f t="shared" si="327"/>
        <v>0</v>
      </c>
      <c r="R1076">
        <f t="shared" si="328"/>
        <v>0</v>
      </c>
      <c r="S1076">
        <f t="shared" si="329"/>
        <v>0</v>
      </c>
      <c r="T1076" s="89">
        <f t="shared" si="330"/>
        <v>0</v>
      </c>
      <c r="U1076" s="126">
        <f>IF($D1076="",0,IFERROR(LOOKUP(2,1/(($D$3:D1075=$D1076)*($C$3:C1075=$C1076)*($A$3:A1075&lt;$A1076)),$AB$3:AB1075),1000))</f>
        <v>0</v>
      </c>
      <c r="V1076" s="126">
        <f t="shared" si="331"/>
        <v>0</v>
      </c>
      <c r="W1076">
        <f t="shared" si="332"/>
        <v>0</v>
      </c>
      <c r="X1076">
        <f t="shared" si="333"/>
        <v>0</v>
      </c>
      <c r="Y1076">
        <f t="shared" si="334"/>
        <v>0</v>
      </c>
      <c r="Z1076">
        <f t="shared" si="335"/>
        <v>0</v>
      </c>
      <c r="AA1076">
        <f>IF($D1076="",0,IF($F1076&lt;2,0,IF($E1076="Win",('Guide &amp; Settings'!$C$42/(($F1076-1)*COUNTIFS($A$4:$A$1510,$A1076,$E$4:$E$1510,"Win")))*SUMIFS($Z$4:$Z$1510,$A$4:$A$1510,$A1076,$E$4:$E$1510,"Loss"),-('Guide &amp; Settings'!$C$42/($F1076-1))*$Z1076)))</f>
        <v>0</v>
      </c>
      <c r="AB1076" s="126">
        <f t="shared" si="336"/>
        <v>0</v>
      </c>
      <c r="AC1076" t="str">
        <f>IF($D1076="","",IF($AD1076=0,0,IF(COUNTIFS($D$4:$D1076,$D1076,$B$4:$B1076,$B1076)&gt;1,0,IF($B1076&lt;'Guide &amp; Settings'!$C$50,0,IF(($B1076-$AD1076)/7-'Guide &amp; Settings'!$C$48&gt;=0,(INT(($B1076-$AD1076)/7-'Guide &amp; Settings'!$C$48)+1)*'Guide &amp; Settings'!$C$49,0)))))</f>
        <v/>
      </c>
      <c r="AD1076" s="142">
        <f t="shared" si="337"/>
        <v>0</v>
      </c>
      <c r="AE1076">
        <f t="shared" si="338"/>
        <v>0</v>
      </c>
      <c r="AF1076">
        <f t="shared" si="339"/>
        <v>0</v>
      </c>
    </row>
    <row r="1077" spans="1:32" x14ac:dyDescent="0.2">
      <c r="A1077" s="117"/>
      <c r="B1077" s="118"/>
      <c r="C1077" s="119"/>
      <c r="D1077" s="119"/>
      <c r="E1077" s="117"/>
      <c r="F1077" s="120">
        <f t="shared" si="320"/>
        <v>0</v>
      </c>
      <c r="G1077" s="121" t="str">
        <f t="shared" si="321"/>
        <v/>
      </c>
      <c r="H1077" s="122">
        <f>IF($D1077="",0,IFERROR(LOOKUP(2,1/(($D$3:D1076=$D1077)*($A$3:A1076&lt;$A1077)),$N$3:N1076),'Guide &amp; Settings'!$C$41))</f>
        <v>0</v>
      </c>
      <c r="I1077" s="123">
        <f t="shared" si="322"/>
        <v>0</v>
      </c>
      <c r="J1077" s="124">
        <f>IF($D1077="",0,IF($F1077&lt;2,0,IF($E1077="Win",('Guide &amp; Settings'!$C$42/(($F1077-1)*COUNTIFS($A$4:$A$1510,$A1077,$E$4:$E$1510,"Win")))*SUMIFS($X$4:$X$1510,$A$4:$A$1510,$A1077,$E$4:$E$1510,"Loss"),-('Guide &amp; Settings'!$C$42/($F1077-1))*$X1077)))</f>
        <v>0</v>
      </c>
      <c r="K1077" s="124">
        <f>IF($D1077="",0,'Guide &amp; Settings'!$C$43*(IF($E1077="Win",1,0)-$I1077))</f>
        <v>0</v>
      </c>
      <c r="L1077" s="125">
        <f>IF($D1077="",0,'Guide &amp; Settings'!$C$44*IF($F1077&gt;=3,$F1077,0))</f>
        <v>0</v>
      </c>
      <c r="M1077" s="124">
        <f t="shared" si="323"/>
        <v>0</v>
      </c>
      <c r="N1077" s="122">
        <f t="shared" si="324"/>
        <v>0</v>
      </c>
      <c r="O1077" s="121" t="str">
        <f t="shared" si="325"/>
        <v/>
      </c>
      <c r="P1077">
        <f t="shared" si="326"/>
        <v>0</v>
      </c>
      <c r="Q1077">
        <f t="shared" si="327"/>
        <v>0</v>
      </c>
      <c r="R1077">
        <f t="shared" si="328"/>
        <v>0</v>
      </c>
      <c r="S1077">
        <f t="shared" si="329"/>
        <v>0</v>
      </c>
      <c r="T1077" s="89">
        <f t="shared" si="330"/>
        <v>0</v>
      </c>
      <c r="U1077" s="126">
        <f>IF($D1077="",0,IFERROR(LOOKUP(2,1/(($D$3:D1076=$D1077)*($C$3:C1076=$C1077)*($A$3:A1076&lt;$A1077)),$AB$3:AB1076),1000))</f>
        <v>0</v>
      </c>
      <c r="V1077" s="126">
        <f t="shared" si="331"/>
        <v>0</v>
      </c>
      <c r="W1077">
        <f t="shared" si="332"/>
        <v>0</v>
      </c>
      <c r="X1077">
        <f t="shared" si="333"/>
        <v>0</v>
      </c>
      <c r="Y1077">
        <f t="shared" si="334"/>
        <v>0</v>
      </c>
      <c r="Z1077">
        <f t="shared" si="335"/>
        <v>0</v>
      </c>
      <c r="AA1077">
        <f>IF($D1077="",0,IF($F1077&lt;2,0,IF($E1077="Win",('Guide &amp; Settings'!$C$42/(($F1077-1)*COUNTIFS($A$4:$A$1510,$A1077,$E$4:$E$1510,"Win")))*SUMIFS($Z$4:$Z$1510,$A$4:$A$1510,$A1077,$E$4:$E$1510,"Loss"),-('Guide &amp; Settings'!$C$42/($F1077-1))*$Z1077)))</f>
        <v>0</v>
      </c>
      <c r="AB1077" s="126">
        <f t="shared" si="336"/>
        <v>0</v>
      </c>
      <c r="AC1077" t="str">
        <f>IF($D1077="","",IF($AD1077=0,0,IF(COUNTIFS($D$4:$D1077,$D1077,$B$4:$B1077,$B1077)&gt;1,0,IF($B1077&lt;'Guide &amp; Settings'!$C$50,0,IF(($B1077-$AD1077)/7-'Guide &amp; Settings'!$C$48&gt;=0,(INT(($B1077-$AD1077)/7-'Guide &amp; Settings'!$C$48)+1)*'Guide &amp; Settings'!$C$49,0)))))</f>
        <v/>
      </c>
      <c r="AD1077" s="142">
        <f t="shared" si="337"/>
        <v>0</v>
      </c>
      <c r="AE1077">
        <f t="shared" si="338"/>
        <v>0</v>
      </c>
      <c r="AF1077">
        <f t="shared" si="339"/>
        <v>0</v>
      </c>
    </row>
    <row r="1078" spans="1:32" x14ac:dyDescent="0.2">
      <c r="A1078" s="117"/>
      <c r="B1078" s="118"/>
      <c r="C1078" s="119"/>
      <c r="D1078" s="119"/>
      <c r="E1078" s="117"/>
      <c r="F1078" s="120">
        <f t="shared" si="320"/>
        <v>0</v>
      </c>
      <c r="G1078" s="121" t="str">
        <f t="shared" si="321"/>
        <v/>
      </c>
      <c r="H1078" s="122">
        <f>IF($D1078="",0,IFERROR(LOOKUP(2,1/(($D$3:D1077=$D1078)*($A$3:A1077&lt;$A1078)),$N$3:N1077),'Guide &amp; Settings'!$C$41))</f>
        <v>0</v>
      </c>
      <c r="I1078" s="123">
        <f t="shared" si="322"/>
        <v>0</v>
      </c>
      <c r="J1078" s="124">
        <f>IF($D1078="",0,IF($F1078&lt;2,0,IF($E1078="Win",('Guide &amp; Settings'!$C$42/(($F1078-1)*COUNTIFS($A$4:$A$1510,$A1078,$E$4:$E$1510,"Win")))*SUMIFS($X$4:$X$1510,$A$4:$A$1510,$A1078,$E$4:$E$1510,"Loss"),-('Guide &amp; Settings'!$C$42/($F1078-1))*$X1078)))</f>
        <v>0</v>
      </c>
      <c r="K1078" s="124">
        <f>IF($D1078="",0,'Guide &amp; Settings'!$C$43*(IF($E1078="Win",1,0)-$I1078))</f>
        <v>0</v>
      </c>
      <c r="L1078" s="125">
        <f>IF($D1078="",0,'Guide &amp; Settings'!$C$44*IF($F1078&gt;=3,$F1078,0))</f>
        <v>0</v>
      </c>
      <c r="M1078" s="124">
        <f t="shared" si="323"/>
        <v>0</v>
      </c>
      <c r="N1078" s="122">
        <f t="shared" si="324"/>
        <v>0</v>
      </c>
      <c r="O1078" s="121" t="str">
        <f t="shared" si="325"/>
        <v/>
      </c>
      <c r="P1078">
        <f t="shared" si="326"/>
        <v>0</v>
      </c>
      <c r="Q1078">
        <f t="shared" si="327"/>
        <v>0</v>
      </c>
      <c r="R1078">
        <f t="shared" si="328"/>
        <v>0</v>
      </c>
      <c r="S1078">
        <f t="shared" si="329"/>
        <v>0</v>
      </c>
      <c r="T1078" s="89">
        <f t="shared" si="330"/>
        <v>0</v>
      </c>
      <c r="U1078" s="126">
        <f>IF($D1078="",0,IFERROR(LOOKUP(2,1/(($D$3:D1077=$D1078)*($C$3:C1077=$C1078)*($A$3:A1077&lt;$A1078)),$AB$3:AB1077),1000))</f>
        <v>0</v>
      </c>
      <c r="V1078" s="126">
        <f t="shared" si="331"/>
        <v>0</v>
      </c>
      <c r="W1078">
        <f t="shared" si="332"/>
        <v>0</v>
      </c>
      <c r="X1078">
        <f t="shared" si="333"/>
        <v>0</v>
      </c>
      <c r="Y1078">
        <f t="shared" si="334"/>
        <v>0</v>
      </c>
      <c r="Z1078">
        <f t="shared" si="335"/>
        <v>0</v>
      </c>
      <c r="AA1078">
        <f>IF($D1078="",0,IF($F1078&lt;2,0,IF($E1078="Win",('Guide &amp; Settings'!$C$42/(($F1078-1)*COUNTIFS($A$4:$A$1510,$A1078,$E$4:$E$1510,"Win")))*SUMIFS($Z$4:$Z$1510,$A$4:$A$1510,$A1078,$E$4:$E$1510,"Loss"),-('Guide &amp; Settings'!$C$42/($F1078-1))*$Z1078)))</f>
        <v>0</v>
      </c>
      <c r="AB1078" s="126">
        <f t="shared" si="336"/>
        <v>0</v>
      </c>
      <c r="AC1078" t="str">
        <f>IF($D1078="","",IF($AD1078=0,0,IF(COUNTIFS($D$4:$D1078,$D1078,$B$4:$B1078,$B1078)&gt;1,0,IF($B1078&lt;'Guide &amp; Settings'!$C$50,0,IF(($B1078-$AD1078)/7-'Guide &amp; Settings'!$C$48&gt;=0,(INT(($B1078-$AD1078)/7-'Guide &amp; Settings'!$C$48)+1)*'Guide &amp; Settings'!$C$49,0)))))</f>
        <v/>
      </c>
      <c r="AD1078" s="142">
        <f t="shared" si="337"/>
        <v>0</v>
      </c>
      <c r="AE1078">
        <f t="shared" si="338"/>
        <v>0</v>
      </c>
      <c r="AF1078">
        <f t="shared" si="339"/>
        <v>0</v>
      </c>
    </row>
    <row r="1079" spans="1:32" x14ac:dyDescent="0.2">
      <c r="A1079" s="117"/>
      <c r="B1079" s="118"/>
      <c r="C1079" s="119"/>
      <c r="D1079" s="119"/>
      <c r="E1079" s="117"/>
      <c r="F1079" s="120">
        <f t="shared" si="320"/>
        <v>0</v>
      </c>
      <c r="G1079" s="121" t="str">
        <f t="shared" si="321"/>
        <v/>
      </c>
      <c r="H1079" s="122">
        <f>IF($D1079="",0,IFERROR(LOOKUP(2,1/(($D$3:D1078=$D1079)*($A$3:A1078&lt;$A1079)),$N$3:N1078),'Guide &amp; Settings'!$C$41))</f>
        <v>0</v>
      </c>
      <c r="I1079" s="123">
        <f t="shared" si="322"/>
        <v>0</v>
      </c>
      <c r="J1079" s="124">
        <f>IF($D1079="",0,IF($F1079&lt;2,0,IF($E1079="Win",('Guide &amp; Settings'!$C$42/(($F1079-1)*COUNTIFS($A$4:$A$1510,$A1079,$E$4:$E$1510,"Win")))*SUMIFS($X$4:$X$1510,$A$4:$A$1510,$A1079,$E$4:$E$1510,"Loss"),-('Guide &amp; Settings'!$C$42/($F1079-1))*$X1079)))</f>
        <v>0</v>
      </c>
      <c r="K1079" s="124">
        <f>IF($D1079="",0,'Guide &amp; Settings'!$C$43*(IF($E1079="Win",1,0)-$I1079))</f>
        <v>0</v>
      </c>
      <c r="L1079" s="125">
        <f>IF($D1079="",0,'Guide &amp; Settings'!$C$44*IF($F1079&gt;=3,$F1079,0))</f>
        <v>0</v>
      </c>
      <c r="M1079" s="124">
        <f t="shared" si="323"/>
        <v>0</v>
      </c>
      <c r="N1079" s="122">
        <f t="shared" si="324"/>
        <v>0</v>
      </c>
      <c r="O1079" s="121" t="str">
        <f t="shared" si="325"/>
        <v/>
      </c>
      <c r="P1079">
        <f t="shared" si="326"/>
        <v>0</v>
      </c>
      <c r="Q1079">
        <f t="shared" si="327"/>
        <v>0</v>
      </c>
      <c r="R1079">
        <f t="shared" si="328"/>
        <v>0</v>
      </c>
      <c r="S1079">
        <f t="shared" si="329"/>
        <v>0</v>
      </c>
      <c r="T1079" s="89">
        <f t="shared" si="330"/>
        <v>0</v>
      </c>
      <c r="U1079" s="126">
        <f>IF($D1079="",0,IFERROR(LOOKUP(2,1/(($D$3:D1078=$D1079)*($C$3:C1078=$C1079)*($A$3:A1078&lt;$A1079)),$AB$3:AB1078),1000))</f>
        <v>0</v>
      </c>
      <c r="V1079" s="126">
        <f t="shared" si="331"/>
        <v>0</v>
      </c>
      <c r="W1079">
        <f t="shared" si="332"/>
        <v>0</v>
      </c>
      <c r="X1079">
        <f t="shared" si="333"/>
        <v>0</v>
      </c>
      <c r="Y1079">
        <f t="shared" si="334"/>
        <v>0</v>
      </c>
      <c r="Z1079">
        <f t="shared" si="335"/>
        <v>0</v>
      </c>
      <c r="AA1079">
        <f>IF($D1079="",0,IF($F1079&lt;2,0,IF($E1079="Win",('Guide &amp; Settings'!$C$42/(($F1079-1)*COUNTIFS($A$4:$A$1510,$A1079,$E$4:$E$1510,"Win")))*SUMIFS($Z$4:$Z$1510,$A$4:$A$1510,$A1079,$E$4:$E$1510,"Loss"),-('Guide &amp; Settings'!$C$42/($F1079-1))*$Z1079)))</f>
        <v>0</v>
      </c>
      <c r="AB1079" s="126">
        <f t="shared" si="336"/>
        <v>0</v>
      </c>
      <c r="AC1079" t="str">
        <f>IF($D1079="","",IF($AD1079=0,0,IF(COUNTIFS($D$4:$D1079,$D1079,$B$4:$B1079,$B1079)&gt;1,0,IF($B1079&lt;'Guide &amp; Settings'!$C$50,0,IF(($B1079-$AD1079)/7-'Guide &amp; Settings'!$C$48&gt;=0,(INT(($B1079-$AD1079)/7-'Guide &amp; Settings'!$C$48)+1)*'Guide &amp; Settings'!$C$49,0)))))</f>
        <v/>
      </c>
      <c r="AD1079" s="142">
        <f t="shared" si="337"/>
        <v>0</v>
      </c>
      <c r="AE1079">
        <f t="shared" si="338"/>
        <v>0</v>
      </c>
      <c r="AF1079">
        <f t="shared" si="339"/>
        <v>0</v>
      </c>
    </row>
    <row r="1080" spans="1:32" x14ac:dyDescent="0.2">
      <c r="A1080" s="117"/>
      <c r="B1080" s="118"/>
      <c r="C1080" s="119"/>
      <c r="D1080" s="119"/>
      <c r="E1080" s="117"/>
      <c r="F1080" s="120">
        <f t="shared" si="320"/>
        <v>0</v>
      </c>
      <c r="G1080" s="121" t="str">
        <f t="shared" si="321"/>
        <v/>
      </c>
      <c r="H1080" s="122">
        <f>IF($D1080="",0,IFERROR(LOOKUP(2,1/(($D$3:D1079=$D1080)*($A$3:A1079&lt;$A1080)),$N$3:N1079),'Guide &amp; Settings'!$C$41))</f>
        <v>0</v>
      </c>
      <c r="I1080" s="123">
        <f t="shared" si="322"/>
        <v>0</v>
      </c>
      <c r="J1080" s="124">
        <f>IF($D1080="",0,IF($F1080&lt;2,0,IF($E1080="Win",('Guide &amp; Settings'!$C$42/(($F1080-1)*COUNTIFS($A$4:$A$1510,$A1080,$E$4:$E$1510,"Win")))*SUMIFS($X$4:$X$1510,$A$4:$A$1510,$A1080,$E$4:$E$1510,"Loss"),-('Guide &amp; Settings'!$C$42/($F1080-1))*$X1080)))</f>
        <v>0</v>
      </c>
      <c r="K1080" s="124">
        <f>IF($D1080="",0,'Guide &amp; Settings'!$C$43*(IF($E1080="Win",1,0)-$I1080))</f>
        <v>0</v>
      </c>
      <c r="L1080" s="125">
        <f>IF($D1080="",0,'Guide &amp; Settings'!$C$44*IF($F1080&gt;=3,$F1080,0))</f>
        <v>0</v>
      </c>
      <c r="M1080" s="124">
        <f t="shared" si="323"/>
        <v>0</v>
      </c>
      <c r="N1080" s="122">
        <f t="shared" si="324"/>
        <v>0</v>
      </c>
      <c r="O1080" s="121" t="str">
        <f t="shared" si="325"/>
        <v/>
      </c>
      <c r="P1080">
        <f t="shared" si="326"/>
        <v>0</v>
      </c>
      <c r="Q1080">
        <f t="shared" si="327"/>
        <v>0</v>
      </c>
      <c r="R1080">
        <f t="shared" si="328"/>
        <v>0</v>
      </c>
      <c r="S1080">
        <f t="shared" si="329"/>
        <v>0</v>
      </c>
      <c r="T1080" s="89">
        <f t="shared" si="330"/>
        <v>0</v>
      </c>
      <c r="U1080" s="126">
        <f>IF($D1080="",0,IFERROR(LOOKUP(2,1/(($D$3:D1079=$D1080)*($C$3:C1079=$C1080)*($A$3:A1079&lt;$A1080)),$AB$3:AB1079),1000))</f>
        <v>0</v>
      </c>
      <c r="V1080" s="126">
        <f t="shared" si="331"/>
        <v>0</v>
      </c>
      <c r="W1080">
        <f t="shared" si="332"/>
        <v>0</v>
      </c>
      <c r="X1080">
        <f t="shared" si="333"/>
        <v>0</v>
      </c>
      <c r="Y1080">
        <f t="shared" si="334"/>
        <v>0</v>
      </c>
      <c r="Z1080">
        <f t="shared" si="335"/>
        <v>0</v>
      </c>
      <c r="AA1080">
        <f>IF($D1080="",0,IF($F1080&lt;2,0,IF($E1080="Win",('Guide &amp; Settings'!$C$42/(($F1080-1)*COUNTIFS($A$4:$A$1510,$A1080,$E$4:$E$1510,"Win")))*SUMIFS($Z$4:$Z$1510,$A$4:$A$1510,$A1080,$E$4:$E$1510,"Loss"),-('Guide &amp; Settings'!$C$42/($F1080-1))*$Z1080)))</f>
        <v>0</v>
      </c>
      <c r="AB1080" s="126">
        <f t="shared" si="336"/>
        <v>0</v>
      </c>
      <c r="AC1080" t="str">
        <f>IF($D1080="","",IF($AD1080=0,0,IF(COUNTIFS($D$4:$D1080,$D1080,$B$4:$B1080,$B1080)&gt;1,0,IF($B1080&lt;'Guide &amp; Settings'!$C$50,0,IF(($B1080-$AD1080)/7-'Guide &amp; Settings'!$C$48&gt;=0,(INT(($B1080-$AD1080)/7-'Guide &amp; Settings'!$C$48)+1)*'Guide &amp; Settings'!$C$49,0)))))</f>
        <v/>
      </c>
      <c r="AD1080" s="142">
        <f t="shared" si="337"/>
        <v>0</v>
      </c>
      <c r="AE1080">
        <f t="shared" si="338"/>
        <v>0</v>
      </c>
      <c r="AF1080">
        <f t="shared" si="339"/>
        <v>0</v>
      </c>
    </row>
    <row r="1081" spans="1:32" x14ac:dyDescent="0.2">
      <c r="A1081" s="117"/>
      <c r="B1081" s="118"/>
      <c r="C1081" s="119"/>
      <c r="D1081" s="119"/>
      <c r="E1081" s="117"/>
      <c r="F1081" s="120">
        <f t="shared" si="320"/>
        <v>0</v>
      </c>
      <c r="G1081" s="121" t="str">
        <f t="shared" si="321"/>
        <v/>
      </c>
      <c r="H1081" s="122">
        <f>IF($D1081="",0,IFERROR(LOOKUP(2,1/(($D$3:D1080=$D1081)*($A$3:A1080&lt;$A1081)),$N$3:N1080),'Guide &amp; Settings'!$C$41))</f>
        <v>0</v>
      </c>
      <c r="I1081" s="123">
        <f t="shared" si="322"/>
        <v>0</v>
      </c>
      <c r="J1081" s="124">
        <f>IF($D1081="",0,IF($F1081&lt;2,0,IF($E1081="Win",('Guide &amp; Settings'!$C$42/(($F1081-1)*COUNTIFS($A$4:$A$1510,$A1081,$E$4:$E$1510,"Win")))*SUMIFS($X$4:$X$1510,$A$4:$A$1510,$A1081,$E$4:$E$1510,"Loss"),-('Guide &amp; Settings'!$C$42/($F1081-1))*$X1081)))</f>
        <v>0</v>
      </c>
      <c r="K1081" s="124">
        <f>IF($D1081="",0,'Guide &amp; Settings'!$C$43*(IF($E1081="Win",1,0)-$I1081))</f>
        <v>0</v>
      </c>
      <c r="L1081" s="125">
        <f>IF($D1081="",0,'Guide &amp; Settings'!$C$44*IF($F1081&gt;=3,$F1081,0))</f>
        <v>0</v>
      </c>
      <c r="M1081" s="124">
        <f t="shared" si="323"/>
        <v>0</v>
      </c>
      <c r="N1081" s="122">
        <f t="shared" si="324"/>
        <v>0</v>
      </c>
      <c r="O1081" s="121" t="str">
        <f t="shared" si="325"/>
        <v/>
      </c>
      <c r="P1081">
        <f t="shared" si="326"/>
        <v>0</v>
      </c>
      <c r="Q1081">
        <f t="shared" si="327"/>
        <v>0</v>
      </c>
      <c r="R1081">
        <f t="shared" si="328"/>
        <v>0</v>
      </c>
      <c r="S1081">
        <f t="shared" si="329"/>
        <v>0</v>
      </c>
      <c r="T1081" s="89">
        <f t="shared" si="330"/>
        <v>0</v>
      </c>
      <c r="U1081" s="126">
        <f>IF($D1081="",0,IFERROR(LOOKUP(2,1/(($D$3:D1080=$D1081)*($C$3:C1080=$C1081)*($A$3:A1080&lt;$A1081)),$AB$3:AB1080),1000))</f>
        <v>0</v>
      </c>
      <c r="V1081" s="126">
        <f t="shared" si="331"/>
        <v>0</v>
      </c>
      <c r="W1081">
        <f t="shared" si="332"/>
        <v>0</v>
      </c>
      <c r="X1081">
        <f t="shared" si="333"/>
        <v>0</v>
      </c>
      <c r="Y1081">
        <f t="shared" si="334"/>
        <v>0</v>
      </c>
      <c r="Z1081">
        <f t="shared" si="335"/>
        <v>0</v>
      </c>
      <c r="AA1081">
        <f>IF($D1081="",0,IF($F1081&lt;2,0,IF($E1081="Win",('Guide &amp; Settings'!$C$42/(($F1081-1)*COUNTIFS($A$4:$A$1510,$A1081,$E$4:$E$1510,"Win")))*SUMIFS($Z$4:$Z$1510,$A$4:$A$1510,$A1081,$E$4:$E$1510,"Loss"),-('Guide &amp; Settings'!$C$42/($F1081-1))*$Z1081)))</f>
        <v>0</v>
      </c>
      <c r="AB1081" s="126">
        <f t="shared" si="336"/>
        <v>0</v>
      </c>
      <c r="AC1081" t="str">
        <f>IF($D1081="","",IF($AD1081=0,0,IF(COUNTIFS($D$4:$D1081,$D1081,$B$4:$B1081,$B1081)&gt;1,0,IF($B1081&lt;'Guide &amp; Settings'!$C$50,0,IF(($B1081-$AD1081)/7-'Guide &amp; Settings'!$C$48&gt;=0,(INT(($B1081-$AD1081)/7-'Guide &amp; Settings'!$C$48)+1)*'Guide &amp; Settings'!$C$49,0)))))</f>
        <v/>
      </c>
      <c r="AD1081" s="142">
        <f t="shared" si="337"/>
        <v>0</v>
      </c>
      <c r="AE1081">
        <f t="shared" si="338"/>
        <v>0</v>
      </c>
      <c r="AF1081">
        <f t="shared" si="339"/>
        <v>0</v>
      </c>
    </row>
    <row r="1082" spans="1:32" x14ac:dyDescent="0.2">
      <c r="A1082" s="117"/>
      <c r="B1082" s="118"/>
      <c r="C1082" s="119"/>
      <c r="D1082" s="119"/>
      <c r="E1082" s="117"/>
      <c r="F1082" s="120">
        <f t="shared" si="320"/>
        <v>0</v>
      </c>
      <c r="G1082" s="121" t="str">
        <f t="shared" si="321"/>
        <v/>
      </c>
      <c r="H1082" s="122">
        <f>IF($D1082="",0,IFERROR(LOOKUP(2,1/(($D$3:D1081=$D1082)*($A$3:A1081&lt;$A1082)),$N$3:N1081),'Guide &amp; Settings'!$C$41))</f>
        <v>0</v>
      </c>
      <c r="I1082" s="123">
        <f t="shared" si="322"/>
        <v>0</v>
      </c>
      <c r="J1082" s="124">
        <f>IF($D1082="",0,IF($F1082&lt;2,0,IF($E1082="Win",('Guide &amp; Settings'!$C$42/(($F1082-1)*COUNTIFS($A$4:$A$1510,$A1082,$E$4:$E$1510,"Win")))*SUMIFS($X$4:$X$1510,$A$4:$A$1510,$A1082,$E$4:$E$1510,"Loss"),-('Guide &amp; Settings'!$C$42/($F1082-1))*$X1082)))</f>
        <v>0</v>
      </c>
      <c r="K1082" s="124">
        <f>IF($D1082="",0,'Guide &amp; Settings'!$C$43*(IF($E1082="Win",1,0)-$I1082))</f>
        <v>0</v>
      </c>
      <c r="L1082" s="125">
        <f>IF($D1082="",0,'Guide &amp; Settings'!$C$44*IF($F1082&gt;=3,$F1082,0))</f>
        <v>0</v>
      </c>
      <c r="M1082" s="124">
        <f t="shared" si="323"/>
        <v>0</v>
      </c>
      <c r="N1082" s="122">
        <f t="shared" si="324"/>
        <v>0</v>
      </c>
      <c r="O1082" s="121" t="str">
        <f t="shared" si="325"/>
        <v/>
      </c>
      <c r="P1082">
        <f t="shared" si="326"/>
        <v>0</v>
      </c>
      <c r="Q1082">
        <f t="shared" si="327"/>
        <v>0</v>
      </c>
      <c r="R1082">
        <f t="shared" si="328"/>
        <v>0</v>
      </c>
      <c r="S1082">
        <f t="shared" si="329"/>
        <v>0</v>
      </c>
      <c r="T1082" s="89">
        <f t="shared" si="330"/>
        <v>0</v>
      </c>
      <c r="U1082" s="126">
        <f>IF($D1082="",0,IFERROR(LOOKUP(2,1/(($D$3:D1081=$D1082)*($C$3:C1081=$C1082)*($A$3:A1081&lt;$A1082)),$AB$3:AB1081),1000))</f>
        <v>0</v>
      </c>
      <c r="V1082" s="126">
        <f t="shared" si="331"/>
        <v>0</v>
      </c>
      <c r="W1082">
        <f t="shared" si="332"/>
        <v>0</v>
      </c>
      <c r="X1082">
        <f t="shared" si="333"/>
        <v>0</v>
      </c>
      <c r="Y1082">
        <f t="shared" si="334"/>
        <v>0</v>
      </c>
      <c r="Z1082">
        <f t="shared" si="335"/>
        <v>0</v>
      </c>
      <c r="AA1082">
        <f>IF($D1082="",0,IF($F1082&lt;2,0,IF($E1082="Win",('Guide &amp; Settings'!$C$42/(($F1082-1)*COUNTIFS($A$4:$A$1510,$A1082,$E$4:$E$1510,"Win")))*SUMIFS($Z$4:$Z$1510,$A$4:$A$1510,$A1082,$E$4:$E$1510,"Loss"),-('Guide &amp; Settings'!$C$42/($F1082-1))*$Z1082)))</f>
        <v>0</v>
      </c>
      <c r="AB1082" s="126">
        <f t="shared" si="336"/>
        <v>0</v>
      </c>
      <c r="AC1082" t="str">
        <f>IF($D1082="","",IF($AD1082=0,0,IF(COUNTIFS($D$4:$D1082,$D1082,$B$4:$B1082,$B1082)&gt;1,0,IF($B1082&lt;'Guide &amp; Settings'!$C$50,0,IF(($B1082-$AD1082)/7-'Guide &amp; Settings'!$C$48&gt;=0,(INT(($B1082-$AD1082)/7-'Guide &amp; Settings'!$C$48)+1)*'Guide &amp; Settings'!$C$49,0)))))</f>
        <v/>
      </c>
      <c r="AD1082" s="142">
        <f t="shared" si="337"/>
        <v>0</v>
      </c>
      <c r="AE1082">
        <f t="shared" si="338"/>
        <v>0</v>
      </c>
      <c r="AF1082">
        <f t="shared" si="339"/>
        <v>0</v>
      </c>
    </row>
    <row r="1083" spans="1:32" x14ac:dyDescent="0.2">
      <c r="A1083" s="117"/>
      <c r="B1083" s="118"/>
      <c r="C1083" s="119"/>
      <c r="D1083" s="119"/>
      <c r="E1083" s="117"/>
      <c r="F1083" s="120">
        <f t="shared" si="320"/>
        <v>0</v>
      </c>
      <c r="G1083" s="121" t="str">
        <f t="shared" si="321"/>
        <v/>
      </c>
      <c r="H1083" s="122">
        <f>IF($D1083="",0,IFERROR(LOOKUP(2,1/(($D$3:D1082=$D1083)*($A$3:A1082&lt;$A1083)),$N$3:N1082),'Guide &amp; Settings'!$C$41))</f>
        <v>0</v>
      </c>
      <c r="I1083" s="123">
        <f t="shared" si="322"/>
        <v>0</v>
      </c>
      <c r="J1083" s="124">
        <f>IF($D1083="",0,IF($F1083&lt;2,0,IF($E1083="Win",('Guide &amp; Settings'!$C$42/(($F1083-1)*COUNTIFS($A$4:$A$1510,$A1083,$E$4:$E$1510,"Win")))*SUMIFS($X$4:$X$1510,$A$4:$A$1510,$A1083,$E$4:$E$1510,"Loss"),-('Guide &amp; Settings'!$C$42/($F1083-1))*$X1083)))</f>
        <v>0</v>
      </c>
      <c r="K1083" s="124">
        <f>IF($D1083="",0,'Guide &amp; Settings'!$C$43*(IF($E1083="Win",1,0)-$I1083))</f>
        <v>0</v>
      </c>
      <c r="L1083" s="125">
        <f>IF($D1083="",0,'Guide &amp; Settings'!$C$44*IF($F1083&gt;=3,$F1083,0))</f>
        <v>0</v>
      </c>
      <c r="M1083" s="124">
        <f t="shared" si="323"/>
        <v>0</v>
      </c>
      <c r="N1083" s="122">
        <f t="shared" si="324"/>
        <v>0</v>
      </c>
      <c r="O1083" s="121" t="str">
        <f t="shared" si="325"/>
        <v/>
      </c>
      <c r="P1083">
        <f t="shared" si="326"/>
        <v>0</v>
      </c>
      <c r="Q1083">
        <f t="shared" si="327"/>
        <v>0</v>
      </c>
      <c r="R1083">
        <f t="shared" si="328"/>
        <v>0</v>
      </c>
      <c r="S1083">
        <f t="shared" si="329"/>
        <v>0</v>
      </c>
      <c r="T1083" s="89">
        <f t="shared" si="330"/>
        <v>0</v>
      </c>
      <c r="U1083" s="126">
        <f>IF($D1083="",0,IFERROR(LOOKUP(2,1/(($D$3:D1082=$D1083)*($C$3:C1082=$C1083)*($A$3:A1082&lt;$A1083)),$AB$3:AB1082),1000))</f>
        <v>0</v>
      </c>
      <c r="V1083" s="126">
        <f t="shared" si="331"/>
        <v>0</v>
      </c>
      <c r="W1083">
        <f t="shared" si="332"/>
        <v>0</v>
      </c>
      <c r="X1083">
        <f t="shared" si="333"/>
        <v>0</v>
      </c>
      <c r="Y1083">
        <f t="shared" si="334"/>
        <v>0</v>
      </c>
      <c r="Z1083">
        <f t="shared" si="335"/>
        <v>0</v>
      </c>
      <c r="AA1083">
        <f>IF($D1083="",0,IF($F1083&lt;2,0,IF($E1083="Win",('Guide &amp; Settings'!$C$42/(($F1083-1)*COUNTIFS($A$4:$A$1510,$A1083,$E$4:$E$1510,"Win")))*SUMIFS($Z$4:$Z$1510,$A$4:$A$1510,$A1083,$E$4:$E$1510,"Loss"),-('Guide &amp; Settings'!$C$42/($F1083-1))*$Z1083)))</f>
        <v>0</v>
      </c>
      <c r="AB1083" s="126">
        <f t="shared" si="336"/>
        <v>0</v>
      </c>
      <c r="AC1083" t="str">
        <f>IF($D1083="","",IF($AD1083=0,0,IF(COUNTIFS($D$4:$D1083,$D1083,$B$4:$B1083,$B1083)&gt;1,0,IF($B1083&lt;'Guide &amp; Settings'!$C$50,0,IF(($B1083-$AD1083)/7-'Guide &amp; Settings'!$C$48&gt;=0,(INT(($B1083-$AD1083)/7-'Guide &amp; Settings'!$C$48)+1)*'Guide &amp; Settings'!$C$49,0)))))</f>
        <v/>
      </c>
      <c r="AD1083" s="142">
        <f t="shared" si="337"/>
        <v>0</v>
      </c>
      <c r="AE1083">
        <f t="shared" si="338"/>
        <v>0</v>
      </c>
      <c r="AF1083">
        <f t="shared" si="339"/>
        <v>0</v>
      </c>
    </row>
    <row r="1084" spans="1:32" x14ac:dyDescent="0.2">
      <c r="A1084" s="117"/>
      <c r="B1084" s="118"/>
      <c r="C1084" s="119"/>
      <c r="D1084" s="119"/>
      <c r="E1084" s="117"/>
      <c r="F1084" s="120">
        <f t="shared" si="320"/>
        <v>0</v>
      </c>
      <c r="G1084" s="121" t="str">
        <f t="shared" si="321"/>
        <v/>
      </c>
      <c r="H1084" s="122">
        <f>IF($D1084="",0,IFERROR(LOOKUP(2,1/(($D$3:D1083=$D1084)*($A$3:A1083&lt;$A1084)),$N$3:N1083),'Guide &amp; Settings'!$C$41))</f>
        <v>0</v>
      </c>
      <c r="I1084" s="123">
        <f t="shared" si="322"/>
        <v>0</v>
      </c>
      <c r="J1084" s="124">
        <f>IF($D1084="",0,IF($F1084&lt;2,0,IF($E1084="Win",('Guide &amp; Settings'!$C$42/(($F1084-1)*COUNTIFS($A$4:$A$1510,$A1084,$E$4:$E$1510,"Win")))*SUMIFS($X$4:$X$1510,$A$4:$A$1510,$A1084,$E$4:$E$1510,"Loss"),-('Guide &amp; Settings'!$C$42/($F1084-1))*$X1084)))</f>
        <v>0</v>
      </c>
      <c r="K1084" s="124">
        <f>IF($D1084="",0,'Guide &amp; Settings'!$C$43*(IF($E1084="Win",1,0)-$I1084))</f>
        <v>0</v>
      </c>
      <c r="L1084" s="125">
        <f>IF($D1084="",0,'Guide &amp; Settings'!$C$44*IF($F1084&gt;=3,$F1084,0))</f>
        <v>0</v>
      </c>
      <c r="M1084" s="124">
        <f t="shared" si="323"/>
        <v>0</v>
      </c>
      <c r="N1084" s="122">
        <f t="shared" si="324"/>
        <v>0</v>
      </c>
      <c r="O1084" s="121" t="str">
        <f t="shared" si="325"/>
        <v/>
      </c>
      <c r="P1084">
        <f t="shared" si="326"/>
        <v>0</v>
      </c>
      <c r="Q1084">
        <f t="shared" si="327"/>
        <v>0</v>
      </c>
      <c r="R1084">
        <f t="shared" si="328"/>
        <v>0</v>
      </c>
      <c r="S1084">
        <f t="shared" si="329"/>
        <v>0</v>
      </c>
      <c r="T1084" s="89">
        <f t="shared" si="330"/>
        <v>0</v>
      </c>
      <c r="U1084" s="126">
        <f>IF($D1084="",0,IFERROR(LOOKUP(2,1/(($D$3:D1083=$D1084)*($C$3:C1083=$C1084)*($A$3:A1083&lt;$A1084)),$AB$3:AB1083),1000))</f>
        <v>0</v>
      </c>
      <c r="V1084" s="126">
        <f t="shared" si="331"/>
        <v>0</v>
      </c>
      <c r="W1084">
        <f t="shared" si="332"/>
        <v>0</v>
      </c>
      <c r="X1084">
        <f t="shared" si="333"/>
        <v>0</v>
      </c>
      <c r="Y1084">
        <f t="shared" si="334"/>
        <v>0</v>
      </c>
      <c r="Z1084">
        <f t="shared" si="335"/>
        <v>0</v>
      </c>
      <c r="AA1084">
        <f>IF($D1084="",0,IF($F1084&lt;2,0,IF($E1084="Win",('Guide &amp; Settings'!$C$42/(($F1084-1)*COUNTIFS($A$4:$A$1510,$A1084,$E$4:$E$1510,"Win")))*SUMIFS($Z$4:$Z$1510,$A$4:$A$1510,$A1084,$E$4:$E$1510,"Loss"),-('Guide &amp; Settings'!$C$42/($F1084-1))*$Z1084)))</f>
        <v>0</v>
      </c>
      <c r="AB1084" s="126">
        <f t="shared" si="336"/>
        <v>0</v>
      </c>
      <c r="AC1084" t="str">
        <f>IF($D1084="","",IF($AD1084=0,0,IF(COUNTIFS($D$4:$D1084,$D1084,$B$4:$B1084,$B1084)&gt;1,0,IF($B1084&lt;'Guide &amp; Settings'!$C$50,0,IF(($B1084-$AD1084)/7-'Guide &amp; Settings'!$C$48&gt;=0,(INT(($B1084-$AD1084)/7-'Guide &amp; Settings'!$C$48)+1)*'Guide &amp; Settings'!$C$49,0)))))</f>
        <v/>
      </c>
      <c r="AD1084" s="142">
        <f t="shared" si="337"/>
        <v>0</v>
      </c>
      <c r="AE1084">
        <f t="shared" si="338"/>
        <v>0</v>
      </c>
      <c r="AF1084">
        <f t="shared" si="339"/>
        <v>0</v>
      </c>
    </row>
    <row r="1085" spans="1:32" x14ac:dyDescent="0.2">
      <c r="A1085" s="117"/>
      <c r="B1085" s="118"/>
      <c r="C1085" s="119"/>
      <c r="D1085" s="119"/>
      <c r="E1085" s="117"/>
      <c r="F1085" s="120">
        <f t="shared" si="320"/>
        <v>0</v>
      </c>
      <c r="G1085" s="121" t="str">
        <f t="shared" si="321"/>
        <v/>
      </c>
      <c r="H1085" s="122">
        <f>IF($D1085="",0,IFERROR(LOOKUP(2,1/(($D$3:D1084=$D1085)*($A$3:A1084&lt;$A1085)),$N$3:N1084),'Guide &amp; Settings'!$C$41))</f>
        <v>0</v>
      </c>
      <c r="I1085" s="123">
        <f t="shared" si="322"/>
        <v>0</v>
      </c>
      <c r="J1085" s="124">
        <f>IF($D1085="",0,IF($F1085&lt;2,0,IF($E1085="Win",('Guide &amp; Settings'!$C$42/(($F1085-1)*COUNTIFS($A$4:$A$1510,$A1085,$E$4:$E$1510,"Win")))*SUMIFS($X$4:$X$1510,$A$4:$A$1510,$A1085,$E$4:$E$1510,"Loss"),-('Guide &amp; Settings'!$C$42/($F1085-1))*$X1085)))</f>
        <v>0</v>
      </c>
      <c r="K1085" s="124">
        <f>IF($D1085="",0,'Guide &amp; Settings'!$C$43*(IF($E1085="Win",1,0)-$I1085))</f>
        <v>0</v>
      </c>
      <c r="L1085" s="125">
        <f>IF($D1085="",0,'Guide &amp; Settings'!$C$44*IF($F1085&gt;=3,$F1085,0))</f>
        <v>0</v>
      </c>
      <c r="M1085" s="124">
        <f t="shared" si="323"/>
        <v>0</v>
      </c>
      <c r="N1085" s="122">
        <f t="shared" si="324"/>
        <v>0</v>
      </c>
      <c r="O1085" s="121" t="str">
        <f t="shared" si="325"/>
        <v/>
      </c>
      <c r="P1085">
        <f t="shared" si="326"/>
        <v>0</v>
      </c>
      <c r="Q1085">
        <f t="shared" si="327"/>
        <v>0</v>
      </c>
      <c r="R1085">
        <f t="shared" si="328"/>
        <v>0</v>
      </c>
      <c r="S1085">
        <f t="shared" si="329"/>
        <v>0</v>
      </c>
      <c r="T1085" s="89">
        <f t="shared" si="330"/>
        <v>0</v>
      </c>
      <c r="U1085" s="126">
        <f>IF($D1085="",0,IFERROR(LOOKUP(2,1/(($D$3:D1084=$D1085)*($C$3:C1084=$C1085)*($A$3:A1084&lt;$A1085)),$AB$3:AB1084),1000))</f>
        <v>0</v>
      </c>
      <c r="V1085" s="126">
        <f t="shared" si="331"/>
        <v>0</v>
      </c>
      <c r="W1085">
        <f t="shared" si="332"/>
        <v>0</v>
      </c>
      <c r="X1085">
        <f t="shared" si="333"/>
        <v>0</v>
      </c>
      <c r="Y1085">
        <f t="shared" si="334"/>
        <v>0</v>
      </c>
      <c r="Z1085">
        <f t="shared" si="335"/>
        <v>0</v>
      </c>
      <c r="AA1085">
        <f>IF($D1085="",0,IF($F1085&lt;2,0,IF($E1085="Win",('Guide &amp; Settings'!$C$42/(($F1085-1)*COUNTIFS($A$4:$A$1510,$A1085,$E$4:$E$1510,"Win")))*SUMIFS($Z$4:$Z$1510,$A$4:$A$1510,$A1085,$E$4:$E$1510,"Loss"),-('Guide &amp; Settings'!$C$42/($F1085-1))*$Z1085)))</f>
        <v>0</v>
      </c>
      <c r="AB1085" s="126">
        <f t="shared" si="336"/>
        <v>0</v>
      </c>
      <c r="AC1085" t="str">
        <f>IF($D1085="","",IF($AD1085=0,0,IF(COUNTIFS($D$4:$D1085,$D1085,$B$4:$B1085,$B1085)&gt;1,0,IF($B1085&lt;'Guide &amp; Settings'!$C$50,0,IF(($B1085-$AD1085)/7-'Guide &amp; Settings'!$C$48&gt;=0,(INT(($B1085-$AD1085)/7-'Guide &amp; Settings'!$C$48)+1)*'Guide &amp; Settings'!$C$49,0)))))</f>
        <v/>
      </c>
      <c r="AD1085" s="142">
        <f t="shared" si="337"/>
        <v>0</v>
      </c>
      <c r="AE1085">
        <f t="shared" si="338"/>
        <v>0</v>
      </c>
      <c r="AF1085">
        <f t="shared" si="339"/>
        <v>0</v>
      </c>
    </row>
    <row r="1086" spans="1:32" x14ac:dyDescent="0.2">
      <c r="A1086" s="117"/>
      <c r="B1086" s="118"/>
      <c r="C1086" s="119"/>
      <c r="D1086" s="119"/>
      <c r="E1086" s="117"/>
      <c r="F1086" s="120">
        <f t="shared" si="320"/>
        <v>0</v>
      </c>
      <c r="G1086" s="121" t="str">
        <f t="shared" si="321"/>
        <v/>
      </c>
      <c r="H1086" s="122">
        <f>IF($D1086="",0,IFERROR(LOOKUP(2,1/(($D$3:D1085=$D1086)*($A$3:A1085&lt;$A1086)),$N$3:N1085),'Guide &amp; Settings'!$C$41))</f>
        <v>0</v>
      </c>
      <c r="I1086" s="123">
        <f t="shared" si="322"/>
        <v>0</v>
      </c>
      <c r="J1086" s="124">
        <f>IF($D1086="",0,IF($F1086&lt;2,0,IF($E1086="Win",('Guide &amp; Settings'!$C$42/(($F1086-1)*COUNTIFS($A$4:$A$1510,$A1086,$E$4:$E$1510,"Win")))*SUMIFS($X$4:$X$1510,$A$4:$A$1510,$A1086,$E$4:$E$1510,"Loss"),-('Guide &amp; Settings'!$C$42/($F1086-1))*$X1086)))</f>
        <v>0</v>
      </c>
      <c r="K1086" s="124">
        <f>IF($D1086="",0,'Guide &amp; Settings'!$C$43*(IF($E1086="Win",1,0)-$I1086))</f>
        <v>0</v>
      </c>
      <c r="L1086" s="125">
        <f>IF($D1086="",0,'Guide &amp; Settings'!$C$44*IF($F1086&gt;=3,$F1086,0))</f>
        <v>0</v>
      </c>
      <c r="M1086" s="124">
        <f t="shared" si="323"/>
        <v>0</v>
      </c>
      <c r="N1086" s="122">
        <f t="shared" si="324"/>
        <v>0</v>
      </c>
      <c r="O1086" s="121" t="str">
        <f t="shared" si="325"/>
        <v/>
      </c>
      <c r="P1086">
        <f t="shared" si="326"/>
        <v>0</v>
      </c>
      <c r="Q1086">
        <f t="shared" si="327"/>
        <v>0</v>
      </c>
      <c r="R1086">
        <f t="shared" si="328"/>
        <v>0</v>
      </c>
      <c r="S1086">
        <f t="shared" si="329"/>
        <v>0</v>
      </c>
      <c r="T1086" s="89">
        <f t="shared" si="330"/>
        <v>0</v>
      </c>
      <c r="U1086" s="126">
        <f>IF($D1086="",0,IFERROR(LOOKUP(2,1/(($D$3:D1085=$D1086)*($C$3:C1085=$C1086)*($A$3:A1085&lt;$A1086)),$AB$3:AB1085),1000))</f>
        <v>0</v>
      </c>
      <c r="V1086" s="126">
        <f t="shared" si="331"/>
        <v>0</v>
      </c>
      <c r="W1086">
        <f t="shared" si="332"/>
        <v>0</v>
      </c>
      <c r="X1086">
        <f t="shared" si="333"/>
        <v>0</v>
      </c>
      <c r="Y1086">
        <f t="shared" si="334"/>
        <v>0</v>
      </c>
      <c r="Z1086">
        <f t="shared" si="335"/>
        <v>0</v>
      </c>
      <c r="AA1086">
        <f>IF($D1086="",0,IF($F1086&lt;2,0,IF($E1086="Win",('Guide &amp; Settings'!$C$42/(($F1086-1)*COUNTIFS($A$4:$A$1510,$A1086,$E$4:$E$1510,"Win")))*SUMIFS($Z$4:$Z$1510,$A$4:$A$1510,$A1086,$E$4:$E$1510,"Loss"),-('Guide &amp; Settings'!$C$42/($F1086-1))*$Z1086)))</f>
        <v>0</v>
      </c>
      <c r="AB1086" s="126">
        <f t="shared" si="336"/>
        <v>0</v>
      </c>
      <c r="AC1086" t="str">
        <f>IF($D1086="","",IF($AD1086=0,0,IF(COUNTIFS($D$4:$D1086,$D1086,$B$4:$B1086,$B1086)&gt;1,0,IF($B1086&lt;'Guide &amp; Settings'!$C$50,0,IF(($B1086-$AD1086)/7-'Guide &amp; Settings'!$C$48&gt;=0,(INT(($B1086-$AD1086)/7-'Guide &amp; Settings'!$C$48)+1)*'Guide &amp; Settings'!$C$49,0)))))</f>
        <v/>
      </c>
      <c r="AD1086" s="142">
        <f t="shared" si="337"/>
        <v>0</v>
      </c>
      <c r="AE1086">
        <f t="shared" si="338"/>
        <v>0</v>
      </c>
      <c r="AF1086">
        <f t="shared" si="339"/>
        <v>0</v>
      </c>
    </row>
    <row r="1087" spans="1:32" x14ac:dyDescent="0.2">
      <c r="A1087" s="117"/>
      <c r="B1087" s="118"/>
      <c r="C1087" s="119"/>
      <c r="D1087" s="119"/>
      <c r="E1087" s="117"/>
      <c r="F1087" s="120">
        <f t="shared" si="320"/>
        <v>0</v>
      </c>
      <c r="G1087" s="121" t="str">
        <f t="shared" si="321"/>
        <v/>
      </c>
      <c r="H1087" s="122">
        <f>IF($D1087="",0,IFERROR(LOOKUP(2,1/(($D$3:D1086=$D1087)*($A$3:A1086&lt;$A1087)),$N$3:N1086),'Guide &amp; Settings'!$C$41))</f>
        <v>0</v>
      </c>
      <c r="I1087" s="123">
        <f t="shared" si="322"/>
        <v>0</v>
      </c>
      <c r="J1087" s="124">
        <f>IF($D1087="",0,IF($F1087&lt;2,0,IF($E1087="Win",('Guide &amp; Settings'!$C$42/(($F1087-1)*COUNTIFS($A$4:$A$1510,$A1087,$E$4:$E$1510,"Win")))*SUMIFS($X$4:$X$1510,$A$4:$A$1510,$A1087,$E$4:$E$1510,"Loss"),-('Guide &amp; Settings'!$C$42/($F1087-1))*$X1087)))</f>
        <v>0</v>
      </c>
      <c r="K1087" s="124">
        <f>IF($D1087="",0,'Guide &amp; Settings'!$C$43*(IF($E1087="Win",1,0)-$I1087))</f>
        <v>0</v>
      </c>
      <c r="L1087" s="125">
        <f>IF($D1087="",0,'Guide &amp; Settings'!$C$44*IF($F1087&gt;=3,$F1087,0))</f>
        <v>0</v>
      </c>
      <c r="M1087" s="124">
        <f t="shared" si="323"/>
        <v>0</v>
      </c>
      <c r="N1087" s="122">
        <f t="shared" si="324"/>
        <v>0</v>
      </c>
      <c r="O1087" s="121" t="str">
        <f t="shared" si="325"/>
        <v/>
      </c>
      <c r="P1087">
        <f t="shared" si="326"/>
        <v>0</v>
      </c>
      <c r="Q1087">
        <f t="shared" si="327"/>
        <v>0</v>
      </c>
      <c r="R1087">
        <f t="shared" si="328"/>
        <v>0</v>
      </c>
      <c r="S1087">
        <f t="shared" si="329"/>
        <v>0</v>
      </c>
      <c r="T1087" s="89">
        <f t="shared" si="330"/>
        <v>0</v>
      </c>
      <c r="U1087" s="126">
        <f>IF($D1087="",0,IFERROR(LOOKUP(2,1/(($D$3:D1086=$D1087)*($C$3:C1086=$C1087)*($A$3:A1086&lt;$A1087)),$AB$3:AB1086),1000))</f>
        <v>0</v>
      </c>
      <c r="V1087" s="126">
        <f t="shared" si="331"/>
        <v>0</v>
      </c>
      <c r="W1087">
        <f t="shared" si="332"/>
        <v>0</v>
      </c>
      <c r="X1087">
        <f t="shared" si="333"/>
        <v>0</v>
      </c>
      <c r="Y1087">
        <f t="shared" si="334"/>
        <v>0</v>
      </c>
      <c r="Z1087">
        <f t="shared" si="335"/>
        <v>0</v>
      </c>
      <c r="AA1087">
        <f>IF($D1087="",0,IF($F1087&lt;2,0,IF($E1087="Win",('Guide &amp; Settings'!$C$42/(($F1087-1)*COUNTIFS($A$4:$A$1510,$A1087,$E$4:$E$1510,"Win")))*SUMIFS($Z$4:$Z$1510,$A$4:$A$1510,$A1087,$E$4:$E$1510,"Loss"),-('Guide &amp; Settings'!$C$42/($F1087-1))*$Z1087)))</f>
        <v>0</v>
      </c>
      <c r="AB1087" s="126">
        <f t="shared" si="336"/>
        <v>0</v>
      </c>
      <c r="AC1087" t="str">
        <f>IF($D1087="","",IF($AD1087=0,0,IF(COUNTIFS($D$4:$D1087,$D1087,$B$4:$B1087,$B1087)&gt;1,0,IF($B1087&lt;'Guide &amp; Settings'!$C$50,0,IF(($B1087-$AD1087)/7-'Guide &amp; Settings'!$C$48&gt;=0,(INT(($B1087-$AD1087)/7-'Guide &amp; Settings'!$C$48)+1)*'Guide &amp; Settings'!$C$49,0)))))</f>
        <v/>
      </c>
      <c r="AD1087" s="142">
        <f t="shared" si="337"/>
        <v>0</v>
      </c>
      <c r="AE1087">
        <f t="shared" si="338"/>
        <v>0</v>
      </c>
      <c r="AF1087">
        <f t="shared" si="339"/>
        <v>0</v>
      </c>
    </row>
    <row r="1088" spans="1:32" x14ac:dyDescent="0.2">
      <c r="A1088" s="117"/>
      <c r="B1088" s="118"/>
      <c r="C1088" s="119"/>
      <c r="D1088" s="119"/>
      <c r="E1088" s="117"/>
      <c r="F1088" s="120">
        <f t="shared" si="320"/>
        <v>0</v>
      </c>
      <c r="G1088" s="121" t="str">
        <f t="shared" si="321"/>
        <v/>
      </c>
      <c r="H1088" s="122">
        <f>IF($D1088="",0,IFERROR(LOOKUP(2,1/(($D$3:D1087=$D1088)*($A$3:A1087&lt;$A1088)),$N$3:N1087),'Guide &amp; Settings'!$C$41))</f>
        <v>0</v>
      </c>
      <c r="I1088" s="123">
        <f t="shared" si="322"/>
        <v>0</v>
      </c>
      <c r="J1088" s="124">
        <f>IF($D1088="",0,IF($F1088&lt;2,0,IF($E1088="Win",('Guide &amp; Settings'!$C$42/(($F1088-1)*COUNTIFS($A$4:$A$1510,$A1088,$E$4:$E$1510,"Win")))*SUMIFS($X$4:$X$1510,$A$4:$A$1510,$A1088,$E$4:$E$1510,"Loss"),-('Guide &amp; Settings'!$C$42/($F1088-1))*$X1088)))</f>
        <v>0</v>
      </c>
      <c r="K1088" s="124">
        <f>IF($D1088="",0,'Guide &amp; Settings'!$C$43*(IF($E1088="Win",1,0)-$I1088))</f>
        <v>0</v>
      </c>
      <c r="L1088" s="125">
        <f>IF($D1088="",0,'Guide &amp; Settings'!$C$44*IF($F1088&gt;=3,$F1088,0))</f>
        <v>0</v>
      </c>
      <c r="M1088" s="124">
        <f t="shared" si="323"/>
        <v>0</v>
      </c>
      <c r="N1088" s="122">
        <f t="shared" si="324"/>
        <v>0</v>
      </c>
      <c r="O1088" s="121" t="str">
        <f t="shared" si="325"/>
        <v/>
      </c>
      <c r="P1088">
        <f t="shared" si="326"/>
        <v>0</v>
      </c>
      <c r="Q1088">
        <f t="shared" si="327"/>
        <v>0</v>
      </c>
      <c r="R1088">
        <f t="shared" si="328"/>
        <v>0</v>
      </c>
      <c r="S1088">
        <f t="shared" si="329"/>
        <v>0</v>
      </c>
      <c r="T1088" s="89">
        <f t="shared" si="330"/>
        <v>0</v>
      </c>
      <c r="U1088" s="126">
        <f>IF($D1088="",0,IFERROR(LOOKUP(2,1/(($D$3:D1087=$D1088)*($C$3:C1087=$C1088)*($A$3:A1087&lt;$A1088)),$AB$3:AB1087),1000))</f>
        <v>0</v>
      </c>
      <c r="V1088" s="126">
        <f t="shared" si="331"/>
        <v>0</v>
      </c>
      <c r="W1088">
        <f t="shared" si="332"/>
        <v>0</v>
      </c>
      <c r="X1088">
        <f t="shared" si="333"/>
        <v>0</v>
      </c>
      <c r="Y1088">
        <f t="shared" si="334"/>
        <v>0</v>
      </c>
      <c r="Z1088">
        <f t="shared" si="335"/>
        <v>0</v>
      </c>
      <c r="AA1088">
        <f>IF($D1088="",0,IF($F1088&lt;2,0,IF($E1088="Win",('Guide &amp; Settings'!$C$42/(($F1088-1)*COUNTIFS($A$4:$A$1510,$A1088,$E$4:$E$1510,"Win")))*SUMIFS($Z$4:$Z$1510,$A$4:$A$1510,$A1088,$E$4:$E$1510,"Loss"),-('Guide &amp; Settings'!$C$42/($F1088-1))*$Z1088)))</f>
        <v>0</v>
      </c>
      <c r="AB1088" s="126">
        <f t="shared" si="336"/>
        <v>0</v>
      </c>
      <c r="AC1088" t="str">
        <f>IF($D1088="","",IF($AD1088=0,0,IF(COUNTIFS($D$4:$D1088,$D1088,$B$4:$B1088,$B1088)&gt;1,0,IF($B1088&lt;'Guide &amp; Settings'!$C$50,0,IF(($B1088-$AD1088)/7-'Guide &amp; Settings'!$C$48&gt;=0,(INT(($B1088-$AD1088)/7-'Guide &amp; Settings'!$C$48)+1)*'Guide &amp; Settings'!$C$49,0)))))</f>
        <v/>
      </c>
      <c r="AD1088" s="142">
        <f t="shared" si="337"/>
        <v>0</v>
      </c>
      <c r="AE1088">
        <f t="shared" si="338"/>
        <v>0</v>
      </c>
      <c r="AF1088">
        <f t="shared" si="339"/>
        <v>0</v>
      </c>
    </row>
    <row r="1089" spans="1:32" x14ac:dyDescent="0.2">
      <c r="A1089" s="117"/>
      <c r="B1089" s="118"/>
      <c r="C1089" s="119"/>
      <c r="D1089" s="119"/>
      <c r="E1089" s="117"/>
      <c r="F1089" s="120">
        <f t="shared" si="320"/>
        <v>0</v>
      </c>
      <c r="G1089" s="121" t="str">
        <f t="shared" si="321"/>
        <v/>
      </c>
      <c r="H1089" s="122">
        <f>IF($D1089="",0,IFERROR(LOOKUP(2,1/(($D$3:D1088=$D1089)*($A$3:A1088&lt;$A1089)),$N$3:N1088),'Guide &amp; Settings'!$C$41))</f>
        <v>0</v>
      </c>
      <c r="I1089" s="123">
        <f t="shared" si="322"/>
        <v>0</v>
      </c>
      <c r="J1089" s="124">
        <f>IF($D1089="",0,IF($F1089&lt;2,0,IF($E1089="Win",('Guide &amp; Settings'!$C$42/(($F1089-1)*COUNTIFS($A$4:$A$1510,$A1089,$E$4:$E$1510,"Win")))*SUMIFS($X$4:$X$1510,$A$4:$A$1510,$A1089,$E$4:$E$1510,"Loss"),-('Guide &amp; Settings'!$C$42/($F1089-1))*$X1089)))</f>
        <v>0</v>
      </c>
      <c r="K1089" s="124">
        <f>IF($D1089="",0,'Guide &amp; Settings'!$C$43*(IF($E1089="Win",1,0)-$I1089))</f>
        <v>0</v>
      </c>
      <c r="L1089" s="125">
        <f>IF($D1089="",0,'Guide &amp; Settings'!$C$44*IF($F1089&gt;=3,$F1089,0))</f>
        <v>0</v>
      </c>
      <c r="M1089" s="124">
        <f t="shared" si="323"/>
        <v>0</v>
      </c>
      <c r="N1089" s="122">
        <f t="shared" si="324"/>
        <v>0</v>
      </c>
      <c r="O1089" s="121" t="str">
        <f t="shared" si="325"/>
        <v/>
      </c>
      <c r="P1089">
        <f t="shared" si="326"/>
        <v>0</v>
      </c>
      <c r="Q1089">
        <f t="shared" si="327"/>
        <v>0</v>
      </c>
      <c r="R1089">
        <f t="shared" si="328"/>
        <v>0</v>
      </c>
      <c r="S1089">
        <f t="shared" si="329"/>
        <v>0</v>
      </c>
      <c r="T1089" s="89">
        <f t="shared" si="330"/>
        <v>0</v>
      </c>
      <c r="U1089" s="126">
        <f>IF($D1089="",0,IFERROR(LOOKUP(2,1/(($D$3:D1088=$D1089)*($C$3:C1088=$C1089)*($A$3:A1088&lt;$A1089)),$AB$3:AB1088),1000))</f>
        <v>0</v>
      </c>
      <c r="V1089" s="126">
        <f t="shared" si="331"/>
        <v>0</v>
      </c>
      <c r="W1089">
        <f t="shared" si="332"/>
        <v>0</v>
      </c>
      <c r="X1089">
        <f t="shared" si="333"/>
        <v>0</v>
      </c>
      <c r="Y1089">
        <f t="shared" si="334"/>
        <v>0</v>
      </c>
      <c r="Z1089">
        <f t="shared" si="335"/>
        <v>0</v>
      </c>
      <c r="AA1089">
        <f>IF($D1089="",0,IF($F1089&lt;2,0,IF($E1089="Win",('Guide &amp; Settings'!$C$42/(($F1089-1)*COUNTIFS($A$4:$A$1510,$A1089,$E$4:$E$1510,"Win")))*SUMIFS($Z$4:$Z$1510,$A$4:$A$1510,$A1089,$E$4:$E$1510,"Loss"),-('Guide &amp; Settings'!$C$42/($F1089-1))*$Z1089)))</f>
        <v>0</v>
      </c>
      <c r="AB1089" s="126">
        <f t="shared" si="336"/>
        <v>0</v>
      </c>
      <c r="AC1089" t="str">
        <f>IF($D1089="","",IF($AD1089=0,0,IF(COUNTIFS($D$4:$D1089,$D1089,$B$4:$B1089,$B1089)&gt;1,0,IF($B1089&lt;'Guide &amp; Settings'!$C$50,0,IF(($B1089-$AD1089)/7-'Guide &amp; Settings'!$C$48&gt;=0,(INT(($B1089-$AD1089)/7-'Guide &amp; Settings'!$C$48)+1)*'Guide &amp; Settings'!$C$49,0)))))</f>
        <v/>
      </c>
      <c r="AD1089" s="142">
        <f t="shared" si="337"/>
        <v>0</v>
      </c>
      <c r="AE1089">
        <f t="shared" si="338"/>
        <v>0</v>
      </c>
      <c r="AF1089">
        <f t="shared" si="339"/>
        <v>0</v>
      </c>
    </row>
    <row r="1090" spans="1:32" x14ac:dyDescent="0.2">
      <c r="A1090" s="117"/>
      <c r="B1090" s="118"/>
      <c r="C1090" s="119"/>
      <c r="D1090" s="119"/>
      <c r="E1090" s="117"/>
      <c r="F1090" s="120">
        <f t="shared" si="320"/>
        <v>0</v>
      </c>
      <c r="G1090" s="121" t="str">
        <f t="shared" si="321"/>
        <v/>
      </c>
      <c r="H1090" s="122">
        <f>IF($D1090="",0,IFERROR(LOOKUP(2,1/(($D$3:D1089=$D1090)*($A$3:A1089&lt;$A1090)),$N$3:N1089),'Guide &amp; Settings'!$C$41))</f>
        <v>0</v>
      </c>
      <c r="I1090" s="123">
        <f t="shared" si="322"/>
        <v>0</v>
      </c>
      <c r="J1090" s="124">
        <f>IF($D1090="",0,IF($F1090&lt;2,0,IF($E1090="Win",('Guide &amp; Settings'!$C$42/(($F1090-1)*COUNTIFS($A$4:$A$1510,$A1090,$E$4:$E$1510,"Win")))*SUMIFS($X$4:$X$1510,$A$4:$A$1510,$A1090,$E$4:$E$1510,"Loss"),-('Guide &amp; Settings'!$C$42/($F1090-1))*$X1090)))</f>
        <v>0</v>
      </c>
      <c r="K1090" s="124">
        <f>IF($D1090="",0,'Guide &amp; Settings'!$C$43*(IF($E1090="Win",1,0)-$I1090))</f>
        <v>0</v>
      </c>
      <c r="L1090" s="125">
        <f>IF($D1090="",0,'Guide &amp; Settings'!$C$44*IF($F1090&gt;=3,$F1090,0))</f>
        <v>0</v>
      </c>
      <c r="M1090" s="124">
        <f t="shared" si="323"/>
        <v>0</v>
      </c>
      <c r="N1090" s="122">
        <f t="shared" si="324"/>
        <v>0</v>
      </c>
      <c r="O1090" s="121" t="str">
        <f t="shared" si="325"/>
        <v/>
      </c>
      <c r="P1090">
        <f t="shared" si="326"/>
        <v>0</v>
      </c>
      <c r="Q1090">
        <f t="shared" si="327"/>
        <v>0</v>
      </c>
      <c r="R1090">
        <f t="shared" si="328"/>
        <v>0</v>
      </c>
      <c r="S1090">
        <f t="shared" si="329"/>
        <v>0</v>
      </c>
      <c r="T1090" s="89">
        <f t="shared" si="330"/>
        <v>0</v>
      </c>
      <c r="U1090" s="126">
        <f>IF($D1090="",0,IFERROR(LOOKUP(2,1/(($D$3:D1089=$D1090)*($C$3:C1089=$C1090)*($A$3:A1089&lt;$A1090)),$AB$3:AB1089),1000))</f>
        <v>0</v>
      </c>
      <c r="V1090" s="126">
        <f t="shared" si="331"/>
        <v>0</v>
      </c>
      <c r="W1090">
        <f t="shared" si="332"/>
        <v>0</v>
      </c>
      <c r="X1090">
        <f t="shared" si="333"/>
        <v>0</v>
      </c>
      <c r="Y1090">
        <f t="shared" si="334"/>
        <v>0</v>
      </c>
      <c r="Z1090">
        <f t="shared" si="335"/>
        <v>0</v>
      </c>
      <c r="AA1090">
        <f>IF($D1090="",0,IF($F1090&lt;2,0,IF($E1090="Win",('Guide &amp; Settings'!$C$42/(($F1090-1)*COUNTIFS($A$4:$A$1510,$A1090,$E$4:$E$1510,"Win")))*SUMIFS($Z$4:$Z$1510,$A$4:$A$1510,$A1090,$E$4:$E$1510,"Loss"),-('Guide &amp; Settings'!$C$42/($F1090-1))*$Z1090)))</f>
        <v>0</v>
      </c>
      <c r="AB1090" s="126">
        <f t="shared" si="336"/>
        <v>0</v>
      </c>
      <c r="AC1090" t="str">
        <f>IF($D1090="","",IF($AD1090=0,0,IF(COUNTIFS($D$4:$D1090,$D1090,$B$4:$B1090,$B1090)&gt;1,0,IF($B1090&lt;'Guide &amp; Settings'!$C$50,0,IF(($B1090-$AD1090)/7-'Guide &amp; Settings'!$C$48&gt;=0,(INT(($B1090-$AD1090)/7-'Guide &amp; Settings'!$C$48)+1)*'Guide &amp; Settings'!$C$49,0)))))</f>
        <v/>
      </c>
      <c r="AD1090" s="142">
        <f t="shared" si="337"/>
        <v>0</v>
      </c>
      <c r="AE1090">
        <f t="shared" si="338"/>
        <v>0</v>
      </c>
      <c r="AF1090">
        <f t="shared" si="339"/>
        <v>0</v>
      </c>
    </row>
    <row r="1091" spans="1:32" x14ac:dyDescent="0.2">
      <c r="A1091" s="117"/>
      <c r="B1091" s="118"/>
      <c r="C1091" s="119"/>
      <c r="D1091" s="119"/>
      <c r="E1091" s="117"/>
      <c r="F1091" s="120">
        <f t="shared" si="320"/>
        <v>0</v>
      </c>
      <c r="G1091" s="121" t="str">
        <f t="shared" si="321"/>
        <v/>
      </c>
      <c r="H1091" s="122">
        <f>IF($D1091="",0,IFERROR(LOOKUP(2,1/(($D$3:D1090=$D1091)*($A$3:A1090&lt;$A1091)),$N$3:N1090),'Guide &amp; Settings'!$C$41))</f>
        <v>0</v>
      </c>
      <c r="I1091" s="123">
        <f t="shared" si="322"/>
        <v>0</v>
      </c>
      <c r="J1091" s="124">
        <f>IF($D1091="",0,IF($F1091&lt;2,0,IF($E1091="Win",('Guide &amp; Settings'!$C$42/(($F1091-1)*COUNTIFS($A$4:$A$1510,$A1091,$E$4:$E$1510,"Win")))*SUMIFS($X$4:$X$1510,$A$4:$A$1510,$A1091,$E$4:$E$1510,"Loss"),-('Guide &amp; Settings'!$C$42/($F1091-1))*$X1091)))</f>
        <v>0</v>
      </c>
      <c r="K1091" s="124">
        <f>IF($D1091="",0,'Guide &amp; Settings'!$C$43*(IF($E1091="Win",1,0)-$I1091))</f>
        <v>0</v>
      </c>
      <c r="L1091" s="125">
        <f>IF($D1091="",0,'Guide &amp; Settings'!$C$44*IF($F1091&gt;=3,$F1091,0))</f>
        <v>0</v>
      </c>
      <c r="M1091" s="124">
        <f t="shared" si="323"/>
        <v>0</v>
      </c>
      <c r="N1091" s="122">
        <f t="shared" si="324"/>
        <v>0</v>
      </c>
      <c r="O1091" s="121" t="str">
        <f t="shared" si="325"/>
        <v/>
      </c>
      <c r="P1091">
        <f t="shared" si="326"/>
        <v>0</v>
      </c>
      <c r="Q1091">
        <f t="shared" si="327"/>
        <v>0</v>
      </c>
      <c r="R1091">
        <f t="shared" si="328"/>
        <v>0</v>
      </c>
      <c r="S1091">
        <f t="shared" si="329"/>
        <v>0</v>
      </c>
      <c r="T1091" s="89">
        <f t="shared" si="330"/>
        <v>0</v>
      </c>
      <c r="U1091" s="126">
        <f>IF($D1091="",0,IFERROR(LOOKUP(2,1/(($D$3:D1090=$D1091)*($C$3:C1090=$C1091)*($A$3:A1090&lt;$A1091)),$AB$3:AB1090),1000))</f>
        <v>0</v>
      </c>
      <c r="V1091" s="126">
        <f t="shared" si="331"/>
        <v>0</v>
      </c>
      <c r="W1091">
        <f t="shared" si="332"/>
        <v>0</v>
      </c>
      <c r="X1091">
        <f t="shared" si="333"/>
        <v>0</v>
      </c>
      <c r="Y1091">
        <f t="shared" si="334"/>
        <v>0</v>
      </c>
      <c r="Z1091">
        <f t="shared" si="335"/>
        <v>0</v>
      </c>
      <c r="AA1091">
        <f>IF($D1091="",0,IF($F1091&lt;2,0,IF($E1091="Win",('Guide &amp; Settings'!$C$42/(($F1091-1)*COUNTIFS($A$4:$A$1510,$A1091,$E$4:$E$1510,"Win")))*SUMIFS($Z$4:$Z$1510,$A$4:$A$1510,$A1091,$E$4:$E$1510,"Loss"),-('Guide &amp; Settings'!$C$42/($F1091-1))*$Z1091)))</f>
        <v>0</v>
      </c>
      <c r="AB1091" s="126">
        <f t="shared" si="336"/>
        <v>0</v>
      </c>
      <c r="AC1091" t="str">
        <f>IF($D1091="","",IF($AD1091=0,0,IF(COUNTIFS($D$4:$D1091,$D1091,$B$4:$B1091,$B1091)&gt;1,0,IF($B1091&lt;'Guide &amp; Settings'!$C$50,0,IF(($B1091-$AD1091)/7-'Guide &amp; Settings'!$C$48&gt;=0,(INT(($B1091-$AD1091)/7-'Guide &amp; Settings'!$C$48)+1)*'Guide &amp; Settings'!$C$49,0)))))</f>
        <v/>
      </c>
      <c r="AD1091" s="142">
        <f t="shared" si="337"/>
        <v>0</v>
      </c>
      <c r="AE1091">
        <f t="shared" si="338"/>
        <v>0</v>
      </c>
      <c r="AF1091">
        <f t="shared" si="339"/>
        <v>0</v>
      </c>
    </row>
    <row r="1092" spans="1:32" x14ac:dyDescent="0.2">
      <c r="A1092" s="117"/>
      <c r="B1092" s="118"/>
      <c r="C1092" s="119"/>
      <c r="D1092" s="119"/>
      <c r="E1092" s="117"/>
      <c r="F1092" s="120">
        <f t="shared" ref="F1092:F1155" si="340">IF($D1092="",0,COUNTIF($A$4:$A$1510,$A1092))</f>
        <v>0</v>
      </c>
      <c r="G1092" s="121" t="str">
        <f t="shared" ref="G1092:G1155" si="341">IF($D1092="","",IFERROR(LOOKUP(2,1/(($A$4:$A$1510=$A1092)*($E$4:$E$1510="Win")),$D$4:$D$1510),"(no winner)"))</f>
        <v/>
      </c>
      <c r="H1092" s="122">
        <f>IF($D1092="",0,IFERROR(LOOKUP(2,1/(($D$3:D1091=$D1092)*($A$3:A1091&lt;$A1092)),$N$3:N1091),'Guide &amp; Settings'!$C$41))</f>
        <v>0</v>
      </c>
      <c r="I1092" s="123">
        <f t="shared" ref="I1092:I1155" si="342">IF($D1092="",0,IF($S1092=0,0,$R1092/$S1092))</f>
        <v>0</v>
      </c>
      <c r="J1092" s="124">
        <f>IF($D1092="",0,IF($F1092&lt;2,0,IF($E1092="Win",('Guide &amp; Settings'!$C$42/(($F1092-1)*COUNTIFS($A$4:$A$1510,$A1092,$E$4:$E$1510,"Win")))*SUMIFS($X$4:$X$1510,$A$4:$A$1510,$A1092,$E$4:$E$1510,"Loss"),-('Guide &amp; Settings'!$C$42/($F1092-1))*$X1092)))</f>
        <v>0</v>
      </c>
      <c r="K1092" s="124">
        <f>IF($D1092="",0,'Guide &amp; Settings'!$C$43*(IF($E1092="Win",1,0)-$I1092))</f>
        <v>0</v>
      </c>
      <c r="L1092" s="125">
        <f>IF($D1092="",0,'Guide &amp; Settings'!$C$44*IF($F1092&gt;=3,$F1092,0))</f>
        <v>0</v>
      </c>
      <c r="M1092" s="124">
        <f t="shared" ref="M1092:M1155" si="343">IF($D1092="",0,$J1092+$K1092+$L1092)</f>
        <v>0</v>
      </c>
      <c r="N1092" s="122">
        <f t="shared" ref="N1092:N1155" si="344">IF($D1092="",0,$H1092+$M1092)</f>
        <v>0</v>
      </c>
      <c r="O1092" s="121" t="str">
        <f t="shared" ref="O1092:O1155" si="345">IF($D1092="","",IF($AE1092=0,"need a winner",IF($F1092-$AE1092=0,"need a loser",IF(MOD($AF1092,2)=1,"duplicate player",IF(MOD(INT($AF1092/2),2)=1,"mixed sports",IF($AF1092&gt;=4,"mixed dates",IF($AE1092&gt;1,IF($F1092&gt;=4,"OK (team)","check winners"),"OK")))))))</f>
        <v/>
      </c>
      <c r="P1092">
        <f t="shared" ref="P1092:P1155" si="346">IF($D1092="",0,IFERROR(SUMIFS($H$4:$H$1510,$A$4:$A$1510,$A1092,$E$4:$E$1510,"Win")/COUNTIFS($A$4:$A$1510,$A1092,$E$4:$E$1510,"Win"),0))</f>
        <v>0</v>
      </c>
      <c r="Q1092">
        <f t="shared" ref="Q1092:Q1155" si="347">IF($D1092="",0,1/(1+10^(($P1092-$H1092)/400)))</f>
        <v>0</v>
      </c>
      <c r="R1092">
        <f t="shared" ref="R1092:R1155" si="348">IF($D1092="",0,(COUNTIFS($D$4:$D$1510,$D1092,$C$4:$C$1510,$C1092,$E$4:$E$1510,"Win",$A$4:$A$1510,"&lt;"&amp;$A1092)+1)/(COUNTIFS($D$4:$D$1510,$D1092,$C$4:$C$1510,$C1092,$A$4:$A$1510,"&lt;"&amp;$A1092)+2))</f>
        <v>0</v>
      </c>
      <c r="S1092">
        <f t="shared" ref="S1092:S1155" si="349">IF($D1092="",0,SUMIFS($R$4:$R$1510,$A$4:$A$1510,$A1092))</f>
        <v>0</v>
      </c>
      <c r="T1092" s="89">
        <f t="shared" ref="T1092:T1155" si="350">IF($D1092="",0,COUNTIFS($D$4:$D$1510,$D1092,$C$4:$C$1510,$C1092,$A$4:$A$1510,"&lt;"&amp;$A1092))</f>
        <v>0</v>
      </c>
      <c r="U1092" s="126">
        <f>IF($D1092="",0,IFERROR(LOOKUP(2,1/(($D$3:D1091=$D1092)*($C$3:C1091=$C1092)*($A$3:A1091&lt;$A1092)),$AB$3:AB1091),1000))</f>
        <v>0</v>
      </c>
      <c r="V1092" s="126">
        <f t="shared" ref="V1092:V1155" si="351">IF($D1092="",0,$U1092*($T1092/($T1092+5))+$H1092*(1-$T1092/($T1092+5)))</f>
        <v>0</v>
      </c>
      <c r="W1092">
        <f t="shared" ref="W1092:W1155" si="352">IF($D1092="",0,IFERROR(SUMIFS($V$4:$V$1510,$A$4:$A$1510,$A1092,$E$4:$E$1510,"Win")/COUNTIFS($A$4:$A$1510,$A1092,$E$4:$E$1510,"Win"),0))</f>
        <v>0</v>
      </c>
      <c r="X1092">
        <f t="shared" ref="X1092:X1155" si="353">IF($D1092="",0,1/(1+10^(($W1092-$V1092)/400)))</f>
        <v>0</v>
      </c>
      <c r="Y1092">
        <f t="shared" ref="Y1092:Y1155" si="354">IF($D1092="",0,IFERROR(SUMIFS($U$4:$U$1510,$A$4:$A$1510,$A1092,$E$4:$E$1510,"Win")/COUNTIFS($A$4:$A$1510,$A1092,$E$4:$E$1510,"Win"),0))</f>
        <v>0</v>
      </c>
      <c r="Z1092">
        <f t="shared" ref="Z1092:Z1155" si="355">IF($D1092="",0,1/(1+10^(($Y1092-$U1092)/400)))</f>
        <v>0</v>
      </c>
      <c r="AA1092">
        <f>IF($D1092="",0,IF($F1092&lt;2,0,IF($E1092="Win",('Guide &amp; Settings'!$C$42/(($F1092-1)*COUNTIFS($A$4:$A$1510,$A1092,$E$4:$E$1510,"Win")))*SUMIFS($Z$4:$Z$1510,$A$4:$A$1510,$A1092,$E$4:$E$1510,"Loss"),-('Guide &amp; Settings'!$C$42/($F1092-1))*$Z1092)))</f>
        <v>0</v>
      </c>
      <c r="AB1092" s="126">
        <f t="shared" ref="AB1092:AB1155" si="356">IF($D1092="",0,$U1092+$AA1092)</f>
        <v>0</v>
      </c>
      <c r="AC1092" t="str">
        <f>IF($D1092="","",IF($AD1092=0,0,IF(COUNTIFS($D$4:$D1092,$D1092,$B$4:$B1092,$B1092)&gt;1,0,IF($B1092&lt;'Guide &amp; Settings'!$C$50,0,IF(($B1092-$AD1092)/7-'Guide &amp; Settings'!$C$48&gt;=0,(INT(($B1092-$AD1092)/7-'Guide &amp; Settings'!$C$48)+1)*'Guide &amp; Settings'!$C$49,0)))))</f>
        <v/>
      </c>
      <c r="AD1092" s="142">
        <f t="shared" ref="AD1092:AD1155" si="357">IF($D1092="",0,SUMPRODUCT(MAX(($D$4:$D$1510=$D1092)*($B$4:$B$1510&lt;$B1092)*$B$4:$B$1510)))</f>
        <v>0</v>
      </c>
      <c r="AE1092">
        <f t="shared" ref="AE1092:AE1155" si="358">IF($D1092="",0,COUNTIFS($A$4:$A$1510,$A1092,$E$4:$E$1510,"Win"))</f>
        <v>0</v>
      </c>
      <c r="AF1092">
        <f t="shared" ref="AF1092:AF1155" si="359">IF($D1092="",0,(COUNTIFS($A$4:$A$1510,$A1092,$D$4:$D$1510,$D1092)&gt;1)*1+(COUNTIFS($A$4:$A$1510,$A1092,$C$4:$C$1510,"&lt;&gt;"&amp;$C1092)&gt;0)*2+(COUNTIFS($A$4:$A$1510,$A1092,$B$4:$B$1510,"&lt;&gt;"&amp;$B1092)&gt;0)*4)</f>
        <v>0</v>
      </c>
    </row>
    <row r="1093" spans="1:32" x14ac:dyDescent="0.2">
      <c r="A1093" s="117"/>
      <c r="B1093" s="118"/>
      <c r="C1093" s="119"/>
      <c r="D1093" s="119"/>
      <c r="E1093" s="117"/>
      <c r="F1093" s="120">
        <f t="shared" si="340"/>
        <v>0</v>
      </c>
      <c r="G1093" s="121" t="str">
        <f t="shared" si="341"/>
        <v/>
      </c>
      <c r="H1093" s="122">
        <f>IF($D1093="",0,IFERROR(LOOKUP(2,1/(($D$3:D1092=$D1093)*($A$3:A1092&lt;$A1093)),$N$3:N1092),'Guide &amp; Settings'!$C$41))</f>
        <v>0</v>
      </c>
      <c r="I1093" s="123">
        <f t="shared" si="342"/>
        <v>0</v>
      </c>
      <c r="J1093" s="124">
        <f>IF($D1093="",0,IF($F1093&lt;2,0,IF($E1093="Win",('Guide &amp; Settings'!$C$42/(($F1093-1)*COUNTIFS($A$4:$A$1510,$A1093,$E$4:$E$1510,"Win")))*SUMIFS($X$4:$X$1510,$A$4:$A$1510,$A1093,$E$4:$E$1510,"Loss"),-('Guide &amp; Settings'!$C$42/($F1093-1))*$X1093)))</f>
        <v>0</v>
      </c>
      <c r="K1093" s="124">
        <f>IF($D1093="",0,'Guide &amp; Settings'!$C$43*(IF($E1093="Win",1,0)-$I1093))</f>
        <v>0</v>
      </c>
      <c r="L1093" s="125">
        <f>IF($D1093="",0,'Guide &amp; Settings'!$C$44*IF($F1093&gt;=3,$F1093,0))</f>
        <v>0</v>
      </c>
      <c r="M1093" s="124">
        <f t="shared" si="343"/>
        <v>0</v>
      </c>
      <c r="N1093" s="122">
        <f t="shared" si="344"/>
        <v>0</v>
      </c>
      <c r="O1093" s="121" t="str">
        <f t="shared" si="345"/>
        <v/>
      </c>
      <c r="P1093">
        <f t="shared" si="346"/>
        <v>0</v>
      </c>
      <c r="Q1093">
        <f t="shared" si="347"/>
        <v>0</v>
      </c>
      <c r="R1093">
        <f t="shared" si="348"/>
        <v>0</v>
      </c>
      <c r="S1093">
        <f t="shared" si="349"/>
        <v>0</v>
      </c>
      <c r="T1093" s="89">
        <f t="shared" si="350"/>
        <v>0</v>
      </c>
      <c r="U1093" s="126">
        <f>IF($D1093="",0,IFERROR(LOOKUP(2,1/(($D$3:D1092=$D1093)*($C$3:C1092=$C1093)*($A$3:A1092&lt;$A1093)),$AB$3:AB1092),1000))</f>
        <v>0</v>
      </c>
      <c r="V1093" s="126">
        <f t="shared" si="351"/>
        <v>0</v>
      </c>
      <c r="W1093">
        <f t="shared" si="352"/>
        <v>0</v>
      </c>
      <c r="X1093">
        <f t="shared" si="353"/>
        <v>0</v>
      </c>
      <c r="Y1093">
        <f t="shared" si="354"/>
        <v>0</v>
      </c>
      <c r="Z1093">
        <f t="shared" si="355"/>
        <v>0</v>
      </c>
      <c r="AA1093">
        <f>IF($D1093="",0,IF($F1093&lt;2,0,IF($E1093="Win",('Guide &amp; Settings'!$C$42/(($F1093-1)*COUNTIFS($A$4:$A$1510,$A1093,$E$4:$E$1510,"Win")))*SUMIFS($Z$4:$Z$1510,$A$4:$A$1510,$A1093,$E$4:$E$1510,"Loss"),-('Guide &amp; Settings'!$C$42/($F1093-1))*$Z1093)))</f>
        <v>0</v>
      </c>
      <c r="AB1093" s="126">
        <f t="shared" si="356"/>
        <v>0</v>
      </c>
      <c r="AC1093" t="str">
        <f>IF($D1093="","",IF($AD1093=0,0,IF(COUNTIFS($D$4:$D1093,$D1093,$B$4:$B1093,$B1093)&gt;1,0,IF($B1093&lt;'Guide &amp; Settings'!$C$50,0,IF(($B1093-$AD1093)/7-'Guide &amp; Settings'!$C$48&gt;=0,(INT(($B1093-$AD1093)/7-'Guide &amp; Settings'!$C$48)+1)*'Guide &amp; Settings'!$C$49,0)))))</f>
        <v/>
      </c>
      <c r="AD1093" s="142">
        <f t="shared" si="357"/>
        <v>0</v>
      </c>
      <c r="AE1093">
        <f t="shared" si="358"/>
        <v>0</v>
      </c>
      <c r="AF1093">
        <f t="shared" si="359"/>
        <v>0</v>
      </c>
    </row>
    <row r="1094" spans="1:32" x14ac:dyDescent="0.2">
      <c r="A1094" s="117"/>
      <c r="B1094" s="118"/>
      <c r="C1094" s="119"/>
      <c r="D1094" s="119"/>
      <c r="E1094" s="117"/>
      <c r="F1094" s="120">
        <f t="shared" si="340"/>
        <v>0</v>
      </c>
      <c r="G1094" s="121" t="str">
        <f t="shared" si="341"/>
        <v/>
      </c>
      <c r="H1094" s="122">
        <f>IF($D1094="",0,IFERROR(LOOKUP(2,1/(($D$3:D1093=$D1094)*($A$3:A1093&lt;$A1094)),$N$3:N1093),'Guide &amp; Settings'!$C$41))</f>
        <v>0</v>
      </c>
      <c r="I1094" s="123">
        <f t="shared" si="342"/>
        <v>0</v>
      </c>
      <c r="J1094" s="124">
        <f>IF($D1094="",0,IF($F1094&lt;2,0,IF($E1094="Win",('Guide &amp; Settings'!$C$42/(($F1094-1)*COUNTIFS($A$4:$A$1510,$A1094,$E$4:$E$1510,"Win")))*SUMIFS($X$4:$X$1510,$A$4:$A$1510,$A1094,$E$4:$E$1510,"Loss"),-('Guide &amp; Settings'!$C$42/($F1094-1))*$X1094)))</f>
        <v>0</v>
      </c>
      <c r="K1094" s="124">
        <f>IF($D1094="",0,'Guide &amp; Settings'!$C$43*(IF($E1094="Win",1,0)-$I1094))</f>
        <v>0</v>
      </c>
      <c r="L1094" s="125">
        <f>IF($D1094="",0,'Guide &amp; Settings'!$C$44*IF($F1094&gt;=3,$F1094,0))</f>
        <v>0</v>
      </c>
      <c r="M1094" s="124">
        <f t="shared" si="343"/>
        <v>0</v>
      </c>
      <c r="N1094" s="122">
        <f t="shared" si="344"/>
        <v>0</v>
      </c>
      <c r="O1094" s="121" t="str">
        <f t="shared" si="345"/>
        <v/>
      </c>
      <c r="P1094">
        <f t="shared" si="346"/>
        <v>0</v>
      </c>
      <c r="Q1094">
        <f t="shared" si="347"/>
        <v>0</v>
      </c>
      <c r="R1094">
        <f t="shared" si="348"/>
        <v>0</v>
      </c>
      <c r="S1094">
        <f t="shared" si="349"/>
        <v>0</v>
      </c>
      <c r="T1094" s="89">
        <f t="shared" si="350"/>
        <v>0</v>
      </c>
      <c r="U1094" s="126">
        <f>IF($D1094="",0,IFERROR(LOOKUP(2,1/(($D$3:D1093=$D1094)*($C$3:C1093=$C1094)*($A$3:A1093&lt;$A1094)),$AB$3:AB1093),1000))</f>
        <v>0</v>
      </c>
      <c r="V1094" s="126">
        <f t="shared" si="351"/>
        <v>0</v>
      </c>
      <c r="W1094">
        <f t="shared" si="352"/>
        <v>0</v>
      </c>
      <c r="X1094">
        <f t="shared" si="353"/>
        <v>0</v>
      </c>
      <c r="Y1094">
        <f t="shared" si="354"/>
        <v>0</v>
      </c>
      <c r="Z1094">
        <f t="shared" si="355"/>
        <v>0</v>
      </c>
      <c r="AA1094">
        <f>IF($D1094="",0,IF($F1094&lt;2,0,IF($E1094="Win",('Guide &amp; Settings'!$C$42/(($F1094-1)*COUNTIFS($A$4:$A$1510,$A1094,$E$4:$E$1510,"Win")))*SUMIFS($Z$4:$Z$1510,$A$4:$A$1510,$A1094,$E$4:$E$1510,"Loss"),-('Guide &amp; Settings'!$C$42/($F1094-1))*$Z1094)))</f>
        <v>0</v>
      </c>
      <c r="AB1094" s="126">
        <f t="shared" si="356"/>
        <v>0</v>
      </c>
      <c r="AC1094" t="str">
        <f>IF($D1094="","",IF($AD1094=0,0,IF(COUNTIFS($D$4:$D1094,$D1094,$B$4:$B1094,$B1094)&gt;1,0,IF($B1094&lt;'Guide &amp; Settings'!$C$50,0,IF(($B1094-$AD1094)/7-'Guide &amp; Settings'!$C$48&gt;=0,(INT(($B1094-$AD1094)/7-'Guide &amp; Settings'!$C$48)+1)*'Guide &amp; Settings'!$C$49,0)))))</f>
        <v/>
      </c>
      <c r="AD1094" s="142">
        <f t="shared" si="357"/>
        <v>0</v>
      </c>
      <c r="AE1094">
        <f t="shared" si="358"/>
        <v>0</v>
      </c>
      <c r="AF1094">
        <f t="shared" si="359"/>
        <v>0</v>
      </c>
    </row>
    <row r="1095" spans="1:32" x14ac:dyDescent="0.2">
      <c r="A1095" s="117"/>
      <c r="B1095" s="118"/>
      <c r="C1095" s="119"/>
      <c r="D1095" s="119"/>
      <c r="E1095" s="117"/>
      <c r="F1095" s="120">
        <f t="shared" si="340"/>
        <v>0</v>
      </c>
      <c r="G1095" s="121" t="str">
        <f t="shared" si="341"/>
        <v/>
      </c>
      <c r="H1095" s="122">
        <f>IF($D1095="",0,IFERROR(LOOKUP(2,1/(($D$3:D1094=$D1095)*($A$3:A1094&lt;$A1095)),$N$3:N1094),'Guide &amp; Settings'!$C$41))</f>
        <v>0</v>
      </c>
      <c r="I1095" s="123">
        <f t="shared" si="342"/>
        <v>0</v>
      </c>
      <c r="J1095" s="124">
        <f>IF($D1095="",0,IF($F1095&lt;2,0,IF($E1095="Win",('Guide &amp; Settings'!$C$42/(($F1095-1)*COUNTIFS($A$4:$A$1510,$A1095,$E$4:$E$1510,"Win")))*SUMIFS($X$4:$X$1510,$A$4:$A$1510,$A1095,$E$4:$E$1510,"Loss"),-('Guide &amp; Settings'!$C$42/($F1095-1))*$X1095)))</f>
        <v>0</v>
      </c>
      <c r="K1095" s="124">
        <f>IF($D1095="",0,'Guide &amp; Settings'!$C$43*(IF($E1095="Win",1,0)-$I1095))</f>
        <v>0</v>
      </c>
      <c r="L1095" s="125">
        <f>IF($D1095="",0,'Guide &amp; Settings'!$C$44*IF($F1095&gt;=3,$F1095,0))</f>
        <v>0</v>
      </c>
      <c r="M1095" s="124">
        <f t="shared" si="343"/>
        <v>0</v>
      </c>
      <c r="N1095" s="122">
        <f t="shared" si="344"/>
        <v>0</v>
      </c>
      <c r="O1095" s="121" t="str">
        <f t="shared" si="345"/>
        <v/>
      </c>
      <c r="P1095">
        <f t="shared" si="346"/>
        <v>0</v>
      </c>
      <c r="Q1095">
        <f t="shared" si="347"/>
        <v>0</v>
      </c>
      <c r="R1095">
        <f t="shared" si="348"/>
        <v>0</v>
      </c>
      <c r="S1095">
        <f t="shared" si="349"/>
        <v>0</v>
      </c>
      <c r="T1095" s="89">
        <f t="shared" si="350"/>
        <v>0</v>
      </c>
      <c r="U1095" s="126">
        <f>IF($D1095="",0,IFERROR(LOOKUP(2,1/(($D$3:D1094=$D1095)*($C$3:C1094=$C1095)*($A$3:A1094&lt;$A1095)),$AB$3:AB1094),1000))</f>
        <v>0</v>
      </c>
      <c r="V1095" s="126">
        <f t="shared" si="351"/>
        <v>0</v>
      </c>
      <c r="W1095">
        <f t="shared" si="352"/>
        <v>0</v>
      </c>
      <c r="X1095">
        <f t="shared" si="353"/>
        <v>0</v>
      </c>
      <c r="Y1095">
        <f t="shared" si="354"/>
        <v>0</v>
      </c>
      <c r="Z1095">
        <f t="shared" si="355"/>
        <v>0</v>
      </c>
      <c r="AA1095">
        <f>IF($D1095="",0,IF($F1095&lt;2,0,IF($E1095="Win",('Guide &amp; Settings'!$C$42/(($F1095-1)*COUNTIFS($A$4:$A$1510,$A1095,$E$4:$E$1510,"Win")))*SUMIFS($Z$4:$Z$1510,$A$4:$A$1510,$A1095,$E$4:$E$1510,"Loss"),-('Guide &amp; Settings'!$C$42/($F1095-1))*$Z1095)))</f>
        <v>0</v>
      </c>
      <c r="AB1095" s="126">
        <f t="shared" si="356"/>
        <v>0</v>
      </c>
      <c r="AC1095" t="str">
        <f>IF($D1095="","",IF($AD1095=0,0,IF(COUNTIFS($D$4:$D1095,$D1095,$B$4:$B1095,$B1095)&gt;1,0,IF($B1095&lt;'Guide &amp; Settings'!$C$50,0,IF(($B1095-$AD1095)/7-'Guide &amp; Settings'!$C$48&gt;=0,(INT(($B1095-$AD1095)/7-'Guide &amp; Settings'!$C$48)+1)*'Guide &amp; Settings'!$C$49,0)))))</f>
        <v/>
      </c>
      <c r="AD1095" s="142">
        <f t="shared" si="357"/>
        <v>0</v>
      </c>
      <c r="AE1095">
        <f t="shared" si="358"/>
        <v>0</v>
      </c>
      <c r="AF1095">
        <f t="shared" si="359"/>
        <v>0</v>
      </c>
    </row>
    <row r="1096" spans="1:32" x14ac:dyDescent="0.2">
      <c r="A1096" s="117"/>
      <c r="B1096" s="118"/>
      <c r="C1096" s="119"/>
      <c r="D1096" s="119"/>
      <c r="E1096" s="117"/>
      <c r="F1096" s="120">
        <f t="shared" si="340"/>
        <v>0</v>
      </c>
      <c r="G1096" s="121" t="str">
        <f t="shared" si="341"/>
        <v/>
      </c>
      <c r="H1096" s="122">
        <f>IF($D1096="",0,IFERROR(LOOKUP(2,1/(($D$3:D1095=$D1096)*($A$3:A1095&lt;$A1096)),$N$3:N1095),'Guide &amp; Settings'!$C$41))</f>
        <v>0</v>
      </c>
      <c r="I1096" s="123">
        <f t="shared" si="342"/>
        <v>0</v>
      </c>
      <c r="J1096" s="124">
        <f>IF($D1096="",0,IF($F1096&lt;2,0,IF($E1096="Win",('Guide &amp; Settings'!$C$42/(($F1096-1)*COUNTIFS($A$4:$A$1510,$A1096,$E$4:$E$1510,"Win")))*SUMIFS($X$4:$X$1510,$A$4:$A$1510,$A1096,$E$4:$E$1510,"Loss"),-('Guide &amp; Settings'!$C$42/($F1096-1))*$X1096)))</f>
        <v>0</v>
      </c>
      <c r="K1096" s="124">
        <f>IF($D1096="",0,'Guide &amp; Settings'!$C$43*(IF($E1096="Win",1,0)-$I1096))</f>
        <v>0</v>
      </c>
      <c r="L1096" s="125">
        <f>IF($D1096="",0,'Guide &amp; Settings'!$C$44*IF($F1096&gt;=3,$F1096,0))</f>
        <v>0</v>
      </c>
      <c r="M1096" s="124">
        <f t="shared" si="343"/>
        <v>0</v>
      </c>
      <c r="N1096" s="122">
        <f t="shared" si="344"/>
        <v>0</v>
      </c>
      <c r="O1096" s="121" t="str">
        <f t="shared" si="345"/>
        <v/>
      </c>
      <c r="P1096">
        <f t="shared" si="346"/>
        <v>0</v>
      </c>
      <c r="Q1096">
        <f t="shared" si="347"/>
        <v>0</v>
      </c>
      <c r="R1096">
        <f t="shared" si="348"/>
        <v>0</v>
      </c>
      <c r="S1096">
        <f t="shared" si="349"/>
        <v>0</v>
      </c>
      <c r="T1096" s="89">
        <f t="shared" si="350"/>
        <v>0</v>
      </c>
      <c r="U1096" s="126">
        <f>IF($D1096="",0,IFERROR(LOOKUP(2,1/(($D$3:D1095=$D1096)*($C$3:C1095=$C1096)*($A$3:A1095&lt;$A1096)),$AB$3:AB1095),1000))</f>
        <v>0</v>
      </c>
      <c r="V1096" s="126">
        <f t="shared" si="351"/>
        <v>0</v>
      </c>
      <c r="W1096">
        <f t="shared" si="352"/>
        <v>0</v>
      </c>
      <c r="X1096">
        <f t="shared" si="353"/>
        <v>0</v>
      </c>
      <c r="Y1096">
        <f t="shared" si="354"/>
        <v>0</v>
      </c>
      <c r="Z1096">
        <f t="shared" si="355"/>
        <v>0</v>
      </c>
      <c r="AA1096">
        <f>IF($D1096="",0,IF($F1096&lt;2,0,IF($E1096="Win",('Guide &amp; Settings'!$C$42/(($F1096-1)*COUNTIFS($A$4:$A$1510,$A1096,$E$4:$E$1510,"Win")))*SUMIFS($Z$4:$Z$1510,$A$4:$A$1510,$A1096,$E$4:$E$1510,"Loss"),-('Guide &amp; Settings'!$C$42/($F1096-1))*$Z1096)))</f>
        <v>0</v>
      </c>
      <c r="AB1096" s="126">
        <f t="shared" si="356"/>
        <v>0</v>
      </c>
      <c r="AC1096" t="str">
        <f>IF($D1096="","",IF($AD1096=0,0,IF(COUNTIFS($D$4:$D1096,$D1096,$B$4:$B1096,$B1096)&gt;1,0,IF($B1096&lt;'Guide &amp; Settings'!$C$50,0,IF(($B1096-$AD1096)/7-'Guide &amp; Settings'!$C$48&gt;=0,(INT(($B1096-$AD1096)/7-'Guide &amp; Settings'!$C$48)+1)*'Guide &amp; Settings'!$C$49,0)))))</f>
        <v/>
      </c>
      <c r="AD1096" s="142">
        <f t="shared" si="357"/>
        <v>0</v>
      </c>
      <c r="AE1096">
        <f t="shared" si="358"/>
        <v>0</v>
      </c>
      <c r="AF1096">
        <f t="shared" si="359"/>
        <v>0</v>
      </c>
    </row>
    <row r="1097" spans="1:32" x14ac:dyDescent="0.2">
      <c r="A1097" s="117"/>
      <c r="B1097" s="118"/>
      <c r="C1097" s="119"/>
      <c r="D1097" s="119"/>
      <c r="E1097" s="117"/>
      <c r="F1097" s="120">
        <f t="shared" si="340"/>
        <v>0</v>
      </c>
      <c r="G1097" s="121" t="str">
        <f t="shared" si="341"/>
        <v/>
      </c>
      <c r="H1097" s="122">
        <f>IF($D1097="",0,IFERROR(LOOKUP(2,1/(($D$3:D1096=$D1097)*($A$3:A1096&lt;$A1097)),$N$3:N1096),'Guide &amp; Settings'!$C$41))</f>
        <v>0</v>
      </c>
      <c r="I1097" s="123">
        <f t="shared" si="342"/>
        <v>0</v>
      </c>
      <c r="J1097" s="124">
        <f>IF($D1097="",0,IF($F1097&lt;2,0,IF($E1097="Win",('Guide &amp; Settings'!$C$42/(($F1097-1)*COUNTIFS($A$4:$A$1510,$A1097,$E$4:$E$1510,"Win")))*SUMIFS($X$4:$X$1510,$A$4:$A$1510,$A1097,$E$4:$E$1510,"Loss"),-('Guide &amp; Settings'!$C$42/($F1097-1))*$X1097)))</f>
        <v>0</v>
      </c>
      <c r="K1097" s="124">
        <f>IF($D1097="",0,'Guide &amp; Settings'!$C$43*(IF($E1097="Win",1,0)-$I1097))</f>
        <v>0</v>
      </c>
      <c r="L1097" s="125">
        <f>IF($D1097="",0,'Guide &amp; Settings'!$C$44*IF($F1097&gt;=3,$F1097,0))</f>
        <v>0</v>
      </c>
      <c r="M1097" s="124">
        <f t="shared" si="343"/>
        <v>0</v>
      </c>
      <c r="N1097" s="122">
        <f t="shared" si="344"/>
        <v>0</v>
      </c>
      <c r="O1097" s="121" t="str">
        <f t="shared" si="345"/>
        <v/>
      </c>
      <c r="P1097">
        <f t="shared" si="346"/>
        <v>0</v>
      </c>
      <c r="Q1097">
        <f t="shared" si="347"/>
        <v>0</v>
      </c>
      <c r="R1097">
        <f t="shared" si="348"/>
        <v>0</v>
      </c>
      <c r="S1097">
        <f t="shared" si="349"/>
        <v>0</v>
      </c>
      <c r="T1097" s="89">
        <f t="shared" si="350"/>
        <v>0</v>
      </c>
      <c r="U1097" s="126">
        <f>IF($D1097="",0,IFERROR(LOOKUP(2,1/(($D$3:D1096=$D1097)*($C$3:C1096=$C1097)*($A$3:A1096&lt;$A1097)),$AB$3:AB1096),1000))</f>
        <v>0</v>
      </c>
      <c r="V1097" s="126">
        <f t="shared" si="351"/>
        <v>0</v>
      </c>
      <c r="W1097">
        <f t="shared" si="352"/>
        <v>0</v>
      </c>
      <c r="X1097">
        <f t="shared" si="353"/>
        <v>0</v>
      </c>
      <c r="Y1097">
        <f t="shared" si="354"/>
        <v>0</v>
      </c>
      <c r="Z1097">
        <f t="shared" si="355"/>
        <v>0</v>
      </c>
      <c r="AA1097">
        <f>IF($D1097="",0,IF($F1097&lt;2,0,IF($E1097="Win",('Guide &amp; Settings'!$C$42/(($F1097-1)*COUNTIFS($A$4:$A$1510,$A1097,$E$4:$E$1510,"Win")))*SUMIFS($Z$4:$Z$1510,$A$4:$A$1510,$A1097,$E$4:$E$1510,"Loss"),-('Guide &amp; Settings'!$C$42/($F1097-1))*$Z1097)))</f>
        <v>0</v>
      </c>
      <c r="AB1097" s="126">
        <f t="shared" si="356"/>
        <v>0</v>
      </c>
      <c r="AC1097" t="str">
        <f>IF($D1097="","",IF($AD1097=0,0,IF(COUNTIFS($D$4:$D1097,$D1097,$B$4:$B1097,$B1097)&gt;1,0,IF($B1097&lt;'Guide &amp; Settings'!$C$50,0,IF(($B1097-$AD1097)/7-'Guide &amp; Settings'!$C$48&gt;=0,(INT(($B1097-$AD1097)/7-'Guide &amp; Settings'!$C$48)+1)*'Guide &amp; Settings'!$C$49,0)))))</f>
        <v/>
      </c>
      <c r="AD1097" s="142">
        <f t="shared" si="357"/>
        <v>0</v>
      </c>
      <c r="AE1097">
        <f t="shared" si="358"/>
        <v>0</v>
      </c>
      <c r="AF1097">
        <f t="shared" si="359"/>
        <v>0</v>
      </c>
    </row>
    <row r="1098" spans="1:32" x14ac:dyDescent="0.2">
      <c r="A1098" s="117"/>
      <c r="B1098" s="118"/>
      <c r="C1098" s="119"/>
      <c r="D1098" s="119"/>
      <c r="E1098" s="117"/>
      <c r="F1098" s="120">
        <f t="shared" si="340"/>
        <v>0</v>
      </c>
      <c r="G1098" s="121" t="str">
        <f t="shared" si="341"/>
        <v/>
      </c>
      <c r="H1098" s="122">
        <f>IF($D1098="",0,IFERROR(LOOKUP(2,1/(($D$3:D1097=$D1098)*($A$3:A1097&lt;$A1098)),$N$3:N1097),'Guide &amp; Settings'!$C$41))</f>
        <v>0</v>
      </c>
      <c r="I1098" s="123">
        <f t="shared" si="342"/>
        <v>0</v>
      </c>
      <c r="J1098" s="124">
        <f>IF($D1098="",0,IF($F1098&lt;2,0,IF($E1098="Win",('Guide &amp; Settings'!$C$42/(($F1098-1)*COUNTIFS($A$4:$A$1510,$A1098,$E$4:$E$1510,"Win")))*SUMIFS($X$4:$X$1510,$A$4:$A$1510,$A1098,$E$4:$E$1510,"Loss"),-('Guide &amp; Settings'!$C$42/($F1098-1))*$X1098)))</f>
        <v>0</v>
      </c>
      <c r="K1098" s="124">
        <f>IF($D1098="",0,'Guide &amp; Settings'!$C$43*(IF($E1098="Win",1,0)-$I1098))</f>
        <v>0</v>
      </c>
      <c r="L1098" s="125">
        <f>IF($D1098="",0,'Guide &amp; Settings'!$C$44*IF($F1098&gt;=3,$F1098,0))</f>
        <v>0</v>
      </c>
      <c r="M1098" s="124">
        <f t="shared" si="343"/>
        <v>0</v>
      </c>
      <c r="N1098" s="122">
        <f t="shared" si="344"/>
        <v>0</v>
      </c>
      <c r="O1098" s="121" t="str">
        <f t="shared" si="345"/>
        <v/>
      </c>
      <c r="P1098">
        <f t="shared" si="346"/>
        <v>0</v>
      </c>
      <c r="Q1098">
        <f t="shared" si="347"/>
        <v>0</v>
      </c>
      <c r="R1098">
        <f t="shared" si="348"/>
        <v>0</v>
      </c>
      <c r="S1098">
        <f t="shared" si="349"/>
        <v>0</v>
      </c>
      <c r="T1098" s="89">
        <f t="shared" si="350"/>
        <v>0</v>
      </c>
      <c r="U1098" s="126">
        <f>IF($D1098="",0,IFERROR(LOOKUP(2,1/(($D$3:D1097=$D1098)*($C$3:C1097=$C1098)*($A$3:A1097&lt;$A1098)),$AB$3:AB1097),1000))</f>
        <v>0</v>
      </c>
      <c r="V1098" s="126">
        <f t="shared" si="351"/>
        <v>0</v>
      </c>
      <c r="W1098">
        <f t="shared" si="352"/>
        <v>0</v>
      </c>
      <c r="X1098">
        <f t="shared" si="353"/>
        <v>0</v>
      </c>
      <c r="Y1098">
        <f t="shared" si="354"/>
        <v>0</v>
      </c>
      <c r="Z1098">
        <f t="shared" si="355"/>
        <v>0</v>
      </c>
      <c r="AA1098">
        <f>IF($D1098="",0,IF($F1098&lt;2,0,IF($E1098="Win",('Guide &amp; Settings'!$C$42/(($F1098-1)*COUNTIFS($A$4:$A$1510,$A1098,$E$4:$E$1510,"Win")))*SUMIFS($Z$4:$Z$1510,$A$4:$A$1510,$A1098,$E$4:$E$1510,"Loss"),-('Guide &amp; Settings'!$C$42/($F1098-1))*$Z1098)))</f>
        <v>0</v>
      </c>
      <c r="AB1098" s="126">
        <f t="shared" si="356"/>
        <v>0</v>
      </c>
      <c r="AC1098" t="str">
        <f>IF($D1098="","",IF($AD1098=0,0,IF(COUNTIFS($D$4:$D1098,$D1098,$B$4:$B1098,$B1098)&gt;1,0,IF($B1098&lt;'Guide &amp; Settings'!$C$50,0,IF(($B1098-$AD1098)/7-'Guide &amp; Settings'!$C$48&gt;=0,(INT(($B1098-$AD1098)/7-'Guide &amp; Settings'!$C$48)+1)*'Guide &amp; Settings'!$C$49,0)))))</f>
        <v/>
      </c>
      <c r="AD1098" s="142">
        <f t="shared" si="357"/>
        <v>0</v>
      </c>
      <c r="AE1098">
        <f t="shared" si="358"/>
        <v>0</v>
      </c>
      <c r="AF1098">
        <f t="shared" si="359"/>
        <v>0</v>
      </c>
    </row>
    <row r="1099" spans="1:32" x14ac:dyDescent="0.2">
      <c r="A1099" s="117"/>
      <c r="B1099" s="118"/>
      <c r="C1099" s="119"/>
      <c r="D1099" s="119"/>
      <c r="E1099" s="117"/>
      <c r="F1099" s="120">
        <f t="shared" si="340"/>
        <v>0</v>
      </c>
      <c r="G1099" s="121" t="str">
        <f t="shared" si="341"/>
        <v/>
      </c>
      <c r="H1099" s="122">
        <f>IF($D1099="",0,IFERROR(LOOKUP(2,1/(($D$3:D1098=$D1099)*($A$3:A1098&lt;$A1099)),$N$3:N1098),'Guide &amp; Settings'!$C$41))</f>
        <v>0</v>
      </c>
      <c r="I1099" s="123">
        <f t="shared" si="342"/>
        <v>0</v>
      </c>
      <c r="J1099" s="124">
        <f>IF($D1099="",0,IF($F1099&lt;2,0,IF($E1099="Win",('Guide &amp; Settings'!$C$42/(($F1099-1)*COUNTIFS($A$4:$A$1510,$A1099,$E$4:$E$1510,"Win")))*SUMIFS($X$4:$X$1510,$A$4:$A$1510,$A1099,$E$4:$E$1510,"Loss"),-('Guide &amp; Settings'!$C$42/($F1099-1))*$X1099)))</f>
        <v>0</v>
      </c>
      <c r="K1099" s="124">
        <f>IF($D1099="",0,'Guide &amp; Settings'!$C$43*(IF($E1099="Win",1,0)-$I1099))</f>
        <v>0</v>
      </c>
      <c r="L1099" s="125">
        <f>IF($D1099="",0,'Guide &amp; Settings'!$C$44*IF($F1099&gt;=3,$F1099,0))</f>
        <v>0</v>
      </c>
      <c r="M1099" s="124">
        <f t="shared" si="343"/>
        <v>0</v>
      </c>
      <c r="N1099" s="122">
        <f t="shared" si="344"/>
        <v>0</v>
      </c>
      <c r="O1099" s="121" t="str">
        <f t="shared" si="345"/>
        <v/>
      </c>
      <c r="P1099">
        <f t="shared" si="346"/>
        <v>0</v>
      </c>
      <c r="Q1099">
        <f t="shared" si="347"/>
        <v>0</v>
      </c>
      <c r="R1099">
        <f t="shared" si="348"/>
        <v>0</v>
      </c>
      <c r="S1099">
        <f t="shared" si="349"/>
        <v>0</v>
      </c>
      <c r="T1099" s="89">
        <f t="shared" si="350"/>
        <v>0</v>
      </c>
      <c r="U1099" s="126">
        <f>IF($D1099="",0,IFERROR(LOOKUP(2,1/(($D$3:D1098=$D1099)*($C$3:C1098=$C1099)*($A$3:A1098&lt;$A1099)),$AB$3:AB1098),1000))</f>
        <v>0</v>
      </c>
      <c r="V1099" s="126">
        <f t="shared" si="351"/>
        <v>0</v>
      </c>
      <c r="W1099">
        <f t="shared" si="352"/>
        <v>0</v>
      </c>
      <c r="X1099">
        <f t="shared" si="353"/>
        <v>0</v>
      </c>
      <c r="Y1099">
        <f t="shared" si="354"/>
        <v>0</v>
      </c>
      <c r="Z1099">
        <f t="shared" si="355"/>
        <v>0</v>
      </c>
      <c r="AA1099">
        <f>IF($D1099="",0,IF($F1099&lt;2,0,IF($E1099="Win",('Guide &amp; Settings'!$C$42/(($F1099-1)*COUNTIFS($A$4:$A$1510,$A1099,$E$4:$E$1510,"Win")))*SUMIFS($Z$4:$Z$1510,$A$4:$A$1510,$A1099,$E$4:$E$1510,"Loss"),-('Guide &amp; Settings'!$C$42/($F1099-1))*$Z1099)))</f>
        <v>0</v>
      </c>
      <c r="AB1099" s="126">
        <f t="shared" si="356"/>
        <v>0</v>
      </c>
      <c r="AC1099" t="str">
        <f>IF($D1099="","",IF($AD1099=0,0,IF(COUNTIFS($D$4:$D1099,$D1099,$B$4:$B1099,$B1099)&gt;1,0,IF($B1099&lt;'Guide &amp; Settings'!$C$50,0,IF(($B1099-$AD1099)/7-'Guide &amp; Settings'!$C$48&gt;=0,(INT(($B1099-$AD1099)/7-'Guide &amp; Settings'!$C$48)+1)*'Guide &amp; Settings'!$C$49,0)))))</f>
        <v/>
      </c>
      <c r="AD1099" s="142">
        <f t="shared" si="357"/>
        <v>0</v>
      </c>
      <c r="AE1099">
        <f t="shared" si="358"/>
        <v>0</v>
      </c>
      <c r="AF1099">
        <f t="shared" si="359"/>
        <v>0</v>
      </c>
    </row>
    <row r="1100" spans="1:32" x14ac:dyDescent="0.2">
      <c r="A1100" s="117"/>
      <c r="B1100" s="118"/>
      <c r="C1100" s="119"/>
      <c r="D1100" s="119"/>
      <c r="E1100" s="117"/>
      <c r="F1100" s="120">
        <f t="shared" si="340"/>
        <v>0</v>
      </c>
      <c r="G1100" s="121" t="str">
        <f t="shared" si="341"/>
        <v/>
      </c>
      <c r="H1100" s="122">
        <f>IF($D1100="",0,IFERROR(LOOKUP(2,1/(($D$3:D1099=$D1100)*($A$3:A1099&lt;$A1100)),$N$3:N1099),'Guide &amp; Settings'!$C$41))</f>
        <v>0</v>
      </c>
      <c r="I1100" s="123">
        <f t="shared" si="342"/>
        <v>0</v>
      </c>
      <c r="J1100" s="124">
        <f>IF($D1100="",0,IF($F1100&lt;2,0,IF($E1100="Win",('Guide &amp; Settings'!$C$42/(($F1100-1)*COUNTIFS($A$4:$A$1510,$A1100,$E$4:$E$1510,"Win")))*SUMIFS($X$4:$X$1510,$A$4:$A$1510,$A1100,$E$4:$E$1510,"Loss"),-('Guide &amp; Settings'!$C$42/($F1100-1))*$X1100)))</f>
        <v>0</v>
      </c>
      <c r="K1100" s="124">
        <f>IF($D1100="",0,'Guide &amp; Settings'!$C$43*(IF($E1100="Win",1,0)-$I1100))</f>
        <v>0</v>
      </c>
      <c r="L1100" s="125">
        <f>IF($D1100="",0,'Guide &amp; Settings'!$C$44*IF($F1100&gt;=3,$F1100,0))</f>
        <v>0</v>
      </c>
      <c r="M1100" s="124">
        <f t="shared" si="343"/>
        <v>0</v>
      </c>
      <c r="N1100" s="122">
        <f t="shared" si="344"/>
        <v>0</v>
      </c>
      <c r="O1100" s="121" t="str">
        <f t="shared" si="345"/>
        <v/>
      </c>
      <c r="P1100">
        <f t="shared" si="346"/>
        <v>0</v>
      </c>
      <c r="Q1100">
        <f t="shared" si="347"/>
        <v>0</v>
      </c>
      <c r="R1100">
        <f t="shared" si="348"/>
        <v>0</v>
      </c>
      <c r="S1100">
        <f t="shared" si="349"/>
        <v>0</v>
      </c>
      <c r="T1100" s="89">
        <f t="shared" si="350"/>
        <v>0</v>
      </c>
      <c r="U1100" s="126">
        <f>IF($D1100="",0,IFERROR(LOOKUP(2,1/(($D$3:D1099=$D1100)*($C$3:C1099=$C1100)*($A$3:A1099&lt;$A1100)),$AB$3:AB1099),1000))</f>
        <v>0</v>
      </c>
      <c r="V1100" s="126">
        <f t="shared" si="351"/>
        <v>0</v>
      </c>
      <c r="W1100">
        <f t="shared" si="352"/>
        <v>0</v>
      </c>
      <c r="X1100">
        <f t="shared" si="353"/>
        <v>0</v>
      </c>
      <c r="Y1100">
        <f t="shared" si="354"/>
        <v>0</v>
      </c>
      <c r="Z1100">
        <f t="shared" si="355"/>
        <v>0</v>
      </c>
      <c r="AA1100">
        <f>IF($D1100="",0,IF($F1100&lt;2,0,IF($E1100="Win",('Guide &amp; Settings'!$C$42/(($F1100-1)*COUNTIFS($A$4:$A$1510,$A1100,$E$4:$E$1510,"Win")))*SUMIFS($Z$4:$Z$1510,$A$4:$A$1510,$A1100,$E$4:$E$1510,"Loss"),-('Guide &amp; Settings'!$C$42/($F1100-1))*$Z1100)))</f>
        <v>0</v>
      </c>
      <c r="AB1100" s="126">
        <f t="shared" si="356"/>
        <v>0</v>
      </c>
      <c r="AC1100" t="str">
        <f>IF($D1100="","",IF($AD1100=0,0,IF(COUNTIFS($D$4:$D1100,$D1100,$B$4:$B1100,$B1100)&gt;1,0,IF($B1100&lt;'Guide &amp; Settings'!$C$50,0,IF(($B1100-$AD1100)/7-'Guide &amp; Settings'!$C$48&gt;=0,(INT(($B1100-$AD1100)/7-'Guide &amp; Settings'!$C$48)+1)*'Guide &amp; Settings'!$C$49,0)))))</f>
        <v/>
      </c>
      <c r="AD1100" s="142">
        <f t="shared" si="357"/>
        <v>0</v>
      </c>
      <c r="AE1100">
        <f t="shared" si="358"/>
        <v>0</v>
      </c>
      <c r="AF1100">
        <f t="shared" si="359"/>
        <v>0</v>
      </c>
    </row>
    <row r="1101" spans="1:32" x14ac:dyDescent="0.2">
      <c r="A1101" s="117"/>
      <c r="B1101" s="118"/>
      <c r="C1101" s="119"/>
      <c r="D1101" s="119"/>
      <c r="E1101" s="117"/>
      <c r="F1101" s="120">
        <f t="shared" si="340"/>
        <v>0</v>
      </c>
      <c r="G1101" s="121" t="str">
        <f t="shared" si="341"/>
        <v/>
      </c>
      <c r="H1101" s="122">
        <f>IF($D1101="",0,IFERROR(LOOKUP(2,1/(($D$3:D1100=$D1101)*($A$3:A1100&lt;$A1101)),$N$3:N1100),'Guide &amp; Settings'!$C$41))</f>
        <v>0</v>
      </c>
      <c r="I1101" s="123">
        <f t="shared" si="342"/>
        <v>0</v>
      </c>
      <c r="J1101" s="124">
        <f>IF($D1101="",0,IF($F1101&lt;2,0,IF($E1101="Win",('Guide &amp; Settings'!$C$42/(($F1101-1)*COUNTIFS($A$4:$A$1510,$A1101,$E$4:$E$1510,"Win")))*SUMIFS($X$4:$X$1510,$A$4:$A$1510,$A1101,$E$4:$E$1510,"Loss"),-('Guide &amp; Settings'!$C$42/($F1101-1))*$X1101)))</f>
        <v>0</v>
      </c>
      <c r="K1101" s="124">
        <f>IF($D1101="",0,'Guide &amp; Settings'!$C$43*(IF($E1101="Win",1,0)-$I1101))</f>
        <v>0</v>
      </c>
      <c r="L1101" s="125">
        <f>IF($D1101="",0,'Guide &amp; Settings'!$C$44*IF($F1101&gt;=3,$F1101,0))</f>
        <v>0</v>
      </c>
      <c r="M1101" s="124">
        <f t="shared" si="343"/>
        <v>0</v>
      </c>
      <c r="N1101" s="122">
        <f t="shared" si="344"/>
        <v>0</v>
      </c>
      <c r="O1101" s="121" t="str">
        <f t="shared" si="345"/>
        <v/>
      </c>
      <c r="P1101">
        <f t="shared" si="346"/>
        <v>0</v>
      </c>
      <c r="Q1101">
        <f t="shared" si="347"/>
        <v>0</v>
      </c>
      <c r="R1101">
        <f t="shared" si="348"/>
        <v>0</v>
      </c>
      <c r="S1101">
        <f t="shared" si="349"/>
        <v>0</v>
      </c>
      <c r="T1101" s="89">
        <f t="shared" si="350"/>
        <v>0</v>
      </c>
      <c r="U1101" s="126">
        <f>IF($D1101="",0,IFERROR(LOOKUP(2,1/(($D$3:D1100=$D1101)*($C$3:C1100=$C1101)*($A$3:A1100&lt;$A1101)),$AB$3:AB1100),1000))</f>
        <v>0</v>
      </c>
      <c r="V1101" s="126">
        <f t="shared" si="351"/>
        <v>0</v>
      </c>
      <c r="W1101">
        <f t="shared" si="352"/>
        <v>0</v>
      </c>
      <c r="X1101">
        <f t="shared" si="353"/>
        <v>0</v>
      </c>
      <c r="Y1101">
        <f t="shared" si="354"/>
        <v>0</v>
      </c>
      <c r="Z1101">
        <f t="shared" si="355"/>
        <v>0</v>
      </c>
      <c r="AA1101">
        <f>IF($D1101="",0,IF($F1101&lt;2,0,IF($E1101="Win",('Guide &amp; Settings'!$C$42/(($F1101-1)*COUNTIFS($A$4:$A$1510,$A1101,$E$4:$E$1510,"Win")))*SUMIFS($Z$4:$Z$1510,$A$4:$A$1510,$A1101,$E$4:$E$1510,"Loss"),-('Guide &amp; Settings'!$C$42/($F1101-1))*$Z1101)))</f>
        <v>0</v>
      </c>
      <c r="AB1101" s="126">
        <f t="shared" si="356"/>
        <v>0</v>
      </c>
      <c r="AC1101" t="str">
        <f>IF($D1101="","",IF($AD1101=0,0,IF(COUNTIFS($D$4:$D1101,$D1101,$B$4:$B1101,$B1101)&gt;1,0,IF($B1101&lt;'Guide &amp; Settings'!$C$50,0,IF(($B1101-$AD1101)/7-'Guide &amp; Settings'!$C$48&gt;=0,(INT(($B1101-$AD1101)/7-'Guide &amp; Settings'!$C$48)+1)*'Guide &amp; Settings'!$C$49,0)))))</f>
        <v/>
      </c>
      <c r="AD1101" s="142">
        <f t="shared" si="357"/>
        <v>0</v>
      </c>
      <c r="AE1101">
        <f t="shared" si="358"/>
        <v>0</v>
      </c>
      <c r="AF1101">
        <f t="shared" si="359"/>
        <v>0</v>
      </c>
    </row>
    <row r="1102" spans="1:32" x14ac:dyDescent="0.2">
      <c r="A1102" s="117"/>
      <c r="B1102" s="118"/>
      <c r="C1102" s="119"/>
      <c r="D1102" s="119"/>
      <c r="E1102" s="117"/>
      <c r="F1102" s="120">
        <f t="shared" si="340"/>
        <v>0</v>
      </c>
      <c r="G1102" s="121" t="str">
        <f t="shared" si="341"/>
        <v/>
      </c>
      <c r="H1102" s="122">
        <f>IF($D1102="",0,IFERROR(LOOKUP(2,1/(($D$3:D1101=$D1102)*($A$3:A1101&lt;$A1102)),$N$3:N1101),'Guide &amp; Settings'!$C$41))</f>
        <v>0</v>
      </c>
      <c r="I1102" s="123">
        <f t="shared" si="342"/>
        <v>0</v>
      </c>
      <c r="J1102" s="124">
        <f>IF($D1102="",0,IF($F1102&lt;2,0,IF($E1102="Win",('Guide &amp; Settings'!$C$42/(($F1102-1)*COUNTIFS($A$4:$A$1510,$A1102,$E$4:$E$1510,"Win")))*SUMIFS($X$4:$X$1510,$A$4:$A$1510,$A1102,$E$4:$E$1510,"Loss"),-('Guide &amp; Settings'!$C$42/($F1102-1))*$X1102)))</f>
        <v>0</v>
      </c>
      <c r="K1102" s="124">
        <f>IF($D1102="",0,'Guide &amp; Settings'!$C$43*(IF($E1102="Win",1,0)-$I1102))</f>
        <v>0</v>
      </c>
      <c r="L1102" s="125">
        <f>IF($D1102="",0,'Guide &amp; Settings'!$C$44*IF($F1102&gt;=3,$F1102,0))</f>
        <v>0</v>
      </c>
      <c r="M1102" s="124">
        <f t="shared" si="343"/>
        <v>0</v>
      </c>
      <c r="N1102" s="122">
        <f t="shared" si="344"/>
        <v>0</v>
      </c>
      <c r="O1102" s="121" t="str">
        <f t="shared" si="345"/>
        <v/>
      </c>
      <c r="P1102">
        <f t="shared" si="346"/>
        <v>0</v>
      </c>
      <c r="Q1102">
        <f t="shared" si="347"/>
        <v>0</v>
      </c>
      <c r="R1102">
        <f t="shared" si="348"/>
        <v>0</v>
      </c>
      <c r="S1102">
        <f t="shared" si="349"/>
        <v>0</v>
      </c>
      <c r="T1102" s="89">
        <f t="shared" si="350"/>
        <v>0</v>
      </c>
      <c r="U1102" s="126">
        <f>IF($D1102="",0,IFERROR(LOOKUP(2,1/(($D$3:D1101=$D1102)*($C$3:C1101=$C1102)*($A$3:A1101&lt;$A1102)),$AB$3:AB1101),1000))</f>
        <v>0</v>
      </c>
      <c r="V1102" s="126">
        <f t="shared" si="351"/>
        <v>0</v>
      </c>
      <c r="W1102">
        <f t="shared" si="352"/>
        <v>0</v>
      </c>
      <c r="X1102">
        <f t="shared" si="353"/>
        <v>0</v>
      </c>
      <c r="Y1102">
        <f t="shared" si="354"/>
        <v>0</v>
      </c>
      <c r="Z1102">
        <f t="shared" si="355"/>
        <v>0</v>
      </c>
      <c r="AA1102">
        <f>IF($D1102="",0,IF($F1102&lt;2,0,IF($E1102="Win",('Guide &amp; Settings'!$C$42/(($F1102-1)*COUNTIFS($A$4:$A$1510,$A1102,$E$4:$E$1510,"Win")))*SUMIFS($Z$4:$Z$1510,$A$4:$A$1510,$A1102,$E$4:$E$1510,"Loss"),-('Guide &amp; Settings'!$C$42/($F1102-1))*$Z1102)))</f>
        <v>0</v>
      </c>
      <c r="AB1102" s="126">
        <f t="shared" si="356"/>
        <v>0</v>
      </c>
      <c r="AC1102" t="str">
        <f>IF($D1102="","",IF($AD1102=0,0,IF(COUNTIFS($D$4:$D1102,$D1102,$B$4:$B1102,$B1102)&gt;1,0,IF($B1102&lt;'Guide &amp; Settings'!$C$50,0,IF(($B1102-$AD1102)/7-'Guide &amp; Settings'!$C$48&gt;=0,(INT(($B1102-$AD1102)/7-'Guide &amp; Settings'!$C$48)+1)*'Guide &amp; Settings'!$C$49,0)))))</f>
        <v/>
      </c>
      <c r="AD1102" s="142">
        <f t="shared" si="357"/>
        <v>0</v>
      </c>
      <c r="AE1102">
        <f t="shared" si="358"/>
        <v>0</v>
      </c>
      <c r="AF1102">
        <f t="shared" si="359"/>
        <v>0</v>
      </c>
    </row>
    <row r="1103" spans="1:32" x14ac:dyDescent="0.2">
      <c r="A1103" s="117"/>
      <c r="B1103" s="118"/>
      <c r="C1103" s="119"/>
      <c r="D1103" s="119"/>
      <c r="E1103" s="117"/>
      <c r="F1103" s="120">
        <f t="shared" si="340"/>
        <v>0</v>
      </c>
      <c r="G1103" s="121" t="str">
        <f t="shared" si="341"/>
        <v/>
      </c>
      <c r="H1103" s="122">
        <f>IF($D1103="",0,IFERROR(LOOKUP(2,1/(($D$3:D1102=$D1103)*($A$3:A1102&lt;$A1103)),$N$3:N1102),'Guide &amp; Settings'!$C$41))</f>
        <v>0</v>
      </c>
      <c r="I1103" s="123">
        <f t="shared" si="342"/>
        <v>0</v>
      </c>
      <c r="J1103" s="124">
        <f>IF($D1103="",0,IF($F1103&lt;2,0,IF($E1103="Win",('Guide &amp; Settings'!$C$42/(($F1103-1)*COUNTIFS($A$4:$A$1510,$A1103,$E$4:$E$1510,"Win")))*SUMIFS($X$4:$X$1510,$A$4:$A$1510,$A1103,$E$4:$E$1510,"Loss"),-('Guide &amp; Settings'!$C$42/($F1103-1))*$X1103)))</f>
        <v>0</v>
      </c>
      <c r="K1103" s="124">
        <f>IF($D1103="",0,'Guide &amp; Settings'!$C$43*(IF($E1103="Win",1,0)-$I1103))</f>
        <v>0</v>
      </c>
      <c r="L1103" s="125">
        <f>IF($D1103="",0,'Guide &amp; Settings'!$C$44*IF($F1103&gt;=3,$F1103,0))</f>
        <v>0</v>
      </c>
      <c r="M1103" s="124">
        <f t="shared" si="343"/>
        <v>0</v>
      </c>
      <c r="N1103" s="122">
        <f t="shared" si="344"/>
        <v>0</v>
      </c>
      <c r="O1103" s="121" t="str">
        <f t="shared" si="345"/>
        <v/>
      </c>
      <c r="P1103">
        <f t="shared" si="346"/>
        <v>0</v>
      </c>
      <c r="Q1103">
        <f t="shared" si="347"/>
        <v>0</v>
      </c>
      <c r="R1103">
        <f t="shared" si="348"/>
        <v>0</v>
      </c>
      <c r="S1103">
        <f t="shared" si="349"/>
        <v>0</v>
      </c>
      <c r="T1103" s="89">
        <f t="shared" si="350"/>
        <v>0</v>
      </c>
      <c r="U1103" s="126">
        <f>IF($D1103="",0,IFERROR(LOOKUP(2,1/(($D$3:D1102=$D1103)*($C$3:C1102=$C1103)*($A$3:A1102&lt;$A1103)),$AB$3:AB1102),1000))</f>
        <v>0</v>
      </c>
      <c r="V1103" s="126">
        <f t="shared" si="351"/>
        <v>0</v>
      </c>
      <c r="W1103">
        <f t="shared" si="352"/>
        <v>0</v>
      </c>
      <c r="X1103">
        <f t="shared" si="353"/>
        <v>0</v>
      </c>
      <c r="Y1103">
        <f t="shared" si="354"/>
        <v>0</v>
      </c>
      <c r="Z1103">
        <f t="shared" si="355"/>
        <v>0</v>
      </c>
      <c r="AA1103">
        <f>IF($D1103="",0,IF($F1103&lt;2,0,IF($E1103="Win",('Guide &amp; Settings'!$C$42/(($F1103-1)*COUNTIFS($A$4:$A$1510,$A1103,$E$4:$E$1510,"Win")))*SUMIFS($Z$4:$Z$1510,$A$4:$A$1510,$A1103,$E$4:$E$1510,"Loss"),-('Guide &amp; Settings'!$C$42/($F1103-1))*$Z1103)))</f>
        <v>0</v>
      </c>
      <c r="AB1103" s="126">
        <f t="shared" si="356"/>
        <v>0</v>
      </c>
      <c r="AC1103" t="str">
        <f>IF($D1103="","",IF($AD1103=0,0,IF(COUNTIFS($D$4:$D1103,$D1103,$B$4:$B1103,$B1103)&gt;1,0,IF($B1103&lt;'Guide &amp; Settings'!$C$50,0,IF(($B1103-$AD1103)/7-'Guide &amp; Settings'!$C$48&gt;=0,(INT(($B1103-$AD1103)/7-'Guide &amp; Settings'!$C$48)+1)*'Guide &amp; Settings'!$C$49,0)))))</f>
        <v/>
      </c>
      <c r="AD1103" s="142">
        <f t="shared" si="357"/>
        <v>0</v>
      </c>
      <c r="AE1103">
        <f t="shared" si="358"/>
        <v>0</v>
      </c>
      <c r="AF1103">
        <f t="shared" si="359"/>
        <v>0</v>
      </c>
    </row>
    <row r="1104" spans="1:32" x14ac:dyDescent="0.2">
      <c r="A1104" s="117"/>
      <c r="B1104" s="118"/>
      <c r="C1104" s="119"/>
      <c r="D1104" s="119"/>
      <c r="E1104" s="117"/>
      <c r="F1104" s="120">
        <f t="shared" si="340"/>
        <v>0</v>
      </c>
      <c r="G1104" s="121" t="str">
        <f t="shared" si="341"/>
        <v/>
      </c>
      <c r="H1104" s="122">
        <f>IF($D1104="",0,IFERROR(LOOKUP(2,1/(($D$3:D1103=$D1104)*($A$3:A1103&lt;$A1104)),$N$3:N1103),'Guide &amp; Settings'!$C$41))</f>
        <v>0</v>
      </c>
      <c r="I1104" s="123">
        <f t="shared" si="342"/>
        <v>0</v>
      </c>
      <c r="J1104" s="124">
        <f>IF($D1104="",0,IF($F1104&lt;2,0,IF($E1104="Win",('Guide &amp; Settings'!$C$42/(($F1104-1)*COUNTIFS($A$4:$A$1510,$A1104,$E$4:$E$1510,"Win")))*SUMIFS($X$4:$X$1510,$A$4:$A$1510,$A1104,$E$4:$E$1510,"Loss"),-('Guide &amp; Settings'!$C$42/($F1104-1))*$X1104)))</f>
        <v>0</v>
      </c>
      <c r="K1104" s="124">
        <f>IF($D1104="",0,'Guide &amp; Settings'!$C$43*(IF($E1104="Win",1,0)-$I1104))</f>
        <v>0</v>
      </c>
      <c r="L1104" s="125">
        <f>IF($D1104="",0,'Guide &amp; Settings'!$C$44*IF($F1104&gt;=3,$F1104,0))</f>
        <v>0</v>
      </c>
      <c r="M1104" s="124">
        <f t="shared" si="343"/>
        <v>0</v>
      </c>
      <c r="N1104" s="122">
        <f t="shared" si="344"/>
        <v>0</v>
      </c>
      <c r="O1104" s="121" t="str">
        <f t="shared" si="345"/>
        <v/>
      </c>
      <c r="P1104">
        <f t="shared" si="346"/>
        <v>0</v>
      </c>
      <c r="Q1104">
        <f t="shared" si="347"/>
        <v>0</v>
      </c>
      <c r="R1104">
        <f t="shared" si="348"/>
        <v>0</v>
      </c>
      <c r="S1104">
        <f t="shared" si="349"/>
        <v>0</v>
      </c>
      <c r="T1104" s="89">
        <f t="shared" si="350"/>
        <v>0</v>
      </c>
      <c r="U1104" s="126">
        <f>IF($D1104="",0,IFERROR(LOOKUP(2,1/(($D$3:D1103=$D1104)*($C$3:C1103=$C1104)*($A$3:A1103&lt;$A1104)),$AB$3:AB1103),1000))</f>
        <v>0</v>
      </c>
      <c r="V1104" s="126">
        <f t="shared" si="351"/>
        <v>0</v>
      </c>
      <c r="W1104">
        <f t="shared" si="352"/>
        <v>0</v>
      </c>
      <c r="X1104">
        <f t="shared" si="353"/>
        <v>0</v>
      </c>
      <c r="Y1104">
        <f t="shared" si="354"/>
        <v>0</v>
      </c>
      <c r="Z1104">
        <f t="shared" si="355"/>
        <v>0</v>
      </c>
      <c r="AA1104">
        <f>IF($D1104="",0,IF($F1104&lt;2,0,IF($E1104="Win",('Guide &amp; Settings'!$C$42/(($F1104-1)*COUNTIFS($A$4:$A$1510,$A1104,$E$4:$E$1510,"Win")))*SUMIFS($Z$4:$Z$1510,$A$4:$A$1510,$A1104,$E$4:$E$1510,"Loss"),-('Guide &amp; Settings'!$C$42/($F1104-1))*$Z1104)))</f>
        <v>0</v>
      </c>
      <c r="AB1104" s="126">
        <f t="shared" si="356"/>
        <v>0</v>
      </c>
      <c r="AC1104" t="str">
        <f>IF($D1104="","",IF($AD1104=0,0,IF(COUNTIFS($D$4:$D1104,$D1104,$B$4:$B1104,$B1104)&gt;1,0,IF($B1104&lt;'Guide &amp; Settings'!$C$50,0,IF(($B1104-$AD1104)/7-'Guide &amp; Settings'!$C$48&gt;=0,(INT(($B1104-$AD1104)/7-'Guide &amp; Settings'!$C$48)+1)*'Guide &amp; Settings'!$C$49,0)))))</f>
        <v/>
      </c>
      <c r="AD1104" s="142">
        <f t="shared" si="357"/>
        <v>0</v>
      </c>
      <c r="AE1104">
        <f t="shared" si="358"/>
        <v>0</v>
      </c>
      <c r="AF1104">
        <f t="shared" si="359"/>
        <v>0</v>
      </c>
    </row>
    <row r="1105" spans="1:32" x14ac:dyDescent="0.2">
      <c r="A1105" s="117"/>
      <c r="B1105" s="118"/>
      <c r="C1105" s="119"/>
      <c r="D1105" s="119"/>
      <c r="E1105" s="117"/>
      <c r="F1105" s="120">
        <f t="shared" si="340"/>
        <v>0</v>
      </c>
      <c r="G1105" s="121" t="str">
        <f t="shared" si="341"/>
        <v/>
      </c>
      <c r="H1105" s="122">
        <f>IF($D1105="",0,IFERROR(LOOKUP(2,1/(($D$3:D1104=$D1105)*($A$3:A1104&lt;$A1105)),$N$3:N1104),'Guide &amp; Settings'!$C$41))</f>
        <v>0</v>
      </c>
      <c r="I1105" s="123">
        <f t="shared" si="342"/>
        <v>0</v>
      </c>
      <c r="J1105" s="124">
        <f>IF($D1105="",0,IF($F1105&lt;2,0,IF($E1105="Win",('Guide &amp; Settings'!$C$42/(($F1105-1)*COUNTIFS($A$4:$A$1510,$A1105,$E$4:$E$1510,"Win")))*SUMIFS($X$4:$X$1510,$A$4:$A$1510,$A1105,$E$4:$E$1510,"Loss"),-('Guide &amp; Settings'!$C$42/($F1105-1))*$X1105)))</f>
        <v>0</v>
      </c>
      <c r="K1105" s="124">
        <f>IF($D1105="",0,'Guide &amp; Settings'!$C$43*(IF($E1105="Win",1,0)-$I1105))</f>
        <v>0</v>
      </c>
      <c r="L1105" s="125">
        <f>IF($D1105="",0,'Guide &amp; Settings'!$C$44*IF($F1105&gt;=3,$F1105,0))</f>
        <v>0</v>
      </c>
      <c r="M1105" s="124">
        <f t="shared" si="343"/>
        <v>0</v>
      </c>
      <c r="N1105" s="122">
        <f t="shared" si="344"/>
        <v>0</v>
      </c>
      <c r="O1105" s="121" t="str">
        <f t="shared" si="345"/>
        <v/>
      </c>
      <c r="P1105">
        <f t="shared" si="346"/>
        <v>0</v>
      </c>
      <c r="Q1105">
        <f t="shared" si="347"/>
        <v>0</v>
      </c>
      <c r="R1105">
        <f t="shared" si="348"/>
        <v>0</v>
      </c>
      <c r="S1105">
        <f t="shared" si="349"/>
        <v>0</v>
      </c>
      <c r="T1105" s="89">
        <f t="shared" si="350"/>
        <v>0</v>
      </c>
      <c r="U1105" s="126">
        <f>IF($D1105="",0,IFERROR(LOOKUP(2,1/(($D$3:D1104=$D1105)*($C$3:C1104=$C1105)*($A$3:A1104&lt;$A1105)),$AB$3:AB1104),1000))</f>
        <v>0</v>
      </c>
      <c r="V1105" s="126">
        <f t="shared" si="351"/>
        <v>0</v>
      </c>
      <c r="W1105">
        <f t="shared" si="352"/>
        <v>0</v>
      </c>
      <c r="X1105">
        <f t="shared" si="353"/>
        <v>0</v>
      </c>
      <c r="Y1105">
        <f t="shared" si="354"/>
        <v>0</v>
      </c>
      <c r="Z1105">
        <f t="shared" si="355"/>
        <v>0</v>
      </c>
      <c r="AA1105">
        <f>IF($D1105="",0,IF($F1105&lt;2,0,IF($E1105="Win",('Guide &amp; Settings'!$C$42/(($F1105-1)*COUNTIFS($A$4:$A$1510,$A1105,$E$4:$E$1510,"Win")))*SUMIFS($Z$4:$Z$1510,$A$4:$A$1510,$A1105,$E$4:$E$1510,"Loss"),-('Guide &amp; Settings'!$C$42/($F1105-1))*$Z1105)))</f>
        <v>0</v>
      </c>
      <c r="AB1105" s="126">
        <f t="shared" si="356"/>
        <v>0</v>
      </c>
      <c r="AC1105" t="str">
        <f>IF($D1105="","",IF($AD1105=0,0,IF(COUNTIFS($D$4:$D1105,$D1105,$B$4:$B1105,$B1105)&gt;1,0,IF($B1105&lt;'Guide &amp; Settings'!$C$50,0,IF(($B1105-$AD1105)/7-'Guide &amp; Settings'!$C$48&gt;=0,(INT(($B1105-$AD1105)/7-'Guide &amp; Settings'!$C$48)+1)*'Guide &amp; Settings'!$C$49,0)))))</f>
        <v/>
      </c>
      <c r="AD1105" s="142">
        <f t="shared" si="357"/>
        <v>0</v>
      </c>
      <c r="AE1105">
        <f t="shared" si="358"/>
        <v>0</v>
      </c>
      <c r="AF1105">
        <f t="shared" si="359"/>
        <v>0</v>
      </c>
    </row>
    <row r="1106" spans="1:32" x14ac:dyDescent="0.2">
      <c r="A1106" s="117"/>
      <c r="B1106" s="118"/>
      <c r="C1106" s="119"/>
      <c r="D1106" s="119"/>
      <c r="E1106" s="117"/>
      <c r="F1106" s="120">
        <f t="shared" si="340"/>
        <v>0</v>
      </c>
      <c r="G1106" s="121" t="str">
        <f t="shared" si="341"/>
        <v/>
      </c>
      <c r="H1106" s="122">
        <f>IF($D1106="",0,IFERROR(LOOKUP(2,1/(($D$3:D1105=$D1106)*($A$3:A1105&lt;$A1106)),$N$3:N1105),'Guide &amp; Settings'!$C$41))</f>
        <v>0</v>
      </c>
      <c r="I1106" s="123">
        <f t="shared" si="342"/>
        <v>0</v>
      </c>
      <c r="J1106" s="124">
        <f>IF($D1106="",0,IF($F1106&lt;2,0,IF($E1106="Win",('Guide &amp; Settings'!$C$42/(($F1106-1)*COUNTIFS($A$4:$A$1510,$A1106,$E$4:$E$1510,"Win")))*SUMIFS($X$4:$X$1510,$A$4:$A$1510,$A1106,$E$4:$E$1510,"Loss"),-('Guide &amp; Settings'!$C$42/($F1106-1))*$X1106)))</f>
        <v>0</v>
      </c>
      <c r="K1106" s="124">
        <f>IF($D1106="",0,'Guide &amp; Settings'!$C$43*(IF($E1106="Win",1,0)-$I1106))</f>
        <v>0</v>
      </c>
      <c r="L1106" s="125">
        <f>IF($D1106="",0,'Guide &amp; Settings'!$C$44*IF($F1106&gt;=3,$F1106,0))</f>
        <v>0</v>
      </c>
      <c r="M1106" s="124">
        <f t="shared" si="343"/>
        <v>0</v>
      </c>
      <c r="N1106" s="122">
        <f t="shared" si="344"/>
        <v>0</v>
      </c>
      <c r="O1106" s="121" t="str">
        <f t="shared" si="345"/>
        <v/>
      </c>
      <c r="P1106">
        <f t="shared" si="346"/>
        <v>0</v>
      </c>
      <c r="Q1106">
        <f t="shared" si="347"/>
        <v>0</v>
      </c>
      <c r="R1106">
        <f t="shared" si="348"/>
        <v>0</v>
      </c>
      <c r="S1106">
        <f t="shared" si="349"/>
        <v>0</v>
      </c>
      <c r="T1106" s="89">
        <f t="shared" si="350"/>
        <v>0</v>
      </c>
      <c r="U1106" s="126">
        <f>IF($D1106="",0,IFERROR(LOOKUP(2,1/(($D$3:D1105=$D1106)*($C$3:C1105=$C1106)*($A$3:A1105&lt;$A1106)),$AB$3:AB1105),1000))</f>
        <v>0</v>
      </c>
      <c r="V1106" s="126">
        <f t="shared" si="351"/>
        <v>0</v>
      </c>
      <c r="W1106">
        <f t="shared" si="352"/>
        <v>0</v>
      </c>
      <c r="X1106">
        <f t="shared" si="353"/>
        <v>0</v>
      </c>
      <c r="Y1106">
        <f t="shared" si="354"/>
        <v>0</v>
      </c>
      <c r="Z1106">
        <f t="shared" si="355"/>
        <v>0</v>
      </c>
      <c r="AA1106">
        <f>IF($D1106="",0,IF($F1106&lt;2,0,IF($E1106="Win",('Guide &amp; Settings'!$C$42/(($F1106-1)*COUNTIFS($A$4:$A$1510,$A1106,$E$4:$E$1510,"Win")))*SUMIFS($Z$4:$Z$1510,$A$4:$A$1510,$A1106,$E$4:$E$1510,"Loss"),-('Guide &amp; Settings'!$C$42/($F1106-1))*$Z1106)))</f>
        <v>0</v>
      </c>
      <c r="AB1106" s="126">
        <f t="shared" si="356"/>
        <v>0</v>
      </c>
      <c r="AC1106" t="str">
        <f>IF($D1106="","",IF($AD1106=0,0,IF(COUNTIFS($D$4:$D1106,$D1106,$B$4:$B1106,$B1106)&gt;1,0,IF($B1106&lt;'Guide &amp; Settings'!$C$50,0,IF(($B1106-$AD1106)/7-'Guide &amp; Settings'!$C$48&gt;=0,(INT(($B1106-$AD1106)/7-'Guide &amp; Settings'!$C$48)+1)*'Guide &amp; Settings'!$C$49,0)))))</f>
        <v/>
      </c>
      <c r="AD1106" s="142">
        <f t="shared" si="357"/>
        <v>0</v>
      </c>
      <c r="AE1106">
        <f t="shared" si="358"/>
        <v>0</v>
      </c>
      <c r="AF1106">
        <f t="shared" si="359"/>
        <v>0</v>
      </c>
    </row>
    <row r="1107" spans="1:32" x14ac:dyDescent="0.2">
      <c r="A1107" s="117"/>
      <c r="B1107" s="118"/>
      <c r="C1107" s="119"/>
      <c r="D1107" s="119"/>
      <c r="E1107" s="117"/>
      <c r="F1107" s="120">
        <f t="shared" si="340"/>
        <v>0</v>
      </c>
      <c r="G1107" s="121" t="str">
        <f t="shared" si="341"/>
        <v/>
      </c>
      <c r="H1107" s="122">
        <f>IF($D1107="",0,IFERROR(LOOKUP(2,1/(($D$3:D1106=$D1107)*($A$3:A1106&lt;$A1107)),$N$3:N1106),'Guide &amp; Settings'!$C$41))</f>
        <v>0</v>
      </c>
      <c r="I1107" s="123">
        <f t="shared" si="342"/>
        <v>0</v>
      </c>
      <c r="J1107" s="124">
        <f>IF($D1107="",0,IF($F1107&lt;2,0,IF($E1107="Win",('Guide &amp; Settings'!$C$42/(($F1107-1)*COUNTIFS($A$4:$A$1510,$A1107,$E$4:$E$1510,"Win")))*SUMIFS($X$4:$X$1510,$A$4:$A$1510,$A1107,$E$4:$E$1510,"Loss"),-('Guide &amp; Settings'!$C$42/($F1107-1))*$X1107)))</f>
        <v>0</v>
      </c>
      <c r="K1107" s="124">
        <f>IF($D1107="",0,'Guide &amp; Settings'!$C$43*(IF($E1107="Win",1,0)-$I1107))</f>
        <v>0</v>
      </c>
      <c r="L1107" s="125">
        <f>IF($D1107="",0,'Guide &amp; Settings'!$C$44*IF($F1107&gt;=3,$F1107,0))</f>
        <v>0</v>
      </c>
      <c r="M1107" s="124">
        <f t="shared" si="343"/>
        <v>0</v>
      </c>
      <c r="N1107" s="122">
        <f t="shared" si="344"/>
        <v>0</v>
      </c>
      <c r="O1107" s="121" t="str">
        <f t="shared" si="345"/>
        <v/>
      </c>
      <c r="P1107">
        <f t="shared" si="346"/>
        <v>0</v>
      </c>
      <c r="Q1107">
        <f t="shared" si="347"/>
        <v>0</v>
      </c>
      <c r="R1107">
        <f t="shared" si="348"/>
        <v>0</v>
      </c>
      <c r="S1107">
        <f t="shared" si="349"/>
        <v>0</v>
      </c>
      <c r="T1107" s="89">
        <f t="shared" si="350"/>
        <v>0</v>
      </c>
      <c r="U1107" s="126">
        <f>IF($D1107="",0,IFERROR(LOOKUP(2,1/(($D$3:D1106=$D1107)*($C$3:C1106=$C1107)*($A$3:A1106&lt;$A1107)),$AB$3:AB1106),1000))</f>
        <v>0</v>
      </c>
      <c r="V1107" s="126">
        <f t="shared" si="351"/>
        <v>0</v>
      </c>
      <c r="W1107">
        <f t="shared" si="352"/>
        <v>0</v>
      </c>
      <c r="X1107">
        <f t="shared" si="353"/>
        <v>0</v>
      </c>
      <c r="Y1107">
        <f t="shared" si="354"/>
        <v>0</v>
      </c>
      <c r="Z1107">
        <f t="shared" si="355"/>
        <v>0</v>
      </c>
      <c r="AA1107">
        <f>IF($D1107="",0,IF($F1107&lt;2,0,IF($E1107="Win",('Guide &amp; Settings'!$C$42/(($F1107-1)*COUNTIFS($A$4:$A$1510,$A1107,$E$4:$E$1510,"Win")))*SUMIFS($Z$4:$Z$1510,$A$4:$A$1510,$A1107,$E$4:$E$1510,"Loss"),-('Guide &amp; Settings'!$C$42/($F1107-1))*$Z1107)))</f>
        <v>0</v>
      </c>
      <c r="AB1107" s="126">
        <f t="shared" si="356"/>
        <v>0</v>
      </c>
      <c r="AC1107" t="str">
        <f>IF($D1107="","",IF($AD1107=0,0,IF(COUNTIFS($D$4:$D1107,$D1107,$B$4:$B1107,$B1107)&gt;1,0,IF($B1107&lt;'Guide &amp; Settings'!$C$50,0,IF(($B1107-$AD1107)/7-'Guide &amp; Settings'!$C$48&gt;=0,(INT(($B1107-$AD1107)/7-'Guide &amp; Settings'!$C$48)+1)*'Guide &amp; Settings'!$C$49,0)))))</f>
        <v/>
      </c>
      <c r="AD1107" s="142">
        <f t="shared" si="357"/>
        <v>0</v>
      </c>
      <c r="AE1107">
        <f t="shared" si="358"/>
        <v>0</v>
      </c>
      <c r="AF1107">
        <f t="shared" si="359"/>
        <v>0</v>
      </c>
    </row>
    <row r="1108" spans="1:32" x14ac:dyDescent="0.2">
      <c r="A1108" s="117"/>
      <c r="B1108" s="118"/>
      <c r="C1108" s="119"/>
      <c r="D1108" s="119"/>
      <c r="E1108" s="117"/>
      <c r="F1108" s="120">
        <f t="shared" si="340"/>
        <v>0</v>
      </c>
      <c r="G1108" s="121" t="str">
        <f t="shared" si="341"/>
        <v/>
      </c>
      <c r="H1108" s="122">
        <f>IF($D1108="",0,IFERROR(LOOKUP(2,1/(($D$3:D1107=$D1108)*($A$3:A1107&lt;$A1108)),$N$3:N1107),'Guide &amp; Settings'!$C$41))</f>
        <v>0</v>
      </c>
      <c r="I1108" s="123">
        <f t="shared" si="342"/>
        <v>0</v>
      </c>
      <c r="J1108" s="124">
        <f>IF($D1108="",0,IF($F1108&lt;2,0,IF($E1108="Win",('Guide &amp; Settings'!$C$42/(($F1108-1)*COUNTIFS($A$4:$A$1510,$A1108,$E$4:$E$1510,"Win")))*SUMIFS($X$4:$X$1510,$A$4:$A$1510,$A1108,$E$4:$E$1510,"Loss"),-('Guide &amp; Settings'!$C$42/($F1108-1))*$X1108)))</f>
        <v>0</v>
      </c>
      <c r="K1108" s="124">
        <f>IF($D1108="",0,'Guide &amp; Settings'!$C$43*(IF($E1108="Win",1,0)-$I1108))</f>
        <v>0</v>
      </c>
      <c r="L1108" s="125">
        <f>IF($D1108="",0,'Guide &amp; Settings'!$C$44*IF($F1108&gt;=3,$F1108,0))</f>
        <v>0</v>
      </c>
      <c r="M1108" s="124">
        <f t="shared" si="343"/>
        <v>0</v>
      </c>
      <c r="N1108" s="122">
        <f t="shared" si="344"/>
        <v>0</v>
      </c>
      <c r="O1108" s="121" t="str">
        <f t="shared" si="345"/>
        <v/>
      </c>
      <c r="P1108">
        <f t="shared" si="346"/>
        <v>0</v>
      </c>
      <c r="Q1108">
        <f t="shared" si="347"/>
        <v>0</v>
      </c>
      <c r="R1108">
        <f t="shared" si="348"/>
        <v>0</v>
      </c>
      <c r="S1108">
        <f t="shared" si="349"/>
        <v>0</v>
      </c>
      <c r="T1108" s="89">
        <f t="shared" si="350"/>
        <v>0</v>
      </c>
      <c r="U1108" s="126">
        <f>IF($D1108="",0,IFERROR(LOOKUP(2,1/(($D$3:D1107=$D1108)*($C$3:C1107=$C1108)*($A$3:A1107&lt;$A1108)),$AB$3:AB1107),1000))</f>
        <v>0</v>
      </c>
      <c r="V1108" s="126">
        <f t="shared" si="351"/>
        <v>0</v>
      </c>
      <c r="W1108">
        <f t="shared" si="352"/>
        <v>0</v>
      </c>
      <c r="X1108">
        <f t="shared" si="353"/>
        <v>0</v>
      </c>
      <c r="Y1108">
        <f t="shared" si="354"/>
        <v>0</v>
      </c>
      <c r="Z1108">
        <f t="shared" si="355"/>
        <v>0</v>
      </c>
      <c r="AA1108">
        <f>IF($D1108="",0,IF($F1108&lt;2,0,IF($E1108="Win",('Guide &amp; Settings'!$C$42/(($F1108-1)*COUNTIFS($A$4:$A$1510,$A1108,$E$4:$E$1510,"Win")))*SUMIFS($Z$4:$Z$1510,$A$4:$A$1510,$A1108,$E$4:$E$1510,"Loss"),-('Guide &amp; Settings'!$C$42/($F1108-1))*$Z1108)))</f>
        <v>0</v>
      </c>
      <c r="AB1108" s="126">
        <f t="shared" si="356"/>
        <v>0</v>
      </c>
      <c r="AC1108" t="str">
        <f>IF($D1108="","",IF($AD1108=0,0,IF(COUNTIFS($D$4:$D1108,$D1108,$B$4:$B1108,$B1108)&gt;1,0,IF($B1108&lt;'Guide &amp; Settings'!$C$50,0,IF(($B1108-$AD1108)/7-'Guide &amp; Settings'!$C$48&gt;=0,(INT(($B1108-$AD1108)/7-'Guide &amp; Settings'!$C$48)+1)*'Guide &amp; Settings'!$C$49,0)))))</f>
        <v/>
      </c>
      <c r="AD1108" s="142">
        <f t="shared" si="357"/>
        <v>0</v>
      </c>
      <c r="AE1108">
        <f t="shared" si="358"/>
        <v>0</v>
      </c>
      <c r="AF1108">
        <f t="shared" si="359"/>
        <v>0</v>
      </c>
    </row>
    <row r="1109" spans="1:32" x14ac:dyDescent="0.2">
      <c r="A1109" s="117"/>
      <c r="B1109" s="118"/>
      <c r="C1109" s="119"/>
      <c r="D1109" s="119"/>
      <c r="E1109" s="117"/>
      <c r="F1109" s="120">
        <f t="shared" si="340"/>
        <v>0</v>
      </c>
      <c r="G1109" s="121" t="str">
        <f t="shared" si="341"/>
        <v/>
      </c>
      <c r="H1109" s="122">
        <f>IF($D1109="",0,IFERROR(LOOKUP(2,1/(($D$3:D1108=$D1109)*($A$3:A1108&lt;$A1109)),$N$3:N1108),'Guide &amp; Settings'!$C$41))</f>
        <v>0</v>
      </c>
      <c r="I1109" s="123">
        <f t="shared" si="342"/>
        <v>0</v>
      </c>
      <c r="J1109" s="124">
        <f>IF($D1109="",0,IF($F1109&lt;2,0,IF($E1109="Win",('Guide &amp; Settings'!$C$42/(($F1109-1)*COUNTIFS($A$4:$A$1510,$A1109,$E$4:$E$1510,"Win")))*SUMIFS($X$4:$X$1510,$A$4:$A$1510,$A1109,$E$4:$E$1510,"Loss"),-('Guide &amp; Settings'!$C$42/($F1109-1))*$X1109)))</f>
        <v>0</v>
      </c>
      <c r="K1109" s="124">
        <f>IF($D1109="",0,'Guide &amp; Settings'!$C$43*(IF($E1109="Win",1,0)-$I1109))</f>
        <v>0</v>
      </c>
      <c r="L1109" s="125">
        <f>IF($D1109="",0,'Guide &amp; Settings'!$C$44*IF($F1109&gt;=3,$F1109,0))</f>
        <v>0</v>
      </c>
      <c r="M1109" s="124">
        <f t="shared" si="343"/>
        <v>0</v>
      </c>
      <c r="N1109" s="122">
        <f t="shared" si="344"/>
        <v>0</v>
      </c>
      <c r="O1109" s="121" t="str">
        <f t="shared" si="345"/>
        <v/>
      </c>
      <c r="P1109">
        <f t="shared" si="346"/>
        <v>0</v>
      </c>
      <c r="Q1109">
        <f t="shared" si="347"/>
        <v>0</v>
      </c>
      <c r="R1109">
        <f t="shared" si="348"/>
        <v>0</v>
      </c>
      <c r="S1109">
        <f t="shared" si="349"/>
        <v>0</v>
      </c>
      <c r="T1109" s="89">
        <f t="shared" si="350"/>
        <v>0</v>
      </c>
      <c r="U1109" s="126">
        <f>IF($D1109="",0,IFERROR(LOOKUP(2,1/(($D$3:D1108=$D1109)*($C$3:C1108=$C1109)*($A$3:A1108&lt;$A1109)),$AB$3:AB1108),1000))</f>
        <v>0</v>
      </c>
      <c r="V1109" s="126">
        <f t="shared" si="351"/>
        <v>0</v>
      </c>
      <c r="W1109">
        <f t="shared" si="352"/>
        <v>0</v>
      </c>
      <c r="X1109">
        <f t="shared" si="353"/>
        <v>0</v>
      </c>
      <c r="Y1109">
        <f t="shared" si="354"/>
        <v>0</v>
      </c>
      <c r="Z1109">
        <f t="shared" si="355"/>
        <v>0</v>
      </c>
      <c r="AA1109">
        <f>IF($D1109="",0,IF($F1109&lt;2,0,IF($E1109="Win",('Guide &amp; Settings'!$C$42/(($F1109-1)*COUNTIFS($A$4:$A$1510,$A1109,$E$4:$E$1510,"Win")))*SUMIFS($Z$4:$Z$1510,$A$4:$A$1510,$A1109,$E$4:$E$1510,"Loss"),-('Guide &amp; Settings'!$C$42/($F1109-1))*$Z1109)))</f>
        <v>0</v>
      </c>
      <c r="AB1109" s="126">
        <f t="shared" si="356"/>
        <v>0</v>
      </c>
      <c r="AC1109" t="str">
        <f>IF($D1109="","",IF($AD1109=0,0,IF(COUNTIFS($D$4:$D1109,$D1109,$B$4:$B1109,$B1109)&gt;1,0,IF($B1109&lt;'Guide &amp; Settings'!$C$50,0,IF(($B1109-$AD1109)/7-'Guide &amp; Settings'!$C$48&gt;=0,(INT(($B1109-$AD1109)/7-'Guide &amp; Settings'!$C$48)+1)*'Guide &amp; Settings'!$C$49,0)))))</f>
        <v/>
      </c>
      <c r="AD1109" s="142">
        <f t="shared" si="357"/>
        <v>0</v>
      </c>
      <c r="AE1109">
        <f t="shared" si="358"/>
        <v>0</v>
      </c>
      <c r="AF1109">
        <f t="shared" si="359"/>
        <v>0</v>
      </c>
    </row>
    <row r="1110" spans="1:32" x14ac:dyDescent="0.2">
      <c r="A1110" s="117"/>
      <c r="B1110" s="118"/>
      <c r="C1110" s="119"/>
      <c r="D1110" s="119"/>
      <c r="E1110" s="117"/>
      <c r="F1110" s="120">
        <f t="shared" si="340"/>
        <v>0</v>
      </c>
      <c r="G1110" s="121" t="str">
        <f t="shared" si="341"/>
        <v/>
      </c>
      <c r="H1110" s="122">
        <f>IF($D1110="",0,IFERROR(LOOKUP(2,1/(($D$3:D1109=$D1110)*($A$3:A1109&lt;$A1110)),$N$3:N1109),'Guide &amp; Settings'!$C$41))</f>
        <v>0</v>
      </c>
      <c r="I1110" s="123">
        <f t="shared" si="342"/>
        <v>0</v>
      </c>
      <c r="J1110" s="124">
        <f>IF($D1110="",0,IF($F1110&lt;2,0,IF($E1110="Win",('Guide &amp; Settings'!$C$42/(($F1110-1)*COUNTIFS($A$4:$A$1510,$A1110,$E$4:$E$1510,"Win")))*SUMIFS($X$4:$X$1510,$A$4:$A$1510,$A1110,$E$4:$E$1510,"Loss"),-('Guide &amp; Settings'!$C$42/($F1110-1))*$X1110)))</f>
        <v>0</v>
      </c>
      <c r="K1110" s="124">
        <f>IF($D1110="",0,'Guide &amp; Settings'!$C$43*(IF($E1110="Win",1,0)-$I1110))</f>
        <v>0</v>
      </c>
      <c r="L1110" s="125">
        <f>IF($D1110="",0,'Guide &amp; Settings'!$C$44*IF($F1110&gt;=3,$F1110,0))</f>
        <v>0</v>
      </c>
      <c r="M1110" s="124">
        <f t="shared" si="343"/>
        <v>0</v>
      </c>
      <c r="N1110" s="122">
        <f t="shared" si="344"/>
        <v>0</v>
      </c>
      <c r="O1110" s="121" t="str">
        <f t="shared" si="345"/>
        <v/>
      </c>
      <c r="P1110">
        <f t="shared" si="346"/>
        <v>0</v>
      </c>
      <c r="Q1110">
        <f t="shared" si="347"/>
        <v>0</v>
      </c>
      <c r="R1110">
        <f t="shared" si="348"/>
        <v>0</v>
      </c>
      <c r="S1110">
        <f t="shared" si="349"/>
        <v>0</v>
      </c>
      <c r="T1110" s="89">
        <f t="shared" si="350"/>
        <v>0</v>
      </c>
      <c r="U1110" s="126">
        <f>IF($D1110="",0,IFERROR(LOOKUP(2,1/(($D$3:D1109=$D1110)*($C$3:C1109=$C1110)*($A$3:A1109&lt;$A1110)),$AB$3:AB1109),1000))</f>
        <v>0</v>
      </c>
      <c r="V1110" s="126">
        <f t="shared" si="351"/>
        <v>0</v>
      </c>
      <c r="W1110">
        <f t="shared" si="352"/>
        <v>0</v>
      </c>
      <c r="X1110">
        <f t="shared" si="353"/>
        <v>0</v>
      </c>
      <c r="Y1110">
        <f t="shared" si="354"/>
        <v>0</v>
      </c>
      <c r="Z1110">
        <f t="shared" si="355"/>
        <v>0</v>
      </c>
      <c r="AA1110">
        <f>IF($D1110="",0,IF($F1110&lt;2,0,IF($E1110="Win",('Guide &amp; Settings'!$C$42/(($F1110-1)*COUNTIFS($A$4:$A$1510,$A1110,$E$4:$E$1510,"Win")))*SUMIFS($Z$4:$Z$1510,$A$4:$A$1510,$A1110,$E$4:$E$1510,"Loss"),-('Guide &amp; Settings'!$C$42/($F1110-1))*$Z1110)))</f>
        <v>0</v>
      </c>
      <c r="AB1110" s="126">
        <f t="shared" si="356"/>
        <v>0</v>
      </c>
      <c r="AC1110" t="str">
        <f>IF($D1110="","",IF($AD1110=0,0,IF(COUNTIFS($D$4:$D1110,$D1110,$B$4:$B1110,$B1110)&gt;1,0,IF($B1110&lt;'Guide &amp; Settings'!$C$50,0,IF(($B1110-$AD1110)/7-'Guide &amp; Settings'!$C$48&gt;=0,(INT(($B1110-$AD1110)/7-'Guide &amp; Settings'!$C$48)+1)*'Guide &amp; Settings'!$C$49,0)))))</f>
        <v/>
      </c>
      <c r="AD1110" s="142">
        <f t="shared" si="357"/>
        <v>0</v>
      </c>
      <c r="AE1110">
        <f t="shared" si="358"/>
        <v>0</v>
      </c>
      <c r="AF1110">
        <f t="shared" si="359"/>
        <v>0</v>
      </c>
    </row>
    <row r="1111" spans="1:32" x14ac:dyDescent="0.2">
      <c r="A1111" s="117"/>
      <c r="B1111" s="118"/>
      <c r="C1111" s="119"/>
      <c r="D1111" s="119"/>
      <c r="E1111" s="117"/>
      <c r="F1111" s="120">
        <f t="shared" si="340"/>
        <v>0</v>
      </c>
      <c r="G1111" s="121" t="str">
        <f t="shared" si="341"/>
        <v/>
      </c>
      <c r="H1111" s="122">
        <f>IF($D1111="",0,IFERROR(LOOKUP(2,1/(($D$3:D1110=$D1111)*($A$3:A1110&lt;$A1111)),$N$3:N1110),'Guide &amp; Settings'!$C$41))</f>
        <v>0</v>
      </c>
      <c r="I1111" s="123">
        <f t="shared" si="342"/>
        <v>0</v>
      </c>
      <c r="J1111" s="124">
        <f>IF($D1111="",0,IF($F1111&lt;2,0,IF($E1111="Win",('Guide &amp; Settings'!$C$42/(($F1111-1)*COUNTIFS($A$4:$A$1510,$A1111,$E$4:$E$1510,"Win")))*SUMIFS($X$4:$X$1510,$A$4:$A$1510,$A1111,$E$4:$E$1510,"Loss"),-('Guide &amp; Settings'!$C$42/($F1111-1))*$X1111)))</f>
        <v>0</v>
      </c>
      <c r="K1111" s="124">
        <f>IF($D1111="",0,'Guide &amp; Settings'!$C$43*(IF($E1111="Win",1,0)-$I1111))</f>
        <v>0</v>
      </c>
      <c r="L1111" s="125">
        <f>IF($D1111="",0,'Guide &amp; Settings'!$C$44*IF($F1111&gt;=3,$F1111,0))</f>
        <v>0</v>
      </c>
      <c r="M1111" s="124">
        <f t="shared" si="343"/>
        <v>0</v>
      </c>
      <c r="N1111" s="122">
        <f t="shared" si="344"/>
        <v>0</v>
      </c>
      <c r="O1111" s="121" t="str">
        <f t="shared" si="345"/>
        <v/>
      </c>
      <c r="P1111">
        <f t="shared" si="346"/>
        <v>0</v>
      </c>
      <c r="Q1111">
        <f t="shared" si="347"/>
        <v>0</v>
      </c>
      <c r="R1111">
        <f t="shared" si="348"/>
        <v>0</v>
      </c>
      <c r="S1111">
        <f t="shared" si="349"/>
        <v>0</v>
      </c>
      <c r="T1111" s="89">
        <f t="shared" si="350"/>
        <v>0</v>
      </c>
      <c r="U1111" s="126">
        <f>IF($D1111="",0,IFERROR(LOOKUP(2,1/(($D$3:D1110=$D1111)*($C$3:C1110=$C1111)*($A$3:A1110&lt;$A1111)),$AB$3:AB1110),1000))</f>
        <v>0</v>
      </c>
      <c r="V1111" s="126">
        <f t="shared" si="351"/>
        <v>0</v>
      </c>
      <c r="W1111">
        <f t="shared" si="352"/>
        <v>0</v>
      </c>
      <c r="X1111">
        <f t="shared" si="353"/>
        <v>0</v>
      </c>
      <c r="Y1111">
        <f t="shared" si="354"/>
        <v>0</v>
      </c>
      <c r="Z1111">
        <f t="shared" si="355"/>
        <v>0</v>
      </c>
      <c r="AA1111">
        <f>IF($D1111="",0,IF($F1111&lt;2,0,IF($E1111="Win",('Guide &amp; Settings'!$C$42/(($F1111-1)*COUNTIFS($A$4:$A$1510,$A1111,$E$4:$E$1510,"Win")))*SUMIFS($Z$4:$Z$1510,$A$4:$A$1510,$A1111,$E$4:$E$1510,"Loss"),-('Guide &amp; Settings'!$C$42/($F1111-1))*$Z1111)))</f>
        <v>0</v>
      </c>
      <c r="AB1111" s="126">
        <f t="shared" si="356"/>
        <v>0</v>
      </c>
      <c r="AC1111" t="str">
        <f>IF($D1111="","",IF($AD1111=0,0,IF(COUNTIFS($D$4:$D1111,$D1111,$B$4:$B1111,$B1111)&gt;1,0,IF($B1111&lt;'Guide &amp; Settings'!$C$50,0,IF(($B1111-$AD1111)/7-'Guide &amp; Settings'!$C$48&gt;=0,(INT(($B1111-$AD1111)/7-'Guide &amp; Settings'!$C$48)+1)*'Guide &amp; Settings'!$C$49,0)))))</f>
        <v/>
      </c>
      <c r="AD1111" s="142">
        <f t="shared" si="357"/>
        <v>0</v>
      </c>
      <c r="AE1111">
        <f t="shared" si="358"/>
        <v>0</v>
      </c>
      <c r="AF1111">
        <f t="shared" si="359"/>
        <v>0</v>
      </c>
    </row>
    <row r="1112" spans="1:32" x14ac:dyDescent="0.2">
      <c r="A1112" s="117"/>
      <c r="B1112" s="118"/>
      <c r="C1112" s="119"/>
      <c r="D1112" s="119"/>
      <c r="E1112" s="117"/>
      <c r="F1112" s="120">
        <f t="shared" si="340"/>
        <v>0</v>
      </c>
      <c r="G1112" s="121" t="str">
        <f t="shared" si="341"/>
        <v/>
      </c>
      <c r="H1112" s="122">
        <f>IF($D1112="",0,IFERROR(LOOKUP(2,1/(($D$3:D1111=$D1112)*($A$3:A1111&lt;$A1112)),$N$3:N1111),'Guide &amp; Settings'!$C$41))</f>
        <v>0</v>
      </c>
      <c r="I1112" s="123">
        <f t="shared" si="342"/>
        <v>0</v>
      </c>
      <c r="J1112" s="124">
        <f>IF($D1112="",0,IF($F1112&lt;2,0,IF($E1112="Win",('Guide &amp; Settings'!$C$42/(($F1112-1)*COUNTIFS($A$4:$A$1510,$A1112,$E$4:$E$1510,"Win")))*SUMIFS($X$4:$X$1510,$A$4:$A$1510,$A1112,$E$4:$E$1510,"Loss"),-('Guide &amp; Settings'!$C$42/($F1112-1))*$X1112)))</f>
        <v>0</v>
      </c>
      <c r="K1112" s="124">
        <f>IF($D1112="",0,'Guide &amp; Settings'!$C$43*(IF($E1112="Win",1,0)-$I1112))</f>
        <v>0</v>
      </c>
      <c r="L1112" s="125">
        <f>IF($D1112="",0,'Guide &amp; Settings'!$C$44*IF($F1112&gt;=3,$F1112,0))</f>
        <v>0</v>
      </c>
      <c r="M1112" s="124">
        <f t="shared" si="343"/>
        <v>0</v>
      </c>
      <c r="N1112" s="122">
        <f t="shared" si="344"/>
        <v>0</v>
      </c>
      <c r="O1112" s="121" t="str">
        <f t="shared" si="345"/>
        <v/>
      </c>
      <c r="P1112">
        <f t="shared" si="346"/>
        <v>0</v>
      </c>
      <c r="Q1112">
        <f t="shared" si="347"/>
        <v>0</v>
      </c>
      <c r="R1112">
        <f t="shared" si="348"/>
        <v>0</v>
      </c>
      <c r="S1112">
        <f t="shared" si="349"/>
        <v>0</v>
      </c>
      <c r="T1112" s="89">
        <f t="shared" si="350"/>
        <v>0</v>
      </c>
      <c r="U1112" s="126">
        <f>IF($D1112="",0,IFERROR(LOOKUP(2,1/(($D$3:D1111=$D1112)*($C$3:C1111=$C1112)*($A$3:A1111&lt;$A1112)),$AB$3:AB1111),1000))</f>
        <v>0</v>
      </c>
      <c r="V1112" s="126">
        <f t="shared" si="351"/>
        <v>0</v>
      </c>
      <c r="W1112">
        <f t="shared" si="352"/>
        <v>0</v>
      </c>
      <c r="X1112">
        <f t="shared" si="353"/>
        <v>0</v>
      </c>
      <c r="Y1112">
        <f t="shared" si="354"/>
        <v>0</v>
      </c>
      <c r="Z1112">
        <f t="shared" si="355"/>
        <v>0</v>
      </c>
      <c r="AA1112">
        <f>IF($D1112="",0,IF($F1112&lt;2,0,IF($E1112="Win",('Guide &amp; Settings'!$C$42/(($F1112-1)*COUNTIFS($A$4:$A$1510,$A1112,$E$4:$E$1510,"Win")))*SUMIFS($Z$4:$Z$1510,$A$4:$A$1510,$A1112,$E$4:$E$1510,"Loss"),-('Guide &amp; Settings'!$C$42/($F1112-1))*$Z1112)))</f>
        <v>0</v>
      </c>
      <c r="AB1112" s="126">
        <f t="shared" si="356"/>
        <v>0</v>
      </c>
      <c r="AC1112" t="str">
        <f>IF($D1112="","",IF($AD1112=0,0,IF(COUNTIFS($D$4:$D1112,$D1112,$B$4:$B1112,$B1112)&gt;1,0,IF($B1112&lt;'Guide &amp; Settings'!$C$50,0,IF(($B1112-$AD1112)/7-'Guide &amp; Settings'!$C$48&gt;=0,(INT(($B1112-$AD1112)/7-'Guide &amp; Settings'!$C$48)+1)*'Guide &amp; Settings'!$C$49,0)))))</f>
        <v/>
      </c>
      <c r="AD1112" s="142">
        <f t="shared" si="357"/>
        <v>0</v>
      </c>
      <c r="AE1112">
        <f t="shared" si="358"/>
        <v>0</v>
      </c>
      <c r="AF1112">
        <f t="shared" si="359"/>
        <v>0</v>
      </c>
    </row>
    <row r="1113" spans="1:32" x14ac:dyDescent="0.2">
      <c r="A1113" s="117"/>
      <c r="B1113" s="118"/>
      <c r="C1113" s="119"/>
      <c r="D1113" s="119"/>
      <c r="E1113" s="117"/>
      <c r="F1113" s="120">
        <f t="shared" si="340"/>
        <v>0</v>
      </c>
      <c r="G1113" s="121" t="str">
        <f t="shared" si="341"/>
        <v/>
      </c>
      <c r="H1113" s="122">
        <f>IF($D1113="",0,IFERROR(LOOKUP(2,1/(($D$3:D1112=$D1113)*($A$3:A1112&lt;$A1113)),$N$3:N1112),'Guide &amp; Settings'!$C$41))</f>
        <v>0</v>
      </c>
      <c r="I1113" s="123">
        <f t="shared" si="342"/>
        <v>0</v>
      </c>
      <c r="J1113" s="124">
        <f>IF($D1113="",0,IF($F1113&lt;2,0,IF($E1113="Win",('Guide &amp; Settings'!$C$42/(($F1113-1)*COUNTIFS($A$4:$A$1510,$A1113,$E$4:$E$1510,"Win")))*SUMIFS($X$4:$X$1510,$A$4:$A$1510,$A1113,$E$4:$E$1510,"Loss"),-('Guide &amp; Settings'!$C$42/($F1113-1))*$X1113)))</f>
        <v>0</v>
      </c>
      <c r="K1113" s="124">
        <f>IF($D1113="",0,'Guide &amp; Settings'!$C$43*(IF($E1113="Win",1,0)-$I1113))</f>
        <v>0</v>
      </c>
      <c r="L1113" s="125">
        <f>IF($D1113="",0,'Guide &amp; Settings'!$C$44*IF($F1113&gt;=3,$F1113,0))</f>
        <v>0</v>
      </c>
      <c r="M1113" s="124">
        <f t="shared" si="343"/>
        <v>0</v>
      </c>
      <c r="N1113" s="122">
        <f t="shared" si="344"/>
        <v>0</v>
      </c>
      <c r="O1113" s="121" t="str">
        <f t="shared" si="345"/>
        <v/>
      </c>
      <c r="P1113">
        <f t="shared" si="346"/>
        <v>0</v>
      </c>
      <c r="Q1113">
        <f t="shared" si="347"/>
        <v>0</v>
      </c>
      <c r="R1113">
        <f t="shared" si="348"/>
        <v>0</v>
      </c>
      <c r="S1113">
        <f t="shared" si="349"/>
        <v>0</v>
      </c>
      <c r="T1113" s="89">
        <f t="shared" si="350"/>
        <v>0</v>
      </c>
      <c r="U1113" s="126">
        <f>IF($D1113="",0,IFERROR(LOOKUP(2,1/(($D$3:D1112=$D1113)*($C$3:C1112=$C1113)*($A$3:A1112&lt;$A1113)),$AB$3:AB1112),1000))</f>
        <v>0</v>
      </c>
      <c r="V1113" s="126">
        <f t="shared" si="351"/>
        <v>0</v>
      </c>
      <c r="W1113">
        <f t="shared" si="352"/>
        <v>0</v>
      </c>
      <c r="X1113">
        <f t="shared" si="353"/>
        <v>0</v>
      </c>
      <c r="Y1113">
        <f t="shared" si="354"/>
        <v>0</v>
      </c>
      <c r="Z1113">
        <f t="shared" si="355"/>
        <v>0</v>
      </c>
      <c r="AA1113">
        <f>IF($D1113="",0,IF($F1113&lt;2,0,IF($E1113="Win",('Guide &amp; Settings'!$C$42/(($F1113-1)*COUNTIFS($A$4:$A$1510,$A1113,$E$4:$E$1510,"Win")))*SUMIFS($Z$4:$Z$1510,$A$4:$A$1510,$A1113,$E$4:$E$1510,"Loss"),-('Guide &amp; Settings'!$C$42/($F1113-1))*$Z1113)))</f>
        <v>0</v>
      </c>
      <c r="AB1113" s="126">
        <f t="shared" si="356"/>
        <v>0</v>
      </c>
      <c r="AC1113" t="str">
        <f>IF($D1113="","",IF($AD1113=0,0,IF(COUNTIFS($D$4:$D1113,$D1113,$B$4:$B1113,$B1113)&gt;1,0,IF($B1113&lt;'Guide &amp; Settings'!$C$50,0,IF(($B1113-$AD1113)/7-'Guide &amp; Settings'!$C$48&gt;=0,(INT(($B1113-$AD1113)/7-'Guide &amp; Settings'!$C$48)+1)*'Guide &amp; Settings'!$C$49,0)))))</f>
        <v/>
      </c>
      <c r="AD1113" s="142">
        <f t="shared" si="357"/>
        <v>0</v>
      </c>
      <c r="AE1113">
        <f t="shared" si="358"/>
        <v>0</v>
      </c>
      <c r="AF1113">
        <f t="shared" si="359"/>
        <v>0</v>
      </c>
    </row>
    <row r="1114" spans="1:32" x14ac:dyDescent="0.2">
      <c r="A1114" s="117"/>
      <c r="B1114" s="118"/>
      <c r="C1114" s="119"/>
      <c r="D1114" s="119"/>
      <c r="E1114" s="117"/>
      <c r="F1114" s="120">
        <f t="shared" si="340"/>
        <v>0</v>
      </c>
      <c r="G1114" s="121" t="str">
        <f t="shared" si="341"/>
        <v/>
      </c>
      <c r="H1114" s="122">
        <f>IF($D1114="",0,IFERROR(LOOKUP(2,1/(($D$3:D1113=$D1114)*($A$3:A1113&lt;$A1114)),$N$3:N1113),'Guide &amp; Settings'!$C$41))</f>
        <v>0</v>
      </c>
      <c r="I1114" s="123">
        <f t="shared" si="342"/>
        <v>0</v>
      </c>
      <c r="J1114" s="124">
        <f>IF($D1114="",0,IF($F1114&lt;2,0,IF($E1114="Win",('Guide &amp; Settings'!$C$42/(($F1114-1)*COUNTIFS($A$4:$A$1510,$A1114,$E$4:$E$1510,"Win")))*SUMIFS($X$4:$X$1510,$A$4:$A$1510,$A1114,$E$4:$E$1510,"Loss"),-('Guide &amp; Settings'!$C$42/($F1114-1))*$X1114)))</f>
        <v>0</v>
      </c>
      <c r="K1114" s="124">
        <f>IF($D1114="",0,'Guide &amp; Settings'!$C$43*(IF($E1114="Win",1,0)-$I1114))</f>
        <v>0</v>
      </c>
      <c r="L1114" s="125">
        <f>IF($D1114="",0,'Guide &amp; Settings'!$C$44*IF($F1114&gt;=3,$F1114,0))</f>
        <v>0</v>
      </c>
      <c r="M1114" s="124">
        <f t="shared" si="343"/>
        <v>0</v>
      </c>
      <c r="N1114" s="122">
        <f t="shared" si="344"/>
        <v>0</v>
      </c>
      <c r="O1114" s="121" t="str">
        <f t="shared" si="345"/>
        <v/>
      </c>
      <c r="P1114">
        <f t="shared" si="346"/>
        <v>0</v>
      </c>
      <c r="Q1114">
        <f t="shared" si="347"/>
        <v>0</v>
      </c>
      <c r="R1114">
        <f t="shared" si="348"/>
        <v>0</v>
      </c>
      <c r="S1114">
        <f t="shared" si="349"/>
        <v>0</v>
      </c>
      <c r="T1114" s="89">
        <f t="shared" si="350"/>
        <v>0</v>
      </c>
      <c r="U1114" s="126">
        <f>IF($D1114="",0,IFERROR(LOOKUP(2,1/(($D$3:D1113=$D1114)*($C$3:C1113=$C1114)*($A$3:A1113&lt;$A1114)),$AB$3:AB1113),1000))</f>
        <v>0</v>
      </c>
      <c r="V1114" s="126">
        <f t="shared" si="351"/>
        <v>0</v>
      </c>
      <c r="W1114">
        <f t="shared" si="352"/>
        <v>0</v>
      </c>
      <c r="X1114">
        <f t="shared" si="353"/>
        <v>0</v>
      </c>
      <c r="Y1114">
        <f t="shared" si="354"/>
        <v>0</v>
      </c>
      <c r="Z1114">
        <f t="shared" si="355"/>
        <v>0</v>
      </c>
      <c r="AA1114">
        <f>IF($D1114="",0,IF($F1114&lt;2,0,IF($E1114="Win",('Guide &amp; Settings'!$C$42/(($F1114-1)*COUNTIFS($A$4:$A$1510,$A1114,$E$4:$E$1510,"Win")))*SUMIFS($Z$4:$Z$1510,$A$4:$A$1510,$A1114,$E$4:$E$1510,"Loss"),-('Guide &amp; Settings'!$C$42/($F1114-1))*$Z1114)))</f>
        <v>0</v>
      </c>
      <c r="AB1114" s="126">
        <f t="shared" si="356"/>
        <v>0</v>
      </c>
      <c r="AC1114" t="str">
        <f>IF($D1114="","",IF($AD1114=0,0,IF(COUNTIFS($D$4:$D1114,$D1114,$B$4:$B1114,$B1114)&gt;1,0,IF($B1114&lt;'Guide &amp; Settings'!$C$50,0,IF(($B1114-$AD1114)/7-'Guide &amp; Settings'!$C$48&gt;=0,(INT(($B1114-$AD1114)/7-'Guide &amp; Settings'!$C$48)+1)*'Guide &amp; Settings'!$C$49,0)))))</f>
        <v/>
      </c>
      <c r="AD1114" s="142">
        <f t="shared" si="357"/>
        <v>0</v>
      </c>
      <c r="AE1114">
        <f t="shared" si="358"/>
        <v>0</v>
      </c>
      <c r="AF1114">
        <f t="shared" si="359"/>
        <v>0</v>
      </c>
    </row>
    <row r="1115" spans="1:32" x14ac:dyDescent="0.2">
      <c r="A1115" s="117"/>
      <c r="B1115" s="118"/>
      <c r="C1115" s="119"/>
      <c r="D1115" s="119"/>
      <c r="E1115" s="117"/>
      <c r="F1115" s="120">
        <f t="shared" si="340"/>
        <v>0</v>
      </c>
      <c r="G1115" s="121" t="str">
        <f t="shared" si="341"/>
        <v/>
      </c>
      <c r="H1115" s="122">
        <f>IF($D1115="",0,IFERROR(LOOKUP(2,1/(($D$3:D1114=$D1115)*($A$3:A1114&lt;$A1115)),$N$3:N1114),'Guide &amp; Settings'!$C$41))</f>
        <v>0</v>
      </c>
      <c r="I1115" s="123">
        <f t="shared" si="342"/>
        <v>0</v>
      </c>
      <c r="J1115" s="124">
        <f>IF($D1115="",0,IF($F1115&lt;2,0,IF($E1115="Win",('Guide &amp; Settings'!$C$42/(($F1115-1)*COUNTIFS($A$4:$A$1510,$A1115,$E$4:$E$1510,"Win")))*SUMIFS($X$4:$X$1510,$A$4:$A$1510,$A1115,$E$4:$E$1510,"Loss"),-('Guide &amp; Settings'!$C$42/($F1115-1))*$X1115)))</f>
        <v>0</v>
      </c>
      <c r="K1115" s="124">
        <f>IF($D1115="",0,'Guide &amp; Settings'!$C$43*(IF($E1115="Win",1,0)-$I1115))</f>
        <v>0</v>
      </c>
      <c r="L1115" s="125">
        <f>IF($D1115="",0,'Guide &amp; Settings'!$C$44*IF($F1115&gt;=3,$F1115,0))</f>
        <v>0</v>
      </c>
      <c r="M1115" s="124">
        <f t="shared" si="343"/>
        <v>0</v>
      </c>
      <c r="N1115" s="122">
        <f t="shared" si="344"/>
        <v>0</v>
      </c>
      <c r="O1115" s="121" t="str">
        <f t="shared" si="345"/>
        <v/>
      </c>
      <c r="P1115">
        <f t="shared" si="346"/>
        <v>0</v>
      </c>
      <c r="Q1115">
        <f t="shared" si="347"/>
        <v>0</v>
      </c>
      <c r="R1115">
        <f t="shared" si="348"/>
        <v>0</v>
      </c>
      <c r="S1115">
        <f t="shared" si="349"/>
        <v>0</v>
      </c>
      <c r="T1115" s="89">
        <f t="shared" si="350"/>
        <v>0</v>
      </c>
      <c r="U1115" s="126">
        <f>IF($D1115="",0,IFERROR(LOOKUP(2,1/(($D$3:D1114=$D1115)*($C$3:C1114=$C1115)*($A$3:A1114&lt;$A1115)),$AB$3:AB1114),1000))</f>
        <v>0</v>
      </c>
      <c r="V1115" s="126">
        <f t="shared" si="351"/>
        <v>0</v>
      </c>
      <c r="W1115">
        <f t="shared" si="352"/>
        <v>0</v>
      </c>
      <c r="X1115">
        <f t="shared" si="353"/>
        <v>0</v>
      </c>
      <c r="Y1115">
        <f t="shared" si="354"/>
        <v>0</v>
      </c>
      <c r="Z1115">
        <f t="shared" si="355"/>
        <v>0</v>
      </c>
      <c r="AA1115">
        <f>IF($D1115="",0,IF($F1115&lt;2,0,IF($E1115="Win",('Guide &amp; Settings'!$C$42/(($F1115-1)*COUNTIFS($A$4:$A$1510,$A1115,$E$4:$E$1510,"Win")))*SUMIFS($Z$4:$Z$1510,$A$4:$A$1510,$A1115,$E$4:$E$1510,"Loss"),-('Guide &amp; Settings'!$C$42/($F1115-1))*$Z1115)))</f>
        <v>0</v>
      </c>
      <c r="AB1115" s="126">
        <f t="shared" si="356"/>
        <v>0</v>
      </c>
      <c r="AC1115" t="str">
        <f>IF($D1115="","",IF($AD1115=0,0,IF(COUNTIFS($D$4:$D1115,$D1115,$B$4:$B1115,$B1115)&gt;1,0,IF($B1115&lt;'Guide &amp; Settings'!$C$50,0,IF(($B1115-$AD1115)/7-'Guide &amp; Settings'!$C$48&gt;=0,(INT(($B1115-$AD1115)/7-'Guide &amp; Settings'!$C$48)+1)*'Guide &amp; Settings'!$C$49,0)))))</f>
        <v/>
      </c>
      <c r="AD1115" s="142">
        <f t="shared" si="357"/>
        <v>0</v>
      </c>
      <c r="AE1115">
        <f t="shared" si="358"/>
        <v>0</v>
      </c>
      <c r="AF1115">
        <f t="shared" si="359"/>
        <v>0</v>
      </c>
    </row>
    <row r="1116" spans="1:32" x14ac:dyDescent="0.2">
      <c r="A1116" s="117"/>
      <c r="B1116" s="118"/>
      <c r="C1116" s="119"/>
      <c r="D1116" s="119"/>
      <c r="E1116" s="117"/>
      <c r="F1116" s="120">
        <f t="shared" si="340"/>
        <v>0</v>
      </c>
      <c r="G1116" s="121" t="str">
        <f t="shared" si="341"/>
        <v/>
      </c>
      <c r="H1116" s="122">
        <f>IF($D1116="",0,IFERROR(LOOKUP(2,1/(($D$3:D1115=$D1116)*($A$3:A1115&lt;$A1116)),$N$3:N1115),'Guide &amp; Settings'!$C$41))</f>
        <v>0</v>
      </c>
      <c r="I1116" s="123">
        <f t="shared" si="342"/>
        <v>0</v>
      </c>
      <c r="J1116" s="124">
        <f>IF($D1116="",0,IF($F1116&lt;2,0,IF($E1116="Win",('Guide &amp; Settings'!$C$42/(($F1116-1)*COUNTIFS($A$4:$A$1510,$A1116,$E$4:$E$1510,"Win")))*SUMIFS($X$4:$X$1510,$A$4:$A$1510,$A1116,$E$4:$E$1510,"Loss"),-('Guide &amp; Settings'!$C$42/($F1116-1))*$X1116)))</f>
        <v>0</v>
      </c>
      <c r="K1116" s="124">
        <f>IF($D1116="",0,'Guide &amp; Settings'!$C$43*(IF($E1116="Win",1,0)-$I1116))</f>
        <v>0</v>
      </c>
      <c r="L1116" s="125">
        <f>IF($D1116="",0,'Guide &amp; Settings'!$C$44*IF($F1116&gt;=3,$F1116,0))</f>
        <v>0</v>
      </c>
      <c r="M1116" s="124">
        <f t="shared" si="343"/>
        <v>0</v>
      </c>
      <c r="N1116" s="122">
        <f t="shared" si="344"/>
        <v>0</v>
      </c>
      <c r="O1116" s="121" t="str">
        <f t="shared" si="345"/>
        <v/>
      </c>
      <c r="P1116">
        <f t="shared" si="346"/>
        <v>0</v>
      </c>
      <c r="Q1116">
        <f t="shared" si="347"/>
        <v>0</v>
      </c>
      <c r="R1116">
        <f t="shared" si="348"/>
        <v>0</v>
      </c>
      <c r="S1116">
        <f t="shared" si="349"/>
        <v>0</v>
      </c>
      <c r="T1116" s="89">
        <f t="shared" si="350"/>
        <v>0</v>
      </c>
      <c r="U1116" s="126">
        <f>IF($D1116="",0,IFERROR(LOOKUP(2,1/(($D$3:D1115=$D1116)*($C$3:C1115=$C1116)*($A$3:A1115&lt;$A1116)),$AB$3:AB1115),1000))</f>
        <v>0</v>
      </c>
      <c r="V1116" s="126">
        <f t="shared" si="351"/>
        <v>0</v>
      </c>
      <c r="W1116">
        <f t="shared" si="352"/>
        <v>0</v>
      </c>
      <c r="X1116">
        <f t="shared" si="353"/>
        <v>0</v>
      </c>
      <c r="Y1116">
        <f t="shared" si="354"/>
        <v>0</v>
      </c>
      <c r="Z1116">
        <f t="shared" si="355"/>
        <v>0</v>
      </c>
      <c r="AA1116">
        <f>IF($D1116="",0,IF($F1116&lt;2,0,IF($E1116="Win",('Guide &amp; Settings'!$C$42/(($F1116-1)*COUNTIFS($A$4:$A$1510,$A1116,$E$4:$E$1510,"Win")))*SUMIFS($Z$4:$Z$1510,$A$4:$A$1510,$A1116,$E$4:$E$1510,"Loss"),-('Guide &amp; Settings'!$C$42/($F1116-1))*$Z1116)))</f>
        <v>0</v>
      </c>
      <c r="AB1116" s="126">
        <f t="shared" si="356"/>
        <v>0</v>
      </c>
      <c r="AC1116" t="str">
        <f>IF($D1116="","",IF($AD1116=0,0,IF(COUNTIFS($D$4:$D1116,$D1116,$B$4:$B1116,$B1116)&gt;1,0,IF($B1116&lt;'Guide &amp; Settings'!$C$50,0,IF(($B1116-$AD1116)/7-'Guide &amp; Settings'!$C$48&gt;=0,(INT(($B1116-$AD1116)/7-'Guide &amp; Settings'!$C$48)+1)*'Guide &amp; Settings'!$C$49,0)))))</f>
        <v/>
      </c>
      <c r="AD1116" s="142">
        <f t="shared" si="357"/>
        <v>0</v>
      </c>
      <c r="AE1116">
        <f t="shared" si="358"/>
        <v>0</v>
      </c>
      <c r="AF1116">
        <f t="shared" si="359"/>
        <v>0</v>
      </c>
    </row>
    <row r="1117" spans="1:32" x14ac:dyDescent="0.2">
      <c r="A1117" s="117"/>
      <c r="B1117" s="118"/>
      <c r="C1117" s="119"/>
      <c r="D1117" s="119"/>
      <c r="E1117" s="117"/>
      <c r="F1117" s="120">
        <f t="shared" si="340"/>
        <v>0</v>
      </c>
      <c r="G1117" s="121" t="str">
        <f t="shared" si="341"/>
        <v/>
      </c>
      <c r="H1117" s="122">
        <f>IF($D1117="",0,IFERROR(LOOKUP(2,1/(($D$3:D1116=$D1117)*($A$3:A1116&lt;$A1117)),$N$3:N1116),'Guide &amp; Settings'!$C$41))</f>
        <v>0</v>
      </c>
      <c r="I1117" s="123">
        <f t="shared" si="342"/>
        <v>0</v>
      </c>
      <c r="J1117" s="124">
        <f>IF($D1117="",0,IF($F1117&lt;2,0,IF($E1117="Win",('Guide &amp; Settings'!$C$42/(($F1117-1)*COUNTIFS($A$4:$A$1510,$A1117,$E$4:$E$1510,"Win")))*SUMIFS($X$4:$X$1510,$A$4:$A$1510,$A1117,$E$4:$E$1510,"Loss"),-('Guide &amp; Settings'!$C$42/($F1117-1))*$X1117)))</f>
        <v>0</v>
      </c>
      <c r="K1117" s="124">
        <f>IF($D1117="",0,'Guide &amp; Settings'!$C$43*(IF($E1117="Win",1,0)-$I1117))</f>
        <v>0</v>
      </c>
      <c r="L1117" s="125">
        <f>IF($D1117="",0,'Guide &amp; Settings'!$C$44*IF($F1117&gt;=3,$F1117,0))</f>
        <v>0</v>
      </c>
      <c r="M1117" s="124">
        <f t="shared" si="343"/>
        <v>0</v>
      </c>
      <c r="N1117" s="122">
        <f t="shared" si="344"/>
        <v>0</v>
      </c>
      <c r="O1117" s="121" t="str">
        <f t="shared" si="345"/>
        <v/>
      </c>
      <c r="P1117">
        <f t="shared" si="346"/>
        <v>0</v>
      </c>
      <c r="Q1117">
        <f t="shared" si="347"/>
        <v>0</v>
      </c>
      <c r="R1117">
        <f t="shared" si="348"/>
        <v>0</v>
      </c>
      <c r="S1117">
        <f t="shared" si="349"/>
        <v>0</v>
      </c>
      <c r="T1117" s="89">
        <f t="shared" si="350"/>
        <v>0</v>
      </c>
      <c r="U1117" s="126">
        <f>IF($D1117="",0,IFERROR(LOOKUP(2,1/(($D$3:D1116=$D1117)*($C$3:C1116=$C1117)*($A$3:A1116&lt;$A1117)),$AB$3:AB1116),1000))</f>
        <v>0</v>
      </c>
      <c r="V1117" s="126">
        <f t="shared" si="351"/>
        <v>0</v>
      </c>
      <c r="W1117">
        <f t="shared" si="352"/>
        <v>0</v>
      </c>
      <c r="X1117">
        <f t="shared" si="353"/>
        <v>0</v>
      </c>
      <c r="Y1117">
        <f t="shared" si="354"/>
        <v>0</v>
      </c>
      <c r="Z1117">
        <f t="shared" si="355"/>
        <v>0</v>
      </c>
      <c r="AA1117">
        <f>IF($D1117="",0,IF($F1117&lt;2,0,IF($E1117="Win",('Guide &amp; Settings'!$C$42/(($F1117-1)*COUNTIFS($A$4:$A$1510,$A1117,$E$4:$E$1510,"Win")))*SUMIFS($Z$4:$Z$1510,$A$4:$A$1510,$A1117,$E$4:$E$1510,"Loss"),-('Guide &amp; Settings'!$C$42/($F1117-1))*$Z1117)))</f>
        <v>0</v>
      </c>
      <c r="AB1117" s="126">
        <f t="shared" si="356"/>
        <v>0</v>
      </c>
      <c r="AC1117" t="str">
        <f>IF($D1117="","",IF($AD1117=0,0,IF(COUNTIFS($D$4:$D1117,$D1117,$B$4:$B1117,$B1117)&gt;1,0,IF($B1117&lt;'Guide &amp; Settings'!$C$50,0,IF(($B1117-$AD1117)/7-'Guide &amp; Settings'!$C$48&gt;=0,(INT(($B1117-$AD1117)/7-'Guide &amp; Settings'!$C$48)+1)*'Guide &amp; Settings'!$C$49,0)))))</f>
        <v/>
      </c>
      <c r="AD1117" s="142">
        <f t="shared" si="357"/>
        <v>0</v>
      </c>
      <c r="AE1117">
        <f t="shared" si="358"/>
        <v>0</v>
      </c>
      <c r="AF1117">
        <f t="shared" si="359"/>
        <v>0</v>
      </c>
    </row>
    <row r="1118" spans="1:32" x14ac:dyDescent="0.2">
      <c r="A1118" s="117"/>
      <c r="B1118" s="118"/>
      <c r="C1118" s="119"/>
      <c r="D1118" s="119"/>
      <c r="E1118" s="117"/>
      <c r="F1118" s="120">
        <f t="shared" si="340"/>
        <v>0</v>
      </c>
      <c r="G1118" s="121" t="str">
        <f t="shared" si="341"/>
        <v/>
      </c>
      <c r="H1118" s="122">
        <f>IF($D1118="",0,IFERROR(LOOKUP(2,1/(($D$3:D1117=$D1118)*($A$3:A1117&lt;$A1118)),$N$3:N1117),'Guide &amp; Settings'!$C$41))</f>
        <v>0</v>
      </c>
      <c r="I1118" s="123">
        <f t="shared" si="342"/>
        <v>0</v>
      </c>
      <c r="J1118" s="124">
        <f>IF($D1118="",0,IF($F1118&lt;2,0,IF($E1118="Win",('Guide &amp; Settings'!$C$42/(($F1118-1)*COUNTIFS($A$4:$A$1510,$A1118,$E$4:$E$1510,"Win")))*SUMIFS($X$4:$X$1510,$A$4:$A$1510,$A1118,$E$4:$E$1510,"Loss"),-('Guide &amp; Settings'!$C$42/($F1118-1))*$X1118)))</f>
        <v>0</v>
      </c>
      <c r="K1118" s="124">
        <f>IF($D1118="",0,'Guide &amp; Settings'!$C$43*(IF($E1118="Win",1,0)-$I1118))</f>
        <v>0</v>
      </c>
      <c r="L1118" s="125">
        <f>IF($D1118="",0,'Guide &amp; Settings'!$C$44*IF($F1118&gt;=3,$F1118,0))</f>
        <v>0</v>
      </c>
      <c r="M1118" s="124">
        <f t="shared" si="343"/>
        <v>0</v>
      </c>
      <c r="N1118" s="122">
        <f t="shared" si="344"/>
        <v>0</v>
      </c>
      <c r="O1118" s="121" t="str">
        <f t="shared" si="345"/>
        <v/>
      </c>
      <c r="P1118">
        <f t="shared" si="346"/>
        <v>0</v>
      </c>
      <c r="Q1118">
        <f t="shared" si="347"/>
        <v>0</v>
      </c>
      <c r="R1118">
        <f t="shared" si="348"/>
        <v>0</v>
      </c>
      <c r="S1118">
        <f t="shared" si="349"/>
        <v>0</v>
      </c>
      <c r="T1118" s="89">
        <f t="shared" si="350"/>
        <v>0</v>
      </c>
      <c r="U1118" s="126">
        <f>IF($D1118="",0,IFERROR(LOOKUP(2,1/(($D$3:D1117=$D1118)*($C$3:C1117=$C1118)*($A$3:A1117&lt;$A1118)),$AB$3:AB1117),1000))</f>
        <v>0</v>
      </c>
      <c r="V1118" s="126">
        <f t="shared" si="351"/>
        <v>0</v>
      </c>
      <c r="W1118">
        <f t="shared" si="352"/>
        <v>0</v>
      </c>
      <c r="X1118">
        <f t="shared" si="353"/>
        <v>0</v>
      </c>
      <c r="Y1118">
        <f t="shared" si="354"/>
        <v>0</v>
      </c>
      <c r="Z1118">
        <f t="shared" si="355"/>
        <v>0</v>
      </c>
      <c r="AA1118">
        <f>IF($D1118="",0,IF($F1118&lt;2,0,IF($E1118="Win",('Guide &amp; Settings'!$C$42/(($F1118-1)*COUNTIFS($A$4:$A$1510,$A1118,$E$4:$E$1510,"Win")))*SUMIFS($Z$4:$Z$1510,$A$4:$A$1510,$A1118,$E$4:$E$1510,"Loss"),-('Guide &amp; Settings'!$C$42/($F1118-1))*$Z1118)))</f>
        <v>0</v>
      </c>
      <c r="AB1118" s="126">
        <f t="shared" si="356"/>
        <v>0</v>
      </c>
      <c r="AC1118" t="str">
        <f>IF($D1118="","",IF($AD1118=0,0,IF(COUNTIFS($D$4:$D1118,$D1118,$B$4:$B1118,$B1118)&gt;1,0,IF($B1118&lt;'Guide &amp; Settings'!$C$50,0,IF(($B1118-$AD1118)/7-'Guide &amp; Settings'!$C$48&gt;=0,(INT(($B1118-$AD1118)/7-'Guide &amp; Settings'!$C$48)+1)*'Guide &amp; Settings'!$C$49,0)))))</f>
        <v/>
      </c>
      <c r="AD1118" s="142">
        <f t="shared" si="357"/>
        <v>0</v>
      </c>
      <c r="AE1118">
        <f t="shared" si="358"/>
        <v>0</v>
      </c>
      <c r="AF1118">
        <f t="shared" si="359"/>
        <v>0</v>
      </c>
    </row>
    <row r="1119" spans="1:32" x14ac:dyDescent="0.2">
      <c r="A1119" s="117"/>
      <c r="B1119" s="118"/>
      <c r="C1119" s="119"/>
      <c r="D1119" s="119"/>
      <c r="E1119" s="117"/>
      <c r="F1119" s="120">
        <f t="shared" si="340"/>
        <v>0</v>
      </c>
      <c r="G1119" s="121" t="str">
        <f t="shared" si="341"/>
        <v/>
      </c>
      <c r="H1119" s="122">
        <f>IF($D1119="",0,IFERROR(LOOKUP(2,1/(($D$3:D1118=$D1119)*($A$3:A1118&lt;$A1119)),$N$3:N1118),'Guide &amp; Settings'!$C$41))</f>
        <v>0</v>
      </c>
      <c r="I1119" s="123">
        <f t="shared" si="342"/>
        <v>0</v>
      </c>
      <c r="J1119" s="124">
        <f>IF($D1119="",0,IF($F1119&lt;2,0,IF($E1119="Win",('Guide &amp; Settings'!$C$42/(($F1119-1)*COUNTIFS($A$4:$A$1510,$A1119,$E$4:$E$1510,"Win")))*SUMIFS($X$4:$X$1510,$A$4:$A$1510,$A1119,$E$4:$E$1510,"Loss"),-('Guide &amp; Settings'!$C$42/($F1119-1))*$X1119)))</f>
        <v>0</v>
      </c>
      <c r="K1119" s="124">
        <f>IF($D1119="",0,'Guide &amp; Settings'!$C$43*(IF($E1119="Win",1,0)-$I1119))</f>
        <v>0</v>
      </c>
      <c r="L1119" s="125">
        <f>IF($D1119="",0,'Guide &amp; Settings'!$C$44*IF($F1119&gt;=3,$F1119,0))</f>
        <v>0</v>
      </c>
      <c r="M1119" s="124">
        <f t="shared" si="343"/>
        <v>0</v>
      </c>
      <c r="N1119" s="122">
        <f t="shared" si="344"/>
        <v>0</v>
      </c>
      <c r="O1119" s="121" t="str">
        <f t="shared" si="345"/>
        <v/>
      </c>
      <c r="P1119">
        <f t="shared" si="346"/>
        <v>0</v>
      </c>
      <c r="Q1119">
        <f t="shared" si="347"/>
        <v>0</v>
      </c>
      <c r="R1119">
        <f t="shared" si="348"/>
        <v>0</v>
      </c>
      <c r="S1119">
        <f t="shared" si="349"/>
        <v>0</v>
      </c>
      <c r="T1119" s="89">
        <f t="shared" si="350"/>
        <v>0</v>
      </c>
      <c r="U1119" s="126">
        <f>IF($D1119="",0,IFERROR(LOOKUP(2,1/(($D$3:D1118=$D1119)*($C$3:C1118=$C1119)*($A$3:A1118&lt;$A1119)),$AB$3:AB1118),1000))</f>
        <v>0</v>
      </c>
      <c r="V1119" s="126">
        <f t="shared" si="351"/>
        <v>0</v>
      </c>
      <c r="W1119">
        <f t="shared" si="352"/>
        <v>0</v>
      </c>
      <c r="X1119">
        <f t="shared" si="353"/>
        <v>0</v>
      </c>
      <c r="Y1119">
        <f t="shared" si="354"/>
        <v>0</v>
      </c>
      <c r="Z1119">
        <f t="shared" si="355"/>
        <v>0</v>
      </c>
      <c r="AA1119">
        <f>IF($D1119="",0,IF($F1119&lt;2,0,IF($E1119="Win",('Guide &amp; Settings'!$C$42/(($F1119-1)*COUNTIFS($A$4:$A$1510,$A1119,$E$4:$E$1510,"Win")))*SUMIFS($Z$4:$Z$1510,$A$4:$A$1510,$A1119,$E$4:$E$1510,"Loss"),-('Guide &amp; Settings'!$C$42/($F1119-1))*$Z1119)))</f>
        <v>0</v>
      </c>
      <c r="AB1119" s="126">
        <f t="shared" si="356"/>
        <v>0</v>
      </c>
      <c r="AC1119" t="str">
        <f>IF($D1119="","",IF($AD1119=0,0,IF(COUNTIFS($D$4:$D1119,$D1119,$B$4:$B1119,$B1119)&gt;1,0,IF($B1119&lt;'Guide &amp; Settings'!$C$50,0,IF(($B1119-$AD1119)/7-'Guide &amp; Settings'!$C$48&gt;=0,(INT(($B1119-$AD1119)/7-'Guide &amp; Settings'!$C$48)+1)*'Guide &amp; Settings'!$C$49,0)))))</f>
        <v/>
      </c>
      <c r="AD1119" s="142">
        <f t="shared" si="357"/>
        <v>0</v>
      </c>
      <c r="AE1119">
        <f t="shared" si="358"/>
        <v>0</v>
      </c>
      <c r="AF1119">
        <f t="shared" si="359"/>
        <v>0</v>
      </c>
    </row>
    <row r="1120" spans="1:32" x14ac:dyDescent="0.2">
      <c r="A1120" s="117"/>
      <c r="B1120" s="118"/>
      <c r="C1120" s="119"/>
      <c r="D1120" s="119"/>
      <c r="E1120" s="117"/>
      <c r="F1120" s="120">
        <f t="shared" si="340"/>
        <v>0</v>
      </c>
      <c r="G1120" s="121" t="str">
        <f t="shared" si="341"/>
        <v/>
      </c>
      <c r="H1120" s="122">
        <f>IF($D1120="",0,IFERROR(LOOKUP(2,1/(($D$3:D1119=$D1120)*($A$3:A1119&lt;$A1120)),$N$3:N1119),'Guide &amp; Settings'!$C$41))</f>
        <v>0</v>
      </c>
      <c r="I1120" s="123">
        <f t="shared" si="342"/>
        <v>0</v>
      </c>
      <c r="J1120" s="124">
        <f>IF($D1120="",0,IF($F1120&lt;2,0,IF($E1120="Win",('Guide &amp; Settings'!$C$42/(($F1120-1)*COUNTIFS($A$4:$A$1510,$A1120,$E$4:$E$1510,"Win")))*SUMIFS($X$4:$X$1510,$A$4:$A$1510,$A1120,$E$4:$E$1510,"Loss"),-('Guide &amp; Settings'!$C$42/($F1120-1))*$X1120)))</f>
        <v>0</v>
      </c>
      <c r="K1120" s="124">
        <f>IF($D1120="",0,'Guide &amp; Settings'!$C$43*(IF($E1120="Win",1,0)-$I1120))</f>
        <v>0</v>
      </c>
      <c r="L1120" s="125">
        <f>IF($D1120="",0,'Guide &amp; Settings'!$C$44*IF($F1120&gt;=3,$F1120,0))</f>
        <v>0</v>
      </c>
      <c r="M1120" s="124">
        <f t="shared" si="343"/>
        <v>0</v>
      </c>
      <c r="N1120" s="122">
        <f t="shared" si="344"/>
        <v>0</v>
      </c>
      <c r="O1120" s="121" t="str">
        <f t="shared" si="345"/>
        <v/>
      </c>
      <c r="P1120">
        <f t="shared" si="346"/>
        <v>0</v>
      </c>
      <c r="Q1120">
        <f t="shared" si="347"/>
        <v>0</v>
      </c>
      <c r="R1120">
        <f t="shared" si="348"/>
        <v>0</v>
      </c>
      <c r="S1120">
        <f t="shared" si="349"/>
        <v>0</v>
      </c>
      <c r="T1120" s="89">
        <f t="shared" si="350"/>
        <v>0</v>
      </c>
      <c r="U1120" s="126">
        <f>IF($D1120="",0,IFERROR(LOOKUP(2,1/(($D$3:D1119=$D1120)*($C$3:C1119=$C1120)*($A$3:A1119&lt;$A1120)),$AB$3:AB1119),1000))</f>
        <v>0</v>
      </c>
      <c r="V1120" s="126">
        <f t="shared" si="351"/>
        <v>0</v>
      </c>
      <c r="W1120">
        <f t="shared" si="352"/>
        <v>0</v>
      </c>
      <c r="X1120">
        <f t="shared" si="353"/>
        <v>0</v>
      </c>
      <c r="Y1120">
        <f t="shared" si="354"/>
        <v>0</v>
      </c>
      <c r="Z1120">
        <f t="shared" si="355"/>
        <v>0</v>
      </c>
      <c r="AA1120">
        <f>IF($D1120="",0,IF($F1120&lt;2,0,IF($E1120="Win",('Guide &amp; Settings'!$C$42/(($F1120-1)*COUNTIFS($A$4:$A$1510,$A1120,$E$4:$E$1510,"Win")))*SUMIFS($Z$4:$Z$1510,$A$4:$A$1510,$A1120,$E$4:$E$1510,"Loss"),-('Guide &amp; Settings'!$C$42/($F1120-1))*$Z1120)))</f>
        <v>0</v>
      </c>
      <c r="AB1120" s="126">
        <f t="shared" si="356"/>
        <v>0</v>
      </c>
      <c r="AC1120" t="str">
        <f>IF($D1120="","",IF($AD1120=0,0,IF(COUNTIFS($D$4:$D1120,$D1120,$B$4:$B1120,$B1120)&gt;1,0,IF($B1120&lt;'Guide &amp; Settings'!$C$50,0,IF(($B1120-$AD1120)/7-'Guide &amp; Settings'!$C$48&gt;=0,(INT(($B1120-$AD1120)/7-'Guide &amp; Settings'!$C$48)+1)*'Guide &amp; Settings'!$C$49,0)))))</f>
        <v/>
      </c>
      <c r="AD1120" s="142">
        <f t="shared" si="357"/>
        <v>0</v>
      </c>
      <c r="AE1120">
        <f t="shared" si="358"/>
        <v>0</v>
      </c>
      <c r="AF1120">
        <f t="shared" si="359"/>
        <v>0</v>
      </c>
    </row>
    <row r="1121" spans="1:32" x14ac:dyDescent="0.2">
      <c r="A1121" s="117"/>
      <c r="B1121" s="118"/>
      <c r="C1121" s="119"/>
      <c r="D1121" s="119"/>
      <c r="E1121" s="117"/>
      <c r="F1121" s="120">
        <f t="shared" si="340"/>
        <v>0</v>
      </c>
      <c r="G1121" s="121" t="str">
        <f t="shared" si="341"/>
        <v/>
      </c>
      <c r="H1121" s="122">
        <f>IF($D1121="",0,IFERROR(LOOKUP(2,1/(($D$3:D1120=$D1121)*($A$3:A1120&lt;$A1121)),$N$3:N1120),'Guide &amp; Settings'!$C$41))</f>
        <v>0</v>
      </c>
      <c r="I1121" s="123">
        <f t="shared" si="342"/>
        <v>0</v>
      </c>
      <c r="J1121" s="124">
        <f>IF($D1121="",0,IF($F1121&lt;2,0,IF($E1121="Win",('Guide &amp; Settings'!$C$42/(($F1121-1)*COUNTIFS($A$4:$A$1510,$A1121,$E$4:$E$1510,"Win")))*SUMIFS($X$4:$X$1510,$A$4:$A$1510,$A1121,$E$4:$E$1510,"Loss"),-('Guide &amp; Settings'!$C$42/($F1121-1))*$X1121)))</f>
        <v>0</v>
      </c>
      <c r="K1121" s="124">
        <f>IF($D1121="",0,'Guide &amp; Settings'!$C$43*(IF($E1121="Win",1,0)-$I1121))</f>
        <v>0</v>
      </c>
      <c r="L1121" s="125">
        <f>IF($D1121="",0,'Guide &amp; Settings'!$C$44*IF($F1121&gt;=3,$F1121,0))</f>
        <v>0</v>
      </c>
      <c r="M1121" s="124">
        <f t="shared" si="343"/>
        <v>0</v>
      </c>
      <c r="N1121" s="122">
        <f t="shared" si="344"/>
        <v>0</v>
      </c>
      <c r="O1121" s="121" t="str">
        <f t="shared" si="345"/>
        <v/>
      </c>
      <c r="P1121">
        <f t="shared" si="346"/>
        <v>0</v>
      </c>
      <c r="Q1121">
        <f t="shared" si="347"/>
        <v>0</v>
      </c>
      <c r="R1121">
        <f t="shared" si="348"/>
        <v>0</v>
      </c>
      <c r="S1121">
        <f t="shared" si="349"/>
        <v>0</v>
      </c>
      <c r="T1121" s="89">
        <f t="shared" si="350"/>
        <v>0</v>
      </c>
      <c r="U1121" s="126">
        <f>IF($D1121="",0,IFERROR(LOOKUP(2,1/(($D$3:D1120=$D1121)*($C$3:C1120=$C1121)*($A$3:A1120&lt;$A1121)),$AB$3:AB1120),1000))</f>
        <v>0</v>
      </c>
      <c r="V1121" s="126">
        <f t="shared" si="351"/>
        <v>0</v>
      </c>
      <c r="W1121">
        <f t="shared" si="352"/>
        <v>0</v>
      </c>
      <c r="X1121">
        <f t="shared" si="353"/>
        <v>0</v>
      </c>
      <c r="Y1121">
        <f t="shared" si="354"/>
        <v>0</v>
      </c>
      <c r="Z1121">
        <f t="shared" si="355"/>
        <v>0</v>
      </c>
      <c r="AA1121">
        <f>IF($D1121="",0,IF($F1121&lt;2,0,IF($E1121="Win",('Guide &amp; Settings'!$C$42/(($F1121-1)*COUNTIFS($A$4:$A$1510,$A1121,$E$4:$E$1510,"Win")))*SUMIFS($Z$4:$Z$1510,$A$4:$A$1510,$A1121,$E$4:$E$1510,"Loss"),-('Guide &amp; Settings'!$C$42/($F1121-1))*$Z1121)))</f>
        <v>0</v>
      </c>
      <c r="AB1121" s="126">
        <f t="shared" si="356"/>
        <v>0</v>
      </c>
      <c r="AC1121" t="str">
        <f>IF($D1121="","",IF($AD1121=0,0,IF(COUNTIFS($D$4:$D1121,$D1121,$B$4:$B1121,$B1121)&gt;1,0,IF($B1121&lt;'Guide &amp; Settings'!$C$50,0,IF(($B1121-$AD1121)/7-'Guide &amp; Settings'!$C$48&gt;=0,(INT(($B1121-$AD1121)/7-'Guide &amp; Settings'!$C$48)+1)*'Guide &amp; Settings'!$C$49,0)))))</f>
        <v/>
      </c>
      <c r="AD1121" s="142">
        <f t="shared" si="357"/>
        <v>0</v>
      </c>
      <c r="AE1121">
        <f t="shared" si="358"/>
        <v>0</v>
      </c>
      <c r="AF1121">
        <f t="shared" si="359"/>
        <v>0</v>
      </c>
    </row>
    <row r="1122" spans="1:32" x14ac:dyDescent="0.2">
      <c r="A1122" s="117"/>
      <c r="B1122" s="118"/>
      <c r="C1122" s="119"/>
      <c r="D1122" s="119"/>
      <c r="E1122" s="117"/>
      <c r="F1122" s="120">
        <f t="shared" si="340"/>
        <v>0</v>
      </c>
      <c r="G1122" s="121" t="str">
        <f t="shared" si="341"/>
        <v/>
      </c>
      <c r="H1122" s="122">
        <f>IF($D1122="",0,IFERROR(LOOKUP(2,1/(($D$3:D1121=$D1122)*($A$3:A1121&lt;$A1122)),$N$3:N1121),'Guide &amp; Settings'!$C$41))</f>
        <v>0</v>
      </c>
      <c r="I1122" s="123">
        <f t="shared" si="342"/>
        <v>0</v>
      </c>
      <c r="J1122" s="124">
        <f>IF($D1122="",0,IF($F1122&lt;2,0,IF($E1122="Win",('Guide &amp; Settings'!$C$42/(($F1122-1)*COUNTIFS($A$4:$A$1510,$A1122,$E$4:$E$1510,"Win")))*SUMIFS($X$4:$X$1510,$A$4:$A$1510,$A1122,$E$4:$E$1510,"Loss"),-('Guide &amp; Settings'!$C$42/($F1122-1))*$X1122)))</f>
        <v>0</v>
      </c>
      <c r="K1122" s="124">
        <f>IF($D1122="",0,'Guide &amp; Settings'!$C$43*(IF($E1122="Win",1,0)-$I1122))</f>
        <v>0</v>
      </c>
      <c r="L1122" s="125">
        <f>IF($D1122="",0,'Guide &amp; Settings'!$C$44*IF($F1122&gt;=3,$F1122,0))</f>
        <v>0</v>
      </c>
      <c r="M1122" s="124">
        <f t="shared" si="343"/>
        <v>0</v>
      </c>
      <c r="N1122" s="122">
        <f t="shared" si="344"/>
        <v>0</v>
      </c>
      <c r="O1122" s="121" t="str">
        <f t="shared" si="345"/>
        <v/>
      </c>
      <c r="P1122">
        <f t="shared" si="346"/>
        <v>0</v>
      </c>
      <c r="Q1122">
        <f t="shared" si="347"/>
        <v>0</v>
      </c>
      <c r="R1122">
        <f t="shared" si="348"/>
        <v>0</v>
      </c>
      <c r="S1122">
        <f t="shared" si="349"/>
        <v>0</v>
      </c>
      <c r="T1122" s="89">
        <f t="shared" si="350"/>
        <v>0</v>
      </c>
      <c r="U1122" s="126">
        <f>IF($D1122="",0,IFERROR(LOOKUP(2,1/(($D$3:D1121=$D1122)*($C$3:C1121=$C1122)*($A$3:A1121&lt;$A1122)),$AB$3:AB1121),1000))</f>
        <v>0</v>
      </c>
      <c r="V1122" s="126">
        <f t="shared" si="351"/>
        <v>0</v>
      </c>
      <c r="W1122">
        <f t="shared" si="352"/>
        <v>0</v>
      </c>
      <c r="X1122">
        <f t="shared" si="353"/>
        <v>0</v>
      </c>
      <c r="Y1122">
        <f t="shared" si="354"/>
        <v>0</v>
      </c>
      <c r="Z1122">
        <f t="shared" si="355"/>
        <v>0</v>
      </c>
      <c r="AA1122">
        <f>IF($D1122="",0,IF($F1122&lt;2,0,IF($E1122="Win",('Guide &amp; Settings'!$C$42/(($F1122-1)*COUNTIFS($A$4:$A$1510,$A1122,$E$4:$E$1510,"Win")))*SUMIFS($Z$4:$Z$1510,$A$4:$A$1510,$A1122,$E$4:$E$1510,"Loss"),-('Guide &amp; Settings'!$C$42/($F1122-1))*$Z1122)))</f>
        <v>0</v>
      </c>
      <c r="AB1122" s="126">
        <f t="shared" si="356"/>
        <v>0</v>
      </c>
      <c r="AC1122" t="str">
        <f>IF($D1122="","",IF($AD1122=0,0,IF(COUNTIFS($D$4:$D1122,$D1122,$B$4:$B1122,$B1122)&gt;1,0,IF($B1122&lt;'Guide &amp; Settings'!$C$50,0,IF(($B1122-$AD1122)/7-'Guide &amp; Settings'!$C$48&gt;=0,(INT(($B1122-$AD1122)/7-'Guide &amp; Settings'!$C$48)+1)*'Guide &amp; Settings'!$C$49,0)))))</f>
        <v/>
      </c>
      <c r="AD1122" s="142">
        <f t="shared" si="357"/>
        <v>0</v>
      </c>
      <c r="AE1122">
        <f t="shared" si="358"/>
        <v>0</v>
      </c>
      <c r="AF1122">
        <f t="shared" si="359"/>
        <v>0</v>
      </c>
    </row>
    <row r="1123" spans="1:32" x14ac:dyDescent="0.2">
      <c r="A1123" s="117"/>
      <c r="B1123" s="118"/>
      <c r="C1123" s="119"/>
      <c r="D1123" s="119"/>
      <c r="E1123" s="117"/>
      <c r="F1123" s="120">
        <f t="shared" si="340"/>
        <v>0</v>
      </c>
      <c r="G1123" s="121" t="str">
        <f t="shared" si="341"/>
        <v/>
      </c>
      <c r="H1123" s="122">
        <f>IF($D1123="",0,IFERROR(LOOKUP(2,1/(($D$3:D1122=$D1123)*($A$3:A1122&lt;$A1123)),$N$3:N1122),'Guide &amp; Settings'!$C$41))</f>
        <v>0</v>
      </c>
      <c r="I1123" s="123">
        <f t="shared" si="342"/>
        <v>0</v>
      </c>
      <c r="J1123" s="124">
        <f>IF($D1123="",0,IF($F1123&lt;2,0,IF($E1123="Win",('Guide &amp; Settings'!$C$42/(($F1123-1)*COUNTIFS($A$4:$A$1510,$A1123,$E$4:$E$1510,"Win")))*SUMIFS($X$4:$X$1510,$A$4:$A$1510,$A1123,$E$4:$E$1510,"Loss"),-('Guide &amp; Settings'!$C$42/($F1123-1))*$X1123)))</f>
        <v>0</v>
      </c>
      <c r="K1123" s="124">
        <f>IF($D1123="",0,'Guide &amp; Settings'!$C$43*(IF($E1123="Win",1,0)-$I1123))</f>
        <v>0</v>
      </c>
      <c r="L1123" s="125">
        <f>IF($D1123="",0,'Guide &amp; Settings'!$C$44*IF($F1123&gt;=3,$F1123,0))</f>
        <v>0</v>
      </c>
      <c r="M1123" s="124">
        <f t="shared" si="343"/>
        <v>0</v>
      </c>
      <c r="N1123" s="122">
        <f t="shared" si="344"/>
        <v>0</v>
      </c>
      <c r="O1123" s="121" t="str">
        <f t="shared" si="345"/>
        <v/>
      </c>
      <c r="P1123">
        <f t="shared" si="346"/>
        <v>0</v>
      </c>
      <c r="Q1123">
        <f t="shared" si="347"/>
        <v>0</v>
      </c>
      <c r="R1123">
        <f t="shared" si="348"/>
        <v>0</v>
      </c>
      <c r="S1123">
        <f t="shared" si="349"/>
        <v>0</v>
      </c>
      <c r="T1123" s="89">
        <f t="shared" si="350"/>
        <v>0</v>
      </c>
      <c r="U1123" s="126">
        <f>IF($D1123="",0,IFERROR(LOOKUP(2,1/(($D$3:D1122=$D1123)*($C$3:C1122=$C1123)*($A$3:A1122&lt;$A1123)),$AB$3:AB1122),1000))</f>
        <v>0</v>
      </c>
      <c r="V1123" s="126">
        <f t="shared" si="351"/>
        <v>0</v>
      </c>
      <c r="W1123">
        <f t="shared" si="352"/>
        <v>0</v>
      </c>
      <c r="X1123">
        <f t="shared" si="353"/>
        <v>0</v>
      </c>
      <c r="Y1123">
        <f t="shared" si="354"/>
        <v>0</v>
      </c>
      <c r="Z1123">
        <f t="shared" si="355"/>
        <v>0</v>
      </c>
      <c r="AA1123">
        <f>IF($D1123="",0,IF($F1123&lt;2,0,IF($E1123="Win",('Guide &amp; Settings'!$C$42/(($F1123-1)*COUNTIFS($A$4:$A$1510,$A1123,$E$4:$E$1510,"Win")))*SUMIFS($Z$4:$Z$1510,$A$4:$A$1510,$A1123,$E$4:$E$1510,"Loss"),-('Guide &amp; Settings'!$C$42/($F1123-1))*$Z1123)))</f>
        <v>0</v>
      </c>
      <c r="AB1123" s="126">
        <f t="shared" si="356"/>
        <v>0</v>
      </c>
      <c r="AC1123" t="str">
        <f>IF($D1123="","",IF($AD1123=0,0,IF(COUNTIFS($D$4:$D1123,$D1123,$B$4:$B1123,$B1123)&gt;1,0,IF($B1123&lt;'Guide &amp; Settings'!$C$50,0,IF(($B1123-$AD1123)/7-'Guide &amp; Settings'!$C$48&gt;=0,(INT(($B1123-$AD1123)/7-'Guide &amp; Settings'!$C$48)+1)*'Guide &amp; Settings'!$C$49,0)))))</f>
        <v/>
      </c>
      <c r="AD1123" s="142">
        <f t="shared" si="357"/>
        <v>0</v>
      </c>
      <c r="AE1123">
        <f t="shared" si="358"/>
        <v>0</v>
      </c>
      <c r="AF1123">
        <f t="shared" si="359"/>
        <v>0</v>
      </c>
    </row>
    <row r="1124" spans="1:32" x14ac:dyDescent="0.2">
      <c r="A1124" s="117"/>
      <c r="B1124" s="118"/>
      <c r="C1124" s="119"/>
      <c r="D1124" s="119"/>
      <c r="E1124" s="117"/>
      <c r="F1124" s="120">
        <f t="shared" si="340"/>
        <v>0</v>
      </c>
      <c r="G1124" s="121" t="str">
        <f t="shared" si="341"/>
        <v/>
      </c>
      <c r="H1124" s="122">
        <f>IF($D1124="",0,IFERROR(LOOKUP(2,1/(($D$3:D1123=$D1124)*($A$3:A1123&lt;$A1124)),$N$3:N1123),'Guide &amp; Settings'!$C$41))</f>
        <v>0</v>
      </c>
      <c r="I1124" s="123">
        <f t="shared" si="342"/>
        <v>0</v>
      </c>
      <c r="J1124" s="124">
        <f>IF($D1124="",0,IF($F1124&lt;2,0,IF($E1124="Win",('Guide &amp; Settings'!$C$42/(($F1124-1)*COUNTIFS($A$4:$A$1510,$A1124,$E$4:$E$1510,"Win")))*SUMIFS($X$4:$X$1510,$A$4:$A$1510,$A1124,$E$4:$E$1510,"Loss"),-('Guide &amp; Settings'!$C$42/($F1124-1))*$X1124)))</f>
        <v>0</v>
      </c>
      <c r="K1124" s="124">
        <f>IF($D1124="",0,'Guide &amp; Settings'!$C$43*(IF($E1124="Win",1,0)-$I1124))</f>
        <v>0</v>
      </c>
      <c r="L1124" s="125">
        <f>IF($D1124="",0,'Guide &amp; Settings'!$C$44*IF($F1124&gt;=3,$F1124,0))</f>
        <v>0</v>
      </c>
      <c r="M1124" s="124">
        <f t="shared" si="343"/>
        <v>0</v>
      </c>
      <c r="N1124" s="122">
        <f t="shared" si="344"/>
        <v>0</v>
      </c>
      <c r="O1124" s="121" t="str">
        <f t="shared" si="345"/>
        <v/>
      </c>
      <c r="P1124">
        <f t="shared" si="346"/>
        <v>0</v>
      </c>
      <c r="Q1124">
        <f t="shared" si="347"/>
        <v>0</v>
      </c>
      <c r="R1124">
        <f t="shared" si="348"/>
        <v>0</v>
      </c>
      <c r="S1124">
        <f t="shared" si="349"/>
        <v>0</v>
      </c>
      <c r="T1124" s="89">
        <f t="shared" si="350"/>
        <v>0</v>
      </c>
      <c r="U1124" s="126">
        <f>IF($D1124="",0,IFERROR(LOOKUP(2,1/(($D$3:D1123=$D1124)*($C$3:C1123=$C1124)*($A$3:A1123&lt;$A1124)),$AB$3:AB1123),1000))</f>
        <v>0</v>
      </c>
      <c r="V1124" s="126">
        <f t="shared" si="351"/>
        <v>0</v>
      </c>
      <c r="W1124">
        <f t="shared" si="352"/>
        <v>0</v>
      </c>
      <c r="X1124">
        <f t="shared" si="353"/>
        <v>0</v>
      </c>
      <c r="Y1124">
        <f t="shared" si="354"/>
        <v>0</v>
      </c>
      <c r="Z1124">
        <f t="shared" si="355"/>
        <v>0</v>
      </c>
      <c r="AA1124">
        <f>IF($D1124="",0,IF($F1124&lt;2,0,IF($E1124="Win",('Guide &amp; Settings'!$C$42/(($F1124-1)*COUNTIFS($A$4:$A$1510,$A1124,$E$4:$E$1510,"Win")))*SUMIFS($Z$4:$Z$1510,$A$4:$A$1510,$A1124,$E$4:$E$1510,"Loss"),-('Guide &amp; Settings'!$C$42/($F1124-1))*$Z1124)))</f>
        <v>0</v>
      </c>
      <c r="AB1124" s="126">
        <f t="shared" si="356"/>
        <v>0</v>
      </c>
      <c r="AC1124" t="str">
        <f>IF($D1124="","",IF($AD1124=0,0,IF(COUNTIFS($D$4:$D1124,$D1124,$B$4:$B1124,$B1124)&gt;1,0,IF($B1124&lt;'Guide &amp; Settings'!$C$50,0,IF(($B1124-$AD1124)/7-'Guide &amp; Settings'!$C$48&gt;=0,(INT(($B1124-$AD1124)/7-'Guide &amp; Settings'!$C$48)+1)*'Guide &amp; Settings'!$C$49,0)))))</f>
        <v/>
      </c>
      <c r="AD1124" s="142">
        <f t="shared" si="357"/>
        <v>0</v>
      </c>
      <c r="AE1124">
        <f t="shared" si="358"/>
        <v>0</v>
      </c>
      <c r="AF1124">
        <f t="shared" si="359"/>
        <v>0</v>
      </c>
    </row>
    <row r="1125" spans="1:32" x14ac:dyDescent="0.2">
      <c r="A1125" s="117"/>
      <c r="B1125" s="118"/>
      <c r="C1125" s="119"/>
      <c r="D1125" s="119"/>
      <c r="E1125" s="117"/>
      <c r="F1125" s="120">
        <f t="shared" si="340"/>
        <v>0</v>
      </c>
      <c r="G1125" s="121" t="str">
        <f t="shared" si="341"/>
        <v/>
      </c>
      <c r="H1125" s="122">
        <f>IF($D1125="",0,IFERROR(LOOKUP(2,1/(($D$3:D1124=$D1125)*($A$3:A1124&lt;$A1125)),$N$3:N1124),'Guide &amp; Settings'!$C$41))</f>
        <v>0</v>
      </c>
      <c r="I1125" s="123">
        <f t="shared" si="342"/>
        <v>0</v>
      </c>
      <c r="J1125" s="124">
        <f>IF($D1125="",0,IF($F1125&lt;2,0,IF($E1125="Win",('Guide &amp; Settings'!$C$42/(($F1125-1)*COUNTIFS($A$4:$A$1510,$A1125,$E$4:$E$1510,"Win")))*SUMIFS($X$4:$X$1510,$A$4:$A$1510,$A1125,$E$4:$E$1510,"Loss"),-('Guide &amp; Settings'!$C$42/($F1125-1))*$X1125)))</f>
        <v>0</v>
      </c>
      <c r="K1125" s="124">
        <f>IF($D1125="",0,'Guide &amp; Settings'!$C$43*(IF($E1125="Win",1,0)-$I1125))</f>
        <v>0</v>
      </c>
      <c r="L1125" s="125">
        <f>IF($D1125="",0,'Guide &amp; Settings'!$C$44*IF($F1125&gt;=3,$F1125,0))</f>
        <v>0</v>
      </c>
      <c r="M1125" s="124">
        <f t="shared" si="343"/>
        <v>0</v>
      </c>
      <c r="N1125" s="122">
        <f t="shared" si="344"/>
        <v>0</v>
      </c>
      <c r="O1125" s="121" t="str">
        <f t="shared" si="345"/>
        <v/>
      </c>
      <c r="P1125">
        <f t="shared" si="346"/>
        <v>0</v>
      </c>
      <c r="Q1125">
        <f t="shared" si="347"/>
        <v>0</v>
      </c>
      <c r="R1125">
        <f t="shared" si="348"/>
        <v>0</v>
      </c>
      <c r="S1125">
        <f t="shared" si="349"/>
        <v>0</v>
      </c>
      <c r="T1125" s="89">
        <f t="shared" si="350"/>
        <v>0</v>
      </c>
      <c r="U1125" s="126">
        <f>IF($D1125="",0,IFERROR(LOOKUP(2,1/(($D$3:D1124=$D1125)*($C$3:C1124=$C1125)*($A$3:A1124&lt;$A1125)),$AB$3:AB1124),1000))</f>
        <v>0</v>
      </c>
      <c r="V1125" s="126">
        <f t="shared" si="351"/>
        <v>0</v>
      </c>
      <c r="W1125">
        <f t="shared" si="352"/>
        <v>0</v>
      </c>
      <c r="X1125">
        <f t="shared" si="353"/>
        <v>0</v>
      </c>
      <c r="Y1125">
        <f t="shared" si="354"/>
        <v>0</v>
      </c>
      <c r="Z1125">
        <f t="shared" si="355"/>
        <v>0</v>
      </c>
      <c r="AA1125">
        <f>IF($D1125="",0,IF($F1125&lt;2,0,IF($E1125="Win",('Guide &amp; Settings'!$C$42/(($F1125-1)*COUNTIFS($A$4:$A$1510,$A1125,$E$4:$E$1510,"Win")))*SUMIFS($Z$4:$Z$1510,$A$4:$A$1510,$A1125,$E$4:$E$1510,"Loss"),-('Guide &amp; Settings'!$C$42/($F1125-1))*$Z1125)))</f>
        <v>0</v>
      </c>
      <c r="AB1125" s="126">
        <f t="shared" si="356"/>
        <v>0</v>
      </c>
      <c r="AC1125" t="str">
        <f>IF($D1125="","",IF($AD1125=0,0,IF(COUNTIFS($D$4:$D1125,$D1125,$B$4:$B1125,$B1125)&gt;1,0,IF($B1125&lt;'Guide &amp; Settings'!$C$50,0,IF(($B1125-$AD1125)/7-'Guide &amp; Settings'!$C$48&gt;=0,(INT(($B1125-$AD1125)/7-'Guide &amp; Settings'!$C$48)+1)*'Guide &amp; Settings'!$C$49,0)))))</f>
        <v/>
      </c>
      <c r="AD1125" s="142">
        <f t="shared" si="357"/>
        <v>0</v>
      </c>
      <c r="AE1125">
        <f t="shared" si="358"/>
        <v>0</v>
      </c>
      <c r="AF1125">
        <f t="shared" si="359"/>
        <v>0</v>
      </c>
    </row>
    <row r="1126" spans="1:32" x14ac:dyDescent="0.2">
      <c r="A1126" s="117"/>
      <c r="B1126" s="118"/>
      <c r="C1126" s="119"/>
      <c r="D1126" s="119"/>
      <c r="E1126" s="117"/>
      <c r="F1126" s="120">
        <f t="shared" si="340"/>
        <v>0</v>
      </c>
      <c r="G1126" s="121" t="str">
        <f t="shared" si="341"/>
        <v/>
      </c>
      <c r="H1126" s="122">
        <f>IF($D1126="",0,IFERROR(LOOKUP(2,1/(($D$3:D1125=$D1126)*($A$3:A1125&lt;$A1126)),$N$3:N1125),'Guide &amp; Settings'!$C$41))</f>
        <v>0</v>
      </c>
      <c r="I1126" s="123">
        <f t="shared" si="342"/>
        <v>0</v>
      </c>
      <c r="J1126" s="124">
        <f>IF($D1126="",0,IF($F1126&lt;2,0,IF($E1126="Win",('Guide &amp; Settings'!$C$42/(($F1126-1)*COUNTIFS($A$4:$A$1510,$A1126,$E$4:$E$1510,"Win")))*SUMIFS($X$4:$X$1510,$A$4:$A$1510,$A1126,$E$4:$E$1510,"Loss"),-('Guide &amp; Settings'!$C$42/($F1126-1))*$X1126)))</f>
        <v>0</v>
      </c>
      <c r="K1126" s="124">
        <f>IF($D1126="",0,'Guide &amp; Settings'!$C$43*(IF($E1126="Win",1,0)-$I1126))</f>
        <v>0</v>
      </c>
      <c r="L1126" s="125">
        <f>IF($D1126="",0,'Guide &amp; Settings'!$C$44*IF($F1126&gt;=3,$F1126,0))</f>
        <v>0</v>
      </c>
      <c r="M1126" s="124">
        <f t="shared" si="343"/>
        <v>0</v>
      </c>
      <c r="N1126" s="122">
        <f t="shared" si="344"/>
        <v>0</v>
      </c>
      <c r="O1126" s="121" t="str">
        <f t="shared" si="345"/>
        <v/>
      </c>
      <c r="P1126">
        <f t="shared" si="346"/>
        <v>0</v>
      </c>
      <c r="Q1126">
        <f t="shared" si="347"/>
        <v>0</v>
      </c>
      <c r="R1126">
        <f t="shared" si="348"/>
        <v>0</v>
      </c>
      <c r="S1126">
        <f t="shared" si="349"/>
        <v>0</v>
      </c>
      <c r="T1126" s="89">
        <f t="shared" si="350"/>
        <v>0</v>
      </c>
      <c r="U1126" s="126">
        <f>IF($D1126="",0,IFERROR(LOOKUP(2,1/(($D$3:D1125=$D1126)*($C$3:C1125=$C1126)*($A$3:A1125&lt;$A1126)),$AB$3:AB1125),1000))</f>
        <v>0</v>
      </c>
      <c r="V1126" s="126">
        <f t="shared" si="351"/>
        <v>0</v>
      </c>
      <c r="W1126">
        <f t="shared" si="352"/>
        <v>0</v>
      </c>
      <c r="X1126">
        <f t="shared" si="353"/>
        <v>0</v>
      </c>
      <c r="Y1126">
        <f t="shared" si="354"/>
        <v>0</v>
      </c>
      <c r="Z1126">
        <f t="shared" si="355"/>
        <v>0</v>
      </c>
      <c r="AA1126">
        <f>IF($D1126="",0,IF($F1126&lt;2,0,IF($E1126="Win",('Guide &amp; Settings'!$C$42/(($F1126-1)*COUNTIFS($A$4:$A$1510,$A1126,$E$4:$E$1510,"Win")))*SUMIFS($Z$4:$Z$1510,$A$4:$A$1510,$A1126,$E$4:$E$1510,"Loss"),-('Guide &amp; Settings'!$C$42/($F1126-1))*$Z1126)))</f>
        <v>0</v>
      </c>
      <c r="AB1126" s="126">
        <f t="shared" si="356"/>
        <v>0</v>
      </c>
      <c r="AC1126" t="str">
        <f>IF($D1126="","",IF($AD1126=0,0,IF(COUNTIFS($D$4:$D1126,$D1126,$B$4:$B1126,$B1126)&gt;1,0,IF($B1126&lt;'Guide &amp; Settings'!$C$50,0,IF(($B1126-$AD1126)/7-'Guide &amp; Settings'!$C$48&gt;=0,(INT(($B1126-$AD1126)/7-'Guide &amp; Settings'!$C$48)+1)*'Guide &amp; Settings'!$C$49,0)))))</f>
        <v/>
      </c>
      <c r="AD1126" s="142">
        <f t="shared" si="357"/>
        <v>0</v>
      </c>
      <c r="AE1126">
        <f t="shared" si="358"/>
        <v>0</v>
      </c>
      <c r="AF1126">
        <f t="shared" si="359"/>
        <v>0</v>
      </c>
    </row>
    <row r="1127" spans="1:32" x14ac:dyDescent="0.2">
      <c r="A1127" s="117"/>
      <c r="B1127" s="118"/>
      <c r="C1127" s="119"/>
      <c r="D1127" s="119"/>
      <c r="E1127" s="117"/>
      <c r="F1127" s="120">
        <f t="shared" si="340"/>
        <v>0</v>
      </c>
      <c r="G1127" s="121" t="str">
        <f t="shared" si="341"/>
        <v/>
      </c>
      <c r="H1127" s="122">
        <f>IF($D1127="",0,IFERROR(LOOKUP(2,1/(($D$3:D1126=$D1127)*($A$3:A1126&lt;$A1127)),$N$3:N1126),'Guide &amp; Settings'!$C$41))</f>
        <v>0</v>
      </c>
      <c r="I1127" s="123">
        <f t="shared" si="342"/>
        <v>0</v>
      </c>
      <c r="J1127" s="124">
        <f>IF($D1127="",0,IF($F1127&lt;2,0,IF($E1127="Win",('Guide &amp; Settings'!$C$42/(($F1127-1)*COUNTIFS($A$4:$A$1510,$A1127,$E$4:$E$1510,"Win")))*SUMIFS($X$4:$X$1510,$A$4:$A$1510,$A1127,$E$4:$E$1510,"Loss"),-('Guide &amp; Settings'!$C$42/($F1127-1))*$X1127)))</f>
        <v>0</v>
      </c>
      <c r="K1127" s="124">
        <f>IF($D1127="",0,'Guide &amp; Settings'!$C$43*(IF($E1127="Win",1,0)-$I1127))</f>
        <v>0</v>
      </c>
      <c r="L1127" s="125">
        <f>IF($D1127="",0,'Guide &amp; Settings'!$C$44*IF($F1127&gt;=3,$F1127,0))</f>
        <v>0</v>
      </c>
      <c r="M1127" s="124">
        <f t="shared" si="343"/>
        <v>0</v>
      </c>
      <c r="N1127" s="122">
        <f t="shared" si="344"/>
        <v>0</v>
      </c>
      <c r="O1127" s="121" t="str">
        <f t="shared" si="345"/>
        <v/>
      </c>
      <c r="P1127">
        <f t="shared" si="346"/>
        <v>0</v>
      </c>
      <c r="Q1127">
        <f t="shared" si="347"/>
        <v>0</v>
      </c>
      <c r="R1127">
        <f t="shared" si="348"/>
        <v>0</v>
      </c>
      <c r="S1127">
        <f t="shared" si="349"/>
        <v>0</v>
      </c>
      <c r="T1127" s="89">
        <f t="shared" si="350"/>
        <v>0</v>
      </c>
      <c r="U1127" s="126">
        <f>IF($D1127="",0,IFERROR(LOOKUP(2,1/(($D$3:D1126=$D1127)*($C$3:C1126=$C1127)*($A$3:A1126&lt;$A1127)),$AB$3:AB1126),1000))</f>
        <v>0</v>
      </c>
      <c r="V1127" s="126">
        <f t="shared" si="351"/>
        <v>0</v>
      </c>
      <c r="W1127">
        <f t="shared" si="352"/>
        <v>0</v>
      </c>
      <c r="X1127">
        <f t="shared" si="353"/>
        <v>0</v>
      </c>
      <c r="Y1127">
        <f t="shared" si="354"/>
        <v>0</v>
      </c>
      <c r="Z1127">
        <f t="shared" si="355"/>
        <v>0</v>
      </c>
      <c r="AA1127">
        <f>IF($D1127="",0,IF($F1127&lt;2,0,IF($E1127="Win",('Guide &amp; Settings'!$C$42/(($F1127-1)*COUNTIFS($A$4:$A$1510,$A1127,$E$4:$E$1510,"Win")))*SUMIFS($Z$4:$Z$1510,$A$4:$A$1510,$A1127,$E$4:$E$1510,"Loss"),-('Guide &amp; Settings'!$C$42/($F1127-1))*$Z1127)))</f>
        <v>0</v>
      </c>
      <c r="AB1127" s="126">
        <f t="shared" si="356"/>
        <v>0</v>
      </c>
      <c r="AC1127" t="str">
        <f>IF($D1127="","",IF($AD1127=0,0,IF(COUNTIFS($D$4:$D1127,$D1127,$B$4:$B1127,$B1127)&gt;1,0,IF($B1127&lt;'Guide &amp; Settings'!$C$50,0,IF(($B1127-$AD1127)/7-'Guide &amp; Settings'!$C$48&gt;=0,(INT(($B1127-$AD1127)/7-'Guide &amp; Settings'!$C$48)+1)*'Guide &amp; Settings'!$C$49,0)))))</f>
        <v/>
      </c>
      <c r="AD1127" s="142">
        <f t="shared" si="357"/>
        <v>0</v>
      </c>
      <c r="AE1127">
        <f t="shared" si="358"/>
        <v>0</v>
      </c>
      <c r="AF1127">
        <f t="shared" si="359"/>
        <v>0</v>
      </c>
    </row>
    <row r="1128" spans="1:32" x14ac:dyDescent="0.2">
      <c r="A1128" s="117"/>
      <c r="B1128" s="118"/>
      <c r="C1128" s="119"/>
      <c r="D1128" s="119"/>
      <c r="E1128" s="117"/>
      <c r="F1128" s="120">
        <f t="shared" si="340"/>
        <v>0</v>
      </c>
      <c r="G1128" s="121" t="str">
        <f t="shared" si="341"/>
        <v/>
      </c>
      <c r="H1128" s="122">
        <f>IF($D1128="",0,IFERROR(LOOKUP(2,1/(($D$3:D1127=$D1128)*($A$3:A1127&lt;$A1128)),$N$3:N1127),'Guide &amp; Settings'!$C$41))</f>
        <v>0</v>
      </c>
      <c r="I1128" s="123">
        <f t="shared" si="342"/>
        <v>0</v>
      </c>
      <c r="J1128" s="124">
        <f>IF($D1128="",0,IF($F1128&lt;2,0,IF($E1128="Win",('Guide &amp; Settings'!$C$42/(($F1128-1)*COUNTIFS($A$4:$A$1510,$A1128,$E$4:$E$1510,"Win")))*SUMIFS($X$4:$X$1510,$A$4:$A$1510,$A1128,$E$4:$E$1510,"Loss"),-('Guide &amp; Settings'!$C$42/($F1128-1))*$X1128)))</f>
        <v>0</v>
      </c>
      <c r="K1128" s="124">
        <f>IF($D1128="",0,'Guide &amp; Settings'!$C$43*(IF($E1128="Win",1,0)-$I1128))</f>
        <v>0</v>
      </c>
      <c r="L1128" s="125">
        <f>IF($D1128="",0,'Guide &amp; Settings'!$C$44*IF($F1128&gt;=3,$F1128,0))</f>
        <v>0</v>
      </c>
      <c r="M1128" s="124">
        <f t="shared" si="343"/>
        <v>0</v>
      </c>
      <c r="N1128" s="122">
        <f t="shared" si="344"/>
        <v>0</v>
      </c>
      <c r="O1128" s="121" t="str">
        <f t="shared" si="345"/>
        <v/>
      </c>
      <c r="P1128">
        <f t="shared" si="346"/>
        <v>0</v>
      </c>
      <c r="Q1128">
        <f t="shared" si="347"/>
        <v>0</v>
      </c>
      <c r="R1128">
        <f t="shared" si="348"/>
        <v>0</v>
      </c>
      <c r="S1128">
        <f t="shared" si="349"/>
        <v>0</v>
      </c>
      <c r="T1128" s="89">
        <f t="shared" si="350"/>
        <v>0</v>
      </c>
      <c r="U1128" s="126">
        <f>IF($D1128="",0,IFERROR(LOOKUP(2,1/(($D$3:D1127=$D1128)*($C$3:C1127=$C1128)*($A$3:A1127&lt;$A1128)),$AB$3:AB1127),1000))</f>
        <v>0</v>
      </c>
      <c r="V1128" s="126">
        <f t="shared" si="351"/>
        <v>0</v>
      </c>
      <c r="W1128">
        <f t="shared" si="352"/>
        <v>0</v>
      </c>
      <c r="X1128">
        <f t="shared" si="353"/>
        <v>0</v>
      </c>
      <c r="Y1128">
        <f t="shared" si="354"/>
        <v>0</v>
      </c>
      <c r="Z1128">
        <f t="shared" si="355"/>
        <v>0</v>
      </c>
      <c r="AA1128">
        <f>IF($D1128="",0,IF($F1128&lt;2,0,IF($E1128="Win",('Guide &amp; Settings'!$C$42/(($F1128-1)*COUNTIFS($A$4:$A$1510,$A1128,$E$4:$E$1510,"Win")))*SUMIFS($Z$4:$Z$1510,$A$4:$A$1510,$A1128,$E$4:$E$1510,"Loss"),-('Guide &amp; Settings'!$C$42/($F1128-1))*$Z1128)))</f>
        <v>0</v>
      </c>
      <c r="AB1128" s="126">
        <f t="shared" si="356"/>
        <v>0</v>
      </c>
      <c r="AC1128" t="str">
        <f>IF($D1128="","",IF($AD1128=0,0,IF(COUNTIFS($D$4:$D1128,$D1128,$B$4:$B1128,$B1128)&gt;1,0,IF($B1128&lt;'Guide &amp; Settings'!$C$50,0,IF(($B1128-$AD1128)/7-'Guide &amp; Settings'!$C$48&gt;=0,(INT(($B1128-$AD1128)/7-'Guide &amp; Settings'!$C$48)+1)*'Guide &amp; Settings'!$C$49,0)))))</f>
        <v/>
      </c>
      <c r="AD1128" s="142">
        <f t="shared" si="357"/>
        <v>0</v>
      </c>
      <c r="AE1128">
        <f t="shared" si="358"/>
        <v>0</v>
      </c>
      <c r="AF1128">
        <f t="shared" si="359"/>
        <v>0</v>
      </c>
    </row>
    <row r="1129" spans="1:32" x14ac:dyDescent="0.2">
      <c r="A1129" s="117"/>
      <c r="B1129" s="118"/>
      <c r="C1129" s="119"/>
      <c r="D1129" s="119"/>
      <c r="E1129" s="117"/>
      <c r="F1129" s="120">
        <f t="shared" si="340"/>
        <v>0</v>
      </c>
      <c r="G1129" s="121" t="str">
        <f t="shared" si="341"/>
        <v/>
      </c>
      <c r="H1129" s="122">
        <f>IF($D1129="",0,IFERROR(LOOKUP(2,1/(($D$3:D1128=$D1129)*($A$3:A1128&lt;$A1129)),$N$3:N1128),'Guide &amp; Settings'!$C$41))</f>
        <v>0</v>
      </c>
      <c r="I1129" s="123">
        <f t="shared" si="342"/>
        <v>0</v>
      </c>
      <c r="J1129" s="124">
        <f>IF($D1129="",0,IF($F1129&lt;2,0,IF($E1129="Win",('Guide &amp; Settings'!$C$42/(($F1129-1)*COUNTIFS($A$4:$A$1510,$A1129,$E$4:$E$1510,"Win")))*SUMIFS($X$4:$X$1510,$A$4:$A$1510,$A1129,$E$4:$E$1510,"Loss"),-('Guide &amp; Settings'!$C$42/($F1129-1))*$X1129)))</f>
        <v>0</v>
      </c>
      <c r="K1129" s="124">
        <f>IF($D1129="",0,'Guide &amp; Settings'!$C$43*(IF($E1129="Win",1,0)-$I1129))</f>
        <v>0</v>
      </c>
      <c r="L1129" s="125">
        <f>IF($D1129="",0,'Guide &amp; Settings'!$C$44*IF($F1129&gt;=3,$F1129,0))</f>
        <v>0</v>
      </c>
      <c r="M1129" s="124">
        <f t="shared" si="343"/>
        <v>0</v>
      </c>
      <c r="N1129" s="122">
        <f t="shared" si="344"/>
        <v>0</v>
      </c>
      <c r="O1129" s="121" t="str">
        <f t="shared" si="345"/>
        <v/>
      </c>
      <c r="P1129">
        <f t="shared" si="346"/>
        <v>0</v>
      </c>
      <c r="Q1129">
        <f t="shared" si="347"/>
        <v>0</v>
      </c>
      <c r="R1129">
        <f t="shared" si="348"/>
        <v>0</v>
      </c>
      <c r="S1129">
        <f t="shared" si="349"/>
        <v>0</v>
      </c>
      <c r="T1129" s="89">
        <f t="shared" si="350"/>
        <v>0</v>
      </c>
      <c r="U1129" s="126">
        <f>IF($D1129="",0,IFERROR(LOOKUP(2,1/(($D$3:D1128=$D1129)*($C$3:C1128=$C1129)*($A$3:A1128&lt;$A1129)),$AB$3:AB1128),1000))</f>
        <v>0</v>
      </c>
      <c r="V1129" s="126">
        <f t="shared" si="351"/>
        <v>0</v>
      </c>
      <c r="W1129">
        <f t="shared" si="352"/>
        <v>0</v>
      </c>
      <c r="X1129">
        <f t="shared" si="353"/>
        <v>0</v>
      </c>
      <c r="Y1129">
        <f t="shared" si="354"/>
        <v>0</v>
      </c>
      <c r="Z1129">
        <f t="shared" si="355"/>
        <v>0</v>
      </c>
      <c r="AA1129">
        <f>IF($D1129="",0,IF($F1129&lt;2,0,IF($E1129="Win",('Guide &amp; Settings'!$C$42/(($F1129-1)*COUNTIFS($A$4:$A$1510,$A1129,$E$4:$E$1510,"Win")))*SUMIFS($Z$4:$Z$1510,$A$4:$A$1510,$A1129,$E$4:$E$1510,"Loss"),-('Guide &amp; Settings'!$C$42/($F1129-1))*$Z1129)))</f>
        <v>0</v>
      </c>
      <c r="AB1129" s="126">
        <f t="shared" si="356"/>
        <v>0</v>
      </c>
      <c r="AC1129" t="str">
        <f>IF($D1129="","",IF($AD1129=0,0,IF(COUNTIFS($D$4:$D1129,$D1129,$B$4:$B1129,$B1129)&gt;1,0,IF($B1129&lt;'Guide &amp; Settings'!$C$50,0,IF(($B1129-$AD1129)/7-'Guide &amp; Settings'!$C$48&gt;=0,(INT(($B1129-$AD1129)/7-'Guide &amp; Settings'!$C$48)+1)*'Guide &amp; Settings'!$C$49,0)))))</f>
        <v/>
      </c>
      <c r="AD1129" s="142">
        <f t="shared" si="357"/>
        <v>0</v>
      </c>
      <c r="AE1129">
        <f t="shared" si="358"/>
        <v>0</v>
      </c>
      <c r="AF1129">
        <f t="shared" si="359"/>
        <v>0</v>
      </c>
    </row>
    <row r="1130" spans="1:32" x14ac:dyDescent="0.2">
      <c r="A1130" s="117"/>
      <c r="B1130" s="118"/>
      <c r="C1130" s="119"/>
      <c r="D1130" s="119"/>
      <c r="E1130" s="117"/>
      <c r="F1130" s="120">
        <f t="shared" si="340"/>
        <v>0</v>
      </c>
      <c r="G1130" s="121" t="str">
        <f t="shared" si="341"/>
        <v/>
      </c>
      <c r="H1130" s="122">
        <f>IF($D1130="",0,IFERROR(LOOKUP(2,1/(($D$3:D1129=$D1130)*($A$3:A1129&lt;$A1130)),$N$3:N1129),'Guide &amp; Settings'!$C$41))</f>
        <v>0</v>
      </c>
      <c r="I1130" s="123">
        <f t="shared" si="342"/>
        <v>0</v>
      </c>
      <c r="J1130" s="124">
        <f>IF($D1130="",0,IF($F1130&lt;2,0,IF($E1130="Win",('Guide &amp; Settings'!$C$42/(($F1130-1)*COUNTIFS($A$4:$A$1510,$A1130,$E$4:$E$1510,"Win")))*SUMIFS($X$4:$X$1510,$A$4:$A$1510,$A1130,$E$4:$E$1510,"Loss"),-('Guide &amp; Settings'!$C$42/($F1130-1))*$X1130)))</f>
        <v>0</v>
      </c>
      <c r="K1130" s="124">
        <f>IF($D1130="",0,'Guide &amp; Settings'!$C$43*(IF($E1130="Win",1,0)-$I1130))</f>
        <v>0</v>
      </c>
      <c r="L1130" s="125">
        <f>IF($D1130="",0,'Guide &amp; Settings'!$C$44*IF($F1130&gt;=3,$F1130,0))</f>
        <v>0</v>
      </c>
      <c r="M1130" s="124">
        <f t="shared" si="343"/>
        <v>0</v>
      </c>
      <c r="N1130" s="122">
        <f t="shared" si="344"/>
        <v>0</v>
      </c>
      <c r="O1130" s="121" t="str">
        <f t="shared" si="345"/>
        <v/>
      </c>
      <c r="P1130">
        <f t="shared" si="346"/>
        <v>0</v>
      </c>
      <c r="Q1130">
        <f t="shared" si="347"/>
        <v>0</v>
      </c>
      <c r="R1130">
        <f t="shared" si="348"/>
        <v>0</v>
      </c>
      <c r="S1130">
        <f t="shared" si="349"/>
        <v>0</v>
      </c>
      <c r="T1130" s="89">
        <f t="shared" si="350"/>
        <v>0</v>
      </c>
      <c r="U1130" s="126">
        <f>IF($D1130="",0,IFERROR(LOOKUP(2,1/(($D$3:D1129=$D1130)*($C$3:C1129=$C1130)*($A$3:A1129&lt;$A1130)),$AB$3:AB1129),1000))</f>
        <v>0</v>
      </c>
      <c r="V1130" s="126">
        <f t="shared" si="351"/>
        <v>0</v>
      </c>
      <c r="W1130">
        <f t="shared" si="352"/>
        <v>0</v>
      </c>
      <c r="X1130">
        <f t="shared" si="353"/>
        <v>0</v>
      </c>
      <c r="Y1130">
        <f t="shared" si="354"/>
        <v>0</v>
      </c>
      <c r="Z1130">
        <f t="shared" si="355"/>
        <v>0</v>
      </c>
      <c r="AA1130">
        <f>IF($D1130="",0,IF($F1130&lt;2,0,IF($E1130="Win",('Guide &amp; Settings'!$C$42/(($F1130-1)*COUNTIFS($A$4:$A$1510,$A1130,$E$4:$E$1510,"Win")))*SUMIFS($Z$4:$Z$1510,$A$4:$A$1510,$A1130,$E$4:$E$1510,"Loss"),-('Guide &amp; Settings'!$C$42/($F1130-1))*$Z1130)))</f>
        <v>0</v>
      </c>
      <c r="AB1130" s="126">
        <f t="shared" si="356"/>
        <v>0</v>
      </c>
      <c r="AC1130" t="str">
        <f>IF($D1130="","",IF($AD1130=0,0,IF(COUNTIFS($D$4:$D1130,$D1130,$B$4:$B1130,$B1130)&gt;1,0,IF($B1130&lt;'Guide &amp; Settings'!$C$50,0,IF(($B1130-$AD1130)/7-'Guide &amp; Settings'!$C$48&gt;=0,(INT(($B1130-$AD1130)/7-'Guide &amp; Settings'!$C$48)+1)*'Guide &amp; Settings'!$C$49,0)))))</f>
        <v/>
      </c>
      <c r="AD1130" s="142">
        <f t="shared" si="357"/>
        <v>0</v>
      </c>
      <c r="AE1130">
        <f t="shared" si="358"/>
        <v>0</v>
      </c>
      <c r="AF1130">
        <f t="shared" si="359"/>
        <v>0</v>
      </c>
    </row>
    <row r="1131" spans="1:32" x14ac:dyDescent="0.2">
      <c r="A1131" s="117"/>
      <c r="B1131" s="118"/>
      <c r="C1131" s="119"/>
      <c r="D1131" s="119"/>
      <c r="E1131" s="117"/>
      <c r="F1131" s="120">
        <f t="shared" si="340"/>
        <v>0</v>
      </c>
      <c r="G1131" s="121" t="str">
        <f t="shared" si="341"/>
        <v/>
      </c>
      <c r="H1131" s="122">
        <f>IF($D1131="",0,IFERROR(LOOKUP(2,1/(($D$3:D1130=$D1131)*($A$3:A1130&lt;$A1131)),$N$3:N1130),'Guide &amp; Settings'!$C$41))</f>
        <v>0</v>
      </c>
      <c r="I1131" s="123">
        <f t="shared" si="342"/>
        <v>0</v>
      </c>
      <c r="J1131" s="124">
        <f>IF($D1131="",0,IF($F1131&lt;2,0,IF($E1131="Win",('Guide &amp; Settings'!$C$42/(($F1131-1)*COUNTIFS($A$4:$A$1510,$A1131,$E$4:$E$1510,"Win")))*SUMIFS($X$4:$X$1510,$A$4:$A$1510,$A1131,$E$4:$E$1510,"Loss"),-('Guide &amp; Settings'!$C$42/($F1131-1))*$X1131)))</f>
        <v>0</v>
      </c>
      <c r="K1131" s="124">
        <f>IF($D1131="",0,'Guide &amp; Settings'!$C$43*(IF($E1131="Win",1,0)-$I1131))</f>
        <v>0</v>
      </c>
      <c r="L1131" s="125">
        <f>IF($D1131="",0,'Guide &amp; Settings'!$C$44*IF($F1131&gt;=3,$F1131,0))</f>
        <v>0</v>
      </c>
      <c r="M1131" s="124">
        <f t="shared" si="343"/>
        <v>0</v>
      </c>
      <c r="N1131" s="122">
        <f t="shared" si="344"/>
        <v>0</v>
      </c>
      <c r="O1131" s="121" t="str">
        <f t="shared" si="345"/>
        <v/>
      </c>
      <c r="P1131">
        <f t="shared" si="346"/>
        <v>0</v>
      </c>
      <c r="Q1131">
        <f t="shared" si="347"/>
        <v>0</v>
      </c>
      <c r="R1131">
        <f t="shared" si="348"/>
        <v>0</v>
      </c>
      <c r="S1131">
        <f t="shared" si="349"/>
        <v>0</v>
      </c>
      <c r="T1131" s="89">
        <f t="shared" si="350"/>
        <v>0</v>
      </c>
      <c r="U1131" s="126">
        <f>IF($D1131="",0,IFERROR(LOOKUP(2,1/(($D$3:D1130=$D1131)*($C$3:C1130=$C1131)*($A$3:A1130&lt;$A1131)),$AB$3:AB1130),1000))</f>
        <v>0</v>
      </c>
      <c r="V1131" s="126">
        <f t="shared" si="351"/>
        <v>0</v>
      </c>
      <c r="W1131">
        <f t="shared" si="352"/>
        <v>0</v>
      </c>
      <c r="X1131">
        <f t="shared" si="353"/>
        <v>0</v>
      </c>
      <c r="Y1131">
        <f t="shared" si="354"/>
        <v>0</v>
      </c>
      <c r="Z1131">
        <f t="shared" si="355"/>
        <v>0</v>
      </c>
      <c r="AA1131">
        <f>IF($D1131="",0,IF($F1131&lt;2,0,IF($E1131="Win",('Guide &amp; Settings'!$C$42/(($F1131-1)*COUNTIFS($A$4:$A$1510,$A1131,$E$4:$E$1510,"Win")))*SUMIFS($Z$4:$Z$1510,$A$4:$A$1510,$A1131,$E$4:$E$1510,"Loss"),-('Guide &amp; Settings'!$C$42/($F1131-1))*$Z1131)))</f>
        <v>0</v>
      </c>
      <c r="AB1131" s="126">
        <f t="shared" si="356"/>
        <v>0</v>
      </c>
      <c r="AC1131" t="str">
        <f>IF($D1131="","",IF($AD1131=0,0,IF(COUNTIFS($D$4:$D1131,$D1131,$B$4:$B1131,$B1131)&gt;1,0,IF($B1131&lt;'Guide &amp; Settings'!$C$50,0,IF(($B1131-$AD1131)/7-'Guide &amp; Settings'!$C$48&gt;=0,(INT(($B1131-$AD1131)/7-'Guide &amp; Settings'!$C$48)+1)*'Guide &amp; Settings'!$C$49,0)))))</f>
        <v/>
      </c>
      <c r="AD1131" s="142">
        <f t="shared" si="357"/>
        <v>0</v>
      </c>
      <c r="AE1131">
        <f t="shared" si="358"/>
        <v>0</v>
      </c>
      <c r="AF1131">
        <f t="shared" si="359"/>
        <v>0</v>
      </c>
    </row>
    <row r="1132" spans="1:32" x14ac:dyDescent="0.2">
      <c r="A1132" s="117"/>
      <c r="B1132" s="118"/>
      <c r="C1132" s="119"/>
      <c r="D1132" s="119"/>
      <c r="E1132" s="117"/>
      <c r="F1132" s="120">
        <f t="shared" si="340"/>
        <v>0</v>
      </c>
      <c r="G1132" s="121" t="str">
        <f t="shared" si="341"/>
        <v/>
      </c>
      <c r="H1132" s="122">
        <f>IF($D1132="",0,IFERROR(LOOKUP(2,1/(($D$3:D1131=$D1132)*($A$3:A1131&lt;$A1132)),$N$3:N1131),'Guide &amp; Settings'!$C$41))</f>
        <v>0</v>
      </c>
      <c r="I1132" s="123">
        <f t="shared" si="342"/>
        <v>0</v>
      </c>
      <c r="J1132" s="124">
        <f>IF($D1132="",0,IF($F1132&lt;2,0,IF($E1132="Win",('Guide &amp; Settings'!$C$42/(($F1132-1)*COUNTIFS($A$4:$A$1510,$A1132,$E$4:$E$1510,"Win")))*SUMIFS($X$4:$X$1510,$A$4:$A$1510,$A1132,$E$4:$E$1510,"Loss"),-('Guide &amp; Settings'!$C$42/($F1132-1))*$X1132)))</f>
        <v>0</v>
      </c>
      <c r="K1132" s="124">
        <f>IF($D1132="",0,'Guide &amp; Settings'!$C$43*(IF($E1132="Win",1,0)-$I1132))</f>
        <v>0</v>
      </c>
      <c r="L1132" s="125">
        <f>IF($D1132="",0,'Guide &amp; Settings'!$C$44*IF($F1132&gt;=3,$F1132,0))</f>
        <v>0</v>
      </c>
      <c r="M1132" s="124">
        <f t="shared" si="343"/>
        <v>0</v>
      </c>
      <c r="N1132" s="122">
        <f t="shared" si="344"/>
        <v>0</v>
      </c>
      <c r="O1132" s="121" t="str">
        <f t="shared" si="345"/>
        <v/>
      </c>
      <c r="P1132">
        <f t="shared" si="346"/>
        <v>0</v>
      </c>
      <c r="Q1132">
        <f t="shared" si="347"/>
        <v>0</v>
      </c>
      <c r="R1132">
        <f t="shared" si="348"/>
        <v>0</v>
      </c>
      <c r="S1132">
        <f t="shared" si="349"/>
        <v>0</v>
      </c>
      <c r="T1132" s="89">
        <f t="shared" si="350"/>
        <v>0</v>
      </c>
      <c r="U1132" s="126">
        <f>IF($D1132="",0,IFERROR(LOOKUP(2,1/(($D$3:D1131=$D1132)*($C$3:C1131=$C1132)*($A$3:A1131&lt;$A1132)),$AB$3:AB1131),1000))</f>
        <v>0</v>
      </c>
      <c r="V1132" s="126">
        <f t="shared" si="351"/>
        <v>0</v>
      </c>
      <c r="W1132">
        <f t="shared" si="352"/>
        <v>0</v>
      </c>
      <c r="X1132">
        <f t="shared" si="353"/>
        <v>0</v>
      </c>
      <c r="Y1132">
        <f t="shared" si="354"/>
        <v>0</v>
      </c>
      <c r="Z1132">
        <f t="shared" si="355"/>
        <v>0</v>
      </c>
      <c r="AA1132">
        <f>IF($D1132="",0,IF($F1132&lt;2,0,IF($E1132="Win",('Guide &amp; Settings'!$C$42/(($F1132-1)*COUNTIFS($A$4:$A$1510,$A1132,$E$4:$E$1510,"Win")))*SUMIFS($Z$4:$Z$1510,$A$4:$A$1510,$A1132,$E$4:$E$1510,"Loss"),-('Guide &amp; Settings'!$C$42/($F1132-1))*$Z1132)))</f>
        <v>0</v>
      </c>
      <c r="AB1132" s="126">
        <f t="shared" si="356"/>
        <v>0</v>
      </c>
      <c r="AC1132" t="str">
        <f>IF($D1132="","",IF($AD1132=0,0,IF(COUNTIFS($D$4:$D1132,$D1132,$B$4:$B1132,$B1132)&gt;1,0,IF($B1132&lt;'Guide &amp; Settings'!$C$50,0,IF(($B1132-$AD1132)/7-'Guide &amp; Settings'!$C$48&gt;=0,(INT(($B1132-$AD1132)/7-'Guide &amp; Settings'!$C$48)+1)*'Guide &amp; Settings'!$C$49,0)))))</f>
        <v/>
      </c>
      <c r="AD1132" s="142">
        <f t="shared" si="357"/>
        <v>0</v>
      </c>
      <c r="AE1132">
        <f t="shared" si="358"/>
        <v>0</v>
      </c>
      <c r="AF1132">
        <f t="shared" si="359"/>
        <v>0</v>
      </c>
    </row>
    <row r="1133" spans="1:32" x14ac:dyDescent="0.2">
      <c r="A1133" s="117"/>
      <c r="B1133" s="118"/>
      <c r="C1133" s="119"/>
      <c r="D1133" s="119"/>
      <c r="E1133" s="117"/>
      <c r="F1133" s="120">
        <f t="shared" si="340"/>
        <v>0</v>
      </c>
      <c r="G1133" s="121" t="str">
        <f t="shared" si="341"/>
        <v/>
      </c>
      <c r="H1133" s="122">
        <f>IF($D1133="",0,IFERROR(LOOKUP(2,1/(($D$3:D1132=$D1133)*($A$3:A1132&lt;$A1133)),$N$3:N1132),'Guide &amp; Settings'!$C$41))</f>
        <v>0</v>
      </c>
      <c r="I1133" s="123">
        <f t="shared" si="342"/>
        <v>0</v>
      </c>
      <c r="J1133" s="124">
        <f>IF($D1133="",0,IF($F1133&lt;2,0,IF($E1133="Win",('Guide &amp; Settings'!$C$42/(($F1133-1)*COUNTIFS($A$4:$A$1510,$A1133,$E$4:$E$1510,"Win")))*SUMIFS($X$4:$X$1510,$A$4:$A$1510,$A1133,$E$4:$E$1510,"Loss"),-('Guide &amp; Settings'!$C$42/($F1133-1))*$X1133)))</f>
        <v>0</v>
      </c>
      <c r="K1133" s="124">
        <f>IF($D1133="",0,'Guide &amp; Settings'!$C$43*(IF($E1133="Win",1,0)-$I1133))</f>
        <v>0</v>
      </c>
      <c r="L1133" s="125">
        <f>IF($D1133="",0,'Guide &amp; Settings'!$C$44*IF($F1133&gt;=3,$F1133,0))</f>
        <v>0</v>
      </c>
      <c r="M1133" s="124">
        <f t="shared" si="343"/>
        <v>0</v>
      </c>
      <c r="N1133" s="122">
        <f t="shared" si="344"/>
        <v>0</v>
      </c>
      <c r="O1133" s="121" t="str">
        <f t="shared" si="345"/>
        <v/>
      </c>
      <c r="P1133">
        <f t="shared" si="346"/>
        <v>0</v>
      </c>
      <c r="Q1133">
        <f t="shared" si="347"/>
        <v>0</v>
      </c>
      <c r="R1133">
        <f t="shared" si="348"/>
        <v>0</v>
      </c>
      <c r="S1133">
        <f t="shared" si="349"/>
        <v>0</v>
      </c>
      <c r="T1133" s="89">
        <f t="shared" si="350"/>
        <v>0</v>
      </c>
      <c r="U1133" s="126">
        <f>IF($D1133="",0,IFERROR(LOOKUP(2,1/(($D$3:D1132=$D1133)*($C$3:C1132=$C1133)*($A$3:A1132&lt;$A1133)),$AB$3:AB1132),1000))</f>
        <v>0</v>
      </c>
      <c r="V1133" s="126">
        <f t="shared" si="351"/>
        <v>0</v>
      </c>
      <c r="W1133">
        <f t="shared" si="352"/>
        <v>0</v>
      </c>
      <c r="X1133">
        <f t="shared" si="353"/>
        <v>0</v>
      </c>
      <c r="Y1133">
        <f t="shared" si="354"/>
        <v>0</v>
      </c>
      <c r="Z1133">
        <f t="shared" si="355"/>
        <v>0</v>
      </c>
      <c r="AA1133">
        <f>IF($D1133="",0,IF($F1133&lt;2,0,IF($E1133="Win",('Guide &amp; Settings'!$C$42/(($F1133-1)*COUNTIFS($A$4:$A$1510,$A1133,$E$4:$E$1510,"Win")))*SUMIFS($Z$4:$Z$1510,$A$4:$A$1510,$A1133,$E$4:$E$1510,"Loss"),-('Guide &amp; Settings'!$C$42/($F1133-1))*$Z1133)))</f>
        <v>0</v>
      </c>
      <c r="AB1133" s="126">
        <f t="shared" si="356"/>
        <v>0</v>
      </c>
      <c r="AC1133" t="str">
        <f>IF($D1133="","",IF($AD1133=0,0,IF(COUNTIFS($D$4:$D1133,$D1133,$B$4:$B1133,$B1133)&gt;1,0,IF($B1133&lt;'Guide &amp; Settings'!$C$50,0,IF(($B1133-$AD1133)/7-'Guide &amp; Settings'!$C$48&gt;=0,(INT(($B1133-$AD1133)/7-'Guide &amp; Settings'!$C$48)+1)*'Guide &amp; Settings'!$C$49,0)))))</f>
        <v/>
      </c>
      <c r="AD1133" s="142">
        <f t="shared" si="357"/>
        <v>0</v>
      </c>
      <c r="AE1133">
        <f t="shared" si="358"/>
        <v>0</v>
      </c>
      <c r="AF1133">
        <f t="shared" si="359"/>
        <v>0</v>
      </c>
    </row>
    <row r="1134" spans="1:32" x14ac:dyDescent="0.2">
      <c r="A1134" s="117"/>
      <c r="B1134" s="118"/>
      <c r="C1134" s="119"/>
      <c r="D1134" s="119"/>
      <c r="E1134" s="117"/>
      <c r="F1134" s="120">
        <f t="shared" si="340"/>
        <v>0</v>
      </c>
      <c r="G1134" s="121" t="str">
        <f t="shared" si="341"/>
        <v/>
      </c>
      <c r="H1134" s="122">
        <f>IF($D1134="",0,IFERROR(LOOKUP(2,1/(($D$3:D1133=$D1134)*($A$3:A1133&lt;$A1134)),$N$3:N1133),'Guide &amp; Settings'!$C$41))</f>
        <v>0</v>
      </c>
      <c r="I1134" s="123">
        <f t="shared" si="342"/>
        <v>0</v>
      </c>
      <c r="J1134" s="124">
        <f>IF($D1134="",0,IF($F1134&lt;2,0,IF($E1134="Win",('Guide &amp; Settings'!$C$42/(($F1134-1)*COUNTIFS($A$4:$A$1510,$A1134,$E$4:$E$1510,"Win")))*SUMIFS($X$4:$X$1510,$A$4:$A$1510,$A1134,$E$4:$E$1510,"Loss"),-('Guide &amp; Settings'!$C$42/($F1134-1))*$X1134)))</f>
        <v>0</v>
      </c>
      <c r="K1134" s="124">
        <f>IF($D1134="",0,'Guide &amp; Settings'!$C$43*(IF($E1134="Win",1,0)-$I1134))</f>
        <v>0</v>
      </c>
      <c r="L1134" s="125">
        <f>IF($D1134="",0,'Guide &amp; Settings'!$C$44*IF($F1134&gt;=3,$F1134,0))</f>
        <v>0</v>
      </c>
      <c r="M1134" s="124">
        <f t="shared" si="343"/>
        <v>0</v>
      </c>
      <c r="N1134" s="122">
        <f t="shared" si="344"/>
        <v>0</v>
      </c>
      <c r="O1134" s="121" t="str">
        <f t="shared" si="345"/>
        <v/>
      </c>
      <c r="P1134">
        <f t="shared" si="346"/>
        <v>0</v>
      </c>
      <c r="Q1134">
        <f t="shared" si="347"/>
        <v>0</v>
      </c>
      <c r="R1134">
        <f t="shared" si="348"/>
        <v>0</v>
      </c>
      <c r="S1134">
        <f t="shared" si="349"/>
        <v>0</v>
      </c>
      <c r="T1134" s="89">
        <f t="shared" si="350"/>
        <v>0</v>
      </c>
      <c r="U1134" s="126">
        <f>IF($D1134="",0,IFERROR(LOOKUP(2,1/(($D$3:D1133=$D1134)*($C$3:C1133=$C1134)*($A$3:A1133&lt;$A1134)),$AB$3:AB1133),1000))</f>
        <v>0</v>
      </c>
      <c r="V1134" s="126">
        <f t="shared" si="351"/>
        <v>0</v>
      </c>
      <c r="W1134">
        <f t="shared" si="352"/>
        <v>0</v>
      </c>
      <c r="X1134">
        <f t="shared" si="353"/>
        <v>0</v>
      </c>
      <c r="Y1134">
        <f t="shared" si="354"/>
        <v>0</v>
      </c>
      <c r="Z1134">
        <f t="shared" si="355"/>
        <v>0</v>
      </c>
      <c r="AA1134">
        <f>IF($D1134="",0,IF($F1134&lt;2,0,IF($E1134="Win",('Guide &amp; Settings'!$C$42/(($F1134-1)*COUNTIFS($A$4:$A$1510,$A1134,$E$4:$E$1510,"Win")))*SUMIFS($Z$4:$Z$1510,$A$4:$A$1510,$A1134,$E$4:$E$1510,"Loss"),-('Guide &amp; Settings'!$C$42/($F1134-1))*$Z1134)))</f>
        <v>0</v>
      </c>
      <c r="AB1134" s="126">
        <f t="shared" si="356"/>
        <v>0</v>
      </c>
      <c r="AC1134" t="str">
        <f>IF($D1134="","",IF($AD1134=0,0,IF(COUNTIFS($D$4:$D1134,$D1134,$B$4:$B1134,$B1134)&gt;1,0,IF($B1134&lt;'Guide &amp; Settings'!$C$50,0,IF(($B1134-$AD1134)/7-'Guide &amp; Settings'!$C$48&gt;=0,(INT(($B1134-$AD1134)/7-'Guide &amp; Settings'!$C$48)+1)*'Guide &amp; Settings'!$C$49,0)))))</f>
        <v/>
      </c>
      <c r="AD1134" s="142">
        <f t="shared" si="357"/>
        <v>0</v>
      </c>
      <c r="AE1134">
        <f t="shared" si="358"/>
        <v>0</v>
      </c>
      <c r="AF1134">
        <f t="shared" si="359"/>
        <v>0</v>
      </c>
    </row>
    <row r="1135" spans="1:32" x14ac:dyDescent="0.2">
      <c r="A1135" s="117"/>
      <c r="B1135" s="118"/>
      <c r="C1135" s="119"/>
      <c r="D1135" s="119"/>
      <c r="E1135" s="117"/>
      <c r="F1135" s="120">
        <f t="shared" si="340"/>
        <v>0</v>
      </c>
      <c r="G1135" s="121" t="str">
        <f t="shared" si="341"/>
        <v/>
      </c>
      <c r="H1135" s="122">
        <f>IF($D1135="",0,IFERROR(LOOKUP(2,1/(($D$3:D1134=$D1135)*($A$3:A1134&lt;$A1135)),$N$3:N1134),'Guide &amp; Settings'!$C$41))</f>
        <v>0</v>
      </c>
      <c r="I1135" s="123">
        <f t="shared" si="342"/>
        <v>0</v>
      </c>
      <c r="J1135" s="124">
        <f>IF($D1135="",0,IF($F1135&lt;2,0,IF($E1135="Win",('Guide &amp; Settings'!$C$42/(($F1135-1)*COUNTIFS($A$4:$A$1510,$A1135,$E$4:$E$1510,"Win")))*SUMIFS($X$4:$X$1510,$A$4:$A$1510,$A1135,$E$4:$E$1510,"Loss"),-('Guide &amp; Settings'!$C$42/($F1135-1))*$X1135)))</f>
        <v>0</v>
      </c>
      <c r="K1135" s="124">
        <f>IF($D1135="",0,'Guide &amp; Settings'!$C$43*(IF($E1135="Win",1,0)-$I1135))</f>
        <v>0</v>
      </c>
      <c r="L1135" s="125">
        <f>IF($D1135="",0,'Guide &amp; Settings'!$C$44*IF($F1135&gt;=3,$F1135,0))</f>
        <v>0</v>
      </c>
      <c r="M1135" s="124">
        <f t="shared" si="343"/>
        <v>0</v>
      </c>
      <c r="N1135" s="122">
        <f t="shared" si="344"/>
        <v>0</v>
      </c>
      <c r="O1135" s="121" t="str">
        <f t="shared" si="345"/>
        <v/>
      </c>
      <c r="P1135">
        <f t="shared" si="346"/>
        <v>0</v>
      </c>
      <c r="Q1135">
        <f t="shared" si="347"/>
        <v>0</v>
      </c>
      <c r="R1135">
        <f t="shared" si="348"/>
        <v>0</v>
      </c>
      <c r="S1135">
        <f t="shared" si="349"/>
        <v>0</v>
      </c>
      <c r="T1135" s="89">
        <f t="shared" si="350"/>
        <v>0</v>
      </c>
      <c r="U1135" s="126">
        <f>IF($D1135="",0,IFERROR(LOOKUP(2,1/(($D$3:D1134=$D1135)*($C$3:C1134=$C1135)*($A$3:A1134&lt;$A1135)),$AB$3:AB1134),1000))</f>
        <v>0</v>
      </c>
      <c r="V1135" s="126">
        <f t="shared" si="351"/>
        <v>0</v>
      </c>
      <c r="W1135">
        <f t="shared" si="352"/>
        <v>0</v>
      </c>
      <c r="X1135">
        <f t="shared" si="353"/>
        <v>0</v>
      </c>
      <c r="Y1135">
        <f t="shared" si="354"/>
        <v>0</v>
      </c>
      <c r="Z1135">
        <f t="shared" si="355"/>
        <v>0</v>
      </c>
      <c r="AA1135">
        <f>IF($D1135="",0,IF($F1135&lt;2,0,IF($E1135="Win",('Guide &amp; Settings'!$C$42/(($F1135-1)*COUNTIFS($A$4:$A$1510,$A1135,$E$4:$E$1510,"Win")))*SUMIFS($Z$4:$Z$1510,$A$4:$A$1510,$A1135,$E$4:$E$1510,"Loss"),-('Guide &amp; Settings'!$C$42/($F1135-1))*$Z1135)))</f>
        <v>0</v>
      </c>
      <c r="AB1135" s="126">
        <f t="shared" si="356"/>
        <v>0</v>
      </c>
      <c r="AC1135" t="str">
        <f>IF($D1135="","",IF($AD1135=0,0,IF(COUNTIFS($D$4:$D1135,$D1135,$B$4:$B1135,$B1135)&gt;1,0,IF($B1135&lt;'Guide &amp; Settings'!$C$50,0,IF(($B1135-$AD1135)/7-'Guide &amp; Settings'!$C$48&gt;=0,(INT(($B1135-$AD1135)/7-'Guide &amp; Settings'!$C$48)+1)*'Guide &amp; Settings'!$C$49,0)))))</f>
        <v/>
      </c>
      <c r="AD1135" s="142">
        <f t="shared" si="357"/>
        <v>0</v>
      </c>
      <c r="AE1135">
        <f t="shared" si="358"/>
        <v>0</v>
      </c>
      <c r="AF1135">
        <f t="shared" si="359"/>
        <v>0</v>
      </c>
    </row>
    <row r="1136" spans="1:32" x14ac:dyDescent="0.2">
      <c r="A1136" s="117"/>
      <c r="B1136" s="118"/>
      <c r="C1136" s="119"/>
      <c r="D1136" s="119"/>
      <c r="E1136" s="117"/>
      <c r="F1136" s="120">
        <f t="shared" si="340"/>
        <v>0</v>
      </c>
      <c r="G1136" s="121" t="str">
        <f t="shared" si="341"/>
        <v/>
      </c>
      <c r="H1136" s="122">
        <f>IF($D1136="",0,IFERROR(LOOKUP(2,1/(($D$3:D1135=$D1136)*($A$3:A1135&lt;$A1136)),$N$3:N1135),'Guide &amp; Settings'!$C$41))</f>
        <v>0</v>
      </c>
      <c r="I1136" s="123">
        <f t="shared" si="342"/>
        <v>0</v>
      </c>
      <c r="J1136" s="124">
        <f>IF($D1136="",0,IF($F1136&lt;2,0,IF($E1136="Win",('Guide &amp; Settings'!$C$42/(($F1136-1)*COUNTIFS($A$4:$A$1510,$A1136,$E$4:$E$1510,"Win")))*SUMIFS($X$4:$X$1510,$A$4:$A$1510,$A1136,$E$4:$E$1510,"Loss"),-('Guide &amp; Settings'!$C$42/($F1136-1))*$X1136)))</f>
        <v>0</v>
      </c>
      <c r="K1136" s="124">
        <f>IF($D1136="",0,'Guide &amp; Settings'!$C$43*(IF($E1136="Win",1,0)-$I1136))</f>
        <v>0</v>
      </c>
      <c r="L1136" s="125">
        <f>IF($D1136="",0,'Guide &amp; Settings'!$C$44*IF($F1136&gt;=3,$F1136,0))</f>
        <v>0</v>
      </c>
      <c r="M1136" s="124">
        <f t="shared" si="343"/>
        <v>0</v>
      </c>
      <c r="N1136" s="122">
        <f t="shared" si="344"/>
        <v>0</v>
      </c>
      <c r="O1136" s="121" t="str">
        <f t="shared" si="345"/>
        <v/>
      </c>
      <c r="P1136">
        <f t="shared" si="346"/>
        <v>0</v>
      </c>
      <c r="Q1136">
        <f t="shared" si="347"/>
        <v>0</v>
      </c>
      <c r="R1136">
        <f t="shared" si="348"/>
        <v>0</v>
      </c>
      <c r="S1136">
        <f t="shared" si="349"/>
        <v>0</v>
      </c>
      <c r="T1136" s="89">
        <f t="shared" si="350"/>
        <v>0</v>
      </c>
      <c r="U1136" s="126">
        <f>IF($D1136="",0,IFERROR(LOOKUP(2,1/(($D$3:D1135=$D1136)*($C$3:C1135=$C1136)*($A$3:A1135&lt;$A1136)),$AB$3:AB1135),1000))</f>
        <v>0</v>
      </c>
      <c r="V1136" s="126">
        <f t="shared" si="351"/>
        <v>0</v>
      </c>
      <c r="W1136">
        <f t="shared" si="352"/>
        <v>0</v>
      </c>
      <c r="X1136">
        <f t="shared" si="353"/>
        <v>0</v>
      </c>
      <c r="Y1136">
        <f t="shared" si="354"/>
        <v>0</v>
      </c>
      <c r="Z1136">
        <f t="shared" si="355"/>
        <v>0</v>
      </c>
      <c r="AA1136">
        <f>IF($D1136="",0,IF($F1136&lt;2,0,IF($E1136="Win",('Guide &amp; Settings'!$C$42/(($F1136-1)*COUNTIFS($A$4:$A$1510,$A1136,$E$4:$E$1510,"Win")))*SUMIFS($Z$4:$Z$1510,$A$4:$A$1510,$A1136,$E$4:$E$1510,"Loss"),-('Guide &amp; Settings'!$C$42/($F1136-1))*$Z1136)))</f>
        <v>0</v>
      </c>
      <c r="AB1136" s="126">
        <f t="shared" si="356"/>
        <v>0</v>
      </c>
      <c r="AC1136" t="str">
        <f>IF($D1136="","",IF($AD1136=0,0,IF(COUNTIFS($D$4:$D1136,$D1136,$B$4:$B1136,$B1136)&gt;1,0,IF($B1136&lt;'Guide &amp; Settings'!$C$50,0,IF(($B1136-$AD1136)/7-'Guide &amp; Settings'!$C$48&gt;=0,(INT(($B1136-$AD1136)/7-'Guide &amp; Settings'!$C$48)+1)*'Guide &amp; Settings'!$C$49,0)))))</f>
        <v/>
      </c>
      <c r="AD1136" s="142">
        <f t="shared" si="357"/>
        <v>0</v>
      </c>
      <c r="AE1136">
        <f t="shared" si="358"/>
        <v>0</v>
      </c>
      <c r="AF1136">
        <f t="shared" si="359"/>
        <v>0</v>
      </c>
    </row>
    <row r="1137" spans="1:32" x14ac:dyDescent="0.2">
      <c r="A1137" s="117"/>
      <c r="B1137" s="118"/>
      <c r="C1137" s="119"/>
      <c r="D1137" s="119"/>
      <c r="E1137" s="117"/>
      <c r="F1137" s="120">
        <f t="shared" si="340"/>
        <v>0</v>
      </c>
      <c r="G1137" s="121" t="str">
        <f t="shared" si="341"/>
        <v/>
      </c>
      <c r="H1137" s="122">
        <f>IF($D1137="",0,IFERROR(LOOKUP(2,1/(($D$3:D1136=$D1137)*($A$3:A1136&lt;$A1137)),$N$3:N1136),'Guide &amp; Settings'!$C$41))</f>
        <v>0</v>
      </c>
      <c r="I1137" s="123">
        <f t="shared" si="342"/>
        <v>0</v>
      </c>
      <c r="J1137" s="124">
        <f>IF($D1137="",0,IF($F1137&lt;2,0,IF($E1137="Win",('Guide &amp; Settings'!$C$42/(($F1137-1)*COUNTIFS($A$4:$A$1510,$A1137,$E$4:$E$1510,"Win")))*SUMIFS($X$4:$X$1510,$A$4:$A$1510,$A1137,$E$4:$E$1510,"Loss"),-('Guide &amp; Settings'!$C$42/($F1137-1))*$X1137)))</f>
        <v>0</v>
      </c>
      <c r="K1137" s="124">
        <f>IF($D1137="",0,'Guide &amp; Settings'!$C$43*(IF($E1137="Win",1,0)-$I1137))</f>
        <v>0</v>
      </c>
      <c r="L1137" s="125">
        <f>IF($D1137="",0,'Guide &amp; Settings'!$C$44*IF($F1137&gt;=3,$F1137,0))</f>
        <v>0</v>
      </c>
      <c r="M1137" s="124">
        <f t="shared" si="343"/>
        <v>0</v>
      </c>
      <c r="N1137" s="122">
        <f t="shared" si="344"/>
        <v>0</v>
      </c>
      <c r="O1137" s="121" t="str">
        <f t="shared" si="345"/>
        <v/>
      </c>
      <c r="P1137">
        <f t="shared" si="346"/>
        <v>0</v>
      </c>
      <c r="Q1137">
        <f t="shared" si="347"/>
        <v>0</v>
      </c>
      <c r="R1137">
        <f t="shared" si="348"/>
        <v>0</v>
      </c>
      <c r="S1137">
        <f t="shared" si="349"/>
        <v>0</v>
      </c>
      <c r="T1137" s="89">
        <f t="shared" si="350"/>
        <v>0</v>
      </c>
      <c r="U1137" s="126">
        <f>IF($D1137="",0,IFERROR(LOOKUP(2,1/(($D$3:D1136=$D1137)*($C$3:C1136=$C1137)*($A$3:A1136&lt;$A1137)),$AB$3:AB1136),1000))</f>
        <v>0</v>
      </c>
      <c r="V1137" s="126">
        <f t="shared" si="351"/>
        <v>0</v>
      </c>
      <c r="W1137">
        <f t="shared" si="352"/>
        <v>0</v>
      </c>
      <c r="X1137">
        <f t="shared" si="353"/>
        <v>0</v>
      </c>
      <c r="Y1137">
        <f t="shared" si="354"/>
        <v>0</v>
      </c>
      <c r="Z1137">
        <f t="shared" si="355"/>
        <v>0</v>
      </c>
      <c r="AA1137">
        <f>IF($D1137="",0,IF($F1137&lt;2,0,IF($E1137="Win",('Guide &amp; Settings'!$C$42/(($F1137-1)*COUNTIFS($A$4:$A$1510,$A1137,$E$4:$E$1510,"Win")))*SUMIFS($Z$4:$Z$1510,$A$4:$A$1510,$A1137,$E$4:$E$1510,"Loss"),-('Guide &amp; Settings'!$C$42/($F1137-1))*$Z1137)))</f>
        <v>0</v>
      </c>
      <c r="AB1137" s="126">
        <f t="shared" si="356"/>
        <v>0</v>
      </c>
      <c r="AC1137" t="str">
        <f>IF($D1137="","",IF($AD1137=0,0,IF(COUNTIFS($D$4:$D1137,$D1137,$B$4:$B1137,$B1137)&gt;1,0,IF($B1137&lt;'Guide &amp; Settings'!$C$50,0,IF(($B1137-$AD1137)/7-'Guide &amp; Settings'!$C$48&gt;=0,(INT(($B1137-$AD1137)/7-'Guide &amp; Settings'!$C$48)+1)*'Guide &amp; Settings'!$C$49,0)))))</f>
        <v/>
      </c>
      <c r="AD1137" s="142">
        <f t="shared" si="357"/>
        <v>0</v>
      </c>
      <c r="AE1137">
        <f t="shared" si="358"/>
        <v>0</v>
      </c>
      <c r="AF1137">
        <f t="shared" si="359"/>
        <v>0</v>
      </c>
    </row>
    <row r="1138" spans="1:32" x14ac:dyDescent="0.2">
      <c r="A1138" s="117"/>
      <c r="B1138" s="118"/>
      <c r="C1138" s="119"/>
      <c r="D1138" s="119"/>
      <c r="E1138" s="117"/>
      <c r="F1138" s="120">
        <f t="shared" si="340"/>
        <v>0</v>
      </c>
      <c r="G1138" s="121" t="str">
        <f t="shared" si="341"/>
        <v/>
      </c>
      <c r="H1138" s="122">
        <f>IF($D1138="",0,IFERROR(LOOKUP(2,1/(($D$3:D1137=$D1138)*($A$3:A1137&lt;$A1138)),$N$3:N1137),'Guide &amp; Settings'!$C$41))</f>
        <v>0</v>
      </c>
      <c r="I1138" s="123">
        <f t="shared" si="342"/>
        <v>0</v>
      </c>
      <c r="J1138" s="124">
        <f>IF($D1138="",0,IF($F1138&lt;2,0,IF($E1138="Win",('Guide &amp; Settings'!$C$42/(($F1138-1)*COUNTIFS($A$4:$A$1510,$A1138,$E$4:$E$1510,"Win")))*SUMIFS($X$4:$X$1510,$A$4:$A$1510,$A1138,$E$4:$E$1510,"Loss"),-('Guide &amp; Settings'!$C$42/($F1138-1))*$X1138)))</f>
        <v>0</v>
      </c>
      <c r="K1138" s="124">
        <f>IF($D1138="",0,'Guide &amp; Settings'!$C$43*(IF($E1138="Win",1,0)-$I1138))</f>
        <v>0</v>
      </c>
      <c r="L1138" s="125">
        <f>IF($D1138="",0,'Guide &amp; Settings'!$C$44*IF($F1138&gt;=3,$F1138,0))</f>
        <v>0</v>
      </c>
      <c r="M1138" s="124">
        <f t="shared" si="343"/>
        <v>0</v>
      </c>
      <c r="N1138" s="122">
        <f t="shared" si="344"/>
        <v>0</v>
      </c>
      <c r="O1138" s="121" t="str">
        <f t="shared" si="345"/>
        <v/>
      </c>
      <c r="P1138">
        <f t="shared" si="346"/>
        <v>0</v>
      </c>
      <c r="Q1138">
        <f t="shared" si="347"/>
        <v>0</v>
      </c>
      <c r="R1138">
        <f t="shared" si="348"/>
        <v>0</v>
      </c>
      <c r="S1138">
        <f t="shared" si="349"/>
        <v>0</v>
      </c>
      <c r="T1138" s="89">
        <f t="shared" si="350"/>
        <v>0</v>
      </c>
      <c r="U1138" s="126">
        <f>IF($D1138="",0,IFERROR(LOOKUP(2,1/(($D$3:D1137=$D1138)*($C$3:C1137=$C1138)*($A$3:A1137&lt;$A1138)),$AB$3:AB1137),1000))</f>
        <v>0</v>
      </c>
      <c r="V1138" s="126">
        <f t="shared" si="351"/>
        <v>0</v>
      </c>
      <c r="W1138">
        <f t="shared" si="352"/>
        <v>0</v>
      </c>
      <c r="X1138">
        <f t="shared" si="353"/>
        <v>0</v>
      </c>
      <c r="Y1138">
        <f t="shared" si="354"/>
        <v>0</v>
      </c>
      <c r="Z1138">
        <f t="shared" si="355"/>
        <v>0</v>
      </c>
      <c r="AA1138">
        <f>IF($D1138="",0,IF($F1138&lt;2,0,IF($E1138="Win",('Guide &amp; Settings'!$C$42/(($F1138-1)*COUNTIFS($A$4:$A$1510,$A1138,$E$4:$E$1510,"Win")))*SUMIFS($Z$4:$Z$1510,$A$4:$A$1510,$A1138,$E$4:$E$1510,"Loss"),-('Guide &amp; Settings'!$C$42/($F1138-1))*$Z1138)))</f>
        <v>0</v>
      </c>
      <c r="AB1138" s="126">
        <f t="shared" si="356"/>
        <v>0</v>
      </c>
      <c r="AC1138" t="str">
        <f>IF($D1138="","",IF($AD1138=0,0,IF(COUNTIFS($D$4:$D1138,$D1138,$B$4:$B1138,$B1138)&gt;1,0,IF($B1138&lt;'Guide &amp; Settings'!$C$50,0,IF(($B1138-$AD1138)/7-'Guide &amp; Settings'!$C$48&gt;=0,(INT(($B1138-$AD1138)/7-'Guide &amp; Settings'!$C$48)+1)*'Guide &amp; Settings'!$C$49,0)))))</f>
        <v/>
      </c>
      <c r="AD1138" s="142">
        <f t="shared" si="357"/>
        <v>0</v>
      </c>
      <c r="AE1138">
        <f t="shared" si="358"/>
        <v>0</v>
      </c>
      <c r="AF1138">
        <f t="shared" si="359"/>
        <v>0</v>
      </c>
    </row>
    <row r="1139" spans="1:32" x14ac:dyDescent="0.2">
      <c r="A1139" s="117"/>
      <c r="B1139" s="118"/>
      <c r="C1139" s="119"/>
      <c r="D1139" s="119"/>
      <c r="E1139" s="117"/>
      <c r="F1139" s="120">
        <f t="shared" si="340"/>
        <v>0</v>
      </c>
      <c r="G1139" s="121" t="str">
        <f t="shared" si="341"/>
        <v/>
      </c>
      <c r="H1139" s="122">
        <f>IF($D1139="",0,IFERROR(LOOKUP(2,1/(($D$3:D1138=$D1139)*($A$3:A1138&lt;$A1139)),$N$3:N1138),'Guide &amp; Settings'!$C$41))</f>
        <v>0</v>
      </c>
      <c r="I1139" s="123">
        <f t="shared" si="342"/>
        <v>0</v>
      </c>
      <c r="J1139" s="124">
        <f>IF($D1139="",0,IF($F1139&lt;2,0,IF($E1139="Win",('Guide &amp; Settings'!$C$42/(($F1139-1)*COUNTIFS($A$4:$A$1510,$A1139,$E$4:$E$1510,"Win")))*SUMIFS($X$4:$X$1510,$A$4:$A$1510,$A1139,$E$4:$E$1510,"Loss"),-('Guide &amp; Settings'!$C$42/($F1139-1))*$X1139)))</f>
        <v>0</v>
      </c>
      <c r="K1139" s="124">
        <f>IF($D1139="",0,'Guide &amp; Settings'!$C$43*(IF($E1139="Win",1,0)-$I1139))</f>
        <v>0</v>
      </c>
      <c r="L1139" s="125">
        <f>IF($D1139="",0,'Guide &amp; Settings'!$C$44*IF($F1139&gt;=3,$F1139,0))</f>
        <v>0</v>
      </c>
      <c r="M1139" s="124">
        <f t="shared" si="343"/>
        <v>0</v>
      </c>
      <c r="N1139" s="122">
        <f t="shared" si="344"/>
        <v>0</v>
      </c>
      <c r="O1139" s="121" t="str">
        <f t="shared" si="345"/>
        <v/>
      </c>
      <c r="P1139">
        <f t="shared" si="346"/>
        <v>0</v>
      </c>
      <c r="Q1139">
        <f t="shared" si="347"/>
        <v>0</v>
      </c>
      <c r="R1139">
        <f t="shared" si="348"/>
        <v>0</v>
      </c>
      <c r="S1139">
        <f t="shared" si="349"/>
        <v>0</v>
      </c>
      <c r="T1139" s="89">
        <f t="shared" si="350"/>
        <v>0</v>
      </c>
      <c r="U1139" s="126">
        <f>IF($D1139="",0,IFERROR(LOOKUP(2,1/(($D$3:D1138=$D1139)*($C$3:C1138=$C1139)*($A$3:A1138&lt;$A1139)),$AB$3:AB1138),1000))</f>
        <v>0</v>
      </c>
      <c r="V1139" s="126">
        <f t="shared" si="351"/>
        <v>0</v>
      </c>
      <c r="W1139">
        <f t="shared" si="352"/>
        <v>0</v>
      </c>
      <c r="X1139">
        <f t="shared" si="353"/>
        <v>0</v>
      </c>
      <c r="Y1139">
        <f t="shared" si="354"/>
        <v>0</v>
      </c>
      <c r="Z1139">
        <f t="shared" si="355"/>
        <v>0</v>
      </c>
      <c r="AA1139">
        <f>IF($D1139="",0,IF($F1139&lt;2,0,IF($E1139="Win",('Guide &amp; Settings'!$C$42/(($F1139-1)*COUNTIFS($A$4:$A$1510,$A1139,$E$4:$E$1510,"Win")))*SUMIFS($Z$4:$Z$1510,$A$4:$A$1510,$A1139,$E$4:$E$1510,"Loss"),-('Guide &amp; Settings'!$C$42/($F1139-1))*$Z1139)))</f>
        <v>0</v>
      </c>
      <c r="AB1139" s="126">
        <f t="shared" si="356"/>
        <v>0</v>
      </c>
      <c r="AC1139" t="str">
        <f>IF($D1139="","",IF($AD1139=0,0,IF(COUNTIFS($D$4:$D1139,$D1139,$B$4:$B1139,$B1139)&gt;1,0,IF($B1139&lt;'Guide &amp; Settings'!$C$50,0,IF(($B1139-$AD1139)/7-'Guide &amp; Settings'!$C$48&gt;=0,(INT(($B1139-$AD1139)/7-'Guide &amp; Settings'!$C$48)+1)*'Guide &amp; Settings'!$C$49,0)))))</f>
        <v/>
      </c>
      <c r="AD1139" s="142">
        <f t="shared" si="357"/>
        <v>0</v>
      </c>
      <c r="AE1139">
        <f t="shared" si="358"/>
        <v>0</v>
      </c>
      <c r="AF1139">
        <f t="shared" si="359"/>
        <v>0</v>
      </c>
    </row>
    <row r="1140" spans="1:32" x14ac:dyDescent="0.2">
      <c r="A1140" s="117"/>
      <c r="B1140" s="118"/>
      <c r="C1140" s="119"/>
      <c r="D1140" s="119"/>
      <c r="E1140" s="117"/>
      <c r="F1140" s="120">
        <f t="shared" si="340"/>
        <v>0</v>
      </c>
      <c r="G1140" s="121" t="str">
        <f t="shared" si="341"/>
        <v/>
      </c>
      <c r="H1140" s="122">
        <f>IF($D1140="",0,IFERROR(LOOKUP(2,1/(($D$3:D1139=$D1140)*($A$3:A1139&lt;$A1140)),$N$3:N1139),'Guide &amp; Settings'!$C$41))</f>
        <v>0</v>
      </c>
      <c r="I1140" s="123">
        <f t="shared" si="342"/>
        <v>0</v>
      </c>
      <c r="J1140" s="124">
        <f>IF($D1140="",0,IF($F1140&lt;2,0,IF($E1140="Win",('Guide &amp; Settings'!$C$42/(($F1140-1)*COUNTIFS($A$4:$A$1510,$A1140,$E$4:$E$1510,"Win")))*SUMIFS($X$4:$X$1510,$A$4:$A$1510,$A1140,$E$4:$E$1510,"Loss"),-('Guide &amp; Settings'!$C$42/($F1140-1))*$X1140)))</f>
        <v>0</v>
      </c>
      <c r="K1140" s="124">
        <f>IF($D1140="",0,'Guide &amp; Settings'!$C$43*(IF($E1140="Win",1,0)-$I1140))</f>
        <v>0</v>
      </c>
      <c r="L1140" s="125">
        <f>IF($D1140="",0,'Guide &amp; Settings'!$C$44*IF($F1140&gt;=3,$F1140,0))</f>
        <v>0</v>
      </c>
      <c r="M1140" s="124">
        <f t="shared" si="343"/>
        <v>0</v>
      </c>
      <c r="N1140" s="122">
        <f t="shared" si="344"/>
        <v>0</v>
      </c>
      <c r="O1140" s="121" t="str">
        <f t="shared" si="345"/>
        <v/>
      </c>
      <c r="P1140">
        <f t="shared" si="346"/>
        <v>0</v>
      </c>
      <c r="Q1140">
        <f t="shared" si="347"/>
        <v>0</v>
      </c>
      <c r="R1140">
        <f t="shared" si="348"/>
        <v>0</v>
      </c>
      <c r="S1140">
        <f t="shared" si="349"/>
        <v>0</v>
      </c>
      <c r="T1140" s="89">
        <f t="shared" si="350"/>
        <v>0</v>
      </c>
      <c r="U1140" s="126">
        <f>IF($D1140="",0,IFERROR(LOOKUP(2,1/(($D$3:D1139=$D1140)*($C$3:C1139=$C1140)*($A$3:A1139&lt;$A1140)),$AB$3:AB1139),1000))</f>
        <v>0</v>
      </c>
      <c r="V1140" s="126">
        <f t="shared" si="351"/>
        <v>0</v>
      </c>
      <c r="W1140">
        <f t="shared" si="352"/>
        <v>0</v>
      </c>
      <c r="X1140">
        <f t="shared" si="353"/>
        <v>0</v>
      </c>
      <c r="Y1140">
        <f t="shared" si="354"/>
        <v>0</v>
      </c>
      <c r="Z1140">
        <f t="shared" si="355"/>
        <v>0</v>
      </c>
      <c r="AA1140">
        <f>IF($D1140="",0,IF($F1140&lt;2,0,IF($E1140="Win",('Guide &amp; Settings'!$C$42/(($F1140-1)*COUNTIFS($A$4:$A$1510,$A1140,$E$4:$E$1510,"Win")))*SUMIFS($Z$4:$Z$1510,$A$4:$A$1510,$A1140,$E$4:$E$1510,"Loss"),-('Guide &amp; Settings'!$C$42/($F1140-1))*$Z1140)))</f>
        <v>0</v>
      </c>
      <c r="AB1140" s="126">
        <f t="shared" si="356"/>
        <v>0</v>
      </c>
      <c r="AC1140" t="str">
        <f>IF($D1140="","",IF($AD1140=0,0,IF(COUNTIFS($D$4:$D1140,$D1140,$B$4:$B1140,$B1140)&gt;1,0,IF($B1140&lt;'Guide &amp; Settings'!$C$50,0,IF(($B1140-$AD1140)/7-'Guide &amp; Settings'!$C$48&gt;=0,(INT(($B1140-$AD1140)/7-'Guide &amp; Settings'!$C$48)+1)*'Guide &amp; Settings'!$C$49,0)))))</f>
        <v/>
      </c>
      <c r="AD1140" s="142">
        <f t="shared" si="357"/>
        <v>0</v>
      </c>
      <c r="AE1140">
        <f t="shared" si="358"/>
        <v>0</v>
      </c>
      <c r="AF1140">
        <f t="shared" si="359"/>
        <v>0</v>
      </c>
    </row>
    <row r="1141" spans="1:32" x14ac:dyDescent="0.2">
      <c r="A1141" s="117"/>
      <c r="B1141" s="118"/>
      <c r="C1141" s="119"/>
      <c r="D1141" s="119"/>
      <c r="E1141" s="117"/>
      <c r="F1141" s="120">
        <f t="shared" si="340"/>
        <v>0</v>
      </c>
      <c r="G1141" s="121" t="str">
        <f t="shared" si="341"/>
        <v/>
      </c>
      <c r="H1141" s="122">
        <f>IF($D1141="",0,IFERROR(LOOKUP(2,1/(($D$3:D1140=$D1141)*($A$3:A1140&lt;$A1141)),$N$3:N1140),'Guide &amp; Settings'!$C$41))</f>
        <v>0</v>
      </c>
      <c r="I1141" s="123">
        <f t="shared" si="342"/>
        <v>0</v>
      </c>
      <c r="J1141" s="124">
        <f>IF($D1141="",0,IF($F1141&lt;2,0,IF($E1141="Win",('Guide &amp; Settings'!$C$42/(($F1141-1)*COUNTIFS($A$4:$A$1510,$A1141,$E$4:$E$1510,"Win")))*SUMIFS($X$4:$X$1510,$A$4:$A$1510,$A1141,$E$4:$E$1510,"Loss"),-('Guide &amp; Settings'!$C$42/($F1141-1))*$X1141)))</f>
        <v>0</v>
      </c>
      <c r="K1141" s="124">
        <f>IF($D1141="",0,'Guide &amp; Settings'!$C$43*(IF($E1141="Win",1,0)-$I1141))</f>
        <v>0</v>
      </c>
      <c r="L1141" s="125">
        <f>IF($D1141="",0,'Guide &amp; Settings'!$C$44*IF($F1141&gt;=3,$F1141,0))</f>
        <v>0</v>
      </c>
      <c r="M1141" s="124">
        <f t="shared" si="343"/>
        <v>0</v>
      </c>
      <c r="N1141" s="122">
        <f t="shared" si="344"/>
        <v>0</v>
      </c>
      <c r="O1141" s="121" t="str">
        <f t="shared" si="345"/>
        <v/>
      </c>
      <c r="P1141">
        <f t="shared" si="346"/>
        <v>0</v>
      </c>
      <c r="Q1141">
        <f t="shared" si="347"/>
        <v>0</v>
      </c>
      <c r="R1141">
        <f t="shared" si="348"/>
        <v>0</v>
      </c>
      <c r="S1141">
        <f t="shared" si="349"/>
        <v>0</v>
      </c>
      <c r="T1141" s="89">
        <f t="shared" si="350"/>
        <v>0</v>
      </c>
      <c r="U1141" s="126">
        <f>IF($D1141="",0,IFERROR(LOOKUP(2,1/(($D$3:D1140=$D1141)*($C$3:C1140=$C1141)*($A$3:A1140&lt;$A1141)),$AB$3:AB1140),1000))</f>
        <v>0</v>
      </c>
      <c r="V1141" s="126">
        <f t="shared" si="351"/>
        <v>0</v>
      </c>
      <c r="W1141">
        <f t="shared" si="352"/>
        <v>0</v>
      </c>
      <c r="X1141">
        <f t="shared" si="353"/>
        <v>0</v>
      </c>
      <c r="Y1141">
        <f t="shared" si="354"/>
        <v>0</v>
      </c>
      <c r="Z1141">
        <f t="shared" si="355"/>
        <v>0</v>
      </c>
      <c r="AA1141">
        <f>IF($D1141="",0,IF($F1141&lt;2,0,IF($E1141="Win",('Guide &amp; Settings'!$C$42/(($F1141-1)*COUNTIFS($A$4:$A$1510,$A1141,$E$4:$E$1510,"Win")))*SUMIFS($Z$4:$Z$1510,$A$4:$A$1510,$A1141,$E$4:$E$1510,"Loss"),-('Guide &amp; Settings'!$C$42/($F1141-1))*$Z1141)))</f>
        <v>0</v>
      </c>
      <c r="AB1141" s="126">
        <f t="shared" si="356"/>
        <v>0</v>
      </c>
      <c r="AC1141" t="str">
        <f>IF($D1141="","",IF($AD1141=0,0,IF(COUNTIFS($D$4:$D1141,$D1141,$B$4:$B1141,$B1141)&gt;1,0,IF($B1141&lt;'Guide &amp; Settings'!$C$50,0,IF(($B1141-$AD1141)/7-'Guide &amp; Settings'!$C$48&gt;=0,(INT(($B1141-$AD1141)/7-'Guide &amp; Settings'!$C$48)+1)*'Guide &amp; Settings'!$C$49,0)))))</f>
        <v/>
      </c>
      <c r="AD1141" s="142">
        <f t="shared" si="357"/>
        <v>0</v>
      </c>
      <c r="AE1141">
        <f t="shared" si="358"/>
        <v>0</v>
      </c>
      <c r="AF1141">
        <f t="shared" si="359"/>
        <v>0</v>
      </c>
    </row>
    <row r="1142" spans="1:32" x14ac:dyDescent="0.2">
      <c r="A1142" s="117"/>
      <c r="B1142" s="118"/>
      <c r="C1142" s="119"/>
      <c r="D1142" s="119"/>
      <c r="E1142" s="117"/>
      <c r="F1142" s="120">
        <f t="shared" si="340"/>
        <v>0</v>
      </c>
      <c r="G1142" s="121" t="str">
        <f t="shared" si="341"/>
        <v/>
      </c>
      <c r="H1142" s="122">
        <f>IF($D1142="",0,IFERROR(LOOKUP(2,1/(($D$3:D1141=$D1142)*($A$3:A1141&lt;$A1142)),$N$3:N1141),'Guide &amp; Settings'!$C$41))</f>
        <v>0</v>
      </c>
      <c r="I1142" s="123">
        <f t="shared" si="342"/>
        <v>0</v>
      </c>
      <c r="J1142" s="124">
        <f>IF($D1142="",0,IF($F1142&lt;2,0,IF($E1142="Win",('Guide &amp; Settings'!$C$42/(($F1142-1)*COUNTIFS($A$4:$A$1510,$A1142,$E$4:$E$1510,"Win")))*SUMIFS($X$4:$X$1510,$A$4:$A$1510,$A1142,$E$4:$E$1510,"Loss"),-('Guide &amp; Settings'!$C$42/($F1142-1))*$X1142)))</f>
        <v>0</v>
      </c>
      <c r="K1142" s="124">
        <f>IF($D1142="",0,'Guide &amp; Settings'!$C$43*(IF($E1142="Win",1,0)-$I1142))</f>
        <v>0</v>
      </c>
      <c r="L1142" s="125">
        <f>IF($D1142="",0,'Guide &amp; Settings'!$C$44*IF($F1142&gt;=3,$F1142,0))</f>
        <v>0</v>
      </c>
      <c r="M1142" s="124">
        <f t="shared" si="343"/>
        <v>0</v>
      </c>
      <c r="N1142" s="122">
        <f t="shared" si="344"/>
        <v>0</v>
      </c>
      <c r="O1142" s="121" t="str">
        <f t="shared" si="345"/>
        <v/>
      </c>
      <c r="P1142">
        <f t="shared" si="346"/>
        <v>0</v>
      </c>
      <c r="Q1142">
        <f t="shared" si="347"/>
        <v>0</v>
      </c>
      <c r="R1142">
        <f t="shared" si="348"/>
        <v>0</v>
      </c>
      <c r="S1142">
        <f t="shared" si="349"/>
        <v>0</v>
      </c>
      <c r="T1142" s="89">
        <f t="shared" si="350"/>
        <v>0</v>
      </c>
      <c r="U1142" s="126">
        <f>IF($D1142="",0,IFERROR(LOOKUP(2,1/(($D$3:D1141=$D1142)*($C$3:C1141=$C1142)*($A$3:A1141&lt;$A1142)),$AB$3:AB1141),1000))</f>
        <v>0</v>
      </c>
      <c r="V1142" s="126">
        <f t="shared" si="351"/>
        <v>0</v>
      </c>
      <c r="W1142">
        <f t="shared" si="352"/>
        <v>0</v>
      </c>
      <c r="X1142">
        <f t="shared" si="353"/>
        <v>0</v>
      </c>
      <c r="Y1142">
        <f t="shared" si="354"/>
        <v>0</v>
      </c>
      <c r="Z1142">
        <f t="shared" si="355"/>
        <v>0</v>
      </c>
      <c r="AA1142">
        <f>IF($D1142="",0,IF($F1142&lt;2,0,IF($E1142="Win",('Guide &amp; Settings'!$C$42/(($F1142-1)*COUNTIFS($A$4:$A$1510,$A1142,$E$4:$E$1510,"Win")))*SUMIFS($Z$4:$Z$1510,$A$4:$A$1510,$A1142,$E$4:$E$1510,"Loss"),-('Guide &amp; Settings'!$C$42/($F1142-1))*$Z1142)))</f>
        <v>0</v>
      </c>
      <c r="AB1142" s="126">
        <f t="shared" si="356"/>
        <v>0</v>
      </c>
      <c r="AC1142" t="str">
        <f>IF($D1142="","",IF($AD1142=0,0,IF(COUNTIFS($D$4:$D1142,$D1142,$B$4:$B1142,$B1142)&gt;1,0,IF($B1142&lt;'Guide &amp; Settings'!$C$50,0,IF(($B1142-$AD1142)/7-'Guide &amp; Settings'!$C$48&gt;=0,(INT(($B1142-$AD1142)/7-'Guide &amp; Settings'!$C$48)+1)*'Guide &amp; Settings'!$C$49,0)))))</f>
        <v/>
      </c>
      <c r="AD1142" s="142">
        <f t="shared" si="357"/>
        <v>0</v>
      </c>
      <c r="AE1142">
        <f t="shared" si="358"/>
        <v>0</v>
      </c>
      <c r="AF1142">
        <f t="shared" si="359"/>
        <v>0</v>
      </c>
    </row>
    <row r="1143" spans="1:32" x14ac:dyDescent="0.2">
      <c r="A1143" s="117"/>
      <c r="B1143" s="118"/>
      <c r="C1143" s="119"/>
      <c r="D1143" s="119"/>
      <c r="E1143" s="117"/>
      <c r="F1143" s="120">
        <f t="shared" si="340"/>
        <v>0</v>
      </c>
      <c r="G1143" s="121" t="str">
        <f t="shared" si="341"/>
        <v/>
      </c>
      <c r="H1143" s="122">
        <f>IF($D1143="",0,IFERROR(LOOKUP(2,1/(($D$3:D1142=$D1143)*($A$3:A1142&lt;$A1143)),$N$3:N1142),'Guide &amp; Settings'!$C$41))</f>
        <v>0</v>
      </c>
      <c r="I1143" s="123">
        <f t="shared" si="342"/>
        <v>0</v>
      </c>
      <c r="J1143" s="124">
        <f>IF($D1143="",0,IF($F1143&lt;2,0,IF($E1143="Win",('Guide &amp; Settings'!$C$42/(($F1143-1)*COUNTIFS($A$4:$A$1510,$A1143,$E$4:$E$1510,"Win")))*SUMIFS($X$4:$X$1510,$A$4:$A$1510,$A1143,$E$4:$E$1510,"Loss"),-('Guide &amp; Settings'!$C$42/($F1143-1))*$X1143)))</f>
        <v>0</v>
      </c>
      <c r="K1143" s="124">
        <f>IF($D1143="",0,'Guide &amp; Settings'!$C$43*(IF($E1143="Win",1,0)-$I1143))</f>
        <v>0</v>
      </c>
      <c r="L1143" s="125">
        <f>IF($D1143="",0,'Guide &amp; Settings'!$C$44*IF($F1143&gt;=3,$F1143,0))</f>
        <v>0</v>
      </c>
      <c r="M1143" s="124">
        <f t="shared" si="343"/>
        <v>0</v>
      </c>
      <c r="N1143" s="122">
        <f t="shared" si="344"/>
        <v>0</v>
      </c>
      <c r="O1143" s="121" t="str">
        <f t="shared" si="345"/>
        <v/>
      </c>
      <c r="P1143">
        <f t="shared" si="346"/>
        <v>0</v>
      </c>
      <c r="Q1143">
        <f t="shared" si="347"/>
        <v>0</v>
      </c>
      <c r="R1143">
        <f t="shared" si="348"/>
        <v>0</v>
      </c>
      <c r="S1143">
        <f t="shared" si="349"/>
        <v>0</v>
      </c>
      <c r="T1143" s="89">
        <f t="shared" si="350"/>
        <v>0</v>
      </c>
      <c r="U1143" s="126">
        <f>IF($D1143="",0,IFERROR(LOOKUP(2,1/(($D$3:D1142=$D1143)*($C$3:C1142=$C1143)*($A$3:A1142&lt;$A1143)),$AB$3:AB1142),1000))</f>
        <v>0</v>
      </c>
      <c r="V1143" s="126">
        <f t="shared" si="351"/>
        <v>0</v>
      </c>
      <c r="W1143">
        <f t="shared" si="352"/>
        <v>0</v>
      </c>
      <c r="X1143">
        <f t="shared" si="353"/>
        <v>0</v>
      </c>
      <c r="Y1143">
        <f t="shared" si="354"/>
        <v>0</v>
      </c>
      <c r="Z1143">
        <f t="shared" si="355"/>
        <v>0</v>
      </c>
      <c r="AA1143">
        <f>IF($D1143="",0,IF($F1143&lt;2,0,IF($E1143="Win",('Guide &amp; Settings'!$C$42/(($F1143-1)*COUNTIFS($A$4:$A$1510,$A1143,$E$4:$E$1510,"Win")))*SUMIFS($Z$4:$Z$1510,$A$4:$A$1510,$A1143,$E$4:$E$1510,"Loss"),-('Guide &amp; Settings'!$C$42/($F1143-1))*$Z1143)))</f>
        <v>0</v>
      </c>
      <c r="AB1143" s="126">
        <f t="shared" si="356"/>
        <v>0</v>
      </c>
      <c r="AC1143" t="str">
        <f>IF($D1143="","",IF($AD1143=0,0,IF(COUNTIFS($D$4:$D1143,$D1143,$B$4:$B1143,$B1143)&gt;1,0,IF($B1143&lt;'Guide &amp; Settings'!$C$50,0,IF(($B1143-$AD1143)/7-'Guide &amp; Settings'!$C$48&gt;=0,(INT(($B1143-$AD1143)/7-'Guide &amp; Settings'!$C$48)+1)*'Guide &amp; Settings'!$C$49,0)))))</f>
        <v/>
      </c>
      <c r="AD1143" s="142">
        <f t="shared" si="357"/>
        <v>0</v>
      </c>
      <c r="AE1143">
        <f t="shared" si="358"/>
        <v>0</v>
      </c>
      <c r="AF1143">
        <f t="shared" si="359"/>
        <v>0</v>
      </c>
    </row>
    <row r="1144" spans="1:32" x14ac:dyDescent="0.2">
      <c r="A1144" s="117"/>
      <c r="B1144" s="118"/>
      <c r="C1144" s="119"/>
      <c r="D1144" s="119"/>
      <c r="E1144" s="117"/>
      <c r="F1144" s="120">
        <f t="shared" si="340"/>
        <v>0</v>
      </c>
      <c r="G1144" s="121" t="str">
        <f t="shared" si="341"/>
        <v/>
      </c>
      <c r="H1144" s="122">
        <f>IF($D1144="",0,IFERROR(LOOKUP(2,1/(($D$3:D1143=$D1144)*($A$3:A1143&lt;$A1144)),$N$3:N1143),'Guide &amp; Settings'!$C$41))</f>
        <v>0</v>
      </c>
      <c r="I1144" s="123">
        <f t="shared" si="342"/>
        <v>0</v>
      </c>
      <c r="J1144" s="124">
        <f>IF($D1144="",0,IF($F1144&lt;2,0,IF($E1144="Win",('Guide &amp; Settings'!$C$42/(($F1144-1)*COUNTIFS($A$4:$A$1510,$A1144,$E$4:$E$1510,"Win")))*SUMIFS($X$4:$X$1510,$A$4:$A$1510,$A1144,$E$4:$E$1510,"Loss"),-('Guide &amp; Settings'!$C$42/($F1144-1))*$X1144)))</f>
        <v>0</v>
      </c>
      <c r="K1144" s="124">
        <f>IF($D1144="",0,'Guide &amp; Settings'!$C$43*(IF($E1144="Win",1,0)-$I1144))</f>
        <v>0</v>
      </c>
      <c r="L1144" s="125">
        <f>IF($D1144="",0,'Guide &amp; Settings'!$C$44*IF($F1144&gt;=3,$F1144,0))</f>
        <v>0</v>
      </c>
      <c r="M1144" s="124">
        <f t="shared" si="343"/>
        <v>0</v>
      </c>
      <c r="N1144" s="122">
        <f t="shared" si="344"/>
        <v>0</v>
      </c>
      <c r="O1144" s="121" t="str">
        <f t="shared" si="345"/>
        <v/>
      </c>
      <c r="P1144">
        <f t="shared" si="346"/>
        <v>0</v>
      </c>
      <c r="Q1144">
        <f t="shared" si="347"/>
        <v>0</v>
      </c>
      <c r="R1144">
        <f t="shared" si="348"/>
        <v>0</v>
      </c>
      <c r="S1144">
        <f t="shared" si="349"/>
        <v>0</v>
      </c>
      <c r="T1144" s="89">
        <f t="shared" si="350"/>
        <v>0</v>
      </c>
      <c r="U1144" s="126">
        <f>IF($D1144="",0,IFERROR(LOOKUP(2,1/(($D$3:D1143=$D1144)*($C$3:C1143=$C1144)*($A$3:A1143&lt;$A1144)),$AB$3:AB1143),1000))</f>
        <v>0</v>
      </c>
      <c r="V1144" s="126">
        <f t="shared" si="351"/>
        <v>0</v>
      </c>
      <c r="W1144">
        <f t="shared" si="352"/>
        <v>0</v>
      </c>
      <c r="X1144">
        <f t="shared" si="353"/>
        <v>0</v>
      </c>
      <c r="Y1144">
        <f t="shared" si="354"/>
        <v>0</v>
      </c>
      <c r="Z1144">
        <f t="shared" si="355"/>
        <v>0</v>
      </c>
      <c r="AA1144">
        <f>IF($D1144="",0,IF($F1144&lt;2,0,IF($E1144="Win",('Guide &amp; Settings'!$C$42/(($F1144-1)*COUNTIFS($A$4:$A$1510,$A1144,$E$4:$E$1510,"Win")))*SUMIFS($Z$4:$Z$1510,$A$4:$A$1510,$A1144,$E$4:$E$1510,"Loss"),-('Guide &amp; Settings'!$C$42/($F1144-1))*$Z1144)))</f>
        <v>0</v>
      </c>
      <c r="AB1144" s="126">
        <f t="shared" si="356"/>
        <v>0</v>
      </c>
      <c r="AC1144" t="str">
        <f>IF($D1144="","",IF($AD1144=0,0,IF(COUNTIFS($D$4:$D1144,$D1144,$B$4:$B1144,$B1144)&gt;1,0,IF($B1144&lt;'Guide &amp; Settings'!$C$50,0,IF(($B1144-$AD1144)/7-'Guide &amp; Settings'!$C$48&gt;=0,(INT(($B1144-$AD1144)/7-'Guide &amp; Settings'!$C$48)+1)*'Guide &amp; Settings'!$C$49,0)))))</f>
        <v/>
      </c>
      <c r="AD1144" s="142">
        <f t="shared" si="357"/>
        <v>0</v>
      </c>
      <c r="AE1144">
        <f t="shared" si="358"/>
        <v>0</v>
      </c>
      <c r="AF1144">
        <f t="shared" si="359"/>
        <v>0</v>
      </c>
    </row>
    <row r="1145" spans="1:32" x14ac:dyDescent="0.2">
      <c r="A1145" s="117"/>
      <c r="B1145" s="118"/>
      <c r="C1145" s="119"/>
      <c r="D1145" s="119"/>
      <c r="E1145" s="117"/>
      <c r="F1145" s="120">
        <f t="shared" si="340"/>
        <v>0</v>
      </c>
      <c r="G1145" s="121" t="str">
        <f t="shared" si="341"/>
        <v/>
      </c>
      <c r="H1145" s="122">
        <f>IF($D1145="",0,IFERROR(LOOKUP(2,1/(($D$3:D1144=$D1145)*($A$3:A1144&lt;$A1145)),$N$3:N1144),'Guide &amp; Settings'!$C$41))</f>
        <v>0</v>
      </c>
      <c r="I1145" s="123">
        <f t="shared" si="342"/>
        <v>0</v>
      </c>
      <c r="J1145" s="124">
        <f>IF($D1145="",0,IF($F1145&lt;2,0,IF($E1145="Win",('Guide &amp; Settings'!$C$42/(($F1145-1)*COUNTIFS($A$4:$A$1510,$A1145,$E$4:$E$1510,"Win")))*SUMIFS($X$4:$X$1510,$A$4:$A$1510,$A1145,$E$4:$E$1510,"Loss"),-('Guide &amp; Settings'!$C$42/($F1145-1))*$X1145)))</f>
        <v>0</v>
      </c>
      <c r="K1145" s="124">
        <f>IF($D1145="",0,'Guide &amp; Settings'!$C$43*(IF($E1145="Win",1,0)-$I1145))</f>
        <v>0</v>
      </c>
      <c r="L1145" s="125">
        <f>IF($D1145="",0,'Guide &amp; Settings'!$C$44*IF($F1145&gt;=3,$F1145,0))</f>
        <v>0</v>
      </c>
      <c r="M1145" s="124">
        <f t="shared" si="343"/>
        <v>0</v>
      </c>
      <c r="N1145" s="122">
        <f t="shared" si="344"/>
        <v>0</v>
      </c>
      <c r="O1145" s="121" t="str">
        <f t="shared" si="345"/>
        <v/>
      </c>
      <c r="P1145">
        <f t="shared" si="346"/>
        <v>0</v>
      </c>
      <c r="Q1145">
        <f t="shared" si="347"/>
        <v>0</v>
      </c>
      <c r="R1145">
        <f t="shared" si="348"/>
        <v>0</v>
      </c>
      <c r="S1145">
        <f t="shared" si="349"/>
        <v>0</v>
      </c>
      <c r="T1145" s="89">
        <f t="shared" si="350"/>
        <v>0</v>
      </c>
      <c r="U1145" s="126">
        <f>IF($D1145="",0,IFERROR(LOOKUP(2,1/(($D$3:D1144=$D1145)*($C$3:C1144=$C1145)*($A$3:A1144&lt;$A1145)),$AB$3:AB1144),1000))</f>
        <v>0</v>
      </c>
      <c r="V1145" s="126">
        <f t="shared" si="351"/>
        <v>0</v>
      </c>
      <c r="W1145">
        <f t="shared" si="352"/>
        <v>0</v>
      </c>
      <c r="X1145">
        <f t="shared" si="353"/>
        <v>0</v>
      </c>
      <c r="Y1145">
        <f t="shared" si="354"/>
        <v>0</v>
      </c>
      <c r="Z1145">
        <f t="shared" si="355"/>
        <v>0</v>
      </c>
      <c r="AA1145">
        <f>IF($D1145="",0,IF($F1145&lt;2,0,IF($E1145="Win",('Guide &amp; Settings'!$C$42/(($F1145-1)*COUNTIFS($A$4:$A$1510,$A1145,$E$4:$E$1510,"Win")))*SUMIFS($Z$4:$Z$1510,$A$4:$A$1510,$A1145,$E$4:$E$1510,"Loss"),-('Guide &amp; Settings'!$C$42/($F1145-1))*$Z1145)))</f>
        <v>0</v>
      </c>
      <c r="AB1145" s="126">
        <f t="shared" si="356"/>
        <v>0</v>
      </c>
      <c r="AC1145" t="str">
        <f>IF($D1145="","",IF($AD1145=0,0,IF(COUNTIFS($D$4:$D1145,$D1145,$B$4:$B1145,$B1145)&gt;1,0,IF($B1145&lt;'Guide &amp; Settings'!$C$50,0,IF(($B1145-$AD1145)/7-'Guide &amp; Settings'!$C$48&gt;=0,(INT(($B1145-$AD1145)/7-'Guide &amp; Settings'!$C$48)+1)*'Guide &amp; Settings'!$C$49,0)))))</f>
        <v/>
      </c>
      <c r="AD1145" s="142">
        <f t="shared" si="357"/>
        <v>0</v>
      </c>
      <c r="AE1145">
        <f t="shared" si="358"/>
        <v>0</v>
      </c>
      <c r="AF1145">
        <f t="shared" si="359"/>
        <v>0</v>
      </c>
    </row>
    <row r="1146" spans="1:32" x14ac:dyDescent="0.2">
      <c r="A1146" s="117"/>
      <c r="B1146" s="118"/>
      <c r="C1146" s="119"/>
      <c r="D1146" s="119"/>
      <c r="E1146" s="117"/>
      <c r="F1146" s="120">
        <f t="shared" si="340"/>
        <v>0</v>
      </c>
      <c r="G1146" s="121" t="str">
        <f t="shared" si="341"/>
        <v/>
      </c>
      <c r="H1146" s="122">
        <f>IF($D1146="",0,IFERROR(LOOKUP(2,1/(($D$3:D1145=$D1146)*($A$3:A1145&lt;$A1146)),$N$3:N1145),'Guide &amp; Settings'!$C$41))</f>
        <v>0</v>
      </c>
      <c r="I1146" s="123">
        <f t="shared" si="342"/>
        <v>0</v>
      </c>
      <c r="J1146" s="124">
        <f>IF($D1146="",0,IF($F1146&lt;2,0,IF($E1146="Win",('Guide &amp; Settings'!$C$42/(($F1146-1)*COUNTIFS($A$4:$A$1510,$A1146,$E$4:$E$1510,"Win")))*SUMIFS($X$4:$X$1510,$A$4:$A$1510,$A1146,$E$4:$E$1510,"Loss"),-('Guide &amp; Settings'!$C$42/($F1146-1))*$X1146)))</f>
        <v>0</v>
      </c>
      <c r="K1146" s="124">
        <f>IF($D1146="",0,'Guide &amp; Settings'!$C$43*(IF($E1146="Win",1,0)-$I1146))</f>
        <v>0</v>
      </c>
      <c r="L1146" s="125">
        <f>IF($D1146="",0,'Guide &amp; Settings'!$C$44*IF($F1146&gt;=3,$F1146,0))</f>
        <v>0</v>
      </c>
      <c r="M1146" s="124">
        <f t="shared" si="343"/>
        <v>0</v>
      </c>
      <c r="N1146" s="122">
        <f t="shared" si="344"/>
        <v>0</v>
      </c>
      <c r="O1146" s="121" t="str">
        <f t="shared" si="345"/>
        <v/>
      </c>
      <c r="P1146">
        <f t="shared" si="346"/>
        <v>0</v>
      </c>
      <c r="Q1146">
        <f t="shared" si="347"/>
        <v>0</v>
      </c>
      <c r="R1146">
        <f t="shared" si="348"/>
        <v>0</v>
      </c>
      <c r="S1146">
        <f t="shared" si="349"/>
        <v>0</v>
      </c>
      <c r="T1146" s="89">
        <f t="shared" si="350"/>
        <v>0</v>
      </c>
      <c r="U1146" s="126">
        <f>IF($D1146="",0,IFERROR(LOOKUP(2,1/(($D$3:D1145=$D1146)*($C$3:C1145=$C1146)*($A$3:A1145&lt;$A1146)),$AB$3:AB1145),1000))</f>
        <v>0</v>
      </c>
      <c r="V1146" s="126">
        <f t="shared" si="351"/>
        <v>0</v>
      </c>
      <c r="W1146">
        <f t="shared" si="352"/>
        <v>0</v>
      </c>
      <c r="X1146">
        <f t="shared" si="353"/>
        <v>0</v>
      </c>
      <c r="Y1146">
        <f t="shared" si="354"/>
        <v>0</v>
      </c>
      <c r="Z1146">
        <f t="shared" si="355"/>
        <v>0</v>
      </c>
      <c r="AA1146">
        <f>IF($D1146="",0,IF($F1146&lt;2,0,IF($E1146="Win",('Guide &amp; Settings'!$C$42/(($F1146-1)*COUNTIFS($A$4:$A$1510,$A1146,$E$4:$E$1510,"Win")))*SUMIFS($Z$4:$Z$1510,$A$4:$A$1510,$A1146,$E$4:$E$1510,"Loss"),-('Guide &amp; Settings'!$C$42/($F1146-1))*$Z1146)))</f>
        <v>0</v>
      </c>
      <c r="AB1146" s="126">
        <f t="shared" si="356"/>
        <v>0</v>
      </c>
      <c r="AC1146" t="str">
        <f>IF($D1146="","",IF($AD1146=0,0,IF(COUNTIFS($D$4:$D1146,$D1146,$B$4:$B1146,$B1146)&gt;1,0,IF($B1146&lt;'Guide &amp; Settings'!$C$50,0,IF(($B1146-$AD1146)/7-'Guide &amp; Settings'!$C$48&gt;=0,(INT(($B1146-$AD1146)/7-'Guide &amp; Settings'!$C$48)+1)*'Guide &amp; Settings'!$C$49,0)))))</f>
        <v/>
      </c>
      <c r="AD1146" s="142">
        <f t="shared" si="357"/>
        <v>0</v>
      </c>
      <c r="AE1146">
        <f t="shared" si="358"/>
        <v>0</v>
      </c>
      <c r="AF1146">
        <f t="shared" si="359"/>
        <v>0</v>
      </c>
    </row>
    <row r="1147" spans="1:32" x14ac:dyDescent="0.2">
      <c r="A1147" s="117"/>
      <c r="B1147" s="118"/>
      <c r="C1147" s="119"/>
      <c r="D1147" s="119"/>
      <c r="E1147" s="117"/>
      <c r="F1147" s="120">
        <f t="shared" si="340"/>
        <v>0</v>
      </c>
      <c r="G1147" s="121" t="str">
        <f t="shared" si="341"/>
        <v/>
      </c>
      <c r="H1147" s="122">
        <f>IF($D1147="",0,IFERROR(LOOKUP(2,1/(($D$3:D1146=$D1147)*($A$3:A1146&lt;$A1147)),$N$3:N1146),'Guide &amp; Settings'!$C$41))</f>
        <v>0</v>
      </c>
      <c r="I1147" s="123">
        <f t="shared" si="342"/>
        <v>0</v>
      </c>
      <c r="J1147" s="124">
        <f>IF($D1147="",0,IF($F1147&lt;2,0,IF($E1147="Win",('Guide &amp; Settings'!$C$42/(($F1147-1)*COUNTIFS($A$4:$A$1510,$A1147,$E$4:$E$1510,"Win")))*SUMIFS($X$4:$X$1510,$A$4:$A$1510,$A1147,$E$4:$E$1510,"Loss"),-('Guide &amp; Settings'!$C$42/($F1147-1))*$X1147)))</f>
        <v>0</v>
      </c>
      <c r="K1147" s="124">
        <f>IF($D1147="",0,'Guide &amp; Settings'!$C$43*(IF($E1147="Win",1,0)-$I1147))</f>
        <v>0</v>
      </c>
      <c r="L1147" s="125">
        <f>IF($D1147="",0,'Guide &amp; Settings'!$C$44*IF($F1147&gt;=3,$F1147,0))</f>
        <v>0</v>
      </c>
      <c r="M1147" s="124">
        <f t="shared" si="343"/>
        <v>0</v>
      </c>
      <c r="N1147" s="122">
        <f t="shared" si="344"/>
        <v>0</v>
      </c>
      <c r="O1147" s="121" t="str">
        <f t="shared" si="345"/>
        <v/>
      </c>
      <c r="P1147">
        <f t="shared" si="346"/>
        <v>0</v>
      </c>
      <c r="Q1147">
        <f t="shared" si="347"/>
        <v>0</v>
      </c>
      <c r="R1147">
        <f t="shared" si="348"/>
        <v>0</v>
      </c>
      <c r="S1147">
        <f t="shared" si="349"/>
        <v>0</v>
      </c>
      <c r="T1147" s="89">
        <f t="shared" si="350"/>
        <v>0</v>
      </c>
      <c r="U1147" s="126">
        <f>IF($D1147="",0,IFERROR(LOOKUP(2,1/(($D$3:D1146=$D1147)*($C$3:C1146=$C1147)*($A$3:A1146&lt;$A1147)),$AB$3:AB1146),1000))</f>
        <v>0</v>
      </c>
      <c r="V1147" s="126">
        <f t="shared" si="351"/>
        <v>0</v>
      </c>
      <c r="W1147">
        <f t="shared" si="352"/>
        <v>0</v>
      </c>
      <c r="X1147">
        <f t="shared" si="353"/>
        <v>0</v>
      </c>
      <c r="Y1147">
        <f t="shared" si="354"/>
        <v>0</v>
      </c>
      <c r="Z1147">
        <f t="shared" si="355"/>
        <v>0</v>
      </c>
      <c r="AA1147">
        <f>IF($D1147="",0,IF($F1147&lt;2,0,IF($E1147="Win",('Guide &amp; Settings'!$C$42/(($F1147-1)*COUNTIFS($A$4:$A$1510,$A1147,$E$4:$E$1510,"Win")))*SUMIFS($Z$4:$Z$1510,$A$4:$A$1510,$A1147,$E$4:$E$1510,"Loss"),-('Guide &amp; Settings'!$C$42/($F1147-1))*$Z1147)))</f>
        <v>0</v>
      </c>
      <c r="AB1147" s="126">
        <f t="shared" si="356"/>
        <v>0</v>
      </c>
      <c r="AC1147" t="str">
        <f>IF($D1147="","",IF($AD1147=0,0,IF(COUNTIFS($D$4:$D1147,$D1147,$B$4:$B1147,$B1147)&gt;1,0,IF($B1147&lt;'Guide &amp; Settings'!$C$50,0,IF(($B1147-$AD1147)/7-'Guide &amp; Settings'!$C$48&gt;=0,(INT(($B1147-$AD1147)/7-'Guide &amp; Settings'!$C$48)+1)*'Guide &amp; Settings'!$C$49,0)))))</f>
        <v/>
      </c>
      <c r="AD1147" s="142">
        <f t="shared" si="357"/>
        <v>0</v>
      </c>
      <c r="AE1147">
        <f t="shared" si="358"/>
        <v>0</v>
      </c>
      <c r="AF1147">
        <f t="shared" si="359"/>
        <v>0</v>
      </c>
    </row>
    <row r="1148" spans="1:32" x14ac:dyDescent="0.2">
      <c r="A1148" s="117"/>
      <c r="B1148" s="118"/>
      <c r="C1148" s="119"/>
      <c r="D1148" s="119"/>
      <c r="E1148" s="117"/>
      <c r="F1148" s="120">
        <f t="shared" si="340"/>
        <v>0</v>
      </c>
      <c r="G1148" s="121" t="str">
        <f t="shared" si="341"/>
        <v/>
      </c>
      <c r="H1148" s="122">
        <f>IF($D1148="",0,IFERROR(LOOKUP(2,1/(($D$3:D1147=$D1148)*($A$3:A1147&lt;$A1148)),$N$3:N1147),'Guide &amp; Settings'!$C$41))</f>
        <v>0</v>
      </c>
      <c r="I1148" s="123">
        <f t="shared" si="342"/>
        <v>0</v>
      </c>
      <c r="J1148" s="124">
        <f>IF($D1148="",0,IF($F1148&lt;2,0,IF($E1148="Win",('Guide &amp; Settings'!$C$42/(($F1148-1)*COUNTIFS($A$4:$A$1510,$A1148,$E$4:$E$1510,"Win")))*SUMIFS($X$4:$X$1510,$A$4:$A$1510,$A1148,$E$4:$E$1510,"Loss"),-('Guide &amp; Settings'!$C$42/($F1148-1))*$X1148)))</f>
        <v>0</v>
      </c>
      <c r="K1148" s="124">
        <f>IF($D1148="",0,'Guide &amp; Settings'!$C$43*(IF($E1148="Win",1,0)-$I1148))</f>
        <v>0</v>
      </c>
      <c r="L1148" s="125">
        <f>IF($D1148="",0,'Guide &amp; Settings'!$C$44*IF($F1148&gt;=3,$F1148,0))</f>
        <v>0</v>
      </c>
      <c r="M1148" s="124">
        <f t="shared" si="343"/>
        <v>0</v>
      </c>
      <c r="N1148" s="122">
        <f t="shared" si="344"/>
        <v>0</v>
      </c>
      <c r="O1148" s="121" t="str">
        <f t="shared" si="345"/>
        <v/>
      </c>
      <c r="P1148">
        <f t="shared" si="346"/>
        <v>0</v>
      </c>
      <c r="Q1148">
        <f t="shared" si="347"/>
        <v>0</v>
      </c>
      <c r="R1148">
        <f t="shared" si="348"/>
        <v>0</v>
      </c>
      <c r="S1148">
        <f t="shared" si="349"/>
        <v>0</v>
      </c>
      <c r="T1148" s="89">
        <f t="shared" si="350"/>
        <v>0</v>
      </c>
      <c r="U1148" s="126">
        <f>IF($D1148="",0,IFERROR(LOOKUP(2,1/(($D$3:D1147=$D1148)*($C$3:C1147=$C1148)*($A$3:A1147&lt;$A1148)),$AB$3:AB1147),1000))</f>
        <v>0</v>
      </c>
      <c r="V1148" s="126">
        <f t="shared" si="351"/>
        <v>0</v>
      </c>
      <c r="W1148">
        <f t="shared" si="352"/>
        <v>0</v>
      </c>
      <c r="X1148">
        <f t="shared" si="353"/>
        <v>0</v>
      </c>
      <c r="Y1148">
        <f t="shared" si="354"/>
        <v>0</v>
      </c>
      <c r="Z1148">
        <f t="shared" si="355"/>
        <v>0</v>
      </c>
      <c r="AA1148">
        <f>IF($D1148="",0,IF($F1148&lt;2,0,IF($E1148="Win",('Guide &amp; Settings'!$C$42/(($F1148-1)*COUNTIFS($A$4:$A$1510,$A1148,$E$4:$E$1510,"Win")))*SUMIFS($Z$4:$Z$1510,$A$4:$A$1510,$A1148,$E$4:$E$1510,"Loss"),-('Guide &amp; Settings'!$C$42/($F1148-1))*$Z1148)))</f>
        <v>0</v>
      </c>
      <c r="AB1148" s="126">
        <f t="shared" si="356"/>
        <v>0</v>
      </c>
      <c r="AC1148" t="str">
        <f>IF($D1148="","",IF($AD1148=0,0,IF(COUNTIFS($D$4:$D1148,$D1148,$B$4:$B1148,$B1148)&gt;1,0,IF($B1148&lt;'Guide &amp; Settings'!$C$50,0,IF(($B1148-$AD1148)/7-'Guide &amp; Settings'!$C$48&gt;=0,(INT(($B1148-$AD1148)/7-'Guide &amp; Settings'!$C$48)+1)*'Guide &amp; Settings'!$C$49,0)))))</f>
        <v/>
      </c>
      <c r="AD1148" s="142">
        <f t="shared" si="357"/>
        <v>0</v>
      </c>
      <c r="AE1148">
        <f t="shared" si="358"/>
        <v>0</v>
      </c>
      <c r="AF1148">
        <f t="shared" si="359"/>
        <v>0</v>
      </c>
    </row>
    <row r="1149" spans="1:32" x14ac:dyDescent="0.2">
      <c r="A1149" s="117"/>
      <c r="B1149" s="118"/>
      <c r="C1149" s="119"/>
      <c r="D1149" s="119"/>
      <c r="E1149" s="117"/>
      <c r="F1149" s="120">
        <f t="shared" si="340"/>
        <v>0</v>
      </c>
      <c r="G1149" s="121" t="str">
        <f t="shared" si="341"/>
        <v/>
      </c>
      <c r="H1149" s="122">
        <f>IF($D1149="",0,IFERROR(LOOKUP(2,1/(($D$3:D1148=$D1149)*($A$3:A1148&lt;$A1149)),$N$3:N1148),'Guide &amp; Settings'!$C$41))</f>
        <v>0</v>
      </c>
      <c r="I1149" s="123">
        <f t="shared" si="342"/>
        <v>0</v>
      </c>
      <c r="J1149" s="124">
        <f>IF($D1149="",0,IF($F1149&lt;2,0,IF($E1149="Win",('Guide &amp; Settings'!$C$42/(($F1149-1)*COUNTIFS($A$4:$A$1510,$A1149,$E$4:$E$1510,"Win")))*SUMIFS($X$4:$X$1510,$A$4:$A$1510,$A1149,$E$4:$E$1510,"Loss"),-('Guide &amp; Settings'!$C$42/($F1149-1))*$X1149)))</f>
        <v>0</v>
      </c>
      <c r="K1149" s="124">
        <f>IF($D1149="",0,'Guide &amp; Settings'!$C$43*(IF($E1149="Win",1,0)-$I1149))</f>
        <v>0</v>
      </c>
      <c r="L1149" s="125">
        <f>IF($D1149="",0,'Guide &amp; Settings'!$C$44*IF($F1149&gt;=3,$F1149,0))</f>
        <v>0</v>
      </c>
      <c r="M1149" s="124">
        <f t="shared" si="343"/>
        <v>0</v>
      </c>
      <c r="N1149" s="122">
        <f t="shared" si="344"/>
        <v>0</v>
      </c>
      <c r="O1149" s="121" t="str">
        <f t="shared" si="345"/>
        <v/>
      </c>
      <c r="P1149">
        <f t="shared" si="346"/>
        <v>0</v>
      </c>
      <c r="Q1149">
        <f t="shared" si="347"/>
        <v>0</v>
      </c>
      <c r="R1149">
        <f t="shared" si="348"/>
        <v>0</v>
      </c>
      <c r="S1149">
        <f t="shared" si="349"/>
        <v>0</v>
      </c>
      <c r="T1149" s="89">
        <f t="shared" si="350"/>
        <v>0</v>
      </c>
      <c r="U1149" s="126">
        <f>IF($D1149="",0,IFERROR(LOOKUP(2,1/(($D$3:D1148=$D1149)*($C$3:C1148=$C1149)*($A$3:A1148&lt;$A1149)),$AB$3:AB1148),1000))</f>
        <v>0</v>
      </c>
      <c r="V1149" s="126">
        <f t="shared" si="351"/>
        <v>0</v>
      </c>
      <c r="W1149">
        <f t="shared" si="352"/>
        <v>0</v>
      </c>
      <c r="X1149">
        <f t="shared" si="353"/>
        <v>0</v>
      </c>
      <c r="Y1149">
        <f t="shared" si="354"/>
        <v>0</v>
      </c>
      <c r="Z1149">
        <f t="shared" si="355"/>
        <v>0</v>
      </c>
      <c r="AA1149">
        <f>IF($D1149="",0,IF($F1149&lt;2,0,IF($E1149="Win",('Guide &amp; Settings'!$C$42/(($F1149-1)*COUNTIFS($A$4:$A$1510,$A1149,$E$4:$E$1510,"Win")))*SUMIFS($Z$4:$Z$1510,$A$4:$A$1510,$A1149,$E$4:$E$1510,"Loss"),-('Guide &amp; Settings'!$C$42/($F1149-1))*$Z1149)))</f>
        <v>0</v>
      </c>
      <c r="AB1149" s="126">
        <f t="shared" si="356"/>
        <v>0</v>
      </c>
      <c r="AC1149" t="str">
        <f>IF($D1149="","",IF($AD1149=0,0,IF(COUNTIFS($D$4:$D1149,$D1149,$B$4:$B1149,$B1149)&gt;1,0,IF($B1149&lt;'Guide &amp; Settings'!$C$50,0,IF(($B1149-$AD1149)/7-'Guide &amp; Settings'!$C$48&gt;=0,(INT(($B1149-$AD1149)/7-'Guide &amp; Settings'!$C$48)+1)*'Guide &amp; Settings'!$C$49,0)))))</f>
        <v/>
      </c>
      <c r="AD1149" s="142">
        <f t="shared" si="357"/>
        <v>0</v>
      </c>
      <c r="AE1149">
        <f t="shared" si="358"/>
        <v>0</v>
      </c>
      <c r="AF1149">
        <f t="shared" si="359"/>
        <v>0</v>
      </c>
    </row>
    <row r="1150" spans="1:32" x14ac:dyDescent="0.2">
      <c r="A1150" s="117"/>
      <c r="B1150" s="118"/>
      <c r="C1150" s="119"/>
      <c r="D1150" s="119"/>
      <c r="E1150" s="117"/>
      <c r="F1150" s="120">
        <f t="shared" si="340"/>
        <v>0</v>
      </c>
      <c r="G1150" s="121" t="str">
        <f t="shared" si="341"/>
        <v/>
      </c>
      <c r="H1150" s="122">
        <f>IF($D1150="",0,IFERROR(LOOKUP(2,1/(($D$3:D1149=$D1150)*($A$3:A1149&lt;$A1150)),$N$3:N1149),'Guide &amp; Settings'!$C$41))</f>
        <v>0</v>
      </c>
      <c r="I1150" s="123">
        <f t="shared" si="342"/>
        <v>0</v>
      </c>
      <c r="J1150" s="124">
        <f>IF($D1150="",0,IF($F1150&lt;2,0,IF($E1150="Win",('Guide &amp; Settings'!$C$42/(($F1150-1)*COUNTIFS($A$4:$A$1510,$A1150,$E$4:$E$1510,"Win")))*SUMIFS($X$4:$X$1510,$A$4:$A$1510,$A1150,$E$4:$E$1510,"Loss"),-('Guide &amp; Settings'!$C$42/($F1150-1))*$X1150)))</f>
        <v>0</v>
      </c>
      <c r="K1150" s="124">
        <f>IF($D1150="",0,'Guide &amp; Settings'!$C$43*(IF($E1150="Win",1,0)-$I1150))</f>
        <v>0</v>
      </c>
      <c r="L1150" s="125">
        <f>IF($D1150="",0,'Guide &amp; Settings'!$C$44*IF($F1150&gt;=3,$F1150,0))</f>
        <v>0</v>
      </c>
      <c r="M1150" s="124">
        <f t="shared" si="343"/>
        <v>0</v>
      </c>
      <c r="N1150" s="122">
        <f t="shared" si="344"/>
        <v>0</v>
      </c>
      <c r="O1150" s="121" t="str">
        <f t="shared" si="345"/>
        <v/>
      </c>
      <c r="P1150">
        <f t="shared" si="346"/>
        <v>0</v>
      </c>
      <c r="Q1150">
        <f t="shared" si="347"/>
        <v>0</v>
      </c>
      <c r="R1150">
        <f t="shared" si="348"/>
        <v>0</v>
      </c>
      <c r="S1150">
        <f t="shared" si="349"/>
        <v>0</v>
      </c>
      <c r="T1150" s="89">
        <f t="shared" si="350"/>
        <v>0</v>
      </c>
      <c r="U1150" s="126">
        <f>IF($D1150="",0,IFERROR(LOOKUP(2,1/(($D$3:D1149=$D1150)*($C$3:C1149=$C1150)*($A$3:A1149&lt;$A1150)),$AB$3:AB1149),1000))</f>
        <v>0</v>
      </c>
      <c r="V1150" s="126">
        <f t="shared" si="351"/>
        <v>0</v>
      </c>
      <c r="W1150">
        <f t="shared" si="352"/>
        <v>0</v>
      </c>
      <c r="X1150">
        <f t="shared" si="353"/>
        <v>0</v>
      </c>
      <c r="Y1150">
        <f t="shared" si="354"/>
        <v>0</v>
      </c>
      <c r="Z1150">
        <f t="shared" si="355"/>
        <v>0</v>
      </c>
      <c r="AA1150">
        <f>IF($D1150="",0,IF($F1150&lt;2,0,IF($E1150="Win",('Guide &amp; Settings'!$C$42/(($F1150-1)*COUNTIFS($A$4:$A$1510,$A1150,$E$4:$E$1510,"Win")))*SUMIFS($Z$4:$Z$1510,$A$4:$A$1510,$A1150,$E$4:$E$1510,"Loss"),-('Guide &amp; Settings'!$C$42/($F1150-1))*$Z1150)))</f>
        <v>0</v>
      </c>
      <c r="AB1150" s="126">
        <f t="shared" si="356"/>
        <v>0</v>
      </c>
      <c r="AC1150" t="str">
        <f>IF($D1150="","",IF($AD1150=0,0,IF(COUNTIFS($D$4:$D1150,$D1150,$B$4:$B1150,$B1150)&gt;1,0,IF($B1150&lt;'Guide &amp; Settings'!$C$50,0,IF(($B1150-$AD1150)/7-'Guide &amp; Settings'!$C$48&gt;=0,(INT(($B1150-$AD1150)/7-'Guide &amp; Settings'!$C$48)+1)*'Guide &amp; Settings'!$C$49,0)))))</f>
        <v/>
      </c>
      <c r="AD1150" s="142">
        <f t="shared" si="357"/>
        <v>0</v>
      </c>
      <c r="AE1150">
        <f t="shared" si="358"/>
        <v>0</v>
      </c>
      <c r="AF1150">
        <f t="shared" si="359"/>
        <v>0</v>
      </c>
    </row>
    <row r="1151" spans="1:32" x14ac:dyDescent="0.2">
      <c r="A1151" s="117"/>
      <c r="B1151" s="118"/>
      <c r="C1151" s="119"/>
      <c r="D1151" s="119"/>
      <c r="E1151" s="117"/>
      <c r="F1151" s="120">
        <f t="shared" si="340"/>
        <v>0</v>
      </c>
      <c r="G1151" s="121" t="str">
        <f t="shared" si="341"/>
        <v/>
      </c>
      <c r="H1151" s="122">
        <f>IF($D1151="",0,IFERROR(LOOKUP(2,1/(($D$3:D1150=$D1151)*($A$3:A1150&lt;$A1151)),$N$3:N1150),'Guide &amp; Settings'!$C$41))</f>
        <v>0</v>
      </c>
      <c r="I1151" s="123">
        <f t="shared" si="342"/>
        <v>0</v>
      </c>
      <c r="J1151" s="124">
        <f>IF($D1151="",0,IF($F1151&lt;2,0,IF($E1151="Win",('Guide &amp; Settings'!$C$42/(($F1151-1)*COUNTIFS($A$4:$A$1510,$A1151,$E$4:$E$1510,"Win")))*SUMIFS($X$4:$X$1510,$A$4:$A$1510,$A1151,$E$4:$E$1510,"Loss"),-('Guide &amp; Settings'!$C$42/($F1151-1))*$X1151)))</f>
        <v>0</v>
      </c>
      <c r="K1151" s="124">
        <f>IF($D1151="",0,'Guide &amp; Settings'!$C$43*(IF($E1151="Win",1,0)-$I1151))</f>
        <v>0</v>
      </c>
      <c r="L1151" s="125">
        <f>IF($D1151="",0,'Guide &amp; Settings'!$C$44*IF($F1151&gt;=3,$F1151,0))</f>
        <v>0</v>
      </c>
      <c r="M1151" s="124">
        <f t="shared" si="343"/>
        <v>0</v>
      </c>
      <c r="N1151" s="122">
        <f t="shared" si="344"/>
        <v>0</v>
      </c>
      <c r="O1151" s="121" t="str">
        <f t="shared" si="345"/>
        <v/>
      </c>
      <c r="P1151">
        <f t="shared" si="346"/>
        <v>0</v>
      </c>
      <c r="Q1151">
        <f t="shared" si="347"/>
        <v>0</v>
      </c>
      <c r="R1151">
        <f t="shared" si="348"/>
        <v>0</v>
      </c>
      <c r="S1151">
        <f t="shared" si="349"/>
        <v>0</v>
      </c>
      <c r="T1151" s="89">
        <f t="shared" si="350"/>
        <v>0</v>
      </c>
      <c r="U1151" s="126">
        <f>IF($D1151="",0,IFERROR(LOOKUP(2,1/(($D$3:D1150=$D1151)*($C$3:C1150=$C1151)*($A$3:A1150&lt;$A1151)),$AB$3:AB1150),1000))</f>
        <v>0</v>
      </c>
      <c r="V1151" s="126">
        <f t="shared" si="351"/>
        <v>0</v>
      </c>
      <c r="W1151">
        <f t="shared" si="352"/>
        <v>0</v>
      </c>
      <c r="X1151">
        <f t="shared" si="353"/>
        <v>0</v>
      </c>
      <c r="Y1151">
        <f t="shared" si="354"/>
        <v>0</v>
      </c>
      <c r="Z1151">
        <f t="shared" si="355"/>
        <v>0</v>
      </c>
      <c r="AA1151">
        <f>IF($D1151="",0,IF($F1151&lt;2,0,IF($E1151="Win",('Guide &amp; Settings'!$C$42/(($F1151-1)*COUNTIFS($A$4:$A$1510,$A1151,$E$4:$E$1510,"Win")))*SUMIFS($Z$4:$Z$1510,$A$4:$A$1510,$A1151,$E$4:$E$1510,"Loss"),-('Guide &amp; Settings'!$C$42/($F1151-1))*$Z1151)))</f>
        <v>0</v>
      </c>
      <c r="AB1151" s="126">
        <f t="shared" si="356"/>
        <v>0</v>
      </c>
      <c r="AC1151" t="str">
        <f>IF($D1151="","",IF($AD1151=0,0,IF(COUNTIFS($D$4:$D1151,$D1151,$B$4:$B1151,$B1151)&gt;1,0,IF($B1151&lt;'Guide &amp; Settings'!$C$50,0,IF(($B1151-$AD1151)/7-'Guide &amp; Settings'!$C$48&gt;=0,(INT(($B1151-$AD1151)/7-'Guide &amp; Settings'!$C$48)+1)*'Guide &amp; Settings'!$C$49,0)))))</f>
        <v/>
      </c>
      <c r="AD1151" s="142">
        <f t="shared" si="357"/>
        <v>0</v>
      </c>
      <c r="AE1151">
        <f t="shared" si="358"/>
        <v>0</v>
      </c>
      <c r="AF1151">
        <f t="shared" si="359"/>
        <v>0</v>
      </c>
    </row>
    <row r="1152" spans="1:32" x14ac:dyDescent="0.2">
      <c r="A1152" s="117"/>
      <c r="B1152" s="118"/>
      <c r="C1152" s="119"/>
      <c r="D1152" s="119"/>
      <c r="E1152" s="117"/>
      <c r="F1152" s="120">
        <f t="shared" si="340"/>
        <v>0</v>
      </c>
      <c r="G1152" s="121" t="str">
        <f t="shared" si="341"/>
        <v/>
      </c>
      <c r="H1152" s="122">
        <f>IF($D1152="",0,IFERROR(LOOKUP(2,1/(($D$3:D1151=$D1152)*($A$3:A1151&lt;$A1152)),$N$3:N1151),'Guide &amp; Settings'!$C$41))</f>
        <v>0</v>
      </c>
      <c r="I1152" s="123">
        <f t="shared" si="342"/>
        <v>0</v>
      </c>
      <c r="J1152" s="124">
        <f>IF($D1152="",0,IF($F1152&lt;2,0,IF($E1152="Win",('Guide &amp; Settings'!$C$42/(($F1152-1)*COUNTIFS($A$4:$A$1510,$A1152,$E$4:$E$1510,"Win")))*SUMIFS($X$4:$X$1510,$A$4:$A$1510,$A1152,$E$4:$E$1510,"Loss"),-('Guide &amp; Settings'!$C$42/($F1152-1))*$X1152)))</f>
        <v>0</v>
      </c>
      <c r="K1152" s="124">
        <f>IF($D1152="",0,'Guide &amp; Settings'!$C$43*(IF($E1152="Win",1,0)-$I1152))</f>
        <v>0</v>
      </c>
      <c r="L1152" s="125">
        <f>IF($D1152="",0,'Guide &amp; Settings'!$C$44*IF($F1152&gt;=3,$F1152,0))</f>
        <v>0</v>
      </c>
      <c r="M1152" s="124">
        <f t="shared" si="343"/>
        <v>0</v>
      </c>
      <c r="N1152" s="122">
        <f t="shared" si="344"/>
        <v>0</v>
      </c>
      <c r="O1152" s="121" t="str">
        <f t="shared" si="345"/>
        <v/>
      </c>
      <c r="P1152">
        <f t="shared" si="346"/>
        <v>0</v>
      </c>
      <c r="Q1152">
        <f t="shared" si="347"/>
        <v>0</v>
      </c>
      <c r="R1152">
        <f t="shared" si="348"/>
        <v>0</v>
      </c>
      <c r="S1152">
        <f t="shared" si="349"/>
        <v>0</v>
      </c>
      <c r="T1152" s="89">
        <f t="shared" si="350"/>
        <v>0</v>
      </c>
      <c r="U1152" s="126">
        <f>IF($D1152="",0,IFERROR(LOOKUP(2,1/(($D$3:D1151=$D1152)*($C$3:C1151=$C1152)*($A$3:A1151&lt;$A1152)),$AB$3:AB1151),1000))</f>
        <v>0</v>
      </c>
      <c r="V1152" s="126">
        <f t="shared" si="351"/>
        <v>0</v>
      </c>
      <c r="W1152">
        <f t="shared" si="352"/>
        <v>0</v>
      </c>
      <c r="X1152">
        <f t="shared" si="353"/>
        <v>0</v>
      </c>
      <c r="Y1152">
        <f t="shared" si="354"/>
        <v>0</v>
      </c>
      <c r="Z1152">
        <f t="shared" si="355"/>
        <v>0</v>
      </c>
      <c r="AA1152">
        <f>IF($D1152="",0,IF($F1152&lt;2,0,IF($E1152="Win",('Guide &amp; Settings'!$C$42/(($F1152-1)*COUNTIFS($A$4:$A$1510,$A1152,$E$4:$E$1510,"Win")))*SUMIFS($Z$4:$Z$1510,$A$4:$A$1510,$A1152,$E$4:$E$1510,"Loss"),-('Guide &amp; Settings'!$C$42/($F1152-1))*$Z1152)))</f>
        <v>0</v>
      </c>
      <c r="AB1152" s="126">
        <f t="shared" si="356"/>
        <v>0</v>
      </c>
      <c r="AC1152" t="str">
        <f>IF($D1152="","",IF($AD1152=0,0,IF(COUNTIFS($D$4:$D1152,$D1152,$B$4:$B1152,$B1152)&gt;1,0,IF($B1152&lt;'Guide &amp; Settings'!$C$50,0,IF(($B1152-$AD1152)/7-'Guide &amp; Settings'!$C$48&gt;=0,(INT(($B1152-$AD1152)/7-'Guide &amp; Settings'!$C$48)+1)*'Guide &amp; Settings'!$C$49,0)))))</f>
        <v/>
      </c>
      <c r="AD1152" s="142">
        <f t="shared" si="357"/>
        <v>0</v>
      </c>
      <c r="AE1152">
        <f t="shared" si="358"/>
        <v>0</v>
      </c>
      <c r="AF1152">
        <f t="shared" si="359"/>
        <v>0</v>
      </c>
    </row>
    <row r="1153" spans="1:32" x14ac:dyDescent="0.2">
      <c r="A1153" s="117"/>
      <c r="B1153" s="118"/>
      <c r="C1153" s="119"/>
      <c r="D1153" s="119"/>
      <c r="E1153" s="117"/>
      <c r="F1153" s="120">
        <f t="shared" si="340"/>
        <v>0</v>
      </c>
      <c r="G1153" s="121" t="str">
        <f t="shared" si="341"/>
        <v/>
      </c>
      <c r="H1153" s="122">
        <f>IF($D1153="",0,IFERROR(LOOKUP(2,1/(($D$3:D1152=$D1153)*($A$3:A1152&lt;$A1153)),$N$3:N1152),'Guide &amp; Settings'!$C$41))</f>
        <v>0</v>
      </c>
      <c r="I1153" s="123">
        <f t="shared" si="342"/>
        <v>0</v>
      </c>
      <c r="J1153" s="124">
        <f>IF($D1153="",0,IF($F1153&lt;2,0,IF($E1153="Win",('Guide &amp; Settings'!$C$42/(($F1153-1)*COUNTIFS($A$4:$A$1510,$A1153,$E$4:$E$1510,"Win")))*SUMIFS($X$4:$X$1510,$A$4:$A$1510,$A1153,$E$4:$E$1510,"Loss"),-('Guide &amp; Settings'!$C$42/($F1153-1))*$X1153)))</f>
        <v>0</v>
      </c>
      <c r="K1153" s="124">
        <f>IF($D1153="",0,'Guide &amp; Settings'!$C$43*(IF($E1153="Win",1,0)-$I1153))</f>
        <v>0</v>
      </c>
      <c r="L1153" s="125">
        <f>IF($D1153="",0,'Guide &amp; Settings'!$C$44*IF($F1153&gt;=3,$F1153,0))</f>
        <v>0</v>
      </c>
      <c r="M1153" s="124">
        <f t="shared" si="343"/>
        <v>0</v>
      </c>
      <c r="N1153" s="122">
        <f t="shared" si="344"/>
        <v>0</v>
      </c>
      <c r="O1153" s="121" t="str">
        <f t="shared" si="345"/>
        <v/>
      </c>
      <c r="P1153">
        <f t="shared" si="346"/>
        <v>0</v>
      </c>
      <c r="Q1153">
        <f t="shared" si="347"/>
        <v>0</v>
      </c>
      <c r="R1153">
        <f t="shared" si="348"/>
        <v>0</v>
      </c>
      <c r="S1153">
        <f t="shared" si="349"/>
        <v>0</v>
      </c>
      <c r="T1153" s="89">
        <f t="shared" si="350"/>
        <v>0</v>
      </c>
      <c r="U1153" s="126">
        <f>IF($D1153="",0,IFERROR(LOOKUP(2,1/(($D$3:D1152=$D1153)*($C$3:C1152=$C1153)*($A$3:A1152&lt;$A1153)),$AB$3:AB1152),1000))</f>
        <v>0</v>
      </c>
      <c r="V1153" s="126">
        <f t="shared" si="351"/>
        <v>0</v>
      </c>
      <c r="W1153">
        <f t="shared" si="352"/>
        <v>0</v>
      </c>
      <c r="X1153">
        <f t="shared" si="353"/>
        <v>0</v>
      </c>
      <c r="Y1153">
        <f t="shared" si="354"/>
        <v>0</v>
      </c>
      <c r="Z1153">
        <f t="shared" si="355"/>
        <v>0</v>
      </c>
      <c r="AA1153">
        <f>IF($D1153="",0,IF($F1153&lt;2,0,IF($E1153="Win",('Guide &amp; Settings'!$C$42/(($F1153-1)*COUNTIFS($A$4:$A$1510,$A1153,$E$4:$E$1510,"Win")))*SUMIFS($Z$4:$Z$1510,$A$4:$A$1510,$A1153,$E$4:$E$1510,"Loss"),-('Guide &amp; Settings'!$C$42/($F1153-1))*$Z1153)))</f>
        <v>0</v>
      </c>
      <c r="AB1153" s="126">
        <f t="shared" si="356"/>
        <v>0</v>
      </c>
      <c r="AC1153" t="str">
        <f>IF($D1153="","",IF($AD1153=0,0,IF(COUNTIFS($D$4:$D1153,$D1153,$B$4:$B1153,$B1153)&gt;1,0,IF($B1153&lt;'Guide &amp; Settings'!$C$50,0,IF(($B1153-$AD1153)/7-'Guide &amp; Settings'!$C$48&gt;=0,(INT(($B1153-$AD1153)/7-'Guide &amp; Settings'!$C$48)+1)*'Guide &amp; Settings'!$C$49,0)))))</f>
        <v/>
      </c>
      <c r="AD1153" s="142">
        <f t="shared" si="357"/>
        <v>0</v>
      </c>
      <c r="AE1153">
        <f t="shared" si="358"/>
        <v>0</v>
      </c>
      <c r="AF1153">
        <f t="shared" si="359"/>
        <v>0</v>
      </c>
    </row>
    <row r="1154" spans="1:32" x14ac:dyDescent="0.2">
      <c r="A1154" s="117"/>
      <c r="B1154" s="118"/>
      <c r="C1154" s="119"/>
      <c r="D1154" s="119"/>
      <c r="E1154" s="117"/>
      <c r="F1154" s="120">
        <f t="shared" si="340"/>
        <v>0</v>
      </c>
      <c r="G1154" s="121" t="str">
        <f t="shared" si="341"/>
        <v/>
      </c>
      <c r="H1154" s="122">
        <f>IF($D1154="",0,IFERROR(LOOKUP(2,1/(($D$3:D1153=$D1154)*($A$3:A1153&lt;$A1154)),$N$3:N1153),'Guide &amp; Settings'!$C$41))</f>
        <v>0</v>
      </c>
      <c r="I1154" s="123">
        <f t="shared" si="342"/>
        <v>0</v>
      </c>
      <c r="J1154" s="124">
        <f>IF($D1154="",0,IF($F1154&lt;2,0,IF($E1154="Win",('Guide &amp; Settings'!$C$42/(($F1154-1)*COUNTIFS($A$4:$A$1510,$A1154,$E$4:$E$1510,"Win")))*SUMIFS($X$4:$X$1510,$A$4:$A$1510,$A1154,$E$4:$E$1510,"Loss"),-('Guide &amp; Settings'!$C$42/($F1154-1))*$X1154)))</f>
        <v>0</v>
      </c>
      <c r="K1154" s="124">
        <f>IF($D1154="",0,'Guide &amp; Settings'!$C$43*(IF($E1154="Win",1,0)-$I1154))</f>
        <v>0</v>
      </c>
      <c r="L1154" s="125">
        <f>IF($D1154="",0,'Guide &amp; Settings'!$C$44*IF($F1154&gt;=3,$F1154,0))</f>
        <v>0</v>
      </c>
      <c r="M1154" s="124">
        <f t="shared" si="343"/>
        <v>0</v>
      </c>
      <c r="N1154" s="122">
        <f t="shared" si="344"/>
        <v>0</v>
      </c>
      <c r="O1154" s="121" t="str">
        <f t="shared" si="345"/>
        <v/>
      </c>
      <c r="P1154">
        <f t="shared" si="346"/>
        <v>0</v>
      </c>
      <c r="Q1154">
        <f t="shared" si="347"/>
        <v>0</v>
      </c>
      <c r="R1154">
        <f t="shared" si="348"/>
        <v>0</v>
      </c>
      <c r="S1154">
        <f t="shared" si="349"/>
        <v>0</v>
      </c>
      <c r="T1154" s="89">
        <f t="shared" si="350"/>
        <v>0</v>
      </c>
      <c r="U1154" s="126">
        <f>IF($D1154="",0,IFERROR(LOOKUP(2,1/(($D$3:D1153=$D1154)*($C$3:C1153=$C1154)*($A$3:A1153&lt;$A1154)),$AB$3:AB1153),1000))</f>
        <v>0</v>
      </c>
      <c r="V1154" s="126">
        <f t="shared" si="351"/>
        <v>0</v>
      </c>
      <c r="W1154">
        <f t="shared" si="352"/>
        <v>0</v>
      </c>
      <c r="X1154">
        <f t="shared" si="353"/>
        <v>0</v>
      </c>
      <c r="Y1154">
        <f t="shared" si="354"/>
        <v>0</v>
      </c>
      <c r="Z1154">
        <f t="shared" si="355"/>
        <v>0</v>
      </c>
      <c r="AA1154">
        <f>IF($D1154="",0,IF($F1154&lt;2,0,IF($E1154="Win",('Guide &amp; Settings'!$C$42/(($F1154-1)*COUNTIFS($A$4:$A$1510,$A1154,$E$4:$E$1510,"Win")))*SUMIFS($Z$4:$Z$1510,$A$4:$A$1510,$A1154,$E$4:$E$1510,"Loss"),-('Guide &amp; Settings'!$C$42/($F1154-1))*$Z1154)))</f>
        <v>0</v>
      </c>
      <c r="AB1154" s="126">
        <f t="shared" si="356"/>
        <v>0</v>
      </c>
      <c r="AC1154" t="str">
        <f>IF($D1154="","",IF($AD1154=0,0,IF(COUNTIFS($D$4:$D1154,$D1154,$B$4:$B1154,$B1154)&gt;1,0,IF($B1154&lt;'Guide &amp; Settings'!$C$50,0,IF(($B1154-$AD1154)/7-'Guide &amp; Settings'!$C$48&gt;=0,(INT(($B1154-$AD1154)/7-'Guide &amp; Settings'!$C$48)+1)*'Guide &amp; Settings'!$C$49,0)))))</f>
        <v/>
      </c>
      <c r="AD1154" s="142">
        <f t="shared" si="357"/>
        <v>0</v>
      </c>
      <c r="AE1154">
        <f t="shared" si="358"/>
        <v>0</v>
      </c>
      <c r="AF1154">
        <f t="shared" si="359"/>
        <v>0</v>
      </c>
    </row>
    <row r="1155" spans="1:32" x14ac:dyDescent="0.2">
      <c r="A1155" s="117"/>
      <c r="B1155" s="118"/>
      <c r="C1155" s="119"/>
      <c r="D1155" s="119"/>
      <c r="E1155" s="117"/>
      <c r="F1155" s="120">
        <f t="shared" si="340"/>
        <v>0</v>
      </c>
      <c r="G1155" s="121" t="str">
        <f t="shared" si="341"/>
        <v/>
      </c>
      <c r="H1155" s="122">
        <f>IF($D1155="",0,IFERROR(LOOKUP(2,1/(($D$3:D1154=$D1155)*($A$3:A1154&lt;$A1155)),$N$3:N1154),'Guide &amp; Settings'!$C$41))</f>
        <v>0</v>
      </c>
      <c r="I1155" s="123">
        <f t="shared" si="342"/>
        <v>0</v>
      </c>
      <c r="J1155" s="124">
        <f>IF($D1155="",0,IF($F1155&lt;2,0,IF($E1155="Win",('Guide &amp; Settings'!$C$42/(($F1155-1)*COUNTIFS($A$4:$A$1510,$A1155,$E$4:$E$1510,"Win")))*SUMIFS($X$4:$X$1510,$A$4:$A$1510,$A1155,$E$4:$E$1510,"Loss"),-('Guide &amp; Settings'!$C$42/($F1155-1))*$X1155)))</f>
        <v>0</v>
      </c>
      <c r="K1155" s="124">
        <f>IF($D1155="",0,'Guide &amp; Settings'!$C$43*(IF($E1155="Win",1,0)-$I1155))</f>
        <v>0</v>
      </c>
      <c r="L1155" s="125">
        <f>IF($D1155="",0,'Guide &amp; Settings'!$C$44*IF($F1155&gt;=3,$F1155,0))</f>
        <v>0</v>
      </c>
      <c r="M1155" s="124">
        <f t="shared" si="343"/>
        <v>0</v>
      </c>
      <c r="N1155" s="122">
        <f t="shared" si="344"/>
        <v>0</v>
      </c>
      <c r="O1155" s="121" t="str">
        <f t="shared" si="345"/>
        <v/>
      </c>
      <c r="P1155">
        <f t="shared" si="346"/>
        <v>0</v>
      </c>
      <c r="Q1155">
        <f t="shared" si="347"/>
        <v>0</v>
      </c>
      <c r="R1155">
        <f t="shared" si="348"/>
        <v>0</v>
      </c>
      <c r="S1155">
        <f t="shared" si="349"/>
        <v>0</v>
      </c>
      <c r="T1155" s="89">
        <f t="shared" si="350"/>
        <v>0</v>
      </c>
      <c r="U1155" s="126">
        <f>IF($D1155="",0,IFERROR(LOOKUP(2,1/(($D$3:D1154=$D1155)*($C$3:C1154=$C1155)*($A$3:A1154&lt;$A1155)),$AB$3:AB1154),1000))</f>
        <v>0</v>
      </c>
      <c r="V1155" s="126">
        <f t="shared" si="351"/>
        <v>0</v>
      </c>
      <c r="W1155">
        <f t="shared" si="352"/>
        <v>0</v>
      </c>
      <c r="X1155">
        <f t="shared" si="353"/>
        <v>0</v>
      </c>
      <c r="Y1155">
        <f t="shared" si="354"/>
        <v>0</v>
      </c>
      <c r="Z1155">
        <f t="shared" si="355"/>
        <v>0</v>
      </c>
      <c r="AA1155">
        <f>IF($D1155="",0,IF($F1155&lt;2,0,IF($E1155="Win",('Guide &amp; Settings'!$C$42/(($F1155-1)*COUNTIFS($A$4:$A$1510,$A1155,$E$4:$E$1510,"Win")))*SUMIFS($Z$4:$Z$1510,$A$4:$A$1510,$A1155,$E$4:$E$1510,"Loss"),-('Guide &amp; Settings'!$C$42/($F1155-1))*$Z1155)))</f>
        <v>0</v>
      </c>
      <c r="AB1155" s="126">
        <f t="shared" si="356"/>
        <v>0</v>
      </c>
      <c r="AC1155" t="str">
        <f>IF($D1155="","",IF($AD1155=0,0,IF(COUNTIFS($D$4:$D1155,$D1155,$B$4:$B1155,$B1155)&gt;1,0,IF($B1155&lt;'Guide &amp; Settings'!$C$50,0,IF(($B1155-$AD1155)/7-'Guide &amp; Settings'!$C$48&gt;=0,(INT(($B1155-$AD1155)/7-'Guide &amp; Settings'!$C$48)+1)*'Guide &amp; Settings'!$C$49,0)))))</f>
        <v/>
      </c>
      <c r="AD1155" s="142">
        <f t="shared" si="357"/>
        <v>0</v>
      </c>
      <c r="AE1155">
        <f t="shared" si="358"/>
        <v>0</v>
      </c>
      <c r="AF1155">
        <f t="shared" si="359"/>
        <v>0</v>
      </c>
    </row>
    <row r="1156" spans="1:32" x14ac:dyDescent="0.2">
      <c r="A1156" s="117"/>
      <c r="B1156" s="118"/>
      <c r="C1156" s="119"/>
      <c r="D1156" s="119"/>
      <c r="E1156" s="117"/>
      <c r="F1156" s="120">
        <f t="shared" ref="F1156:F1219" si="360">IF($D1156="",0,COUNTIF($A$4:$A$1510,$A1156))</f>
        <v>0</v>
      </c>
      <c r="G1156" s="121" t="str">
        <f t="shared" ref="G1156:G1219" si="361">IF($D1156="","",IFERROR(LOOKUP(2,1/(($A$4:$A$1510=$A1156)*($E$4:$E$1510="Win")),$D$4:$D$1510),"(no winner)"))</f>
        <v/>
      </c>
      <c r="H1156" s="122">
        <f>IF($D1156="",0,IFERROR(LOOKUP(2,1/(($D$3:D1155=$D1156)*($A$3:A1155&lt;$A1156)),$N$3:N1155),'Guide &amp; Settings'!$C$41))</f>
        <v>0</v>
      </c>
      <c r="I1156" s="123">
        <f t="shared" ref="I1156:I1219" si="362">IF($D1156="",0,IF($S1156=0,0,$R1156/$S1156))</f>
        <v>0</v>
      </c>
      <c r="J1156" s="124">
        <f>IF($D1156="",0,IF($F1156&lt;2,0,IF($E1156="Win",('Guide &amp; Settings'!$C$42/(($F1156-1)*COUNTIFS($A$4:$A$1510,$A1156,$E$4:$E$1510,"Win")))*SUMIFS($X$4:$X$1510,$A$4:$A$1510,$A1156,$E$4:$E$1510,"Loss"),-('Guide &amp; Settings'!$C$42/($F1156-1))*$X1156)))</f>
        <v>0</v>
      </c>
      <c r="K1156" s="124">
        <f>IF($D1156="",0,'Guide &amp; Settings'!$C$43*(IF($E1156="Win",1,0)-$I1156))</f>
        <v>0</v>
      </c>
      <c r="L1156" s="125">
        <f>IF($D1156="",0,'Guide &amp; Settings'!$C$44*IF($F1156&gt;=3,$F1156,0))</f>
        <v>0</v>
      </c>
      <c r="M1156" s="124">
        <f t="shared" ref="M1156:M1219" si="363">IF($D1156="",0,$J1156+$K1156+$L1156)</f>
        <v>0</v>
      </c>
      <c r="N1156" s="122">
        <f t="shared" ref="N1156:N1219" si="364">IF($D1156="",0,$H1156+$M1156)</f>
        <v>0</v>
      </c>
      <c r="O1156" s="121" t="str">
        <f t="shared" ref="O1156:O1219" si="365">IF($D1156="","",IF($AE1156=0,"need a winner",IF($F1156-$AE1156=0,"need a loser",IF(MOD($AF1156,2)=1,"duplicate player",IF(MOD(INT($AF1156/2),2)=1,"mixed sports",IF($AF1156&gt;=4,"mixed dates",IF($AE1156&gt;1,IF($F1156&gt;=4,"OK (team)","check winners"),"OK")))))))</f>
        <v/>
      </c>
      <c r="P1156">
        <f t="shared" ref="P1156:P1219" si="366">IF($D1156="",0,IFERROR(SUMIFS($H$4:$H$1510,$A$4:$A$1510,$A1156,$E$4:$E$1510,"Win")/COUNTIFS($A$4:$A$1510,$A1156,$E$4:$E$1510,"Win"),0))</f>
        <v>0</v>
      </c>
      <c r="Q1156">
        <f t="shared" ref="Q1156:Q1219" si="367">IF($D1156="",0,1/(1+10^(($P1156-$H1156)/400)))</f>
        <v>0</v>
      </c>
      <c r="R1156">
        <f t="shared" ref="R1156:R1219" si="368">IF($D1156="",0,(COUNTIFS($D$4:$D$1510,$D1156,$C$4:$C$1510,$C1156,$E$4:$E$1510,"Win",$A$4:$A$1510,"&lt;"&amp;$A1156)+1)/(COUNTIFS($D$4:$D$1510,$D1156,$C$4:$C$1510,$C1156,$A$4:$A$1510,"&lt;"&amp;$A1156)+2))</f>
        <v>0</v>
      </c>
      <c r="S1156">
        <f t="shared" ref="S1156:S1219" si="369">IF($D1156="",0,SUMIFS($R$4:$R$1510,$A$4:$A$1510,$A1156))</f>
        <v>0</v>
      </c>
      <c r="T1156" s="89">
        <f t="shared" ref="T1156:T1219" si="370">IF($D1156="",0,COUNTIFS($D$4:$D$1510,$D1156,$C$4:$C$1510,$C1156,$A$4:$A$1510,"&lt;"&amp;$A1156))</f>
        <v>0</v>
      </c>
      <c r="U1156" s="126">
        <f>IF($D1156="",0,IFERROR(LOOKUP(2,1/(($D$3:D1155=$D1156)*($C$3:C1155=$C1156)*($A$3:A1155&lt;$A1156)),$AB$3:AB1155),1000))</f>
        <v>0</v>
      </c>
      <c r="V1156" s="126">
        <f t="shared" ref="V1156:V1219" si="371">IF($D1156="",0,$U1156*($T1156/($T1156+5))+$H1156*(1-$T1156/($T1156+5)))</f>
        <v>0</v>
      </c>
      <c r="W1156">
        <f t="shared" ref="W1156:W1219" si="372">IF($D1156="",0,IFERROR(SUMIFS($V$4:$V$1510,$A$4:$A$1510,$A1156,$E$4:$E$1510,"Win")/COUNTIFS($A$4:$A$1510,$A1156,$E$4:$E$1510,"Win"),0))</f>
        <v>0</v>
      </c>
      <c r="X1156">
        <f t="shared" ref="X1156:X1219" si="373">IF($D1156="",0,1/(1+10^(($W1156-$V1156)/400)))</f>
        <v>0</v>
      </c>
      <c r="Y1156">
        <f t="shared" ref="Y1156:Y1219" si="374">IF($D1156="",0,IFERROR(SUMIFS($U$4:$U$1510,$A$4:$A$1510,$A1156,$E$4:$E$1510,"Win")/COUNTIFS($A$4:$A$1510,$A1156,$E$4:$E$1510,"Win"),0))</f>
        <v>0</v>
      </c>
      <c r="Z1156">
        <f t="shared" ref="Z1156:Z1219" si="375">IF($D1156="",0,1/(1+10^(($Y1156-$U1156)/400)))</f>
        <v>0</v>
      </c>
      <c r="AA1156">
        <f>IF($D1156="",0,IF($F1156&lt;2,0,IF($E1156="Win",('Guide &amp; Settings'!$C$42/(($F1156-1)*COUNTIFS($A$4:$A$1510,$A1156,$E$4:$E$1510,"Win")))*SUMIFS($Z$4:$Z$1510,$A$4:$A$1510,$A1156,$E$4:$E$1510,"Loss"),-('Guide &amp; Settings'!$C$42/($F1156-1))*$Z1156)))</f>
        <v>0</v>
      </c>
      <c r="AB1156" s="126">
        <f t="shared" ref="AB1156:AB1219" si="376">IF($D1156="",0,$U1156+$AA1156)</f>
        <v>0</v>
      </c>
      <c r="AC1156" t="str">
        <f>IF($D1156="","",IF($AD1156=0,0,IF(COUNTIFS($D$4:$D1156,$D1156,$B$4:$B1156,$B1156)&gt;1,0,IF($B1156&lt;'Guide &amp; Settings'!$C$50,0,IF(($B1156-$AD1156)/7-'Guide &amp; Settings'!$C$48&gt;=0,(INT(($B1156-$AD1156)/7-'Guide &amp; Settings'!$C$48)+1)*'Guide &amp; Settings'!$C$49,0)))))</f>
        <v/>
      </c>
      <c r="AD1156" s="142">
        <f t="shared" ref="AD1156:AD1219" si="377">IF($D1156="",0,SUMPRODUCT(MAX(($D$4:$D$1510=$D1156)*($B$4:$B$1510&lt;$B1156)*$B$4:$B$1510)))</f>
        <v>0</v>
      </c>
      <c r="AE1156">
        <f t="shared" ref="AE1156:AE1219" si="378">IF($D1156="",0,COUNTIFS($A$4:$A$1510,$A1156,$E$4:$E$1510,"Win"))</f>
        <v>0</v>
      </c>
      <c r="AF1156">
        <f t="shared" ref="AF1156:AF1219" si="379">IF($D1156="",0,(COUNTIFS($A$4:$A$1510,$A1156,$D$4:$D$1510,$D1156)&gt;1)*1+(COUNTIFS($A$4:$A$1510,$A1156,$C$4:$C$1510,"&lt;&gt;"&amp;$C1156)&gt;0)*2+(COUNTIFS($A$4:$A$1510,$A1156,$B$4:$B$1510,"&lt;&gt;"&amp;$B1156)&gt;0)*4)</f>
        <v>0</v>
      </c>
    </row>
    <row r="1157" spans="1:32" x14ac:dyDescent="0.2">
      <c r="A1157" s="117"/>
      <c r="B1157" s="118"/>
      <c r="C1157" s="119"/>
      <c r="D1157" s="119"/>
      <c r="E1157" s="117"/>
      <c r="F1157" s="120">
        <f t="shared" si="360"/>
        <v>0</v>
      </c>
      <c r="G1157" s="121" t="str">
        <f t="shared" si="361"/>
        <v/>
      </c>
      <c r="H1157" s="122">
        <f>IF($D1157="",0,IFERROR(LOOKUP(2,1/(($D$3:D1156=$D1157)*($A$3:A1156&lt;$A1157)),$N$3:N1156),'Guide &amp; Settings'!$C$41))</f>
        <v>0</v>
      </c>
      <c r="I1157" s="123">
        <f t="shared" si="362"/>
        <v>0</v>
      </c>
      <c r="J1157" s="124">
        <f>IF($D1157="",0,IF($F1157&lt;2,0,IF($E1157="Win",('Guide &amp; Settings'!$C$42/(($F1157-1)*COUNTIFS($A$4:$A$1510,$A1157,$E$4:$E$1510,"Win")))*SUMIFS($X$4:$X$1510,$A$4:$A$1510,$A1157,$E$4:$E$1510,"Loss"),-('Guide &amp; Settings'!$C$42/($F1157-1))*$X1157)))</f>
        <v>0</v>
      </c>
      <c r="K1157" s="124">
        <f>IF($D1157="",0,'Guide &amp; Settings'!$C$43*(IF($E1157="Win",1,0)-$I1157))</f>
        <v>0</v>
      </c>
      <c r="L1157" s="125">
        <f>IF($D1157="",0,'Guide &amp; Settings'!$C$44*IF($F1157&gt;=3,$F1157,0))</f>
        <v>0</v>
      </c>
      <c r="M1157" s="124">
        <f t="shared" si="363"/>
        <v>0</v>
      </c>
      <c r="N1157" s="122">
        <f t="shared" si="364"/>
        <v>0</v>
      </c>
      <c r="O1157" s="121" t="str">
        <f t="shared" si="365"/>
        <v/>
      </c>
      <c r="P1157">
        <f t="shared" si="366"/>
        <v>0</v>
      </c>
      <c r="Q1157">
        <f t="shared" si="367"/>
        <v>0</v>
      </c>
      <c r="R1157">
        <f t="shared" si="368"/>
        <v>0</v>
      </c>
      <c r="S1157">
        <f t="shared" si="369"/>
        <v>0</v>
      </c>
      <c r="T1157" s="89">
        <f t="shared" si="370"/>
        <v>0</v>
      </c>
      <c r="U1157" s="126">
        <f>IF($D1157="",0,IFERROR(LOOKUP(2,1/(($D$3:D1156=$D1157)*($C$3:C1156=$C1157)*($A$3:A1156&lt;$A1157)),$AB$3:AB1156),1000))</f>
        <v>0</v>
      </c>
      <c r="V1157" s="126">
        <f t="shared" si="371"/>
        <v>0</v>
      </c>
      <c r="W1157">
        <f t="shared" si="372"/>
        <v>0</v>
      </c>
      <c r="X1157">
        <f t="shared" si="373"/>
        <v>0</v>
      </c>
      <c r="Y1157">
        <f t="shared" si="374"/>
        <v>0</v>
      </c>
      <c r="Z1157">
        <f t="shared" si="375"/>
        <v>0</v>
      </c>
      <c r="AA1157">
        <f>IF($D1157="",0,IF($F1157&lt;2,0,IF($E1157="Win",('Guide &amp; Settings'!$C$42/(($F1157-1)*COUNTIFS($A$4:$A$1510,$A1157,$E$4:$E$1510,"Win")))*SUMIFS($Z$4:$Z$1510,$A$4:$A$1510,$A1157,$E$4:$E$1510,"Loss"),-('Guide &amp; Settings'!$C$42/($F1157-1))*$Z1157)))</f>
        <v>0</v>
      </c>
      <c r="AB1157" s="126">
        <f t="shared" si="376"/>
        <v>0</v>
      </c>
      <c r="AC1157" t="str">
        <f>IF($D1157="","",IF($AD1157=0,0,IF(COUNTIFS($D$4:$D1157,$D1157,$B$4:$B1157,$B1157)&gt;1,0,IF($B1157&lt;'Guide &amp; Settings'!$C$50,0,IF(($B1157-$AD1157)/7-'Guide &amp; Settings'!$C$48&gt;=0,(INT(($B1157-$AD1157)/7-'Guide &amp; Settings'!$C$48)+1)*'Guide &amp; Settings'!$C$49,0)))))</f>
        <v/>
      </c>
      <c r="AD1157" s="142">
        <f t="shared" si="377"/>
        <v>0</v>
      </c>
      <c r="AE1157">
        <f t="shared" si="378"/>
        <v>0</v>
      </c>
      <c r="AF1157">
        <f t="shared" si="379"/>
        <v>0</v>
      </c>
    </row>
    <row r="1158" spans="1:32" x14ac:dyDescent="0.2">
      <c r="A1158" s="117"/>
      <c r="B1158" s="118"/>
      <c r="C1158" s="119"/>
      <c r="D1158" s="119"/>
      <c r="E1158" s="117"/>
      <c r="F1158" s="120">
        <f t="shared" si="360"/>
        <v>0</v>
      </c>
      <c r="G1158" s="121" t="str">
        <f t="shared" si="361"/>
        <v/>
      </c>
      <c r="H1158" s="122">
        <f>IF($D1158="",0,IFERROR(LOOKUP(2,1/(($D$3:D1157=$D1158)*($A$3:A1157&lt;$A1158)),$N$3:N1157),'Guide &amp; Settings'!$C$41))</f>
        <v>0</v>
      </c>
      <c r="I1158" s="123">
        <f t="shared" si="362"/>
        <v>0</v>
      </c>
      <c r="J1158" s="124">
        <f>IF($D1158="",0,IF($F1158&lt;2,0,IF($E1158="Win",('Guide &amp; Settings'!$C$42/(($F1158-1)*COUNTIFS($A$4:$A$1510,$A1158,$E$4:$E$1510,"Win")))*SUMIFS($X$4:$X$1510,$A$4:$A$1510,$A1158,$E$4:$E$1510,"Loss"),-('Guide &amp; Settings'!$C$42/($F1158-1))*$X1158)))</f>
        <v>0</v>
      </c>
      <c r="K1158" s="124">
        <f>IF($D1158="",0,'Guide &amp; Settings'!$C$43*(IF($E1158="Win",1,0)-$I1158))</f>
        <v>0</v>
      </c>
      <c r="L1158" s="125">
        <f>IF($D1158="",0,'Guide &amp; Settings'!$C$44*IF($F1158&gt;=3,$F1158,0))</f>
        <v>0</v>
      </c>
      <c r="M1158" s="124">
        <f t="shared" si="363"/>
        <v>0</v>
      </c>
      <c r="N1158" s="122">
        <f t="shared" si="364"/>
        <v>0</v>
      </c>
      <c r="O1158" s="121" t="str">
        <f t="shared" si="365"/>
        <v/>
      </c>
      <c r="P1158">
        <f t="shared" si="366"/>
        <v>0</v>
      </c>
      <c r="Q1158">
        <f t="shared" si="367"/>
        <v>0</v>
      </c>
      <c r="R1158">
        <f t="shared" si="368"/>
        <v>0</v>
      </c>
      <c r="S1158">
        <f t="shared" si="369"/>
        <v>0</v>
      </c>
      <c r="T1158" s="89">
        <f t="shared" si="370"/>
        <v>0</v>
      </c>
      <c r="U1158" s="126">
        <f>IF($D1158="",0,IFERROR(LOOKUP(2,1/(($D$3:D1157=$D1158)*($C$3:C1157=$C1158)*($A$3:A1157&lt;$A1158)),$AB$3:AB1157),1000))</f>
        <v>0</v>
      </c>
      <c r="V1158" s="126">
        <f t="shared" si="371"/>
        <v>0</v>
      </c>
      <c r="W1158">
        <f t="shared" si="372"/>
        <v>0</v>
      </c>
      <c r="X1158">
        <f t="shared" si="373"/>
        <v>0</v>
      </c>
      <c r="Y1158">
        <f t="shared" si="374"/>
        <v>0</v>
      </c>
      <c r="Z1158">
        <f t="shared" si="375"/>
        <v>0</v>
      </c>
      <c r="AA1158">
        <f>IF($D1158="",0,IF($F1158&lt;2,0,IF($E1158="Win",('Guide &amp; Settings'!$C$42/(($F1158-1)*COUNTIFS($A$4:$A$1510,$A1158,$E$4:$E$1510,"Win")))*SUMIFS($Z$4:$Z$1510,$A$4:$A$1510,$A1158,$E$4:$E$1510,"Loss"),-('Guide &amp; Settings'!$C$42/($F1158-1))*$Z1158)))</f>
        <v>0</v>
      </c>
      <c r="AB1158" s="126">
        <f t="shared" si="376"/>
        <v>0</v>
      </c>
      <c r="AC1158" t="str">
        <f>IF($D1158="","",IF($AD1158=0,0,IF(COUNTIFS($D$4:$D1158,$D1158,$B$4:$B1158,$B1158)&gt;1,0,IF($B1158&lt;'Guide &amp; Settings'!$C$50,0,IF(($B1158-$AD1158)/7-'Guide &amp; Settings'!$C$48&gt;=0,(INT(($B1158-$AD1158)/7-'Guide &amp; Settings'!$C$48)+1)*'Guide &amp; Settings'!$C$49,0)))))</f>
        <v/>
      </c>
      <c r="AD1158" s="142">
        <f t="shared" si="377"/>
        <v>0</v>
      </c>
      <c r="AE1158">
        <f t="shared" si="378"/>
        <v>0</v>
      </c>
      <c r="AF1158">
        <f t="shared" si="379"/>
        <v>0</v>
      </c>
    </row>
    <row r="1159" spans="1:32" x14ac:dyDescent="0.2">
      <c r="A1159" s="117"/>
      <c r="B1159" s="118"/>
      <c r="C1159" s="119"/>
      <c r="D1159" s="119"/>
      <c r="E1159" s="117"/>
      <c r="F1159" s="120">
        <f t="shared" si="360"/>
        <v>0</v>
      </c>
      <c r="G1159" s="121" t="str">
        <f t="shared" si="361"/>
        <v/>
      </c>
      <c r="H1159" s="122">
        <f>IF($D1159="",0,IFERROR(LOOKUP(2,1/(($D$3:D1158=$D1159)*($A$3:A1158&lt;$A1159)),$N$3:N1158),'Guide &amp; Settings'!$C$41))</f>
        <v>0</v>
      </c>
      <c r="I1159" s="123">
        <f t="shared" si="362"/>
        <v>0</v>
      </c>
      <c r="J1159" s="124">
        <f>IF($D1159="",0,IF($F1159&lt;2,0,IF($E1159="Win",('Guide &amp; Settings'!$C$42/(($F1159-1)*COUNTIFS($A$4:$A$1510,$A1159,$E$4:$E$1510,"Win")))*SUMIFS($X$4:$X$1510,$A$4:$A$1510,$A1159,$E$4:$E$1510,"Loss"),-('Guide &amp; Settings'!$C$42/($F1159-1))*$X1159)))</f>
        <v>0</v>
      </c>
      <c r="K1159" s="124">
        <f>IF($D1159="",0,'Guide &amp; Settings'!$C$43*(IF($E1159="Win",1,0)-$I1159))</f>
        <v>0</v>
      </c>
      <c r="L1159" s="125">
        <f>IF($D1159="",0,'Guide &amp; Settings'!$C$44*IF($F1159&gt;=3,$F1159,0))</f>
        <v>0</v>
      </c>
      <c r="M1159" s="124">
        <f t="shared" si="363"/>
        <v>0</v>
      </c>
      <c r="N1159" s="122">
        <f t="shared" si="364"/>
        <v>0</v>
      </c>
      <c r="O1159" s="121" t="str">
        <f t="shared" si="365"/>
        <v/>
      </c>
      <c r="P1159">
        <f t="shared" si="366"/>
        <v>0</v>
      </c>
      <c r="Q1159">
        <f t="shared" si="367"/>
        <v>0</v>
      </c>
      <c r="R1159">
        <f t="shared" si="368"/>
        <v>0</v>
      </c>
      <c r="S1159">
        <f t="shared" si="369"/>
        <v>0</v>
      </c>
      <c r="T1159" s="89">
        <f t="shared" si="370"/>
        <v>0</v>
      </c>
      <c r="U1159" s="126">
        <f>IF($D1159="",0,IFERROR(LOOKUP(2,1/(($D$3:D1158=$D1159)*($C$3:C1158=$C1159)*($A$3:A1158&lt;$A1159)),$AB$3:AB1158),1000))</f>
        <v>0</v>
      </c>
      <c r="V1159" s="126">
        <f t="shared" si="371"/>
        <v>0</v>
      </c>
      <c r="W1159">
        <f t="shared" si="372"/>
        <v>0</v>
      </c>
      <c r="X1159">
        <f t="shared" si="373"/>
        <v>0</v>
      </c>
      <c r="Y1159">
        <f t="shared" si="374"/>
        <v>0</v>
      </c>
      <c r="Z1159">
        <f t="shared" si="375"/>
        <v>0</v>
      </c>
      <c r="AA1159">
        <f>IF($D1159="",0,IF($F1159&lt;2,0,IF($E1159="Win",('Guide &amp; Settings'!$C$42/(($F1159-1)*COUNTIFS($A$4:$A$1510,$A1159,$E$4:$E$1510,"Win")))*SUMIFS($Z$4:$Z$1510,$A$4:$A$1510,$A1159,$E$4:$E$1510,"Loss"),-('Guide &amp; Settings'!$C$42/($F1159-1))*$Z1159)))</f>
        <v>0</v>
      </c>
      <c r="AB1159" s="126">
        <f t="shared" si="376"/>
        <v>0</v>
      </c>
      <c r="AC1159" t="str">
        <f>IF($D1159="","",IF($AD1159=0,0,IF(COUNTIFS($D$4:$D1159,$D1159,$B$4:$B1159,$B1159)&gt;1,0,IF($B1159&lt;'Guide &amp; Settings'!$C$50,0,IF(($B1159-$AD1159)/7-'Guide &amp; Settings'!$C$48&gt;=0,(INT(($B1159-$AD1159)/7-'Guide &amp; Settings'!$C$48)+1)*'Guide &amp; Settings'!$C$49,0)))))</f>
        <v/>
      </c>
      <c r="AD1159" s="142">
        <f t="shared" si="377"/>
        <v>0</v>
      </c>
      <c r="AE1159">
        <f t="shared" si="378"/>
        <v>0</v>
      </c>
      <c r="AF1159">
        <f t="shared" si="379"/>
        <v>0</v>
      </c>
    </row>
    <row r="1160" spans="1:32" x14ac:dyDescent="0.2">
      <c r="A1160" s="117"/>
      <c r="B1160" s="118"/>
      <c r="C1160" s="119"/>
      <c r="D1160" s="119"/>
      <c r="E1160" s="117"/>
      <c r="F1160" s="120">
        <f t="shared" si="360"/>
        <v>0</v>
      </c>
      <c r="G1160" s="121" t="str">
        <f t="shared" si="361"/>
        <v/>
      </c>
      <c r="H1160" s="122">
        <f>IF($D1160="",0,IFERROR(LOOKUP(2,1/(($D$3:D1159=$D1160)*($A$3:A1159&lt;$A1160)),$N$3:N1159),'Guide &amp; Settings'!$C$41))</f>
        <v>0</v>
      </c>
      <c r="I1160" s="123">
        <f t="shared" si="362"/>
        <v>0</v>
      </c>
      <c r="J1160" s="124">
        <f>IF($D1160="",0,IF($F1160&lt;2,0,IF($E1160="Win",('Guide &amp; Settings'!$C$42/(($F1160-1)*COUNTIFS($A$4:$A$1510,$A1160,$E$4:$E$1510,"Win")))*SUMIFS($X$4:$X$1510,$A$4:$A$1510,$A1160,$E$4:$E$1510,"Loss"),-('Guide &amp; Settings'!$C$42/($F1160-1))*$X1160)))</f>
        <v>0</v>
      </c>
      <c r="K1160" s="124">
        <f>IF($D1160="",0,'Guide &amp; Settings'!$C$43*(IF($E1160="Win",1,0)-$I1160))</f>
        <v>0</v>
      </c>
      <c r="L1160" s="125">
        <f>IF($D1160="",0,'Guide &amp; Settings'!$C$44*IF($F1160&gt;=3,$F1160,0))</f>
        <v>0</v>
      </c>
      <c r="M1160" s="124">
        <f t="shared" si="363"/>
        <v>0</v>
      </c>
      <c r="N1160" s="122">
        <f t="shared" si="364"/>
        <v>0</v>
      </c>
      <c r="O1160" s="121" t="str">
        <f t="shared" si="365"/>
        <v/>
      </c>
      <c r="P1160">
        <f t="shared" si="366"/>
        <v>0</v>
      </c>
      <c r="Q1160">
        <f t="shared" si="367"/>
        <v>0</v>
      </c>
      <c r="R1160">
        <f t="shared" si="368"/>
        <v>0</v>
      </c>
      <c r="S1160">
        <f t="shared" si="369"/>
        <v>0</v>
      </c>
      <c r="T1160" s="89">
        <f t="shared" si="370"/>
        <v>0</v>
      </c>
      <c r="U1160" s="126">
        <f>IF($D1160="",0,IFERROR(LOOKUP(2,1/(($D$3:D1159=$D1160)*($C$3:C1159=$C1160)*($A$3:A1159&lt;$A1160)),$AB$3:AB1159),1000))</f>
        <v>0</v>
      </c>
      <c r="V1160" s="126">
        <f t="shared" si="371"/>
        <v>0</v>
      </c>
      <c r="W1160">
        <f t="shared" si="372"/>
        <v>0</v>
      </c>
      <c r="X1160">
        <f t="shared" si="373"/>
        <v>0</v>
      </c>
      <c r="Y1160">
        <f t="shared" si="374"/>
        <v>0</v>
      </c>
      <c r="Z1160">
        <f t="shared" si="375"/>
        <v>0</v>
      </c>
      <c r="AA1160">
        <f>IF($D1160="",0,IF($F1160&lt;2,0,IF($E1160="Win",('Guide &amp; Settings'!$C$42/(($F1160-1)*COUNTIFS($A$4:$A$1510,$A1160,$E$4:$E$1510,"Win")))*SUMIFS($Z$4:$Z$1510,$A$4:$A$1510,$A1160,$E$4:$E$1510,"Loss"),-('Guide &amp; Settings'!$C$42/($F1160-1))*$Z1160)))</f>
        <v>0</v>
      </c>
      <c r="AB1160" s="126">
        <f t="shared" si="376"/>
        <v>0</v>
      </c>
      <c r="AC1160" t="str">
        <f>IF($D1160="","",IF($AD1160=0,0,IF(COUNTIFS($D$4:$D1160,$D1160,$B$4:$B1160,$B1160)&gt;1,0,IF($B1160&lt;'Guide &amp; Settings'!$C$50,0,IF(($B1160-$AD1160)/7-'Guide &amp; Settings'!$C$48&gt;=0,(INT(($B1160-$AD1160)/7-'Guide &amp; Settings'!$C$48)+1)*'Guide &amp; Settings'!$C$49,0)))))</f>
        <v/>
      </c>
      <c r="AD1160" s="142">
        <f t="shared" si="377"/>
        <v>0</v>
      </c>
      <c r="AE1160">
        <f t="shared" si="378"/>
        <v>0</v>
      </c>
      <c r="AF1160">
        <f t="shared" si="379"/>
        <v>0</v>
      </c>
    </row>
    <row r="1161" spans="1:32" x14ac:dyDescent="0.2">
      <c r="A1161" s="117"/>
      <c r="B1161" s="118"/>
      <c r="C1161" s="119"/>
      <c r="D1161" s="119"/>
      <c r="E1161" s="117"/>
      <c r="F1161" s="120">
        <f t="shared" si="360"/>
        <v>0</v>
      </c>
      <c r="G1161" s="121" t="str">
        <f t="shared" si="361"/>
        <v/>
      </c>
      <c r="H1161" s="122">
        <f>IF($D1161="",0,IFERROR(LOOKUP(2,1/(($D$3:D1160=$D1161)*($A$3:A1160&lt;$A1161)),$N$3:N1160),'Guide &amp; Settings'!$C$41))</f>
        <v>0</v>
      </c>
      <c r="I1161" s="123">
        <f t="shared" si="362"/>
        <v>0</v>
      </c>
      <c r="J1161" s="124">
        <f>IF($D1161="",0,IF($F1161&lt;2,0,IF($E1161="Win",('Guide &amp; Settings'!$C$42/(($F1161-1)*COUNTIFS($A$4:$A$1510,$A1161,$E$4:$E$1510,"Win")))*SUMIFS($X$4:$X$1510,$A$4:$A$1510,$A1161,$E$4:$E$1510,"Loss"),-('Guide &amp; Settings'!$C$42/($F1161-1))*$X1161)))</f>
        <v>0</v>
      </c>
      <c r="K1161" s="124">
        <f>IF($D1161="",0,'Guide &amp; Settings'!$C$43*(IF($E1161="Win",1,0)-$I1161))</f>
        <v>0</v>
      </c>
      <c r="L1161" s="125">
        <f>IF($D1161="",0,'Guide &amp; Settings'!$C$44*IF($F1161&gt;=3,$F1161,0))</f>
        <v>0</v>
      </c>
      <c r="M1161" s="124">
        <f t="shared" si="363"/>
        <v>0</v>
      </c>
      <c r="N1161" s="122">
        <f t="shared" si="364"/>
        <v>0</v>
      </c>
      <c r="O1161" s="121" t="str">
        <f t="shared" si="365"/>
        <v/>
      </c>
      <c r="P1161">
        <f t="shared" si="366"/>
        <v>0</v>
      </c>
      <c r="Q1161">
        <f t="shared" si="367"/>
        <v>0</v>
      </c>
      <c r="R1161">
        <f t="shared" si="368"/>
        <v>0</v>
      </c>
      <c r="S1161">
        <f t="shared" si="369"/>
        <v>0</v>
      </c>
      <c r="T1161" s="89">
        <f t="shared" si="370"/>
        <v>0</v>
      </c>
      <c r="U1161" s="126">
        <f>IF($D1161="",0,IFERROR(LOOKUP(2,1/(($D$3:D1160=$D1161)*($C$3:C1160=$C1161)*($A$3:A1160&lt;$A1161)),$AB$3:AB1160),1000))</f>
        <v>0</v>
      </c>
      <c r="V1161" s="126">
        <f t="shared" si="371"/>
        <v>0</v>
      </c>
      <c r="W1161">
        <f t="shared" si="372"/>
        <v>0</v>
      </c>
      <c r="X1161">
        <f t="shared" si="373"/>
        <v>0</v>
      </c>
      <c r="Y1161">
        <f t="shared" si="374"/>
        <v>0</v>
      </c>
      <c r="Z1161">
        <f t="shared" si="375"/>
        <v>0</v>
      </c>
      <c r="AA1161">
        <f>IF($D1161="",0,IF($F1161&lt;2,0,IF($E1161="Win",('Guide &amp; Settings'!$C$42/(($F1161-1)*COUNTIFS($A$4:$A$1510,$A1161,$E$4:$E$1510,"Win")))*SUMIFS($Z$4:$Z$1510,$A$4:$A$1510,$A1161,$E$4:$E$1510,"Loss"),-('Guide &amp; Settings'!$C$42/($F1161-1))*$Z1161)))</f>
        <v>0</v>
      </c>
      <c r="AB1161" s="126">
        <f t="shared" si="376"/>
        <v>0</v>
      </c>
      <c r="AC1161" t="str">
        <f>IF($D1161="","",IF($AD1161=0,0,IF(COUNTIFS($D$4:$D1161,$D1161,$B$4:$B1161,$B1161)&gt;1,0,IF($B1161&lt;'Guide &amp; Settings'!$C$50,0,IF(($B1161-$AD1161)/7-'Guide &amp; Settings'!$C$48&gt;=0,(INT(($B1161-$AD1161)/7-'Guide &amp; Settings'!$C$48)+1)*'Guide &amp; Settings'!$C$49,0)))))</f>
        <v/>
      </c>
      <c r="AD1161" s="142">
        <f t="shared" si="377"/>
        <v>0</v>
      </c>
      <c r="AE1161">
        <f t="shared" si="378"/>
        <v>0</v>
      </c>
      <c r="AF1161">
        <f t="shared" si="379"/>
        <v>0</v>
      </c>
    </row>
    <row r="1162" spans="1:32" x14ac:dyDescent="0.2">
      <c r="A1162" s="117"/>
      <c r="B1162" s="118"/>
      <c r="C1162" s="119"/>
      <c r="D1162" s="119"/>
      <c r="E1162" s="117"/>
      <c r="F1162" s="120">
        <f t="shared" si="360"/>
        <v>0</v>
      </c>
      <c r="G1162" s="121" t="str">
        <f t="shared" si="361"/>
        <v/>
      </c>
      <c r="H1162" s="122">
        <f>IF($D1162="",0,IFERROR(LOOKUP(2,1/(($D$3:D1161=$D1162)*($A$3:A1161&lt;$A1162)),$N$3:N1161),'Guide &amp; Settings'!$C$41))</f>
        <v>0</v>
      </c>
      <c r="I1162" s="123">
        <f t="shared" si="362"/>
        <v>0</v>
      </c>
      <c r="J1162" s="124">
        <f>IF($D1162="",0,IF($F1162&lt;2,0,IF($E1162="Win",('Guide &amp; Settings'!$C$42/(($F1162-1)*COUNTIFS($A$4:$A$1510,$A1162,$E$4:$E$1510,"Win")))*SUMIFS($X$4:$X$1510,$A$4:$A$1510,$A1162,$E$4:$E$1510,"Loss"),-('Guide &amp; Settings'!$C$42/($F1162-1))*$X1162)))</f>
        <v>0</v>
      </c>
      <c r="K1162" s="124">
        <f>IF($D1162="",0,'Guide &amp; Settings'!$C$43*(IF($E1162="Win",1,0)-$I1162))</f>
        <v>0</v>
      </c>
      <c r="L1162" s="125">
        <f>IF($D1162="",0,'Guide &amp; Settings'!$C$44*IF($F1162&gt;=3,$F1162,0))</f>
        <v>0</v>
      </c>
      <c r="M1162" s="124">
        <f t="shared" si="363"/>
        <v>0</v>
      </c>
      <c r="N1162" s="122">
        <f t="shared" si="364"/>
        <v>0</v>
      </c>
      <c r="O1162" s="121" t="str">
        <f t="shared" si="365"/>
        <v/>
      </c>
      <c r="P1162">
        <f t="shared" si="366"/>
        <v>0</v>
      </c>
      <c r="Q1162">
        <f t="shared" si="367"/>
        <v>0</v>
      </c>
      <c r="R1162">
        <f t="shared" si="368"/>
        <v>0</v>
      </c>
      <c r="S1162">
        <f t="shared" si="369"/>
        <v>0</v>
      </c>
      <c r="T1162" s="89">
        <f t="shared" si="370"/>
        <v>0</v>
      </c>
      <c r="U1162" s="126">
        <f>IF($D1162="",0,IFERROR(LOOKUP(2,1/(($D$3:D1161=$D1162)*($C$3:C1161=$C1162)*($A$3:A1161&lt;$A1162)),$AB$3:AB1161),1000))</f>
        <v>0</v>
      </c>
      <c r="V1162" s="126">
        <f t="shared" si="371"/>
        <v>0</v>
      </c>
      <c r="W1162">
        <f t="shared" si="372"/>
        <v>0</v>
      </c>
      <c r="X1162">
        <f t="shared" si="373"/>
        <v>0</v>
      </c>
      <c r="Y1162">
        <f t="shared" si="374"/>
        <v>0</v>
      </c>
      <c r="Z1162">
        <f t="shared" si="375"/>
        <v>0</v>
      </c>
      <c r="AA1162">
        <f>IF($D1162="",0,IF($F1162&lt;2,0,IF($E1162="Win",('Guide &amp; Settings'!$C$42/(($F1162-1)*COUNTIFS($A$4:$A$1510,$A1162,$E$4:$E$1510,"Win")))*SUMIFS($Z$4:$Z$1510,$A$4:$A$1510,$A1162,$E$4:$E$1510,"Loss"),-('Guide &amp; Settings'!$C$42/($F1162-1))*$Z1162)))</f>
        <v>0</v>
      </c>
      <c r="AB1162" s="126">
        <f t="shared" si="376"/>
        <v>0</v>
      </c>
      <c r="AC1162" t="str">
        <f>IF($D1162="","",IF($AD1162=0,0,IF(COUNTIFS($D$4:$D1162,$D1162,$B$4:$B1162,$B1162)&gt;1,0,IF($B1162&lt;'Guide &amp; Settings'!$C$50,0,IF(($B1162-$AD1162)/7-'Guide &amp; Settings'!$C$48&gt;=0,(INT(($B1162-$AD1162)/7-'Guide &amp; Settings'!$C$48)+1)*'Guide &amp; Settings'!$C$49,0)))))</f>
        <v/>
      </c>
      <c r="AD1162" s="142">
        <f t="shared" si="377"/>
        <v>0</v>
      </c>
      <c r="AE1162">
        <f t="shared" si="378"/>
        <v>0</v>
      </c>
      <c r="AF1162">
        <f t="shared" si="379"/>
        <v>0</v>
      </c>
    </row>
    <row r="1163" spans="1:32" x14ac:dyDescent="0.2">
      <c r="A1163" s="117"/>
      <c r="B1163" s="118"/>
      <c r="C1163" s="119"/>
      <c r="D1163" s="119"/>
      <c r="E1163" s="117"/>
      <c r="F1163" s="120">
        <f t="shared" si="360"/>
        <v>0</v>
      </c>
      <c r="G1163" s="121" t="str">
        <f t="shared" si="361"/>
        <v/>
      </c>
      <c r="H1163" s="122">
        <f>IF($D1163="",0,IFERROR(LOOKUP(2,1/(($D$3:D1162=$D1163)*($A$3:A1162&lt;$A1163)),$N$3:N1162),'Guide &amp; Settings'!$C$41))</f>
        <v>0</v>
      </c>
      <c r="I1163" s="123">
        <f t="shared" si="362"/>
        <v>0</v>
      </c>
      <c r="J1163" s="124">
        <f>IF($D1163="",0,IF($F1163&lt;2,0,IF($E1163="Win",('Guide &amp; Settings'!$C$42/(($F1163-1)*COUNTIFS($A$4:$A$1510,$A1163,$E$4:$E$1510,"Win")))*SUMIFS($X$4:$X$1510,$A$4:$A$1510,$A1163,$E$4:$E$1510,"Loss"),-('Guide &amp; Settings'!$C$42/($F1163-1))*$X1163)))</f>
        <v>0</v>
      </c>
      <c r="K1163" s="124">
        <f>IF($D1163="",0,'Guide &amp; Settings'!$C$43*(IF($E1163="Win",1,0)-$I1163))</f>
        <v>0</v>
      </c>
      <c r="L1163" s="125">
        <f>IF($D1163="",0,'Guide &amp; Settings'!$C$44*IF($F1163&gt;=3,$F1163,0))</f>
        <v>0</v>
      </c>
      <c r="M1163" s="124">
        <f t="shared" si="363"/>
        <v>0</v>
      </c>
      <c r="N1163" s="122">
        <f t="shared" si="364"/>
        <v>0</v>
      </c>
      <c r="O1163" s="121" t="str">
        <f t="shared" si="365"/>
        <v/>
      </c>
      <c r="P1163">
        <f t="shared" si="366"/>
        <v>0</v>
      </c>
      <c r="Q1163">
        <f t="shared" si="367"/>
        <v>0</v>
      </c>
      <c r="R1163">
        <f t="shared" si="368"/>
        <v>0</v>
      </c>
      <c r="S1163">
        <f t="shared" si="369"/>
        <v>0</v>
      </c>
      <c r="T1163" s="89">
        <f t="shared" si="370"/>
        <v>0</v>
      </c>
      <c r="U1163" s="126">
        <f>IF($D1163="",0,IFERROR(LOOKUP(2,1/(($D$3:D1162=$D1163)*($C$3:C1162=$C1163)*($A$3:A1162&lt;$A1163)),$AB$3:AB1162),1000))</f>
        <v>0</v>
      </c>
      <c r="V1163" s="126">
        <f t="shared" si="371"/>
        <v>0</v>
      </c>
      <c r="W1163">
        <f t="shared" si="372"/>
        <v>0</v>
      </c>
      <c r="X1163">
        <f t="shared" si="373"/>
        <v>0</v>
      </c>
      <c r="Y1163">
        <f t="shared" si="374"/>
        <v>0</v>
      </c>
      <c r="Z1163">
        <f t="shared" si="375"/>
        <v>0</v>
      </c>
      <c r="AA1163">
        <f>IF($D1163="",0,IF($F1163&lt;2,0,IF($E1163="Win",('Guide &amp; Settings'!$C$42/(($F1163-1)*COUNTIFS($A$4:$A$1510,$A1163,$E$4:$E$1510,"Win")))*SUMIFS($Z$4:$Z$1510,$A$4:$A$1510,$A1163,$E$4:$E$1510,"Loss"),-('Guide &amp; Settings'!$C$42/($F1163-1))*$Z1163)))</f>
        <v>0</v>
      </c>
      <c r="AB1163" s="126">
        <f t="shared" si="376"/>
        <v>0</v>
      </c>
      <c r="AC1163" t="str">
        <f>IF($D1163="","",IF($AD1163=0,0,IF(COUNTIFS($D$4:$D1163,$D1163,$B$4:$B1163,$B1163)&gt;1,0,IF($B1163&lt;'Guide &amp; Settings'!$C$50,0,IF(($B1163-$AD1163)/7-'Guide &amp; Settings'!$C$48&gt;=0,(INT(($B1163-$AD1163)/7-'Guide &amp; Settings'!$C$48)+1)*'Guide &amp; Settings'!$C$49,0)))))</f>
        <v/>
      </c>
      <c r="AD1163" s="142">
        <f t="shared" si="377"/>
        <v>0</v>
      </c>
      <c r="AE1163">
        <f t="shared" si="378"/>
        <v>0</v>
      </c>
      <c r="AF1163">
        <f t="shared" si="379"/>
        <v>0</v>
      </c>
    </row>
    <row r="1164" spans="1:32" x14ac:dyDescent="0.2">
      <c r="A1164" s="117"/>
      <c r="B1164" s="118"/>
      <c r="C1164" s="119"/>
      <c r="D1164" s="119"/>
      <c r="E1164" s="117"/>
      <c r="F1164" s="120">
        <f t="shared" si="360"/>
        <v>0</v>
      </c>
      <c r="G1164" s="121" t="str">
        <f t="shared" si="361"/>
        <v/>
      </c>
      <c r="H1164" s="122">
        <f>IF($D1164="",0,IFERROR(LOOKUP(2,1/(($D$3:D1163=$D1164)*($A$3:A1163&lt;$A1164)),$N$3:N1163),'Guide &amp; Settings'!$C$41))</f>
        <v>0</v>
      </c>
      <c r="I1164" s="123">
        <f t="shared" si="362"/>
        <v>0</v>
      </c>
      <c r="J1164" s="124">
        <f>IF($D1164="",0,IF($F1164&lt;2,0,IF($E1164="Win",('Guide &amp; Settings'!$C$42/(($F1164-1)*COUNTIFS($A$4:$A$1510,$A1164,$E$4:$E$1510,"Win")))*SUMIFS($X$4:$X$1510,$A$4:$A$1510,$A1164,$E$4:$E$1510,"Loss"),-('Guide &amp; Settings'!$C$42/($F1164-1))*$X1164)))</f>
        <v>0</v>
      </c>
      <c r="K1164" s="124">
        <f>IF($D1164="",0,'Guide &amp; Settings'!$C$43*(IF($E1164="Win",1,0)-$I1164))</f>
        <v>0</v>
      </c>
      <c r="L1164" s="125">
        <f>IF($D1164="",0,'Guide &amp; Settings'!$C$44*IF($F1164&gt;=3,$F1164,0))</f>
        <v>0</v>
      </c>
      <c r="M1164" s="124">
        <f t="shared" si="363"/>
        <v>0</v>
      </c>
      <c r="N1164" s="122">
        <f t="shared" si="364"/>
        <v>0</v>
      </c>
      <c r="O1164" s="121" t="str">
        <f t="shared" si="365"/>
        <v/>
      </c>
      <c r="P1164">
        <f t="shared" si="366"/>
        <v>0</v>
      </c>
      <c r="Q1164">
        <f t="shared" si="367"/>
        <v>0</v>
      </c>
      <c r="R1164">
        <f t="shared" si="368"/>
        <v>0</v>
      </c>
      <c r="S1164">
        <f t="shared" si="369"/>
        <v>0</v>
      </c>
      <c r="T1164" s="89">
        <f t="shared" si="370"/>
        <v>0</v>
      </c>
      <c r="U1164" s="126">
        <f>IF($D1164="",0,IFERROR(LOOKUP(2,1/(($D$3:D1163=$D1164)*($C$3:C1163=$C1164)*($A$3:A1163&lt;$A1164)),$AB$3:AB1163),1000))</f>
        <v>0</v>
      </c>
      <c r="V1164" s="126">
        <f t="shared" si="371"/>
        <v>0</v>
      </c>
      <c r="W1164">
        <f t="shared" si="372"/>
        <v>0</v>
      </c>
      <c r="X1164">
        <f t="shared" si="373"/>
        <v>0</v>
      </c>
      <c r="Y1164">
        <f t="shared" si="374"/>
        <v>0</v>
      </c>
      <c r="Z1164">
        <f t="shared" si="375"/>
        <v>0</v>
      </c>
      <c r="AA1164">
        <f>IF($D1164="",0,IF($F1164&lt;2,0,IF($E1164="Win",('Guide &amp; Settings'!$C$42/(($F1164-1)*COUNTIFS($A$4:$A$1510,$A1164,$E$4:$E$1510,"Win")))*SUMIFS($Z$4:$Z$1510,$A$4:$A$1510,$A1164,$E$4:$E$1510,"Loss"),-('Guide &amp; Settings'!$C$42/($F1164-1))*$Z1164)))</f>
        <v>0</v>
      </c>
      <c r="AB1164" s="126">
        <f t="shared" si="376"/>
        <v>0</v>
      </c>
      <c r="AC1164" t="str">
        <f>IF($D1164="","",IF($AD1164=0,0,IF(COUNTIFS($D$4:$D1164,$D1164,$B$4:$B1164,$B1164)&gt;1,0,IF($B1164&lt;'Guide &amp; Settings'!$C$50,0,IF(($B1164-$AD1164)/7-'Guide &amp; Settings'!$C$48&gt;=0,(INT(($B1164-$AD1164)/7-'Guide &amp; Settings'!$C$48)+1)*'Guide &amp; Settings'!$C$49,0)))))</f>
        <v/>
      </c>
      <c r="AD1164" s="142">
        <f t="shared" si="377"/>
        <v>0</v>
      </c>
      <c r="AE1164">
        <f t="shared" si="378"/>
        <v>0</v>
      </c>
      <c r="AF1164">
        <f t="shared" si="379"/>
        <v>0</v>
      </c>
    </row>
    <row r="1165" spans="1:32" x14ac:dyDescent="0.2">
      <c r="A1165" s="117"/>
      <c r="B1165" s="118"/>
      <c r="C1165" s="119"/>
      <c r="D1165" s="119"/>
      <c r="E1165" s="117"/>
      <c r="F1165" s="120">
        <f t="shared" si="360"/>
        <v>0</v>
      </c>
      <c r="G1165" s="121" t="str">
        <f t="shared" si="361"/>
        <v/>
      </c>
      <c r="H1165" s="122">
        <f>IF($D1165="",0,IFERROR(LOOKUP(2,1/(($D$3:D1164=$D1165)*($A$3:A1164&lt;$A1165)),$N$3:N1164),'Guide &amp; Settings'!$C$41))</f>
        <v>0</v>
      </c>
      <c r="I1165" s="123">
        <f t="shared" si="362"/>
        <v>0</v>
      </c>
      <c r="J1165" s="124">
        <f>IF($D1165="",0,IF($F1165&lt;2,0,IF($E1165="Win",('Guide &amp; Settings'!$C$42/(($F1165-1)*COUNTIFS($A$4:$A$1510,$A1165,$E$4:$E$1510,"Win")))*SUMIFS($X$4:$X$1510,$A$4:$A$1510,$A1165,$E$4:$E$1510,"Loss"),-('Guide &amp; Settings'!$C$42/($F1165-1))*$X1165)))</f>
        <v>0</v>
      </c>
      <c r="K1165" s="124">
        <f>IF($D1165="",0,'Guide &amp; Settings'!$C$43*(IF($E1165="Win",1,0)-$I1165))</f>
        <v>0</v>
      </c>
      <c r="L1165" s="125">
        <f>IF($D1165="",0,'Guide &amp; Settings'!$C$44*IF($F1165&gt;=3,$F1165,0))</f>
        <v>0</v>
      </c>
      <c r="M1165" s="124">
        <f t="shared" si="363"/>
        <v>0</v>
      </c>
      <c r="N1165" s="122">
        <f t="shared" si="364"/>
        <v>0</v>
      </c>
      <c r="O1165" s="121" t="str">
        <f t="shared" si="365"/>
        <v/>
      </c>
      <c r="P1165">
        <f t="shared" si="366"/>
        <v>0</v>
      </c>
      <c r="Q1165">
        <f t="shared" si="367"/>
        <v>0</v>
      </c>
      <c r="R1165">
        <f t="shared" si="368"/>
        <v>0</v>
      </c>
      <c r="S1165">
        <f t="shared" si="369"/>
        <v>0</v>
      </c>
      <c r="T1165" s="89">
        <f t="shared" si="370"/>
        <v>0</v>
      </c>
      <c r="U1165" s="126">
        <f>IF($D1165="",0,IFERROR(LOOKUP(2,1/(($D$3:D1164=$D1165)*($C$3:C1164=$C1165)*($A$3:A1164&lt;$A1165)),$AB$3:AB1164),1000))</f>
        <v>0</v>
      </c>
      <c r="V1165" s="126">
        <f t="shared" si="371"/>
        <v>0</v>
      </c>
      <c r="W1165">
        <f t="shared" si="372"/>
        <v>0</v>
      </c>
      <c r="X1165">
        <f t="shared" si="373"/>
        <v>0</v>
      </c>
      <c r="Y1165">
        <f t="shared" si="374"/>
        <v>0</v>
      </c>
      <c r="Z1165">
        <f t="shared" si="375"/>
        <v>0</v>
      </c>
      <c r="AA1165">
        <f>IF($D1165="",0,IF($F1165&lt;2,0,IF($E1165="Win",('Guide &amp; Settings'!$C$42/(($F1165-1)*COUNTIFS($A$4:$A$1510,$A1165,$E$4:$E$1510,"Win")))*SUMIFS($Z$4:$Z$1510,$A$4:$A$1510,$A1165,$E$4:$E$1510,"Loss"),-('Guide &amp; Settings'!$C$42/($F1165-1))*$Z1165)))</f>
        <v>0</v>
      </c>
      <c r="AB1165" s="126">
        <f t="shared" si="376"/>
        <v>0</v>
      </c>
      <c r="AC1165" t="str">
        <f>IF($D1165="","",IF($AD1165=0,0,IF(COUNTIFS($D$4:$D1165,$D1165,$B$4:$B1165,$B1165)&gt;1,0,IF($B1165&lt;'Guide &amp; Settings'!$C$50,0,IF(($B1165-$AD1165)/7-'Guide &amp; Settings'!$C$48&gt;=0,(INT(($B1165-$AD1165)/7-'Guide &amp; Settings'!$C$48)+1)*'Guide &amp; Settings'!$C$49,0)))))</f>
        <v/>
      </c>
      <c r="AD1165" s="142">
        <f t="shared" si="377"/>
        <v>0</v>
      </c>
      <c r="AE1165">
        <f t="shared" si="378"/>
        <v>0</v>
      </c>
      <c r="AF1165">
        <f t="shared" si="379"/>
        <v>0</v>
      </c>
    </row>
    <row r="1166" spans="1:32" x14ac:dyDescent="0.2">
      <c r="A1166" s="117"/>
      <c r="B1166" s="118"/>
      <c r="C1166" s="119"/>
      <c r="D1166" s="119"/>
      <c r="E1166" s="117"/>
      <c r="F1166" s="120">
        <f t="shared" si="360"/>
        <v>0</v>
      </c>
      <c r="G1166" s="121" t="str">
        <f t="shared" si="361"/>
        <v/>
      </c>
      <c r="H1166" s="122">
        <f>IF($D1166="",0,IFERROR(LOOKUP(2,1/(($D$3:D1165=$D1166)*($A$3:A1165&lt;$A1166)),$N$3:N1165),'Guide &amp; Settings'!$C$41))</f>
        <v>0</v>
      </c>
      <c r="I1166" s="123">
        <f t="shared" si="362"/>
        <v>0</v>
      </c>
      <c r="J1166" s="124">
        <f>IF($D1166="",0,IF($F1166&lt;2,0,IF($E1166="Win",('Guide &amp; Settings'!$C$42/(($F1166-1)*COUNTIFS($A$4:$A$1510,$A1166,$E$4:$E$1510,"Win")))*SUMIFS($X$4:$X$1510,$A$4:$A$1510,$A1166,$E$4:$E$1510,"Loss"),-('Guide &amp; Settings'!$C$42/($F1166-1))*$X1166)))</f>
        <v>0</v>
      </c>
      <c r="K1166" s="124">
        <f>IF($D1166="",0,'Guide &amp; Settings'!$C$43*(IF($E1166="Win",1,0)-$I1166))</f>
        <v>0</v>
      </c>
      <c r="L1166" s="125">
        <f>IF($D1166="",0,'Guide &amp; Settings'!$C$44*IF($F1166&gt;=3,$F1166,0))</f>
        <v>0</v>
      </c>
      <c r="M1166" s="124">
        <f t="shared" si="363"/>
        <v>0</v>
      </c>
      <c r="N1166" s="122">
        <f t="shared" si="364"/>
        <v>0</v>
      </c>
      <c r="O1166" s="121" t="str">
        <f t="shared" si="365"/>
        <v/>
      </c>
      <c r="P1166">
        <f t="shared" si="366"/>
        <v>0</v>
      </c>
      <c r="Q1166">
        <f t="shared" si="367"/>
        <v>0</v>
      </c>
      <c r="R1166">
        <f t="shared" si="368"/>
        <v>0</v>
      </c>
      <c r="S1166">
        <f t="shared" si="369"/>
        <v>0</v>
      </c>
      <c r="T1166" s="89">
        <f t="shared" si="370"/>
        <v>0</v>
      </c>
      <c r="U1166" s="126">
        <f>IF($D1166="",0,IFERROR(LOOKUP(2,1/(($D$3:D1165=$D1166)*($C$3:C1165=$C1166)*($A$3:A1165&lt;$A1166)),$AB$3:AB1165),1000))</f>
        <v>0</v>
      </c>
      <c r="V1166" s="126">
        <f t="shared" si="371"/>
        <v>0</v>
      </c>
      <c r="W1166">
        <f t="shared" si="372"/>
        <v>0</v>
      </c>
      <c r="X1166">
        <f t="shared" si="373"/>
        <v>0</v>
      </c>
      <c r="Y1166">
        <f t="shared" si="374"/>
        <v>0</v>
      </c>
      <c r="Z1166">
        <f t="shared" si="375"/>
        <v>0</v>
      </c>
      <c r="AA1166">
        <f>IF($D1166="",0,IF($F1166&lt;2,0,IF($E1166="Win",('Guide &amp; Settings'!$C$42/(($F1166-1)*COUNTIFS($A$4:$A$1510,$A1166,$E$4:$E$1510,"Win")))*SUMIFS($Z$4:$Z$1510,$A$4:$A$1510,$A1166,$E$4:$E$1510,"Loss"),-('Guide &amp; Settings'!$C$42/($F1166-1))*$Z1166)))</f>
        <v>0</v>
      </c>
      <c r="AB1166" s="126">
        <f t="shared" si="376"/>
        <v>0</v>
      </c>
      <c r="AC1166" t="str">
        <f>IF($D1166="","",IF($AD1166=0,0,IF(COUNTIFS($D$4:$D1166,$D1166,$B$4:$B1166,$B1166)&gt;1,0,IF($B1166&lt;'Guide &amp; Settings'!$C$50,0,IF(($B1166-$AD1166)/7-'Guide &amp; Settings'!$C$48&gt;=0,(INT(($B1166-$AD1166)/7-'Guide &amp; Settings'!$C$48)+1)*'Guide &amp; Settings'!$C$49,0)))))</f>
        <v/>
      </c>
      <c r="AD1166" s="142">
        <f t="shared" si="377"/>
        <v>0</v>
      </c>
      <c r="AE1166">
        <f t="shared" si="378"/>
        <v>0</v>
      </c>
      <c r="AF1166">
        <f t="shared" si="379"/>
        <v>0</v>
      </c>
    </row>
    <row r="1167" spans="1:32" x14ac:dyDescent="0.2">
      <c r="A1167" s="117"/>
      <c r="B1167" s="118"/>
      <c r="C1167" s="119"/>
      <c r="D1167" s="119"/>
      <c r="E1167" s="117"/>
      <c r="F1167" s="120">
        <f t="shared" si="360"/>
        <v>0</v>
      </c>
      <c r="G1167" s="121" t="str">
        <f t="shared" si="361"/>
        <v/>
      </c>
      <c r="H1167" s="122">
        <f>IF($D1167="",0,IFERROR(LOOKUP(2,1/(($D$3:D1166=$D1167)*($A$3:A1166&lt;$A1167)),$N$3:N1166),'Guide &amp; Settings'!$C$41))</f>
        <v>0</v>
      </c>
      <c r="I1167" s="123">
        <f t="shared" si="362"/>
        <v>0</v>
      </c>
      <c r="J1167" s="124">
        <f>IF($D1167="",0,IF($F1167&lt;2,0,IF($E1167="Win",('Guide &amp; Settings'!$C$42/(($F1167-1)*COUNTIFS($A$4:$A$1510,$A1167,$E$4:$E$1510,"Win")))*SUMIFS($X$4:$X$1510,$A$4:$A$1510,$A1167,$E$4:$E$1510,"Loss"),-('Guide &amp; Settings'!$C$42/($F1167-1))*$X1167)))</f>
        <v>0</v>
      </c>
      <c r="K1167" s="124">
        <f>IF($D1167="",0,'Guide &amp; Settings'!$C$43*(IF($E1167="Win",1,0)-$I1167))</f>
        <v>0</v>
      </c>
      <c r="L1167" s="125">
        <f>IF($D1167="",0,'Guide &amp; Settings'!$C$44*IF($F1167&gt;=3,$F1167,0))</f>
        <v>0</v>
      </c>
      <c r="M1167" s="124">
        <f t="shared" si="363"/>
        <v>0</v>
      </c>
      <c r="N1167" s="122">
        <f t="shared" si="364"/>
        <v>0</v>
      </c>
      <c r="O1167" s="121" t="str">
        <f t="shared" si="365"/>
        <v/>
      </c>
      <c r="P1167">
        <f t="shared" si="366"/>
        <v>0</v>
      </c>
      <c r="Q1167">
        <f t="shared" si="367"/>
        <v>0</v>
      </c>
      <c r="R1167">
        <f t="shared" si="368"/>
        <v>0</v>
      </c>
      <c r="S1167">
        <f t="shared" si="369"/>
        <v>0</v>
      </c>
      <c r="T1167" s="89">
        <f t="shared" si="370"/>
        <v>0</v>
      </c>
      <c r="U1167" s="126">
        <f>IF($D1167="",0,IFERROR(LOOKUP(2,1/(($D$3:D1166=$D1167)*($C$3:C1166=$C1167)*($A$3:A1166&lt;$A1167)),$AB$3:AB1166),1000))</f>
        <v>0</v>
      </c>
      <c r="V1167" s="126">
        <f t="shared" si="371"/>
        <v>0</v>
      </c>
      <c r="W1167">
        <f t="shared" si="372"/>
        <v>0</v>
      </c>
      <c r="X1167">
        <f t="shared" si="373"/>
        <v>0</v>
      </c>
      <c r="Y1167">
        <f t="shared" si="374"/>
        <v>0</v>
      </c>
      <c r="Z1167">
        <f t="shared" si="375"/>
        <v>0</v>
      </c>
      <c r="AA1167">
        <f>IF($D1167="",0,IF($F1167&lt;2,0,IF($E1167="Win",('Guide &amp; Settings'!$C$42/(($F1167-1)*COUNTIFS($A$4:$A$1510,$A1167,$E$4:$E$1510,"Win")))*SUMIFS($Z$4:$Z$1510,$A$4:$A$1510,$A1167,$E$4:$E$1510,"Loss"),-('Guide &amp; Settings'!$C$42/($F1167-1))*$Z1167)))</f>
        <v>0</v>
      </c>
      <c r="AB1167" s="126">
        <f t="shared" si="376"/>
        <v>0</v>
      </c>
      <c r="AC1167" t="str">
        <f>IF($D1167="","",IF($AD1167=0,0,IF(COUNTIFS($D$4:$D1167,$D1167,$B$4:$B1167,$B1167)&gt;1,0,IF($B1167&lt;'Guide &amp; Settings'!$C$50,0,IF(($B1167-$AD1167)/7-'Guide &amp; Settings'!$C$48&gt;=0,(INT(($B1167-$AD1167)/7-'Guide &amp; Settings'!$C$48)+1)*'Guide &amp; Settings'!$C$49,0)))))</f>
        <v/>
      </c>
      <c r="AD1167" s="142">
        <f t="shared" si="377"/>
        <v>0</v>
      </c>
      <c r="AE1167">
        <f t="shared" si="378"/>
        <v>0</v>
      </c>
      <c r="AF1167">
        <f t="shared" si="379"/>
        <v>0</v>
      </c>
    </row>
    <row r="1168" spans="1:32" x14ac:dyDescent="0.2">
      <c r="A1168" s="117"/>
      <c r="B1168" s="118"/>
      <c r="C1168" s="119"/>
      <c r="D1168" s="119"/>
      <c r="E1168" s="117"/>
      <c r="F1168" s="120">
        <f t="shared" si="360"/>
        <v>0</v>
      </c>
      <c r="G1168" s="121" t="str">
        <f t="shared" si="361"/>
        <v/>
      </c>
      <c r="H1168" s="122">
        <f>IF($D1168="",0,IFERROR(LOOKUP(2,1/(($D$3:D1167=$D1168)*($A$3:A1167&lt;$A1168)),$N$3:N1167),'Guide &amp; Settings'!$C$41))</f>
        <v>0</v>
      </c>
      <c r="I1168" s="123">
        <f t="shared" si="362"/>
        <v>0</v>
      </c>
      <c r="J1168" s="124">
        <f>IF($D1168="",0,IF($F1168&lt;2,0,IF($E1168="Win",('Guide &amp; Settings'!$C$42/(($F1168-1)*COUNTIFS($A$4:$A$1510,$A1168,$E$4:$E$1510,"Win")))*SUMIFS($X$4:$X$1510,$A$4:$A$1510,$A1168,$E$4:$E$1510,"Loss"),-('Guide &amp; Settings'!$C$42/($F1168-1))*$X1168)))</f>
        <v>0</v>
      </c>
      <c r="K1168" s="124">
        <f>IF($D1168="",0,'Guide &amp; Settings'!$C$43*(IF($E1168="Win",1,0)-$I1168))</f>
        <v>0</v>
      </c>
      <c r="L1168" s="125">
        <f>IF($D1168="",0,'Guide &amp; Settings'!$C$44*IF($F1168&gt;=3,$F1168,0))</f>
        <v>0</v>
      </c>
      <c r="M1168" s="124">
        <f t="shared" si="363"/>
        <v>0</v>
      </c>
      <c r="N1168" s="122">
        <f t="shared" si="364"/>
        <v>0</v>
      </c>
      <c r="O1168" s="121" t="str">
        <f t="shared" si="365"/>
        <v/>
      </c>
      <c r="P1168">
        <f t="shared" si="366"/>
        <v>0</v>
      </c>
      <c r="Q1168">
        <f t="shared" si="367"/>
        <v>0</v>
      </c>
      <c r="R1168">
        <f t="shared" si="368"/>
        <v>0</v>
      </c>
      <c r="S1168">
        <f t="shared" si="369"/>
        <v>0</v>
      </c>
      <c r="T1168" s="89">
        <f t="shared" si="370"/>
        <v>0</v>
      </c>
      <c r="U1168" s="126">
        <f>IF($D1168="",0,IFERROR(LOOKUP(2,1/(($D$3:D1167=$D1168)*($C$3:C1167=$C1168)*($A$3:A1167&lt;$A1168)),$AB$3:AB1167),1000))</f>
        <v>0</v>
      </c>
      <c r="V1168" s="126">
        <f t="shared" si="371"/>
        <v>0</v>
      </c>
      <c r="W1168">
        <f t="shared" si="372"/>
        <v>0</v>
      </c>
      <c r="X1168">
        <f t="shared" si="373"/>
        <v>0</v>
      </c>
      <c r="Y1168">
        <f t="shared" si="374"/>
        <v>0</v>
      </c>
      <c r="Z1168">
        <f t="shared" si="375"/>
        <v>0</v>
      </c>
      <c r="AA1168">
        <f>IF($D1168="",0,IF($F1168&lt;2,0,IF($E1168="Win",('Guide &amp; Settings'!$C$42/(($F1168-1)*COUNTIFS($A$4:$A$1510,$A1168,$E$4:$E$1510,"Win")))*SUMIFS($Z$4:$Z$1510,$A$4:$A$1510,$A1168,$E$4:$E$1510,"Loss"),-('Guide &amp; Settings'!$C$42/($F1168-1))*$Z1168)))</f>
        <v>0</v>
      </c>
      <c r="AB1168" s="126">
        <f t="shared" si="376"/>
        <v>0</v>
      </c>
      <c r="AC1168" t="str">
        <f>IF($D1168="","",IF($AD1168=0,0,IF(COUNTIFS($D$4:$D1168,$D1168,$B$4:$B1168,$B1168)&gt;1,0,IF($B1168&lt;'Guide &amp; Settings'!$C$50,0,IF(($B1168-$AD1168)/7-'Guide &amp; Settings'!$C$48&gt;=0,(INT(($B1168-$AD1168)/7-'Guide &amp; Settings'!$C$48)+1)*'Guide &amp; Settings'!$C$49,0)))))</f>
        <v/>
      </c>
      <c r="AD1168" s="142">
        <f t="shared" si="377"/>
        <v>0</v>
      </c>
      <c r="AE1168">
        <f t="shared" si="378"/>
        <v>0</v>
      </c>
      <c r="AF1168">
        <f t="shared" si="379"/>
        <v>0</v>
      </c>
    </row>
    <row r="1169" spans="1:32" x14ac:dyDescent="0.2">
      <c r="A1169" s="117"/>
      <c r="B1169" s="118"/>
      <c r="C1169" s="119"/>
      <c r="D1169" s="119"/>
      <c r="E1169" s="117"/>
      <c r="F1169" s="120">
        <f t="shared" si="360"/>
        <v>0</v>
      </c>
      <c r="G1169" s="121" t="str">
        <f t="shared" si="361"/>
        <v/>
      </c>
      <c r="H1169" s="122">
        <f>IF($D1169="",0,IFERROR(LOOKUP(2,1/(($D$3:D1168=$D1169)*($A$3:A1168&lt;$A1169)),$N$3:N1168),'Guide &amp; Settings'!$C$41))</f>
        <v>0</v>
      </c>
      <c r="I1169" s="123">
        <f t="shared" si="362"/>
        <v>0</v>
      </c>
      <c r="J1169" s="124">
        <f>IF($D1169="",0,IF($F1169&lt;2,0,IF($E1169="Win",('Guide &amp; Settings'!$C$42/(($F1169-1)*COUNTIFS($A$4:$A$1510,$A1169,$E$4:$E$1510,"Win")))*SUMIFS($X$4:$X$1510,$A$4:$A$1510,$A1169,$E$4:$E$1510,"Loss"),-('Guide &amp; Settings'!$C$42/($F1169-1))*$X1169)))</f>
        <v>0</v>
      </c>
      <c r="K1169" s="124">
        <f>IF($D1169="",0,'Guide &amp; Settings'!$C$43*(IF($E1169="Win",1,0)-$I1169))</f>
        <v>0</v>
      </c>
      <c r="L1169" s="125">
        <f>IF($D1169="",0,'Guide &amp; Settings'!$C$44*IF($F1169&gt;=3,$F1169,0))</f>
        <v>0</v>
      </c>
      <c r="M1169" s="124">
        <f t="shared" si="363"/>
        <v>0</v>
      </c>
      <c r="N1169" s="122">
        <f t="shared" si="364"/>
        <v>0</v>
      </c>
      <c r="O1169" s="121" t="str">
        <f t="shared" si="365"/>
        <v/>
      </c>
      <c r="P1169">
        <f t="shared" si="366"/>
        <v>0</v>
      </c>
      <c r="Q1169">
        <f t="shared" si="367"/>
        <v>0</v>
      </c>
      <c r="R1169">
        <f t="shared" si="368"/>
        <v>0</v>
      </c>
      <c r="S1169">
        <f t="shared" si="369"/>
        <v>0</v>
      </c>
      <c r="T1169" s="89">
        <f t="shared" si="370"/>
        <v>0</v>
      </c>
      <c r="U1169" s="126">
        <f>IF($D1169="",0,IFERROR(LOOKUP(2,1/(($D$3:D1168=$D1169)*($C$3:C1168=$C1169)*($A$3:A1168&lt;$A1169)),$AB$3:AB1168),1000))</f>
        <v>0</v>
      </c>
      <c r="V1169" s="126">
        <f t="shared" si="371"/>
        <v>0</v>
      </c>
      <c r="W1169">
        <f t="shared" si="372"/>
        <v>0</v>
      </c>
      <c r="X1169">
        <f t="shared" si="373"/>
        <v>0</v>
      </c>
      <c r="Y1169">
        <f t="shared" si="374"/>
        <v>0</v>
      </c>
      <c r="Z1169">
        <f t="shared" si="375"/>
        <v>0</v>
      </c>
      <c r="AA1169">
        <f>IF($D1169="",0,IF($F1169&lt;2,0,IF($E1169="Win",('Guide &amp; Settings'!$C$42/(($F1169-1)*COUNTIFS($A$4:$A$1510,$A1169,$E$4:$E$1510,"Win")))*SUMIFS($Z$4:$Z$1510,$A$4:$A$1510,$A1169,$E$4:$E$1510,"Loss"),-('Guide &amp; Settings'!$C$42/($F1169-1))*$Z1169)))</f>
        <v>0</v>
      </c>
      <c r="AB1169" s="126">
        <f t="shared" si="376"/>
        <v>0</v>
      </c>
      <c r="AC1169" t="str">
        <f>IF($D1169="","",IF($AD1169=0,0,IF(COUNTIFS($D$4:$D1169,$D1169,$B$4:$B1169,$B1169)&gt;1,0,IF($B1169&lt;'Guide &amp; Settings'!$C$50,0,IF(($B1169-$AD1169)/7-'Guide &amp; Settings'!$C$48&gt;=0,(INT(($B1169-$AD1169)/7-'Guide &amp; Settings'!$C$48)+1)*'Guide &amp; Settings'!$C$49,0)))))</f>
        <v/>
      </c>
      <c r="AD1169" s="142">
        <f t="shared" si="377"/>
        <v>0</v>
      </c>
      <c r="AE1169">
        <f t="shared" si="378"/>
        <v>0</v>
      </c>
      <c r="AF1169">
        <f t="shared" si="379"/>
        <v>0</v>
      </c>
    </row>
    <row r="1170" spans="1:32" x14ac:dyDescent="0.2">
      <c r="A1170" s="117"/>
      <c r="B1170" s="118"/>
      <c r="C1170" s="119"/>
      <c r="D1170" s="119"/>
      <c r="E1170" s="117"/>
      <c r="F1170" s="120">
        <f t="shared" si="360"/>
        <v>0</v>
      </c>
      <c r="G1170" s="121" t="str">
        <f t="shared" si="361"/>
        <v/>
      </c>
      <c r="H1170" s="122">
        <f>IF($D1170="",0,IFERROR(LOOKUP(2,1/(($D$3:D1169=$D1170)*($A$3:A1169&lt;$A1170)),$N$3:N1169),'Guide &amp; Settings'!$C$41))</f>
        <v>0</v>
      </c>
      <c r="I1170" s="123">
        <f t="shared" si="362"/>
        <v>0</v>
      </c>
      <c r="J1170" s="124">
        <f>IF($D1170="",0,IF($F1170&lt;2,0,IF($E1170="Win",('Guide &amp; Settings'!$C$42/(($F1170-1)*COUNTIFS($A$4:$A$1510,$A1170,$E$4:$E$1510,"Win")))*SUMIFS($X$4:$X$1510,$A$4:$A$1510,$A1170,$E$4:$E$1510,"Loss"),-('Guide &amp; Settings'!$C$42/($F1170-1))*$X1170)))</f>
        <v>0</v>
      </c>
      <c r="K1170" s="124">
        <f>IF($D1170="",0,'Guide &amp; Settings'!$C$43*(IF($E1170="Win",1,0)-$I1170))</f>
        <v>0</v>
      </c>
      <c r="L1170" s="125">
        <f>IF($D1170="",0,'Guide &amp; Settings'!$C$44*IF($F1170&gt;=3,$F1170,0))</f>
        <v>0</v>
      </c>
      <c r="M1170" s="124">
        <f t="shared" si="363"/>
        <v>0</v>
      </c>
      <c r="N1170" s="122">
        <f t="shared" si="364"/>
        <v>0</v>
      </c>
      <c r="O1170" s="121" t="str">
        <f t="shared" si="365"/>
        <v/>
      </c>
      <c r="P1170">
        <f t="shared" si="366"/>
        <v>0</v>
      </c>
      <c r="Q1170">
        <f t="shared" si="367"/>
        <v>0</v>
      </c>
      <c r="R1170">
        <f t="shared" si="368"/>
        <v>0</v>
      </c>
      <c r="S1170">
        <f t="shared" si="369"/>
        <v>0</v>
      </c>
      <c r="T1170" s="89">
        <f t="shared" si="370"/>
        <v>0</v>
      </c>
      <c r="U1170" s="126">
        <f>IF($D1170="",0,IFERROR(LOOKUP(2,1/(($D$3:D1169=$D1170)*($C$3:C1169=$C1170)*($A$3:A1169&lt;$A1170)),$AB$3:AB1169),1000))</f>
        <v>0</v>
      </c>
      <c r="V1170" s="126">
        <f t="shared" si="371"/>
        <v>0</v>
      </c>
      <c r="W1170">
        <f t="shared" si="372"/>
        <v>0</v>
      </c>
      <c r="X1170">
        <f t="shared" si="373"/>
        <v>0</v>
      </c>
      <c r="Y1170">
        <f t="shared" si="374"/>
        <v>0</v>
      </c>
      <c r="Z1170">
        <f t="shared" si="375"/>
        <v>0</v>
      </c>
      <c r="AA1170">
        <f>IF($D1170="",0,IF($F1170&lt;2,0,IF($E1170="Win",('Guide &amp; Settings'!$C$42/(($F1170-1)*COUNTIFS($A$4:$A$1510,$A1170,$E$4:$E$1510,"Win")))*SUMIFS($Z$4:$Z$1510,$A$4:$A$1510,$A1170,$E$4:$E$1510,"Loss"),-('Guide &amp; Settings'!$C$42/($F1170-1))*$Z1170)))</f>
        <v>0</v>
      </c>
      <c r="AB1170" s="126">
        <f t="shared" si="376"/>
        <v>0</v>
      </c>
      <c r="AC1170" t="str">
        <f>IF($D1170="","",IF($AD1170=0,0,IF(COUNTIFS($D$4:$D1170,$D1170,$B$4:$B1170,$B1170)&gt;1,0,IF($B1170&lt;'Guide &amp; Settings'!$C$50,0,IF(($B1170-$AD1170)/7-'Guide &amp; Settings'!$C$48&gt;=0,(INT(($B1170-$AD1170)/7-'Guide &amp; Settings'!$C$48)+1)*'Guide &amp; Settings'!$C$49,0)))))</f>
        <v/>
      </c>
      <c r="AD1170" s="142">
        <f t="shared" si="377"/>
        <v>0</v>
      </c>
      <c r="AE1170">
        <f t="shared" si="378"/>
        <v>0</v>
      </c>
      <c r="AF1170">
        <f t="shared" si="379"/>
        <v>0</v>
      </c>
    </row>
    <row r="1171" spans="1:32" x14ac:dyDescent="0.2">
      <c r="A1171" s="117"/>
      <c r="B1171" s="118"/>
      <c r="C1171" s="119"/>
      <c r="D1171" s="119"/>
      <c r="E1171" s="117"/>
      <c r="F1171" s="120">
        <f t="shared" si="360"/>
        <v>0</v>
      </c>
      <c r="G1171" s="121" t="str">
        <f t="shared" si="361"/>
        <v/>
      </c>
      <c r="H1171" s="122">
        <f>IF($D1171="",0,IFERROR(LOOKUP(2,1/(($D$3:D1170=$D1171)*($A$3:A1170&lt;$A1171)),$N$3:N1170),'Guide &amp; Settings'!$C$41))</f>
        <v>0</v>
      </c>
      <c r="I1171" s="123">
        <f t="shared" si="362"/>
        <v>0</v>
      </c>
      <c r="J1171" s="124">
        <f>IF($D1171="",0,IF($F1171&lt;2,0,IF($E1171="Win",('Guide &amp; Settings'!$C$42/(($F1171-1)*COUNTIFS($A$4:$A$1510,$A1171,$E$4:$E$1510,"Win")))*SUMIFS($X$4:$X$1510,$A$4:$A$1510,$A1171,$E$4:$E$1510,"Loss"),-('Guide &amp; Settings'!$C$42/($F1171-1))*$X1171)))</f>
        <v>0</v>
      </c>
      <c r="K1171" s="124">
        <f>IF($D1171="",0,'Guide &amp; Settings'!$C$43*(IF($E1171="Win",1,0)-$I1171))</f>
        <v>0</v>
      </c>
      <c r="L1171" s="125">
        <f>IF($D1171="",0,'Guide &amp; Settings'!$C$44*IF($F1171&gt;=3,$F1171,0))</f>
        <v>0</v>
      </c>
      <c r="M1171" s="124">
        <f t="shared" si="363"/>
        <v>0</v>
      </c>
      <c r="N1171" s="122">
        <f t="shared" si="364"/>
        <v>0</v>
      </c>
      <c r="O1171" s="121" t="str">
        <f t="shared" si="365"/>
        <v/>
      </c>
      <c r="P1171">
        <f t="shared" si="366"/>
        <v>0</v>
      </c>
      <c r="Q1171">
        <f t="shared" si="367"/>
        <v>0</v>
      </c>
      <c r="R1171">
        <f t="shared" si="368"/>
        <v>0</v>
      </c>
      <c r="S1171">
        <f t="shared" si="369"/>
        <v>0</v>
      </c>
      <c r="T1171" s="89">
        <f t="shared" si="370"/>
        <v>0</v>
      </c>
      <c r="U1171" s="126">
        <f>IF($D1171="",0,IFERROR(LOOKUP(2,1/(($D$3:D1170=$D1171)*($C$3:C1170=$C1171)*($A$3:A1170&lt;$A1171)),$AB$3:AB1170),1000))</f>
        <v>0</v>
      </c>
      <c r="V1171" s="126">
        <f t="shared" si="371"/>
        <v>0</v>
      </c>
      <c r="W1171">
        <f t="shared" si="372"/>
        <v>0</v>
      </c>
      <c r="X1171">
        <f t="shared" si="373"/>
        <v>0</v>
      </c>
      <c r="Y1171">
        <f t="shared" si="374"/>
        <v>0</v>
      </c>
      <c r="Z1171">
        <f t="shared" si="375"/>
        <v>0</v>
      </c>
      <c r="AA1171">
        <f>IF($D1171="",0,IF($F1171&lt;2,0,IF($E1171="Win",('Guide &amp; Settings'!$C$42/(($F1171-1)*COUNTIFS($A$4:$A$1510,$A1171,$E$4:$E$1510,"Win")))*SUMIFS($Z$4:$Z$1510,$A$4:$A$1510,$A1171,$E$4:$E$1510,"Loss"),-('Guide &amp; Settings'!$C$42/($F1171-1))*$Z1171)))</f>
        <v>0</v>
      </c>
      <c r="AB1171" s="126">
        <f t="shared" si="376"/>
        <v>0</v>
      </c>
      <c r="AC1171" t="str">
        <f>IF($D1171="","",IF($AD1171=0,0,IF(COUNTIFS($D$4:$D1171,$D1171,$B$4:$B1171,$B1171)&gt;1,0,IF($B1171&lt;'Guide &amp; Settings'!$C$50,0,IF(($B1171-$AD1171)/7-'Guide &amp; Settings'!$C$48&gt;=0,(INT(($B1171-$AD1171)/7-'Guide &amp; Settings'!$C$48)+1)*'Guide &amp; Settings'!$C$49,0)))))</f>
        <v/>
      </c>
      <c r="AD1171" s="142">
        <f t="shared" si="377"/>
        <v>0</v>
      </c>
      <c r="AE1171">
        <f t="shared" si="378"/>
        <v>0</v>
      </c>
      <c r="AF1171">
        <f t="shared" si="379"/>
        <v>0</v>
      </c>
    </row>
    <row r="1172" spans="1:32" x14ac:dyDescent="0.2">
      <c r="A1172" s="117"/>
      <c r="B1172" s="118"/>
      <c r="C1172" s="119"/>
      <c r="D1172" s="119"/>
      <c r="E1172" s="117"/>
      <c r="F1172" s="120">
        <f t="shared" si="360"/>
        <v>0</v>
      </c>
      <c r="G1172" s="121" t="str">
        <f t="shared" si="361"/>
        <v/>
      </c>
      <c r="H1172" s="122">
        <f>IF($D1172="",0,IFERROR(LOOKUP(2,1/(($D$3:D1171=$D1172)*($A$3:A1171&lt;$A1172)),$N$3:N1171),'Guide &amp; Settings'!$C$41))</f>
        <v>0</v>
      </c>
      <c r="I1172" s="123">
        <f t="shared" si="362"/>
        <v>0</v>
      </c>
      <c r="J1172" s="124">
        <f>IF($D1172="",0,IF($F1172&lt;2,0,IF($E1172="Win",('Guide &amp; Settings'!$C$42/(($F1172-1)*COUNTIFS($A$4:$A$1510,$A1172,$E$4:$E$1510,"Win")))*SUMIFS($X$4:$X$1510,$A$4:$A$1510,$A1172,$E$4:$E$1510,"Loss"),-('Guide &amp; Settings'!$C$42/($F1172-1))*$X1172)))</f>
        <v>0</v>
      </c>
      <c r="K1172" s="124">
        <f>IF($D1172="",0,'Guide &amp; Settings'!$C$43*(IF($E1172="Win",1,0)-$I1172))</f>
        <v>0</v>
      </c>
      <c r="L1172" s="125">
        <f>IF($D1172="",0,'Guide &amp; Settings'!$C$44*IF($F1172&gt;=3,$F1172,0))</f>
        <v>0</v>
      </c>
      <c r="M1172" s="124">
        <f t="shared" si="363"/>
        <v>0</v>
      </c>
      <c r="N1172" s="122">
        <f t="shared" si="364"/>
        <v>0</v>
      </c>
      <c r="O1172" s="121" t="str">
        <f t="shared" si="365"/>
        <v/>
      </c>
      <c r="P1172">
        <f t="shared" si="366"/>
        <v>0</v>
      </c>
      <c r="Q1172">
        <f t="shared" si="367"/>
        <v>0</v>
      </c>
      <c r="R1172">
        <f t="shared" si="368"/>
        <v>0</v>
      </c>
      <c r="S1172">
        <f t="shared" si="369"/>
        <v>0</v>
      </c>
      <c r="T1172" s="89">
        <f t="shared" si="370"/>
        <v>0</v>
      </c>
      <c r="U1172" s="126">
        <f>IF($D1172="",0,IFERROR(LOOKUP(2,1/(($D$3:D1171=$D1172)*($C$3:C1171=$C1172)*($A$3:A1171&lt;$A1172)),$AB$3:AB1171),1000))</f>
        <v>0</v>
      </c>
      <c r="V1172" s="126">
        <f t="shared" si="371"/>
        <v>0</v>
      </c>
      <c r="W1172">
        <f t="shared" si="372"/>
        <v>0</v>
      </c>
      <c r="X1172">
        <f t="shared" si="373"/>
        <v>0</v>
      </c>
      <c r="Y1172">
        <f t="shared" si="374"/>
        <v>0</v>
      </c>
      <c r="Z1172">
        <f t="shared" si="375"/>
        <v>0</v>
      </c>
      <c r="AA1172">
        <f>IF($D1172="",0,IF($F1172&lt;2,0,IF($E1172="Win",('Guide &amp; Settings'!$C$42/(($F1172-1)*COUNTIFS($A$4:$A$1510,$A1172,$E$4:$E$1510,"Win")))*SUMIFS($Z$4:$Z$1510,$A$4:$A$1510,$A1172,$E$4:$E$1510,"Loss"),-('Guide &amp; Settings'!$C$42/($F1172-1))*$Z1172)))</f>
        <v>0</v>
      </c>
      <c r="AB1172" s="126">
        <f t="shared" si="376"/>
        <v>0</v>
      </c>
      <c r="AC1172" t="str">
        <f>IF($D1172="","",IF($AD1172=0,0,IF(COUNTIFS($D$4:$D1172,$D1172,$B$4:$B1172,$B1172)&gt;1,0,IF($B1172&lt;'Guide &amp; Settings'!$C$50,0,IF(($B1172-$AD1172)/7-'Guide &amp; Settings'!$C$48&gt;=0,(INT(($B1172-$AD1172)/7-'Guide &amp; Settings'!$C$48)+1)*'Guide &amp; Settings'!$C$49,0)))))</f>
        <v/>
      </c>
      <c r="AD1172" s="142">
        <f t="shared" si="377"/>
        <v>0</v>
      </c>
      <c r="AE1172">
        <f t="shared" si="378"/>
        <v>0</v>
      </c>
      <c r="AF1172">
        <f t="shared" si="379"/>
        <v>0</v>
      </c>
    </row>
    <row r="1173" spans="1:32" x14ac:dyDescent="0.2">
      <c r="A1173" s="117"/>
      <c r="B1173" s="118"/>
      <c r="C1173" s="119"/>
      <c r="D1173" s="119"/>
      <c r="E1173" s="117"/>
      <c r="F1173" s="120">
        <f t="shared" si="360"/>
        <v>0</v>
      </c>
      <c r="G1173" s="121" t="str">
        <f t="shared" si="361"/>
        <v/>
      </c>
      <c r="H1173" s="122">
        <f>IF($D1173="",0,IFERROR(LOOKUP(2,1/(($D$3:D1172=$D1173)*($A$3:A1172&lt;$A1173)),$N$3:N1172),'Guide &amp; Settings'!$C$41))</f>
        <v>0</v>
      </c>
      <c r="I1173" s="123">
        <f t="shared" si="362"/>
        <v>0</v>
      </c>
      <c r="J1173" s="124">
        <f>IF($D1173="",0,IF($F1173&lt;2,0,IF($E1173="Win",('Guide &amp; Settings'!$C$42/(($F1173-1)*COUNTIFS($A$4:$A$1510,$A1173,$E$4:$E$1510,"Win")))*SUMIFS($X$4:$X$1510,$A$4:$A$1510,$A1173,$E$4:$E$1510,"Loss"),-('Guide &amp; Settings'!$C$42/($F1173-1))*$X1173)))</f>
        <v>0</v>
      </c>
      <c r="K1173" s="124">
        <f>IF($D1173="",0,'Guide &amp; Settings'!$C$43*(IF($E1173="Win",1,0)-$I1173))</f>
        <v>0</v>
      </c>
      <c r="L1173" s="125">
        <f>IF($D1173="",0,'Guide &amp; Settings'!$C$44*IF($F1173&gt;=3,$F1173,0))</f>
        <v>0</v>
      </c>
      <c r="M1173" s="124">
        <f t="shared" si="363"/>
        <v>0</v>
      </c>
      <c r="N1173" s="122">
        <f t="shared" si="364"/>
        <v>0</v>
      </c>
      <c r="O1173" s="121" t="str">
        <f t="shared" si="365"/>
        <v/>
      </c>
      <c r="P1173">
        <f t="shared" si="366"/>
        <v>0</v>
      </c>
      <c r="Q1173">
        <f t="shared" si="367"/>
        <v>0</v>
      </c>
      <c r="R1173">
        <f t="shared" si="368"/>
        <v>0</v>
      </c>
      <c r="S1173">
        <f t="shared" si="369"/>
        <v>0</v>
      </c>
      <c r="T1173" s="89">
        <f t="shared" si="370"/>
        <v>0</v>
      </c>
      <c r="U1173" s="126">
        <f>IF($D1173="",0,IFERROR(LOOKUP(2,1/(($D$3:D1172=$D1173)*($C$3:C1172=$C1173)*($A$3:A1172&lt;$A1173)),$AB$3:AB1172),1000))</f>
        <v>0</v>
      </c>
      <c r="V1173" s="126">
        <f t="shared" si="371"/>
        <v>0</v>
      </c>
      <c r="W1173">
        <f t="shared" si="372"/>
        <v>0</v>
      </c>
      <c r="X1173">
        <f t="shared" si="373"/>
        <v>0</v>
      </c>
      <c r="Y1173">
        <f t="shared" si="374"/>
        <v>0</v>
      </c>
      <c r="Z1173">
        <f t="shared" si="375"/>
        <v>0</v>
      </c>
      <c r="AA1173">
        <f>IF($D1173="",0,IF($F1173&lt;2,0,IF($E1173="Win",('Guide &amp; Settings'!$C$42/(($F1173-1)*COUNTIFS($A$4:$A$1510,$A1173,$E$4:$E$1510,"Win")))*SUMIFS($Z$4:$Z$1510,$A$4:$A$1510,$A1173,$E$4:$E$1510,"Loss"),-('Guide &amp; Settings'!$C$42/($F1173-1))*$Z1173)))</f>
        <v>0</v>
      </c>
      <c r="AB1173" s="126">
        <f t="shared" si="376"/>
        <v>0</v>
      </c>
      <c r="AC1173" t="str">
        <f>IF($D1173="","",IF($AD1173=0,0,IF(COUNTIFS($D$4:$D1173,$D1173,$B$4:$B1173,$B1173)&gt;1,0,IF($B1173&lt;'Guide &amp; Settings'!$C$50,0,IF(($B1173-$AD1173)/7-'Guide &amp; Settings'!$C$48&gt;=0,(INT(($B1173-$AD1173)/7-'Guide &amp; Settings'!$C$48)+1)*'Guide &amp; Settings'!$C$49,0)))))</f>
        <v/>
      </c>
      <c r="AD1173" s="142">
        <f t="shared" si="377"/>
        <v>0</v>
      </c>
      <c r="AE1173">
        <f t="shared" si="378"/>
        <v>0</v>
      </c>
      <c r="AF1173">
        <f t="shared" si="379"/>
        <v>0</v>
      </c>
    </row>
    <row r="1174" spans="1:32" x14ac:dyDescent="0.2">
      <c r="A1174" s="117"/>
      <c r="B1174" s="118"/>
      <c r="C1174" s="119"/>
      <c r="D1174" s="119"/>
      <c r="E1174" s="117"/>
      <c r="F1174" s="120">
        <f t="shared" si="360"/>
        <v>0</v>
      </c>
      <c r="G1174" s="121" t="str">
        <f t="shared" si="361"/>
        <v/>
      </c>
      <c r="H1174" s="122">
        <f>IF($D1174="",0,IFERROR(LOOKUP(2,1/(($D$3:D1173=$D1174)*($A$3:A1173&lt;$A1174)),$N$3:N1173),'Guide &amp; Settings'!$C$41))</f>
        <v>0</v>
      </c>
      <c r="I1174" s="123">
        <f t="shared" si="362"/>
        <v>0</v>
      </c>
      <c r="J1174" s="124">
        <f>IF($D1174="",0,IF($F1174&lt;2,0,IF($E1174="Win",('Guide &amp; Settings'!$C$42/(($F1174-1)*COUNTIFS($A$4:$A$1510,$A1174,$E$4:$E$1510,"Win")))*SUMIFS($X$4:$X$1510,$A$4:$A$1510,$A1174,$E$4:$E$1510,"Loss"),-('Guide &amp; Settings'!$C$42/($F1174-1))*$X1174)))</f>
        <v>0</v>
      </c>
      <c r="K1174" s="124">
        <f>IF($D1174="",0,'Guide &amp; Settings'!$C$43*(IF($E1174="Win",1,0)-$I1174))</f>
        <v>0</v>
      </c>
      <c r="L1174" s="125">
        <f>IF($D1174="",0,'Guide &amp; Settings'!$C$44*IF($F1174&gt;=3,$F1174,0))</f>
        <v>0</v>
      </c>
      <c r="M1174" s="124">
        <f t="shared" si="363"/>
        <v>0</v>
      </c>
      <c r="N1174" s="122">
        <f t="shared" si="364"/>
        <v>0</v>
      </c>
      <c r="O1174" s="121" t="str">
        <f t="shared" si="365"/>
        <v/>
      </c>
      <c r="P1174">
        <f t="shared" si="366"/>
        <v>0</v>
      </c>
      <c r="Q1174">
        <f t="shared" si="367"/>
        <v>0</v>
      </c>
      <c r="R1174">
        <f t="shared" si="368"/>
        <v>0</v>
      </c>
      <c r="S1174">
        <f t="shared" si="369"/>
        <v>0</v>
      </c>
      <c r="T1174" s="89">
        <f t="shared" si="370"/>
        <v>0</v>
      </c>
      <c r="U1174" s="126">
        <f>IF($D1174="",0,IFERROR(LOOKUP(2,1/(($D$3:D1173=$D1174)*($C$3:C1173=$C1174)*($A$3:A1173&lt;$A1174)),$AB$3:AB1173),1000))</f>
        <v>0</v>
      </c>
      <c r="V1174" s="126">
        <f t="shared" si="371"/>
        <v>0</v>
      </c>
      <c r="W1174">
        <f t="shared" si="372"/>
        <v>0</v>
      </c>
      <c r="X1174">
        <f t="shared" si="373"/>
        <v>0</v>
      </c>
      <c r="Y1174">
        <f t="shared" si="374"/>
        <v>0</v>
      </c>
      <c r="Z1174">
        <f t="shared" si="375"/>
        <v>0</v>
      </c>
      <c r="AA1174">
        <f>IF($D1174="",0,IF($F1174&lt;2,0,IF($E1174="Win",('Guide &amp; Settings'!$C$42/(($F1174-1)*COUNTIFS($A$4:$A$1510,$A1174,$E$4:$E$1510,"Win")))*SUMIFS($Z$4:$Z$1510,$A$4:$A$1510,$A1174,$E$4:$E$1510,"Loss"),-('Guide &amp; Settings'!$C$42/($F1174-1))*$Z1174)))</f>
        <v>0</v>
      </c>
      <c r="AB1174" s="126">
        <f t="shared" si="376"/>
        <v>0</v>
      </c>
      <c r="AC1174" t="str">
        <f>IF($D1174="","",IF($AD1174=0,0,IF(COUNTIFS($D$4:$D1174,$D1174,$B$4:$B1174,$B1174)&gt;1,0,IF($B1174&lt;'Guide &amp; Settings'!$C$50,0,IF(($B1174-$AD1174)/7-'Guide &amp; Settings'!$C$48&gt;=0,(INT(($B1174-$AD1174)/7-'Guide &amp; Settings'!$C$48)+1)*'Guide &amp; Settings'!$C$49,0)))))</f>
        <v/>
      </c>
      <c r="AD1174" s="142">
        <f t="shared" si="377"/>
        <v>0</v>
      </c>
      <c r="AE1174">
        <f t="shared" si="378"/>
        <v>0</v>
      </c>
      <c r="AF1174">
        <f t="shared" si="379"/>
        <v>0</v>
      </c>
    </row>
    <row r="1175" spans="1:32" x14ac:dyDescent="0.2">
      <c r="A1175" s="117"/>
      <c r="B1175" s="118"/>
      <c r="C1175" s="119"/>
      <c r="D1175" s="119"/>
      <c r="E1175" s="117"/>
      <c r="F1175" s="120">
        <f t="shared" si="360"/>
        <v>0</v>
      </c>
      <c r="G1175" s="121" t="str">
        <f t="shared" si="361"/>
        <v/>
      </c>
      <c r="H1175" s="122">
        <f>IF($D1175="",0,IFERROR(LOOKUP(2,1/(($D$3:D1174=$D1175)*($A$3:A1174&lt;$A1175)),$N$3:N1174),'Guide &amp; Settings'!$C$41))</f>
        <v>0</v>
      </c>
      <c r="I1175" s="123">
        <f t="shared" si="362"/>
        <v>0</v>
      </c>
      <c r="J1175" s="124">
        <f>IF($D1175="",0,IF($F1175&lt;2,0,IF($E1175="Win",('Guide &amp; Settings'!$C$42/(($F1175-1)*COUNTIFS($A$4:$A$1510,$A1175,$E$4:$E$1510,"Win")))*SUMIFS($X$4:$X$1510,$A$4:$A$1510,$A1175,$E$4:$E$1510,"Loss"),-('Guide &amp; Settings'!$C$42/($F1175-1))*$X1175)))</f>
        <v>0</v>
      </c>
      <c r="K1175" s="124">
        <f>IF($D1175="",0,'Guide &amp; Settings'!$C$43*(IF($E1175="Win",1,0)-$I1175))</f>
        <v>0</v>
      </c>
      <c r="L1175" s="125">
        <f>IF($D1175="",0,'Guide &amp; Settings'!$C$44*IF($F1175&gt;=3,$F1175,0))</f>
        <v>0</v>
      </c>
      <c r="M1175" s="124">
        <f t="shared" si="363"/>
        <v>0</v>
      </c>
      <c r="N1175" s="122">
        <f t="shared" si="364"/>
        <v>0</v>
      </c>
      <c r="O1175" s="121" t="str">
        <f t="shared" si="365"/>
        <v/>
      </c>
      <c r="P1175">
        <f t="shared" si="366"/>
        <v>0</v>
      </c>
      <c r="Q1175">
        <f t="shared" si="367"/>
        <v>0</v>
      </c>
      <c r="R1175">
        <f t="shared" si="368"/>
        <v>0</v>
      </c>
      <c r="S1175">
        <f t="shared" si="369"/>
        <v>0</v>
      </c>
      <c r="T1175" s="89">
        <f t="shared" si="370"/>
        <v>0</v>
      </c>
      <c r="U1175" s="126">
        <f>IF($D1175="",0,IFERROR(LOOKUP(2,1/(($D$3:D1174=$D1175)*($C$3:C1174=$C1175)*($A$3:A1174&lt;$A1175)),$AB$3:AB1174),1000))</f>
        <v>0</v>
      </c>
      <c r="V1175" s="126">
        <f t="shared" si="371"/>
        <v>0</v>
      </c>
      <c r="W1175">
        <f t="shared" si="372"/>
        <v>0</v>
      </c>
      <c r="X1175">
        <f t="shared" si="373"/>
        <v>0</v>
      </c>
      <c r="Y1175">
        <f t="shared" si="374"/>
        <v>0</v>
      </c>
      <c r="Z1175">
        <f t="shared" si="375"/>
        <v>0</v>
      </c>
      <c r="AA1175">
        <f>IF($D1175="",0,IF($F1175&lt;2,0,IF($E1175="Win",('Guide &amp; Settings'!$C$42/(($F1175-1)*COUNTIFS($A$4:$A$1510,$A1175,$E$4:$E$1510,"Win")))*SUMIFS($Z$4:$Z$1510,$A$4:$A$1510,$A1175,$E$4:$E$1510,"Loss"),-('Guide &amp; Settings'!$C$42/($F1175-1))*$Z1175)))</f>
        <v>0</v>
      </c>
      <c r="AB1175" s="126">
        <f t="shared" si="376"/>
        <v>0</v>
      </c>
      <c r="AC1175" t="str">
        <f>IF($D1175="","",IF($AD1175=0,0,IF(COUNTIFS($D$4:$D1175,$D1175,$B$4:$B1175,$B1175)&gt;1,0,IF($B1175&lt;'Guide &amp; Settings'!$C$50,0,IF(($B1175-$AD1175)/7-'Guide &amp; Settings'!$C$48&gt;=0,(INT(($B1175-$AD1175)/7-'Guide &amp; Settings'!$C$48)+1)*'Guide &amp; Settings'!$C$49,0)))))</f>
        <v/>
      </c>
      <c r="AD1175" s="142">
        <f t="shared" si="377"/>
        <v>0</v>
      </c>
      <c r="AE1175">
        <f t="shared" si="378"/>
        <v>0</v>
      </c>
      <c r="AF1175">
        <f t="shared" si="379"/>
        <v>0</v>
      </c>
    </row>
    <row r="1176" spans="1:32" x14ac:dyDescent="0.2">
      <c r="A1176" s="117"/>
      <c r="B1176" s="118"/>
      <c r="C1176" s="119"/>
      <c r="D1176" s="119"/>
      <c r="E1176" s="117"/>
      <c r="F1176" s="120">
        <f t="shared" si="360"/>
        <v>0</v>
      </c>
      <c r="G1176" s="121" t="str">
        <f t="shared" si="361"/>
        <v/>
      </c>
      <c r="H1176" s="122">
        <f>IF($D1176="",0,IFERROR(LOOKUP(2,1/(($D$3:D1175=$D1176)*($A$3:A1175&lt;$A1176)),$N$3:N1175),'Guide &amp; Settings'!$C$41))</f>
        <v>0</v>
      </c>
      <c r="I1176" s="123">
        <f t="shared" si="362"/>
        <v>0</v>
      </c>
      <c r="J1176" s="124">
        <f>IF($D1176="",0,IF($F1176&lt;2,0,IF($E1176="Win",('Guide &amp; Settings'!$C$42/(($F1176-1)*COUNTIFS($A$4:$A$1510,$A1176,$E$4:$E$1510,"Win")))*SUMIFS($X$4:$X$1510,$A$4:$A$1510,$A1176,$E$4:$E$1510,"Loss"),-('Guide &amp; Settings'!$C$42/($F1176-1))*$X1176)))</f>
        <v>0</v>
      </c>
      <c r="K1176" s="124">
        <f>IF($D1176="",0,'Guide &amp; Settings'!$C$43*(IF($E1176="Win",1,0)-$I1176))</f>
        <v>0</v>
      </c>
      <c r="L1176" s="125">
        <f>IF($D1176="",0,'Guide &amp; Settings'!$C$44*IF($F1176&gt;=3,$F1176,0))</f>
        <v>0</v>
      </c>
      <c r="M1176" s="124">
        <f t="shared" si="363"/>
        <v>0</v>
      </c>
      <c r="N1176" s="122">
        <f t="shared" si="364"/>
        <v>0</v>
      </c>
      <c r="O1176" s="121" t="str">
        <f t="shared" si="365"/>
        <v/>
      </c>
      <c r="P1176">
        <f t="shared" si="366"/>
        <v>0</v>
      </c>
      <c r="Q1176">
        <f t="shared" si="367"/>
        <v>0</v>
      </c>
      <c r="R1176">
        <f t="shared" si="368"/>
        <v>0</v>
      </c>
      <c r="S1176">
        <f t="shared" si="369"/>
        <v>0</v>
      </c>
      <c r="T1176" s="89">
        <f t="shared" si="370"/>
        <v>0</v>
      </c>
      <c r="U1176" s="126">
        <f>IF($D1176="",0,IFERROR(LOOKUP(2,1/(($D$3:D1175=$D1176)*($C$3:C1175=$C1176)*($A$3:A1175&lt;$A1176)),$AB$3:AB1175),1000))</f>
        <v>0</v>
      </c>
      <c r="V1176" s="126">
        <f t="shared" si="371"/>
        <v>0</v>
      </c>
      <c r="W1176">
        <f t="shared" si="372"/>
        <v>0</v>
      </c>
      <c r="X1176">
        <f t="shared" si="373"/>
        <v>0</v>
      </c>
      <c r="Y1176">
        <f t="shared" si="374"/>
        <v>0</v>
      </c>
      <c r="Z1176">
        <f t="shared" si="375"/>
        <v>0</v>
      </c>
      <c r="AA1176">
        <f>IF($D1176="",0,IF($F1176&lt;2,0,IF($E1176="Win",('Guide &amp; Settings'!$C$42/(($F1176-1)*COUNTIFS($A$4:$A$1510,$A1176,$E$4:$E$1510,"Win")))*SUMIFS($Z$4:$Z$1510,$A$4:$A$1510,$A1176,$E$4:$E$1510,"Loss"),-('Guide &amp; Settings'!$C$42/($F1176-1))*$Z1176)))</f>
        <v>0</v>
      </c>
      <c r="AB1176" s="126">
        <f t="shared" si="376"/>
        <v>0</v>
      </c>
      <c r="AC1176" t="str">
        <f>IF($D1176="","",IF($AD1176=0,0,IF(COUNTIFS($D$4:$D1176,$D1176,$B$4:$B1176,$B1176)&gt;1,0,IF($B1176&lt;'Guide &amp; Settings'!$C$50,0,IF(($B1176-$AD1176)/7-'Guide &amp; Settings'!$C$48&gt;=0,(INT(($B1176-$AD1176)/7-'Guide &amp; Settings'!$C$48)+1)*'Guide &amp; Settings'!$C$49,0)))))</f>
        <v/>
      </c>
      <c r="AD1176" s="142">
        <f t="shared" si="377"/>
        <v>0</v>
      </c>
      <c r="AE1176">
        <f t="shared" si="378"/>
        <v>0</v>
      </c>
      <c r="AF1176">
        <f t="shared" si="379"/>
        <v>0</v>
      </c>
    </row>
    <row r="1177" spans="1:32" x14ac:dyDescent="0.2">
      <c r="A1177" s="117"/>
      <c r="B1177" s="118"/>
      <c r="C1177" s="119"/>
      <c r="D1177" s="119"/>
      <c r="E1177" s="117"/>
      <c r="F1177" s="120">
        <f t="shared" si="360"/>
        <v>0</v>
      </c>
      <c r="G1177" s="121" t="str">
        <f t="shared" si="361"/>
        <v/>
      </c>
      <c r="H1177" s="122">
        <f>IF($D1177="",0,IFERROR(LOOKUP(2,1/(($D$3:D1176=$D1177)*($A$3:A1176&lt;$A1177)),$N$3:N1176),'Guide &amp; Settings'!$C$41))</f>
        <v>0</v>
      </c>
      <c r="I1177" s="123">
        <f t="shared" si="362"/>
        <v>0</v>
      </c>
      <c r="J1177" s="124">
        <f>IF($D1177="",0,IF($F1177&lt;2,0,IF($E1177="Win",('Guide &amp; Settings'!$C$42/(($F1177-1)*COUNTIFS($A$4:$A$1510,$A1177,$E$4:$E$1510,"Win")))*SUMIFS($X$4:$X$1510,$A$4:$A$1510,$A1177,$E$4:$E$1510,"Loss"),-('Guide &amp; Settings'!$C$42/($F1177-1))*$X1177)))</f>
        <v>0</v>
      </c>
      <c r="K1177" s="124">
        <f>IF($D1177="",0,'Guide &amp; Settings'!$C$43*(IF($E1177="Win",1,0)-$I1177))</f>
        <v>0</v>
      </c>
      <c r="L1177" s="125">
        <f>IF($D1177="",0,'Guide &amp; Settings'!$C$44*IF($F1177&gt;=3,$F1177,0))</f>
        <v>0</v>
      </c>
      <c r="M1177" s="124">
        <f t="shared" si="363"/>
        <v>0</v>
      </c>
      <c r="N1177" s="122">
        <f t="shared" si="364"/>
        <v>0</v>
      </c>
      <c r="O1177" s="121" t="str">
        <f t="shared" si="365"/>
        <v/>
      </c>
      <c r="P1177">
        <f t="shared" si="366"/>
        <v>0</v>
      </c>
      <c r="Q1177">
        <f t="shared" si="367"/>
        <v>0</v>
      </c>
      <c r="R1177">
        <f t="shared" si="368"/>
        <v>0</v>
      </c>
      <c r="S1177">
        <f t="shared" si="369"/>
        <v>0</v>
      </c>
      <c r="T1177" s="89">
        <f t="shared" si="370"/>
        <v>0</v>
      </c>
      <c r="U1177" s="126">
        <f>IF($D1177="",0,IFERROR(LOOKUP(2,1/(($D$3:D1176=$D1177)*($C$3:C1176=$C1177)*($A$3:A1176&lt;$A1177)),$AB$3:AB1176),1000))</f>
        <v>0</v>
      </c>
      <c r="V1177" s="126">
        <f t="shared" si="371"/>
        <v>0</v>
      </c>
      <c r="W1177">
        <f t="shared" si="372"/>
        <v>0</v>
      </c>
      <c r="X1177">
        <f t="shared" si="373"/>
        <v>0</v>
      </c>
      <c r="Y1177">
        <f t="shared" si="374"/>
        <v>0</v>
      </c>
      <c r="Z1177">
        <f t="shared" si="375"/>
        <v>0</v>
      </c>
      <c r="AA1177">
        <f>IF($D1177="",0,IF($F1177&lt;2,0,IF($E1177="Win",('Guide &amp; Settings'!$C$42/(($F1177-1)*COUNTIFS($A$4:$A$1510,$A1177,$E$4:$E$1510,"Win")))*SUMIFS($Z$4:$Z$1510,$A$4:$A$1510,$A1177,$E$4:$E$1510,"Loss"),-('Guide &amp; Settings'!$C$42/($F1177-1))*$Z1177)))</f>
        <v>0</v>
      </c>
      <c r="AB1177" s="126">
        <f t="shared" si="376"/>
        <v>0</v>
      </c>
      <c r="AC1177" t="str">
        <f>IF($D1177="","",IF($AD1177=0,0,IF(COUNTIFS($D$4:$D1177,$D1177,$B$4:$B1177,$B1177)&gt;1,0,IF($B1177&lt;'Guide &amp; Settings'!$C$50,0,IF(($B1177-$AD1177)/7-'Guide &amp; Settings'!$C$48&gt;=0,(INT(($B1177-$AD1177)/7-'Guide &amp; Settings'!$C$48)+1)*'Guide &amp; Settings'!$C$49,0)))))</f>
        <v/>
      </c>
      <c r="AD1177" s="142">
        <f t="shared" si="377"/>
        <v>0</v>
      </c>
      <c r="AE1177">
        <f t="shared" si="378"/>
        <v>0</v>
      </c>
      <c r="AF1177">
        <f t="shared" si="379"/>
        <v>0</v>
      </c>
    </row>
    <row r="1178" spans="1:32" x14ac:dyDescent="0.2">
      <c r="A1178" s="117"/>
      <c r="B1178" s="118"/>
      <c r="C1178" s="119"/>
      <c r="D1178" s="119"/>
      <c r="E1178" s="117"/>
      <c r="F1178" s="120">
        <f t="shared" si="360"/>
        <v>0</v>
      </c>
      <c r="G1178" s="121" t="str">
        <f t="shared" si="361"/>
        <v/>
      </c>
      <c r="H1178" s="122">
        <f>IF($D1178="",0,IFERROR(LOOKUP(2,1/(($D$3:D1177=$D1178)*($A$3:A1177&lt;$A1178)),$N$3:N1177),'Guide &amp; Settings'!$C$41))</f>
        <v>0</v>
      </c>
      <c r="I1178" s="123">
        <f t="shared" si="362"/>
        <v>0</v>
      </c>
      <c r="J1178" s="124">
        <f>IF($D1178="",0,IF($F1178&lt;2,0,IF($E1178="Win",('Guide &amp; Settings'!$C$42/(($F1178-1)*COUNTIFS($A$4:$A$1510,$A1178,$E$4:$E$1510,"Win")))*SUMIFS($X$4:$X$1510,$A$4:$A$1510,$A1178,$E$4:$E$1510,"Loss"),-('Guide &amp; Settings'!$C$42/($F1178-1))*$X1178)))</f>
        <v>0</v>
      </c>
      <c r="K1178" s="124">
        <f>IF($D1178="",0,'Guide &amp; Settings'!$C$43*(IF($E1178="Win",1,0)-$I1178))</f>
        <v>0</v>
      </c>
      <c r="L1178" s="125">
        <f>IF($D1178="",0,'Guide &amp; Settings'!$C$44*IF($F1178&gt;=3,$F1178,0))</f>
        <v>0</v>
      </c>
      <c r="M1178" s="124">
        <f t="shared" si="363"/>
        <v>0</v>
      </c>
      <c r="N1178" s="122">
        <f t="shared" si="364"/>
        <v>0</v>
      </c>
      <c r="O1178" s="121" t="str">
        <f t="shared" si="365"/>
        <v/>
      </c>
      <c r="P1178">
        <f t="shared" si="366"/>
        <v>0</v>
      </c>
      <c r="Q1178">
        <f t="shared" si="367"/>
        <v>0</v>
      </c>
      <c r="R1178">
        <f t="shared" si="368"/>
        <v>0</v>
      </c>
      <c r="S1178">
        <f t="shared" si="369"/>
        <v>0</v>
      </c>
      <c r="T1178" s="89">
        <f t="shared" si="370"/>
        <v>0</v>
      </c>
      <c r="U1178" s="126">
        <f>IF($D1178="",0,IFERROR(LOOKUP(2,1/(($D$3:D1177=$D1178)*($C$3:C1177=$C1178)*($A$3:A1177&lt;$A1178)),$AB$3:AB1177),1000))</f>
        <v>0</v>
      </c>
      <c r="V1178" s="126">
        <f t="shared" si="371"/>
        <v>0</v>
      </c>
      <c r="W1178">
        <f t="shared" si="372"/>
        <v>0</v>
      </c>
      <c r="X1178">
        <f t="shared" si="373"/>
        <v>0</v>
      </c>
      <c r="Y1178">
        <f t="shared" si="374"/>
        <v>0</v>
      </c>
      <c r="Z1178">
        <f t="shared" si="375"/>
        <v>0</v>
      </c>
      <c r="AA1178">
        <f>IF($D1178="",0,IF($F1178&lt;2,0,IF($E1178="Win",('Guide &amp; Settings'!$C$42/(($F1178-1)*COUNTIFS($A$4:$A$1510,$A1178,$E$4:$E$1510,"Win")))*SUMIFS($Z$4:$Z$1510,$A$4:$A$1510,$A1178,$E$4:$E$1510,"Loss"),-('Guide &amp; Settings'!$C$42/($F1178-1))*$Z1178)))</f>
        <v>0</v>
      </c>
      <c r="AB1178" s="126">
        <f t="shared" si="376"/>
        <v>0</v>
      </c>
      <c r="AC1178" t="str">
        <f>IF($D1178="","",IF($AD1178=0,0,IF(COUNTIFS($D$4:$D1178,$D1178,$B$4:$B1178,$B1178)&gt;1,0,IF($B1178&lt;'Guide &amp; Settings'!$C$50,0,IF(($B1178-$AD1178)/7-'Guide &amp; Settings'!$C$48&gt;=0,(INT(($B1178-$AD1178)/7-'Guide &amp; Settings'!$C$48)+1)*'Guide &amp; Settings'!$C$49,0)))))</f>
        <v/>
      </c>
      <c r="AD1178" s="142">
        <f t="shared" si="377"/>
        <v>0</v>
      </c>
      <c r="AE1178">
        <f t="shared" si="378"/>
        <v>0</v>
      </c>
      <c r="AF1178">
        <f t="shared" si="379"/>
        <v>0</v>
      </c>
    </row>
    <row r="1179" spans="1:32" x14ac:dyDescent="0.2">
      <c r="A1179" s="117"/>
      <c r="B1179" s="118"/>
      <c r="C1179" s="119"/>
      <c r="D1179" s="119"/>
      <c r="E1179" s="117"/>
      <c r="F1179" s="120">
        <f t="shared" si="360"/>
        <v>0</v>
      </c>
      <c r="G1179" s="121" t="str">
        <f t="shared" si="361"/>
        <v/>
      </c>
      <c r="H1179" s="122">
        <f>IF($D1179="",0,IFERROR(LOOKUP(2,1/(($D$3:D1178=$D1179)*($A$3:A1178&lt;$A1179)),$N$3:N1178),'Guide &amp; Settings'!$C$41))</f>
        <v>0</v>
      </c>
      <c r="I1179" s="123">
        <f t="shared" si="362"/>
        <v>0</v>
      </c>
      <c r="J1179" s="124">
        <f>IF($D1179="",0,IF($F1179&lt;2,0,IF($E1179="Win",('Guide &amp; Settings'!$C$42/(($F1179-1)*COUNTIFS($A$4:$A$1510,$A1179,$E$4:$E$1510,"Win")))*SUMIFS($X$4:$X$1510,$A$4:$A$1510,$A1179,$E$4:$E$1510,"Loss"),-('Guide &amp; Settings'!$C$42/($F1179-1))*$X1179)))</f>
        <v>0</v>
      </c>
      <c r="K1179" s="124">
        <f>IF($D1179="",0,'Guide &amp; Settings'!$C$43*(IF($E1179="Win",1,0)-$I1179))</f>
        <v>0</v>
      </c>
      <c r="L1179" s="125">
        <f>IF($D1179="",0,'Guide &amp; Settings'!$C$44*IF($F1179&gt;=3,$F1179,0))</f>
        <v>0</v>
      </c>
      <c r="M1179" s="124">
        <f t="shared" si="363"/>
        <v>0</v>
      </c>
      <c r="N1179" s="122">
        <f t="shared" si="364"/>
        <v>0</v>
      </c>
      <c r="O1179" s="121" t="str">
        <f t="shared" si="365"/>
        <v/>
      </c>
      <c r="P1179">
        <f t="shared" si="366"/>
        <v>0</v>
      </c>
      <c r="Q1179">
        <f t="shared" si="367"/>
        <v>0</v>
      </c>
      <c r="R1179">
        <f t="shared" si="368"/>
        <v>0</v>
      </c>
      <c r="S1179">
        <f t="shared" si="369"/>
        <v>0</v>
      </c>
      <c r="T1179" s="89">
        <f t="shared" si="370"/>
        <v>0</v>
      </c>
      <c r="U1179" s="126">
        <f>IF($D1179="",0,IFERROR(LOOKUP(2,1/(($D$3:D1178=$D1179)*($C$3:C1178=$C1179)*($A$3:A1178&lt;$A1179)),$AB$3:AB1178),1000))</f>
        <v>0</v>
      </c>
      <c r="V1179" s="126">
        <f t="shared" si="371"/>
        <v>0</v>
      </c>
      <c r="W1179">
        <f t="shared" si="372"/>
        <v>0</v>
      </c>
      <c r="X1179">
        <f t="shared" si="373"/>
        <v>0</v>
      </c>
      <c r="Y1179">
        <f t="shared" si="374"/>
        <v>0</v>
      </c>
      <c r="Z1179">
        <f t="shared" si="375"/>
        <v>0</v>
      </c>
      <c r="AA1179">
        <f>IF($D1179="",0,IF($F1179&lt;2,0,IF($E1179="Win",('Guide &amp; Settings'!$C$42/(($F1179-1)*COUNTIFS($A$4:$A$1510,$A1179,$E$4:$E$1510,"Win")))*SUMIFS($Z$4:$Z$1510,$A$4:$A$1510,$A1179,$E$4:$E$1510,"Loss"),-('Guide &amp; Settings'!$C$42/($F1179-1))*$Z1179)))</f>
        <v>0</v>
      </c>
      <c r="AB1179" s="126">
        <f t="shared" si="376"/>
        <v>0</v>
      </c>
      <c r="AC1179" t="str">
        <f>IF($D1179="","",IF($AD1179=0,0,IF(COUNTIFS($D$4:$D1179,$D1179,$B$4:$B1179,$B1179)&gt;1,0,IF($B1179&lt;'Guide &amp; Settings'!$C$50,0,IF(($B1179-$AD1179)/7-'Guide &amp; Settings'!$C$48&gt;=0,(INT(($B1179-$AD1179)/7-'Guide &amp; Settings'!$C$48)+1)*'Guide &amp; Settings'!$C$49,0)))))</f>
        <v/>
      </c>
      <c r="AD1179" s="142">
        <f t="shared" si="377"/>
        <v>0</v>
      </c>
      <c r="AE1179">
        <f t="shared" si="378"/>
        <v>0</v>
      </c>
      <c r="AF1179">
        <f t="shared" si="379"/>
        <v>0</v>
      </c>
    </row>
    <row r="1180" spans="1:32" x14ac:dyDescent="0.2">
      <c r="A1180" s="117"/>
      <c r="B1180" s="118"/>
      <c r="C1180" s="119"/>
      <c r="D1180" s="119"/>
      <c r="E1180" s="117"/>
      <c r="F1180" s="120">
        <f t="shared" si="360"/>
        <v>0</v>
      </c>
      <c r="G1180" s="121" t="str">
        <f t="shared" si="361"/>
        <v/>
      </c>
      <c r="H1180" s="122">
        <f>IF($D1180="",0,IFERROR(LOOKUP(2,1/(($D$3:D1179=$D1180)*($A$3:A1179&lt;$A1180)),$N$3:N1179),'Guide &amp; Settings'!$C$41))</f>
        <v>0</v>
      </c>
      <c r="I1180" s="123">
        <f t="shared" si="362"/>
        <v>0</v>
      </c>
      <c r="J1180" s="124">
        <f>IF($D1180="",0,IF($F1180&lt;2,0,IF($E1180="Win",('Guide &amp; Settings'!$C$42/(($F1180-1)*COUNTIFS($A$4:$A$1510,$A1180,$E$4:$E$1510,"Win")))*SUMIFS($X$4:$X$1510,$A$4:$A$1510,$A1180,$E$4:$E$1510,"Loss"),-('Guide &amp; Settings'!$C$42/($F1180-1))*$X1180)))</f>
        <v>0</v>
      </c>
      <c r="K1180" s="124">
        <f>IF($D1180="",0,'Guide &amp; Settings'!$C$43*(IF($E1180="Win",1,0)-$I1180))</f>
        <v>0</v>
      </c>
      <c r="L1180" s="125">
        <f>IF($D1180="",0,'Guide &amp; Settings'!$C$44*IF($F1180&gt;=3,$F1180,0))</f>
        <v>0</v>
      </c>
      <c r="M1180" s="124">
        <f t="shared" si="363"/>
        <v>0</v>
      </c>
      <c r="N1180" s="122">
        <f t="shared" si="364"/>
        <v>0</v>
      </c>
      <c r="O1180" s="121" t="str">
        <f t="shared" si="365"/>
        <v/>
      </c>
      <c r="P1180">
        <f t="shared" si="366"/>
        <v>0</v>
      </c>
      <c r="Q1180">
        <f t="shared" si="367"/>
        <v>0</v>
      </c>
      <c r="R1180">
        <f t="shared" si="368"/>
        <v>0</v>
      </c>
      <c r="S1180">
        <f t="shared" si="369"/>
        <v>0</v>
      </c>
      <c r="T1180" s="89">
        <f t="shared" si="370"/>
        <v>0</v>
      </c>
      <c r="U1180" s="126">
        <f>IF($D1180="",0,IFERROR(LOOKUP(2,1/(($D$3:D1179=$D1180)*($C$3:C1179=$C1180)*($A$3:A1179&lt;$A1180)),$AB$3:AB1179),1000))</f>
        <v>0</v>
      </c>
      <c r="V1180" s="126">
        <f t="shared" si="371"/>
        <v>0</v>
      </c>
      <c r="W1180">
        <f t="shared" si="372"/>
        <v>0</v>
      </c>
      <c r="X1180">
        <f t="shared" si="373"/>
        <v>0</v>
      </c>
      <c r="Y1180">
        <f t="shared" si="374"/>
        <v>0</v>
      </c>
      <c r="Z1180">
        <f t="shared" si="375"/>
        <v>0</v>
      </c>
      <c r="AA1180">
        <f>IF($D1180="",0,IF($F1180&lt;2,0,IF($E1180="Win",('Guide &amp; Settings'!$C$42/(($F1180-1)*COUNTIFS($A$4:$A$1510,$A1180,$E$4:$E$1510,"Win")))*SUMIFS($Z$4:$Z$1510,$A$4:$A$1510,$A1180,$E$4:$E$1510,"Loss"),-('Guide &amp; Settings'!$C$42/($F1180-1))*$Z1180)))</f>
        <v>0</v>
      </c>
      <c r="AB1180" s="126">
        <f t="shared" si="376"/>
        <v>0</v>
      </c>
      <c r="AC1180" t="str">
        <f>IF($D1180="","",IF($AD1180=0,0,IF(COUNTIFS($D$4:$D1180,$D1180,$B$4:$B1180,$B1180)&gt;1,0,IF($B1180&lt;'Guide &amp; Settings'!$C$50,0,IF(($B1180-$AD1180)/7-'Guide &amp; Settings'!$C$48&gt;=0,(INT(($B1180-$AD1180)/7-'Guide &amp; Settings'!$C$48)+1)*'Guide &amp; Settings'!$C$49,0)))))</f>
        <v/>
      </c>
      <c r="AD1180" s="142">
        <f t="shared" si="377"/>
        <v>0</v>
      </c>
      <c r="AE1180">
        <f t="shared" si="378"/>
        <v>0</v>
      </c>
      <c r="AF1180">
        <f t="shared" si="379"/>
        <v>0</v>
      </c>
    </row>
    <row r="1181" spans="1:32" x14ac:dyDescent="0.2">
      <c r="A1181" s="117"/>
      <c r="B1181" s="118"/>
      <c r="C1181" s="119"/>
      <c r="D1181" s="119"/>
      <c r="E1181" s="117"/>
      <c r="F1181" s="120">
        <f t="shared" si="360"/>
        <v>0</v>
      </c>
      <c r="G1181" s="121" t="str">
        <f t="shared" si="361"/>
        <v/>
      </c>
      <c r="H1181" s="122">
        <f>IF($D1181="",0,IFERROR(LOOKUP(2,1/(($D$3:D1180=$D1181)*($A$3:A1180&lt;$A1181)),$N$3:N1180),'Guide &amp; Settings'!$C$41))</f>
        <v>0</v>
      </c>
      <c r="I1181" s="123">
        <f t="shared" si="362"/>
        <v>0</v>
      </c>
      <c r="J1181" s="124">
        <f>IF($D1181="",0,IF($F1181&lt;2,0,IF($E1181="Win",('Guide &amp; Settings'!$C$42/(($F1181-1)*COUNTIFS($A$4:$A$1510,$A1181,$E$4:$E$1510,"Win")))*SUMIFS($X$4:$X$1510,$A$4:$A$1510,$A1181,$E$4:$E$1510,"Loss"),-('Guide &amp; Settings'!$C$42/($F1181-1))*$X1181)))</f>
        <v>0</v>
      </c>
      <c r="K1181" s="124">
        <f>IF($D1181="",0,'Guide &amp; Settings'!$C$43*(IF($E1181="Win",1,0)-$I1181))</f>
        <v>0</v>
      </c>
      <c r="L1181" s="125">
        <f>IF($D1181="",0,'Guide &amp; Settings'!$C$44*IF($F1181&gt;=3,$F1181,0))</f>
        <v>0</v>
      </c>
      <c r="M1181" s="124">
        <f t="shared" si="363"/>
        <v>0</v>
      </c>
      <c r="N1181" s="122">
        <f t="shared" si="364"/>
        <v>0</v>
      </c>
      <c r="O1181" s="121" t="str">
        <f t="shared" si="365"/>
        <v/>
      </c>
      <c r="P1181">
        <f t="shared" si="366"/>
        <v>0</v>
      </c>
      <c r="Q1181">
        <f t="shared" si="367"/>
        <v>0</v>
      </c>
      <c r="R1181">
        <f t="shared" si="368"/>
        <v>0</v>
      </c>
      <c r="S1181">
        <f t="shared" si="369"/>
        <v>0</v>
      </c>
      <c r="T1181" s="89">
        <f t="shared" si="370"/>
        <v>0</v>
      </c>
      <c r="U1181" s="126">
        <f>IF($D1181="",0,IFERROR(LOOKUP(2,1/(($D$3:D1180=$D1181)*($C$3:C1180=$C1181)*($A$3:A1180&lt;$A1181)),$AB$3:AB1180),1000))</f>
        <v>0</v>
      </c>
      <c r="V1181" s="126">
        <f t="shared" si="371"/>
        <v>0</v>
      </c>
      <c r="W1181">
        <f t="shared" si="372"/>
        <v>0</v>
      </c>
      <c r="X1181">
        <f t="shared" si="373"/>
        <v>0</v>
      </c>
      <c r="Y1181">
        <f t="shared" si="374"/>
        <v>0</v>
      </c>
      <c r="Z1181">
        <f t="shared" si="375"/>
        <v>0</v>
      </c>
      <c r="AA1181">
        <f>IF($D1181="",0,IF($F1181&lt;2,0,IF($E1181="Win",('Guide &amp; Settings'!$C$42/(($F1181-1)*COUNTIFS($A$4:$A$1510,$A1181,$E$4:$E$1510,"Win")))*SUMIFS($Z$4:$Z$1510,$A$4:$A$1510,$A1181,$E$4:$E$1510,"Loss"),-('Guide &amp; Settings'!$C$42/($F1181-1))*$Z1181)))</f>
        <v>0</v>
      </c>
      <c r="AB1181" s="126">
        <f t="shared" si="376"/>
        <v>0</v>
      </c>
      <c r="AC1181" t="str">
        <f>IF($D1181="","",IF($AD1181=0,0,IF(COUNTIFS($D$4:$D1181,$D1181,$B$4:$B1181,$B1181)&gt;1,0,IF($B1181&lt;'Guide &amp; Settings'!$C$50,0,IF(($B1181-$AD1181)/7-'Guide &amp; Settings'!$C$48&gt;=0,(INT(($B1181-$AD1181)/7-'Guide &amp; Settings'!$C$48)+1)*'Guide &amp; Settings'!$C$49,0)))))</f>
        <v/>
      </c>
      <c r="AD1181" s="142">
        <f t="shared" si="377"/>
        <v>0</v>
      </c>
      <c r="AE1181">
        <f t="shared" si="378"/>
        <v>0</v>
      </c>
      <c r="AF1181">
        <f t="shared" si="379"/>
        <v>0</v>
      </c>
    </row>
    <row r="1182" spans="1:32" x14ac:dyDescent="0.2">
      <c r="A1182" s="117"/>
      <c r="B1182" s="118"/>
      <c r="C1182" s="119"/>
      <c r="D1182" s="119"/>
      <c r="E1182" s="117"/>
      <c r="F1182" s="120">
        <f t="shared" si="360"/>
        <v>0</v>
      </c>
      <c r="G1182" s="121" t="str">
        <f t="shared" si="361"/>
        <v/>
      </c>
      <c r="H1182" s="122">
        <f>IF($D1182="",0,IFERROR(LOOKUP(2,1/(($D$3:D1181=$D1182)*($A$3:A1181&lt;$A1182)),$N$3:N1181),'Guide &amp; Settings'!$C$41))</f>
        <v>0</v>
      </c>
      <c r="I1182" s="123">
        <f t="shared" si="362"/>
        <v>0</v>
      </c>
      <c r="J1182" s="124">
        <f>IF($D1182="",0,IF($F1182&lt;2,0,IF($E1182="Win",('Guide &amp; Settings'!$C$42/(($F1182-1)*COUNTIFS($A$4:$A$1510,$A1182,$E$4:$E$1510,"Win")))*SUMIFS($X$4:$X$1510,$A$4:$A$1510,$A1182,$E$4:$E$1510,"Loss"),-('Guide &amp; Settings'!$C$42/($F1182-1))*$X1182)))</f>
        <v>0</v>
      </c>
      <c r="K1182" s="124">
        <f>IF($D1182="",0,'Guide &amp; Settings'!$C$43*(IF($E1182="Win",1,0)-$I1182))</f>
        <v>0</v>
      </c>
      <c r="L1182" s="125">
        <f>IF($D1182="",0,'Guide &amp; Settings'!$C$44*IF($F1182&gt;=3,$F1182,0))</f>
        <v>0</v>
      </c>
      <c r="M1182" s="124">
        <f t="shared" si="363"/>
        <v>0</v>
      </c>
      <c r="N1182" s="122">
        <f t="shared" si="364"/>
        <v>0</v>
      </c>
      <c r="O1182" s="121" t="str">
        <f t="shared" si="365"/>
        <v/>
      </c>
      <c r="P1182">
        <f t="shared" si="366"/>
        <v>0</v>
      </c>
      <c r="Q1182">
        <f t="shared" si="367"/>
        <v>0</v>
      </c>
      <c r="R1182">
        <f t="shared" si="368"/>
        <v>0</v>
      </c>
      <c r="S1182">
        <f t="shared" si="369"/>
        <v>0</v>
      </c>
      <c r="T1182" s="89">
        <f t="shared" si="370"/>
        <v>0</v>
      </c>
      <c r="U1182" s="126">
        <f>IF($D1182="",0,IFERROR(LOOKUP(2,1/(($D$3:D1181=$D1182)*($C$3:C1181=$C1182)*($A$3:A1181&lt;$A1182)),$AB$3:AB1181),1000))</f>
        <v>0</v>
      </c>
      <c r="V1182" s="126">
        <f t="shared" si="371"/>
        <v>0</v>
      </c>
      <c r="W1182">
        <f t="shared" si="372"/>
        <v>0</v>
      </c>
      <c r="X1182">
        <f t="shared" si="373"/>
        <v>0</v>
      </c>
      <c r="Y1182">
        <f t="shared" si="374"/>
        <v>0</v>
      </c>
      <c r="Z1182">
        <f t="shared" si="375"/>
        <v>0</v>
      </c>
      <c r="AA1182">
        <f>IF($D1182="",0,IF($F1182&lt;2,0,IF($E1182="Win",('Guide &amp; Settings'!$C$42/(($F1182-1)*COUNTIFS($A$4:$A$1510,$A1182,$E$4:$E$1510,"Win")))*SUMIFS($Z$4:$Z$1510,$A$4:$A$1510,$A1182,$E$4:$E$1510,"Loss"),-('Guide &amp; Settings'!$C$42/($F1182-1))*$Z1182)))</f>
        <v>0</v>
      </c>
      <c r="AB1182" s="126">
        <f t="shared" si="376"/>
        <v>0</v>
      </c>
      <c r="AC1182" t="str">
        <f>IF($D1182="","",IF($AD1182=0,0,IF(COUNTIFS($D$4:$D1182,$D1182,$B$4:$B1182,$B1182)&gt;1,0,IF($B1182&lt;'Guide &amp; Settings'!$C$50,0,IF(($B1182-$AD1182)/7-'Guide &amp; Settings'!$C$48&gt;=0,(INT(($B1182-$AD1182)/7-'Guide &amp; Settings'!$C$48)+1)*'Guide &amp; Settings'!$C$49,0)))))</f>
        <v/>
      </c>
      <c r="AD1182" s="142">
        <f t="shared" si="377"/>
        <v>0</v>
      </c>
      <c r="AE1182">
        <f t="shared" si="378"/>
        <v>0</v>
      </c>
      <c r="AF1182">
        <f t="shared" si="379"/>
        <v>0</v>
      </c>
    </row>
    <row r="1183" spans="1:32" x14ac:dyDescent="0.2">
      <c r="A1183" s="117"/>
      <c r="B1183" s="118"/>
      <c r="C1183" s="119"/>
      <c r="D1183" s="119"/>
      <c r="E1183" s="117"/>
      <c r="F1183" s="120">
        <f t="shared" si="360"/>
        <v>0</v>
      </c>
      <c r="G1183" s="121" t="str">
        <f t="shared" si="361"/>
        <v/>
      </c>
      <c r="H1183" s="122">
        <f>IF($D1183="",0,IFERROR(LOOKUP(2,1/(($D$3:D1182=$D1183)*($A$3:A1182&lt;$A1183)),$N$3:N1182),'Guide &amp; Settings'!$C$41))</f>
        <v>0</v>
      </c>
      <c r="I1183" s="123">
        <f t="shared" si="362"/>
        <v>0</v>
      </c>
      <c r="J1183" s="124">
        <f>IF($D1183="",0,IF($F1183&lt;2,0,IF($E1183="Win",('Guide &amp; Settings'!$C$42/(($F1183-1)*COUNTIFS($A$4:$A$1510,$A1183,$E$4:$E$1510,"Win")))*SUMIFS($X$4:$X$1510,$A$4:$A$1510,$A1183,$E$4:$E$1510,"Loss"),-('Guide &amp; Settings'!$C$42/($F1183-1))*$X1183)))</f>
        <v>0</v>
      </c>
      <c r="K1183" s="124">
        <f>IF($D1183="",0,'Guide &amp; Settings'!$C$43*(IF($E1183="Win",1,0)-$I1183))</f>
        <v>0</v>
      </c>
      <c r="L1183" s="125">
        <f>IF($D1183="",0,'Guide &amp; Settings'!$C$44*IF($F1183&gt;=3,$F1183,0))</f>
        <v>0</v>
      </c>
      <c r="M1183" s="124">
        <f t="shared" si="363"/>
        <v>0</v>
      </c>
      <c r="N1183" s="122">
        <f t="shared" si="364"/>
        <v>0</v>
      </c>
      <c r="O1183" s="121" t="str">
        <f t="shared" si="365"/>
        <v/>
      </c>
      <c r="P1183">
        <f t="shared" si="366"/>
        <v>0</v>
      </c>
      <c r="Q1183">
        <f t="shared" si="367"/>
        <v>0</v>
      </c>
      <c r="R1183">
        <f t="shared" si="368"/>
        <v>0</v>
      </c>
      <c r="S1183">
        <f t="shared" si="369"/>
        <v>0</v>
      </c>
      <c r="T1183" s="89">
        <f t="shared" si="370"/>
        <v>0</v>
      </c>
      <c r="U1183" s="126">
        <f>IF($D1183="",0,IFERROR(LOOKUP(2,1/(($D$3:D1182=$D1183)*($C$3:C1182=$C1183)*($A$3:A1182&lt;$A1183)),$AB$3:AB1182),1000))</f>
        <v>0</v>
      </c>
      <c r="V1183" s="126">
        <f t="shared" si="371"/>
        <v>0</v>
      </c>
      <c r="W1183">
        <f t="shared" si="372"/>
        <v>0</v>
      </c>
      <c r="X1183">
        <f t="shared" si="373"/>
        <v>0</v>
      </c>
      <c r="Y1183">
        <f t="shared" si="374"/>
        <v>0</v>
      </c>
      <c r="Z1183">
        <f t="shared" si="375"/>
        <v>0</v>
      </c>
      <c r="AA1183">
        <f>IF($D1183="",0,IF($F1183&lt;2,0,IF($E1183="Win",('Guide &amp; Settings'!$C$42/(($F1183-1)*COUNTIFS($A$4:$A$1510,$A1183,$E$4:$E$1510,"Win")))*SUMIFS($Z$4:$Z$1510,$A$4:$A$1510,$A1183,$E$4:$E$1510,"Loss"),-('Guide &amp; Settings'!$C$42/($F1183-1))*$Z1183)))</f>
        <v>0</v>
      </c>
      <c r="AB1183" s="126">
        <f t="shared" si="376"/>
        <v>0</v>
      </c>
      <c r="AC1183" t="str">
        <f>IF($D1183="","",IF($AD1183=0,0,IF(COUNTIFS($D$4:$D1183,$D1183,$B$4:$B1183,$B1183)&gt;1,0,IF($B1183&lt;'Guide &amp; Settings'!$C$50,0,IF(($B1183-$AD1183)/7-'Guide &amp; Settings'!$C$48&gt;=0,(INT(($B1183-$AD1183)/7-'Guide &amp; Settings'!$C$48)+1)*'Guide &amp; Settings'!$C$49,0)))))</f>
        <v/>
      </c>
      <c r="AD1183" s="142">
        <f t="shared" si="377"/>
        <v>0</v>
      </c>
      <c r="AE1183">
        <f t="shared" si="378"/>
        <v>0</v>
      </c>
      <c r="AF1183">
        <f t="shared" si="379"/>
        <v>0</v>
      </c>
    </row>
    <row r="1184" spans="1:32" x14ac:dyDescent="0.2">
      <c r="A1184" s="117"/>
      <c r="B1184" s="118"/>
      <c r="C1184" s="119"/>
      <c r="D1184" s="119"/>
      <c r="E1184" s="117"/>
      <c r="F1184" s="120">
        <f t="shared" si="360"/>
        <v>0</v>
      </c>
      <c r="G1184" s="121" t="str">
        <f t="shared" si="361"/>
        <v/>
      </c>
      <c r="H1184" s="122">
        <f>IF($D1184="",0,IFERROR(LOOKUP(2,1/(($D$3:D1183=$D1184)*($A$3:A1183&lt;$A1184)),$N$3:N1183),'Guide &amp; Settings'!$C$41))</f>
        <v>0</v>
      </c>
      <c r="I1184" s="123">
        <f t="shared" si="362"/>
        <v>0</v>
      </c>
      <c r="J1184" s="124">
        <f>IF($D1184="",0,IF($F1184&lt;2,0,IF($E1184="Win",('Guide &amp; Settings'!$C$42/(($F1184-1)*COUNTIFS($A$4:$A$1510,$A1184,$E$4:$E$1510,"Win")))*SUMIFS($X$4:$X$1510,$A$4:$A$1510,$A1184,$E$4:$E$1510,"Loss"),-('Guide &amp; Settings'!$C$42/($F1184-1))*$X1184)))</f>
        <v>0</v>
      </c>
      <c r="K1184" s="124">
        <f>IF($D1184="",0,'Guide &amp; Settings'!$C$43*(IF($E1184="Win",1,0)-$I1184))</f>
        <v>0</v>
      </c>
      <c r="L1184" s="125">
        <f>IF($D1184="",0,'Guide &amp; Settings'!$C$44*IF($F1184&gt;=3,$F1184,0))</f>
        <v>0</v>
      </c>
      <c r="M1184" s="124">
        <f t="shared" si="363"/>
        <v>0</v>
      </c>
      <c r="N1184" s="122">
        <f t="shared" si="364"/>
        <v>0</v>
      </c>
      <c r="O1184" s="121" t="str">
        <f t="shared" si="365"/>
        <v/>
      </c>
      <c r="P1184">
        <f t="shared" si="366"/>
        <v>0</v>
      </c>
      <c r="Q1184">
        <f t="shared" si="367"/>
        <v>0</v>
      </c>
      <c r="R1184">
        <f t="shared" si="368"/>
        <v>0</v>
      </c>
      <c r="S1184">
        <f t="shared" si="369"/>
        <v>0</v>
      </c>
      <c r="T1184" s="89">
        <f t="shared" si="370"/>
        <v>0</v>
      </c>
      <c r="U1184" s="126">
        <f>IF($D1184="",0,IFERROR(LOOKUP(2,1/(($D$3:D1183=$D1184)*($C$3:C1183=$C1184)*($A$3:A1183&lt;$A1184)),$AB$3:AB1183),1000))</f>
        <v>0</v>
      </c>
      <c r="V1184" s="126">
        <f t="shared" si="371"/>
        <v>0</v>
      </c>
      <c r="W1184">
        <f t="shared" si="372"/>
        <v>0</v>
      </c>
      <c r="X1184">
        <f t="shared" si="373"/>
        <v>0</v>
      </c>
      <c r="Y1184">
        <f t="shared" si="374"/>
        <v>0</v>
      </c>
      <c r="Z1184">
        <f t="shared" si="375"/>
        <v>0</v>
      </c>
      <c r="AA1184">
        <f>IF($D1184="",0,IF($F1184&lt;2,0,IF($E1184="Win",('Guide &amp; Settings'!$C$42/(($F1184-1)*COUNTIFS($A$4:$A$1510,$A1184,$E$4:$E$1510,"Win")))*SUMIFS($Z$4:$Z$1510,$A$4:$A$1510,$A1184,$E$4:$E$1510,"Loss"),-('Guide &amp; Settings'!$C$42/($F1184-1))*$Z1184)))</f>
        <v>0</v>
      </c>
      <c r="AB1184" s="126">
        <f t="shared" si="376"/>
        <v>0</v>
      </c>
      <c r="AC1184" t="str">
        <f>IF($D1184="","",IF($AD1184=0,0,IF(COUNTIFS($D$4:$D1184,$D1184,$B$4:$B1184,$B1184)&gt;1,0,IF($B1184&lt;'Guide &amp; Settings'!$C$50,0,IF(($B1184-$AD1184)/7-'Guide &amp; Settings'!$C$48&gt;=0,(INT(($B1184-$AD1184)/7-'Guide &amp; Settings'!$C$48)+1)*'Guide &amp; Settings'!$C$49,0)))))</f>
        <v/>
      </c>
      <c r="AD1184" s="142">
        <f t="shared" si="377"/>
        <v>0</v>
      </c>
      <c r="AE1184">
        <f t="shared" si="378"/>
        <v>0</v>
      </c>
      <c r="AF1184">
        <f t="shared" si="379"/>
        <v>0</v>
      </c>
    </row>
    <row r="1185" spans="1:32" x14ac:dyDescent="0.2">
      <c r="A1185" s="117"/>
      <c r="B1185" s="118"/>
      <c r="C1185" s="119"/>
      <c r="D1185" s="119"/>
      <c r="E1185" s="117"/>
      <c r="F1185" s="120">
        <f t="shared" si="360"/>
        <v>0</v>
      </c>
      <c r="G1185" s="121" t="str">
        <f t="shared" si="361"/>
        <v/>
      </c>
      <c r="H1185" s="122">
        <f>IF($D1185="",0,IFERROR(LOOKUP(2,1/(($D$3:D1184=$D1185)*($A$3:A1184&lt;$A1185)),$N$3:N1184),'Guide &amp; Settings'!$C$41))</f>
        <v>0</v>
      </c>
      <c r="I1185" s="123">
        <f t="shared" si="362"/>
        <v>0</v>
      </c>
      <c r="J1185" s="124">
        <f>IF($D1185="",0,IF($F1185&lt;2,0,IF($E1185="Win",('Guide &amp; Settings'!$C$42/(($F1185-1)*COUNTIFS($A$4:$A$1510,$A1185,$E$4:$E$1510,"Win")))*SUMIFS($X$4:$X$1510,$A$4:$A$1510,$A1185,$E$4:$E$1510,"Loss"),-('Guide &amp; Settings'!$C$42/($F1185-1))*$X1185)))</f>
        <v>0</v>
      </c>
      <c r="K1185" s="124">
        <f>IF($D1185="",0,'Guide &amp; Settings'!$C$43*(IF($E1185="Win",1,0)-$I1185))</f>
        <v>0</v>
      </c>
      <c r="L1185" s="125">
        <f>IF($D1185="",0,'Guide &amp; Settings'!$C$44*IF($F1185&gt;=3,$F1185,0))</f>
        <v>0</v>
      </c>
      <c r="M1185" s="124">
        <f t="shared" si="363"/>
        <v>0</v>
      </c>
      <c r="N1185" s="122">
        <f t="shared" si="364"/>
        <v>0</v>
      </c>
      <c r="O1185" s="121" t="str">
        <f t="shared" si="365"/>
        <v/>
      </c>
      <c r="P1185">
        <f t="shared" si="366"/>
        <v>0</v>
      </c>
      <c r="Q1185">
        <f t="shared" si="367"/>
        <v>0</v>
      </c>
      <c r="R1185">
        <f t="shared" si="368"/>
        <v>0</v>
      </c>
      <c r="S1185">
        <f t="shared" si="369"/>
        <v>0</v>
      </c>
      <c r="T1185" s="89">
        <f t="shared" si="370"/>
        <v>0</v>
      </c>
      <c r="U1185" s="126">
        <f>IF($D1185="",0,IFERROR(LOOKUP(2,1/(($D$3:D1184=$D1185)*($C$3:C1184=$C1185)*($A$3:A1184&lt;$A1185)),$AB$3:AB1184),1000))</f>
        <v>0</v>
      </c>
      <c r="V1185" s="126">
        <f t="shared" si="371"/>
        <v>0</v>
      </c>
      <c r="W1185">
        <f t="shared" si="372"/>
        <v>0</v>
      </c>
      <c r="X1185">
        <f t="shared" si="373"/>
        <v>0</v>
      </c>
      <c r="Y1185">
        <f t="shared" si="374"/>
        <v>0</v>
      </c>
      <c r="Z1185">
        <f t="shared" si="375"/>
        <v>0</v>
      </c>
      <c r="AA1185">
        <f>IF($D1185="",0,IF($F1185&lt;2,0,IF($E1185="Win",('Guide &amp; Settings'!$C$42/(($F1185-1)*COUNTIFS($A$4:$A$1510,$A1185,$E$4:$E$1510,"Win")))*SUMIFS($Z$4:$Z$1510,$A$4:$A$1510,$A1185,$E$4:$E$1510,"Loss"),-('Guide &amp; Settings'!$C$42/($F1185-1))*$Z1185)))</f>
        <v>0</v>
      </c>
      <c r="AB1185" s="126">
        <f t="shared" si="376"/>
        <v>0</v>
      </c>
      <c r="AC1185" t="str">
        <f>IF($D1185="","",IF($AD1185=0,0,IF(COUNTIFS($D$4:$D1185,$D1185,$B$4:$B1185,$B1185)&gt;1,0,IF($B1185&lt;'Guide &amp; Settings'!$C$50,0,IF(($B1185-$AD1185)/7-'Guide &amp; Settings'!$C$48&gt;=0,(INT(($B1185-$AD1185)/7-'Guide &amp; Settings'!$C$48)+1)*'Guide &amp; Settings'!$C$49,0)))))</f>
        <v/>
      </c>
      <c r="AD1185" s="142">
        <f t="shared" si="377"/>
        <v>0</v>
      </c>
      <c r="AE1185">
        <f t="shared" si="378"/>
        <v>0</v>
      </c>
      <c r="AF1185">
        <f t="shared" si="379"/>
        <v>0</v>
      </c>
    </row>
    <row r="1186" spans="1:32" x14ac:dyDescent="0.2">
      <c r="A1186" s="117"/>
      <c r="B1186" s="118"/>
      <c r="C1186" s="119"/>
      <c r="D1186" s="119"/>
      <c r="E1186" s="117"/>
      <c r="F1186" s="120">
        <f t="shared" si="360"/>
        <v>0</v>
      </c>
      <c r="G1186" s="121" t="str">
        <f t="shared" si="361"/>
        <v/>
      </c>
      <c r="H1186" s="122">
        <f>IF($D1186="",0,IFERROR(LOOKUP(2,1/(($D$3:D1185=$D1186)*($A$3:A1185&lt;$A1186)),$N$3:N1185),'Guide &amp; Settings'!$C$41))</f>
        <v>0</v>
      </c>
      <c r="I1186" s="123">
        <f t="shared" si="362"/>
        <v>0</v>
      </c>
      <c r="J1186" s="124">
        <f>IF($D1186="",0,IF($F1186&lt;2,0,IF($E1186="Win",('Guide &amp; Settings'!$C$42/(($F1186-1)*COUNTIFS($A$4:$A$1510,$A1186,$E$4:$E$1510,"Win")))*SUMIFS($X$4:$X$1510,$A$4:$A$1510,$A1186,$E$4:$E$1510,"Loss"),-('Guide &amp; Settings'!$C$42/($F1186-1))*$X1186)))</f>
        <v>0</v>
      </c>
      <c r="K1186" s="124">
        <f>IF($D1186="",0,'Guide &amp; Settings'!$C$43*(IF($E1186="Win",1,0)-$I1186))</f>
        <v>0</v>
      </c>
      <c r="L1186" s="125">
        <f>IF($D1186="",0,'Guide &amp; Settings'!$C$44*IF($F1186&gt;=3,$F1186,0))</f>
        <v>0</v>
      </c>
      <c r="M1186" s="124">
        <f t="shared" si="363"/>
        <v>0</v>
      </c>
      <c r="N1186" s="122">
        <f t="shared" si="364"/>
        <v>0</v>
      </c>
      <c r="O1186" s="121" t="str">
        <f t="shared" si="365"/>
        <v/>
      </c>
      <c r="P1186">
        <f t="shared" si="366"/>
        <v>0</v>
      </c>
      <c r="Q1186">
        <f t="shared" si="367"/>
        <v>0</v>
      </c>
      <c r="R1186">
        <f t="shared" si="368"/>
        <v>0</v>
      </c>
      <c r="S1186">
        <f t="shared" si="369"/>
        <v>0</v>
      </c>
      <c r="T1186" s="89">
        <f t="shared" si="370"/>
        <v>0</v>
      </c>
      <c r="U1186" s="126">
        <f>IF($D1186="",0,IFERROR(LOOKUP(2,1/(($D$3:D1185=$D1186)*($C$3:C1185=$C1186)*($A$3:A1185&lt;$A1186)),$AB$3:AB1185),1000))</f>
        <v>0</v>
      </c>
      <c r="V1186" s="126">
        <f t="shared" si="371"/>
        <v>0</v>
      </c>
      <c r="W1186">
        <f t="shared" si="372"/>
        <v>0</v>
      </c>
      <c r="X1186">
        <f t="shared" si="373"/>
        <v>0</v>
      </c>
      <c r="Y1186">
        <f t="shared" si="374"/>
        <v>0</v>
      </c>
      <c r="Z1186">
        <f t="shared" si="375"/>
        <v>0</v>
      </c>
      <c r="AA1186">
        <f>IF($D1186="",0,IF($F1186&lt;2,0,IF($E1186="Win",('Guide &amp; Settings'!$C$42/(($F1186-1)*COUNTIFS($A$4:$A$1510,$A1186,$E$4:$E$1510,"Win")))*SUMIFS($Z$4:$Z$1510,$A$4:$A$1510,$A1186,$E$4:$E$1510,"Loss"),-('Guide &amp; Settings'!$C$42/($F1186-1))*$Z1186)))</f>
        <v>0</v>
      </c>
      <c r="AB1186" s="126">
        <f t="shared" si="376"/>
        <v>0</v>
      </c>
      <c r="AC1186" t="str">
        <f>IF($D1186="","",IF($AD1186=0,0,IF(COUNTIFS($D$4:$D1186,$D1186,$B$4:$B1186,$B1186)&gt;1,0,IF($B1186&lt;'Guide &amp; Settings'!$C$50,0,IF(($B1186-$AD1186)/7-'Guide &amp; Settings'!$C$48&gt;=0,(INT(($B1186-$AD1186)/7-'Guide &amp; Settings'!$C$48)+1)*'Guide &amp; Settings'!$C$49,0)))))</f>
        <v/>
      </c>
      <c r="AD1186" s="142">
        <f t="shared" si="377"/>
        <v>0</v>
      </c>
      <c r="AE1186">
        <f t="shared" si="378"/>
        <v>0</v>
      </c>
      <c r="AF1186">
        <f t="shared" si="379"/>
        <v>0</v>
      </c>
    </row>
    <row r="1187" spans="1:32" x14ac:dyDescent="0.2">
      <c r="A1187" s="117"/>
      <c r="B1187" s="118"/>
      <c r="C1187" s="119"/>
      <c r="D1187" s="119"/>
      <c r="E1187" s="117"/>
      <c r="F1187" s="120">
        <f t="shared" si="360"/>
        <v>0</v>
      </c>
      <c r="G1187" s="121" t="str">
        <f t="shared" si="361"/>
        <v/>
      </c>
      <c r="H1187" s="122">
        <f>IF($D1187="",0,IFERROR(LOOKUP(2,1/(($D$3:D1186=$D1187)*($A$3:A1186&lt;$A1187)),$N$3:N1186),'Guide &amp; Settings'!$C$41))</f>
        <v>0</v>
      </c>
      <c r="I1187" s="123">
        <f t="shared" si="362"/>
        <v>0</v>
      </c>
      <c r="J1187" s="124">
        <f>IF($D1187="",0,IF($F1187&lt;2,0,IF($E1187="Win",('Guide &amp; Settings'!$C$42/(($F1187-1)*COUNTIFS($A$4:$A$1510,$A1187,$E$4:$E$1510,"Win")))*SUMIFS($X$4:$X$1510,$A$4:$A$1510,$A1187,$E$4:$E$1510,"Loss"),-('Guide &amp; Settings'!$C$42/($F1187-1))*$X1187)))</f>
        <v>0</v>
      </c>
      <c r="K1187" s="124">
        <f>IF($D1187="",0,'Guide &amp; Settings'!$C$43*(IF($E1187="Win",1,0)-$I1187))</f>
        <v>0</v>
      </c>
      <c r="L1187" s="125">
        <f>IF($D1187="",0,'Guide &amp; Settings'!$C$44*IF($F1187&gt;=3,$F1187,0))</f>
        <v>0</v>
      </c>
      <c r="M1187" s="124">
        <f t="shared" si="363"/>
        <v>0</v>
      </c>
      <c r="N1187" s="122">
        <f t="shared" si="364"/>
        <v>0</v>
      </c>
      <c r="O1187" s="121" t="str">
        <f t="shared" si="365"/>
        <v/>
      </c>
      <c r="P1187">
        <f t="shared" si="366"/>
        <v>0</v>
      </c>
      <c r="Q1187">
        <f t="shared" si="367"/>
        <v>0</v>
      </c>
      <c r="R1187">
        <f t="shared" si="368"/>
        <v>0</v>
      </c>
      <c r="S1187">
        <f t="shared" si="369"/>
        <v>0</v>
      </c>
      <c r="T1187" s="89">
        <f t="shared" si="370"/>
        <v>0</v>
      </c>
      <c r="U1187" s="126">
        <f>IF($D1187="",0,IFERROR(LOOKUP(2,1/(($D$3:D1186=$D1187)*($C$3:C1186=$C1187)*($A$3:A1186&lt;$A1187)),$AB$3:AB1186),1000))</f>
        <v>0</v>
      </c>
      <c r="V1187" s="126">
        <f t="shared" si="371"/>
        <v>0</v>
      </c>
      <c r="W1187">
        <f t="shared" si="372"/>
        <v>0</v>
      </c>
      <c r="X1187">
        <f t="shared" si="373"/>
        <v>0</v>
      </c>
      <c r="Y1187">
        <f t="shared" si="374"/>
        <v>0</v>
      </c>
      <c r="Z1187">
        <f t="shared" si="375"/>
        <v>0</v>
      </c>
      <c r="AA1187">
        <f>IF($D1187="",0,IF($F1187&lt;2,0,IF($E1187="Win",('Guide &amp; Settings'!$C$42/(($F1187-1)*COUNTIFS($A$4:$A$1510,$A1187,$E$4:$E$1510,"Win")))*SUMIFS($Z$4:$Z$1510,$A$4:$A$1510,$A1187,$E$4:$E$1510,"Loss"),-('Guide &amp; Settings'!$C$42/($F1187-1))*$Z1187)))</f>
        <v>0</v>
      </c>
      <c r="AB1187" s="126">
        <f t="shared" si="376"/>
        <v>0</v>
      </c>
      <c r="AC1187" t="str">
        <f>IF($D1187="","",IF($AD1187=0,0,IF(COUNTIFS($D$4:$D1187,$D1187,$B$4:$B1187,$B1187)&gt;1,0,IF($B1187&lt;'Guide &amp; Settings'!$C$50,0,IF(($B1187-$AD1187)/7-'Guide &amp; Settings'!$C$48&gt;=0,(INT(($B1187-$AD1187)/7-'Guide &amp; Settings'!$C$48)+1)*'Guide &amp; Settings'!$C$49,0)))))</f>
        <v/>
      </c>
      <c r="AD1187" s="142">
        <f t="shared" si="377"/>
        <v>0</v>
      </c>
      <c r="AE1187">
        <f t="shared" si="378"/>
        <v>0</v>
      </c>
      <c r="AF1187">
        <f t="shared" si="379"/>
        <v>0</v>
      </c>
    </row>
    <row r="1188" spans="1:32" x14ac:dyDescent="0.2">
      <c r="A1188" s="117"/>
      <c r="B1188" s="118"/>
      <c r="C1188" s="119"/>
      <c r="D1188" s="119"/>
      <c r="E1188" s="117"/>
      <c r="F1188" s="120">
        <f t="shared" si="360"/>
        <v>0</v>
      </c>
      <c r="G1188" s="121" t="str">
        <f t="shared" si="361"/>
        <v/>
      </c>
      <c r="H1188" s="122">
        <f>IF($D1188="",0,IFERROR(LOOKUP(2,1/(($D$3:D1187=$D1188)*($A$3:A1187&lt;$A1188)),$N$3:N1187),'Guide &amp; Settings'!$C$41))</f>
        <v>0</v>
      </c>
      <c r="I1188" s="123">
        <f t="shared" si="362"/>
        <v>0</v>
      </c>
      <c r="J1188" s="124">
        <f>IF($D1188="",0,IF($F1188&lt;2,0,IF($E1188="Win",('Guide &amp; Settings'!$C$42/(($F1188-1)*COUNTIFS($A$4:$A$1510,$A1188,$E$4:$E$1510,"Win")))*SUMIFS($X$4:$X$1510,$A$4:$A$1510,$A1188,$E$4:$E$1510,"Loss"),-('Guide &amp; Settings'!$C$42/($F1188-1))*$X1188)))</f>
        <v>0</v>
      </c>
      <c r="K1188" s="124">
        <f>IF($D1188="",0,'Guide &amp; Settings'!$C$43*(IF($E1188="Win",1,0)-$I1188))</f>
        <v>0</v>
      </c>
      <c r="L1188" s="125">
        <f>IF($D1188="",0,'Guide &amp; Settings'!$C$44*IF($F1188&gt;=3,$F1188,0))</f>
        <v>0</v>
      </c>
      <c r="M1188" s="124">
        <f t="shared" si="363"/>
        <v>0</v>
      </c>
      <c r="N1188" s="122">
        <f t="shared" si="364"/>
        <v>0</v>
      </c>
      <c r="O1188" s="121" t="str">
        <f t="shared" si="365"/>
        <v/>
      </c>
      <c r="P1188">
        <f t="shared" si="366"/>
        <v>0</v>
      </c>
      <c r="Q1188">
        <f t="shared" si="367"/>
        <v>0</v>
      </c>
      <c r="R1188">
        <f t="shared" si="368"/>
        <v>0</v>
      </c>
      <c r="S1188">
        <f t="shared" si="369"/>
        <v>0</v>
      </c>
      <c r="T1188" s="89">
        <f t="shared" si="370"/>
        <v>0</v>
      </c>
      <c r="U1188" s="126">
        <f>IF($D1188="",0,IFERROR(LOOKUP(2,1/(($D$3:D1187=$D1188)*($C$3:C1187=$C1188)*($A$3:A1187&lt;$A1188)),$AB$3:AB1187),1000))</f>
        <v>0</v>
      </c>
      <c r="V1188" s="126">
        <f t="shared" si="371"/>
        <v>0</v>
      </c>
      <c r="W1188">
        <f t="shared" si="372"/>
        <v>0</v>
      </c>
      <c r="X1188">
        <f t="shared" si="373"/>
        <v>0</v>
      </c>
      <c r="Y1188">
        <f t="shared" si="374"/>
        <v>0</v>
      </c>
      <c r="Z1188">
        <f t="shared" si="375"/>
        <v>0</v>
      </c>
      <c r="AA1188">
        <f>IF($D1188="",0,IF($F1188&lt;2,0,IF($E1188="Win",('Guide &amp; Settings'!$C$42/(($F1188-1)*COUNTIFS($A$4:$A$1510,$A1188,$E$4:$E$1510,"Win")))*SUMIFS($Z$4:$Z$1510,$A$4:$A$1510,$A1188,$E$4:$E$1510,"Loss"),-('Guide &amp; Settings'!$C$42/($F1188-1))*$Z1188)))</f>
        <v>0</v>
      </c>
      <c r="AB1188" s="126">
        <f t="shared" si="376"/>
        <v>0</v>
      </c>
      <c r="AC1188" t="str">
        <f>IF($D1188="","",IF($AD1188=0,0,IF(COUNTIFS($D$4:$D1188,$D1188,$B$4:$B1188,$B1188)&gt;1,0,IF($B1188&lt;'Guide &amp; Settings'!$C$50,0,IF(($B1188-$AD1188)/7-'Guide &amp; Settings'!$C$48&gt;=0,(INT(($B1188-$AD1188)/7-'Guide &amp; Settings'!$C$48)+1)*'Guide &amp; Settings'!$C$49,0)))))</f>
        <v/>
      </c>
      <c r="AD1188" s="142">
        <f t="shared" si="377"/>
        <v>0</v>
      </c>
      <c r="AE1188">
        <f t="shared" si="378"/>
        <v>0</v>
      </c>
      <c r="AF1188">
        <f t="shared" si="379"/>
        <v>0</v>
      </c>
    </row>
    <row r="1189" spans="1:32" x14ac:dyDescent="0.2">
      <c r="A1189" s="117"/>
      <c r="B1189" s="118"/>
      <c r="C1189" s="119"/>
      <c r="D1189" s="119"/>
      <c r="E1189" s="117"/>
      <c r="F1189" s="120">
        <f t="shared" si="360"/>
        <v>0</v>
      </c>
      <c r="G1189" s="121" t="str">
        <f t="shared" si="361"/>
        <v/>
      </c>
      <c r="H1189" s="122">
        <f>IF($D1189="",0,IFERROR(LOOKUP(2,1/(($D$3:D1188=$D1189)*($A$3:A1188&lt;$A1189)),$N$3:N1188),'Guide &amp; Settings'!$C$41))</f>
        <v>0</v>
      </c>
      <c r="I1189" s="123">
        <f t="shared" si="362"/>
        <v>0</v>
      </c>
      <c r="J1189" s="124">
        <f>IF($D1189="",0,IF($F1189&lt;2,0,IF($E1189="Win",('Guide &amp; Settings'!$C$42/(($F1189-1)*COUNTIFS($A$4:$A$1510,$A1189,$E$4:$E$1510,"Win")))*SUMIFS($X$4:$X$1510,$A$4:$A$1510,$A1189,$E$4:$E$1510,"Loss"),-('Guide &amp; Settings'!$C$42/($F1189-1))*$X1189)))</f>
        <v>0</v>
      </c>
      <c r="K1189" s="124">
        <f>IF($D1189="",0,'Guide &amp; Settings'!$C$43*(IF($E1189="Win",1,0)-$I1189))</f>
        <v>0</v>
      </c>
      <c r="L1189" s="125">
        <f>IF($D1189="",0,'Guide &amp; Settings'!$C$44*IF($F1189&gt;=3,$F1189,0))</f>
        <v>0</v>
      </c>
      <c r="M1189" s="124">
        <f t="shared" si="363"/>
        <v>0</v>
      </c>
      <c r="N1189" s="122">
        <f t="shared" si="364"/>
        <v>0</v>
      </c>
      <c r="O1189" s="121" t="str">
        <f t="shared" si="365"/>
        <v/>
      </c>
      <c r="P1189">
        <f t="shared" si="366"/>
        <v>0</v>
      </c>
      <c r="Q1189">
        <f t="shared" si="367"/>
        <v>0</v>
      </c>
      <c r="R1189">
        <f t="shared" si="368"/>
        <v>0</v>
      </c>
      <c r="S1189">
        <f t="shared" si="369"/>
        <v>0</v>
      </c>
      <c r="T1189" s="89">
        <f t="shared" si="370"/>
        <v>0</v>
      </c>
      <c r="U1189" s="126">
        <f>IF($D1189="",0,IFERROR(LOOKUP(2,1/(($D$3:D1188=$D1189)*($C$3:C1188=$C1189)*($A$3:A1188&lt;$A1189)),$AB$3:AB1188),1000))</f>
        <v>0</v>
      </c>
      <c r="V1189" s="126">
        <f t="shared" si="371"/>
        <v>0</v>
      </c>
      <c r="W1189">
        <f t="shared" si="372"/>
        <v>0</v>
      </c>
      <c r="X1189">
        <f t="shared" si="373"/>
        <v>0</v>
      </c>
      <c r="Y1189">
        <f t="shared" si="374"/>
        <v>0</v>
      </c>
      <c r="Z1189">
        <f t="shared" si="375"/>
        <v>0</v>
      </c>
      <c r="AA1189">
        <f>IF($D1189="",0,IF($F1189&lt;2,0,IF($E1189="Win",('Guide &amp; Settings'!$C$42/(($F1189-1)*COUNTIFS($A$4:$A$1510,$A1189,$E$4:$E$1510,"Win")))*SUMIFS($Z$4:$Z$1510,$A$4:$A$1510,$A1189,$E$4:$E$1510,"Loss"),-('Guide &amp; Settings'!$C$42/($F1189-1))*$Z1189)))</f>
        <v>0</v>
      </c>
      <c r="AB1189" s="126">
        <f t="shared" si="376"/>
        <v>0</v>
      </c>
      <c r="AC1189" t="str">
        <f>IF($D1189="","",IF($AD1189=0,0,IF(COUNTIFS($D$4:$D1189,$D1189,$B$4:$B1189,$B1189)&gt;1,0,IF($B1189&lt;'Guide &amp; Settings'!$C$50,0,IF(($B1189-$AD1189)/7-'Guide &amp; Settings'!$C$48&gt;=0,(INT(($B1189-$AD1189)/7-'Guide &amp; Settings'!$C$48)+1)*'Guide &amp; Settings'!$C$49,0)))))</f>
        <v/>
      </c>
      <c r="AD1189" s="142">
        <f t="shared" si="377"/>
        <v>0</v>
      </c>
      <c r="AE1189">
        <f t="shared" si="378"/>
        <v>0</v>
      </c>
      <c r="AF1189">
        <f t="shared" si="379"/>
        <v>0</v>
      </c>
    </row>
    <row r="1190" spans="1:32" x14ac:dyDescent="0.2">
      <c r="A1190" s="117"/>
      <c r="B1190" s="118"/>
      <c r="C1190" s="119"/>
      <c r="D1190" s="119"/>
      <c r="E1190" s="117"/>
      <c r="F1190" s="120">
        <f t="shared" si="360"/>
        <v>0</v>
      </c>
      <c r="G1190" s="121" t="str">
        <f t="shared" si="361"/>
        <v/>
      </c>
      <c r="H1190" s="122">
        <f>IF($D1190="",0,IFERROR(LOOKUP(2,1/(($D$3:D1189=$D1190)*($A$3:A1189&lt;$A1190)),$N$3:N1189),'Guide &amp; Settings'!$C$41))</f>
        <v>0</v>
      </c>
      <c r="I1190" s="123">
        <f t="shared" si="362"/>
        <v>0</v>
      </c>
      <c r="J1190" s="124">
        <f>IF($D1190="",0,IF($F1190&lt;2,0,IF($E1190="Win",('Guide &amp; Settings'!$C$42/(($F1190-1)*COUNTIFS($A$4:$A$1510,$A1190,$E$4:$E$1510,"Win")))*SUMIFS($X$4:$X$1510,$A$4:$A$1510,$A1190,$E$4:$E$1510,"Loss"),-('Guide &amp; Settings'!$C$42/($F1190-1))*$X1190)))</f>
        <v>0</v>
      </c>
      <c r="K1190" s="124">
        <f>IF($D1190="",0,'Guide &amp; Settings'!$C$43*(IF($E1190="Win",1,0)-$I1190))</f>
        <v>0</v>
      </c>
      <c r="L1190" s="125">
        <f>IF($D1190="",0,'Guide &amp; Settings'!$C$44*IF($F1190&gt;=3,$F1190,0))</f>
        <v>0</v>
      </c>
      <c r="M1190" s="124">
        <f t="shared" si="363"/>
        <v>0</v>
      </c>
      <c r="N1190" s="122">
        <f t="shared" si="364"/>
        <v>0</v>
      </c>
      <c r="O1190" s="121" t="str">
        <f t="shared" si="365"/>
        <v/>
      </c>
      <c r="P1190">
        <f t="shared" si="366"/>
        <v>0</v>
      </c>
      <c r="Q1190">
        <f t="shared" si="367"/>
        <v>0</v>
      </c>
      <c r="R1190">
        <f t="shared" si="368"/>
        <v>0</v>
      </c>
      <c r="S1190">
        <f t="shared" si="369"/>
        <v>0</v>
      </c>
      <c r="T1190" s="89">
        <f t="shared" si="370"/>
        <v>0</v>
      </c>
      <c r="U1190" s="126">
        <f>IF($D1190="",0,IFERROR(LOOKUP(2,1/(($D$3:D1189=$D1190)*($C$3:C1189=$C1190)*($A$3:A1189&lt;$A1190)),$AB$3:AB1189),1000))</f>
        <v>0</v>
      </c>
      <c r="V1190" s="126">
        <f t="shared" si="371"/>
        <v>0</v>
      </c>
      <c r="W1190">
        <f t="shared" si="372"/>
        <v>0</v>
      </c>
      <c r="X1190">
        <f t="shared" si="373"/>
        <v>0</v>
      </c>
      <c r="Y1190">
        <f t="shared" si="374"/>
        <v>0</v>
      </c>
      <c r="Z1190">
        <f t="shared" si="375"/>
        <v>0</v>
      </c>
      <c r="AA1190">
        <f>IF($D1190="",0,IF($F1190&lt;2,0,IF($E1190="Win",('Guide &amp; Settings'!$C$42/(($F1190-1)*COUNTIFS($A$4:$A$1510,$A1190,$E$4:$E$1510,"Win")))*SUMIFS($Z$4:$Z$1510,$A$4:$A$1510,$A1190,$E$4:$E$1510,"Loss"),-('Guide &amp; Settings'!$C$42/($F1190-1))*$Z1190)))</f>
        <v>0</v>
      </c>
      <c r="AB1190" s="126">
        <f t="shared" si="376"/>
        <v>0</v>
      </c>
      <c r="AC1190" t="str">
        <f>IF($D1190="","",IF($AD1190=0,0,IF(COUNTIFS($D$4:$D1190,$D1190,$B$4:$B1190,$B1190)&gt;1,0,IF($B1190&lt;'Guide &amp; Settings'!$C$50,0,IF(($B1190-$AD1190)/7-'Guide &amp; Settings'!$C$48&gt;=0,(INT(($B1190-$AD1190)/7-'Guide &amp; Settings'!$C$48)+1)*'Guide &amp; Settings'!$C$49,0)))))</f>
        <v/>
      </c>
      <c r="AD1190" s="142">
        <f t="shared" si="377"/>
        <v>0</v>
      </c>
      <c r="AE1190">
        <f t="shared" si="378"/>
        <v>0</v>
      </c>
      <c r="AF1190">
        <f t="shared" si="379"/>
        <v>0</v>
      </c>
    </row>
    <row r="1191" spans="1:32" x14ac:dyDescent="0.2">
      <c r="A1191" s="117"/>
      <c r="B1191" s="118"/>
      <c r="C1191" s="119"/>
      <c r="D1191" s="119"/>
      <c r="E1191" s="117"/>
      <c r="F1191" s="120">
        <f t="shared" si="360"/>
        <v>0</v>
      </c>
      <c r="G1191" s="121" t="str">
        <f t="shared" si="361"/>
        <v/>
      </c>
      <c r="H1191" s="122">
        <f>IF($D1191="",0,IFERROR(LOOKUP(2,1/(($D$3:D1190=$D1191)*($A$3:A1190&lt;$A1191)),$N$3:N1190),'Guide &amp; Settings'!$C$41))</f>
        <v>0</v>
      </c>
      <c r="I1191" s="123">
        <f t="shared" si="362"/>
        <v>0</v>
      </c>
      <c r="J1191" s="124">
        <f>IF($D1191="",0,IF($F1191&lt;2,0,IF($E1191="Win",('Guide &amp; Settings'!$C$42/(($F1191-1)*COUNTIFS($A$4:$A$1510,$A1191,$E$4:$E$1510,"Win")))*SUMIFS($X$4:$X$1510,$A$4:$A$1510,$A1191,$E$4:$E$1510,"Loss"),-('Guide &amp; Settings'!$C$42/($F1191-1))*$X1191)))</f>
        <v>0</v>
      </c>
      <c r="K1191" s="124">
        <f>IF($D1191="",0,'Guide &amp; Settings'!$C$43*(IF($E1191="Win",1,0)-$I1191))</f>
        <v>0</v>
      </c>
      <c r="L1191" s="125">
        <f>IF($D1191="",0,'Guide &amp; Settings'!$C$44*IF($F1191&gt;=3,$F1191,0))</f>
        <v>0</v>
      </c>
      <c r="M1191" s="124">
        <f t="shared" si="363"/>
        <v>0</v>
      </c>
      <c r="N1191" s="122">
        <f t="shared" si="364"/>
        <v>0</v>
      </c>
      <c r="O1191" s="121" t="str">
        <f t="shared" si="365"/>
        <v/>
      </c>
      <c r="P1191">
        <f t="shared" si="366"/>
        <v>0</v>
      </c>
      <c r="Q1191">
        <f t="shared" si="367"/>
        <v>0</v>
      </c>
      <c r="R1191">
        <f t="shared" si="368"/>
        <v>0</v>
      </c>
      <c r="S1191">
        <f t="shared" si="369"/>
        <v>0</v>
      </c>
      <c r="T1191" s="89">
        <f t="shared" si="370"/>
        <v>0</v>
      </c>
      <c r="U1191" s="126">
        <f>IF($D1191="",0,IFERROR(LOOKUP(2,1/(($D$3:D1190=$D1191)*($C$3:C1190=$C1191)*($A$3:A1190&lt;$A1191)),$AB$3:AB1190),1000))</f>
        <v>0</v>
      </c>
      <c r="V1191" s="126">
        <f t="shared" si="371"/>
        <v>0</v>
      </c>
      <c r="W1191">
        <f t="shared" si="372"/>
        <v>0</v>
      </c>
      <c r="X1191">
        <f t="shared" si="373"/>
        <v>0</v>
      </c>
      <c r="Y1191">
        <f t="shared" si="374"/>
        <v>0</v>
      </c>
      <c r="Z1191">
        <f t="shared" si="375"/>
        <v>0</v>
      </c>
      <c r="AA1191">
        <f>IF($D1191="",0,IF($F1191&lt;2,0,IF($E1191="Win",('Guide &amp; Settings'!$C$42/(($F1191-1)*COUNTIFS($A$4:$A$1510,$A1191,$E$4:$E$1510,"Win")))*SUMIFS($Z$4:$Z$1510,$A$4:$A$1510,$A1191,$E$4:$E$1510,"Loss"),-('Guide &amp; Settings'!$C$42/($F1191-1))*$Z1191)))</f>
        <v>0</v>
      </c>
      <c r="AB1191" s="126">
        <f t="shared" si="376"/>
        <v>0</v>
      </c>
      <c r="AC1191" t="str">
        <f>IF($D1191="","",IF($AD1191=0,0,IF(COUNTIFS($D$4:$D1191,$D1191,$B$4:$B1191,$B1191)&gt;1,0,IF($B1191&lt;'Guide &amp; Settings'!$C$50,0,IF(($B1191-$AD1191)/7-'Guide &amp; Settings'!$C$48&gt;=0,(INT(($B1191-$AD1191)/7-'Guide &amp; Settings'!$C$48)+1)*'Guide &amp; Settings'!$C$49,0)))))</f>
        <v/>
      </c>
      <c r="AD1191" s="142">
        <f t="shared" si="377"/>
        <v>0</v>
      </c>
      <c r="AE1191">
        <f t="shared" si="378"/>
        <v>0</v>
      </c>
      <c r="AF1191">
        <f t="shared" si="379"/>
        <v>0</v>
      </c>
    </row>
    <row r="1192" spans="1:32" x14ac:dyDescent="0.2">
      <c r="A1192" s="117"/>
      <c r="B1192" s="118"/>
      <c r="C1192" s="119"/>
      <c r="D1192" s="119"/>
      <c r="E1192" s="117"/>
      <c r="F1192" s="120">
        <f t="shared" si="360"/>
        <v>0</v>
      </c>
      <c r="G1192" s="121" t="str">
        <f t="shared" si="361"/>
        <v/>
      </c>
      <c r="H1192" s="122">
        <f>IF($D1192="",0,IFERROR(LOOKUP(2,1/(($D$3:D1191=$D1192)*($A$3:A1191&lt;$A1192)),$N$3:N1191),'Guide &amp; Settings'!$C$41))</f>
        <v>0</v>
      </c>
      <c r="I1192" s="123">
        <f t="shared" si="362"/>
        <v>0</v>
      </c>
      <c r="J1192" s="124">
        <f>IF($D1192="",0,IF($F1192&lt;2,0,IF($E1192="Win",('Guide &amp; Settings'!$C$42/(($F1192-1)*COUNTIFS($A$4:$A$1510,$A1192,$E$4:$E$1510,"Win")))*SUMIFS($X$4:$X$1510,$A$4:$A$1510,$A1192,$E$4:$E$1510,"Loss"),-('Guide &amp; Settings'!$C$42/($F1192-1))*$X1192)))</f>
        <v>0</v>
      </c>
      <c r="K1192" s="124">
        <f>IF($D1192="",0,'Guide &amp; Settings'!$C$43*(IF($E1192="Win",1,0)-$I1192))</f>
        <v>0</v>
      </c>
      <c r="L1192" s="125">
        <f>IF($D1192="",0,'Guide &amp; Settings'!$C$44*IF($F1192&gt;=3,$F1192,0))</f>
        <v>0</v>
      </c>
      <c r="M1192" s="124">
        <f t="shared" si="363"/>
        <v>0</v>
      </c>
      <c r="N1192" s="122">
        <f t="shared" si="364"/>
        <v>0</v>
      </c>
      <c r="O1192" s="121" t="str">
        <f t="shared" si="365"/>
        <v/>
      </c>
      <c r="P1192">
        <f t="shared" si="366"/>
        <v>0</v>
      </c>
      <c r="Q1192">
        <f t="shared" si="367"/>
        <v>0</v>
      </c>
      <c r="R1192">
        <f t="shared" si="368"/>
        <v>0</v>
      </c>
      <c r="S1192">
        <f t="shared" si="369"/>
        <v>0</v>
      </c>
      <c r="T1192" s="89">
        <f t="shared" si="370"/>
        <v>0</v>
      </c>
      <c r="U1192" s="126">
        <f>IF($D1192="",0,IFERROR(LOOKUP(2,1/(($D$3:D1191=$D1192)*($C$3:C1191=$C1192)*($A$3:A1191&lt;$A1192)),$AB$3:AB1191),1000))</f>
        <v>0</v>
      </c>
      <c r="V1192" s="126">
        <f t="shared" si="371"/>
        <v>0</v>
      </c>
      <c r="W1192">
        <f t="shared" si="372"/>
        <v>0</v>
      </c>
      <c r="X1192">
        <f t="shared" si="373"/>
        <v>0</v>
      </c>
      <c r="Y1192">
        <f t="shared" si="374"/>
        <v>0</v>
      </c>
      <c r="Z1192">
        <f t="shared" si="375"/>
        <v>0</v>
      </c>
      <c r="AA1192">
        <f>IF($D1192="",0,IF($F1192&lt;2,0,IF($E1192="Win",('Guide &amp; Settings'!$C$42/(($F1192-1)*COUNTIFS($A$4:$A$1510,$A1192,$E$4:$E$1510,"Win")))*SUMIFS($Z$4:$Z$1510,$A$4:$A$1510,$A1192,$E$4:$E$1510,"Loss"),-('Guide &amp; Settings'!$C$42/($F1192-1))*$Z1192)))</f>
        <v>0</v>
      </c>
      <c r="AB1192" s="126">
        <f t="shared" si="376"/>
        <v>0</v>
      </c>
      <c r="AC1192" t="str">
        <f>IF($D1192="","",IF($AD1192=0,0,IF(COUNTIFS($D$4:$D1192,$D1192,$B$4:$B1192,$B1192)&gt;1,0,IF($B1192&lt;'Guide &amp; Settings'!$C$50,0,IF(($B1192-$AD1192)/7-'Guide &amp; Settings'!$C$48&gt;=0,(INT(($B1192-$AD1192)/7-'Guide &amp; Settings'!$C$48)+1)*'Guide &amp; Settings'!$C$49,0)))))</f>
        <v/>
      </c>
      <c r="AD1192" s="142">
        <f t="shared" si="377"/>
        <v>0</v>
      </c>
      <c r="AE1192">
        <f t="shared" si="378"/>
        <v>0</v>
      </c>
      <c r="AF1192">
        <f t="shared" si="379"/>
        <v>0</v>
      </c>
    </row>
    <row r="1193" spans="1:32" x14ac:dyDescent="0.2">
      <c r="A1193" s="117"/>
      <c r="B1193" s="118"/>
      <c r="C1193" s="119"/>
      <c r="D1193" s="119"/>
      <c r="E1193" s="117"/>
      <c r="F1193" s="120">
        <f t="shared" si="360"/>
        <v>0</v>
      </c>
      <c r="G1193" s="121" t="str">
        <f t="shared" si="361"/>
        <v/>
      </c>
      <c r="H1193" s="122">
        <f>IF($D1193="",0,IFERROR(LOOKUP(2,1/(($D$3:D1192=$D1193)*($A$3:A1192&lt;$A1193)),$N$3:N1192),'Guide &amp; Settings'!$C$41))</f>
        <v>0</v>
      </c>
      <c r="I1193" s="123">
        <f t="shared" si="362"/>
        <v>0</v>
      </c>
      <c r="J1193" s="124">
        <f>IF($D1193="",0,IF($F1193&lt;2,0,IF($E1193="Win",('Guide &amp; Settings'!$C$42/(($F1193-1)*COUNTIFS($A$4:$A$1510,$A1193,$E$4:$E$1510,"Win")))*SUMIFS($X$4:$X$1510,$A$4:$A$1510,$A1193,$E$4:$E$1510,"Loss"),-('Guide &amp; Settings'!$C$42/($F1193-1))*$X1193)))</f>
        <v>0</v>
      </c>
      <c r="K1193" s="124">
        <f>IF($D1193="",0,'Guide &amp; Settings'!$C$43*(IF($E1193="Win",1,0)-$I1193))</f>
        <v>0</v>
      </c>
      <c r="L1193" s="125">
        <f>IF($D1193="",0,'Guide &amp; Settings'!$C$44*IF($F1193&gt;=3,$F1193,0))</f>
        <v>0</v>
      </c>
      <c r="M1193" s="124">
        <f t="shared" si="363"/>
        <v>0</v>
      </c>
      <c r="N1193" s="122">
        <f t="shared" si="364"/>
        <v>0</v>
      </c>
      <c r="O1193" s="121" t="str">
        <f t="shared" si="365"/>
        <v/>
      </c>
      <c r="P1193">
        <f t="shared" si="366"/>
        <v>0</v>
      </c>
      <c r="Q1193">
        <f t="shared" si="367"/>
        <v>0</v>
      </c>
      <c r="R1193">
        <f t="shared" si="368"/>
        <v>0</v>
      </c>
      <c r="S1193">
        <f t="shared" si="369"/>
        <v>0</v>
      </c>
      <c r="T1193" s="89">
        <f t="shared" si="370"/>
        <v>0</v>
      </c>
      <c r="U1193" s="126">
        <f>IF($D1193="",0,IFERROR(LOOKUP(2,1/(($D$3:D1192=$D1193)*($C$3:C1192=$C1193)*($A$3:A1192&lt;$A1193)),$AB$3:AB1192),1000))</f>
        <v>0</v>
      </c>
      <c r="V1193" s="126">
        <f t="shared" si="371"/>
        <v>0</v>
      </c>
      <c r="W1193">
        <f t="shared" si="372"/>
        <v>0</v>
      </c>
      <c r="X1193">
        <f t="shared" si="373"/>
        <v>0</v>
      </c>
      <c r="Y1193">
        <f t="shared" si="374"/>
        <v>0</v>
      </c>
      <c r="Z1193">
        <f t="shared" si="375"/>
        <v>0</v>
      </c>
      <c r="AA1193">
        <f>IF($D1193="",0,IF($F1193&lt;2,0,IF($E1193="Win",('Guide &amp; Settings'!$C$42/(($F1193-1)*COUNTIFS($A$4:$A$1510,$A1193,$E$4:$E$1510,"Win")))*SUMIFS($Z$4:$Z$1510,$A$4:$A$1510,$A1193,$E$4:$E$1510,"Loss"),-('Guide &amp; Settings'!$C$42/($F1193-1))*$Z1193)))</f>
        <v>0</v>
      </c>
      <c r="AB1193" s="126">
        <f t="shared" si="376"/>
        <v>0</v>
      </c>
      <c r="AC1193" t="str">
        <f>IF($D1193="","",IF($AD1193=0,0,IF(COUNTIFS($D$4:$D1193,$D1193,$B$4:$B1193,$B1193)&gt;1,0,IF($B1193&lt;'Guide &amp; Settings'!$C$50,0,IF(($B1193-$AD1193)/7-'Guide &amp; Settings'!$C$48&gt;=0,(INT(($B1193-$AD1193)/7-'Guide &amp; Settings'!$C$48)+1)*'Guide &amp; Settings'!$C$49,0)))))</f>
        <v/>
      </c>
      <c r="AD1193" s="142">
        <f t="shared" si="377"/>
        <v>0</v>
      </c>
      <c r="AE1193">
        <f t="shared" si="378"/>
        <v>0</v>
      </c>
      <c r="AF1193">
        <f t="shared" si="379"/>
        <v>0</v>
      </c>
    </row>
    <row r="1194" spans="1:32" x14ac:dyDescent="0.2">
      <c r="A1194" s="117"/>
      <c r="B1194" s="118"/>
      <c r="C1194" s="119"/>
      <c r="D1194" s="119"/>
      <c r="E1194" s="117"/>
      <c r="F1194" s="120">
        <f t="shared" si="360"/>
        <v>0</v>
      </c>
      <c r="G1194" s="121" t="str">
        <f t="shared" si="361"/>
        <v/>
      </c>
      <c r="H1194" s="122">
        <f>IF($D1194="",0,IFERROR(LOOKUP(2,1/(($D$3:D1193=$D1194)*($A$3:A1193&lt;$A1194)),$N$3:N1193),'Guide &amp; Settings'!$C$41))</f>
        <v>0</v>
      </c>
      <c r="I1194" s="123">
        <f t="shared" si="362"/>
        <v>0</v>
      </c>
      <c r="J1194" s="124">
        <f>IF($D1194="",0,IF($F1194&lt;2,0,IF($E1194="Win",('Guide &amp; Settings'!$C$42/(($F1194-1)*COUNTIFS($A$4:$A$1510,$A1194,$E$4:$E$1510,"Win")))*SUMIFS($X$4:$X$1510,$A$4:$A$1510,$A1194,$E$4:$E$1510,"Loss"),-('Guide &amp; Settings'!$C$42/($F1194-1))*$X1194)))</f>
        <v>0</v>
      </c>
      <c r="K1194" s="124">
        <f>IF($D1194="",0,'Guide &amp; Settings'!$C$43*(IF($E1194="Win",1,0)-$I1194))</f>
        <v>0</v>
      </c>
      <c r="L1194" s="125">
        <f>IF($D1194="",0,'Guide &amp; Settings'!$C$44*IF($F1194&gt;=3,$F1194,0))</f>
        <v>0</v>
      </c>
      <c r="M1194" s="124">
        <f t="shared" si="363"/>
        <v>0</v>
      </c>
      <c r="N1194" s="122">
        <f t="shared" si="364"/>
        <v>0</v>
      </c>
      <c r="O1194" s="121" t="str">
        <f t="shared" si="365"/>
        <v/>
      </c>
      <c r="P1194">
        <f t="shared" si="366"/>
        <v>0</v>
      </c>
      <c r="Q1194">
        <f t="shared" si="367"/>
        <v>0</v>
      </c>
      <c r="R1194">
        <f t="shared" si="368"/>
        <v>0</v>
      </c>
      <c r="S1194">
        <f t="shared" si="369"/>
        <v>0</v>
      </c>
      <c r="T1194" s="89">
        <f t="shared" si="370"/>
        <v>0</v>
      </c>
      <c r="U1194" s="126">
        <f>IF($D1194="",0,IFERROR(LOOKUP(2,1/(($D$3:D1193=$D1194)*($C$3:C1193=$C1194)*($A$3:A1193&lt;$A1194)),$AB$3:AB1193),1000))</f>
        <v>0</v>
      </c>
      <c r="V1194" s="126">
        <f t="shared" si="371"/>
        <v>0</v>
      </c>
      <c r="W1194">
        <f t="shared" si="372"/>
        <v>0</v>
      </c>
      <c r="X1194">
        <f t="shared" si="373"/>
        <v>0</v>
      </c>
      <c r="Y1194">
        <f t="shared" si="374"/>
        <v>0</v>
      </c>
      <c r="Z1194">
        <f t="shared" si="375"/>
        <v>0</v>
      </c>
      <c r="AA1194">
        <f>IF($D1194="",0,IF($F1194&lt;2,0,IF($E1194="Win",('Guide &amp; Settings'!$C$42/(($F1194-1)*COUNTIFS($A$4:$A$1510,$A1194,$E$4:$E$1510,"Win")))*SUMIFS($Z$4:$Z$1510,$A$4:$A$1510,$A1194,$E$4:$E$1510,"Loss"),-('Guide &amp; Settings'!$C$42/($F1194-1))*$Z1194)))</f>
        <v>0</v>
      </c>
      <c r="AB1194" s="126">
        <f t="shared" si="376"/>
        <v>0</v>
      </c>
      <c r="AC1194" t="str">
        <f>IF($D1194="","",IF($AD1194=0,0,IF(COUNTIFS($D$4:$D1194,$D1194,$B$4:$B1194,$B1194)&gt;1,0,IF($B1194&lt;'Guide &amp; Settings'!$C$50,0,IF(($B1194-$AD1194)/7-'Guide &amp; Settings'!$C$48&gt;=0,(INT(($B1194-$AD1194)/7-'Guide &amp; Settings'!$C$48)+1)*'Guide &amp; Settings'!$C$49,0)))))</f>
        <v/>
      </c>
      <c r="AD1194" s="142">
        <f t="shared" si="377"/>
        <v>0</v>
      </c>
      <c r="AE1194">
        <f t="shared" si="378"/>
        <v>0</v>
      </c>
      <c r="AF1194">
        <f t="shared" si="379"/>
        <v>0</v>
      </c>
    </row>
    <row r="1195" spans="1:32" x14ac:dyDescent="0.2">
      <c r="A1195" s="117"/>
      <c r="B1195" s="118"/>
      <c r="C1195" s="119"/>
      <c r="D1195" s="119"/>
      <c r="E1195" s="117"/>
      <c r="F1195" s="120">
        <f t="shared" si="360"/>
        <v>0</v>
      </c>
      <c r="G1195" s="121" t="str">
        <f t="shared" si="361"/>
        <v/>
      </c>
      <c r="H1195" s="122">
        <f>IF($D1195="",0,IFERROR(LOOKUP(2,1/(($D$3:D1194=$D1195)*($A$3:A1194&lt;$A1195)),$N$3:N1194),'Guide &amp; Settings'!$C$41))</f>
        <v>0</v>
      </c>
      <c r="I1195" s="123">
        <f t="shared" si="362"/>
        <v>0</v>
      </c>
      <c r="J1195" s="124">
        <f>IF($D1195="",0,IF($F1195&lt;2,0,IF($E1195="Win",('Guide &amp; Settings'!$C$42/(($F1195-1)*COUNTIFS($A$4:$A$1510,$A1195,$E$4:$E$1510,"Win")))*SUMIFS($X$4:$X$1510,$A$4:$A$1510,$A1195,$E$4:$E$1510,"Loss"),-('Guide &amp; Settings'!$C$42/($F1195-1))*$X1195)))</f>
        <v>0</v>
      </c>
      <c r="K1195" s="124">
        <f>IF($D1195="",0,'Guide &amp; Settings'!$C$43*(IF($E1195="Win",1,0)-$I1195))</f>
        <v>0</v>
      </c>
      <c r="L1195" s="125">
        <f>IF($D1195="",0,'Guide &amp; Settings'!$C$44*IF($F1195&gt;=3,$F1195,0))</f>
        <v>0</v>
      </c>
      <c r="M1195" s="124">
        <f t="shared" si="363"/>
        <v>0</v>
      </c>
      <c r="N1195" s="122">
        <f t="shared" si="364"/>
        <v>0</v>
      </c>
      <c r="O1195" s="121" t="str">
        <f t="shared" si="365"/>
        <v/>
      </c>
      <c r="P1195">
        <f t="shared" si="366"/>
        <v>0</v>
      </c>
      <c r="Q1195">
        <f t="shared" si="367"/>
        <v>0</v>
      </c>
      <c r="R1195">
        <f t="shared" si="368"/>
        <v>0</v>
      </c>
      <c r="S1195">
        <f t="shared" si="369"/>
        <v>0</v>
      </c>
      <c r="T1195" s="89">
        <f t="shared" si="370"/>
        <v>0</v>
      </c>
      <c r="U1195" s="126">
        <f>IF($D1195="",0,IFERROR(LOOKUP(2,1/(($D$3:D1194=$D1195)*($C$3:C1194=$C1195)*($A$3:A1194&lt;$A1195)),$AB$3:AB1194),1000))</f>
        <v>0</v>
      </c>
      <c r="V1195" s="126">
        <f t="shared" si="371"/>
        <v>0</v>
      </c>
      <c r="W1195">
        <f t="shared" si="372"/>
        <v>0</v>
      </c>
      <c r="X1195">
        <f t="shared" si="373"/>
        <v>0</v>
      </c>
      <c r="Y1195">
        <f t="shared" si="374"/>
        <v>0</v>
      </c>
      <c r="Z1195">
        <f t="shared" si="375"/>
        <v>0</v>
      </c>
      <c r="AA1195">
        <f>IF($D1195="",0,IF($F1195&lt;2,0,IF($E1195="Win",('Guide &amp; Settings'!$C$42/(($F1195-1)*COUNTIFS($A$4:$A$1510,$A1195,$E$4:$E$1510,"Win")))*SUMIFS($Z$4:$Z$1510,$A$4:$A$1510,$A1195,$E$4:$E$1510,"Loss"),-('Guide &amp; Settings'!$C$42/($F1195-1))*$Z1195)))</f>
        <v>0</v>
      </c>
      <c r="AB1195" s="126">
        <f t="shared" si="376"/>
        <v>0</v>
      </c>
      <c r="AC1195" t="str">
        <f>IF($D1195="","",IF($AD1195=0,0,IF(COUNTIFS($D$4:$D1195,$D1195,$B$4:$B1195,$B1195)&gt;1,0,IF($B1195&lt;'Guide &amp; Settings'!$C$50,0,IF(($B1195-$AD1195)/7-'Guide &amp; Settings'!$C$48&gt;=0,(INT(($B1195-$AD1195)/7-'Guide &amp; Settings'!$C$48)+1)*'Guide &amp; Settings'!$C$49,0)))))</f>
        <v/>
      </c>
      <c r="AD1195" s="142">
        <f t="shared" si="377"/>
        <v>0</v>
      </c>
      <c r="AE1195">
        <f t="shared" si="378"/>
        <v>0</v>
      </c>
      <c r="AF1195">
        <f t="shared" si="379"/>
        <v>0</v>
      </c>
    </row>
    <row r="1196" spans="1:32" x14ac:dyDescent="0.2">
      <c r="A1196" s="117"/>
      <c r="B1196" s="118"/>
      <c r="C1196" s="119"/>
      <c r="D1196" s="119"/>
      <c r="E1196" s="117"/>
      <c r="F1196" s="120">
        <f t="shared" si="360"/>
        <v>0</v>
      </c>
      <c r="G1196" s="121" t="str">
        <f t="shared" si="361"/>
        <v/>
      </c>
      <c r="H1196" s="122">
        <f>IF($D1196="",0,IFERROR(LOOKUP(2,1/(($D$3:D1195=$D1196)*($A$3:A1195&lt;$A1196)),$N$3:N1195),'Guide &amp; Settings'!$C$41))</f>
        <v>0</v>
      </c>
      <c r="I1196" s="123">
        <f t="shared" si="362"/>
        <v>0</v>
      </c>
      <c r="J1196" s="124">
        <f>IF($D1196="",0,IF($F1196&lt;2,0,IF($E1196="Win",('Guide &amp; Settings'!$C$42/(($F1196-1)*COUNTIFS($A$4:$A$1510,$A1196,$E$4:$E$1510,"Win")))*SUMIFS($X$4:$X$1510,$A$4:$A$1510,$A1196,$E$4:$E$1510,"Loss"),-('Guide &amp; Settings'!$C$42/($F1196-1))*$X1196)))</f>
        <v>0</v>
      </c>
      <c r="K1196" s="124">
        <f>IF($D1196="",0,'Guide &amp; Settings'!$C$43*(IF($E1196="Win",1,0)-$I1196))</f>
        <v>0</v>
      </c>
      <c r="L1196" s="125">
        <f>IF($D1196="",0,'Guide &amp; Settings'!$C$44*IF($F1196&gt;=3,$F1196,0))</f>
        <v>0</v>
      </c>
      <c r="M1196" s="124">
        <f t="shared" si="363"/>
        <v>0</v>
      </c>
      <c r="N1196" s="122">
        <f t="shared" si="364"/>
        <v>0</v>
      </c>
      <c r="O1196" s="121" t="str">
        <f t="shared" si="365"/>
        <v/>
      </c>
      <c r="P1196">
        <f t="shared" si="366"/>
        <v>0</v>
      </c>
      <c r="Q1196">
        <f t="shared" si="367"/>
        <v>0</v>
      </c>
      <c r="R1196">
        <f t="shared" si="368"/>
        <v>0</v>
      </c>
      <c r="S1196">
        <f t="shared" si="369"/>
        <v>0</v>
      </c>
      <c r="T1196" s="89">
        <f t="shared" si="370"/>
        <v>0</v>
      </c>
      <c r="U1196" s="126">
        <f>IF($D1196="",0,IFERROR(LOOKUP(2,1/(($D$3:D1195=$D1196)*($C$3:C1195=$C1196)*($A$3:A1195&lt;$A1196)),$AB$3:AB1195),1000))</f>
        <v>0</v>
      </c>
      <c r="V1196" s="126">
        <f t="shared" si="371"/>
        <v>0</v>
      </c>
      <c r="W1196">
        <f t="shared" si="372"/>
        <v>0</v>
      </c>
      <c r="X1196">
        <f t="shared" si="373"/>
        <v>0</v>
      </c>
      <c r="Y1196">
        <f t="shared" si="374"/>
        <v>0</v>
      </c>
      <c r="Z1196">
        <f t="shared" si="375"/>
        <v>0</v>
      </c>
      <c r="AA1196">
        <f>IF($D1196="",0,IF($F1196&lt;2,0,IF($E1196="Win",('Guide &amp; Settings'!$C$42/(($F1196-1)*COUNTIFS($A$4:$A$1510,$A1196,$E$4:$E$1510,"Win")))*SUMIFS($Z$4:$Z$1510,$A$4:$A$1510,$A1196,$E$4:$E$1510,"Loss"),-('Guide &amp; Settings'!$C$42/($F1196-1))*$Z1196)))</f>
        <v>0</v>
      </c>
      <c r="AB1196" s="126">
        <f t="shared" si="376"/>
        <v>0</v>
      </c>
      <c r="AC1196" t="str">
        <f>IF($D1196="","",IF($AD1196=0,0,IF(COUNTIFS($D$4:$D1196,$D1196,$B$4:$B1196,$B1196)&gt;1,0,IF($B1196&lt;'Guide &amp; Settings'!$C$50,0,IF(($B1196-$AD1196)/7-'Guide &amp; Settings'!$C$48&gt;=0,(INT(($B1196-$AD1196)/7-'Guide &amp; Settings'!$C$48)+1)*'Guide &amp; Settings'!$C$49,0)))))</f>
        <v/>
      </c>
      <c r="AD1196" s="142">
        <f t="shared" si="377"/>
        <v>0</v>
      </c>
      <c r="AE1196">
        <f t="shared" si="378"/>
        <v>0</v>
      </c>
      <c r="AF1196">
        <f t="shared" si="379"/>
        <v>0</v>
      </c>
    </row>
    <row r="1197" spans="1:32" x14ac:dyDescent="0.2">
      <c r="A1197" s="117"/>
      <c r="B1197" s="118"/>
      <c r="C1197" s="119"/>
      <c r="D1197" s="119"/>
      <c r="E1197" s="117"/>
      <c r="F1197" s="120">
        <f t="shared" si="360"/>
        <v>0</v>
      </c>
      <c r="G1197" s="121" t="str">
        <f t="shared" si="361"/>
        <v/>
      </c>
      <c r="H1197" s="122">
        <f>IF($D1197="",0,IFERROR(LOOKUP(2,1/(($D$3:D1196=$D1197)*($A$3:A1196&lt;$A1197)),$N$3:N1196),'Guide &amp; Settings'!$C$41))</f>
        <v>0</v>
      </c>
      <c r="I1197" s="123">
        <f t="shared" si="362"/>
        <v>0</v>
      </c>
      <c r="J1197" s="124">
        <f>IF($D1197="",0,IF($F1197&lt;2,0,IF($E1197="Win",('Guide &amp; Settings'!$C$42/(($F1197-1)*COUNTIFS($A$4:$A$1510,$A1197,$E$4:$E$1510,"Win")))*SUMIFS($X$4:$X$1510,$A$4:$A$1510,$A1197,$E$4:$E$1510,"Loss"),-('Guide &amp; Settings'!$C$42/($F1197-1))*$X1197)))</f>
        <v>0</v>
      </c>
      <c r="K1197" s="124">
        <f>IF($D1197="",0,'Guide &amp; Settings'!$C$43*(IF($E1197="Win",1,0)-$I1197))</f>
        <v>0</v>
      </c>
      <c r="L1197" s="125">
        <f>IF($D1197="",0,'Guide &amp; Settings'!$C$44*IF($F1197&gt;=3,$F1197,0))</f>
        <v>0</v>
      </c>
      <c r="M1197" s="124">
        <f t="shared" si="363"/>
        <v>0</v>
      </c>
      <c r="N1197" s="122">
        <f t="shared" si="364"/>
        <v>0</v>
      </c>
      <c r="O1197" s="121" t="str">
        <f t="shared" si="365"/>
        <v/>
      </c>
      <c r="P1197">
        <f t="shared" si="366"/>
        <v>0</v>
      </c>
      <c r="Q1197">
        <f t="shared" si="367"/>
        <v>0</v>
      </c>
      <c r="R1197">
        <f t="shared" si="368"/>
        <v>0</v>
      </c>
      <c r="S1197">
        <f t="shared" si="369"/>
        <v>0</v>
      </c>
      <c r="T1197" s="89">
        <f t="shared" si="370"/>
        <v>0</v>
      </c>
      <c r="U1197" s="126">
        <f>IF($D1197="",0,IFERROR(LOOKUP(2,1/(($D$3:D1196=$D1197)*($C$3:C1196=$C1197)*($A$3:A1196&lt;$A1197)),$AB$3:AB1196),1000))</f>
        <v>0</v>
      </c>
      <c r="V1197" s="126">
        <f t="shared" si="371"/>
        <v>0</v>
      </c>
      <c r="W1197">
        <f t="shared" si="372"/>
        <v>0</v>
      </c>
      <c r="X1197">
        <f t="shared" si="373"/>
        <v>0</v>
      </c>
      <c r="Y1197">
        <f t="shared" si="374"/>
        <v>0</v>
      </c>
      <c r="Z1197">
        <f t="shared" si="375"/>
        <v>0</v>
      </c>
      <c r="AA1197">
        <f>IF($D1197="",0,IF($F1197&lt;2,0,IF($E1197="Win",('Guide &amp; Settings'!$C$42/(($F1197-1)*COUNTIFS($A$4:$A$1510,$A1197,$E$4:$E$1510,"Win")))*SUMIFS($Z$4:$Z$1510,$A$4:$A$1510,$A1197,$E$4:$E$1510,"Loss"),-('Guide &amp; Settings'!$C$42/($F1197-1))*$Z1197)))</f>
        <v>0</v>
      </c>
      <c r="AB1197" s="126">
        <f t="shared" si="376"/>
        <v>0</v>
      </c>
      <c r="AC1197" t="str">
        <f>IF($D1197="","",IF($AD1197=0,0,IF(COUNTIFS($D$4:$D1197,$D1197,$B$4:$B1197,$B1197)&gt;1,0,IF($B1197&lt;'Guide &amp; Settings'!$C$50,0,IF(($B1197-$AD1197)/7-'Guide &amp; Settings'!$C$48&gt;=0,(INT(($B1197-$AD1197)/7-'Guide &amp; Settings'!$C$48)+1)*'Guide &amp; Settings'!$C$49,0)))))</f>
        <v/>
      </c>
      <c r="AD1197" s="142">
        <f t="shared" si="377"/>
        <v>0</v>
      </c>
      <c r="AE1197">
        <f t="shared" si="378"/>
        <v>0</v>
      </c>
      <c r="AF1197">
        <f t="shared" si="379"/>
        <v>0</v>
      </c>
    </row>
    <row r="1198" spans="1:32" x14ac:dyDescent="0.2">
      <c r="A1198" s="117"/>
      <c r="B1198" s="118"/>
      <c r="C1198" s="119"/>
      <c r="D1198" s="119"/>
      <c r="E1198" s="117"/>
      <c r="F1198" s="120">
        <f t="shared" si="360"/>
        <v>0</v>
      </c>
      <c r="G1198" s="121" t="str">
        <f t="shared" si="361"/>
        <v/>
      </c>
      <c r="H1198" s="122">
        <f>IF($D1198="",0,IFERROR(LOOKUP(2,1/(($D$3:D1197=$D1198)*($A$3:A1197&lt;$A1198)),$N$3:N1197),'Guide &amp; Settings'!$C$41))</f>
        <v>0</v>
      </c>
      <c r="I1198" s="123">
        <f t="shared" si="362"/>
        <v>0</v>
      </c>
      <c r="J1198" s="124">
        <f>IF($D1198="",0,IF($F1198&lt;2,0,IF($E1198="Win",('Guide &amp; Settings'!$C$42/(($F1198-1)*COUNTIFS($A$4:$A$1510,$A1198,$E$4:$E$1510,"Win")))*SUMIFS($X$4:$X$1510,$A$4:$A$1510,$A1198,$E$4:$E$1510,"Loss"),-('Guide &amp; Settings'!$C$42/($F1198-1))*$X1198)))</f>
        <v>0</v>
      </c>
      <c r="K1198" s="124">
        <f>IF($D1198="",0,'Guide &amp; Settings'!$C$43*(IF($E1198="Win",1,0)-$I1198))</f>
        <v>0</v>
      </c>
      <c r="L1198" s="125">
        <f>IF($D1198="",0,'Guide &amp; Settings'!$C$44*IF($F1198&gt;=3,$F1198,0))</f>
        <v>0</v>
      </c>
      <c r="M1198" s="124">
        <f t="shared" si="363"/>
        <v>0</v>
      </c>
      <c r="N1198" s="122">
        <f t="shared" si="364"/>
        <v>0</v>
      </c>
      <c r="O1198" s="121" t="str">
        <f t="shared" si="365"/>
        <v/>
      </c>
      <c r="P1198">
        <f t="shared" si="366"/>
        <v>0</v>
      </c>
      <c r="Q1198">
        <f t="shared" si="367"/>
        <v>0</v>
      </c>
      <c r="R1198">
        <f t="shared" si="368"/>
        <v>0</v>
      </c>
      <c r="S1198">
        <f t="shared" si="369"/>
        <v>0</v>
      </c>
      <c r="T1198" s="89">
        <f t="shared" si="370"/>
        <v>0</v>
      </c>
      <c r="U1198" s="126">
        <f>IF($D1198="",0,IFERROR(LOOKUP(2,1/(($D$3:D1197=$D1198)*($C$3:C1197=$C1198)*($A$3:A1197&lt;$A1198)),$AB$3:AB1197),1000))</f>
        <v>0</v>
      </c>
      <c r="V1198" s="126">
        <f t="shared" si="371"/>
        <v>0</v>
      </c>
      <c r="W1198">
        <f t="shared" si="372"/>
        <v>0</v>
      </c>
      <c r="X1198">
        <f t="shared" si="373"/>
        <v>0</v>
      </c>
      <c r="Y1198">
        <f t="shared" si="374"/>
        <v>0</v>
      </c>
      <c r="Z1198">
        <f t="shared" si="375"/>
        <v>0</v>
      </c>
      <c r="AA1198">
        <f>IF($D1198="",0,IF($F1198&lt;2,0,IF($E1198="Win",('Guide &amp; Settings'!$C$42/(($F1198-1)*COUNTIFS($A$4:$A$1510,$A1198,$E$4:$E$1510,"Win")))*SUMIFS($Z$4:$Z$1510,$A$4:$A$1510,$A1198,$E$4:$E$1510,"Loss"),-('Guide &amp; Settings'!$C$42/($F1198-1))*$Z1198)))</f>
        <v>0</v>
      </c>
      <c r="AB1198" s="126">
        <f t="shared" si="376"/>
        <v>0</v>
      </c>
      <c r="AC1198" t="str">
        <f>IF($D1198="","",IF($AD1198=0,0,IF(COUNTIFS($D$4:$D1198,$D1198,$B$4:$B1198,$B1198)&gt;1,0,IF($B1198&lt;'Guide &amp; Settings'!$C$50,0,IF(($B1198-$AD1198)/7-'Guide &amp; Settings'!$C$48&gt;=0,(INT(($B1198-$AD1198)/7-'Guide &amp; Settings'!$C$48)+1)*'Guide &amp; Settings'!$C$49,0)))))</f>
        <v/>
      </c>
      <c r="AD1198" s="142">
        <f t="shared" si="377"/>
        <v>0</v>
      </c>
      <c r="AE1198">
        <f t="shared" si="378"/>
        <v>0</v>
      </c>
      <c r="AF1198">
        <f t="shared" si="379"/>
        <v>0</v>
      </c>
    </row>
    <row r="1199" spans="1:32" x14ac:dyDescent="0.2">
      <c r="A1199" s="117"/>
      <c r="B1199" s="118"/>
      <c r="C1199" s="119"/>
      <c r="D1199" s="119"/>
      <c r="E1199" s="117"/>
      <c r="F1199" s="120">
        <f t="shared" si="360"/>
        <v>0</v>
      </c>
      <c r="G1199" s="121" t="str">
        <f t="shared" si="361"/>
        <v/>
      </c>
      <c r="H1199" s="122">
        <f>IF($D1199="",0,IFERROR(LOOKUP(2,1/(($D$3:D1198=$D1199)*($A$3:A1198&lt;$A1199)),$N$3:N1198),'Guide &amp; Settings'!$C$41))</f>
        <v>0</v>
      </c>
      <c r="I1199" s="123">
        <f t="shared" si="362"/>
        <v>0</v>
      </c>
      <c r="J1199" s="124">
        <f>IF($D1199="",0,IF($F1199&lt;2,0,IF($E1199="Win",('Guide &amp; Settings'!$C$42/(($F1199-1)*COUNTIFS($A$4:$A$1510,$A1199,$E$4:$E$1510,"Win")))*SUMIFS($X$4:$X$1510,$A$4:$A$1510,$A1199,$E$4:$E$1510,"Loss"),-('Guide &amp; Settings'!$C$42/($F1199-1))*$X1199)))</f>
        <v>0</v>
      </c>
      <c r="K1199" s="124">
        <f>IF($D1199="",0,'Guide &amp; Settings'!$C$43*(IF($E1199="Win",1,0)-$I1199))</f>
        <v>0</v>
      </c>
      <c r="L1199" s="125">
        <f>IF($D1199="",0,'Guide &amp; Settings'!$C$44*IF($F1199&gt;=3,$F1199,0))</f>
        <v>0</v>
      </c>
      <c r="M1199" s="124">
        <f t="shared" si="363"/>
        <v>0</v>
      </c>
      <c r="N1199" s="122">
        <f t="shared" si="364"/>
        <v>0</v>
      </c>
      <c r="O1199" s="121" t="str">
        <f t="shared" si="365"/>
        <v/>
      </c>
      <c r="P1199">
        <f t="shared" si="366"/>
        <v>0</v>
      </c>
      <c r="Q1199">
        <f t="shared" si="367"/>
        <v>0</v>
      </c>
      <c r="R1199">
        <f t="shared" si="368"/>
        <v>0</v>
      </c>
      <c r="S1199">
        <f t="shared" si="369"/>
        <v>0</v>
      </c>
      <c r="T1199" s="89">
        <f t="shared" si="370"/>
        <v>0</v>
      </c>
      <c r="U1199" s="126">
        <f>IF($D1199="",0,IFERROR(LOOKUP(2,1/(($D$3:D1198=$D1199)*($C$3:C1198=$C1199)*($A$3:A1198&lt;$A1199)),$AB$3:AB1198),1000))</f>
        <v>0</v>
      </c>
      <c r="V1199" s="126">
        <f t="shared" si="371"/>
        <v>0</v>
      </c>
      <c r="W1199">
        <f t="shared" si="372"/>
        <v>0</v>
      </c>
      <c r="X1199">
        <f t="shared" si="373"/>
        <v>0</v>
      </c>
      <c r="Y1199">
        <f t="shared" si="374"/>
        <v>0</v>
      </c>
      <c r="Z1199">
        <f t="shared" si="375"/>
        <v>0</v>
      </c>
      <c r="AA1199">
        <f>IF($D1199="",0,IF($F1199&lt;2,0,IF($E1199="Win",('Guide &amp; Settings'!$C$42/(($F1199-1)*COUNTIFS($A$4:$A$1510,$A1199,$E$4:$E$1510,"Win")))*SUMIFS($Z$4:$Z$1510,$A$4:$A$1510,$A1199,$E$4:$E$1510,"Loss"),-('Guide &amp; Settings'!$C$42/($F1199-1))*$Z1199)))</f>
        <v>0</v>
      </c>
      <c r="AB1199" s="126">
        <f t="shared" si="376"/>
        <v>0</v>
      </c>
      <c r="AC1199" t="str">
        <f>IF($D1199="","",IF($AD1199=0,0,IF(COUNTIFS($D$4:$D1199,$D1199,$B$4:$B1199,$B1199)&gt;1,0,IF($B1199&lt;'Guide &amp; Settings'!$C$50,0,IF(($B1199-$AD1199)/7-'Guide &amp; Settings'!$C$48&gt;=0,(INT(($B1199-$AD1199)/7-'Guide &amp; Settings'!$C$48)+1)*'Guide &amp; Settings'!$C$49,0)))))</f>
        <v/>
      </c>
      <c r="AD1199" s="142">
        <f t="shared" si="377"/>
        <v>0</v>
      </c>
      <c r="AE1199">
        <f t="shared" si="378"/>
        <v>0</v>
      </c>
      <c r="AF1199">
        <f t="shared" si="379"/>
        <v>0</v>
      </c>
    </row>
    <row r="1200" spans="1:32" x14ac:dyDescent="0.2">
      <c r="A1200" s="117"/>
      <c r="B1200" s="118"/>
      <c r="C1200" s="119"/>
      <c r="D1200" s="119"/>
      <c r="E1200" s="117"/>
      <c r="F1200" s="120">
        <f t="shared" si="360"/>
        <v>0</v>
      </c>
      <c r="G1200" s="121" t="str">
        <f t="shared" si="361"/>
        <v/>
      </c>
      <c r="H1200" s="122">
        <f>IF($D1200="",0,IFERROR(LOOKUP(2,1/(($D$3:D1199=$D1200)*($A$3:A1199&lt;$A1200)),$N$3:N1199),'Guide &amp; Settings'!$C$41))</f>
        <v>0</v>
      </c>
      <c r="I1200" s="123">
        <f t="shared" si="362"/>
        <v>0</v>
      </c>
      <c r="J1200" s="124">
        <f>IF($D1200="",0,IF($F1200&lt;2,0,IF($E1200="Win",('Guide &amp; Settings'!$C$42/(($F1200-1)*COUNTIFS($A$4:$A$1510,$A1200,$E$4:$E$1510,"Win")))*SUMIFS($X$4:$X$1510,$A$4:$A$1510,$A1200,$E$4:$E$1510,"Loss"),-('Guide &amp; Settings'!$C$42/($F1200-1))*$X1200)))</f>
        <v>0</v>
      </c>
      <c r="K1200" s="124">
        <f>IF($D1200="",0,'Guide &amp; Settings'!$C$43*(IF($E1200="Win",1,0)-$I1200))</f>
        <v>0</v>
      </c>
      <c r="L1200" s="125">
        <f>IF($D1200="",0,'Guide &amp; Settings'!$C$44*IF($F1200&gt;=3,$F1200,0))</f>
        <v>0</v>
      </c>
      <c r="M1200" s="124">
        <f t="shared" si="363"/>
        <v>0</v>
      </c>
      <c r="N1200" s="122">
        <f t="shared" si="364"/>
        <v>0</v>
      </c>
      <c r="O1200" s="121" t="str">
        <f t="shared" si="365"/>
        <v/>
      </c>
      <c r="P1200">
        <f t="shared" si="366"/>
        <v>0</v>
      </c>
      <c r="Q1200">
        <f t="shared" si="367"/>
        <v>0</v>
      </c>
      <c r="R1200">
        <f t="shared" si="368"/>
        <v>0</v>
      </c>
      <c r="S1200">
        <f t="shared" si="369"/>
        <v>0</v>
      </c>
      <c r="T1200" s="89">
        <f t="shared" si="370"/>
        <v>0</v>
      </c>
      <c r="U1200" s="126">
        <f>IF($D1200="",0,IFERROR(LOOKUP(2,1/(($D$3:D1199=$D1200)*($C$3:C1199=$C1200)*($A$3:A1199&lt;$A1200)),$AB$3:AB1199),1000))</f>
        <v>0</v>
      </c>
      <c r="V1200" s="126">
        <f t="shared" si="371"/>
        <v>0</v>
      </c>
      <c r="W1200">
        <f t="shared" si="372"/>
        <v>0</v>
      </c>
      <c r="X1200">
        <f t="shared" si="373"/>
        <v>0</v>
      </c>
      <c r="Y1200">
        <f t="shared" si="374"/>
        <v>0</v>
      </c>
      <c r="Z1200">
        <f t="shared" si="375"/>
        <v>0</v>
      </c>
      <c r="AA1200">
        <f>IF($D1200="",0,IF($F1200&lt;2,0,IF($E1200="Win",('Guide &amp; Settings'!$C$42/(($F1200-1)*COUNTIFS($A$4:$A$1510,$A1200,$E$4:$E$1510,"Win")))*SUMIFS($Z$4:$Z$1510,$A$4:$A$1510,$A1200,$E$4:$E$1510,"Loss"),-('Guide &amp; Settings'!$C$42/($F1200-1))*$Z1200)))</f>
        <v>0</v>
      </c>
      <c r="AB1200" s="126">
        <f t="shared" si="376"/>
        <v>0</v>
      </c>
      <c r="AC1200" t="str">
        <f>IF($D1200="","",IF($AD1200=0,0,IF(COUNTIFS($D$4:$D1200,$D1200,$B$4:$B1200,$B1200)&gt;1,0,IF($B1200&lt;'Guide &amp; Settings'!$C$50,0,IF(($B1200-$AD1200)/7-'Guide &amp; Settings'!$C$48&gt;=0,(INT(($B1200-$AD1200)/7-'Guide &amp; Settings'!$C$48)+1)*'Guide &amp; Settings'!$C$49,0)))))</f>
        <v/>
      </c>
      <c r="AD1200" s="142">
        <f t="shared" si="377"/>
        <v>0</v>
      </c>
      <c r="AE1200">
        <f t="shared" si="378"/>
        <v>0</v>
      </c>
      <c r="AF1200">
        <f t="shared" si="379"/>
        <v>0</v>
      </c>
    </row>
    <row r="1201" spans="1:32" x14ac:dyDescent="0.2">
      <c r="A1201" s="117"/>
      <c r="B1201" s="118"/>
      <c r="C1201" s="119"/>
      <c r="D1201" s="119"/>
      <c r="E1201" s="117"/>
      <c r="F1201" s="120">
        <f t="shared" si="360"/>
        <v>0</v>
      </c>
      <c r="G1201" s="121" t="str">
        <f t="shared" si="361"/>
        <v/>
      </c>
      <c r="H1201" s="122">
        <f>IF($D1201="",0,IFERROR(LOOKUP(2,1/(($D$3:D1200=$D1201)*($A$3:A1200&lt;$A1201)),$N$3:N1200),'Guide &amp; Settings'!$C$41))</f>
        <v>0</v>
      </c>
      <c r="I1201" s="123">
        <f t="shared" si="362"/>
        <v>0</v>
      </c>
      <c r="J1201" s="124">
        <f>IF($D1201="",0,IF($F1201&lt;2,0,IF($E1201="Win",('Guide &amp; Settings'!$C$42/(($F1201-1)*COUNTIFS($A$4:$A$1510,$A1201,$E$4:$E$1510,"Win")))*SUMIFS($X$4:$X$1510,$A$4:$A$1510,$A1201,$E$4:$E$1510,"Loss"),-('Guide &amp; Settings'!$C$42/($F1201-1))*$X1201)))</f>
        <v>0</v>
      </c>
      <c r="K1201" s="124">
        <f>IF($D1201="",0,'Guide &amp; Settings'!$C$43*(IF($E1201="Win",1,0)-$I1201))</f>
        <v>0</v>
      </c>
      <c r="L1201" s="125">
        <f>IF($D1201="",0,'Guide &amp; Settings'!$C$44*IF($F1201&gt;=3,$F1201,0))</f>
        <v>0</v>
      </c>
      <c r="M1201" s="124">
        <f t="shared" si="363"/>
        <v>0</v>
      </c>
      <c r="N1201" s="122">
        <f t="shared" si="364"/>
        <v>0</v>
      </c>
      <c r="O1201" s="121" t="str">
        <f t="shared" si="365"/>
        <v/>
      </c>
      <c r="P1201">
        <f t="shared" si="366"/>
        <v>0</v>
      </c>
      <c r="Q1201">
        <f t="shared" si="367"/>
        <v>0</v>
      </c>
      <c r="R1201">
        <f t="shared" si="368"/>
        <v>0</v>
      </c>
      <c r="S1201">
        <f t="shared" si="369"/>
        <v>0</v>
      </c>
      <c r="T1201" s="89">
        <f t="shared" si="370"/>
        <v>0</v>
      </c>
      <c r="U1201" s="126">
        <f>IF($D1201="",0,IFERROR(LOOKUP(2,1/(($D$3:D1200=$D1201)*($C$3:C1200=$C1201)*($A$3:A1200&lt;$A1201)),$AB$3:AB1200),1000))</f>
        <v>0</v>
      </c>
      <c r="V1201" s="126">
        <f t="shared" si="371"/>
        <v>0</v>
      </c>
      <c r="W1201">
        <f t="shared" si="372"/>
        <v>0</v>
      </c>
      <c r="X1201">
        <f t="shared" si="373"/>
        <v>0</v>
      </c>
      <c r="Y1201">
        <f t="shared" si="374"/>
        <v>0</v>
      </c>
      <c r="Z1201">
        <f t="shared" si="375"/>
        <v>0</v>
      </c>
      <c r="AA1201">
        <f>IF($D1201="",0,IF($F1201&lt;2,0,IF($E1201="Win",('Guide &amp; Settings'!$C$42/(($F1201-1)*COUNTIFS($A$4:$A$1510,$A1201,$E$4:$E$1510,"Win")))*SUMIFS($Z$4:$Z$1510,$A$4:$A$1510,$A1201,$E$4:$E$1510,"Loss"),-('Guide &amp; Settings'!$C$42/($F1201-1))*$Z1201)))</f>
        <v>0</v>
      </c>
      <c r="AB1201" s="126">
        <f t="shared" si="376"/>
        <v>0</v>
      </c>
      <c r="AC1201" t="str">
        <f>IF($D1201="","",IF($AD1201=0,0,IF(COUNTIFS($D$4:$D1201,$D1201,$B$4:$B1201,$B1201)&gt;1,0,IF($B1201&lt;'Guide &amp; Settings'!$C$50,0,IF(($B1201-$AD1201)/7-'Guide &amp; Settings'!$C$48&gt;=0,(INT(($B1201-$AD1201)/7-'Guide &amp; Settings'!$C$48)+1)*'Guide &amp; Settings'!$C$49,0)))))</f>
        <v/>
      </c>
      <c r="AD1201" s="142">
        <f t="shared" si="377"/>
        <v>0</v>
      </c>
      <c r="AE1201">
        <f t="shared" si="378"/>
        <v>0</v>
      </c>
      <c r="AF1201">
        <f t="shared" si="379"/>
        <v>0</v>
      </c>
    </row>
    <row r="1202" spans="1:32" x14ac:dyDescent="0.2">
      <c r="A1202" s="117"/>
      <c r="B1202" s="118"/>
      <c r="C1202" s="119"/>
      <c r="D1202" s="119"/>
      <c r="E1202" s="117"/>
      <c r="F1202" s="120">
        <f t="shared" si="360"/>
        <v>0</v>
      </c>
      <c r="G1202" s="121" t="str">
        <f t="shared" si="361"/>
        <v/>
      </c>
      <c r="H1202" s="122">
        <f>IF($D1202="",0,IFERROR(LOOKUP(2,1/(($D$3:D1201=$D1202)*($A$3:A1201&lt;$A1202)),$N$3:N1201),'Guide &amp; Settings'!$C$41))</f>
        <v>0</v>
      </c>
      <c r="I1202" s="123">
        <f t="shared" si="362"/>
        <v>0</v>
      </c>
      <c r="J1202" s="124">
        <f>IF($D1202="",0,IF($F1202&lt;2,0,IF($E1202="Win",('Guide &amp; Settings'!$C$42/(($F1202-1)*COUNTIFS($A$4:$A$1510,$A1202,$E$4:$E$1510,"Win")))*SUMIFS($X$4:$X$1510,$A$4:$A$1510,$A1202,$E$4:$E$1510,"Loss"),-('Guide &amp; Settings'!$C$42/($F1202-1))*$X1202)))</f>
        <v>0</v>
      </c>
      <c r="K1202" s="124">
        <f>IF($D1202="",0,'Guide &amp; Settings'!$C$43*(IF($E1202="Win",1,0)-$I1202))</f>
        <v>0</v>
      </c>
      <c r="L1202" s="125">
        <f>IF($D1202="",0,'Guide &amp; Settings'!$C$44*IF($F1202&gt;=3,$F1202,0))</f>
        <v>0</v>
      </c>
      <c r="M1202" s="124">
        <f t="shared" si="363"/>
        <v>0</v>
      </c>
      <c r="N1202" s="122">
        <f t="shared" si="364"/>
        <v>0</v>
      </c>
      <c r="O1202" s="121" t="str">
        <f t="shared" si="365"/>
        <v/>
      </c>
      <c r="P1202">
        <f t="shared" si="366"/>
        <v>0</v>
      </c>
      <c r="Q1202">
        <f t="shared" si="367"/>
        <v>0</v>
      </c>
      <c r="R1202">
        <f t="shared" si="368"/>
        <v>0</v>
      </c>
      <c r="S1202">
        <f t="shared" si="369"/>
        <v>0</v>
      </c>
      <c r="T1202" s="89">
        <f t="shared" si="370"/>
        <v>0</v>
      </c>
      <c r="U1202" s="126">
        <f>IF($D1202="",0,IFERROR(LOOKUP(2,1/(($D$3:D1201=$D1202)*($C$3:C1201=$C1202)*($A$3:A1201&lt;$A1202)),$AB$3:AB1201),1000))</f>
        <v>0</v>
      </c>
      <c r="V1202" s="126">
        <f t="shared" si="371"/>
        <v>0</v>
      </c>
      <c r="W1202">
        <f t="shared" si="372"/>
        <v>0</v>
      </c>
      <c r="X1202">
        <f t="shared" si="373"/>
        <v>0</v>
      </c>
      <c r="Y1202">
        <f t="shared" si="374"/>
        <v>0</v>
      </c>
      <c r="Z1202">
        <f t="shared" si="375"/>
        <v>0</v>
      </c>
      <c r="AA1202">
        <f>IF($D1202="",0,IF($F1202&lt;2,0,IF($E1202="Win",('Guide &amp; Settings'!$C$42/(($F1202-1)*COUNTIFS($A$4:$A$1510,$A1202,$E$4:$E$1510,"Win")))*SUMIFS($Z$4:$Z$1510,$A$4:$A$1510,$A1202,$E$4:$E$1510,"Loss"),-('Guide &amp; Settings'!$C$42/($F1202-1))*$Z1202)))</f>
        <v>0</v>
      </c>
      <c r="AB1202" s="126">
        <f t="shared" si="376"/>
        <v>0</v>
      </c>
      <c r="AC1202" t="str">
        <f>IF($D1202="","",IF($AD1202=0,0,IF(COUNTIFS($D$4:$D1202,$D1202,$B$4:$B1202,$B1202)&gt;1,0,IF($B1202&lt;'Guide &amp; Settings'!$C$50,0,IF(($B1202-$AD1202)/7-'Guide &amp; Settings'!$C$48&gt;=0,(INT(($B1202-$AD1202)/7-'Guide &amp; Settings'!$C$48)+1)*'Guide &amp; Settings'!$C$49,0)))))</f>
        <v/>
      </c>
      <c r="AD1202" s="142">
        <f t="shared" si="377"/>
        <v>0</v>
      </c>
      <c r="AE1202">
        <f t="shared" si="378"/>
        <v>0</v>
      </c>
      <c r="AF1202">
        <f t="shared" si="379"/>
        <v>0</v>
      </c>
    </row>
    <row r="1203" spans="1:32" x14ac:dyDescent="0.2">
      <c r="A1203" s="117"/>
      <c r="B1203" s="118"/>
      <c r="C1203" s="119"/>
      <c r="D1203" s="119"/>
      <c r="E1203" s="117"/>
      <c r="F1203" s="120">
        <f t="shared" si="360"/>
        <v>0</v>
      </c>
      <c r="G1203" s="121" t="str">
        <f t="shared" si="361"/>
        <v/>
      </c>
      <c r="H1203" s="122">
        <f>IF($D1203="",0,IFERROR(LOOKUP(2,1/(($D$3:D1202=$D1203)*($A$3:A1202&lt;$A1203)),$N$3:N1202),'Guide &amp; Settings'!$C$41))</f>
        <v>0</v>
      </c>
      <c r="I1203" s="123">
        <f t="shared" si="362"/>
        <v>0</v>
      </c>
      <c r="J1203" s="124">
        <f>IF($D1203="",0,IF($F1203&lt;2,0,IF($E1203="Win",('Guide &amp; Settings'!$C$42/(($F1203-1)*COUNTIFS($A$4:$A$1510,$A1203,$E$4:$E$1510,"Win")))*SUMIFS($X$4:$X$1510,$A$4:$A$1510,$A1203,$E$4:$E$1510,"Loss"),-('Guide &amp; Settings'!$C$42/($F1203-1))*$X1203)))</f>
        <v>0</v>
      </c>
      <c r="K1203" s="124">
        <f>IF($D1203="",0,'Guide &amp; Settings'!$C$43*(IF($E1203="Win",1,0)-$I1203))</f>
        <v>0</v>
      </c>
      <c r="L1203" s="125">
        <f>IF($D1203="",0,'Guide &amp; Settings'!$C$44*IF($F1203&gt;=3,$F1203,0))</f>
        <v>0</v>
      </c>
      <c r="M1203" s="124">
        <f t="shared" si="363"/>
        <v>0</v>
      </c>
      <c r="N1203" s="122">
        <f t="shared" si="364"/>
        <v>0</v>
      </c>
      <c r="O1203" s="121" t="str">
        <f t="shared" si="365"/>
        <v/>
      </c>
      <c r="P1203">
        <f t="shared" si="366"/>
        <v>0</v>
      </c>
      <c r="Q1203">
        <f t="shared" si="367"/>
        <v>0</v>
      </c>
      <c r="R1203">
        <f t="shared" si="368"/>
        <v>0</v>
      </c>
      <c r="S1203">
        <f t="shared" si="369"/>
        <v>0</v>
      </c>
      <c r="T1203" s="89">
        <f t="shared" si="370"/>
        <v>0</v>
      </c>
      <c r="U1203" s="126">
        <f>IF($D1203="",0,IFERROR(LOOKUP(2,1/(($D$3:D1202=$D1203)*($C$3:C1202=$C1203)*($A$3:A1202&lt;$A1203)),$AB$3:AB1202),1000))</f>
        <v>0</v>
      </c>
      <c r="V1203" s="126">
        <f t="shared" si="371"/>
        <v>0</v>
      </c>
      <c r="W1203">
        <f t="shared" si="372"/>
        <v>0</v>
      </c>
      <c r="X1203">
        <f t="shared" si="373"/>
        <v>0</v>
      </c>
      <c r="Y1203">
        <f t="shared" si="374"/>
        <v>0</v>
      </c>
      <c r="Z1203">
        <f t="shared" si="375"/>
        <v>0</v>
      </c>
      <c r="AA1203">
        <f>IF($D1203="",0,IF($F1203&lt;2,0,IF($E1203="Win",('Guide &amp; Settings'!$C$42/(($F1203-1)*COUNTIFS($A$4:$A$1510,$A1203,$E$4:$E$1510,"Win")))*SUMIFS($Z$4:$Z$1510,$A$4:$A$1510,$A1203,$E$4:$E$1510,"Loss"),-('Guide &amp; Settings'!$C$42/($F1203-1))*$Z1203)))</f>
        <v>0</v>
      </c>
      <c r="AB1203" s="126">
        <f t="shared" si="376"/>
        <v>0</v>
      </c>
      <c r="AC1203" t="str">
        <f>IF($D1203="","",IF($AD1203=0,0,IF(COUNTIFS($D$4:$D1203,$D1203,$B$4:$B1203,$B1203)&gt;1,0,IF($B1203&lt;'Guide &amp; Settings'!$C$50,0,IF(($B1203-$AD1203)/7-'Guide &amp; Settings'!$C$48&gt;=0,(INT(($B1203-$AD1203)/7-'Guide &amp; Settings'!$C$48)+1)*'Guide &amp; Settings'!$C$49,0)))))</f>
        <v/>
      </c>
      <c r="AD1203" s="142">
        <f t="shared" si="377"/>
        <v>0</v>
      </c>
      <c r="AE1203">
        <f t="shared" si="378"/>
        <v>0</v>
      </c>
      <c r="AF1203">
        <f t="shared" si="379"/>
        <v>0</v>
      </c>
    </row>
    <row r="1204" spans="1:32" x14ac:dyDescent="0.2">
      <c r="A1204" s="117"/>
      <c r="B1204" s="118"/>
      <c r="C1204" s="119"/>
      <c r="D1204" s="119"/>
      <c r="E1204" s="117"/>
      <c r="F1204" s="120">
        <f t="shared" si="360"/>
        <v>0</v>
      </c>
      <c r="G1204" s="121" t="str">
        <f t="shared" si="361"/>
        <v/>
      </c>
      <c r="H1204" s="122">
        <f>IF($D1204="",0,IFERROR(LOOKUP(2,1/(($D$3:D1203=$D1204)*($A$3:A1203&lt;$A1204)),$N$3:N1203),'Guide &amp; Settings'!$C$41))</f>
        <v>0</v>
      </c>
      <c r="I1204" s="123">
        <f t="shared" si="362"/>
        <v>0</v>
      </c>
      <c r="J1204" s="124">
        <f>IF($D1204="",0,IF($F1204&lt;2,0,IF($E1204="Win",('Guide &amp; Settings'!$C$42/(($F1204-1)*COUNTIFS($A$4:$A$1510,$A1204,$E$4:$E$1510,"Win")))*SUMIFS($X$4:$X$1510,$A$4:$A$1510,$A1204,$E$4:$E$1510,"Loss"),-('Guide &amp; Settings'!$C$42/($F1204-1))*$X1204)))</f>
        <v>0</v>
      </c>
      <c r="K1204" s="124">
        <f>IF($D1204="",0,'Guide &amp; Settings'!$C$43*(IF($E1204="Win",1,0)-$I1204))</f>
        <v>0</v>
      </c>
      <c r="L1204" s="125">
        <f>IF($D1204="",0,'Guide &amp; Settings'!$C$44*IF($F1204&gt;=3,$F1204,0))</f>
        <v>0</v>
      </c>
      <c r="M1204" s="124">
        <f t="shared" si="363"/>
        <v>0</v>
      </c>
      <c r="N1204" s="122">
        <f t="shared" si="364"/>
        <v>0</v>
      </c>
      <c r="O1204" s="121" t="str">
        <f t="shared" si="365"/>
        <v/>
      </c>
      <c r="P1204">
        <f t="shared" si="366"/>
        <v>0</v>
      </c>
      <c r="Q1204">
        <f t="shared" si="367"/>
        <v>0</v>
      </c>
      <c r="R1204">
        <f t="shared" si="368"/>
        <v>0</v>
      </c>
      <c r="S1204">
        <f t="shared" si="369"/>
        <v>0</v>
      </c>
      <c r="T1204" s="89">
        <f t="shared" si="370"/>
        <v>0</v>
      </c>
      <c r="U1204" s="126">
        <f>IF($D1204="",0,IFERROR(LOOKUP(2,1/(($D$3:D1203=$D1204)*($C$3:C1203=$C1204)*($A$3:A1203&lt;$A1204)),$AB$3:AB1203),1000))</f>
        <v>0</v>
      </c>
      <c r="V1204" s="126">
        <f t="shared" si="371"/>
        <v>0</v>
      </c>
      <c r="W1204">
        <f t="shared" si="372"/>
        <v>0</v>
      </c>
      <c r="X1204">
        <f t="shared" si="373"/>
        <v>0</v>
      </c>
      <c r="Y1204">
        <f t="shared" si="374"/>
        <v>0</v>
      </c>
      <c r="Z1204">
        <f t="shared" si="375"/>
        <v>0</v>
      </c>
      <c r="AA1204">
        <f>IF($D1204="",0,IF($F1204&lt;2,0,IF($E1204="Win",('Guide &amp; Settings'!$C$42/(($F1204-1)*COUNTIFS($A$4:$A$1510,$A1204,$E$4:$E$1510,"Win")))*SUMIFS($Z$4:$Z$1510,$A$4:$A$1510,$A1204,$E$4:$E$1510,"Loss"),-('Guide &amp; Settings'!$C$42/($F1204-1))*$Z1204)))</f>
        <v>0</v>
      </c>
      <c r="AB1204" s="126">
        <f t="shared" si="376"/>
        <v>0</v>
      </c>
      <c r="AC1204" t="str">
        <f>IF($D1204="","",IF($AD1204=0,0,IF(COUNTIFS($D$4:$D1204,$D1204,$B$4:$B1204,$B1204)&gt;1,0,IF($B1204&lt;'Guide &amp; Settings'!$C$50,0,IF(($B1204-$AD1204)/7-'Guide &amp; Settings'!$C$48&gt;=0,(INT(($B1204-$AD1204)/7-'Guide &amp; Settings'!$C$48)+1)*'Guide &amp; Settings'!$C$49,0)))))</f>
        <v/>
      </c>
      <c r="AD1204" s="142">
        <f t="shared" si="377"/>
        <v>0</v>
      </c>
      <c r="AE1204">
        <f t="shared" si="378"/>
        <v>0</v>
      </c>
      <c r="AF1204">
        <f t="shared" si="379"/>
        <v>0</v>
      </c>
    </row>
    <row r="1205" spans="1:32" x14ac:dyDescent="0.2">
      <c r="A1205" s="117"/>
      <c r="B1205" s="118"/>
      <c r="C1205" s="119"/>
      <c r="D1205" s="119"/>
      <c r="E1205" s="117"/>
      <c r="F1205" s="120">
        <f t="shared" si="360"/>
        <v>0</v>
      </c>
      <c r="G1205" s="121" t="str">
        <f t="shared" si="361"/>
        <v/>
      </c>
      <c r="H1205" s="122">
        <f>IF($D1205="",0,IFERROR(LOOKUP(2,1/(($D$3:D1204=$D1205)*($A$3:A1204&lt;$A1205)),$N$3:N1204),'Guide &amp; Settings'!$C$41))</f>
        <v>0</v>
      </c>
      <c r="I1205" s="123">
        <f t="shared" si="362"/>
        <v>0</v>
      </c>
      <c r="J1205" s="124">
        <f>IF($D1205="",0,IF($F1205&lt;2,0,IF($E1205="Win",('Guide &amp; Settings'!$C$42/(($F1205-1)*COUNTIFS($A$4:$A$1510,$A1205,$E$4:$E$1510,"Win")))*SUMIFS($X$4:$X$1510,$A$4:$A$1510,$A1205,$E$4:$E$1510,"Loss"),-('Guide &amp; Settings'!$C$42/($F1205-1))*$X1205)))</f>
        <v>0</v>
      </c>
      <c r="K1205" s="124">
        <f>IF($D1205="",0,'Guide &amp; Settings'!$C$43*(IF($E1205="Win",1,0)-$I1205))</f>
        <v>0</v>
      </c>
      <c r="L1205" s="125">
        <f>IF($D1205="",0,'Guide &amp; Settings'!$C$44*IF($F1205&gt;=3,$F1205,0))</f>
        <v>0</v>
      </c>
      <c r="M1205" s="124">
        <f t="shared" si="363"/>
        <v>0</v>
      </c>
      <c r="N1205" s="122">
        <f t="shared" si="364"/>
        <v>0</v>
      </c>
      <c r="O1205" s="121" t="str">
        <f t="shared" si="365"/>
        <v/>
      </c>
      <c r="P1205">
        <f t="shared" si="366"/>
        <v>0</v>
      </c>
      <c r="Q1205">
        <f t="shared" si="367"/>
        <v>0</v>
      </c>
      <c r="R1205">
        <f t="shared" si="368"/>
        <v>0</v>
      </c>
      <c r="S1205">
        <f t="shared" si="369"/>
        <v>0</v>
      </c>
      <c r="T1205" s="89">
        <f t="shared" si="370"/>
        <v>0</v>
      </c>
      <c r="U1205" s="126">
        <f>IF($D1205="",0,IFERROR(LOOKUP(2,1/(($D$3:D1204=$D1205)*($C$3:C1204=$C1205)*($A$3:A1204&lt;$A1205)),$AB$3:AB1204),1000))</f>
        <v>0</v>
      </c>
      <c r="V1205" s="126">
        <f t="shared" si="371"/>
        <v>0</v>
      </c>
      <c r="W1205">
        <f t="shared" si="372"/>
        <v>0</v>
      </c>
      <c r="X1205">
        <f t="shared" si="373"/>
        <v>0</v>
      </c>
      <c r="Y1205">
        <f t="shared" si="374"/>
        <v>0</v>
      </c>
      <c r="Z1205">
        <f t="shared" si="375"/>
        <v>0</v>
      </c>
      <c r="AA1205">
        <f>IF($D1205="",0,IF($F1205&lt;2,0,IF($E1205="Win",('Guide &amp; Settings'!$C$42/(($F1205-1)*COUNTIFS($A$4:$A$1510,$A1205,$E$4:$E$1510,"Win")))*SUMIFS($Z$4:$Z$1510,$A$4:$A$1510,$A1205,$E$4:$E$1510,"Loss"),-('Guide &amp; Settings'!$C$42/($F1205-1))*$Z1205)))</f>
        <v>0</v>
      </c>
      <c r="AB1205" s="126">
        <f t="shared" si="376"/>
        <v>0</v>
      </c>
      <c r="AC1205" t="str">
        <f>IF($D1205="","",IF($AD1205=0,0,IF(COUNTIFS($D$4:$D1205,$D1205,$B$4:$B1205,$B1205)&gt;1,0,IF($B1205&lt;'Guide &amp; Settings'!$C$50,0,IF(($B1205-$AD1205)/7-'Guide &amp; Settings'!$C$48&gt;=0,(INT(($B1205-$AD1205)/7-'Guide &amp; Settings'!$C$48)+1)*'Guide &amp; Settings'!$C$49,0)))))</f>
        <v/>
      </c>
      <c r="AD1205" s="142">
        <f t="shared" si="377"/>
        <v>0</v>
      </c>
      <c r="AE1205">
        <f t="shared" si="378"/>
        <v>0</v>
      </c>
      <c r="AF1205">
        <f t="shared" si="379"/>
        <v>0</v>
      </c>
    </row>
    <row r="1206" spans="1:32" x14ac:dyDescent="0.2">
      <c r="A1206" s="117"/>
      <c r="B1206" s="118"/>
      <c r="C1206" s="119"/>
      <c r="D1206" s="119"/>
      <c r="E1206" s="117"/>
      <c r="F1206" s="120">
        <f t="shared" si="360"/>
        <v>0</v>
      </c>
      <c r="G1206" s="121" t="str">
        <f t="shared" si="361"/>
        <v/>
      </c>
      <c r="H1206" s="122">
        <f>IF($D1206="",0,IFERROR(LOOKUP(2,1/(($D$3:D1205=$D1206)*($A$3:A1205&lt;$A1206)),$N$3:N1205),'Guide &amp; Settings'!$C$41))</f>
        <v>0</v>
      </c>
      <c r="I1206" s="123">
        <f t="shared" si="362"/>
        <v>0</v>
      </c>
      <c r="J1206" s="124">
        <f>IF($D1206="",0,IF($F1206&lt;2,0,IF($E1206="Win",('Guide &amp; Settings'!$C$42/(($F1206-1)*COUNTIFS($A$4:$A$1510,$A1206,$E$4:$E$1510,"Win")))*SUMIFS($X$4:$X$1510,$A$4:$A$1510,$A1206,$E$4:$E$1510,"Loss"),-('Guide &amp; Settings'!$C$42/($F1206-1))*$X1206)))</f>
        <v>0</v>
      </c>
      <c r="K1206" s="124">
        <f>IF($D1206="",0,'Guide &amp; Settings'!$C$43*(IF($E1206="Win",1,0)-$I1206))</f>
        <v>0</v>
      </c>
      <c r="L1206" s="125">
        <f>IF($D1206="",0,'Guide &amp; Settings'!$C$44*IF($F1206&gt;=3,$F1206,0))</f>
        <v>0</v>
      </c>
      <c r="M1206" s="124">
        <f t="shared" si="363"/>
        <v>0</v>
      </c>
      <c r="N1206" s="122">
        <f t="shared" si="364"/>
        <v>0</v>
      </c>
      <c r="O1206" s="121" t="str">
        <f t="shared" si="365"/>
        <v/>
      </c>
      <c r="P1206">
        <f t="shared" si="366"/>
        <v>0</v>
      </c>
      <c r="Q1206">
        <f t="shared" si="367"/>
        <v>0</v>
      </c>
      <c r="R1206">
        <f t="shared" si="368"/>
        <v>0</v>
      </c>
      <c r="S1206">
        <f t="shared" si="369"/>
        <v>0</v>
      </c>
      <c r="T1206" s="89">
        <f t="shared" si="370"/>
        <v>0</v>
      </c>
      <c r="U1206" s="126">
        <f>IF($D1206="",0,IFERROR(LOOKUP(2,1/(($D$3:D1205=$D1206)*($C$3:C1205=$C1206)*($A$3:A1205&lt;$A1206)),$AB$3:AB1205),1000))</f>
        <v>0</v>
      </c>
      <c r="V1206" s="126">
        <f t="shared" si="371"/>
        <v>0</v>
      </c>
      <c r="W1206">
        <f t="shared" si="372"/>
        <v>0</v>
      </c>
      <c r="X1206">
        <f t="shared" si="373"/>
        <v>0</v>
      </c>
      <c r="Y1206">
        <f t="shared" si="374"/>
        <v>0</v>
      </c>
      <c r="Z1206">
        <f t="shared" si="375"/>
        <v>0</v>
      </c>
      <c r="AA1206">
        <f>IF($D1206="",0,IF($F1206&lt;2,0,IF($E1206="Win",('Guide &amp; Settings'!$C$42/(($F1206-1)*COUNTIFS($A$4:$A$1510,$A1206,$E$4:$E$1510,"Win")))*SUMIFS($Z$4:$Z$1510,$A$4:$A$1510,$A1206,$E$4:$E$1510,"Loss"),-('Guide &amp; Settings'!$C$42/($F1206-1))*$Z1206)))</f>
        <v>0</v>
      </c>
      <c r="AB1206" s="126">
        <f t="shared" si="376"/>
        <v>0</v>
      </c>
      <c r="AC1206" t="str">
        <f>IF($D1206="","",IF($AD1206=0,0,IF(COUNTIFS($D$4:$D1206,$D1206,$B$4:$B1206,$B1206)&gt;1,0,IF($B1206&lt;'Guide &amp; Settings'!$C$50,0,IF(($B1206-$AD1206)/7-'Guide &amp; Settings'!$C$48&gt;=0,(INT(($B1206-$AD1206)/7-'Guide &amp; Settings'!$C$48)+1)*'Guide &amp; Settings'!$C$49,0)))))</f>
        <v/>
      </c>
      <c r="AD1206" s="142">
        <f t="shared" si="377"/>
        <v>0</v>
      </c>
      <c r="AE1206">
        <f t="shared" si="378"/>
        <v>0</v>
      </c>
      <c r="AF1206">
        <f t="shared" si="379"/>
        <v>0</v>
      </c>
    </row>
    <row r="1207" spans="1:32" x14ac:dyDescent="0.2">
      <c r="A1207" s="117"/>
      <c r="B1207" s="118"/>
      <c r="C1207" s="119"/>
      <c r="D1207" s="119"/>
      <c r="E1207" s="117"/>
      <c r="F1207" s="120">
        <f t="shared" si="360"/>
        <v>0</v>
      </c>
      <c r="G1207" s="121" t="str">
        <f t="shared" si="361"/>
        <v/>
      </c>
      <c r="H1207" s="122">
        <f>IF($D1207="",0,IFERROR(LOOKUP(2,1/(($D$3:D1206=$D1207)*($A$3:A1206&lt;$A1207)),$N$3:N1206),'Guide &amp; Settings'!$C$41))</f>
        <v>0</v>
      </c>
      <c r="I1207" s="123">
        <f t="shared" si="362"/>
        <v>0</v>
      </c>
      <c r="J1207" s="124">
        <f>IF($D1207="",0,IF($F1207&lt;2,0,IF($E1207="Win",('Guide &amp; Settings'!$C$42/(($F1207-1)*COUNTIFS($A$4:$A$1510,$A1207,$E$4:$E$1510,"Win")))*SUMIFS($X$4:$X$1510,$A$4:$A$1510,$A1207,$E$4:$E$1510,"Loss"),-('Guide &amp; Settings'!$C$42/($F1207-1))*$X1207)))</f>
        <v>0</v>
      </c>
      <c r="K1207" s="124">
        <f>IF($D1207="",0,'Guide &amp; Settings'!$C$43*(IF($E1207="Win",1,0)-$I1207))</f>
        <v>0</v>
      </c>
      <c r="L1207" s="125">
        <f>IF($D1207="",0,'Guide &amp; Settings'!$C$44*IF($F1207&gt;=3,$F1207,0))</f>
        <v>0</v>
      </c>
      <c r="M1207" s="124">
        <f t="shared" si="363"/>
        <v>0</v>
      </c>
      <c r="N1207" s="122">
        <f t="shared" si="364"/>
        <v>0</v>
      </c>
      <c r="O1207" s="121" t="str">
        <f t="shared" si="365"/>
        <v/>
      </c>
      <c r="P1207">
        <f t="shared" si="366"/>
        <v>0</v>
      </c>
      <c r="Q1207">
        <f t="shared" si="367"/>
        <v>0</v>
      </c>
      <c r="R1207">
        <f t="shared" si="368"/>
        <v>0</v>
      </c>
      <c r="S1207">
        <f t="shared" si="369"/>
        <v>0</v>
      </c>
      <c r="T1207" s="89">
        <f t="shared" si="370"/>
        <v>0</v>
      </c>
      <c r="U1207" s="126">
        <f>IF($D1207="",0,IFERROR(LOOKUP(2,1/(($D$3:D1206=$D1207)*($C$3:C1206=$C1207)*($A$3:A1206&lt;$A1207)),$AB$3:AB1206),1000))</f>
        <v>0</v>
      </c>
      <c r="V1207" s="126">
        <f t="shared" si="371"/>
        <v>0</v>
      </c>
      <c r="W1207">
        <f t="shared" si="372"/>
        <v>0</v>
      </c>
      <c r="X1207">
        <f t="shared" si="373"/>
        <v>0</v>
      </c>
      <c r="Y1207">
        <f t="shared" si="374"/>
        <v>0</v>
      </c>
      <c r="Z1207">
        <f t="shared" si="375"/>
        <v>0</v>
      </c>
      <c r="AA1207">
        <f>IF($D1207="",0,IF($F1207&lt;2,0,IF($E1207="Win",('Guide &amp; Settings'!$C$42/(($F1207-1)*COUNTIFS($A$4:$A$1510,$A1207,$E$4:$E$1510,"Win")))*SUMIFS($Z$4:$Z$1510,$A$4:$A$1510,$A1207,$E$4:$E$1510,"Loss"),-('Guide &amp; Settings'!$C$42/($F1207-1))*$Z1207)))</f>
        <v>0</v>
      </c>
      <c r="AB1207" s="126">
        <f t="shared" si="376"/>
        <v>0</v>
      </c>
      <c r="AC1207" t="str">
        <f>IF($D1207="","",IF($AD1207=0,0,IF(COUNTIFS($D$4:$D1207,$D1207,$B$4:$B1207,$B1207)&gt;1,0,IF($B1207&lt;'Guide &amp; Settings'!$C$50,0,IF(($B1207-$AD1207)/7-'Guide &amp; Settings'!$C$48&gt;=0,(INT(($B1207-$AD1207)/7-'Guide &amp; Settings'!$C$48)+1)*'Guide &amp; Settings'!$C$49,0)))))</f>
        <v/>
      </c>
      <c r="AD1207" s="142">
        <f t="shared" si="377"/>
        <v>0</v>
      </c>
      <c r="AE1207">
        <f t="shared" si="378"/>
        <v>0</v>
      </c>
      <c r="AF1207">
        <f t="shared" si="379"/>
        <v>0</v>
      </c>
    </row>
    <row r="1208" spans="1:32" x14ac:dyDescent="0.2">
      <c r="A1208" s="117"/>
      <c r="B1208" s="118"/>
      <c r="C1208" s="119"/>
      <c r="D1208" s="119"/>
      <c r="E1208" s="117"/>
      <c r="F1208" s="120">
        <f t="shared" si="360"/>
        <v>0</v>
      </c>
      <c r="G1208" s="121" t="str">
        <f t="shared" si="361"/>
        <v/>
      </c>
      <c r="H1208" s="122">
        <f>IF($D1208="",0,IFERROR(LOOKUP(2,1/(($D$3:D1207=$D1208)*($A$3:A1207&lt;$A1208)),$N$3:N1207),'Guide &amp; Settings'!$C$41))</f>
        <v>0</v>
      </c>
      <c r="I1208" s="123">
        <f t="shared" si="362"/>
        <v>0</v>
      </c>
      <c r="J1208" s="124">
        <f>IF($D1208="",0,IF($F1208&lt;2,0,IF($E1208="Win",('Guide &amp; Settings'!$C$42/(($F1208-1)*COUNTIFS($A$4:$A$1510,$A1208,$E$4:$E$1510,"Win")))*SUMIFS($X$4:$X$1510,$A$4:$A$1510,$A1208,$E$4:$E$1510,"Loss"),-('Guide &amp; Settings'!$C$42/($F1208-1))*$X1208)))</f>
        <v>0</v>
      </c>
      <c r="K1208" s="124">
        <f>IF($D1208="",0,'Guide &amp; Settings'!$C$43*(IF($E1208="Win",1,0)-$I1208))</f>
        <v>0</v>
      </c>
      <c r="L1208" s="125">
        <f>IF($D1208="",0,'Guide &amp; Settings'!$C$44*IF($F1208&gt;=3,$F1208,0))</f>
        <v>0</v>
      </c>
      <c r="M1208" s="124">
        <f t="shared" si="363"/>
        <v>0</v>
      </c>
      <c r="N1208" s="122">
        <f t="shared" si="364"/>
        <v>0</v>
      </c>
      <c r="O1208" s="121" t="str">
        <f t="shared" si="365"/>
        <v/>
      </c>
      <c r="P1208">
        <f t="shared" si="366"/>
        <v>0</v>
      </c>
      <c r="Q1208">
        <f t="shared" si="367"/>
        <v>0</v>
      </c>
      <c r="R1208">
        <f t="shared" si="368"/>
        <v>0</v>
      </c>
      <c r="S1208">
        <f t="shared" si="369"/>
        <v>0</v>
      </c>
      <c r="T1208" s="89">
        <f t="shared" si="370"/>
        <v>0</v>
      </c>
      <c r="U1208" s="126">
        <f>IF($D1208="",0,IFERROR(LOOKUP(2,1/(($D$3:D1207=$D1208)*($C$3:C1207=$C1208)*($A$3:A1207&lt;$A1208)),$AB$3:AB1207),1000))</f>
        <v>0</v>
      </c>
      <c r="V1208" s="126">
        <f t="shared" si="371"/>
        <v>0</v>
      </c>
      <c r="W1208">
        <f t="shared" si="372"/>
        <v>0</v>
      </c>
      <c r="X1208">
        <f t="shared" si="373"/>
        <v>0</v>
      </c>
      <c r="Y1208">
        <f t="shared" si="374"/>
        <v>0</v>
      </c>
      <c r="Z1208">
        <f t="shared" si="375"/>
        <v>0</v>
      </c>
      <c r="AA1208">
        <f>IF($D1208="",0,IF($F1208&lt;2,0,IF($E1208="Win",('Guide &amp; Settings'!$C$42/(($F1208-1)*COUNTIFS($A$4:$A$1510,$A1208,$E$4:$E$1510,"Win")))*SUMIFS($Z$4:$Z$1510,$A$4:$A$1510,$A1208,$E$4:$E$1510,"Loss"),-('Guide &amp; Settings'!$C$42/($F1208-1))*$Z1208)))</f>
        <v>0</v>
      </c>
      <c r="AB1208" s="126">
        <f t="shared" si="376"/>
        <v>0</v>
      </c>
      <c r="AC1208" t="str">
        <f>IF($D1208="","",IF($AD1208=0,0,IF(COUNTIFS($D$4:$D1208,$D1208,$B$4:$B1208,$B1208)&gt;1,0,IF($B1208&lt;'Guide &amp; Settings'!$C$50,0,IF(($B1208-$AD1208)/7-'Guide &amp; Settings'!$C$48&gt;=0,(INT(($B1208-$AD1208)/7-'Guide &amp; Settings'!$C$48)+1)*'Guide &amp; Settings'!$C$49,0)))))</f>
        <v/>
      </c>
      <c r="AD1208" s="142">
        <f t="shared" si="377"/>
        <v>0</v>
      </c>
      <c r="AE1208">
        <f t="shared" si="378"/>
        <v>0</v>
      </c>
      <c r="AF1208">
        <f t="shared" si="379"/>
        <v>0</v>
      </c>
    </row>
    <row r="1209" spans="1:32" x14ac:dyDescent="0.2">
      <c r="A1209" s="117"/>
      <c r="B1209" s="118"/>
      <c r="C1209" s="119"/>
      <c r="D1209" s="119"/>
      <c r="E1209" s="117"/>
      <c r="F1209" s="120">
        <f t="shared" si="360"/>
        <v>0</v>
      </c>
      <c r="G1209" s="121" t="str">
        <f t="shared" si="361"/>
        <v/>
      </c>
      <c r="H1209" s="122">
        <f>IF($D1209="",0,IFERROR(LOOKUP(2,1/(($D$3:D1208=$D1209)*($A$3:A1208&lt;$A1209)),$N$3:N1208),'Guide &amp; Settings'!$C$41))</f>
        <v>0</v>
      </c>
      <c r="I1209" s="123">
        <f t="shared" si="362"/>
        <v>0</v>
      </c>
      <c r="J1209" s="124">
        <f>IF($D1209="",0,IF($F1209&lt;2,0,IF($E1209="Win",('Guide &amp; Settings'!$C$42/(($F1209-1)*COUNTIFS($A$4:$A$1510,$A1209,$E$4:$E$1510,"Win")))*SUMIFS($X$4:$X$1510,$A$4:$A$1510,$A1209,$E$4:$E$1510,"Loss"),-('Guide &amp; Settings'!$C$42/($F1209-1))*$X1209)))</f>
        <v>0</v>
      </c>
      <c r="K1209" s="124">
        <f>IF($D1209="",0,'Guide &amp; Settings'!$C$43*(IF($E1209="Win",1,0)-$I1209))</f>
        <v>0</v>
      </c>
      <c r="L1209" s="125">
        <f>IF($D1209="",0,'Guide &amp; Settings'!$C$44*IF($F1209&gt;=3,$F1209,0))</f>
        <v>0</v>
      </c>
      <c r="M1209" s="124">
        <f t="shared" si="363"/>
        <v>0</v>
      </c>
      <c r="N1209" s="122">
        <f t="shared" si="364"/>
        <v>0</v>
      </c>
      <c r="O1209" s="121" t="str">
        <f t="shared" si="365"/>
        <v/>
      </c>
      <c r="P1209">
        <f t="shared" si="366"/>
        <v>0</v>
      </c>
      <c r="Q1209">
        <f t="shared" si="367"/>
        <v>0</v>
      </c>
      <c r="R1209">
        <f t="shared" si="368"/>
        <v>0</v>
      </c>
      <c r="S1209">
        <f t="shared" si="369"/>
        <v>0</v>
      </c>
      <c r="T1209" s="89">
        <f t="shared" si="370"/>
        <v>0</v>
      </c>
      <c r="U1209" s="126">
        <f>IF($D1209="",0,IFERROR(LOOKUP(2,1/(($D$3:D1208=$D1209)*($C$3:C1208=$C1209)*($A$3:A1208&lt;$A1209)),$AB$3:AB1208),1000))</f>
        <v>0</v>
      </c>
      <c r="V1209" s="126">
        <f t="shared" si="371"/>
        <v>0</v>
      </c>
      <c r="W1209">
        <f t="shared" si="372"/>
        <v>0</v>
      </c>
      <c r="X1209">
        <f t="shared" si="373"/>
        <v>0</v>
      </c>
      <c r="Y1209">
        <f t="shared" si="374"/>
        <v>0</v>
      </c>
      <c r="Z1209">
        <f t="shared" si="375"/>
        <v>0</v>
      </c>
      <c r="AA1209">
        <f>IF($D1209="",0,IF($F1209&lt;2,0,IF($E1209="Win",('Guide &amp; Settings'!$C$42/(($F1209-1)*COUNTIFS($A$4:$A$1510,$A1209,$E$4:$E$1510,"Win")))*SUMIFS($Z$4:$Z$1510,$A$4:$A$1510,$A1209,$E$4:$E$1510,"Loss"),-('Guide &amp; Settings'!$C$42/($F1209-1))*$Z1209)))</f>
        <v>0</v>
      </c>
      <c r="AB1209" s="126">
        <f t="shared" si="376"/>
        <v>0</v>
      </c>
      <c r="AC1209" t="str">
        <f>IF($D1209="","",IF($AD1209=0,0,IF(COUNTIFS($D$4:$D1209,$D1209,$B$4:$B1209,$B1209)&gt;1,0,IF($B1209&lt;'Guide &amp; Settings'!$C$50,0,IF(($B1209-$AD1209)/7-'Guide &amp; Settings'!$C$48&gt;=0,(INT(($B1209-$AD1209)/7-'Guide &amp; Settings'!$C$48)+1)*'Guide &amp; Settings'!$C$49,0)))))</f>
        <v/>
      </c>
      <c r="AD1209" s="142">
        <f t="shared" si="377"/>
        <v>0</v>
      </c>
      <c r="AE1209">
        <f t="shared" si="378"/>
        <v>0</v>
      </c>
      <c r="AF1209">
        <f t="shared" si="379"/>
        <v>0</v>
      </c>
    </row>
    <row r="1210" spans="1:32" x14ac:dyDescent="0.2">
      <c r="A1210" s="117"/>
      <c r="B1210" s="118"/>
      <c r="C1210" s="119"/>
      <c r="D1210" s="119"/>
      <c r="E1210" s="117"/>
      <c r="F1210" s="120">
        <f t="shared" si="360"/>
        <v>0</v>
      </c>
      <c r="G1210" s="121" t="str">
        <f t="shared" si="361"/>
        <v/>
      </c>
      <c r="H1210" s="122">
        <f>IF($D1210="",0,IFERROR(LOOKUP(2,1/(($D$3:D1209=$D1210)*($A$3:A1209&lt;$A1210)),$N$3:N1209),'Guide &amp; Settings'!$C$41))</f>
        <v>0</v>
      </c>
      <c r="I1210" s="123">
        <f t="shared" si="362"/>
        <v>0</v>
      </c>
      <c r="J1210" s="124">
        <f>IF($D1210="",0,IF($F1210&lt;2,0,IF($E1210="Win",('Guide &amp; Settings'!$C$42/(($F1210-1)*COUNTIFS($A$4:$A$1510,$A1210,$E$4:$E$1510,"Win")))*SUMIFS($X$4:$X$1510,$A$4:$A$1510,$A1210,$E$4:$E$1510,"Loss"),-('Guide &amp; Settings'!$C$42/($F1210-1))*$X1210)))</f>
        <v>0</v>
      </c>
      <c r="K1210" s="124">
        <f>IF($D1210="",0,'Guide &amp; Settings'!$C$43*(IF($E1210="Win",1,0)-$I1210))</f>
        <v>0</v>
      </c>
      <c r="L1210" s="125">
        <f>IF($D1210="",0,'Guide &amp; Settings'!$C$44*IF($F1210&gt;=3,$F1210,0))</f>
        <v>0</v>
      </c>
      <c r="M1210" s="124">
        <f t="shared" si="363"/>
        <v>0</v>
      </c>
      <c r="N1210" s="122">
        <f t="shared" si="364"/>
        <v>0</v>
      </c>
      <c r="O1210" s="121" t="str">
        <f t="shared" si="365"/>
        <v/>
      </c>
      <c r="P1210">
        <f t="shared" si="366"/>
        <v>0</v>
      </c>
      <c r="Q1210">
        <f t="shared" si="367"/>
        <v>0</v>
      </c>
      <c r="R1210">
        <f t="shared" si="368"/>
        <v>0</v>
      </c>
      <c r="S1210">
        <f t="shared" si="369"/>
        <v>0</v>
      </c>
      <c r="T1210" s="89">
        <f t="shared" si="370"/>
        <v>0</v>
      </c>
      <c r="U1210" s="126">
        <f>IF($D1210="",0,IFERROR(LOOKUP(2,1/(($D$3:D1209=$D1210)*($C$3:C1209=$C1210)*($A$3:A1209&lt;$A1210)),$AB$3:AB1209),1000))</f>
        <v>0</v>
      </c>
      <c r="V1210" s="126">
        <f t="shared" si="371"/>
        <v>0</v>
      </c>
      <c r="W1210">
        <f t="shared" si="372"/>
        <v>0</v>
      </c>
      <c r="X1210">
        <f t="shared" si="373"/>
        <v>0</v>
      </c>
      <c r="Y1210">
        <f t="shared" si="374"/>
        <v>0</v>
      </c>
      <c r="Z1210">
        <f t="shared" si="375"/>
        <v>0</v>
      </c>
      <c r="AA1210">
        <f>IF($D1210="",0,IF($F1210&lt;2,0,IF($E1210="Win",('Guide &amp; Settings'!$C$42/(($F1210-1)*COUNTIFS($A$4:$A$1510,$A1210,$E$4:$E$1510,"Win")))*SUMIFS($Z$4:$Z$1510,$A$4:$A$1510,$A1210,$E$4:$E$1510,"Loss"),-('Guide &amp; Settings'!$C$42/($F1210-1))*$Z1210)))</f>
        <v>0</v>
      </c>
      <c r="AB1210" s="126">
        <f t="shared" si="376"/>
        <v>0</v>
      </c>
      <c r="AC1210" t="str">
        <f>IF($D1210="","",IF($AD1210=0,0,IF(COUNTIFS($D$4:$D1210,$D1210,$B$4:$B1210,$B1210)&gt;1,0,IF($B1210&lt;'Guide &amp; Settings'!$C$50,0,IF(($B1210-$AD1210)/7-'Guide &amp; Settings'!$C$48&gt;=0,(INT(($B1210-$AD1210)/7-'Guide &amp; Settings'!$C$48)+1)*'Guide &amp; Settings'!$C$49,0)))))</f>
        <v/>
      </c>
      <c r="AD1210" s="142">
        <f t="shared" si="377"/>
        <v>0</v>
      </c>
      <c r="AE1210">
        <f t="shared" si="378"/>
        <v>0</v>
      </c>
      <c r="AF1210">
        <f t="shared" si="379"/>
        <v>0</v>
      </c>
    </row>
    <row r="1211" spans="1:32" x14ac:dyDescent="0.2">
      <c r="A1211" s="117"/>
      <c r="B1211" s="118"/>
      <c r="C1211" s="119"/>
      <c r="D1211" s="119"/>
      <c r="E1211" s="117"/>
      <c r="F1211" s="120">
        <f t="shared" si="360"/>
        <v>0</v>
      </c>
      <c r="G1211" s="121" t="str">
        <f t="shared" si="361"/>
        <v/>
      </c>
      <c r="H1211" s="122">
        <f>IF($D1211="",0,IFERROR(LOOKUP(2,1/(($D$3:D1210=$D1211)*($A$3:A1210&lt;$A1211)),$N$3:N1210),'Guide &amp; Settings'!$C$41))</f>
        <v>0</v>
      </c>
      <c r="I1211" s="123">
        <f t="shared" si="362"/>
        <v>0</v>
      </c>
      <c r="J1211" s="124">
        <f>IF($D1211="",0,IF($F1211&lt;2,0,IF($E1211="Win",('Guide &amp; Settings'!$C$42/(($F1211-1)*COUNTIFS($A$4:$A$1510,$A1211,$E$4:$E$1510,"Win")))*SUMIFS($X$4:$X$1510,$A$4:$A$1510,$A1211,$E$4:$E$1510,"Loss"),-('Guide &amp; Settings'!$C$42/($F1211-1))*$X1211)))</f>
        <v>0</v>
      </c>
      <c r="K1211" s="124">
        <f>IF($D1211="",0,'Guide &amp; Settings'!$C$43*(IF($E1211="Win",1,0)-$I1211))</f>
        <v>0</v>
      </c>
      <c r="L1211" s="125">
        <f>IF($D1211="",0,'Guide &amp; Settings'!$C$44*IF($F1211&gt;=3,$F1211,0))</f>
        <v>0</v>
      </c>
      <c r="M1211" s="124">
        <f t="shared" si="363"/>
        <v>0</v>
      </c>
      <c r="N1211" s="122">
        <f t="shared" si="364"/>
        <v>0</v>
      </c>
      <c r="O1211" s="121" t="str">
        <f t="shared" si="365"/>
        <v/>
      </c>
      <c r="P1211">
        <f t="shared" si="366"/>
        <v>0</v>
      </c>
      <c r="Q1211">
        <f t="shared" si="367"/>
        <v>0</v>
      </c>
      <c r="R1211">
        <f t="shared" si="368"/>
        <v>0</v>
      </c>
      <c r="S1211">
        <f t="shared" si="369"/>
        <v>0</v>
      </c>
      <c r="T1211" s="89">
        <f t="shared" si="370"/>
        <v>0</v>
      </c>
      <c r="U1211" s="126">
        <f>IF($D1211="",0,IFERROR(LOOKUP(2,1/(($D$3:D1210=$D1211)*($C$3:C1210=$C1211)*($A$3:A1210&lt;$A1211)),$AB$3:AB1210),1000))</f>
        <v>0</v>
      </c>
      <c r="V1211" s="126">
        <f t="shared" si="371"/>
        <v>0</v>
      </c>
      <c r="W1211">
        <f t="shared" si="372"/>
        <v>0</v>
      </c>
      <c r="X1211">
        <f t="shared" si="373"/>
        <v>0</v>
      </c>
      <c r="Y1211">
        <f t="shared" si="374"/>
        <v>0</v>
      </c>
      <c r="Z1211">
        <f t="shared" si="375"/>
        <v>0</v>
      </c>
      <c r="AA1211">
        <f>IF($D1211="",0,IF($F1211&lt;2,0,IF($E1211="Win",('Guide &amp; Settings'!$C$42/(($F1211-1)*COUNTIFS($A$4:$A$1510,$A1211,$E$4:$E$1510,"Win")))*SUMIFS($Z$4:$Z$1510,$A$4:$A$1510,$A1211,$E$4:$E$1510,"Loss"),-('Guide &amp; Settings'!$C$42/($F1211-1))*$Z1211)))</f>
        <v>0</v>
      </c>
      <c r="AB1211" s="126">
        <f t="shared" si="376"/>
        <v>0</v>
      </c>
      <c r="AC1211" t="str">
        <f>IF($D1211="","",IF($AD1211=0,0,IF(COUNTIFS($D$4:$D1211,$D1211,$B$4:$B1211,$B1211)&gt;1,0,IF($B1211&lt;'Guide &amp; Settings'!$C$50,0,IF(($B1211-$AD1211)/7-'Guide &amp; Settings'!$C$48&gt;=0,(INT(($B1211-$AD1211)/7-'Guide &amp; Settings'!$C$48)+1)*'Guide &amp; Settings'!$C$49,0)))))</f>
        <v/>
      </c>
      <c r="AD1211" s="142">
        <f t="shared" si="377"/>
        <v>0</v>
      </c>
      <c r="AE1211">
        <f t="shared" si="378"/>
        <v>0</v>
      </c>
      <c r="AF1211">
        <f t="shared" si="379"/>
        <v>0</v>
      </c>
    </row>
    <row r="1212" spans="1:32" x14ac:dyDescent="0.2">
      <c r="A1212" s="117"/>
      <c r="B1212" s="118"/>
      <c r="C1212" s="119"/>
      <c r="D1212" s="119"/>
      <c r="E1212" s="117"/>
      <c r="F1212" s="120">
        <f t="shared" si="360"/>
        <v>0</v>
      </c>
      <c r="G1212" s="121" t="str">
        <f t="shared" si="361"/>
        <v/>
      </c>
      <c r="H1212" s="122">
        <f>IF($D1212="",0,IFERROR(LOOKUP(2,1/(($D$3:D1211=$D1212)*($A$3:A1211&lt;$A1212)),$N$3:N1211),'Guide &amp; Settings'!$C$41))</f>
        <v>0</v>
      </c>
      <c r="I1212" s="123">
        <f t="shared" si="362"/>
        <v>0</v>
      </c>
      <c r="J1212" s="124">
        <f>IF($D1212="",0,IF($F1212&lt;2,0,IF($E1212="Win",('Guide &amp; Settings'!$C$42/(($F1212-1)*COUNTIFS($A$4:$A$1510,$A1212,$E$4:$E$1510,"Win")))*SUMIFS($X$4:$X$1510,$A$4:$A$1510,$A1212,$E$4:$E$1510,"Loss"),-('Guide &amp; Settings'!$C$42/($F1212-1))*$X1212)))</f>
        <v>0</v>
      </c>
      <c r="K1212" s="124">
        <f>IF($D1212="",0,'Guide &amp; Settings'!$C$43*(IF($E1212="Win",1,0)-$I1212))</f>
        <v>0</v>
      </c>
      <c r="L1212" s="125">
        <f>IF($D1212="",0,'Guide &amp; Settings'!$C$44*IF($F1212&gt;=3,$F1212,0))</f>
        <v>0</v>
      </c>
      <c r="M1212" s="124">
        <f t="shared" si="363"/>
        <v>0</v>
      </c>
      <c r="N1212" s="122">
        <f t="shared" si="364"/>
        <v>0</v>
      </c>
      <c r="O1212" s="121" t="str">
        <f t="shared" si="365"/>
        <v/>
      </c>
      <c r="P1212">
        <f t="shared" si="366"/>
        <v>0</v>
      </c>
      <c r="Q1212">
        <f t="shared" si="367"/>
        <v>0</v>
      </c>
      <c r="R1212">
        <f t="shared" si="368"/>
        <v>0</v>
      </c>
      <c r="S1212">
        <f t="shared" si="369"/>
        <v>0</v>
      </c>
      <c r="T1212" s="89">
        <f t="shared" si="370"/>
        <v>0</v>
      </c>
      <c r="U1212" s="126">
        <f>IF($D1212="",0,IFERROR(LOOKUP(2,1/(($D$3:D1211=$D1212)*($C$3:C1211=$C1212)*($A$3:A1211&lt;$A1212)),$AB$3:AB1211),1000))</f>
        <v>0</v>
      </c>
      <c r="V1212" s="126">
        <f t="shared" si="371"/>
        <v>0</v>
      </c>
      <c r="W1212">
        <f t="shared" si="372"/>
        <v>0</v>
      </c>
      <c r="X1212">
        <f t="shared" si="373"/>
        <v>0</v>
      </c>
      <c r="Y1212">
        <f t="shared" si="374"/>
        <v>0</v>
      </c>
      <c r="Z1212">
        <f t="shared" si="375"/>
        <v>0</v>
      </c>
      <c r="AA1212">
        <f>IF($D1212="",0,IF($F1212&lt;2,0,IF($E1212="Win",('Guide &amp; Settings'!$C$42/(($F1212-1)*COUNTIFS($A$4:$A$1510,$A1212,$E$4:$E$1510,"Win")))*SUMIFS($Z$4:$Z$1510,$A$4:$A$1510,$A1212,$E$4:$E$1510,"Loss"),-('Guide &amp; Settings'!$C$42/($F1212-1))*$Z1212)))</f>
        <v>0</v>
      </c>
      <c r="AB1212" s="126">
        <f t="shared" si="376"/>
        <v>0</v>
      </c>
      <c r="AC1212" t="str">
        <f>IF($D1212="","",IF($AD1212=0,0,IF(COUNTIFS($D$4:$D1212,$D1212,$B$4:$B1212,$B1212)&gt;1,0,IF($B1212&lt;'Guide &amp; Settings'!$C$50,0,IF(($B1212-$AD1212)/7-'Guide &amp; Settings'!$C$48&gt;=0,(INT(($B1212-$AD1212)/7-'Guide &amp; Settings'!$C$48)+1)*'Guide &amp; Settings'!$C$49,0)))))</f>
        <v/>
      </c>
      <c r="AD1212" s="142">
        <f t="shared" si="377"/>
        <v>0</v>
      </c>
      <c r="AE1212">
        <f t="shared" si="378"/>
        <v>0</v>
      </c>
      <c r="AF1212">
        <f t="shared" si="379"/>
        <v>0</v>
      </c>
    </row>
    <row r="1213" spans="1:32" x14ac:dyDescent="0.2">
      <c r="A1213" s="117"/>
      <c r="B1213" s="118"/>
      <c r="C1213" s="119"/>
      <c r="D1213" s="119"/>
      <c r="E1213" s="117"/>
      <c r="F1213" s="120">
        <f t="shared" si="360"/>
        <v>0</v>
      </c>
      <c r="G1213" s="121" t="str">
        <f t="shared" si="361"/>
        <v/>
      </c>
      <c r="H1213" s="122">
        <f>IF($D1213="",0,IFERROR(LOOKUP(2,1/(($D$3:D1212=$D1213)*($A$3:A1212&lt;$A1213)),$N$3:N1212),'Guide &amp; Settings'!$C$41))</f>
        <v>0</v>
      </c>
      <c r="I1213" s="123">
        <f t="shared" si="362"/>
        <v>0</v>
      </c>
      <c r="J1213" s="124">
        <f>IF($D1213="",0,IF($F1213&lt;2,0,IF($E1213="Win",('Guide &amp; Settings'!$C$42/(($F1213-1)*COUNTIFS($A$4:$A$1510,$A1213,$E$4:$E$1510,"Win")))*SUMIFS($X$4:$X$1510,$A$4:$A$1510,$A1213,$E$4:$E$1510,"Loss"),-('Guide &amp; Settings'!$C$42/($F1213-1))*$X1213)))</f>
        <v>0</v>
      </c>
      <c r="K1213" s="124">
        <f>IF($D1213="",0,'Guide &amp; Settings'!$C$43*(IF($E1213="Win",1,0)-$I1213))</f>
        <v>0</v>
      </c>
      <c r="L1213" s="125">
        <f>IF($D1213="",0,'Guide &amp; Settings'!$C$44*IF($F1213&gt;=3,$F1213,0))</f>
        <v>0</v>
      </c>
      <c r="M1213" s="124">
        <f t="shared" si="363"/>
        <v>0</v>
      </c>
      <c r="N1213" s="122">
        <f t="shared" si="364"/>
        <v>0</v>
      </c>
      <c r="O1213" s="121" t="str">
        <f t="shared" si="365"/>
        <v/>
      </c>
      <c r="P1213">
        <f t="shared" si="366"/>
        <v>0</v>
      </c>
      <c r="Q1213">
        <f t="shared" si="367"/>
        <v>0</v>
      </c>
      <c r="R1213">
        <f t="shared" si="368"/>
        <v>0</v>
      </c>
      <c r="S1213">
        <f t="shared" si="369"/>
        <v>0</v>
      </c>
      <c r="T1213" s="89">
        <f t="shared" si="370"/>
        <v>0</v>
      </c>
      <c r="U1213" s="126">
        <f>IF($D1213="",0,IFERROR(LOOKUP(2,1/(($D$3:D1212=$D1213)*($C$3:C1212=$C1213)*($A$3:A1212&lt;$A1213)),$AB$3:AB1212),1000))</f>
        <v>0</v>
      </c>
      <c r="V1213" s="126">
        <f t="shared" si="371"/>
        <v>0</v>
      </c>
      <c r="W1213">
        <f t="shared" si="372"/>
        <v>0</v>
      </c>
      <c r="X1213">
        <f t="shared" si="373"/>
        <v>0</v>
      </c>
      <c r="Y1213">
        <f t="shared" si="374"/>
        <v>0</v>
      </c>
      <c r="Z1213">
        <f t="shared" si="375"/>
        <v>0</v>
      </c>
      <c r="AA1213">
        <f>IF($D1213="",0,IF($F1213&lt;2,0,IF($E1213="Win",('Guide &amp; Settings'!$C$42/(($F1213-1)*COUNTIFS($A$4:$A$1510,$A1213,$E$4:$E$1510,"Win")))*SUMIFS($Z$4:$Z$1510,$A$4:$A$1510,$A1213,$E$4:$E$1510,"Loss"),-('Guide &amp; Settings'!$C$42/($F1213-1))*$Z1213)))</f>
        <v>0</v>
      </c>
      <c r="AB1213" s="126">
        <f t="shared" si="376"/>
        <v>0</v>
      </c>
      <c r="AC1213" t="str">
        <f>IF($D1213="","",IF($AD1213=0,0,IF(COUNTIFS($D$4:$D1213,$D1213,$B$4:$B1213,$B1213)&gt;1,0,IF($B1213&lt;'Guide &amp; Settings'!$C$50,0,IF(($B1213-$AD1213)/7-'Guide &amp; Settings'!$C$48&gt;=0,(INT(($B1213-$AD1213)/7-'Guide &amp; Settings'!$C$48)+1)*'Guide &amp; Settings'!$C$49,0)))))</f>
        <v/>
      </c>
      <c r="AD1213" s="142">
        <f t="shared" si="377"/>
        <v>0</v>
      </c>
      <c r="AE1213">
        <f t="shared" si="378"/>
        <v>0</v>
      </c>
      <c r="AF1213">
        <f t="shared" si="379"/>
        <v>0</v>
      </c>
    </row>
    <row r="1214" spans="1:32" x14ac:dyDescent="0.2">
      <c r="A1214" s="117"/>
      <c r="B1214" s="118"/>
      <c r="C1214" s="119"/>
      <c r="D1214" s="119"/>
      <c r="E1214" s="117"/>
      <c r="F1214" s="120">
        <f t="shared" si="360"/>
        <v>0</v>
      </c>
      <c r="G1214" s="121" t="str">
        <f t="shared" si="361"/>
        <v/>
      </c>
      <c r="H1214" s="122">
        <f>IF($D1214="",0,IFERROR(LOOKUP(2,1/(($D$3:D1213=$D1214)*($A$3:A1213&lt;$A1214)),$N$3:N1213),'Guide &amp; Settings'!$C$41))</f>
        <v>0</v>
      </c>
      <c r="I1214" s="123">
        <f t="shared" si="362"/>
        <v>0</v>
      </c>
      <c r="J1214" s="124">
        <f>IF($D1214="",0,IF($F1214&lt;2,0,IF($E1214="Win",('Guide &amp; Settings'!$C$42/(($F1214-1)*COUNTIFS($A$4:$A$1510,$A1214,$E$4:$E$1510,"Win")))*SUMIFS($X$4:$X$1510,$A$4:$A$1510,$A1214,$E$4:$E$1510,"Loss"),-('Guide &amp; Settings'!$C$42/($F1214-1))*$X1214)))</f>
        <v>0</v>
      </c>
      <c r="K1214" s="124">
        <f>IF($D1214="",0,'Guide &amp; Settings'!$C$43*(IF($E1214="Win",1,0)-$I1214))</f>
        <v>0</v>
      </c>
      <c r="L1214" s="125">
        <f>IF($D1214="",0,'Guide &amp; Settings'!$C$44*IF($F1214&gt;=3,$F1214,0))</f>
        <v>0</v>
      </c>
      <c r="M1214" s="124">
        <f t="shared" si="363"/>
        <v>0</v>
      </c>
      <c r="N1214" s="122">
        <f t="shared" si="364"/>
        <v>0</v>
      </c>
      <c r="O1214" s="121" t="str">
        <f t="shared" si="365"/>
        <v/>
      </c>
      <c r="P1214">
        <f t="shared" si="366"/>
        <v>0</v>
      </c>
      <c r="Q1214">
        <f t="shared" si="367"/>
        <v>0</v>
      </c>
      <c r="R1214">
        <f t="shared" si="368"/>
        <v>0</v>
      </c>
      <c r="S1214">
        <f t="shared" si="369"/>
        <v>0</v>
      </c>
      <c r="T1214" s="89">
        <f t="shared" si="370"/>
        <v>0</v>
      </c>
      <c r="U1214" s="126">
        <f>IF($D1214="",0,IFERROR(LOOKUP(2,1/(($D$3:D1213=$D1214)*($C$3:C1213=$C1214)*($A$3:A1213&lt;$A1214)),$AB$3:AB1213),1000))</f>
        <v>0</v>
      </c>
      <c r="V1214" s="126">
        <f t="shared" si="371"/>
        <v>0</v>
      </c>
      <c r="W1214">
        <f t="shared" si="372"/>
        <v>0</v>
      </c>
      <c r="X1214">
        <f t="shared" si="373"/>
        <v>0</v>
      </c>
      <c r="Y1214">
        <f t="shared" si="374"/>
        <v>0</v>
      </c>
      <c r="Z1214">
        <f t="shared" si="375"/>
        <v>0</v>
      </c>
      <c r="AA1214">
        <f>IF($D1214="",0,IF($F1214&lt;2,0,IF($E1214="Win",('Guide &amp; Settings'!$C$42/(($F1214-1)*COUNTIFS($A$4:$A$1510,$A1214,$E$4:$E$1510,"Win")))*SUMIFS($Z$4:$Z$1510,$A$4:$A$1510,$A1214,$E$4:$E$1510,"Loss"),-('Guide &amp; Settings'!$C$42/($F1214-1))*$Z1214)))</f>
        <v>0</v>
      </c>
      <c r="AB1214" s="126">
        <f t="shared" si="376"/>
        <v>0</v>
      </c>
      <c r="AC1214" t="str">
        <f>IF($D1214="","",IF($AD1214=0,0,IF(COUNTIFS($D$4:$D1214,$D1214,$B$4:$B1214,$B1214)&gt;1,0,IF($B1214&lt;'Guide &amp; Settings'!$C$50,0,IF(($B1214-$AD1214)/7-'Guide &amp; Settings'!$C$48&gt;=0,(INT(($B1214-$AD1214)/7-'Guide &amp; Settings'!$C$48)+1)*'Guide &amp; Settings'!$C$49,0)))))</f>
        <v/>
      </c>
      <c r="AD1214" s="142">
        <f t="shared" si="377"/>
        <v>0</v>
      </c>
      <c r="AE1214">
        <f t="shared" si="378"/>
        <v>0</v>
      </c>
      <c r="AF1214">
        <f t="shared" si="379"/>
        <v>0</v>
      </c>
    </row>
    <row r="1215" spans="1:32" x14ac:dyDescent="0.2">
      <c r="A1215" s="117"/>
      <c r="B1215" s="118"/>
      <c r="C1215" s="119"/>
      <c r="D1215" s="119"/>
      <c r="E1215" s="117"/>
      <c r="F1215" s="120">
        <f t="shared" si="360"/>
        <v>0</v>
      </c>
      <c r="G1215" s="121" t="str">
        <f t="shared" si="361"/>
        <v/>
      </c>
      <c r="H1215" s="122">
        <f>IF($D1215="",0,IFERROR(LOOKUP(2,1/(($D$3:D1214=$D1215)*($A$3:A1214&lt;$A1215)),$N$3:N1214),'Guide &amp; Settings'!$C$41))</f>
        <v>0</v>
      </c>
      <c r="I1215" s="123">
        <f t="shared" si="362"/>
        <v>0</v>
      </c>
      <c r="J1215" s="124">
        <f>IF($D1215="",0,IF($F1215&lt;2,0,IF($E1215="Win",('Guide &amp; Settings'!$C$42/(($F1215-1)*COUNTIFS($A$4:$A$1510,$A1215,$E$4:$E$1510,"Win")))*SUMIFS($X$4:$X$1510,$A$4:$A$1510,$A1215,$E$4:$E$1510,"Loss"),-('Guide &amp; Settings'!$C$42/($F1215-1))*$X1215)))</f>
        <v>0</v>
      </c>
      <c r="K1215" s="124">
        <f>IF($D1215="",0,'Guide &amp; Settings'!$C$43*(IF($E1215="Win",1,0)-$I1215))</f>
        <v>0</v>
      </c>
      <c r="L1215" s="125">
        <f>IF($D1215="",0,'Guide &amp; Settings'!$C$44*IF($F1215&gt;=3,$F1215,0))</f>
        <v>0</v>
      </c>
      <c r="M1215" s="124">
        <f t="shared" si="363"/>
        <v>0</v>
      </c>
      <c r="N1215" s="122">
        <f t="shared" si="364"/>
        <v>0</v>
      </c>
      <c r="O1215" s="121" t="str">
        <f t="shared" si="365"/>
        <v/>
      </c>
      <c r="P1215">
        <f t="shared" si="366"/>
        <v>0</v>
      </c>
      <c r="Q1215">
        <f t="shared" si="367"/>
        <v>0</v>
      </c>
      <c r="R1215">
        <f t="shared" si="368"/>
        <v>0</v>
      </c>
      <c r="S1215">
        <f t="shared" si="369"/>
        <v>0</v>
      </c>
      <c r="T1215" s="89">
        <f t="shared" si="370"/>
        <v>0</v>
      </c>
      <c r="U1215" s="126">
        <f>IF($D1215="",0,IFERROR(LOOKUP(2,1/(($D$3:D1214=$D1215)*($C$3:C1214=$C1215)*($A$3:A1214&lt;$A1215)),$AB$3:AB1214),1000))</f>
        <v>0</v>
      </c>
      <c r="V1215" s="126">
        <f t="shared" si="371"/>
        <v>0</v>
      </c>
      <c r="W1215">
        <f t="shared" si="372"/>
        <v>0</v>
      </c>
      <c r="X1215">
        <f t="shared" si="373"/>
        <v>0</v>
      </c>
      <c r="Y1215">
        <f t="shared" si="374"/>
        <v>0</v>
      </c>
      <c r="Z1215">
        <f t="shared" si="375"/>
        <v>0</v>
      </c>
      <c r="AA1215">
        <f>IF($D1215="",0,IF($F1215&lt;2,0,IF($E1215="Win",('Guide &amp; Settings'!$C$42/(($F1215-1)*COUNTIFS($A$4:$A$1510,$A1215,$E$4:$E$1510,"Win")))*SUMIFS($Z$4:$Z$1510,$A$4:$A$1510,$A1215,$E$4:$E$1510,"Loss"),-('Guide &amp; Settings'!$C$42/($F1215-1))*$Z1215)))</f>
        <v>0</v>
      </c>
      <c r="AB1215" s="126">
        <f t="shared" si="376"/>
        <v>0</v>
      </c>
      <c r="AC1215" t="str">
        <f>IF($D1215="","",IF($AD1215=0,0,IF(COUNTIFS($D$4:$D1215,$D1215,$B$4:$B1215,$B1215)&gt;1,0,IF($B1215&lt;'Guide &amp; Settings'!$C$50,0,IF(($B1215-$AD1215)/7-'Guide &amp; Settings'!$C$48&gt;=0,(INT(($B1215-$AD1215)/7-'Guide &amp; Settings'!$C$48)+1)*'Guide &amp; Settings'!$C$49,0)))))</f>
        <v/>
      </c>
      <c r="AD1215" s="142">
        <f t="shared" si="377"/>
        <v>0</v>
      </c>
      <c r="AE1215">
        <f t="shared" si="378"/>
        <v>0</v>
      </c>
      <c r="AF1215">
        <f t="shared" si="379"/>
        <v>0</v>
      </c>
    </row>
    <row r="1216" spans="1:32" x14ac:dyDescent="0.2">
      <c r="A1216" s="117"/>
      <c r="B1216" s="118"/>
      <c r="C1216" s="119"/>
      <c r="D1216" s="119"/>
      <c r="E1216" s="117"/>
      <c r="F1216" s="120">
        <f t="shared" si="360"/>
        <v>0</v>
      </c>
      <c r="G1216" s="121" t="str">
        <f t="shared" si="361"/>
        <v/>
      </c>
      <c r="H1216" s="122">
        <f>IF($D1216="",0,IFERROR(LOOKUP(2,1/(($D$3:D1215=$D1216)*($A$3:A1215&lt;$A1216)),$N$3:N1215),'Guide &amp; Settings'!$C$41))</f>
        <v>0</v>
      </c>
      <c r="I1216" s="123">
        <f t="shared" si="362"/>
        <v>0</v>
      </c>
      <c r="J1216" s="124">
        <f>IF($D1216="",0,IF($F1216&lt;2,0,IF($E1216="Win",('Guide &amp; Settings'!$C$42/(($F1216-1)*COUNTIFS($A$4:$A$1510,$A1216,$E$4:$E$1510,"Win")))*SUMIFS($X$4:$X$1510,$A$4:$A$1510,$A1216,$E$4:$E$1510,"Loss"),-('Guide &amp; Settings'!$C$42/($F1216-1))*$X1216)))</f>
        <v>0</v>
      </c>
      <c r="K1216" s="124">
        <f>IF($D1216="",0,'Guide &amp; Settings'!$C$43*(IF($E1216="Win",1,0)-$I1216))</f>
        <v>0</v>
      </c>
      <c r="L1216" s="125">
        <f>IF($D1216="",0,'Guide &amp; Settings'!$C$44*IF($F1216&gt;=3,$F1216,0))</f>
        <v>0</v>
      </c>
      <c r="M1216" s="124">
        <f t="shared" si="363"/>
        <v>0</v>
      </c>
      <c r="N1216" s="122">
        <f t="shared" si="364"/>
        <v>0</v>
      </c>
      <c r="O1216" s="121" t="str">
        <f t="shared" si="365"/>
        <v/>
      </c>
      <c r="P1216">
        <f t="shared" si="366"/>
        <v>0</v>
      </c>
      <c r="Q1216">
        <f t="shared" si="367"/>
        <v>0</v>
      </c>
      <c r="R1216">
        <f t="shared" si="368"/>
        <v>0</v>
      </c>
      <c r="S1216">
        <f t="shared" si="369"/>
        <v>0</v>
      </c>
      <c r="T1216" s="89">
        <f t="shared" si="370"/>
        <v>0</v>
      </c>
      <c r="U1216" s="126">
        <f>IF($D1216="",0,IFERROR(LOOKUP(2,1/(($D$3:D1215=$D1216)*($C$3:C1215=$C1216)*($A$3:A1215&lt;$A1216)),$AB$3:AB1215),1000))</f>
        <v>0</v>
      </c>
      <c r="V1216" s="126">
        <f t="shared" si="371"/>
        <v>0</v>
      </c>
      <c r="W1216">
        <f t="shared" si="372"/>
        <v>0</v>
      </c>
      <c r="X1216">
        <f t="shared" si="373"/>
        <v>0</v>
      </c>
      <c r="Y1216">
        <f t="shared" si="374"/>
        <v>0</v>
      </c>
      <c r="Z1216">
        <f t="shared" si="375"/>
        <v>0</v>
      </c>
      <c r="AA1216">
        <f>IF($D1216="",0,IF($F1216&lt;2,0,IF($E1216="Win",('Guide &amp; Settings'!$C$42/(($F1216-1)*COUNTIFS($A$4:$A$1510,$A1216,$E$4:$E$1510,"Win")))*SUMIFS($Z$4:$Z$1510,$A$4:$A$1510,$A1216,$E$4:$E$1510,"Loss"),-('Guide &amp; Settings'!$C$42/($F1216-1))*$Z1216)))</f>
        <v>0</v>
      </c>
      <c r="AB1216" s="126">
        <f t="shared" si="376"/>
        <v>0</v>
      </c>
      <c r="AC1216" t="str">
        <f>IF($D1216="","",IF($AD1216=0,0,IF(COUNTIFS($D$4:$D1216,$D1216,$B$4:$B1216,$B1216)&gt;1,0,IF($B1216&lt;'Guide &amp; Settings'!$C$50,0,IF(($B1216-$AD1216)/7-'Guide &amp; Settings'!$C$48&gt;=0,(INT(($B1216-$AD1216)/7-'Guide &amp; Settings'!$C$48)+1)*'Guide &amp; Settings'!$C$49,0)))))</f>
        <v/>
      </c>
      <c r="AD1216" s="142">
        <f t="shared" si="377"/>
        <v>0</v>
      </c>
      <c r="AE1216">
        <f t="shared" si="378"/>
        <v>0</v>
      </c>
      <c r="AF1216">
        <f t="shared" si="379"/>
        <v>0</v>
      </c>
    </row>
    <row r="1217" spans="1:32" x14ac:dyDescent="0.2">
      <c r="A1217" s="117"/>
      <c r="B1217" s="118"/>
      <c r="C1217" s="119"/>
      <c r="D1217" s="119"/>
      <c r="E1217" s="117"/>
      <c r="F1217" s="120">
        <f t="shared" si="360"/>
        <v>0</v>
      </c>
      <c r="G1217" s="121" t="str">
        <f t="shared" si="361"/>
        <v/>
      </c>
      <c r="H1217" s="122">
        <f>IF($D1217="",0,IFERROR(LOOKUP(2,1/(($D$3:D1216=$D1217)*($A$3:A1216&lt;$A1217)),$N$3:N1216),'Guide &amp; Settings'!$C$41))</f>
        <v>0</v>
      </c>
      <c r="I1217" s="123">
        <f t="shared" si="362"/>
        <v>0</v>
      </c>
      <c r="J1217" s="124">
        <f>IF($D1217="",0,IF($F1217&lt;2,0,IF($E1217="Win",('Guide &amp; Settings'!$C$42/(($F1217-1)*COUNTIFS($A$4:$A$1510,$A1217,$E$4:$E$1510,"Win")))*SUMIFS($X$4:$X$1510,$A$4:$A$1510,$A1217,$E$4:$E$1510,"Loss"),-('Guide &amp; Settings'!$C$42/($F1217-1))*$X1217)))</f>
        <v>0</v>
      </c>
      <c r="K1217" s="124">
        <f>IF($D1217="",0,'Guide &amp; Settings'!$C$43*(IF($E1217="Win",1,0)-$I1217))</f>
        <v>0</v>
      </c>
      <c r="L1217" s="125">
        <f>IF($D1217="",0,'Guide &amp; Settings'!$C$44*IF($F1217&gt;=3,$F1217,0))</f>
        <v>0</v>
      </c>
      <c r="M1217" s="124">
        <f t="shared" si="363"/>
        <v>0</v>
      </c>
      <c r="N1217" s="122">
        <f t="shared" si="364"/>
        <v>0</v>
      </c>
      <c r="O1217" s="121" t="str">
        <f t="shared" si="365"/>
        <v/>
      </c>
      <c r="P1217">
        <f t="shared" si="366"/>
        <v>0</v>
      </c>
      <c r="Q1217">
        <f t="shared" si="367"/>
        <v>0</v>
      </c>
      <c r="R1217">
        <f t="shared" si="368"/>
        <v>0</v>
      </c>
      <c r="S1217">
        <f t="shared" si="369"/>
        <v>0</v>
      </c>
      <c r="T1217" s="89">
        <f t="shared" si="370"/>
        <v>0</v>
      </c>
      <c r="U1217" s="126">
        <f>IF($D1217="",0,IFERROR(LOOKUP(2,1/(($D$3:D1216=$D1217)*($C$3:C1216=$C1217)*($A$3:A1216&lt;$A1217)),$AB$3:AB1216),1000))</f>
        <v>0</v>
      </c>
      <c r="V1217" s="126">
        <f t="shared" si="371"/>
        <v>0</v>
      </c>
      <c r="W1217">
        <f t="shared" si="372"/>
        <v>0</v>
      </c>
      <c r="X1217">
        <f t="shared" si="373"/>
        <v>0</v>
      </c>
      <c r="Y1217">
        <f t="shared" si="374"/>
        <v>0</v>
      </c>
      <c r="Z1217">
        <f t="shared" si="375"/>
        <v>0</v>
      </c>
      <c r="AA1217">
        <f>IF($D1217="",0,IF($F1217&lt;2,0,IF($E1217="Win",('Guide &amp; Settings'!$C$42/(($F1217-1)*COUNTIFS($A$4:$A$1510,$A1217,$E$4:$E$1510,"Win")))*SUMIFS($Z$4:$Z$1510,$A$4:$A$1510,$A1217,$E$4:$E$1510,"Loss"),-('Guide &amp; Settings'!$C$42/($F1217-1))*$Z1217)))</f>
        <v>0</v>
      </c>
      <c r="AB1217" s="126">
        <f t="shared" si="376"/>
        <v>0</v>
      </c>
      <c r="AC1217" t="str">
        <f>IF($D1217="","",IF($AD1217=0,0,IF(COUNTIFS($D$4:$D1217,$D1217,$B$4:$B1217,$B1217)&gt;1,0,IF($B1217&lt;'Guide &amp; Settings'!$C$50,0,IF(($B1217-$AD1217)/7-'Guide &amp; Settings'!$C$48&gt;=0,(INT(($B1217-$AD1217)/7-'Guide &amp; Settings'!$C$48)+1)*'Guide &amp; Settings'!$C$49,0)))))</f>
        <v/>
      </c>
      <c r="AD1217" s="142">
        <f t="shared" si="377"/>
        <v>0</v>
      </c>
      <c r="AE1217">
        <f t="shared" si="378"/>
        <v>0</v>
      </c>
      <c r="AF1217">
        <f t="shared" si="379"/>
        <v>0</v>
      </c>
    </row>
    <row r="1218" spans="1:32" x14ac:dyDescent="0.2">
      <c r="A1218" s="117"/>
      <c r="B1218" s="118"/>
      <c r="C1218" s="119"/>
      <c r="D1218" s="119"/>
      <c r="E1218" s="117"/>
      <c r="F1218" s="120">
        <f t="shared" si="360"/>
        <v>0</v>
      </c>
      <c r="G1218" s="121" t="str">
        <f t="shared" si="361"/>
        <v/>
      </c>
      <c r="H1218" s="122">
        <f>IF($D1218="",0,IFERROR(LOOKUP(2,1/(($D$3:D1217=$D1218)*($A$3:A1217&lt;$A1218)),$N$3:N1217),'Guide &amp; Settings'!$C$41))</f>
        <v>0</v>
      </c>
      <c r="I1218" s="123">
        <f t="shared" si="362"/>
        <v>0</v>
      </c>
      <c r="J1218" s="124">
        <f>IF($D1218="",0,IF($F1218&lt;2,0,IF($E1218="Win",('Guide &amp; Settings'!$C$42/(($F1218-1)*COUNTIFS($A$4:$A$1510,$A1218,$E$4:$E$1510,"Win")))*SUMIFS($X$4:$X$1510,$A$4:$A$1510,$A1218,$E$4:$E$1510,"Loss"),-('Guide &amp; Settings'!$C$42/($F1218-1))*$X1218)))</f>
        <v>0</v>
      </c>
      <c r="K1218" s="124">
        <f>IF($D1218="",0,'Guide &amp; Settings'!$C$43*(IF($E1218="Win",1,0)-$I1218))</f>
        <v>0</v>
      </c>
      <c r="L1218" s="125">
        <f>IF($D1218="",0,'Guide &amp; Settings'!$C$44*IF($F1218&gt;=3,$F1218,0))</f>
        <v>0</v>
      </c>
      <c r="M1218" s="124">
        <f t="shared" si="363"/>
        <v>0</v>
      </c>
      <c r="N1218" s="122">
        <f t="shared" si="364"/>
        <v>0</v>
      </c>
      <c r="O1218" s="121" t="str">
        <f t="shared" si="365"/>
        <v/>
      </c>
      <c r="P1218">
        <f t="shared" si="366"/>
        <v>0</v>
      </c>
      <c r="Q1218">
        <f t="shared" si="367"/>
        <v>0</v>
      </c>
      <c r="R1218">
        <f t="shared" si="368"/>
        <v>0</v>
      </c>
      <c r="S1218">
        <f t="shared" si="369"/>
        <v>0</v>
      </c>
      <c r="T1218" s="89">
        <f t="shared" si="370"/>
        <v>0</v>
      </c>
      <c r="U1218" s="126">
        <f>IF($D1218="",0,IFERROR(LOOKUP(2,1/(($D$3:D1217=$D1218)*($C$3:C1217=$C1218)*($A$3:A1217&lt;$A1218)),$AB$3:AB1217),1000))</f>
        <v>0</v>
      </c>
      <c r="V1218" s="126">
        <f t="shared" si="371"/>
        <v>0</v>
      </c>
      <c r="W1218">
        <f t="shared" si="372"/>
        <v>0</v>
      </c>
      <c r="X1218">
        <f t="shared" si="373"/>
        <v>0</v>
      </c>
      <c r="Y1218">
        <f t="shared" si="374"/>
        <v>0</v>
      </c>
      <c r="Z1218">
        <f t="shared" si="375"/>
        <v>0</v>
      </c>
      <c r="AA1218">
        <f>IF($D1218="",0,IF($F1218&lt;2,0,IF($E1218="Win",('Guide &amp; Settings'!$C$42/(($F1218-1)*COUNTIFS($A$4:$A$1510,$A1218,$E$4:$E$1510,"Win")))*SUMIFS($Z$4:$Z$1510,$A$4:$A$1510,$A1218,$E$4:$E$1510,"Loss"),-('Guide &amp; Settings'!$C$42/($F1218-1))*$Z1218)))</f>
        <v>0</v>
      </c>
      <c r="AB1218" s="126">
        <f t="shared" si="376"/>
        <v>0</v>
      </c>
      <c r="AC1218" t="str">
        <f>IF($D1218="","",IF($AD1218=0,0,IF(COUNTIFS($D$4:$D1218,$D1218,$B$4:$B1218,$B1218)&gt;1,0,IF($B1218&lt;'Guide &amp; Settings'!$C$50,0,IF(($B1218-$AD1218)/7-'Guide &amp; Settings'!$C$48&gt;=0,(INT(($B1218-$AD1218)/7-'Guide &amp; Settings'!$C$48)+1)*'Guide &amp; Settings'!$C$49,0)))))</f>
        <v/>
      </c>
      <c r="AD1218" s="142">
        <f t="shared" si="377"/>
        <v>0</v>
      </c>
      <c r="AE1218">
        <f t="shared" si="378"/>
        <v>0</v>
      </c>
      <c r="AF1218">
        <f t="shared" si="379"/>
        <v>0</v>
      </c>
    </row>
    <row r="1219" spans="1:32" x14ac:dyDescent="0.2">
      <c r="A1219" s="117"/>
      <c r="B1219" s="118"/>
      <c r="C1219" s="119"/>
      <c r="D1219" s="119"/>
      <c r="E1219" s="117"/>
      <c r="F1219" s="120">
        <f t="shared" si="360"/>
        <v>0</v>
      </c>
      <c r="G1219" s="121" t="str">
        <f t="shared" si="361"/>
        <v/>
      </c>
      <c r="H1219" s="122">
        <f>IF($D1219="",0,IFERROR(LOOKUP(2,1/(($D$3:D1218=$D1219)*($A$3:A1218&lt;$A1219)),$N$3:N1218),'Guide &amp; Settings'!$C$41))</f>
        <v>0</v>
      </c>
      <c r="I1219" s="123">
        <f t="shared" si="362"/>
        <v>0</v>
      </c>
      <c r="J1219" s="124">
        <f>IF($D1219="",0,IF($F1219&lt;2,0,IF($E1219="Win",('Guide &amp; Settings'!$C$42/(($F1219-1)*COUNTIFS($A$4:$A$1510,$A1219,$E$4:$E$1510,"Win")))*SUMIFS($X$4:$X$1510,$A$4:$A$1510,$A1219,$E$4:$E$1510,"Loss"),-('Guide &amp; Settings'!$C$42/($F1219-1))*$X1219)))</f>
        <v>0</v>
      </c>
      <c r="K1219" s="124">
        <f>IF($D1219="",0,'Guide &amp; Settings'!$C$43*(IF($E1219="Win",1,0)-$I1219))</f>
        <v>0</v>
      </c>
      <c r="L1219" s="125">
        <f>IF($D1219="",0,'Guide &amp; Settings'!$C$44*IF($F1219&gt;=3,$F1219,0))</f>
        <v>0</v>
      </c>
      <c r="M1219" s="124">
        <f t="shared" si="363"/>
        <v>0</v>
      </c>
      <c r="N1219" s="122">
        <f t="shared" si="364"/>
        <v>0</v>
      </c>
      <c r="O1219" s="121" t="str">
        <f t="shared" si="365"/>
        <v/>
      </c>
      <c r="P1219">
        <f t="shared" si="366"/>
        <v>0</v>
      </c>
      <c r="Q1219">
        <f t="shared" si="367"/>
        <v>0</v>
      </c>
      <c r="R1219">
        <f t="shared" si="368"/>
        <v>0</v>
      </c>
      <c r="S1219">
        <f t="shared" si="369"/>
        <v>0</v>
      </c>
      <c r="T1219" s="89">
        <f t="shared" si="370"/>
        <v>0</v>
      </c>
      <c r="U1219" s="126">
        <f>IF($D1219="",0,IFERROR(LOOKUP(2,1/(($D$3:D1218=$D1219)*($C$3:C1218=$C1219)*($A$3:A1218&lt;$A1219)),$AB$3:AB1218),1000))</f>
        <v>0</v>
      </c>
      <c r="V1219" s="126">
        <f t="shared" si="371"/>
        <v>0</v>
      </c>
      <c r="W1219">
        <f t="shared" si="372"/>
        <v>0</v>
      </c>
      <c r="X1219">
        <f t="shared" si="373"/>
        <v>0</v>
      </c>
      <c r="Y1219">
        <f t="shared" si="374"/>
        <v>0</v>
      </c>
      <c r="Z1219">
        <f t="shared" si="375"/>
        <v>0</v>
      </c>
      <c r="AA1219">
        <f>IF($D1219="",0,IF($F1219&lt;2,0,IF($E1219="Win",('Guide &amp; Settings'!$C$42/(($F1219-1)*COUNTIFS($A$4:$A$1510,$A1219,$E$4:$E$1510,"Win")))*SUMIFS($Z$4:$Z$1510,$A$4:$A$1510,$A1219,$E$4:$E$1510,"Loss"),-('Guide &amp; Settings'!$C$42/($F1219-1))*$Z1219)))</f>
        <v>0</v>
      </c>
      <c r="AB1219" s="126">
        <f t="shared" si="376"/>
        <v>0</v>
      </c>
      <c r="AC1219" t="str">
        <f>IF($D1219="","",IF($AD1219=0,0,IF(COUNTIFS($D$4:$D1219,$D1219,$B$4:$B1219,$B1219)&gt;1,0,IF($B1219&lt;'Guide &amp; Settings'!$C$50,0,IF(($B1219-$AD1219)/7-'Guide &amp; Settings'!$C$48&gt;=0,(INT(($B1219-$AD1219)/7-'Guide &amp; Settings'!$C$48)+1)*'Guide &amp; Settings'!$C$49,0)))))</f>
        <v/>
      </c>
      <c r="AD1219" s="142">
        <f t="shared" si="377"/>
        <v>0</v>
      </c>
      <c r="AE1219">
        <f t="shared" si="378"/>
        <v>0</v>
      </c>
      <c r="AF1219">
        <f t="shared" si="379"/>
        <v>0</v>
      </c>
    </row>
    <row r="1220" spans="1:32" x14ac:dyDescent="0.2">
      <c r="A1220" s="117"/>
      <c r="B1220" s="118"/>
      <c r="C1220" s="119"/>
      <c r="D1220" s="119"/>
      <c r="E1220" s="117"/>
      <c r="F1220" s="120">
        <f t="shared" ref="F1220:F1283" si="380">IF($D1220="",0,COUNTIF($A$4:$A$1510,$A1220))</f>
        <v>0</v>
      </c>
      <c r="G1220" s="121" t="str">
        <f t="shared" ref="G1220:G1283" si="381">IF($D1220="","",IFERROR(LOOKUP(2,1/(($A$4:$A$1510=$A1220)*($E$4:$E$1510="Win")),$D$4:$D$1510),"(no winner)"))</f>
        <v/>
      </c>
      <c r="H1220" s="122">
        <f>IF($D1220="",0,IFERROR(LOOKUP(2,1/(($D$3:D1219=$D1220)*($A$3:A1219&lt;$A1220)),$N$3:N1219),'Guide &amp; Settings'!$C$41))</f>
        <v>0</v>
      </c>
      <c r="I1220" s="123">
        <f t="shared" ref="I1220:I1283" si="382">IF($D1220="",0,IF($S1220=0,0,$R1220/$S1220))</f>
        <v>0</v>
      </c>
      <c r="J1220" s="124">
        <f>IF($D1220="",0,IF($F1220&lt;2,0,IF($E1220="Win",('Guide &amp; Settings'!$C$42/(($F1220-1)*COUNTIFS($A$4:$A$1510,$A1220,$E$4:$E$1510,"Win")))*SUMIFS($X$4:$X$1510,$A$4:$A$1510,$A1220,$E$4:$E$1510,"Loss"),-('Guide &amp; Settings'!$C$42/($F1220-1))*$X1220)))</f>
        <v>0</v>
      </c>
      <c r="K1220" s="124">
        <f>IF($D1220="",0,'Guide &amp; Settings'!$C$43*(IF($E1220="Win",1,0)-$I1220))</f>
        <v>0</v>
      </c>
      <c r="L1220" s="125">
        <f>IF($D1220="",0,'Guide &amp; Settings'!$C$44*IF($F1220&gt;=3,$F1220,0))</f>
        <v>0</v>
      </c>
      <c r="M1220" s="124">
        <f t="shared" ref="M1220:M1283" si="383">IF($D1220="",0,$J1220+$K1220+$L1220)</f>
        <v>0</v>
      </c>
      <c r="N1220" s="122">
        <f t="shared" ref="N1220:N1283" si="384">IF($D1220="",0,$H1220+$M1220)</f>
        <v>0</v>
      </c>
      <c r="O1220" s="121" t="str">
        <f t="shared" ref="O1220:O1283" si="385">IF($D1220="","",IF($AE1220=0,"need a winner",IF($F1220-$AE1220=0,"need a loser",IF(MOD($AF1220,2)=1,"duplicate player",IF(MOD(INT($AF1220/2),2)=1,"mixed sports",IF($AF1220&gt;=4,"mixed dates",IF($AE1220&gt;1,IF($F1220&gt;=4,"OK (team)","check winners"),"OK")))))))</f>
        <v/>
      </c>
      <c r="P1220">
        <f t="shared" ref="P1220:P1283" si="386">IF($D1220="",0,IFERROR(SUMIFS($H$4:$H$1510,$A$4:$A$1510,$A1220,$E$4:$E$1510,"Win")/COUNTIFS($A$4:$A$1510,$A1220,$E$4:$E$1510,"Win"),0))</f>
        <v>0</v>
      </c>
      <c r="Q1220">
        <f t="shared" ref="Q1220:Q1283" si="387">IF($D1220="",0,1/(1+10^(($P1220-$H1220)/400)))</f>
        <v>0</v>
      </c>
      <c r="R1220">
        <f t="shared" ref="R1220:R1283" si="388">IF($D1220="",0,(COUNTIFS($D$4:$D$1510,$D1220,$C$4:$C$1510,$C1220,$E$4:$E$1510,"Win",$A$4:$A$1510,"&lt;"&amp;$A1220)+1)/(COUNTIFS($D$4:$D$1510,$D1220,$C$4:$C$1510,$C1220,$A$4:$A$1510,"&lt;"&amp;$A1220)+2))</f>
        <v>0</v>
      </c>
      <c r="S1220">
        <f t="shared" ref="S1220:S1283" si="389">IF($D1220="",0,SUMIFS($R$4:$R$1510,$A$4:$A$1510,$A1220))</f>
        <v>0</v>
      </c>
      <c r="T1220" s="89">
        <f t="shared" ref="T1220:T1283" si="390">IF($D1220="",0,COUNTIFS($D$4:$D$1510,$D1220,$C$4:$C$1510,$C1220,$A$4:$A$1510,"&lt;"&amp;$A1220))</f>
        <v>0</v>
      </c>
      <c r="U1220" s="126">
        <f>IF($D1220="",0,IFERROR(LOOKUP(2,1/(($D$3:D1219=$D1220)*($C$3:C1219=$C1220)*($A$3:A1219&lt;$A1220)),$AB$3:AB1219),1000))</f>
        <v>0</v>
      </c>
      <c r="V1220" s="126">
        <f t="shared" ref="V1220:V1283" si="391">IF($D1220="",0,$U1220*($T1220/($T1220+5))+$H1220*(1-$T1220/($T1220+5)))</f>
        <v>0</v>
      </c>
      <c r="W1220">
        <f t="shared" ref="W1220:W1283" si="392">IF($D1220="",0,IFERROR(SUMIFS($V$4:$V$1510,$A$4:$A$1510,$A1220,$E$4:$E$1510,"Win")/COUNTIFS($A$4:$A$1510,$A1220,$E$4:$E$1510,"Win"),0))</f>
        <v>0</v>
      </c>
      <c r="X1220">
        <f t="shared" ref="X1220:X1283" si="393">IF($D1220="",0,1/(1+10^(($W1220-$V1220)/400)))</f>
        <v>0</v>
      </c>
      <c r="Y1220">
        <f t="shared" ref="Y1220:Y1283" si="394">IF($D1220="",0,IFERROR(SUMIFS($U$4:$U$1510,$A$4:$A$1510,$A1220,$E$4:$E$1510,"Win")/COUNTIFS($A$4:$A$1510,$A1220,$E$4:$E$1510,"Win"),0))</f>
        <v>0</v>
      </c>
      <c r="Z1220">
        <f t="shared" ref="Z1220:Z1283" si="395">IF($D1220="",0,1/(1+10^(($Y1220-$U1220)/400)))</f>
        <v>0</v>
      </c>
      <c r="AA1220">
        <f>IF($D1220="",0,IF($F1220&lt;2,0,IF($E1220="Win",('Guide &amp; Settings'!$C$42/(($F1220-1)*COUNTIFS($A$4:$A$1510,$A1220,$E$4:$E$1510,"Win")))*SUMIFS($Z$4:$Z$1510,$A$4:$A$1510,$A1220,$E$4:$E$1510,"Loss"),-('Guide &amp; Settings'!$C$42/($F1220-1))*$Z1220)))</f>
        <v>0</v>
      </c>
      <c r="AB1220" s="126">
        <f t="shared" ref="AB1220:AB1283" si="396">IF($D1220="",0,$U1220+$AA1220)</f>
        <v>0</v>
      </c>
      <c r="AC1220" t="str">
        <f>IF($D1220="","",IF($AD1220=0,0,IF(COUNTIFS($D$4:$D1220,$D1220,$B$4:$B1220,$B1220)&gt;1,0,IF($B1220&lt;'Guide &amp; Settings'!$C$50,0,IF(($B1220-$AD1220)/7-'Guide &amp; Settings'!$C$48&gt;=0,(INT(($B1220-$AD1220)/7-'Guide &amp; Settings'!$C$48)+1)*'Guide &amp; Settings'!$C$49,0)))))</f>
        <v/>
      </c>
      <c r="AD1220" s="142">
        <f t="shared" ref="AD1220:AD1283" si="397">IF($D1220="",0,SUMPRODUCT(MAX(($D$4:$D$1510=$D1220)*($B$4:$B$1510&lt;$B1220)*$B$4:$B$1510)))</f>
        <v>0</v>
      </c>
      <c r="AE1220">
        <f t="shared" ref="AE1220:AE1283" si="398">IF($D1220="",0,COUNTIFS($A$4:$A$1510,$A1220,$E$4:$E$1510,"Win"))</f>
        <v>0</v>
      </c>
      <c r="AF1220">
        <f t="shared" ref="AF1220:AF1283" si="399">IF($D1220="",0,(COUNTIFS($A$4:$A$1510,$A1220,$D$4:$D$1510,$D1220)&gt;1)*1+(COUNTIFS($A$4:$A$1510,$A1220,$C$4:$C$1510,"&lt;&gt;"&amp;$C1220)&gt;0)*2+(COUNTIFS($A$4:$A$1510,$A1220,$B$4:$B$1510,"&lt;&gt;"&amp;$B1220)&gt;0)*4)</f>
        <v>0</v>
      </c>
    </row>
    <row r="1221" spans="1:32" x14ac:dyDescent="0.2">
      <c r="A1221" s="117"/>
      <c r="B1221" s="118"/>
      <c r="C1221" s="119"/>
      <c r="D1221" s="119"/>
      <c r="E1221" s="117"/>
      <c r="F1221" s="120">
        <f t="shared" si="380"/>
        <v>0</v>
      </c>
      <c r="G1221" s="121" t="str">
        <f t="shared" si="381"/>
        <v/>
      </c>
      <c r="H1221" s="122">
        <f>IF($D1221="",0,IFERROR(LOOKUP(2,1/(($D$3:D1220=$D1221)*($A$3:A1220&lt;$A1221)),$N$3:N1220),'Guide &amp; Settings'!$C$41))</f>
        <v>0</v>
      </c>
      <c r="I1221" s="123">
        <f t="shared" si="382"/>
        <v>0</v>
      </c>
      <c r="J1221" s="124">
        <f>IF($D1221="",0,IF($F1221&lt;2,0,IF($E1221="Win",('Guide &amp; Settings'!$C$42/(($F1221-1)*COUNTIFS($A$4:$A$1510,$A1221,$E$4:$E$1510,"Win")))*SUMIFS($X$4:$X$1510,$A$4:$A$1510,$A1221,$E$4:$E$1510,"Loss"),-('Guide &amp; Settings'!$C$42/($F1221-1))*$X1221)))</f>
        <v>0</v>
      </c>
      <c r="K1221" s="124">
        <f>IF($D1221="",0,'Guide &amp; Settings'!$C$43*(IF($E1221="Win",1,0)-$I1221))</f>
        <v>0</v>
      </c>
      <c r="L1221" s="125">
        <f>IF($D1221="",0,'Guide &amp; Settings'!$C$44*IF($F1221&gt;=3,$F1221,0))</f>
        <v>0</v>
      </c>
      <c r="M1221" s="124">
        <f t="shared" si="383"/>
        <v>0</v>
      </c>
      <c r="N1221" s="122">
        <f t="shared" si="384"/>
        <v>0</v>
      </c>
      <c r="O1221" s="121" t="str">
        <f t="shared" si="385"/>
        <v/>
      </c>
      <c r="P1221">
        <f t="shared" si="386"/>
        <v>0</v>
      </c>
      <c r="Q1221">
        <f t="shared" si="387"/>
        <v>0</v>
      </c>
      <c r="R1221">
        <f t="shared" si="388"/>
        <v>0</v>
      </c>
      <c r="S1221">
        <f t="shared" si="389"/>
        <v>0</v>
      </c>
      <c r="T1221" s="89">
        <f t="shared" si="390"/>
        <v>0</v>
      </c>
      <c r="U1221" s="126">
        <f>IF($D1221="",0,IFERROR(LOOKUP(2,1/(($D$3:D1220=$D1221)*($C$3:C1220=$C1221)*($A$3:A1220&lt;$A1221)),$AB$3:AB1220),1000))</f>
        <v>0</v>
      </c>
      <c r="V1221" s="126">
        <f t="shared" si="391"/>
        <v>0</v>
      </c>
      <c r="W1221">
        <f t="shared" si="392"/>
        <v>0</v>
      </c>
      <c r="X1221">
        <f t="shared" si="393"/>
        <v>0</v>
      </c>
      <c r="Y1221">
        <f t="shared" si="394"/>
        <v>0</v>
      </c>
      <c r="Z1221">
        <f t="shared" si="395"/>
        <v>0</v>
      </c>
      <c r="AA1221">
        <f>IF($D1221="",0,IF($F1221&lt;2,0,IF($E1221="Win",('Guide &amp; Settings'!$C$42/(($F1221-1)*COUNTIFS($A$4:$A$1510,$A1221,$E$4:$E$1510,"Win")))*SUMIFS($Z$4:$Z$1510,$A$4:$A$1510,$A1221,$E$4:$E$1510,"Loss"),-('Guide &amp; Settings'!$C$42/($F1221-1))*$Z1221)))</f>
        <v>0</v>
      </c>
      <c r="AB1221" s="126">
        <f t="shared" si="396"/>
        <v>0</v>
      </c>
      <c r="AC1221" t="str">
        <f>IF($D1221="","",IF($AD1221=0,0,IF(COUNTIFS($D$4:$D1221,$D1221,$B$4:$B1221,$B1221)&gt;1,0,IF($B1221&lt;'Guide &amp; Settings'!$C$50,0,IF(($B1221-$AD1221)/7-'Guide &amp; Settings'!$C$48&gt;=0,(INT(($B1221-$AD1221)/7-'Guide &amp; Settings'!$C$48)+1)*'Guide &amp; Settings'!$C$49,0)))))</f>
        <v/>
      </c>
      <c r="AD1221" s="142">
        <f t="shared" si="397"/>
        <v>0</v>
      </c>
      <c r="AE1221">
        <f t="shared" si="398"/>
        <v>0</v>
      </c>
      <c r="AF1221">
        <f t="shared" si="399"/>
        <v>0</v>
      </c>
    </row>
    <row r="1222" spans="1:32" x14ac:dyDescent="0.2">
      <c r="A1222" s="117"/>
      <c r="B1222" s="118"/>
      <c r="C1222" s="119"/>
      <c r="D1222" s="119"/>
      <c r="E1222" s="117"/>
      <c r="F1222" s="120">
        <f t="shared" si="380"/>
        <v>0</v>
      </c>
      <c r="G1222" s="121" t="str">
        <f t="shared" si="381"/>
        <v/>
      </c>
      <c r="H1222" s="122">
        <f>IF($D1222="",0,IFERROR(LOOKUP(2,1/(($D$3:D1221=$D1222)*($A$3:A1221&lt;$A1222)),$N$3:N1221),'Guide &amp; Settings'!$C$41))</f>
        <v>0</v>
      </c>
      <c r="I1222" s="123">
        <f t="shared" si="382"/>
        <v>0</v>
      </c>
      <c r="J1222" s="124">
        <f>IF($D1222="",0,IF($F1222&lt;2,0,IF($E1222="Win",('Guide &amp; Settings'!$C$42/(($F1222-1)*COUNTIFS($A$4:$A$1510,$A1222,$E$4:$E$1510,"Win")))*SUMIFS($X$4:$X$1510,$A$4:$A$1510,$A1222,$E$4:$E$1510,"Loss"),-('Guide &amp; Settings'!$C$42/($F1222-1))*$X1222)))</f>
        <v>0</v>
      </c>
      <c r="K1222" s="124">
        <f>IF($D1222="",0,'Guide &amp; Settings'!$C$43*(IF($E1222="Win",1,0)-$I1222))</f>
        <v>0</v>
      </c>
      <c r="L1222" s="125">
        <f>IF($D1222="",0,'Guide &amp; Settings'!$C$44*IF($F1222&gt;=3,$F1222,0))</f>
        <v>0</v>
      </c>
      <c r="M1222" s="124">
        <f t="shared" si="383"/>
        <v>0</v>
      </c>
      <c r="N1222" s="122">
        <f t="shared" si="384"/>
        <v>0</v>
      </c>
      <c r="O1222" s="121" t="str">
        <f t="shared" si="385"/>
        <v/>
      </c>
      <c r="P1222">
        <f t="shared" si="386"/>
        <v>0</v>
      </c>
      <c r="Q1222">
        <f t="shared" si="387"/>
        <v>0</v>
      </c>
      <c r="R1222">
        <f t="shared" si="388"/>
        <v>0</v>
      </c>
      <c r="S1222">
        <f t="shared" si="389"/>
        <v>0</v>
      </c>
      <c r="T1222" s="89">
        <f t="shared" si="390"/>
        <v>0</v>
      </c>
      <c r="U1222" s="126">
        <f>IF($D1222="",0,IFERROR(LOOKUP(2,1/(($D$3:D1221=$D1222)*($C$3:C1221=$C1222)*($A$3:A1221&lt;$A1222)),$AB$3:AB1221),1000))</f>
        <v>0</v>
      </c>
      <c r="V1222" s="126">
        <f t="shared" si="391"/>
        <v>0</v>
      </c>
      <c r="W1222">
        <f t="shared" si="392"/>
        <v>0</v>
      </c>
      <c r="X1222">
        <f t="shared" si="393"/>
        <v>0</v>
      </c>
      <c r="Y1222">
        <f t="shared" si="394"/>
        <v>0</v>
      </c>
      <c r="Z1222">
        <f t="shared" si="395"/>
        <v>0</v>
      </c>
      <c r="AA1222">
        <f>IF($D1222="",0,IF($F1222&lt;2,0,IF($E1222="Win",('Guide &amp; Settings'!$C$42/(($F1222-1)*COUNTIFS($A$4:$A$1510,$A1222,$E$4:$E$1510,"Win")))*SUMIFS($Z$4:$Z$1510,$A$4:$A$1510,$A1222,$E$4:$E$1510,"Loss"),-('Guide &amp; Settings'!$C$42/($F1222-1))*$Z1222)))</f>
        <v>0</v>
      </c>
      <c r="AB1222" s="126">
        <f t="shared" si="396"/>
        <v>0</v>
      </c>
      <c r="AC1222" t="str">
        <f>IF($D1222="","",IF($AD1222=0,0,IF(COUNTIFS($D$4:$D1222,$D1222,$B$4:$B1222,$B1222)&gt;1,0,IF($B1222&lt;'Guide &amp; Settings'!$C$50,0,IF(($B1222-$AD1222)/7-'Guide &amp; Settings'!$C$48&gt;=0,(INT(($B1222-$AD1222)/7-'Guide &amp; Settings'!$C$48)+1)*'Guide &amp; Settings'!$C$49,0)))))</f>
        <v/>
      </c>
      <c r="AD1222" s="142">
        <f t="shared" si="397"/>
        <v>0</v>
      </c>
      <c r="AE1222">
        <f t="shared" si="398"/>
        <v>0</v>
      </c>
      <c r="AF1222">
        <f t="shared" si="399"/>
        <v>0</v>
      </c>
    </row>
    <row r="1223" spans="1:32" x14ac:dyDescent="0.2">
      <c r="A1223" s="117"/>
      <c r="B1223" s="118"/>
      <c r="C1223" s="119"/>
      <c r="D1223" s="119"/>
      <c r="E1223" s="117"/>
      <c r="F1223" s="120">
        <f t="shared" si="380"/>
        <v>0</v>
      </c>
      <c r="G1223" s="121" t="str">
        <f t="shared" si="381"/>
        <v/>
      </c>
      <c r="H1223" s="122">
        <f>IF($D1223="",0,IFERROR(LOOKUP(2,1/(($D$3:D1222=$D1223)*($A$3:A1222&lt;$A1223)),$N$3:N1222),'Guide &amp; Settings'!$C$41))</f>
        <v>0</v>
      </c>
      <c r="I1223" s="123">
        <f t="shared" si="382"/>
        <v>0</v>
      </c>
      <c r="J1223" s="124">
        <f>IF($D1223="",0,IF($F1223&lt;2,0,IF($E1223="Win",('Guide &amp; Settings'!$C$42/(($F1223-1)*COUNTIFS($A$4:$A$1510,$A1223,$E$4:$E$1510,"Win")))*SUMIFS($X$4:$X$1510,$A$4:$A$1510,$A1223,$E$4:$E$1510,"Loss"),-('Guide &amp; Settings'!$C$42/($F1223-1))*$X1223)))</f>
        <v>0</v>
      </c>
      <c r="K1223" s="124">
        <f>IF($D1223="",0,'Guide &amp; Settings'!$C$43*(IF($E1223="Win",1,0)-$I1223))</f>
        <v>0</v>
      </c>
      <c r="L1223" s="125">
        <f>IF($D1223="",0,'Guide &amp; Settings'!$C$44*IF($F1223&gt;=3,$F1223,0))</f>
        <v>0</v>
      </c>
      <c r="M1223" s="124">
        <f t="shared" si="383"/>
        <v>0</v>
      </c>
      <c r="N1223" s="122">
        <f t="shared" si="384"/>
        <v>0</v>
      </c>
      <c r="O1223" s="121" t="str">
        <f t="shared" si="385"/>
        <v/>
      </c>
      <c r="P1223">
        <f t="shared" si="386"/>
        <v>0</v>
      </c>
      <c r="Q1223">
        <f t="shared" si="387"/>
        <v>0</v>
      </c>
      <c r="R1223">
        <f t="shared" si="388"/>
        <v>0</v>
      </c>
      <c r="S1223">
        <f t="shared" si="389"/>
        <v>0</v>
      </c>
      <c r="T1223" s="89">
        <f t="shared" si="390"/>
        <v>0</v>
      </c>
      <c r="U1223" s="126">
        <f>IF($D1223="",0,IFERROR(LOOKUP(2,1/(($D$3:D1222=$D1223)*($C$3:C1222=$C1223)*($A$3:A1222&lt;$A1223)),$AB$3:AB1222),1000))</f>
        <v>0</v>
      </c>
      <c r="V1223" s="126">
        <f t="shared" si="391"/>
        <v>0</v>
      </c>
      <c r="W1223">
        <f t="shared" si="392"/>
        <v>0</v>
      </c>
      <c r="X1223">
        <f t="shared" si="393"/>
        <v>0</v>
      </c>
      <c r="Y1223">
        <f t="shared" si="394"/>
        <v>0</v>
      </c>
      <c r="Z1223">
        <f t="shared" si="395"/>
        <v>0</v>
      </c>
      <c r="AA1223">
        <f>IF($D1223="",0,IF($F1223&lt;2,0,IF($E1223="Win",('Guide &amp; Settings'!$C$42/(($F1223-1)*COUNTIFS($A$4:$A$1510,$A1223,$E$4:$E$1510,"Win")))*SUMIFS($Z$4:$Z$1510,$A$4:$A$1510,$A1223,$E$4:$E$1510,"Loss"),-('Guide &amp; Settings'!$C$42/($F1223-1))*$Z1223)))</f>
        <v>0</v>
      </c>
      <c r="AB1223" s="126">
        <f t="shared" si="396"/>
        <v>0</v>
      </c>
      <c r="AC1223" t="str">
        <f>IF($D1223="","",IF($AD1223=0,0,IF(COUNTIFS($D$4:$D1223,$D1223,$B$4:$B1223,$B1223)&gt;1,0,IF($B1223&lt;'Guide &amp; Settings'!$C$50,0,IF(($B1223-$AD1223)/7-'Guide &amp; Settings'!$C$48&gt;=0,(INT(($B1223-$AD1223)/7-'Guide &amp; Settings'!$C$48)+1)*'Guide &amp; Settings'!$C$49,0)))))</f>
        <v/>
      </c>
      <c r="AD1223" s="142">
        <f t="shared" si="397"/>
        <v>0</v>
      </c>
      <c r="AE1223">
        <f t="shared" si="398"/>
        <v>0</v>
      </c>
      <c r="AF1223">
        <f t="shared" si="399"/>
        <v>0</v>
      </c>
    </row>
    <row r="1224" spans="1:32" x14ac:dyDescent="0.2">
      <c r="A1224" s="117"/>
      <c r="B1224" s="118"/>
      <c r="C1224" s="119"/>
      <c r="D1224" s="119"/>
      <c r="E1224" s="117"/>
      <c r="F1224" s="120">
        <f t="shared" si="380"/>
        <v>0</v>
      </c>
      <c r="G1224" s="121" t="str">
        <f t="shared" si="381"/>
        <v/>
      </c>
      <c r="H1224" s="122">
        <f>IF($D1224="",0,IFERROR(LOOKUP(2,1/(($D$3:D1223=$D1224)*($A$3:A1223&lt;$A1224)),$N$3:N1223),'Guide &amp; Settings'!$C$41))</f>
        <v>0</v>
      </c>
      <c r="I1224" s="123">
        <f t="shared" si="382"/>
        <v>0</v>
      </c>
      <c r="J1224" s="124">
        <f>IF($D1224="",0,IF($F1224&lt;2,0,IF($E1224="Win",('Guide &amp; Settings'!$C$42/(($F1224-1)*COUNTIFS($A$4:$A$1510,$A1224,$E$4:$E$1510,"Win")))*SUMIFS($X$4:$X$1510,$A$4:$A$1510,$A1224,$E$4:$E$1510,"Loss"),-('Guide &amp; Settings'!$C$42/($F1224-1))*$X1224)))</f>
        <v>0</v>
      </c>
      <c r="K1224" s="124">
        <f>IF($D1224="",0,'Guide &amp; Settings'!$C$43*(IF($E1224="Win",1,0)-$I1224))</f>
        <v>0</v>
      </c>
      <c r="L1224" s="125">
        <f>IF($D1224="",0,'Guide &amp; Settings'!$C$44*IF($F1224&gt;=3,$F1224,0))</f>
        <v>0</v>
      </c>
      <c r="M1224" s="124">
        <f t="shared" si="383"/>
        <v>0</v>
      </c>
      <c r="N1224" s="122">
        <f t="shared" si="384"/>
        <v>0</v>
      </c>
      <c r="O1224" s="121" t="str">
        <f t="shared" si="385"/>
        <v/>
      </c>
      <c r="P1224">
        <f t="shared" si="386"/>
        <v>0</v>
      </c>
      <c r="Q1224">
        <f t="shared" si="387"/>
        <v>0</v>
      </c>
      <c r="R1224">
        <f t="shared" si="388"/>
        <v>0</v>
      </c>
      <c r="S1224">
        <f t="shared" si="389"/>
        <v>0</v>
      </c>
      <c r="T1224" s="89">
        <f t="shared" si="390"/>
        <v>0</v>
      </c>
      <c r="U1224" s="126">
        <f>IF($D1224="",0,IFERROR(LOOKUP(2,1/(($D$3:D1223=$D1224)*($C$3:C1223=$C1224)*($A$3:A1223&lt;$A1224)),$AB$3:AB1223),1000))</f>
        <v>0</v>
      </c>
      <c r="V1224" s="126">
        <f t="shared" si="391"/>
        <v>0</v>
      </c>
      <c r="W1224">
        <f t="shared" si="392"/>
        <v>0</v>
      </c>
      <c r="X1224">
        <f t="shared" si="393"/>
        <v>0</v>
      </c>
      <c r="Y1224">
        <f t="shared" si="394"/>
        <v>0</v>
      </c>
      <c r="Z1224">
        <f t="shared" si="395"/>
        <v>0</v>
      </c>
      <c r="AA1224">
        <f>IF($D1224="",0,IF($F1224&lt;2,0,IF($E1224="Win",('Guide &amp; Settings'!$C$42/(($F1224-1)*COUNTIFS($A$4:$A$1510,$A1224,$E$4:$E$1510,"Win")))*SUMIFS($Z$4:$Z$1510,$A$4:$A$1510,$A1224,$E$4:$E$1510,"Loss"),-('Guide &amp; Settings'!$C$42/($F1224-1))*$Z1224)))</f>
        <v>0</v>
      </c>
      <c r="AB1224" s="126">
        <f t="shared" si="396"/>
        <v>0</v>
      </c>
      <c r="AC1224" t="str">
        <f>IF($D1224="","",IF($AD1224=0,0,IF(COUNTIFS($D$4:$D1224,$D1224,$B$4:$B1224,$B1224)&gt;1,0,IF($B1224&lt;'Guide &amp; Settings'!$C$50,0,IF(($B1224-$AD1224)/7-'Guide &amp; Settings'!$C$48&gt;=0,(INT(($B1224-$AD1224)/7-'Guide &amp; Settings'!$C$48)+1)*'Guide &amp; Settings'!$C$49,0)))))</f>
        <v/>
      </c>
      <c r="AD1224" s="142">
        <f t="shared" si="397"/>
        <v>0</v>
      </c>
      <c r="AE1224">
        <f t="shared" si="398"/>
        <v>0</v>
      </c>
      <c r="AF1224">
        <f t="shared" si="399"/>
        <v>0</v>
      </c>
    </row>
    <row r="1225" spans="1:32" x14ac:dyDescent="0.2">
      <c r="A1225" s="117"/>
      <c r="B1225" s="118"/>
      <c r="C1225" s="119"/>
      <c r="D1225" s="119"/>
      <c r="E1225" s="117"/>
      <c r="F1225" s="120">
        <f t="shared" si="380"/>
        <v>0</v>
      </c>
      <c r="G1225" s="121" t="str">
        <f t="shared" si="381"/>
        <v/>
      </c>
      <c r="H1225" s="122">
        <f>IF($D1225="",0,IFERROR(LOOKUP(2,1/(($D$3:D1224=$D1225)*($A$3:A1224&lt;$A1225)),$N$3:N1224),'Guide &amp; Settings'!$C$41))</f>
        <v>0</v>
      </c>
      <c r="I1225" s="123">
        <f t="shared" si="382"/>
        <v>0</v>
      </c>
      <c r="J1225" s="124">
        <f>IF($D1225="",0,IF($F1225&lt;2,0,IF($E1225="Win",('Guide &amp; Settings'!$C$42/(($F1225-1)*COUNTIFS($A$4:$A$1510,$A1225,$E$4:$E$1510,"Win")))*SUMIFS($X$4:$X$1510,$A$4:$A$1510,$A1225,$E$4:$E$1510,"Loss"),-('Guide &amp; Settings'!$C$42/($F1225-1))*$X1225)))</f>
        <v>0</v>
      </c>
      <c r="K1225" s="124">
        <f>IF($D1225="",0,'Guide &amp; Settings'!$C$43*(IF($E1225="Win",1,0)-$I1225))</f>
        <v>0</v>
      </c>
      <c r="L1225" s="125">
        <f>IF($D1225="",0,'Guide &amp; Settings'!$C$44*IF($F1225&gt;=3,$F1225,0))</f>
        <v>0</v>
      </c>
      <c r="M1225" s="124">
        <f t="shared" si="383"/>
        <v>0</v>
      </c>
      <c r="N1225" s="122">
        <f t="shared" si="384"/>
        <v>0</v>
      </c>
      <c r="O1225" s="121" t="str">
        <f t="shared" si="385"/>
        <v/>
      </c>
      <c r="P1225">
        <f t="shared" si="386"/>
        <v>0</v>
      </c>
      <c r="Q1225">
        <f t="shared" si="387"/>
        <v>0</v>
      </c>
      <c r="R1225">
        <f t="shared" si="388"/>
        <v>0</v>
      </c>
      <c r="S1225">
        <f t="shared" si="389"/>
        <v>0</v>
      </c>
      <c r="T1225" s="89">
        <f t="shared" si="390"/>
        <v>0</v>
      </c>
      <c r="U1225" s="126">
        <f>IF($D1225="",0,IFERROR(LOOKUP(2,1/(($D$3:D1224=$D1225)*($C$3:C1224=$C1225)*($A$3:A1224&lt;$A1225)),$AB$3:AB1224),1000))</f>
        <v>0</v>
      </c>
      <c r="V1225" s="126">
        <f t="shared" si="391"/>
        <v>0</v>
      </c>
      <c r="W1225">
        <f t="shared" si="392"/>
        <v>0</v>
      </c>
      <c r="X1225">
        <f t="shared" si="393"/>
        <v>0</v>
      </c>
      <c r="Y1225">
        <f t="shared" si="394"/>
        <v>0</v>
      </c>
      <c r="Z1225">
        <f t="shared" si="395"/>
        <v>0</v>
      </c>
      <c r="AA1225">
        <f>IF($D1225="",0,IF($F1225&lt;2,0,IF($E1225="Win",('Guide &amp; Settings'!$C$42/(($F1225-1)*COUNTIFS($A$4:$A$1510,$A1225,$E$4:$E$1510,"Win")))*SUMIFS($Z$4:$Z$1510,$A$4:$A$1510,$A1225,$E$4:$E$1510,"Loss"),-('Guide &amp; Settings'!$C$42/($F1225-1))*$Z1225)))</f>
        <v>0</v>
      </c>
      <c r="AB1225" s="126">
        <f t="shared" si="396"/>
        <v>0</v>
      </c>
      <c r="AC1225" t="str">
        <f>IF($D1225="","",IF($AD1225=0,0,IF(COUNTIFS($D$4:$D1225,$D1225,$B$4:$B1225,$B1225)&gt;1,0,IF($B1225&lt;'Guide &amp; Settings'!$C$50,0,IF(($B1225-$AD1225)/7-'Guide &amp; Settings'!$C$48&gt;=0,(INT(($B1225-$AD1225)/7-'Guide &amp; Settings'!$C$48)+1)*'Guide &amp; Settings'!$C$49,0)))))</f>
        <v/>
      </c>
      <c r="AD1225" s="142">
        <f t="shared" si="397"/>
        <v>0</v>
      </c>
      <c r="AE1225">
        <f t="shared" si="398"/>
        <v>0</v>
      </c>
      <c r="AF1225">
        <f t="shared" si="399"/>
        <v>0</v>
      </c>
    </row>
    <row r="1226" spans="1:32" x14ac:dyDescent="0.2">
      <c r="A1226" s="117"/>
      <c r="B1226" s="118"/>
      <c r="C1226" s="119"/>
      <c r="D1226" s="119"/>
      <c r="E1226" s="117"/>
      <c r="F1226" s="120">
        <f t="shared" si="380"/>
        <v>0</v>
      </c>
      <c r="G1226" s="121" t="str">
        <f t="shared" si="381"/>
        <v/>
      </c>
      <c r="H1226" s="122">
        <f>IF($D1226="",0,IFERROR(LOOKUP(2,1/(($D$3:D1225=$D1226)*($A$3:A1225&lt;$A1226)),$N$3:N1225),'Guide &amp; Settings'!$C$41))</f>
        <v>0</v>
      </c>
      <c r="I1226" s="123">
        <f t="shared" si="382"/>
        <v>0</v>
      </c>
      <c r="J1226" s="124">
        <f>IF($D1226="",0,IF($F1226&lt;2,0,IF($E1226="Win",('Guide &amp; Settings'!$C$42/(($F1226-1)*COUNTIFS($A$4:$A$1510,$A1226,$E$4:$E$1510,"Win")))*SUMIFS($X$4:$X$1510,$A$4:$A$1510,$A1226,$E$4:$E$1510,"Loss"),-('Guide &amp; Settings'!$C$42/($F1226-1))*$X1226)))</f>
        <v>0</v>
      </c>
      <c r="K1226" s="124">
        <f>IF($D1226="",0,'Guide &amp; Settings'!$C$43*(IF($E1226="Win",1,0)-$I1226))</f>
        <v>0</v>
      </c>
      <c r="L1226" s="125">
        <f>IF($D1226="",0,'Guide &amp; Settings'!$C$44*IF($F1226&gt;=3,$F1226,0))</f>
        <v>0</v>
      </c>
      <c r="M1226" s="124">
        <f t="shared" si="383"/>
        <v>0</v>
      </c>
      <c r="N1226" s="122">
        <f t="shared" si="384"/>
        <v>0</v>
      </c>
      <c r="O1226" s="121" t="str">
        <f t="shared" si="385"/>
        <v/>
      </c>
      <c r="P1226">
        <f t="shared" si="386"/>
        <v>0</v>
      </c>
      <c r="Q1226">
        <f t="shared" si="387"/>
        <v>0</v>
      </c>
      <c r="R1226">
        <f t="shared" si="388"/>
        <v>0</v>
      </c>
      <c r="S1226">
        <f t="shared" si="389"/>
        <v>0</v>
      </c>
      <c r="T1226" s="89">
        <f t="shared" si="390"/>
        <v>0</v>
      </c>
      <c r="U1226" s="126">
        <f>IF($D1226="",0,IFERROR(LOOKUP(2,1/(($D$3:D1225=$D1226)*($C$3:C1225=$C1226)*($A$3:A1225&lt;$A1226)),$AB$3:AB1225),1000))</f>
        <v>0</v>
      </c>
      <c r="V1226" s="126">
        <f t="shared" si="391"/>
        <v>0</v>
      </c>
      <c r="W1226">
        <f t="shared" si="392"/>
        <v>0</v>
      </c>
      <c r="X1226">
        <f t="shared" si="393"/>
        <v>0</v>
      </c>
      <c r="Y1226">
        <f t="shared" si="394"/>
        <v>0</v>
      </c>
      <c r="Z1226">
        <f t="shared" si="395"/>
        <v>0</v>
      </c>
      <c r="AA1226">
        <f>IF($D1226="",0,IF($F1226&lt;2,0,IF($E1226="Win",('Guide &amp; Settings'!$C$42/(($F1226-1)*COUNTIFS($A$4:$A$1510,$A1226,$E$4:$E$1510,"Win")))*SUMIFS($Z$4:$Z$1510,$A$4:$A$1510,$A1226,$E$4:$E$1510,"Loss"),-('Guide &amp; Settings'!$C$42/($F1226-1))*$Z1226)))</f>
        <v>0</v>
      </c>
      <c r="AB1226" s="126">
        <f t="shared" si="396"/>
        <v>0</v>
      </c>
      <c r="AC1226" t="str">
        <f>IF($D1226="","",IF($AD1226=0,0,IF(COUNTIFS($D$4:$D1226,$D1226,$B$4:$B1226,$B1226)&gt;1,0,IF($B1226&lt;'Guide &amp; Settings'!$C$50,0,IF(($B1226-$AD1226)/7-'Guide &amp; Settings'!$C$48&gt;=0,(INT(($B1226-$AD1226)/7-'Guide &amp; Settings'!$C$48)+1)*'Guide &amp; Settings'!$C$49,0)))))</f>
        <v/>
      </c>
      <c r="AD1226" s="142">
        <f t="shared" si="397"/>
        <v>0</v>
      </c>
      <c r="AE1226">
        <f t="shared" si="398"/>
        <v>0</v>
      </c>
      <c r="AF1226">
        <f t="shared" si="399"/>
        <v>0</v>
      </c>
    </row>
    <row r="1227" spans="1:32" x14ac:dyDescent="0.2">
      <c r="A1227" s="117"/>
      <c r="B1227" s="118"/>
      <c r="C1227" s="119"/>
      <c r="D1227" s="119"/>
      <c r="E1227" s="117"/>
      <c r="F1227" s="120">
        <f t="shared" si="380"/>
        <v>0</v>
      </c>
      <c r="G1227" s="121" t="str">
        <f t="shared" si="381"/>
        <v/>
      </c>
      <c r="H1227" s="122">
        <f>IF($D1227="",0,IFERROR(LOOKUP(2,1/(($D$3:D1226=$D1227)*($A$3:A1226&lt;$A1227)),$N$3:N1226),'Guide &amp; Settings'!$C$41))</f>
        <v>0</v>
      </c>
      <c r="I1227" s="123">
        <f t="shared" si="382"/>
        <v>0</v>
      </c>
      <c r="J1227" s="124">
        <f>IF($D1227="",0,IF($F1227&lt;2,0,IF($E1227="Win",('Guide &amp; Settings'!$C$42/(($F1227-1)*COUNTIFS($A$4:$A$1510,$A1227,$E$4:$E$1510,"Win")))*SUMIFS($X$4:$X$1510,$A$4:$A$1510,$A1227,$E$4:$E$1510,"Loss"),-('Guide &amp; Settings'!$C$42/($F1227-1))*$X1227)))</f>
        <v>0</v>
      </c>
      <c r="K1227" s="124">
        <f>IF($D1227="",0,'Guide &amp; Settings'!$C$43*(IF($E1227="Win",1,0)-$I1227))</f>
        <v>0</v>
      </c>
      <c r="L1227" s="125">
        <f>IF($D1227="",0,'Guide &amp; Settings'!$C$44*IF($F1227&gt;=3,$F1227,0))</f>
        <v>0</v>
      </c>
      <c r="M1227" s="124">
        <f t="shared" si="383"/>
        <v>0</v>
      </c>
      <c r="N1227" s="122">
        <f t="shared" si="384"/>
        <v>0</v>
      </c>
      <c r="O1227" s="121" t="str">
        <f t="shared" si="385"/>
        <v/>
      </c>
      <c r="P1227">
        <f t="shared" si="386"/>
        <v>0</v>
      </c>
      <c r="Q1227">
        <f t="shared" si="387"/>
        <v>0</v>
      </c>
      <c r="R1227">
        <f t="shared" si="388"/>
        <v>0</v>
      </c>
      <c r="S1227">
        <f t="shared" si="389"/>
        <v>0</v>
      </c>
      <c r="T1227" s="89">
        <f t="shared" si="390"/>
        <v>0</v>
      </c>
      <c r="U1227" s="126">
        <f>IF($D1227="",0,IFERROR(LOOKUP(2,1/(($D$3:D1226=$D1227)*($C$3:C1226=$C1227)*($A$3:A1226&lt;$A1227)),$AB$3:AB1226),1000))</f>
        <v>0</v>
      </c>
      <c r="V1227" s="126">
        <f t="shared" si="391"/>
        <v>0</v>
      </c>
      <c r="W1227">
        <f t="shared" si="392"/>
        <v>0</v>
      </c>
      <c r="X1227">
        <f t="shared" si="393"/>
        <v>0</v>
      </c>
      <c r="Y1227">
        <f t="shared" si="394"/>
        <v>0</v>
      </c>
      <c r="Z1227">
        <f t="shared" si="395"/>
        <v>0</v>
      </c>
      <c r="AA1227">
        <f>IF($D1227="",0,IF($F1227&lt;2,0,IF($E1227="Win",('Guide &amp; Settings'!$C$42/(($F1227-1)*COUNTIFS($A$4:$A$1510,$A1227,$E$4:$E$1510,"Win")))*SUMIFS($Z$4:$Z$1510,$A$4:$A$1510,$A1227,$E$4:$E$1510,"Loss"),-('Guide &amp; Settings'!$C$42/($F1227-1))*$Z1227)))</f>
        <v>0</v>
      </c>
      <c r="AB1227" s="126">
        <f t="shared" si="396"/>
        <v>0</v>
      </c>
      <c r="AC1227" t="str">
        <f>IF($D1227="","",IF($AD1227=0,0,IF(COUNTIFS($D$4:$D1227,$D1227,$B$4:$B1227,$B1227)&gt;1,0,IF($B1227&lt;'Guide &amp; Settings'!$C$50,0,IF(($B1227-$AD1227)/7-'Guide &amp; Settings'!$C$48&gt;=0,(INT(($B1227-$AD1227)/7-'Guide &amp; Settings'!$C$48)+1)*'Guide &amp; Settings'!$C$49,0)))))</f>
        <v/>
      </c>
      <c r="AD1227" s="142">
        <f t="shared" si="397"/>
        <v>0</v>
      </c>
      <c r="AE1227">
        <f t="shared" si="398"/>
        <v>0</v>
      </c>
      <c r="AF1227">
        <f t="shared" si="399"/>
        <v>0</v>
      </c>
    </row>
    <row r="1228" spans="1:32" x14ac:dyDescent="0.2">
      <c r="A1228" s="117"/>
      <c r="B1228" s="118"/>
      <c r="C1228" s="119"/>
      <c r="D1228" s="119"/>
      <c r="E1228" s="117"/>
      <c r="F1228" s="120">
        <f t="shared" si="380"/>
        <v>0</v>
      </c>
      <c r="G1228" s="121" t="str">
        <f t="shared" si="381"/>
        <v/>
      </c>
      <c r="H1228" s="122">
        <f>IF($D1228="",0,IFERROR(LOOKUP(2,1/(($D$3:D1227=$D1228)*($A$3:A1227&lt;$A1228)),$N$3:N1227),'Guide &amp; Settings'!$C$41))</f>
        <v>0</v>
      </c>
      <c r="I1228" s="123">
        <f t="shared" si="382"/>
        <v>0</v>
      </c>
      <c r="J1228" s="124">
        <f>IF($D1228="",0,IF($F1228&lt;2,0,IF($E1228="Win",('Guide &amp; Settings'!$C$42/(($F1228-1)*COUNTIFS($A$4:$A$1510,$A1228,$E$4:$E$1510,"Win")))*SUMIFS($X$4:$X$1510,$A$4:$A$1510,$A1228,$E$4:$E$1510,"Loss"),-('Guide &amp; Settings'!$C$42/($F1228-1))*$X1228)))</f>
        <v>0</v>
      </c>
      <c r="K1228" s="124">
        <f>IF($D1228="",0,'Guide &amp; Settings'!$C$43*(IF($E1228="Win",1,0)-$I1228))</f>
        <v>0</v>
      </c>
      <c r="L1228" s="125">
        <f>IF($D1228="",0,'Guide &amp; Settings'!$C$44*IF($F1228&gt;=3,$F1228,0))</f>
        <v>0</v>
      </c>
      <c r="M1228" s="124">
        <f t="shared" si="383"/>
        <v>0</v>
      </c>
      <c r="N1228" s="122">
        <f t="shared" si="384"/>
        <v>0</v>
      </c>
      <c r="O1228" s="121" t="str">
        <f t="shared" si="385"/>
        <v/>
      </c>
      <c r="P1228">
        <f t="shared" si="386"/>
        <v>0</v>
      </c>
      <c r="Q1228">
        <f t="shared" si="387"/>
        <v>0</v>
      </c>
      <c r="R1228">
        <f t="shared" si="388"/>
        <v>0</v>
      </c>
      <c r="S1228">
        <f t="shared" si="389"/>
        <v>0</v>
      </c>
      <c r="T1228" s="89">
        <f t="shared" si="390"/>
        <v>0</v>
      </c>
      <c r="U1228" s="126">
        <f>IF($D1228="",0,IFERROR(LOOKUP(2,1/(($D$3:D1227=$D1228)*($C$3:C1227=$C1228)*($A$3:A1227&lt;$A1228)),$AB$3:AB1227),1000))</f>
        <v>0</v>
      </c>
      <c r="V1228" s="126">
        <f t="shared" si="391"/>
        <v>0</v>
      </c>
      <c r="W1228">
        <f t="shared" si="392"/>
        <v>0</v>
      </c>
      <c r="X1228">
        <f t="shared" si="393"/>
        <v>0</v>
      </c>
      <c r="Y1228">
        <f t="shared" si="394"/>
        <v>0</v>
      </c>
      <c r="Z1228">
        <f t="shared" si="395"/>
        <v>0</v>
      </c>
      <c r="AA1228">
        <f>IF($D1228="",0,IF($F1228&lt;2,0,IF($E1228="Win",('Guide &amp; Settings'!$C$42/(($F1228-1)*COUNTIFS($A$4:$A$1510,$A1228,$E$4:$E$1510,"Win")))*SUMIFS($Z$4:$Z$1510,$A$4:$A$1510,$A1228,$E$4:$E$1510,"Loss"),-('Guide &amp; Settings'!$C$42/($F1228-1))*$Z1228)))</f>
        <v>0</v>
      </c>
      <c r="AB1228" s="126">
        <f t="shared" si="396"/>
        <v>0</v>
      </c>
      <c r="AC1228" t="str">
        <f>IF($D1228="","",IF($AD1228=0,0,IF(COUNTIFS($D$4:$D1228,$D1228,$B$4:$B1228,$B1228)&gt;1,0,IF($B1228&lt;'Guide &amp; Settings'!$C$50,0,IF(($B1228-$AD1228)/7-'Guide &amp; Settings'!$C$48&gt;=0,(INT(($B1228-$AD1228)/7-'Guide &amp; Settings'!$C$48)+1)*'Guide &amp; Settings'!$C$49,0)))))</f>
        <v/>
      </c>
      <c r="AD1228" s="142">
        <f t="shared" si="397"/>
        <v>0</v>
      </c>
      <c r="AE1228">
        <f t="shared" si="398"/>
        <v>0</v>
      </c>
      <c r="AF1228">
        <f t="shared" si="399"/>
        <v>0</v>
      </c>
    </row>
    <row r="1229" spans="1:32" x14ac:dyDescent="0.2">
      <c r="A1229" s="117"/>
      <c r="B1229" s="118"/>
      <c r="C1229" s="119"/>
      <c r="D1229" s="119"/>
      <c r="E1229" s="117"/>
      <c r="F1229" s="120">
        <f t="shared" si="380"/>
        <v>0</v>
      </c>
      <c r="G1229" s="121" t="str">
        <f t="shared" si="381"/>
        <v/>
      </c>
      <c r="H1229" s="122">
        <f>IF($D1229="",0,IFERROR(LOOKUP(2,1/(($D$3:D1228=$D1229)*($A$3:A1228&lt;$A1229)),$N$3:N1228),'Guide &amp; Settings'!$C$41))</f>
        <v>0</v>
      </c>
      <c r="I1229" s="123">
        <f t="shared" si="382"/>
        <v>0</v>
      </c>
      <c r="J1229" s="124">
        <f>IF($D1229="",0,IF($F1229&lt;2,0,IF($E1229="Win",('Guide &amp; Settings'!$C$42/(($F1229-1)*COUNTIFS($A$4:$A$1510,$A1229,$E$4:$E$1510,"Win")))*SUMIFS($X$4:$X$1510,$A$4:$A$1510,$A1229,$E$4:$E$1510,"Loss"),-('Guide &amp; Settings'!$C$42/($F1229-1))*$X1229)))</f>
        <v>0</v>
      </c>
      <c r="K1229" s="124">
        <f>IF($D1229="",0,'Guide &amp; Settings'!$C$43*(IF($E1229="Win",1,0)-$I1229))</f>
        <v>0</v>
      </c>
      <c r="L1229" s="125">
        <f>IF($D1229="",0,'Guide &amp; Settings'!$C$44*IF($F1229&gt;=3,$F1229,0))</f>
        <v>0</v>
      </c>
      <c r="M1229" s="124">
        <f t="shared" si="383"/>
        <v>0</v>
      </c>
      <c r="N1229" s="122">
        <f t="shared" si="384"/>
        <v>0</v>
      </c>
      <c r="O1229" s="121" t="str">
        <f t="shared" si="385"/>
        <v/>
      </c>
      <c r="P1229">
        <f t="shared" si="386"/>
        <v>0</v>
      </c>
      <c r="Q1229">
        <f t="shared" si="387"/>
        <v>0</v>
      </c>
      <c r="R1229">
        <f t="shared" si="388"/>
        <v>0</v>
      </c>
      <c r="S1229">
        <f t="shared" si="389"/>
        <v>0</v>
      </c>
      <c r="T1229" s="89">
        <f t="shared" si="390"/>
        <v>0</v>
      </c>
      <c r="U1229" s="126">
        <f>IF($D1229="",0,IFERROR(LOOKUP(2,1/(($D$3:D1228=$D1229)*($C$3:C1228=$C1229)*($A$3:A1228&lt;$A1229)),$AB$3:AB1228),1000))</f>
        <v>0</v>
      </c>
      <c r="V1229" s="126">
        <f t="shared" si="391"/>
        <v>0</v>
      </c>
      <c r="W1229">
        <f t="shared" si="392"/>
        <v>0</v>
      </c>
      <c r="X1229">
        <f t="shared" si="393"/>
        <v>0</v>
      </c>
      <c r="Y1229">
        <f t="shared" si="394"/>
        <v>0</v>
      </c>
      <c r="Z1229">
        <f t="shared" si="395"/>
        <v>0</v>
      </c>
      <c r="AA1229">
        <f>IF($D1229="",0,IF($F1229&lt;2,0,IF($E1229="Win",('Guide &amp; Settings'!$C$42/(($F1229-1)*COUNTIFS($A$4:$A$1510,$A1229,$E$4:$E$1510,"Win")))*SUMIFS($Z$4:$Z$1510,$A$4:$A$1510,$A1229,$E$4:$E$1510,"Loss"),-('Guide &amp; Settings'!$C$42/($F1229-1))*$Z1229)))</f>
        <v>0</v>
      </c>
      <c r="AB1229" s="126">
        <f t="shared" si="396"/>
        <v>0</v>
      </c>
      <c r="AC1229" t="str">
        <f>IF($D1229="","",IF($AD1229=0,0,IF(COUNTIFS($D$4:$D1229,$D1229,$B$4:$B1229,$B1229)&gt;1,0,IF($B1229&lt;'Guide &amp; Settings'!$C$50,0,IF(($B1229-$AD1229)/7-'Guide &amp; Settings'!$C$48&gt;=0,(INT(($B1229-$AD1229)/7-'Guide &amp; Settings'!$C$48)+1)*'Guide &amp; Settings'!$C$49,0)))))</f>
        <v/>
      </c>
      <c r="AD1229" s="142">
        <f t="shared" si="397"/>
        <v>0</v>
      </c>
      <c r="AE1229">
        <f t="shared" si="398"/>
        <v>0</v>
      </c>
      <c r="AF1229">
        <f t="shared" si="399"/>
        <v>0</v>
      </c>
    </row>
    <row r="1230" spans="1:32" x14ac:dyDescent="0.2">
      <c r="A1230" s="117"/>
      <c r="B1230" s="118"/>
      <c r="C1230" s="119"/>
      <c r="D1230" s="119"/>
      <c r="E1230" s="117"/>
      <c r="F1230" s="120">
        <f t="shared" si="380"/>
        <v>0</v>
      </c>
      <c r="G1230" s="121" t="str">
        <f t="shared" si="381"/>
        <v/>
      </c>
      <c r="H1230" s="122">
        <f>IF($D1230="",0,IFERROR(LOOKUP(2,1/(($D$3:D1229=$D1230)*($A$3:A1229&lt;$A1230)),$N$3:N1229),'Guide &amp; Settings'!$C$41))</f>
        <v>0</v>
      </c>
      <c r="I1230" s="123">
        <f t="shared" si="382"/>
        <v>0</v>
      </c>
      <c r="J1230" s="124">
        <f>IF($D1230="",0,IF($F1230&lt;2,0,IF($E1230="Win",('Guide &amp; Settings'!$C$42/(($F1230-1)*COUNTIFS($A$4:$A$1510,$A1230,$E$4:$E$1510,"Win")))*SUMIFS($X$4:$X$1510,$A$4:$A$1510,$A1230,$E$4:$E$1510,"Loss"),-('Guide &amp; Settings'!$C$42/($F1230-1))*$X1230)))</f>
        <v>0</v>
      </c>
      <c r="K1230" s="124">
        <f>IF($D1230="",0,'Guide &amp; Settings'!$C$43*(IF($E1230="Win",1,0)-$I1230))</f>
        <v>0</v>
      </c>
      <c r="L1230" s="125">
        <f>IF($D1230="",0,'Guide &amp; Settings'!$C$44*IF($F1230&gt;=3,$F1230,0))</f>
        <v>0</v>
      </c>
      <c r="M1230" s="124">
        <f t="shared" si="383"/>
        <v>0</v>
      </c>
      <c r="N1230" s="122">
        <f t="shared" si="384"/>
        <v>0</v>
      </c>
      <c r="O1230" s="121" t="str">
        <f t="shared" si="385"/>
        <v/>
      </c>
      <c r="P1230">
        <f t="shared" si="386"/>
        <v>0</v>
      </c>
      <c r="Q1230">
        <f t="shared" si="387"/>
        <v>0</v>
      </c>
      <c r="R1230">
        <f t="shared" si="388"/>
        <v>0</v>
      </c>
      <c r="S1230">
        <f t="shared" si="389"/>
        <v>0</v>
      </c>
      <c r="T1230" s="89">
        <f t="shared" si="390"/>
        <v>0</v>
      </c>
      <c r="U1230" s="126">
        <f>IF($D1230="",0,IFERROR(LOOKUP(2,1/(($D$3:D1229=$D1230)*($C$3:C1229=$C1230)*($A$3:A1229&lt;$A1230)),$AB$3:AB1229),1000))</f>
        <v>0</v>
      </c>
      <c r="V1230" s="126">
        <f t="shared" si="391"/>
        <v>0</v>
      </c>
      <c r="W1230">
        <f t="shared" si="392"/>
        <v>0</v>
      </c>
      <c r="X1230">
        <f t="shared" si="393"/>
        <v>0</v>
      </c>
      <c r="Y1230">
        <f t="shared" si="394"/>
        <v>0</v>
      </c>
      <c r="Z1230">
        <f t="shared" si="395"/>
        <v>0</v>
      </c>
      <c r="AA1230">
        <f>IF($D1230="",0,IF($F1230&lt;2,0,IF($E1230="Win",('Guide &amp; Settings'!$C$42/(($F1230-1)*COUNTIFS($A$4:$A$1510,$A1230,$E$4:$E$1510,"Win")))*SUMIFS($Z$4:$Z$1510,$A$4:$A$1510,$A1230,$E$4:$E$1510,"Loss"),-('Guide &amp; Settings'!$C$42/($F1230-1))*$Z1230)))</f>
        <v>0</v>
      </c>
      <c r="AB1230" s="126">
        <f t="shared" si="396"/>
        <v>0</v>
      </c>
      <c r="AC1230" t="str">
        <f>IF($D1230="","",IF($AD1230=0,0,IF(COUNTIFS($D$4:$D1230,$D1230,$B$4:$B1230,$B1230)&gt;1,0,IF($B1230&lt;'Guide &amp; Settings'!$C$50,0,IF(($B1230-$AD1230)/7-'Guide &amp; Settings'!$C$48&gt;=0,(INT(($B1230-$AD1230)/7-'Guide &amp; Settings'!$C$48)+1)*'Guide &amp; Settings'!$C$49,0)))))</f>
        <v/>
      </c>
      <c r="AD1230" s="142">
        <f t="shared" si="397"/>
        <v>0</v>
      </c>
      <c r="AE1230">
        <f t="shared" si="398"/>
        <v>0</v>
      </c>
      <c r="AF1230">
        <f t="shared" si="399"/>
        <v>0</v>
      </c>
    </row>
    <row r="1231" spans="1:32" x14ac:dyDescent="0.2">
      <c r="A1231" s="117"/>
      <c r="B1231" s="118"/>
      <c r="C1231" s="119"/>
      <c r="D1231" s="119"/>
      <c r="E1231" s="117"/>
      <c r="F1231" s="120">
        <f t="shared" si="380"/>
        <v>0</v>
      </c>
      <c r="G1231" s="121" t="str">
        <f t="shared" si="381"/>
        <v/>
      </c>
      <c r="H1231" s="122">
        <f>IF($D1231="",0,IFERROR(LOOKUP(2,1/(($D$3:D1230=$D1231)*($A$3:A1230&lt;$A1231)),$N$3:N1230),'Guide &amp; Settings'!$C$41))</f>
        <v>0</v>
      </c>
      <c r="I1231" s="123">
        <f t="shared" si="382"/>
        <v>0</v>
      </c>
      <c r="J1231" s="124">
        <f>IF($D1231="",0,IF($F1231&lt;2,0,IF($E1231="Win",('Guide &amp; Settings'!$C$42/(($F1231-1)*COUNTIFS($A$4:$A$1510,$A1231,$E$4:$E$1510,"Win")))*SUMIFS($X$4:$X$1510,$A$4:$A$1510,$A1231,$E$4:$E$1510,"Loss"),-('Guide &amp; Settings'!$C$42/($F1231-1))*$X1231)))</f>
        <v>0</v>
      </c>
      <c r="K1231" s="124">
        <f>IF($D1231="",0,'Guide &amp; Settings'!$C$43*(IF($E1231="Win",1,0)-$I1231))</f>
        <v>0</v>
      </c>
      <c r="L1231" s="125">
        <f>IF($D1231="",0,'Guide &amp; Settings'!$C$44*IF($F1231&gt;=3,$F1231,0))</f>
        <v>0</v>
      </c>
      <c r="M1231" s="124">
        <f t="shared" si="383"/>
        <v>0</v>
      </c>
      <c r="N1231" s="122">
        <f t="shared" si="384"/>
        <v>0</v>
      </c>
      <c r="O1231" s="121" t="str">
        <f t="shared" si="385"/>
        <v/>
      </c>
      <c r="P1231">
        <f t="shared" si="386"/>
        <v>0</v>
      </c>
      <c r="Q1231">
        <f t="shared" si="387"/>
        <v>0</v>
      </c>
      <c r="R1231">
        <f t="shared" si="388"/>
        <v>0</v>
      </c>
      <c r="S1231">
        <f t="shared" si="389"/>
        <v>0</v>
      </c>
      <c r="T1231" s="89">
        <f t="shared" si="390"/>
        <v>0</v>
      </c>
      <c r="U1231" s="126">
        <f>IF($D1231="",0,IFERROR(LOOKUP(2,1/(($D$3:D1230=$D1231)*($C$3:C1230=$C1231)*($A$3:A1230&lt;$A1231)),$AB$3:AB1230),1000))</f>
        <v>0</v>
      </c>
      <c r="V1231" s="126">
        <f t="shared" si="391"/>
        <v>0</v>
      </c>
      <c r="W1231">
        <f t="shared" si="392"/>
        <v>0</v>
      </c>
      <c r="X1231">
        <f t="shared" si="393"/>
        <v>0</v>
      </c>
      <c r="Y1231">
        <f t="shared" si="394"/>
        <v>0</v>
      </c>
      <c r="Z1231">
        <f t="shared" si="395"/>
        <v>0</v>
      </c>
      <c r="AA1231">
        <f>IF($D1231="",0,IF($F1231&lt;2,0,IF($E1231="Win",('Guide &amp; Settings'!$C$42/(($F1231-1)*COUNTIFS($A$4:$A$1510,$A1231,$E$4:$E$1510,"Win")))*SUMIFS($Z$4:$Z$1510,$A$4:$A$1510,$A1231,$E$4:$E$1510,"Loss"),-('Guide &amp; Settings'!$C$42/($F1231-1))*$Z1231)))</f>
        <v>0</v>
      </c>
      <c r="AB1231" s="126">
        <f t="shared" si="396"/>
        <v>0</v>
      </c>
      <c r="AC1231" t="str">
        <f>IF($D1231="","",IF($AD1231=0,0,IF(COUNTIFS($D$4:$D1231,$D1231,$B$4:$B1231,$B1231)&gt;1,0,IF($B1231&lt;'Guide &amp; Settings'!$C$50,0,IF(($B1231-$AD1231)/7-'Guide &amp; Settings'!$C$48&gt;=0,(INT(($B1231-$AD1231)/7-'Guide &amp; Settings'!$C$48)+1)*'Guide &amp; Settings'!$C$49,0)))))</f>
        <v/>
      </c>
      <c r="AD1231" s="142">
        <f t="shared" si="397"/>
        <v>0</v>
      </c>
      <c r="AE1231">
        <f t="shared" si="398"/>
        <v>0</v>
      </c>
      <c r="AF1231">
        <f t="shared" si="399"/>
        <v>0</v>
      </c>
    </row>
    <row r="1232" spans="1:32" x14ac:dyDescent="0.2">
      <c r="A1232" s="117"/>
      <c r="B1232" s="118"/>
      <c r="C1232" s="119"/>
      <c r="D1232" s="119"/>
      <c r="E1232" s="117"/>
      <c r="F1232" s="120">
        <f t="shared" si="380"/>
        <v>0</v>
      </c>
      <c r="G1232" s="121" t="str">
        <f t="shared" si="381"/>
        <v/>
      </c>
      <c r="H1232" s="122">
        <f>IF($D1232="",0,IFERROR(LOOKUP(2,1/(($D$3:D1231=$D1232)*($A$3:A1231&lt;$A1232)),$N$3:N1231),'Guide &amp; Settings'!$C$41))</f>
        <v>0</v>
      </c>
      <c r="I1232" s="123">
        <f t="shared" si="382"/>
        <v>0</v>
      </c>
      <c r="J1232" s="124">
        <f>IF($D1232="",0,IF($F1232&lt;2,0,IF($E1232="Win",('Guide &amp; Settings'!$C$42/(($F1232-1)*COUNTIFS($A$4:$A$1510,$A1232,$E$4:$E$1510,"Win")))*SUMIFS($X$4:$X$1510,$A$4:$A$1510,$A1232,$E$4:$E$1510,"Loss"),-('Guide &amp; Settings'!$C$42/($F1232-1))*$X1232)))</f>
        <v>0</v>
      </c>
      <c r="K1232" s="124">
        <f>IF($D1232="",0,'Guide &amp; Settings'!$C$43*(IF($E1232="Win",1,0)-$I1232))</f>
        <v>0</v>
      </c>
      <c r="L1232" s="125">
        <f>IF($D1232="",0,'Guide &amp; Settings'!$C$44*IF($F1232&gt;=3,$F1232,0))</f>
        <v>0</v>
      </c>
      <c r="M1232" s="124">
        <f t="shared" si="383"/>
        <v>0</v>
      </c>
      <c r="N1232" s="122">
        <f t="shared" si="384"/>
        <v>0</v>
      </c>
      <c r="O1232" s="121" t="str">
        <f t="shared" si="385"/>
        <v/>
      </c>
      <c r="P1232">
        <f t="shared" si="386"/>
        <v>0</v>
      </c>
      <c r="Q1232">
        <f t="shared" si="387"/>
        <v>0</v>
      </c>
      <c r="R1232">
        <f t="shared" si="388"/>
        <v>0</v>
      </c>
      <c r="S1232">
        <f t="shared" si="389"/>
        <v>0</v>
      </c>
      <c r="T1232" s="89">
        <f t="shared" si="390"/>
        <v>0</v>
      </c>
      <c r="U1232" s="126">
        <f>IF($D1232="",0,IFERROR(LOOKUP(2,1/(($D$3:D1231=$D1232)*($C$3:C1231=$C1232)*($A$3:A1231&lt;$A1232)),$AB$3:AB1231),1000))</f>
        <v>0</v>
      </c>
      <c r="V1232" s="126">
        <f t="shared" si="391"/>
        <v>0</v>
      </c>
      <c r="W1232">
        <f t="shared" si="392"/>
        <v>0</v>
      </c>
      <c r="X1232">
        <f t="shared" si="393"/>
        <v>0</v>
      </c>
      <c r="Y1232">
        <f t="shared" si="394"/>
        <v>0</v>
      </c>
      <c r="Z1232">
        <f t="shared" si="395"/>
        <v>0</v>
      </c>
      <c r="AA1232">
        <f>IF($D1232="",0,IF($F1232&lt;2,0,IF($E1232="Win",('Guide &amp; Settings'!$C$42/(($F1232-1)*COUNTIFS($A$4:$A$1510,$A1232,$E$4:$E$1510,"Win")))*SUMIFS($Z$4:$Z$1510,$A$4:$A$1510,$A1232,$E$4:$E$1510,"Loss"),-('Guide &amp; Settings'!$C$42/($F1232-1))*$Z1232)))</f>
        <v>0</v>
      </c>
      <c r="AB1232" s="126">
        <f t="shared" si="396"/>
        <v>0</v>
      </c>
      <c r="AC1232" t="str">
        <f>IF($D1232="","",IF($AD1232=0,0,IF(COUNTIFS($D$4:$D1232,$D1232,$B$4:$B1232,$B1232)&gt;1,0,IF($B1232&lt;'Guide &amp; Settings'!$C$50,0,IF(($B1232-$AD1232)/7-'Guide &amp; Settings'!$C$48&gt;=0,(INT(($B1232-$AD1232)/7-'Guide &amp; Settings'!$C$48)+1)*'Guide &amp; Settings'!$C$49,0)))))</f>
        <v/>
      </c>
      <c r="AD1232" s="142">
        <f t="shared" si="397"/>
        <v>0</v>
      </c>
      <c r="AE1232">
        <f t="shared" si="398"/>
        <v>0</v>
      </c>
      <c r="AF1232">
        <f t="shared" si="399"/>
        <v>0</v>
      </c>
    </row>
    <row r="1233" spans="1:32" x14ac:dyDescent="0.2">
      <c r="A1233" s="117"/>
      <c r="B1233" s="118"/>
      <c r="C1233" s="119"/>
      <c r="D1233" s="119"/>
      <c r="E1233" s="117"/>
      <c r="F1233" s="120">
        <f t="shared" si="380"/>
        <v>0</v>
      </c>
      <c r="G1233" s="121" t="str">
        <f t="shared" si="381"/>
        <v/>
      </c>
      <c r="H1233" s="122">
        <f>IF($D1233="",0,IFERROR(LOOKUP(2,1/(($D$3:D1232=$D1233)*($A$3:A1232&lt;$A1233)),$N$3:N1232),'Guide &amp; Settings'!$C$41))</f>
        <v>0</v>
      </c>
      <c r="I1233" s="123">
        <f t="shared" si="382"/>
        <v>0</v>
      </c>
      <c r="J1233" s="124">
        <f>IF($D1233="",0,IF($F1233&lt;2,0,IF($E1233="Win",('Guide &amp; Settings'!$C$42/(($F1233-1)*COUNTIFS($A$4:$A$1510,$A1233,$E$4:$E$1510,"Win")))*SUMIFS($X$4:$X$1510,$A$4:$A$1510,$A1233,$E$4:$E$1510,"Loss"),-('Guide &amp; Settings'!$C$42/($F1233-1))*$X1233)))</f>
        <v>0</v>
      </c>
      <c r="K1233" s="124">
        <f>IF($D1233="",0,'Guide &amp; Settings'!$C$43*(IF($E1233="Win",1,0)-$I1233))</f>
        <v>0</v>
      </c>
      <c r="L1233" s="125">
        <f>IF($D1233="",0,'Guide &amp; Settings'!$C$44*IF($F1233&gt;=3,$F1233,0))</f>
        <v>0</v>
      </c>
      <c r="M1233" s="124">
        <f t="shared" si="383"/>
        <v>0</v>
      </c>
      <c r="N1233" s="122">
        <f t="shared" si="384"/>
        <v>0</v>
      </c>
      <c r="O1233" s="121" t="str">
        <f t="shared" si="385"/>
        <v/>
      </c>
      <c r="P1233">
        <f t="shared" si="386"/>
        <v>0</v>
      </c>
      <c r="Q1233">
        <f t="shared" si="387"/>
        <v>0</v>
      </c>
      <c r="R1233">
        <f t="shared" si="388"/>
        <v>0</v>
      </c>
      <c r="S1233">
        <f t="shared" si="389"/>
        <v>0</v>
      </c>
      <c r="T1233" s="89">
        <f t="shared" si="390"/>
        <v>0</v>
      </c>
      <c r="U1233" s="126">
        <f>IF($D1233="",0,IFERROR(LOOKUP(2,1/(($D$3:D1232=$D1233)*($C$3:C1232=$C1233)*($A$3:A1232&lt;$A1233)),$AB$3:AB1232),1000))</f>
        <v>0</v>
      </c>
      <c r="V1233" s="126">
        <f t="shared" si="391"/>
        <v>0</v>
      </c>
      <c r="W1233">
        <f t="shared" si="392"/>
        <v>0</v>
      </c>
      <c r="X1233">
        <f t="shared" si="393"/>
        <v>0</v>
      </c>
      <c r="Y1233">
        <f t="shared" si="394"/>
        <v>0</v>
      </c>
      <c r="Z1233">
        <f t="shared" si="395"/>
        <v>0</v>
      </c>
      <c r="AA1233">
        <f>IF($D1233="",0,IF($F1233&lt;2,0,IF($E1233="Win",('Guide &amp; Settings'!$C$42/(($F1233-1)*COUNTIFS($A$4:$A$1510,$A1233,$E$4:$E$1510,"Win")))*SUMIFS($Z$4:$Z$1510,$A$4:$A$1510,$A1233,$E$4:$E$1510,"Loss"),-('Guide &amp; Settings'!$C$42/($F1233-1))*$Z1233)))</f>
        <v>0</v>
      </c>
      <c r="AB1233" s="126">
        <f t="shared" si="396"/>
        <v>0</v>
      </c>
      <c r="AC1233" t="str">
        <f>IF($D1233="","",IF($AD1233=0,0,IF(COUNTIFS($D$4:$D1233,$D1233,$B$4:$B1233,$B1233)&gt;1,0,IF($B1233&lt;'Guide &amp; Settings'!$C$50,0,IF(($B1233-$AD1233)/7-'Guide &amp; Settings'!$C$48&gt;=0,(INT(($B1233-$AD1233)/7-'Guide &amp; Settings'!$C$48)+1)*'Guide &amp; Settings'!$C$49,0)))))</f>
        <v/>
      </c>
      <c r="AD1233" s="142">
        <f t="shared" si="397"/>
        <v>0</v>
      </c>
      <c r="AE1233">
        <f t="shared" si="398"/>
        <v>0</v>
      </c>
      <c r="AF1233">
        <f t="shared" si="399"/>
        <v>0</v>
      </c>
    </row>
    <row r="1234" spans="1:32" x14ac:dyDescent="0.2">
      <c r="A1234" s="117"/>
      <c r="B1234" s="118"/>
      <c r="C1234" s="119"/>
      <c r="D1234" s="119"/>
      <c r="E1234" s="117"/>
      <c r="F1234" s="120">
        <f t="shared" si="380"/>
        <v>0</v>
      </c>
      <c r="G1234" s="121" t="str">
        <f t="shared" si="381"/>
        <v/>
      </c>
      <c r="H1234" s="122">
        <f>IF($D1234="",0,IFERROR(LOOKUP(2,1/(($D$3:D1233=$D1234)*($A$3:A1233&lt;$A1234)),$N$3:N1233),'Guide &amp; Settings'!$C$41))</f>
        <v>0</v>
      </c>
      <c r="I1234" s="123">
        <f t="shared" si="382"/>
        <v>0</v>
      </c>
      <c r="J1234" s="124">
        <f>IF($D1234="",0,IF($F1234&lt;2,0,IF($E1234="Win",('Guide &amp; Settings'!$C$42/(($F1234-1)*COUNTIFS($A$4:$A$1510,$A1234,$E$4:$E$1510,"Win")))*SUMIFS($X$4:$X$1510,$A$4:$A$1510,$A1234,$E$4:$E$1510,"Loss"),-('Guide &amp; Settings'!$C$42/($F1234-1))*$X1234)))</f>
        <v>0</v>
      </c>
      <c r="K1234" s="124">
        <f>IF($D1234="",0,'Guide &amp; Settings'!$C$43*(IF($E1234="Win",1,0)-$I1234))</f>
        <v>0</v>
      </c>
      <c r="L1234" s="125">
        <f>IF($D1234="",0,'Guide &amp; Settings'!$C$44*IF($F1234&gt;=3,$F1234,0))</f>
        <v>0</v>
      </c>
      <c r="M1234" s="124">
        <f t="shared" si="383"/>
        <v>0</v>
      </c>
      <c r="N1234" s="122">
        <f t="shared" si="384"/>
        <v>0</v>
      </c>
      <c r="O1234" s="121" t="str">
        <f t="shared" si="385"/>
        <v/>
      </c>
      <c r="P1234">
        <f t="shared" si="386"/>
        <v>0</v>
      </c>
      <c r="Q1234">
        <f t="shared" si="387"/>
        <v>0</v>
      </c>
      <c r="R1234">
        <f t="shared" si="388"/>
        <v>0</v>
      </c>
      <c r="S1234">
        <f t="shared" si="389"/>
        <v>0</v>
      </c>
      <c r="T1234" s="89">
        <f t="shared" si="390"/>
        <v>0</v>
      </c>
      <c r="U1234" s="126">
        <f>IF($D1234="",0,IFERROR(LOOKUP(2,1/(($D$3:D1233=$D1234)*($C$3:C1233=$C1234)*($A$3:A1233&lt;$A1234)),$AB$3:AB1233),1000))</f>
        <v>0</v>
      </c>
      <c r="V1234" s="126">
        <f t="shared" si="391"/>
        <v>0</v>
      </c>
      <c r="W1234">
        <f t="shared" si="392"/>
        <v>0</v>
      </c>
      <c r="X1234">
        <f t="shared" si="393"/>
        <v>0</v>
      </c>
      <c r="Y1234">
        <f t="shared" si="394"/>
        <v>0</v>
      </c>
      <c r="Z1234">
        <f t="shared" si="395"/>
        <v>0</v>
      </c>
      <c r="AA1234">
        <f>IF($D1234="",0,IF($F1234&lt;2,0,IF($E1234="Win",('Guide &amp; Settings'!$C$42/(($F1234-1)*COUNTIFS($A$4:$A$1510,$A1234,$E$4:$E$1510,"Win")))*SUMIFS($Z$4:$Z$1510,$A$4:$A$1510,$A1234,$E$4:$E$1510,"Loss"),-('Guide &amp; Settings'!$C$42/($F1234-1))*$Z1234)))</f>
        <v>0</v>
      </c>
      <c r="AB1234" s="126">
        <f t="shared" si="396"/>
        <v>0</v>
      </c>
      <c r="AC1234" t="str">
        <f>IF($D1234="","",IF($AD1234=0,0,IF(COUNTIFS($D$4:$D1234,$D1234,$B$4:$B1234,$B1234)&gt;1,0,IF($B1234&lt;'Guide &amp; Settings'!$C$50,0,IF(($B1234-$AD1234)/7-'Guide &amp; Settings'!$C$48&gt;=0,(INT(($B1234-$AD1234)/7-'Guide &amp; Settings'!$C$48)+1)*'Guide &amp; Settings'!$C$49,0)))))</f>
        <v/>
      </c>
      <c r="AD1234" s="142">
        <f t="shared" si="397"/>
        <v>0</v>
      </c>
      <c r="AE1234">
        <f t="shared" si="398"/>
        <v>0</v>
      </c>
      <c r="AF1234">
        <f t="shared" si="399"/>
        <v>0</v>
      </c>
    </row>
    <row r="1235" spans="1:32" x14ac:dyDescent="0.2">
      <c r="A1235" s="117"/>
      <c r="B1235" s="118"/>
      <c r="C1235" s="119"/>
      <c r="D1235" s="119"/>
      <c r="E1235" s="117"/>
      <c r="F1235" s="120">
        <f t="shared" si="380"/>
        <v>0</v>
      </c>
      <c r="G1235" s="121" t="str">
        <f t="shared" si="381"/>
        <v/>
      </c>
      <c r="H1235" s="122">
        <f>IF($D1235="",0,IFERROR(LOOKUP(2,1/(($D$3:D1234=$D1235)*($A$3:A1234&lt;$A1235)),$N$3:N1234),'Guide &amp; Settings'!$C$41))</f>
        <v>0</v>
      </c>
      <c r="I1235" s="123">
        <f t="shared" si="382"/>
        <v>0</v>
      </c>
      <c r="J1235" s="124">
        <f>IF($D1235="",0,IF($F1235&lt;2,0,IF($E1235="Win",('Guide &amp; Settings'!$C$42/(($F1235-1)*COUNTIFS($A$4:$A$1510,$A1235,$E$4:$E$1510,"Win")))*SUMIFS($X$4:$X$1510,$A$4:$A$1510,$A1235,$E$4:$E$1510,"Loss"),-('Guide &amp; Settings'!$C$42/($F1235-1))*$X1235)))</f>
        <v>0</v>
      </c>
      <c r="K1235" s="124">
        <f>IF($D1235="",0,'Guide &amp; Settings'!$C$43*(IF($E1235="Win",1,0)-$I1235))</f>
        <v>0</v>
      </c>
      <c r="L1235" s="125">
        <f>IF($D1235="",0,'Guide &amp; Settings'!$C$44*IF($F1235&gt;=3,$F1235,0))</f>
        <v>0</v>
      </c>
      <c r="M1235" s="124">
        <f t="shared" si="383"/>
        <v>0</v>
      </c>
      <c r="N1235" s="122">
        <f t="shared" si="384"/>
        <v>0</v>
      </c>
      <c r="O1235" s="121" t="str">
        <f t="shared" si="385"/>
        <v/>
      </c>
      <c r="P1235">
        <f t="shared" si="386"/>
        <v>0</v>
      </c>
      <c r="Q1235">
        <f t="shared" si="387"/>
        <v>0</v>
      </c>
      <c r="R1235">
        <f t="shared" si="388"/>
        <v>0</v>
      </c>
      <c r="S1235">
        <f t="shared" si="389"/>
        <v>0</v>
      </c>
      <c r="T1235" s="89">
        <f t="shared" si="390"/>
        <v>0</v>
      </c>
      <c r="U1235" s="126">
        <f>IF($D1235="",0,IFERROR(LOOKUP(2,1/(($D$3:D1234=$D1235)*($C$3:C1234=$C1235)*($A$3:A1234&lt;$A1235)),$AB$3:AB1234),1000))</f>
        <v>0</v>
      </c>
      <c r="V1235" s="126">
        <f t="shared" si="391"/>
        <v>0</v>
      </c>
      <c r="W1235">
        <f t="shared" si="392"/>
        <v>0</v>
      </c>
      <c r="X1235">
        <f t="shared" si="393"/>
        <v>0</v>
      </c>
      <c r="Y1235">
        <f t="shared" si="394"/>
        <v>0</v>
      </c>
      <c r="Z1235">
        <f t="shared" si="395"/>
        <v>0</v>
      </c>
      <c r="AA1235">
        <f>IF($D1235="",0,IF($F1235&lt;2,0,IF($E1235="Win",('Guide &amp; Settings'!$C$42/(($F1235-1)*COUNTIFS($A$4:$A$1510,$A1235,$E$4:$E$1510,"Win")))*SUMIFS($Z$4:$Z$1510,$A$4:$A$1510,$A1235,$E$4:$E$1510,"Loss"),-('Guide &amp; Settings'!$C$42/($F1235-1))*$Z1235)))</f>
        <v>0</v>
      </c>
      <c r="AB1235" s="126">
        <f t="shared" si="396"/>
        <v>0</v>
      </c>
      <c r="AC1235" t="str">
        <f>IF($D1235="","",IF($AD1235=0,0,IF(COUNTIFS($D$4:$D1235,$D1235,$B$4:$B1235,$B1235)&gt;1,0,IF($B1235&lt;'Guide &amp; Settings'!$C$50,0,IF(($B1235-$AD1235)/7-'Guide &amp; Settings'!$C$48&gt;=0,(INT(($B1235-$AD1235)/7-'Guide &amp; Settings'!$C$48)+1)*'Guide &amp; Settings'!$C$49,0)))))</f>
        <v/>
      </c>
      <c r="AD1235" s="142">
        <f t="shared" si="397"/>
        <v>0</v>
      </c>
      <c r="AE1235">
        <f t="shared" si="398"/>
        <v>0</v>
      </c>
      <c r="AF1235">
        <f t="shared" si="399"/>
        <v>0</v>
      </c>
    </row>
    <row r="1236" spans="1:32" x14ac:dyDescent="0.2">
      <c r="A1236" s="117"/>
      <c r="B1236" s="118"/>
      <c r="C1236" s="119"/>
      <c r="D1236" s="119"/>
      <c r="E1236" s="117"/>
      <c r="F1236" s="120">
        <f t="shared" si="380"/>
        <v>0</v>
      </c>
      <c r="G1236" s="121" t="str">
        <f t="shared" si="381"/>
        <v/>
      </c>
      <c r="H1236" s="122">
        <f>IF($D1236="",0,IFERROR(LOOKUP(2,1/(($D$3:D1235=$D1236)*($A$3:A1235&lt;$A1236)),$N$3:N1235),'Guide &amp; Settings'!$C$41))</f>
        <v>0</v>
      </c>
      <c r="I1236" s="123">
        <f t="shared" si="382"/>
        <v>0</v>
      </c>
      <c r="J1236" s="124">
        <f>IF($D1236="",0,IF($F1236&lt;2,0,IF($E1236="Win",('Guide &amp; Settings'!$C$42/(($F1236-1)*COUNTIFS($A$4:$A$1510,$A1236,$E$4:$E$1510,"Win")))*SUMIFS($X$4:$X$1510,$A$4:$A$1510,$A1236,$E$4:$E$1510,"Loss"),-('Guide &amp; Settings'!$C$42/($F1236-1))*$X1236)))</f>
        <v>0</v>
      </c>
      <c r="K1236" s="124">
        <f>IF($D1236="",0,'Guide &amp; Settings'!$C$43*(IF($E1236="Win",1,0)-$I1236))</f>
        <v>0</v>
      </c>
      <c r="L1236" s="125">
        <f>IF($D1236="",0,'Guide &amp; Settings'!$C$44*IF($F1236&gt;=3,$F1236,0))</f>
        <v>0</v>
      </c>
      <c r="M1236" s="124">
        <f t="shared" si="383"/>
        <v>0</v>
      </c>
      <c r="N1236" s="122">
        <f t="shared" si="384"/>
        <v>0</v>
      </c>
      <c r="O1236" s="121" t="str">
        <f t="shared" si="385"/>
        <v/>
      </c>
      <c r="P1236">
        <f t="shared" si="386"/>
        <v>0</v>
      </c>
      <c r="Q1236">
        <f t="shared" si="387"/>
        <v>0</v>
      </c>
      <c r="R1236">
        <f t="shared" si="388"/>
        <v>0</v>
      </c>
      <c r="S1236">
        <f t="shared" si="389"/>
        <v>0</v>
      </c>
      <c r="T1236" s="89">
        <f t="shared" si="390"/>
        <v>0</v>
      </c>
      <c r="U1236" s="126">
        <f>IF($D1236="",0,IFERROR(LOOKUP(2,1/(($D$3:D1235=$D1236)*($C$3:C1235=$C1236)*($A$3:A1235&lt;$A1236)),$AB$3:AB1235),1000))</f>
        <v>0</v>
      </c>
      <c r="V1236" s="126">
        <f t="shared" si="391"/>
        <v>0</v>
      </c>
      <c r="W1236">
        <f t="shared" si="392"/>
        <v>0</v>
      </c>
      <c r="X1236">
        <f t="shared" si="393"/>
        <v>0</v>
      </c>
      <c r="Y1236">
        <f t="shared" si="394"/>
        <v>0</v>
      </c>
      <c r="Z1236">
        <f t="shared" si="395"/>
        <v>0</v>
      </c>
      <c r="AA1236">
        <f>IF($D1236="",0,IF($F1236&lt;2,0,IF($E1236="Win",('Guide &amp; Settings'!$C$42/(($F1236-1)*COUNTIFS($A$4:$A$1510,$A1236,$E$4:$E$1510,"Win")))*SUMIFS($Z$4:$Z$1510,$A$4:$A$1510,$A1236,$E$4:$E$1510,"Loss"),-('Guide &amp; Settings'!$C$42/($F1236-1))*$Z1236)))</f>
        <v>0</v>
      </c>
      <c r="AB1236" s="126">
        <f t="shared" si="396"/>
        <v>0</v>
      </c>
      <c r="AC1236" t="str">
        <f>IF($D1236="","",IF($AD1236=0,0,IF(COUNTIFS($D$4:$D1236,$D1236,$B$4:$B1236,$B1236)&gt;1,0,IF($B1236&lt;'Guide &amp; Settings'!$C$50,0,IF(($B1236-$AD1236)/7-'Guide &amp; Settings'!$C$48&gt;=0,(INT(($B1236-$AD1236)/7-'Guide &amp; Settings'!$C$48)+1)*'Guide &amp; Settings'!$C$49,0)))))</f>
        <v/>
      </c>
      <c r="AD1236" s="142">
        <f t="shared" si="397"/>
        <v>0</v>
      </c>
      <c r="AE1236">
        <f t="shared" si="398"/>
        <v>0</v>
      </c>
      <c r="AF1236">
        <f t="shared" si="399"/>
        <v>0</v>
      </c>
    </row>
    <row r="1237" spans="1:32" x14ac:dyDescent="0.2">
      <c r="A1237" s="117"/>
      <c r="B1237" s="118"/>
      <c r="C1237" s="119"/>
      <c r="D1237" s="119"/>
      <c r="E1237" s="117"/>
      <c r="F1237" s="120">
        <f t="shared" si="380"/>
        <v>0</v>
      </c>
      <c r="G1237" s="121" t="str">
        <f t="shared" si="381"/>
        <v/>
      </c>
      <c r="H1237" s="122">
        <f>IF($D1237="",0,IFERROR(LOOKUP(2,1/(($D$3:D1236=$D1237)*($A$3:A1236&lt;$A1237)),$N$3:N1236),'Guide &amp; Settings'!$C$41))</f>
        <v>0</v>
      </c>
      <c r="I1237" s="123">
        <f t="shared" si="382"/>
        <v>0</v>
      </c>
      <c r="J1237" s="124">
        <f>IF($D1237="",0,IF($F1237&lt;2,0,IF($E1237="Win",('Guide &amp; Settings'!$C$42/(($F1237-1)*COUNTIFS($A$4:$A$1510,$A1237,$E$4:$E$1510,"Win")))*SUMIFS($X$4:$X$1510,$A$4:$A$1510,$A1237,$E$4:$E$1510,"Loss"),-('Guide &amp; Settings'!$C$42/($F1237-1))*$X1237)))</f>
        <v>0</v>
      </c>
      <c r="K1237" s="124">
        <f>IF($D1237="",0,'Guide &amp; Settings'!$C$43*(IF($E1237="Win",1,0)-$I1237))</f>
        <v>0</v>
      </c>
      <c r="L1237" s="125">
        <f>IF($D1237="",0,'Guide &amp; Settings'!$C$44*IF($F1237&gt;=3,$F1237,0))</f>
        <v>0</v>
      </c>
      <c r="M1237" s="124">
        <f t="shared" si="383"/>
        <v>0</v>
      </c>
      <c r="N1237" s="122">
        <f t="shared" si="384"/>
        <v>0</v>
      </c>
      <c r="O1237" s="121" t="str">
        <f t="shared" si="385"/>
        <v/>
      </c>
      <c r="P1237">
        <f t="shared" si="386"/>
        <v>0</v>
      </c>
      <c r="Q1237">
        <f t="shared" si="387"/>
        <v>0</v>
      </c>
      <c r="R1237">
        <f t="shared" si="388"/>
        <v>0</v>
      </c>
      <c r="S1237">
        <f t="shared" si="389"/>
        <v>0</v>
      </c>
      <c r="T1237" s="89">
        <f t="shared" si="390"/>
        <v>0</v>
      </c>
      <c r="U1237" s="126">
        <f>IF($D1237="",0,IFERROR(LOOKUP(2,1/(($D$3:D1236=$D1237)*($C$3:C1236=$C1237)*($A$3:A1236&lt;$A1237)),$AB$3:AB1236),1000))</f>
        <v>0</v>
      </c>
      <c r="V1237" s="126">
        <f t="shared" si="391"/>
        <v>0</v>
      </c>
      <c r="W1237">
        <f t="shared" si="392"/>
        <v>0</v>
      </c>
      <c r="X1237">
        <f t="shared" si="393"/>
        <v>0</v>
      </c>
      <c r="Y1237">
        <f t="shared" si="394"/>
        <v>0</v>
      </c>
      <c r="Z1237">
        <f t="shared" si="395"/>
        <v>0</v>
      </c>
      <c r="AA1237">
        <f>IF($D1237="",0,IF($F1237&lt;2,0,IF($E1237="Win",('Guide &amp; Settings'!$C$42/(($F1237-1)*COUNTIFS($A$4:$A$1510,$A1237,$E$4:$E$1510,"Win")))*SUMIFS($Z$4:$Z$1510,$A$4:$A$1510,$A1237,$E$4:$E$1510,"Loss"),-('Guide &amp; Settings'!$C$42/($F1237-1))*$Z1237)))</f>
        <v>0</v>
      </c>
      <c r="AB1237" s="126">
        <f t="shared" si="396"/>
        <v>0</v>
      </c>
      <c r="AC1237" t="str">
        <f>IF($D1237="","",IF($AD1237=0,0,IF(COUNTIFS($D$4:$D1237,$D1237,$B$4:$B1237,$B1237)&gt;1,0,IF($B1237&lt;'Guide &amp; Settings'!$C$50,0,IF(($B1237-$AD1237)/7-'Guide &amp; Settings'!$C$48&gt;=0,(INT(($B1237-$AD1237)/7-'Guide &amp; Settings'!$C$48)+1)*'Guide &amp; Settings'!$C$49,0)))))</f>
        <v/>
      </c>
      <c r="AD1237" s="142">
        <f t="shared" si="397"/>
        <v>0</v>
      </c>
      <c r="AE1237">
        <f t="shared" si="398"/>
        <v>0</v>
      </c>
      <c r="AF1237">
        <f t="shared" si="399"/>
        <v>0</v>
      </c>
    </row>
    <row r="1238" spans="1:32" x14ac:dyDescent="0.2">
      <c r="A1238" s="117"/>
      <c r="B1238" s="118"/>
      <c r="C1238" s="119"/>
      <c r="D1238" s="119"/>
      <c r="E1238" s="117"/>
      <c r="F1238" s="120">
        <f t="shared" si="380"/>
        <v>0</v>
      </c>
      <c r="G1238" s="121" t="str">
        <f t="shared" si="381"/>
        <v/>
      </c>
      <c r="H1238" s="122">
        <f>IF($D1238="",0,IFERROR(LOOKUP(2,1/(($D$3:D1237=$D1238)*($A$3:A1237&lt;$A1238)),$N$3:N1237),'Guide &amp; Settings'!$C$41))</f>
        <v>0</v>
      </c>
      <c r="I1238" s="123">
        <f t="shared" si="382"/>
        <v>0</v>
      </c>
      <c r="J1238" s="124">
        <f>IF($D1238="",0,IF($F1238&lt;2,0,IF($E1238="Win",('Guide &amp; Settings'!$C$42/(($F1238-1)*COUNTIFS($A$4:$A$1510,$A1238,$E$4:$E$1510,"Win")))*SUMIFS($X$4:$X$1510,$A$4:$A$1510,$A1238,$E$4:$E$1510,"Loss"),-('Guide &amp; Settings'!$C$42/($F1238-1))*$X1238)))</f>
        <v>0</v>
      </c>
      <c r="K1238" s="124">
        <f>IF($D1238="",0,'Guide &amp; Settings'!$C$43*(IF($E1238="Win",1,0)-$I1238))</f>
        <v>0</v>
      </c>
      <c r="L1238" s="125">
        <f>IF($D1238="",0,'Guide &amp; Settings'!$C$44*IF($F1238&gt;=3,$F1238,0))</f>
        <v>0</v>
      </c>
      <c r="M1238" s="124">
        <f t="shared" si="383"/>
        <v>0</v>
      </c>
      <c r="N1238" s="122">
        <f t="shared" si="384"/>
        <v>0</v>
      </c>
      <c r="O1238" s="121" t="str">
        <f t="shared" si="385"/>
        <v/>
      </c>
      <c r="P1238">
        <f t="shared" si="386"/>
        <v>0</v>
      </c>
      <c r="Q1238">
        <f t="shared" si="387"/>
        <v>0</v>
      </c>
      <c r="R1238">
        <f t="shared" si="388"/>
        <v>0</v>
      </c>
      <c r="S1238">
        <f t="shared" si="389"/>
        <v>0</v>
      </c>
      <c r="T1238" s="89">
        <f t="shared" si="390"/>
        <v>0</v>
      </c>
      <c r="U1238" s="126">
        <f>IF($D1238="",0,IFERROR(LOOKUP(2,1/(($D$3:D1237=$D1238)*($C$3:C1237=$C1238)*($A$3:A1237&lt;$A1238)),$AB$3:AB1237),1000))</f>
        <v>0</v>
      </c>
      <c r="V1238" s="126">
        <f t="shared" si="391"/>
        <v>0</v>
      </c>
      <c r="W1238">
        <f t="shared" si="392"/>
        <v>0</v>
      </c>
      <c r="X1238">
        <f t="shared" si="393"/>
        <v>0</v>
      </c>
      <c r="Y1238">
        <f t="shared" si="394"/>
        <v>0</v>
      </c>
      <c r="Z1238">
        <f t="shared" si="395"/>
        <v>0</v>
      </c>
      <c r="AA1238">
        <f>IF($D1238="",0,IF($F1238&lt;2,0,IF($E1238="Win",('Guide &amp; Settings'!$C$42/(($F1238-1)*COUNTIFS($A$4:$A$1510,$A1238,$E$4:$E$1510,"Win")))*SUMIFS($Z$4:$Z$1510,$A$4:$A$1510,$A1238,$E$4:$E$1510,"Loss"),-('Guide &amp; Settings'!$C$42/($F1238-1))*$Z1238)))</f>
        <v>0</v>
      </c>
      <c r="AB1238" s="126">
        <f t="shared" si="396"/>
        <v>0</v>
      </c>
      <c r="AC1238" t="str">
        <f>IF($D1238="","",IF($AD1238=0,0,IF(COUNTIFS($D$4:$D1238,$D1238,$B$4:$B1238,$B1238)&gt;1,0,IF($B1238&lt;'Guide &amp; Settings'!$C$50,0,IF(($B1238-$AD1238)/7-'Guide &amp; Settings'!$C$48&gt;=0,(INT(($B1238-$AD1238)/7-'Guide &amp; Settings'!$C$48)+1)*'Guide &amp; Settings'!$C$49,0)))))</f>
        <v/>
      </c>
      <c r="AD1238" s="142">
        <f t="shared" si="397"/>
        <v>0</v>
      </c>
      <c r="AE1238">
        <f t="shared" si="398"/>
        <v>0</v>
      </c>
      <c r="AF1238">
        <f t="shared" si="399"/>
        <v>0</v>
      </c>
    </row>
    <row r="1239" spans="1:32" x14ac:dyDescent="0.2">
      <c r="A1239" s="117"/>
      <c r="B1239" s="118"/>
      <c r="C1239" s="119"/>
      <c r="D1239" s="119"/>
      <c r="E1239" s="117"/>
      <c r="F1239" s="120">
        <f t="shared" si="380"/>
        <v>0</v>
      </c>
      <c r="G1239" s="121" t="str">
        <f t="shared" si="381"/>
        <v/>
      </c>
      <c r="H1239" s="122">
        <f>IF($D1239="",0,IFERROR(LOOKUP(2,1/(($D$3:D1238=$D1239)*($A$3:A1238&lt;$A1239)),$N$3:N1238),'Guide &amp; Settings'!$C$41))</f>
        <v>0</v>
      </c>
      <c r="I1239" s="123">
        <f t="shared" si="382"/>
        <v>0</v>
      </c>
      <c r="J1239" s="124">
        <f>IF($D1239="",0,IF($F1239&lt;2,0,IF($E1239="Win",('Guide &amp; Settings'!$C$42/(($F1239-1)*COUNTIFS($A$4:$A$1510,$A1239,$E$4:$E$1510,"Win")))*SUMIFS($X$4:$X$1510,$A$4:$A$1510,$A1239,$E$4:$E$1510,"Loss"),-('Guide &amp; Settings'!$C$42/($F1239-1))*$X1239)))</f>
        <v>0</v>
      </c>
      <c r="K1239" s="124">
        <f>IF($D1239="",0,'Guide &amp; Settings'!$C$43*(IF($E1239="Win",1,0)-$I1239))</f>
        <v>0</v>
      </c>
      <c r="L1239" s="125">
        <f>IF($D1239="",0,'Guide &amp; Settings'!$C$44*IF($F1239&gt;=3,$F1239,0))</f>
        <v>0</v>
      </c>
      <c r="M1239" s="124">
        <f t="shared" si="383"/>
        <v>0</v>
      </c>
      <c r="N1239" s="122">
        <f t="shared" si="384"/>
        <v>0</v>
      </c>
      <c r="O1239" s="121" t="str">
        <f t="shared" si="385"/>
        <v/>
      </c>
      <c r="P1239">
        <f t="shared" si="386"/>
        <v>0</v>
      </c>
      <c r="Q1239">
        <f t="shared" si="387"/>
        <v>0</v>
      </c>
      <c r="R1239">
        <f t="shared" si="388"/>
        <v>0</v>
      </c>
      <c r="S1239">
        <f t="shared" si="389"/>
        <v>0</v>
      </c>
      <c r="T1239" s="89">
        <f t="shared" si="390"/>
        <v>0</v>
      </c>
      <c r="U1239" s="126">
        <f>IF($D1239="",0,IFERROR(LOOKUP(2,1/(($D$3:D1238=$D1239)*($C$3:C1238=$C1239)*($A$3:A1238&lt;$A1239)),$AB$3:AB1238),1000))</f>
        <v>0</v>
      </c>
      <c r="V1239" s="126">
        <f t="shared" si="391"/>
        <v>0</v>
      </c>
      <c r="W1239">
        <f t="shared" si="392"/>
        <v>0</v>
      </c>
      <c r="X1239">
        <f t="shared" si="393"/>
        <v>0</v>
      </c>
      <c r="Y1239">
        <f t="shared" si="394"/>
        <v>0</v>
      </c>
      <c r="Z1239">
        <f t="shared" si="395"/>
        <v>0</v>
      </c>
      <c r="AA1239">
        <f>IF($D1239="",0,IF($F1239&lt;2,0,IF($E1239="Win",('Guide &amp; Settings'!$C$42/(($F1239-1)*COUNTIFS($A$4:$A$1510,$A1239,$E$4:$E$1510,"Win")))*SUMIFS($Z$4:$Z$1510,$A$4:$A$1510,$A1239,$E$4:$E$1510,"Loss"),-('Guide &amp; Settings'!$C$42/($F1239-1))*$Z1239)))</f>
        <v>0</v>
      </c>
      <c r="AB1239" s="126">
        <f t="shared" si="396"/>
        <v>0</v>
      </c>
      <c r="AC1239" t="str">
        <f>IF($D1239="","",IF($AD1239=0,0,IF(COUNTIFS($D$4:$D1239,$D1239,$B$4:$B1239,$B1239)&gt;1,0,IF($B1239&lt;'Guide &amp; Settings'!$C$50,0,IF(($B1239-$AD1239)/7-'Guide &amp; Settings'!$C$48&gt;=0,(INT(($B1239-$AD1239)/7-'Guide &amp; Settings'!$C$48)+1)*'Guide &amp; Settings'!$C$49,0)))))</f>
        <v/>
      </c>
      <c r="AD1239" s="142">
        <f t="shared" si="397"/>
        <v>0</v>
      </c>
      <c r="AE1239">
        <f t="shared" si="398"/>
        <v>0</v>
      </c>
      <c r="AF1239">
        <f t="shared" si="399"/>
        <v>0</v>
      </c>
    </row>
    <row r="1240" spans="1:32" x14ac:dyDescent="0.2">
      <c r="A1240" s="117"/>
      <c r="B1240" s="118"/>
      <c r="C1240" s="119"/>
      <c r="D1240" s="119"/>
      <c r="E1240" s="117"/>
      <c r="F1240" s="120">
        <f t="shared" si="380"/>
        <v>0</v>
      </c>
      <c r="G1240" s="121" t="str">
        <f t="shared" si="381"/>
        <v/>
      </c>
      <c r="H1240" s="122">
        <f>IF($D1240="",0,IFERROR(LOOKUP(2,1/(($D$3:D1239=$D1240)*($A$3:A1239&lt;$A1240)),$N$3:N1239),'Guide &amp; Settings'!$C$41))</f>
        <v>0</v>
      </c>
      <c r="I1240" s="123">
        <f t="shared" si="382"/>
        <v>0</v>
      </c>
      <c r="J1240" s="124">
        <f>IF($D1240="",0,IF($F1240&lt;2,0,IF($E1240="Win",('Guide &amp; Settings'!$C$42/(($F1240-1)*COUNTIFS($A$4:$A$1510,$A1240,$E$4:$E$1510,"Win")))*SUMIFS($X$4:$X$1510,$A$4:$A$1510,$A1240,$E$4:$E$1510,"Loss"),-('Guide &amp; Settings'!$C$42/($F1240-1))*$X1240)))</f>
        <v>0</v>
      </c>
      <c r="K1240" s="124">
        <f>IF($D1240="",0,'Guide &amp; Settings'!$C$43*(IF($E1240="Win",1,0)-$I1240))</f>
        <v>0</v>
      </c>
      <c r="L1240" s="125">
        <f>IF($D1240="",0,'Guide &amp; Settings'!$C$44*IF($F1240&gt;=3,$F1240,0))</f>
        <v>0</v>
      </c>
      <c r="M1240" s="124">
        <f t="shared" si="383"/>
        <v>0</v>
      </c>
      <c r="N1240" s="122">
        <f t="shared" si="384"/>
        <v>0</v>
      </c>
      <c r="O1240" s="121" t="str">
        <f t="shared" si="385"/>
        <v/>
      </c>
      <c r="P1240">
        <f t="shared" si="386"/>
        <v>0</v>
      </c>
      <c r="Q1240">
        <f t="shared" si="387"/>
        <v>0</v>
      </c>
      <c r="R1240">
        <f t="shared" si="388"/>
        <v>0</v>
      </c>
      <c r="S1240">
        <f t="shared" si="389"/>
        <v>0</v>
      </c>
      <c r="T1240" s="89">
        <f t="shared" si="390"/>
        <v>0</v>
      </c>
      <c r="U1240" s="126">
        <f>IF($D1240="",0,IFERROR(LOOKUP(2,1/(($D$3:D1239=$D1240)*($C$3:C1239=$C1240)*($A$3:A1239&lt;$A1240)),$AB$3:AB1239),1000))</f>
        <v>0</v>
      </c>
      <c r="V1240" s="126">
        <f t="shared" si="391"/>
        <v>0</v>
      </c>
      <c r="W1240">
        <f t="shared" si="392"/>
        <v>0</v>
      </c>
      <c r="X1240">
        <f t="shared" si="393"/>
        <v>0</v>
      </c>
      <c r="Y1240">
        <f t="shared" si="394"/>
        <v>0</v>
      </c>
      <c r="Z1240">
        <f t="shared" si="395"/>
        <v>0</v>
      </c>
      <c r="AA1240">
        <f>IF($D1240="",0,IF($F1240&lt;2,0,IF($E1240="Win",('Guide &amp; Settings'!$C$42/(($F1240-1)*COUNTIFS($A$4:$A$1510,$A1240,$E$4:$E$1510,"Win")))*SUMIFS($Z$4:$Z$1510,$A$4:$A$1510,$A1240,$E$4:$E$1510,"Loss"),-('Guide &amp; Settings'!$C$42/($F1240-1))*$Z1240)))</f>
        <v>0</v>
      </c>
      <c r="AB1240" s="126">
        <f t="shared" si="396"/>
        <v>0</v>
      </c>
      <c r="AC1240" t="str">
        <f>IF($D1240="","",IF($AD1240=0,0,IF(COUNTIFS($D$4:$D1240,$D1240,$B$4:$B1240,$B1240)&gt;1,0,IF($B1240&lt;'Guide &amp; Settings'!$C$50,0,IF(($B1240-$AD1240)/7-'Guide &amp; Settings'!$C$48&gt;=0,(INT(($B1240-$AD1240)/7-'Guide &amp; Settings'!$C$48)+1)*'Guide &amp; Settings'!$C$49,0)))))</f>
        <v/>
      </c>
      <c r="AD1240" s="142">
        <f t="shared" si="397"/>
        <v>0</v>
      </c>
      <c r="AE1240">
        <f t="shared" si="398"/>
        <v>0</v>
      </c>
      <c r="AF1240">
        <f t="shared" si="399"/>
        <v>0</v>
      </c>
    </row>
    <row r="1241" spans="1:32" x14ac:dyDescent="0.2">
      <c r="A1241" s="117"/>
      <c r="B1241" s="118"/>
      <c r="C1241" s="119"/>
      <c r="D1241" s="119"/>
      <c r="E1241" s="117"/>
      <c r="F1241" s="120">
        <f t="shared" si="380"/>
        <v>0</v>
      </c>
      <c r="G1241" s="121" t="str">
        <f t="shared" si="381"/>
        <v/>
      </c>
      <c r="H1241" s="122">
        <f>IF($D1241="",0,IFERROR(LOOKUP(2,1/(($D$3:D1240=$D1241)*($A$3:A1240&lt;$A1241)),$N$3:N1240),'Guide &amp; Settings'!$C$41))</f>
        <v>0</v>
      </c>
      <c r="I1241" s="123">
        <f t="shared" si="382"/>
        <v>0</v>
      </c>
      <c r="J1241" s="124">
        <f>IF($D1241="",0,IF($F1241&lt;2,0,IF($E1241="Win",('Guide &amp; Settings'!$C$42/(($F1241-1)*COUNTIFS($A$4:$A$1510,$A1241,$E$4:$E$1510,"Win")))*SUMIFS($X$4:$X$1510,$A$4:$A$1510,$A1241,$E$4:$E$1510,"Loss"),-('Guide &amp; Settings'!$C$42/($F1241-1))*$X1241)))</f>
        <v>0</v>
      </c>
      <c r="K1241" s="124">
        <f>IF($D1241="",0,'Guide &amp; Settings'!$C$43*(IF($E1241="Win",1,0)-$I1241))</f>
        <v>0</v>
      </c>
      <c r="L1241" s="125">
        <f>IF($D1241="",0,'Guide &amp; Settings'!$C$44*IF($F1241&gt;=3,$F1241,0))</f>
        <v>0</v>
      </c>
      <c r="M1241" s="124">
        <f t="shared" si="383"/>
        <v>0</v>
      </c>
      <c r="N1241" s="122">
        <f t="shared" si="384"/>
        <v>0</v>
      </c>
      <c r="O1241" s="121" t="str">
        <f t="shared" si="385"/>
        <v/>
      </c>
      <c r="P1241">
        <f t="shared" si="386"/>
        <v>0</v>
      </c>
      <c r="Q1241">
        <f t="shared" si="387"/>
        <v>0</v>
      </c>
      <c r="R1241">
        <f t="shared" si="388"/>
        <v>0</v>
      </c>
      <c r="S1241">
        <f t="shared" si="389"/>
        <v>0</v>
      </c>
      <c r="T1241" s="89">
        <f t="shared" si="390"/>
        <v>0</v>
      </c>
      <c r="U1241" s="126">
        <f>IF($D1241="",0,IFERROR(LOOKUP(2,1/(($D$3:D1240=$D1241)*($C$3:C1240=$C1241)*($A$3:A1240&lt;$A1241)),$AB$3:AB1240),1000))</f>
        <v>0</v>
      </c>
      <c r="V1241" s="126">
        <f t="shared" si="391"/>
        <v>0</v>
      </c>
      <c r="W1241">
        <f t="shared" si="392"/>
        <v>0</v>
      </c>
      <c r="X1241">
        <f t="shared" si="393"/>
        <v>0</v>
      </c>
      <c r="Y1241">
        <f t="shared" si="394"/>
        <v>0</v>
      </c>
      <c r="Z1241">
        <f t="shared" si="395"/>
        <v>0</v>
      </c>
      <c r="AA1241">
        <f>IF($D1241="",0,IF($F1241&lt;2,0,IF($E1241="Win",('Guide &amp; Settings'!$C$42/(($F1241-1)*COUNTIFS($A$4:$A$1510,$A1241,$E$4:$E$1510,"Win")))*SUMIFS($Z$4:$Z$1510,$A$4:$A$1510,$A1241,$E$4:$E$1510,"Loss"),-('Guide &amp; Settings'!$C$42/($F1241-1))*$Z1241)))</f>
        <v>0</v>
      </c>
      <c r="AB1241" s="126">
        <f t="shared" si="396"/>
        <v>0</v>
      </c>
      <c r="AC1241" t="str">
        <f>IF($D1241="","",IF($AD1241=0,0,IF(COUNTIFS($D$4:$D1241,$D1241,$B$4:$B1241,$B1241)&gt;1,0,IF($B1241&lt;'Guide &amp; Settings'!$C$50,0,IF(($B1241-$AD1241)/7-'Guide &amp; Settings'!$C$48&gt;=0,(INT(($B1241-$AD1241)/7-'Guide &amp; Settings'!$C$48)+1)*'Guide &amp; Settings'!$C$49,0)))))</f>
        <v/>
      </c>
      <c r="AD1241" s="142">
        <f t="shared" si="397"/>
        <v>0</v>
      </c>
      <c r="AE1241">
        <f t="shared" si="398"/>
        <v>0</v>
      </c>
      <c r="AF1241">
        <f t="shared" si="399"/>
        <v>0</v>
      </c>
    </row>
    <row r="1242" spans="1:32" x14ac:dyDescent="0.2">
      <c r="A1242" s="117"/>
      <c r="B1242" s="118"/>
      <c r="C1242" s="119"/>
      <c r="D1242" s="119"/>
      <c r="E1242" s="117"/>
      <c r="F1242" s="120">
        <f t="shared" si="380"/>
        <v>0</v>
      </c>
      <c r="G1242" s="121" t="str">
        <f t="shared" si="381"/>
        <v/>
      </c>
      <c r="H1242" s="122">
        <f>IF($D1242="",0,IFERROR(LOOKUP(2,1/(($D$3:D1241=$D1242)*($A$3:A1241&lt;$A1242)),$N$3:N1241),'Guide &amp; Settings'!$C$41))</f>
        <v>0</v>
      </c>
      <c r="I1242" s="123">
        <f t="shared" si="382"/>
        <v>0</v>
      </c>
      <c r="J1242" s="124">
        <f>IF($D1242="",0,IF($F1242&lt;2,0,IF($E1242="Win",('Guide &amp; Settings'!$C$42/(($F1242-1)*COUNTIFS($A$4:$A$1510,$A1242,$E$4:$E$1510,"Win")))*SUMIFS($X$4:$X$1510,$A$4:$A$1510,$A1242,$E$4:$E$1510,"Loss"),-('Guide &amp; Settings'!$C$42/($F1242-1))*$X1242)))</f>
        <v>0</v>
      </c>
      <c r="K1242" s="124">
        <f>IF($D1242="",0,'Guide &amp; Settings'!$C$43*(IF($E1242="Win",1,0)-$I1242))</f>
        <v>0</v>
      </c>
      <c r="L1242" s="125">
        <f>IF($D1242="",0,'Guide &amp; Settings'!$C$44*IF($F1242&gt;=3,$F1242,0))</f>
        <v>0</v>
      </c>
      <c r="M1242" s="124">
        <f t="shared" si="383"/>
        <v>0</v>
      </c>
      <c r="N1242" s="122">
        <f t="shared" si="384"/>
        <v>0</v>
      </c>
      <c r="O1242" s="121" t="str">
        <f t="shared" si="385"/>
        <v/>
      </c>
      <c r="P1242">
        <f t="shared" si="386"/>
        <v>0</v>
      </c>
      <c r="Q1242">
        <f t="shared" si="387"/>
        <v>0</v>
      </c>
      <c r="R1242">
        <f t="shared" si="388"/>
        <v>0</v>
      </c>
      <c r="S1242">
        <f t="shared" si="389"/>
        <v>0</v>
      </c>
      <c r="T1242" s="89">
        <f t="shared" si="390"/>
        <v>0</v>
      </c>
      <c r="U1242" s="126">
        <f>IF($D1242="",0,IFERROR(LOOKUP(2,1/(($D$3:D1241=$D1242)*($C$3:C1241=$C1242)*($A$3:A1241&lt;$A1242)),$AB$3:AB1241),1000))</f>
        <v>0</v>
      </c>
      <c r="V1242" s="126">
        <f t="shared" si="391"/>
        <v>0</v>
      </c>
      <c r="W1242">
        <f t="shared" si="392"/>
        <v>0</v>
      </c>
      <c r="X1242">
        <f t="shared" si="393"/>
        <v>0</v>
      </c>
      <c r="Y1242">
        <f t="shared" si="394"/>
        <v>0</v>
      </c>
      <c r="Z1242">
        <f t="shared" si="395"/>
        <v>0</v>
      </c>
      <c r="AA1242">
        <f>IF($D1242="",0,IF($F1242&lt;2,0,IF($E1242="Win",('Guide &amp; Settings'!$C$42/(($F1242-1)*COUNTIFS($A$4:$A$1510,$A1242,$E$4:$E$1510,"Win")))*SUMIFS($Z$4:$Z$1510,$A$4:$A$1510,$A1242,$E$4:$E$1510,"Loss"),-('Guide &amp; Settings'!$C$42/($F1242-1))*$Z1242)))</f>
        <v>0</v>
      </c>
      <c r="AB1242" s="126">
        <f t="shared" si="396"/>
        <v>0</v>
      </c>
      <c r="AC1242" t="str">
        <f>IF($D1242="","",IF($AD1242=0,0,IF(COUNTIFS($D$4:$D1242,$D1242,$B$4:$B1242,$B1242)&gt;1,0,IF($B1242&lt;'Guide &amp; Settings'!$C$50,0,IF(($B1242-$AD1242)/7-'Guide &amp; Settings'!$C$48&gt;=0,(INT(($B1242-$AD1242)/7-'Guide &amp; Settings'!$C$48)+1)*'Guide &amp; Settings'!$C$49,0)))))</f>
        <v/>
      </c>
      <c r="AD1242" s="142">
        <f t="shared" si="397"/>
        <v>0</v>
      </c>
      <c r="AE1242">
        <f t="shared" si="398"/>
        <v>0</v>
      </c>
      <c r="AF1242">
        <f t="shared" si="399"/>
        <v>0</v>
      </c>
    </row>
    <row r="1243" spans="1:32" x14ac:dyDescent="0.2">
      <c r="A1243" s="117"/>
      <c r="B1243" s="118"/>
      <c r="C1243" s="119"/>
      <c r="D1243" s="119"/>
      <c r="E1243" s="117"/>
      <c r="F1243" s="120">
        <f t="shared" si="380"/>
        <v>0</v>
      </c>
      <c r="G1243" s="121" t="str">
        <f t="shared" si="381"/>
        <v/>
      </c>
      <c r="H1243" s="122">
        <f>IF($D1243="",0,IFERROR(LOOKUP(2,1/(($D$3:D1242=$D1243)*($A$3:A1242&lt;$A1243)),$N$3:N1242),'Guide &amp; Settings'!$C$41))</f>
        <v>0</v>
      </c>
      <c r="I1243" s="123">
        <f t="shared" si="382"/>
        <v>0</v>
      </c>
      <c r="J1243" s="124">
        <f>IF($D1243="",0,IF($F1243&lt;2,0,IF($E1243="Win",('Guide &amp; Settings'!$C$42/(($F1243-1)*COUNTIFS($A$4:$A$1510,$A1243,$E$4:$E$1510,"Win")))*SUMIFS($X$4:$X$1510,$A$4:$A$1510,$A1243,$E$4:$E$1510,"Loss"),-('Guide &amp; Settings'!$C$42/($F1243-1))*$X1243)))</f>
        <v>0</v>
      </c>
      <c r="K1243" s="124">
        <f>IF($D1243="",0,'Guide &amp; Settings'!$C$43*(IF($E1243="Win",1,0)-$I1243))</f>
        <v>0</v>
      </c>
      <c r="L1243" s="125">
        <f>IF($D1243="",0,'Guide &amp; Settings'!$C$44*IF($F1243&gt;=3,$F1243,0))</f>
        <v>0</v>
      </c>
      <c r="M1243" s="124">
        <f t="shared" si="383"/>
        <v>0</v>
      </c>
      <c r="N1243" s="122">
        <f t="shared" si="384"/>
        <v>0</v>
      </c>
      <c r="O1243" s="121" t="str">
        <f t="shared" si="385"/>
        <v/>
      </c>
      <c r="P1243">
        <f t="shared" si="386"/>
        <v>0</v>
      </c>
      <c r="Q1243">
        <f t="shared" si="387"/>
        <v>0</v>
      </c>
      <c r="R1243">
        <f t="shared" si="388"/>
        <v>0</v>
      </c>
      <c r="S1243">
        <f t="shared" si="389"/>
        <v>0</v>
      </c>
      <c r="T1243" s="89">
        <f t="shared" si="390"/>
        <v>0</v>
      </c>
      <c r="U1243" s="126">
        <f>IF($D1243="",0,IFERROR(LOOKUP(2,1/(($D$3:D1242=$D1243)*($C$3:C1242=$C1243)*($A$3:A1242&lt;$A1243)),$AB$3:AB1242),1000))</f>
        <v>0</v>
      </c>
      <c r="V1243" s="126">
        <f t="shared" si="391"/>
        <v>0</v>
      </c>
      <c r="W1243">
        <f t="shared" si="392"/>
        <v>0</v>
      </c>
      <c r="X1243">
        <f t="shared" si="393"/>
        <v>0</v>
      </c>
      <c r="Y1243">
        <f t="shared" si="394"/>
        <v>0</v>
      </c>
      <c r="Z1243">
        <f t="shared" si="395"/>
        <v>0</v>
      </c>
      <c r="AA1243">
        <f>IF($D1243="",0,IF($F1243&lt;2,0,IF($E1243="Win",('Guide &amp; Settings'!$C$42/(($F1243-1)*COUNTIFS($A$4:$A$1510,$A1243,$E$4:$E$1510,"Win")))*SUMIFS($Z$4:$Z$1510,$A$4:$A$1510,$A1243,$E$4:$E$1510,"Loss"),-('Guide &amp; Settings'!$C$42/($F1243-1))*$Z1243)))</f>
        <v>0</v>
      </c>
      <c r="AB1243" s="126">
        <f t="shared" si="396"/>
        <v>0</v>
      </c>
      <c r="AC1243" t="str">
        <f>IF($D1243="","",IF($AD1243=0,0,IF(COUNTIFS($D$4:$D1243,$D1243,$B$4:$B1243,$B1243)&gt;1,0,IF($B1243&lt;'Guide &amp; Settings'!$C$50,0,IF(($B1243-$AD1243)/7-'Guide &amp; Settings'!$C$48&gt;=0,(INT(($B1243-$AD1243)/7-'Guide &amp; Settings'!$C$48)+1)*'Guide &amp; Settings'!$C$49,0)))))</f>
        <v/>
      </c>
      <c r="AD1243" s="142">
        <f t="shared" si="397"/>
        <v>0</v>
      </c>
      <c r="AE1243">
        <f t="shared" si="398"/>
        <v>0</v>
      </c>
      <c r="AF1243">
        <f t="shared" si="399"/>
        <v>0</v>
      </c>
    </row>
    <row r="1244" spans="1:32" x14ac:dyDescent="0.2">
      <c r="A1244" s="117"/>
      <c r="B1244" s="118"/>
      <c r="C1244" s="119"/>
      <c r="D1244" s="119"/>
      <c r="E1244" s="117"/>
      <c r="F1244" s="120">
        <f t="shared" si="380"/>
        <v>0</v>
      </c>
      <c r="G1244" s="121" t="str">
        <f t="shared" si="381"/>
        <v/>
      </c>
      <c r="H1244" s="122">
        <f>IF($D1244="",0,IFERROR(LOOKUP(2,1/(($D$3:D1243=$D1244)*($A$3:A1243&lt;$A1244)),$N$3:N1243),'Guide &amp; Settings'!$C$41))</f>
        <v>0</v>
      </c>
      <c r="I1244" s="123">
        <f t="shared" si="382"/>
        <v>0</v>
      </c>
      <c r="J1244" s="124">
        <f>IF($D1244="",0,IF($F1244&lt;2,0,IF($E1244="Win",('Guide &amp; Settings'!$C$42/(($F1244-1)*COUNTIFS($A$4:$A$1510,$A1244,$E$4:$E$1510,"Win")))*SUMIFS($X$4:$X$1510,$A$4:$A$1510,$A1244,$E$4:$E$1510,"Loss"),-('Guide &amp; Settings'!$C$42/($F1244-1))*$X1244)))</f>
        <v>0</v>
      </c>
      <c r="K1244" s="124">
        <f>IF($D1244="",0,'Guide &amp; Settings'!$C$43*(IF($E1244="Win",1,0)-$I1244))</f>
        <v>0</v>
      </c>
      <c r="L1244" s="125">
        <f>IF($D1244="",0,'Guide &amp; Settings'!$C$44*IF($F1244&gt;=3,$F1244,0))</f>
        <v>0</v>
      </c>
      <c r="M1244" s="124">
        <f t="shared" si="383"/>
        <v>0</v>
      </c>
      <c r="N1244" s="122">
        <f t="shared" si="384"/>
        <v>0</v>
      </c>
      <c r="O1244" s="121" t="str">
        <f t="shared" si="385"/>
        <v/>
      </c>
      <c r="P1244">
        <f t="shared" si="386"/>
        <v>0</v>
      </c>
      <c r="Q1244">
        <f t="shared" si="387"/>
        <v>0</v>
      </c>
      <c r="R1244">
        <f t="shared" si="388"/>
        <v>0</v>
      </c>
      <c r="S1244">
        <f t="shared" si="389"/>
        <v>0</v>
      </c>
      <c r="T1244" s="89">
        <f t="shared" si="390"/>
        <v>0</v>
      </c>
      <c r="U1244" s="126">
        <f>IF($D1244="",0,IFERROR(LOOKUP(2,1/(($D$3:D1243=$D1244)*($C$3:C1243=$C1244)*($A$3:A1243&lt;$A1244)),$AB$3:AB1243),1000))</f>
        <v>0</v>
      </c>
      <c r="V1244" s="126">
        <f t="shared" si="391"/>
        <v>0</v>
      </c>
      <c r="W1244">
        <f t="shared" si="392"/>
        <v>0</v>
      </c>
      <c r="X1244">
        <f t="shared" si="393"/>
        <v>0</v>
      </c>
      <c r="Y1244">
        <f t="shared" si="394"/>
        <v>0</v>
      </c>
      <c r="Z1244">
        <f t="shared" si="395"/>
        <v>0</v>
      </c>
      <c r="AA1244">
        <f>IF($D1244="",0,IF($F1244&lt;2,0,IF($E1244="Win",('Guide &amp; Settings'!$C$42/(($F1244-1)*COUNTIFS($A$4:$A$1510,$A1244,$E$4:$E$1510,"Win")))*SUMIFS($Z$4:$Z$1510,$A$4:$A$1510,$A1244,$E$4:$E$1510,"Loss"),-('Guide &amp; Settings'!$C$42/($F1244-1))*$Z1244)))</f>
        <v>0</v>
      </c>
      <c r="AB1244" s="126">
        <f t="shared" si="396"/>
        <v>0</v>
      </c>
      <c r="AC1244" t="str">
        <f>IF($D1244="","",IF($AD1244=0,0,IF(COUNTIFS($D$4:$D1244,$D1244,$B$4:$B1244,$B1244)&gt;1,0,IF($B1244&lt;'Guide &amp; Settings'!$C$50,0,IF(($B1244-$AD1244)/7-'Guide &amp; Settings'!$C$48&gt;=0,(INT(($B1244-$AD1244)/7-'Guide &amp; Settings'!$C$48)+1)*'Guide &amp; Settings'!$C$49,0)))))</f>
        <v/>
      </c>
      <c r="AD1244" s="142">
        <f t="shared" si="397"/>
        <v>0</v>
      </c>
      <c r="AE1244">
        <f t="shared" si="398"/>
        <v>0</v>
      </c>
      <c r="AF1244">
        <f t="shared" si="399"/>
        <v>0</v>
      </c>
    </row>
    <row r="1245" spans="1:32" x14ac:dyDescent="0.2">
      <c r="A1245" s="117"/>
      <c r="B1245" s="118"/>
      <c r="C1245" s="119"/>
      <c r="D1245" s="119"/>
      <c r="E1245" s="117"/>
      <c r="F1245" s="120">
        <f t="shared" si="380"/>
        <v>0</v>
      </c>
      <c r="G1245" s="121" t="str">
        <f t="shared" si="381"/>
        <v/>
      </c>
      <c r="H1245" s="122">
        <f>IF($D1245="",0,IFERROR(LOOKUP(2,1/(($D$3:D1244=$D1245)*($A$3:A1244&lt;$A1245)),$N$3:N1244),'Guide &amp; Settings'!$C$41))</f>
        <v>0</v>
      </c>
      <c r="I1245" s="123">
        <f t="shared" si="382"/>
        <v>0</v>
      </c>
      <c r="J1245" s="124">
        <f>IF($D1245="",0,IF($F1245&lt;2,0,IF($E1245="Win",('Guide &amp; Settings'!$C$42/(($F1245-1)*COUNTIFS($A$4:$A$1510,$A1245,$E$4:$E$1510,"Win")))*SUMIFS($X$4:$X$1510,$A$4:$A$1510,$A1245,$E$4:$E$1510,"Loss"),-('Guide &amp; Settings'!$C$42/($F1245-1))*$X1245)))</f>
        <v>0</v>
      </c>
      <c r="K1245" s="124">
        <f>IF($D1245="",0,'Guide &amp; Settings'!$C$43*(IF($E1245="Win",1,0)-$I1245))</f>
        <v>0</v>
      </c>
      <c r="L1245" s="125">
        <f>IF($D1245="",0,'Guide &amp; Settings'!$C$44*IF($F1245&gt;=3,$F1245,0))</f>
        <v>0</v>
      </c>
      <c r="M1245" s="124">
        <f t="shared" si="383"/>
        <v>0</v>
      </c>
      <c r="N1245" s="122">
        <f t="shared" si="384"/>
        <v>0</v>
      </c>
      <c r="O1245" s="121" t="str">
        <f t="shared" si="385"/>
        <v/>
      </c>
      <c r="P1245">
        <f t="shared" si="386"/>
        <v>0</v>
      </c>
      <c r="Q1245">
        <f t="shared" si="387"/>
        <v>0</v>
      </c>
      <c r="R1245">
        <f t="shared" si="388"/>
        <v>0</v>
      </c>
      <c r="S1245">
        <f t="shared" si="389"/>
        <v>0</v>
      </c>
      <c r="T1245" s="89">
        <f t="shared" si="390"/>
        <v>0</v>
      </c>
      <c r="U1245" s="126">
        <f>IF($D1245="",0,IFERROR(LOOKUP(2,1/(($D$3:D1244=$D1245)*($C$3:C1244=$C1245)*($A$3:A1244&lt;$A1245)),$AB$3:AB1244),1000))</f>
        <v>0</v>
      </c>
      <c r="V1245" s="126">
        <f t="shared" si="391"/>
        <v>0</v>
      </c>
      <c r="W1245">
        <f t="shared" si="392"/>
        <v>0</v>
      </c>
      <c r="X1245">
        <f t="shared" si="393"/>
        <v>0</v>
      </c>
      <c r="Y1245">
        <f t="shared" si="394"/>
        <v>0</v>
      </c>
      <c r="Z1245">
        <f t="shared" si="395"/>
        <v>0</v>
      </c>
      <c r="AA1245">
        <f>IF($D1245="",0,IF($F1245&lt;2,0,IF($E1245="Win",('Guide &amp; Settings'!$C$42/(($F1245-1)*COUNTIFS($A$4:$A$1510,$A1245,$E$4:$E$1510,"Win")))*SUMIFS($Z$4:$Z$1510,$A$4:$A$1510,$A1245,$E$4:$E$1510,"Loss"),-('Guide &amp; Settings'!$C$42/($F1245-1))*$Z1245)))</f>
        <v>0</v>
      </c>
      <c r="AB1245" s="126">
        <f t="shared" si="396"/>
        <v>0</v>
      </c>
      <c r="AC1245" t="str">
        <f>IF($D1245="","",IF($AD1245=0,0,IF(COUNTIFS($D$4:$D1245,$D1245,$B$4:$B1245,$B1245)&gt;1,0,IF($B1245&lt;'Guide &amp; Settings'!$C$50,0,IF(($B1245-$AD1245)/7-'Guide &amp; Settings'!$C$48&gt;=0,(INT(($B1245-$AD1245)/7-'Guide &amp; Settings'!$C$48)+1)*'Guide &amp; Settings'!$C$49,0)))))</f>
        <v/>
      </c>
      <c r="AD1245" s="142">
        <f t="shared" si="397"/>
        <v>0</v>
      </c>
      <c r="AE1245">
        <f t="shared" si="398"/>
        <v>0</v>
      </c>
      <c r="AF1245">
        <f t="shared" si="399"/>
        <v>0</v>
      </c>
    </row>
    <row r="1246" spans="1:32" x14ac:dyDescent="0.2">
      <c r="A1246" s="117"/>
      <c r="B1246" s="118"/>
      <c r="C1246" s="119"/>
      <c r="D1246" s="119"/>
      <c r="E1246" s="117"/>
      <c r="F1246" s="120">
        <f t="shared" si="380"/>
        <v>0</v>
      </c>
      <c r="G1246" s="121" t="str">
        <f t="shared" si="381"/>
        <v/>
      </c>
      <c r="H1246" s="122">
        <f>IF($D1246="",0,IFERROR(LOOKUP(2,1/(($D$3:D1245=$D1246)*($A$3:A1245&lt;$A1246)),$N$3:N1245),'Guide &amp; Settings'!$C$41))</f>
        <v>0</v>
      </c>
      <c r="I1246" s="123">
        <f t="shared" si="382"/>
        <v>0</v>
      </c>
      <c r="J1246" s="124">
        <f>IF($D1246="",0,IF($F1246&lt;2,0,IF($E1246="Win",('Guide &amp; Settings'!$C$42/(($F1246-1)*COUNTIFS($A$4:$A$1510,$A1246,$E$4:$E$1510,"Win")))*SUMIFS($X$4:$X$1510,$A$4:$A$1510,$A1246,$E$4:$E$1510,"Loss"),-('Guide &amp; Settings'!$C$42/($F1246-1))*$X1246)))</f>
        <v>0</v>
      </c>
      <c r="K1246" s="124">
        <f>IF($D1246="",0,'Guide &amp; Settings'!$C$43*(IF($E1246="Win",1,0)-$I1246))</f>
        <v>0</v>
      </c>
      <c r="L1246" s="125">
        <f>IF($D1246="",0,'Guide &amp; Settings'!$C$44*IF($F1246&gt;=3,$F1246,0))</f>
        <v>0</v>
      </c>
      <c r="M1246" s="124">
        <f t="shared" si="383"/>
        <v>0</v>
      </c>
      <c r="N1246" s="122">
        <f t="shared" si="384"/>
        <v>0</v>
      </c>
      <c r="O1246" s="121" t="str">
        <f t="shared" si="385"/>
        <v/>
      </c>
      <c r="P1246">
        <f t="shared" si="386"/>
        <v>0</v>
      </c>
      <c r="Q1246">
        <f t="shared" si="387"/>
        <v>0</v>
      </c>
      <c r="R1246">
        <f t="shared" si="388"/>
        <v>0</v>
      </c>
      <c r="S1246">
        <f t="shared" si="389"/>
        <v>0</v>
      </c>
      <c r="T1246" s="89">
        <f t="shared" si="390"/>
        <v>0</v>
      </c>
      <c r="U1246" s="126">
        <f>IF($D1246="",0,IFERROR(LOOKUP(2,1/(($D$3:D1245=$D1246)*($C$3:C1245=$C1246)*($A$3:A1245&lt;$A1246)),$AB$3:AB1245),1000))</f>
        <v>0</v>
      </c>
      <c r="V1246" s="126">
        <f t="shared" si="391"/>
        <v>0</v>
      </c>
      <c r="W1246">
        <f t="shared" si="392"/>
        <v>0</v>
      </c>
      <c r="X1246">
        <f t="shared" si="393"/>
        <v>0</v>
      </c>
      <c r="Y1246">
        <f t="shared" si="394"/>
        <v>0</v>
      </c>
      <c r="Z1246">
        <f t="shared" si="395"/>
        <v>0</v>
      </c>
      <c r="AA1246">
        <f>IF($D1246="",0,IF($F1246&lt;2,0,IF($E1246="Win",('Guide &amp; Settings'!$C$42/(($F1246-1)*COUNTIFS($A$4:$A$1510,$A1246,$E$4:$E$1510,"Win")))*SUMIFS($Z$4:$Z$1510,$A$4:$A$1510,$A1246,$E$4:$E$1510,"Loss"),-('Guide &amp; Settings'!$C$42/($F1246-1))*$Z1246)))</f>
        <v>0</v>
      </c>
      <c r="AB1246" s="126">
        <f t="shared" si="396"/>
        <v>0</v>
      </c>
      <c r="AC1246" t="str">
        <f>IF($D1246="","",IF($AD1246=0,0,IF(COUNTIFS($D$4:$D1246,$D1246,$B$4:$B1246,$B1246)&gt;1,0,IF($B1246&lt;'Guide &amp; Settings'!$C$50,0,IF(($B1246-$AD1246)/7-'Guide &amp; Settings'!$C$48&gt;=0,(INT(($B1246-$AD1246)/7-'Guide &amp; Settings'!$C$48)+1)*'Guide &amp; Settings'!$C$49,0)))))</f>
        <v/>
      </c>
      <c r="AD1246" s="142">
        <f t="shared" si="397"/>
        <v>0</v>
      </c>
      <c r="AE1246">
        <f t="shared" si="398"/>
        <v>0</v>
      </c>
      <c r="AF1246">
        <f t="shared" si="399"/>
        <v>0</v>
      </c>
    </row>
    <row r="1247" spans="1:32" x14ac:dyDescent="0.2">
      <c r="A1247" s="117"/>
      <c r="B1247" s="118"/>
      <c r="C1247" s="119"/>
      <c r="D1247" s="119"/>
      <c r="E1247" s="117"/>
      <c r="F1247" s="120">
        <f t="shared" si="380"/>
        <v>0</v>
      </c>
      <c r="G1247" s="121" t="str">
        <f t="shared" si="381"/>
        <v/>
      </c>
      <c r="H1247" s="122">
        <f>IF($D1247="",0,IFERROR(LOOKUP(2,1/(($D$3:D1246=$D1247)*($A$3:A1246&lt;$A1247)),$N$3:N1246),'Guide &amp; Settings'!$C$41))</f>
        <v>0</v>
      </c>
      <c r="I1247" s="123">
        <f t="shared" si="382"/>
        <v>0</v>
      </c>
      <c r="J1247" s="124">
        <f>IF($D1247="",0,IF($F1247&lt;2,0,IF($E1247="Win",('Guide &amp; Settings'!$C$42/(($F1247-1)*COUNTIFS($A$4:$A$1510,$A1247,$E$4:$E$1510,"Win")))*SUMIFS($X$4:$X$1510,$A$4:$A$1510,$A1247,$E$4:$E$1510,"Loss"),-('Guide &amp; Settings'!$C$42/($F1247-1))*$X1247)))</f>
        <v>0</v>
      </c>
      <c r="K1247" s="124">
        <f>IF($D1247="",0,'Guide &amp; Settings'!$C$43*(IF($E1247="Win",1,0)-$I1247))</f>
        <v>0</v>
      </c>
      <c r="L1247" s="125">
        <f>IF($D1247="",0,'Guide &amp; Settings'!$C$44*IF($F1247&gt;=3,$F1247,0))</f>
        <v>0</v>
      </c>
      <c r="M1247" s="124">
        <f t="shared" si="383"/>
        <v>0</v>
      </c>
      <c r="N1247" s="122">
        <f t="shared" si="384"/>
        <v>0</v>
      </c>
      <c r="O1247" s="121" t="str">
        <f t="shared" si="385"/>
        <v/>
      </c>
      <c r="P1247">
        <f t="shared" si="386"/>
        <v>0</v>
      </c>
      <c r="Q1247">
        <f t="shared" si="387"/>
        <v>0</v>
      </c>
      <c r="R1247">
        <f t="shared" si="388"/>
        <v>0</v>
      </c>
      <c r="S1247">
        <f t="shared" si="389"/>
        <v>0</v>
      </c>
      <c r="T1247" s="89">
        <f t="shared" si="390"/>
        <v>0</v>
      </c>
      <c r="U1247" s="126">
        <f>IF($D1247="",0,IFERROR(LOOKUP(2,1/(($D$3:D1246=$D1247)*($C$3:C1246=$C1247)*($A$3:A1246&lt;$A1247)),$AB$3:AB1246),1000))</f>
        <v>0</v>
      </c>
      <c r="V1247" s="126">
        <f t="shared" si="391"/>
        <v>0</v>
      </c>
      <c r="W1247">
        <f t="shared" si="392"/>
        <v>0</v>
      </c>
      <c r="X1247">
        <f t="shared" si="393"/>
        <v>0</v>
      </c>
      <c r="Y1247">
        <f t="shared" si="394"/>
        <v>0</v>
      </c>
      <c r="Z1247">
        <f t="shared" si="395"/>
        <v>0</v>
      </c>
      <c r="AA1247">
        <f>IF($D1247="",0,IF($F1247&lt;2,0,IF($E1247="Win",('Guide &amp; Settings'!$C$42/(($F1247-1)*COUNTIFS($A$4:$A$1510,$A1247,$E$4:$E$1510,"Win")))*SUMIFS($Z$4:$Z$1510,$A$4:$A$1510,$A1247,$E$4:$E$1510,"Loss"),-('Guide &amp; Settings'!$C$42/($F1247-1))*$Z1247)))</f>
        <v>0</v>
      </c>
      <c r="AB1247" s="126">
        <f t="shared" si="396"/>
        <v>0</v>
      </c>
      <c r="AC1247" t="str">
        <f>IF($D1247="","",IF($AD1247=0,0,IF(COUNTIFS($D$4:$D1247,$D1247,$B$4:$B1247,$B1247)&gt;1,0,IF($B1247&lt;'Guide &amp; Settings'!$C$50,0,IF(($B1247-$AD1247)/7-'Guide &amp; Settings'!$C$48&gt;=0,(INT(($B1247-$AD1247)/7-'Guide &amp; Settings'!$C$48)+1)*'Guide &amp; Settings'!$C$49,0)))))</f>
        <v/>
      </c>
      <c r="AD1247" s="142">
        <f t="shared" si="397"/>
        <v>0</v>
      </c>
      <c r="AE1247">
        <f t="shared" si="398"/>
        <v>0</v>
      </c>
      <c r="AF1247">
        <f t="shared" si="399"/>
        <v>0</v>
      </c>
    </row>
    <row r="1248" spans="1:32" x14ac:dyDescent="0.2">
      <c r="A1248" s="117"/>
      <c r="B1248" s="118"/>
      <c r="C1248" s="119"/>
      <c r="D1248" s="119"/>
      <c r="E1248" s="117"/>
      <c r="F1248" s="120">
        <f t="shared" si="380"/>
        <v>0</v>
      </c>
      <c r="G1248" s="121" t="str">
        <f t="shared" si="381"/>
        <v/>
      </c>
      <c r="H1248" s="122">
        <f>IF($D1248="",0,IFERROR(LOOKUP(2,1/(($D$3:D1247=$D1248)*($A$3:A1247&lt;$A1248)),$N$3:N1247),'Guide &amp; Settings'!$C$41))</f>
        <v>0</v>
      </c>
      <c r="I1248" s="123">
        <f t="shared" si="382"/>
        <v>0</v>
      </c>
      <c r="J1248" s="124">
        <f>IF($D1248="",0,IF($F1248&lt;2,0,IF($E1248="Win",('Guide &amp; Settings'!$C$42/(($F1248-1)*COUNTIFS($A$4:$A$1510,$A1248,$E$4:$E$1510,"Win")))*SUMIFS($X$4:$X$1510,$A$4:$A$1510,$A1248,$E$4:$E$1510,"Loss"),-('Guide &amp; Settings'!$C$42/($F1248-1))*$X1248)))</f>
        <v>0</v>
      </c>
      <c r="K1248" s="124">
        <f>IF($D1248="",0,'Guide &amp; Settings'!$C$43*(IF($E1248="Win",1,0)-$I1248))</f>
        <v>0</v>
      </c>
      <c r="L1248" s="125">
        <f>IF($D1248="",0,'Guide &amp; Settings'!$C$44*IF($F1248&gt;=3,$F1248,0))</f>
        <v>0</v>
      </c>
      <c r="M1248" s="124">
        <f t="shared" si="383"/>
        <v>0</v>
      </c>
      <c r="N1248" s="122">
        <f t="shared" si="384"/>
        <v>0</v>
      </c>
      <c r="O1248" s="121" t="str">
        <f t="shared" si="385"/>
        <v/>
      </c>
      <c r="P1248">
        <f t="shared" si="386"/>
        <v>0</v>
      </c>
      <c r="Q1248">
        <f t="shared" si="387"/>
        <v>0</v>
      </c>
      <c r="R1248">
        <f t="shared" si="388"/>
        <v>0</v>
      </c>
      <c r="S1248">
        <f t="shared" si="389"/>
        <v>0</v>
      </c>
      <c r="T1248" s="89">
        <f t="shared" si="390"/>
        <v>0</v>
      </c>
      <c r="U1248" s="126">
        <f>IF($D1248="",0,IFERROR(LOOKUP(2,1/(($D$3:D1247=$D1248)*($C$3:C1247=$C1248)*($A$3:A1247&lt;$A1248)),$AB$3:AB1247),1000))</f>
        <v>0</v>
      </c>
      <c r="V1248" s="126">
        <f t="shared" si="391"/>
        <v>0</v>
      </c>
      <c r="W1248">
        <f t="shared" si="392"/>
        <v>0</v>
      </c>
      <c r="X1248">
        <f t="shared" si="393"/>
        <v>0</v>
      </c>
      <c r="Y1248">
        <f t="shared" si="394"/>
        <v>0</v>
      </c>
      <c r="Z1248">
        <f t="shared" si="395"/>
        <v>0</v>
      </c>
      <c r="AA1248">
        <f>IF($D1248="",0,IF($F1248&lt;2,0,IF($E1248="Win",('Guide &amp; Settings'!$C$42/(($F1248-1)*COUNTIFS($A$4:$A$1510,$A1248,$E$4:$E$1510,"Win")))*SUMIFS($Z$4:$Z$1510,$A$4:$A$1510,$A1248,$E$4:$E$1510,"Loss"),-('Guide &amp; Settings'!$C$42/($F1248-1))*$Z1248)))</f>
        <v>0</v>
      </c>
      <c r="AB1248" s="126">
        <f t="shared" si="396"/>
        <v>0</v>
      </c>
      <c r="AC1248" t="str">
        <f>IF($D1248="","",IF($AD1248=0,0,IF(COUNTIFS($D$4:$D1248,$D1248,$B$4:$B1248,$B1248)&gt;1,0,IF($B1248&lt;'Guide &amp; Settings'!$C$50,0,IF(($B1248-$AD1248)/7-'Guide &amp; Settings'!$C$48&gt;=0,(INT(($B1248-$AD1248)/7-'Guide &amp; Settings'!$C$48)+1)*'Guide &amp; Settings'!$C$49,0)))))</f>
        <v/>
      </c>
      <c r="AD1248" s="142">
        <f t="shared" si="397"/>
        <v>0</v>
      </c>
      <c r="AE1248">
        <f t="shared" si="398"/>
        <v>0</v>
      </c>
      <c r="AF1248">
        <f t="shared" si="399"/>
        <v>0</v>
      </c>
    </row>
    <row r="1249" spans="1:32" x14ac:dyDescent="0.2">
      <c r="A1249" s="117"/>
      <c r="B1249" s="118"/>
      <c r="C1249" s="119"/>
      <c r="D1249" s="119"/>
      <c r="E1249" s="117"/>
      <c r="F1249" s="120">
        <f t="shared" si="380"/>
        <v>0</v>
      </c>
      <c r="G1249" s="121" t="str">
        <f t="shared" si="381"/>
        <v/>
      </c>
      <c r="H1249" s="122">
        <f>IF($D1249="",0,IFERROR(LOOKUP(2,1/(($D$3:D1248=$D1249)*($A$3:A1248&lt;$A1249)),$N$3:N1248),'Guide &amp; Settings'!$C$41))</f>
        <v>0</v>
      </c>
      <c r="I1249" s="123">
        <f t="shared" si="382"/>
        <v>0</v>
      </c>
      <c r="J1249" s="124">
        <f>IF($D1249="",0,IF($F1249&lt;2,0,IF($E1249="Win",('Guide &amp; Settings'!$C$42/(($F1249-1)*COUNTIFS($A$4:$A$1510,$A1249,$E$4:$E$1510,"Win")))*SUMIFS($X$4:$X$1510,$A$4:$A$1510,$A1249,$E$4:$E$1510,"Loss"),-('Guide &amp; Settings'!$C$42/($F1249-1))*$X1249)))</f>
        <v>0</v>
      </c>
      <c r="K1249" s="124">
        <f>IF($D1249="",0,'Guide &amp; Settings'!$C$43*(IF($E1249="Win",1,0)-$I1249))</f>
        <v>0</v>
      </c>
      <c r="L1249" s="125">
        <f>IF($D1249="",0,'Guide &amp; Settings'!$C$44*IF($F1249&gt;=3,$F1249,0))</f>
        <v>0</v>
      </c>
      <c r="M1249" s="124">
        <f t="shared" si="383"/>
        <v>0</v>
      </c>
      <c r="N1249" s="122">
        <f t="shared" si="384"/>
        <v>0</v>
      </c>
      <c r="O1249" s="121" t="str">
        <f t="shared" si="385"/>
        <v/>
      </c>
      <c r="P1249">
        <f t="shared" si="386"/>
        <v>0</v>
      </c>
      <c r="Q1249">
        <f t="shared" si="387"/>
        <v>0</v>
      </c>
      <c r="R1249">
        <f t="shared" si="388"/>
        <v>0</v>
      </c>
      <c r="S1249">
        <f t="shared" si="389"/>
        <v>0</v>
      </c>
      <c r="T1249" s="89">
        <f t="shared" si="390"/>
        <v>0</v>
      </c>
      <c r="U1249" s="126">
        <f>IF($D1249="",0,IFERROR(LOOKUP(2,1/(($D$3:D1248=$D1249)*($C$3:C1248=$C1249)*($A$3:A1248&lt;$A1249)),$AB$3:AB1248),1000))</f>
        <v>0</v>
      </c>
      <c r="V1249" s="126">
        <f t="shared" si="391"/>
        <v>0</v>
      </c>
      <c r="W1249">
        <f t="shared" si="392"/>
        <v>0</v>
      </c>
      <c r="X1249">
        <f t="shared" si="393"/>
        <v>0</v>
      </c>
      <c r="Y1249">
        <f t="shared" si="394"/>
        <v>0</v>
      </c>
      <c r="Z1249">
        <f t="shared" si="395"/>
        <v>0</v>
      </c>
      <c r="AA1249">
        <f>IF($D1249="",0,IF($F1249&lt;2,0,IF($E1249="Win",('Guide &amp; Settings'!$C$42/(($F1249-1)*COUNTIFS($A$4:$A$1510,$A1249,$E$4:$E$1510,"Win")))*SUMIFS($Z$4:$Z$1510,$A$4:$A$1510,$A1249,$E$4:$E$1510,"Loss"),-('Guide &amp; Settings'!$C$42/($F1249-1))*$Z1249)))</f>
        <v>0</v>
      </c>
      <c r="AB1249" s="126">
        <f t="shared" si="396"/>
        <v>0</v>
      </c>
      <c r="AC1249" t="str">
        <f>IF($D1249="","",IF($AD1249=0,0,IF(COUNTIFS($D$4:$D1249,$D1249,$B$4:$B1249,$B1249)&gt;1,0,IF($B1249&lt;'Guide &amp; Settings'!$C$50,0,IF(($B1249-$AD1249)/7-'Guide &amp; Settings'!$C$48&gt;=0,(INT(($B1249-$AD1249)/7-'Guide &amp; Settings'!$C$48)+1)*'Guide &amp; Settings'!$C$49,0)))))</f>
        <v/>
      </c>
      <c r="AD1249" s="142">
        <f t="shared" si="397"/>
        <v>0</v>
      </c>
      <c r="AE1249">
        <f t="shared" si="398"/>
        <v>0</v>
      </c>
      <c r="AF1249">
        <f t="shared" si="399"/>
        <v>0</v>
      </c>
    </row>
    <row r="1250" spans="1:32" x14ac:dyDescent="0.2">
      <c r="A1250" s="117"/>
      <c r="B1250" s="118"/>
      <c r="C1250" s="119"/>
      <c r="D1250" s="119"/>
      <c r="E1250" s="117"/>
      <c r="F1250" s="120">
        <f t="shared" si="380"/>
        <v>0</v>
      </c>
      <c r="G1250" s="121" t="str">
        <f t="shared" si="381"/>
        <v/>
      </c>
      <c r="H1250" s="122">
        <f>IF($D1250="",0,IFERROR(LOOKUP(2,1/(($D$3:D1249=$D1250)*($A$3:A1249&lt;$A1250)),$N$3:N1249),'Guide &amp; Settings'!$C$41))</f>
        <v>0</v>
      </c>
      <c r="I1250" s="123">
        <f t="shared" si="382"/>
        <v>0</v>
      </c>
      <c r="J1250" s="124">
        <f>IF($D1250="",0,IF($F1250&lt;2,0,IF($E1250="Win",('Guide &amp; Settings'!$C$42/(($F1250-1)*COUNTIFS($A$4:$A$1510,$A1250,$E$4:$E$1510,"Win")))*SUMIFS($X$4:$X$1510,$A$4:$A$1510,$A1250,$E$4:$E$1510,"Loss"),-('Guide &amp; Settings'!$C$42/($F1250-1))*$X1250)))</f>
        <v>0</v>
      </c>
      <c r="K1250" s="124">
        <f>IF($D1250="",0,'Guide &amp; Settings'!$C$43*(IF($E1250="Win",1,0)-$I1250))</f>
        <v>0</v>
      </c>
      <c r="L1250" s="125">
        <f>IF($D1250="",0,'Guide &amp; Settings'!$C$44*IF($F1250&gt;=3,$F1250,0))</f>
        <v>0</v>
      </c>
      <c r="M1250" s="124">
        <f t="shared" si="383"/>
        <v>0</v>
      </c>
      <c r="N1250" s="122">
        <f t="shared" si="384"/>
        <v>0</v>
      </c>
      <c r="O1250" s="121" t="str">
        <f t="shared" si="385"/>
        <v/>
      </c>
      <c r="P1250">
        <f t="shared" si="386"/>
        <v>0</v>
      </c>
      <c r="Q1250">
        <f t="shared" si="387"/>
        <v>0</v>
      </c>
      <c r="R1250">
        <f t="shared" si="388"/>
        <v>0</v>
      </c>
      <c r="S1250">
        <f t="shared" si="389"/>
        <v>0</v>
      </c>
      <c r="T1250" s="89">
        <f t="shared" si="390"/>
        <v>0</v>
      </c>
      <c r="U1250" s="126">
        <f>IF($D1250="",0,IFERROR(LOOKUP(2,1/(($D$3:D1249=$D1250)*($C$3:C1249=$C1250)*($A$3:A1249&lt;$A1250)),$AB$3:AB1249),1000))</f>
        <v>0</v>
      </c>
      <c r="V1250" s="126">
        <f t="shared" si="391"/>
        <v>0</v>
      </c>
      <c r="W1250">
        <f t="shared" si="392"/>
        <v>0</v>
      </c>
      <c r="X1250">
        <f t="shared" si="393"/>
        <v>0</v>
      </c>
      <c r="Y1250">
        <f t="shared" si="394"/>
        <v>0</v>
      </c>
      <c r="Z1250">
        <f t="shared" si="395"/>
        <v>0</v>
      </c>
      <c r="AA1250">
        <f>IF($D1250="",0,IF($F1250&lt;2,0,IF($E1250="Win",('Guide &amp; Settings'!$C$42/(($F1250-1)*COUNTIFS($A$4:$A$1510,$A1250,$E$4:$E$1510,"Win")))*SUMIFS($Z$4:$Z$1510,$A$4:$A$1510,$A1250,$E$4:$E$1510,"Loss"),-('Guide &amp; Settings'!$C$42/($F1250-1))*$Z1250)))</f>
        <v>0</v>
      </c>
      <c r="AB1250" s="126">
        <f t="shared" si="396"/>
        <v>0</v>
      </c>
      <c r="AC1250" t="str">
        <f>IF($D1250="","",IF($AD1250=0,0,IF(COUNTIFS($D$4:$D1250,$D1250,$B$4:$B1250,$B1250)&gt;1,0,IF($B1250&lt;'Guide &amp; Settings'!$C$50,0,IF(($B1250-$AD1250)/7-'Guide &amp; Settings'!$C$48&gt;=0,(INT(($B1250-$AD1250)/7-'Guide &amp; Settings'!$C$48)+1)*'Guide &amp; Settings'!$C$49,0)))))</f>
        <v/>
      </c>
      <c r="AD1250" s="142">
        <f t="shared" si="397"/>
        <v>0</v>
      </c>
      <c r="AE1250">
        <f t="shared" si="398"/>
        <v>0</v>
      </c>
      <c r="AF1250">
        <f t="shared" si="399"/>
        <v>0</v>
      </c>
    </row>
    <row r="1251" spans="1:32" x14ac:dyDescent="0.2">
      <c r="A1251" s="117"/>
      <c r="B1251" s="118"/>
      <c r="C1251" s="119"/>
      <c r="D1251" s="119"/>
      <c r="E1251" s="117"/>
      <c r="F1251" s="120">
        <f t="shared" si="380"/>
        <v>0</v>
      </c>
      <c r="G1251" s="121" t="str">
        <f t="shared" si="381"/>
        <v/>
      </c>
      <c r="H1251" s="122">
        <f>IF($D1251="",0,IFERROR(LOOKUP(2,1/(($D$3:D1250=$D1251)*($A$3:A1250&lt;$A1251)),$N$3:N1250),'Guide &amp; Settings'!$C$41))</f>
        <v>0</v>
      </c>
      <c r="I1251" s="123">
        <f t="shared" si="382"/>
        <v>0</v>
      </c>
      <c r="J1251" s="124">
        <f>IF($D1251="",0,IF($F1251&lt;2,0,IF($E1251="Win",('Guide &amp; Settings'!$C$42/(($F1251-1)*COUNTIFS($A$4:$A$1510,$A1251,$E$4:$E$1510,"Win")))*SUMIFS($X$4:$X$1510,$A$4:$A$1510,$A1251,$E$4:$E$1510,"Loss"),-('Guide &amp; Settings'!$C$42/($F1251-1))*$X1251)))</f>
        <v>0</v>
      </c>
      <c r="K1251" s="124">
        <f>IF($D1251="",0,'Guide &amp; Settings'!$C$43*(IF($E1251="Win",1,0)-$I1251))</f>
        <v>0</v>
      </c>
      <c r="L1251" s="125">
        <f>IF($D1251="",0,'Guide &amp; Settings'!$C$44*IF($F1251&gt;=3,$F1251,0))</f>
        <v>0</v>
      </c>
      <c r="M1251" s="124">
        <f t="shared" si="383"/>
        <v>0</v>
      </c>
      <c r="N1251" s="122">
        <f t="shared" si="384"/>
        <v>0</v>
      </c>
      <c r="O1251" s="121" t="str">
        <f t="shared" si="385"/>
        <v/>
      </c>
      <c r="P1251">
        <f t="shared" si="386"/>
        <v>0</v>
      </c>
      <c r="Q1251">
        <f t="shared" si="387"/>
        <v>0</v>
      </c>
      <c r="R1251">
        <f t="shared" si="388"/>
        <v>0</v>
      </c>
      <c r="S1251">
        <f t="shared" si="389"/>
        <v>0</v>
      </c>
      <c r="T1251" s="89">
        <f t="shared" si="390"/>
        <v>0</v>
      </c>
      <c r="U1251" s="126">
        <f>IF($D1251="",0,IFERROR(LOOKUP(2,1/(($D$3:D1250=$D1251)*($C$3:C1250=$C1251)*($A$3:A1250&lt;$A1251)),$AB$3:AB1250),1000))</f>
        <v>0</v>
      </c>
      <c r="V1251" s="126">
        <f t="shared" si="391"/>
        <v>0</v>
      </c>
      <c r="W1251">
        <f t="shared" si="392"/>
        <v>0</v>
      </c>
      <c r="X1251">
        <f t="shared" si="393"/>
        <v>0</v>
      </c>
      <c r="Y1251">
        <f t="shared" si="394"/>
        <v>0</v>
      </c>
      <c r="Z1251">
        <f t="shared" si="395"/>
        <v>0</v>
      </c>
      <c r="AA1251">
        <f>IF($D1251="",0,IF($F1251&lt;2,0,IF($E1251="Win",('Guide &amp; Settings'!$C$42/(($F1251-1)*COUNTIFS($A$4:$A$1510,$A1251,$E$4:$E$1510,"Win")))*SUMIFS($Z$4:$Z$1510,$A$4:$A$1510,$A1251,$E$4:$E$1510,"Loss"),-('Guide &amp; Settings'!$C$42/($F1251-1))*$Z1251)))</f>
        <v>0</v>
      </c>
      <c r="AB1251" s="126">
        <f t="shared" si="396"/>
        <v>0</v>
      </c>
      <c r="AC1251" t="str">
        <f>IF($D1251="","",IF($AD1251=0,0,IF(COUNTIFS($D$4:$D1251,$D1251,$B$4:$B1251,$B1251)&gt;1,0,IF($B1251&lt;'Guide &amp; Settings'!$C$50,0,IF(($B1251-$AD1251)/7-'Guide &amp; Settings'!$C$48&gt;=0,(INT(($B1251-$AD1251)/7-'Guide &amp; Settings'!$C$48)+1)*'Guide &amp; Settings'!$C$49,0)))))</f>
        <v/>
      </c>
      <c r="AD1251" s="142">
        <f t="shared" si="397"/>
        <v>0</v>
      </c>
      <c r="AE1251">
        <f t="shared" si="398"/>
        <v>0</v>
      </c>
      <c r="AF1251">
        <f t="shared" si="399"/>
        <v>0</v>
      </c>
    </row>
    <row r="1252" spans="1:32" x14ac:dyDescent="0.2">
      <c r="A1252" s="117"/>
      <c r="B1252" s="118"/>
      <c r="C1252" s="119"/>
      <c r="D1252" s="119"/>
      <c r="E1252" s="117"/>
      <c r="F1252" s="120">
        <f t="shared" si="380"/>
        <v>0</v>
      </c>
      <c r="G1252" s="121" t="str">
        <f t="shared" si="381"/>
        <v/>
      </c>
      <c r="H1252" s="122">
        <f>IF($D1252="",0,IFERROR(LOOKUP(2,1/(($D$3:D1251=$D1252)*($A$3:A1251&lt;$A1252)),$N$3:N1251),'Guide &amp; Settings'!$C$41))</f>
        <v>0</v>
      </c>
      <c r="I1252" s="123">
        <f t="shared" si="382"/>
        <v>0</v>
      </c>
      <c r="J1252" s="124">
        <f>IF($D1252="",0,IF($F1252&lt;2,0,IF($E1252="Win",('Guide &amp; Settings'!$C$42/(($F1252-1)*COUNTIFS($A$4:$A$1510,$A1252,$E$4:$E$1510,"Win")))*SUMIFS($X$4:$X$1510,$A$4:$A$1510,$A1252,$E$4:$E$1510,"Loss"),-('Guide &amp; Settings'!$C$42/($F1252-1))*$X1252)))</f>
        <v>0</v>
      </c>
      <c r="K1252" s="124">
        <f>IF($D1252="",0,'Guide &amp; Settings'!$C$43*(IF($E1252="Win",1,0)-$I1252))</f>
        <v>0</v>
      </c>
      <c r="L1252" s="125">
        <f>IF($D1252="",0,'Guide &amp; Settings'!$C$44*IF($F1252&gt;=3,$F1252,0))</f>
        <v>0</v>
      </c>
      <c r="M1252" s="124">
        <f t="shared" si="383"/>
        <v>0</v>
      </c>
      <c r="N1252" s="122">
        <f t="shared" si="384"/>
        <v>0</v>
      </c>
      <c r="O1252" s="121" t="str">
        <f t="shared" si="385"/>
        <v/>
      </c>
      <c r="P1252">
        <f t="shared" si="386"/>
        <v>0</v>
      </c>
      <c r="Q1252">
        <f t="shared" si="387"/>
        <v>0</v>
      </c>
      <c r="R1252">
        <f t="shared" si="388"/>
        <v>0</v>
      </c>
      <c r="S1252">
        <f t="shared" si="389"/>
        <v>0</v>
      </c>
      <c r="T1252" s="89">
        <f t="shared" si="390"/>
        <v>0</v>
      </c>
      <c r="U1252" s="126">
        <f>IF($D1252="",0,IFERROR(LOOKUP(2,1/(($D$3:D1251=$D1252)*($C$3:C1251=$C1252)*($A$3:A1251&lt;$A1252)),$AB$3:AB1251),1000))</f>
        <v>0</v>
      </c>
      <c r="V1252" s="126">
        <f t="shared" si="391"/>
        <v>0</v>
      </c>
      <c r="W1252">
        <f t="shared" si="392"/>
        <v>0</v>
      </c>
      <c r="X1252">
        <f t="shared" si="393"/>
        <v>0</v>
      </c>
      <c r="Y1252">
        <f t="shared" si="394"/>
        <v>0</v>
      </c>
      <c r="Z1252">
        <f t="shared" si="395"/>
        <v>0</v>
      </c>
      <c r="AA1252">
        <f>IF($D1252="",0,IF($F1252&lt;2,0,IF($E1252="Win",('Guide &amp; Settings'!$C$42/(($F1252-1)*COUNTIFS($A$4:$A$1510,$A1252,$E$4:$E$1510,"Win")))*SUMIFS($Z$4:$Z$1510,$A$4:$A$1510,$A1252,$E$4:$E$1510,"Loss"),-('Guide &amp; Settings'!$C$42/($F1252-1))*$Z1252)))</f>
        <v>0</v>
      </c>
      <c r="AB1252" s="126">
        <f t="shared" si="396"/>
        <v>0</v>
      </c>
      <c r="AC1252" t="str">
        <f>IF($D1252="","",IF($AD1252=0,0,IF(COUNTIFS($D$4:$D1252,$D1252,$B$4:$B1252,$B1252)&gt;1,0,IF($B1252&lt;'Guide &amp; Settings'!$C$50,0,IF(($B1252-$AD1252)/7-'Guide &amp; Settings'!$C$48&gt;=0,(INT(($B1252-$AD1252)/7-'Guide &amp; Settings'!$C$48)+1)*'Guide &amp; Settings'!$C$49,0)))))</f>
        <v/>
      </c>
      <c r="AD1252" s="142">
        <f t="shared" si="397"/>
        <v>0</v>
      </c>
      <c r="AE1252">
        <f t="shared" si="398"/>
        <v>0</v>
      </c>
      <c r="AF1252">
        <f t="shared" si="399"/>
        <v>0</v>
      </c>
    </row>
    <row r="1253" spans="1:32" x14ac:dyDescent="0.2">
      <c r="A1253" s="117"/>
      <c r="B1253" s="118"/>
      <c r="C1253" s="119"/>
      <c r="D1253" s="119"/>
      <c r="E1253" s="117"/>
      <c r="F1253" s="120">
        <f t="shared" si="380"/>
        <v>0</v>
      </c>
      <c r="G1253" s="121" t="str">
        <f t="shared" si="381"/>
        <v/>
      </c>
      <c r="H1253" s="122">
        <f>IF($D1253="",0,IFERROR(LOOKUP(2,1/(($D$3:D1252=$D1253)*($A$3:A1252&lt;$A1253)),$N$3:N1252),'Guide &amp; Settings'!$C$41))</f>
        <v>0</v>
      </c>
      <c r="I1253" s="123">
        <f t="shared" si="382"/>
        <v>0</v>
      </c>
      <c r="J1253" s="124">
        <f>IF($D1253="",0,IF($F1253&lt;2,0,IF($E1253="Win",('Guide &amp; Settings'!$C$42/(($F1253-1)*COUNTIFS($A$4:$A$1510,$A1253,$E$4:$E$1510,"Win")))*SUMIFS($X$4:$X$1510,$A$4:$A$1510,$A1253,$E$4:$E$1510,"Loss"),-('Guide &amp; Settings'!$C$42/($F1253-1))*$X1253)))</f>
        <v>0</v>
      </c>
      <c r="K1253" s="124">
        <f>IF($D1253="",0,'Guide &amp; Settings'!$C$43*(IF($E1253="Win",1,0)-$I1253))</f>
        <v>0</v>
      </c>
      <c r="L1253" s="125">
        <f>IF($D1253="",0,'Guide &amp; Settings'!$C$44*IF($F1253&gt;=3,$F1253,0))</f>
        <v>0</v>
      </c>
      <c r="M1253" s="124">
        <f t="shared" si="383"/>
        <v>0</v>
      </c>
      <c r="N1253" s="122">
        <f t="shared" si="384"/>
        <v>0</v>
      </c>
      <c r="O1253" s="121" t="str">
        <f t="shared" si="385"/>
        <v/>
      </c>
      <c r="P1253">
        <f t="shared" si="386"/>
        <v>0</v>
      </c>
      <c r="Q1253">
        <f t="shared" si="387"/>
        <v>0</v>
      </c>
      <c r="R1253">
        <f t="shared" si="388"/>
        <v>0</v>
      </c>
      <c r="S1253">
        <f t="shared" si="389"/>
        <v>0</v>
      </c>
      <c r="T1253" s="89">
        <f t="shared" si="390"/>
        <v>0</v>
      </c>
      <c r="U1253" s="126">
        <f>IF($D1253="",0,IFERROR(LOOKUP(2,1/(($D$3:D1252=$D1253)*($C$3:C1252=$C1253)*($A$3:A1252&lt;$A1253)),$AB$3:AB1252),1000))</f>
        <v>0</v>
      </c>
      <c r="V1253" s="126">
        <f t="shared" si="391"/>
        <v>0</v>
      </c>
      <c r="W1253">
        <f t="shared" si="392"/>
        <v>0</v>
      </c>
      <c r="X1253">
        <f t="shared" si="393"/>
        <v>0</v>
      </c>
      <c r="Y1253">
        <f t="shared" si="394"/>
        <v>0</v>
      </c>
      <c r="Z1253">
        <f t="shared" si="395"/>
        <v>0</v>
      </c>
      <c r="AA1253">
        <f>IF($D1253="",0,IF($F1253&lt;2,0,IF($E1253="Win",('Guide &amp; Settings'!$C$42/(($F1253-1)*COUNTIFS($A$4:$A$1510,$A1253,$E$4:$E$1510,"Win")))*SUMIFS($Z$4:$Z$1510,$A$4:$A$1510,$A1253,$E$4:$E$1510,"Loss"),-('Guide &amp; Settings'!$C$42/($F1253-1))*$Z1253)))</f>
        <v>0</v>
      </c>
      <c r="AB1253" s="126">
        <f t="shared" si="396"/>
        <v>0</v>
      </c>
      <c r="AC1253" t="str">
        <f>IF($D1253="","",IF($AD1253=0,0,IF(COUNTIFS($D$4:$D1253,$D1253,$B$4:$B1253,$B1253)&gt;1,0,IF($B1253&lt;'Guide &amp; Settings'!$C$50,0,IF(($B1253-$AD1253)/7-'Guide &amp; Settings'!$C$48&gt;=0,(INT(($B1253-$AD1253)/7-'Guide &amp; Settings'!$C$48)+1)*'Guide &amp; Settings'!$C$49,0)))))</f>
        <v/>
      </c>
      <c r="AD1253" s="142">
        <f t="shared" si="397"/>
        <v>0</v>
      </c>
      <c r="AE1253">
        <f t="shared" si="398"/>
        <v>0</v>
      </c>
      <c r="AF1253">
        <f t="shared" si="399"/>
        <v>0</v>
      </c>
    </row>
    <row r="1254" spans="1:32" x14ac:dyDescent="0.2">
      <c r="A1254" s="117"/>
      <c r="B1254" s="118"/>
      <c r="C1254" s="119"/>
      <c r="D1254" s="119"/>
      <c r="E1254" s="117"/>
      <c r="F1254" s="120">
        <f t="shared" si="380"/>
        <v>0</v>
      </c>
      <c r="G1254" s="121" t="str">
        <f t="shared" si="381"/>
        <v/>
      </c>
      <c r="H1254" s="122">
        <f>IF($D1254="",0,IFERROR(LOOKUP(2,1/(($D$3:D1253=$D1254)*($A$3:A1253&lt;$A1254)),$N$3:N1253),'Guide &amp; Settings'!$C$41))</f>
        <v>0</v>
      </c>
      <c r="I1254" s="123">
        <f t="shared" si="382"/>
        <v>0</v>
      </c>
      <c r="J1254" s="124">
        <f>IF($D1254="",0,IF($F1254&lt;2,0,IF($E1254="Win",('Guide &amp; Settings'!$C$42/(($F1254-1)*COUNTIFS($A$4:$A$1510,$A1254,$E$4:$E$1510,"Win")))*SUMIFS($X$4:$X$1510,$A$4:$A$1510,$A1254,$E$4:$E$1510,"Loss"),-('Guide &amp; Settings'!$C$42/($F1254-1))*$X1254)))</f>
        <v>0</v>
      </c>
      <c r="K1254" s="124">
        <f>IF($D1254="",0,'Guide &amp; Settings'!$C$43*(IF($E1254="Win",1,0)-$I1254))</f>
        <v>0</v>
      </c>
      <c r="L1254" s="125">
        <f>IF($D1254="",0,'Guide &amp; Settings'!$C$44*IF($F1254&gt;=3,$F1254,0))</f>
        <v>0</v>
      </c>
      <c r="M1254" s="124">
        <f t="shared" si="383"/>
        <v>0</v>
      </c>
      <c r="N1254" s="122">
        <f t="shared" si="384"/>
        <v>0</v>
      </c>
      <c r="O1254" s="121" t="str">
        <f t="shared" si="385"/>
        <v/>
      </c>
      <c r="P1254">
        <f t="shared" si="386"/>
        <v>0</v>
      </c>
      <c r="Q1254">
        <f t="shared" si="387"/>
        <v>0</v>
      </c>
      <c r="R1254">
        <f t="shared" si="388"/>
        <v>0</v>
      </c>
      <c r="S1254">
        <f t="shared" si="389"/>
        <v>0</v>
      </c>
      <c r="T1254" s="89">
        <f t="shared" si="390"/>
        <v>0</v>
      </c>
      <c r="U1254" s="126">
        <f>IF($D1254="",0,IFERROR(LOOKUP(2,1/(($D$3:D1253=$D1254)*($C$3:C1253=$C1254)*($A$3:A1253&lt;$A1254)),$AB$3:AB1253),1000))</f>
        <v>0</v>
      </c>
      <c r="V1254" s="126">
        <f t="shared" si="391"/>
        <v>0</v>
      </c>
      <c r="W1254">
        <f t="shared" si="392"/>
        <v>0</v>
      </c>
      <c r="X1254">
        <f t="shared" si="393"/>
        <v>0</v>
      </c>
      <c r="Y1254">
        <f t="shared" si="394"/>
        <v>0</v>
      </c>
      <c r="Z1254">
        <f t="shared" si="395"/>
        <v>0</v>
      </c>
      <c r="AA1254">
        <f>IF($D1254="",0,IF($F1254&lt;2,0,IF($E1254="Win",('Guide &amp; Settings'!$C$42/(($F1254-1)*COUNTIFS($A$4:$A$1510,$A1254,$E$4:$E$1510,"Win")))*SUMIFS($Z$4:$Z$1510,$A$4:$A$1510,$A1254,$E$4:$E$1510,"Loss"),-('Guide &amp; Settings'!$C$42/($F1254-1))*$Z1254)))</f>
        <v>0</v>
      </c>
      <c r="AB1254" s="126">
        <f t="shared" si="396"/>
        <v>0</v>
      </c>
      <c r="AC1254" t="str">
        <f>IF($D1254="","",IF($AD1254=0,0,IF(COUNTIFS($D$4:$D1254,$D1254,$B$4:$B1254,$B1254)&gt;1,0,IF($B1254&lt;'Guide &amp; Settings'!$C$50,0,IF(($B1254-$AD1254)/7-'Guide &amp; Settings'!$C$48&gt;=0,(INT(($B1254-$AD1254)/7-'Guide &amp; Settings'!$C$48)+1)*'Guide &amp; Settings'!$C$49,0)))))</f>
        <v/>
      </c>
      <c r="AD1254" s="142">
        <f t="shared" si="397"/>
        <v>0</v>
      </c>
      <c r="AE1254">
        <f t="shared" si="398"/>
        <v>0</v>
      </c>
      <c r="AF1254">
        <f t="shared" si="399"/>
        <v>0</v>
      </c>
    </row>
    <row r="1255" spans="1:32" x14ac:dyDescent="0.2">
      <c r="A1255" s="117"/>
      <c r="B1255" s="118"/>
      <c r="C1255" s="119"/>
      <c r="D1255" s="119"/>
      <c r="E1255" s="117"/>
      <c r="F1255" s="120">
        <f t="shared" si="380"/>
        <v>0</v>
      </c>
      <c r="G1255" s="121" t="str">
        <f t="shared" si="381"/>
        <v/>
      </c>
      <c r="H1255" s="122">
        <f>IF($D1255="",0,IFERROR(LOOKUP(2,1/(($D$3:D1254=$D1255)*($A$3:A1254&lt;$A1255)),$N$3:N1254),'Guide &amp; Settings'!$C$41))</f>
        <v>0</v>
      </c>
      <c r="I1255" s="123">
        <f t="shared" si="382"/>
        <v>0</v>
      </c>
      <c r="J1255" s="124">
        <f>IF($D1255="",0,IF($F1255&lt;2,0,IF($E1255="Win",('Guide &amp; Settings'!$C$42/(($F1255-1)*COUNTIFS($A$4:$A$1510,$A1255,$E$4:$E$1510,"Win")))*SUMIFS($X$4:$X$1510,$A$4:$A$1510,$A1255,$E$4:$E$1510,"Loss"),-('Guide &amp; Settings'!$C$42/($F1255-1))*$X1255)))</f>
        <v>0</v>
      </c>
      <c r="K1255" s="124">
        <f>IF($D1255="",0,'Guide &amp; Settings'!$C$43*(IF($E1255="Win",1,0)-$I1255))</f>
        <v>0</v>
      </c>
      <c r="L1255" s="125">
        <f>IF($D1255="",0,'Guide &amp; Settings'!$C$44*IF($F1255&gt;=3,$F1255,0))</f>
        <v>0</v>
      </c>
      <c r="M1255" s="124">
        <f t="shared" si="383"/>
        <v>0</v>
      </c>
      <c r="N1255" s="122">
        <f t="shared" si="384"/>
        <v>0</v>
      </c>
      <c r="O1255" s="121" t="str">
        <f t="shared" si="385"/>
        <v/>
      </c>
      <c r="P1255">
        <f t="shared" si="386"/>
        <v>0</v>
      </c>
      <c r="Q1255">
        <f t="shared" si="387"/>
        <v>0</v>
      </c>
      <c r="R1255">
        <f t="shared" si="388"/>
        <v>0</v>
      </c>
      <c r="S1255">
        <f t="shared" si="389"/>
        <v>0</v>
      </c>
      <c r="T1255" s="89">
        <f t="shared" si="390"/>
        <v>0</v>
      </c>
      <c r="U1255" s="126">
        <f>IF($D1255="",0,IFERROR(LOOKUP(2,1/(($D$3:D1254=$D1255)*($C$3:C1254=$C1255)*($A$3:A1254&lt;$A1255)),$AB$3:AB1254),1000))</f>
        <v>0</v>
      </c>
      <c r="V1255" s="126">
        <f t="shared" si="391"/>
        <v>0</v>
      </c>
      <c r="W1255">
        <f t="shared" si="392"/>
        <v>0</v>
      </c>
      <c r="X1255">
        <f t="shared" si="393"/>
        <v>0</v>
      </c>
      <c r="Y1255">
        <f t="shared" si="394"/>
        <v>0</v>
      </c>
      <c r="Z1255">
        <f t="shared" si="395"/>
        <v>0</v>
      </c>
      <c r="AA1255">
        <f>IF($D1255="",0,IF($F1255&lt;2,0,IF($E1255="Win",('Guide &amp; Settings'!$C$42/(($F1255-1)*COUNTIFS($A$4:$A$1510,$A1255,$E$4:$E$1510,"Win")))*SUMIFS($Z$4:$Z$1510,$A$4:$A$1510,$A1255,$E$4:$E$1510,"Loss"),-('Guide &amp; Settings'!$C$42/($F1255-1))*$Z1255)))</f>
        <v>0</v>
      </c>
      <c r="AB1255" s="126">
        <f t="shared" si="396"/>
        <v>0</v>
      </c>
      <c r="AC1255" t="str">
        <f>IF($D1255="","",IF($AD1255=0,0,IF(COUNTIFS($D$4:$D1255,$D1255,$B$4:$B1255,$B1255)&gt;1,0,IF($B1255&lt;'Guide &amp; Settings'!$C$50,0,IF(($B1255-$AD1255)/7-'Guide &amp; Settings'!$C$48&gt;=0,(INT(($B1255-$AD1255)/7-'Guide &amp; Settings'!$C$48)+1)*'Guide &amp; Settings'!$C$49,0)))))</f>
        <v/>
      </c>
      <c r="AD1255" s="142">
        <f t="shared" si="397"/>
        <v>0</v>
      </c>
      <c r="AE1255">
        <f t="shared" si="398"/>
        <v>0</v>
      </c>
      <c r="AF1255">
        <f t="shared" si="399"/>
        <v>0</v>
      </c>
    </row>
    <row r="1256" spans="1:32" x14ac:dyDescent="0.2">
      <c r="A1256" s="117"/>
      <c r="B1256" s="118"/>
      <c r="C1256" s="119"/>
      <c r="D1256" s="119"/>
      <c r="E1256" s="117"/>
      <c r="F1256" s="120">
        <f t="shared" si="380"/>
        <v>0</v>
      </c>
      <c r="G1256" s="121" t="str">
        <f t="shared" si="381"/>
        <v/>
      </c>
      <c r="H1256" s="122">
        <f>IF($D1256="",0,IFERROR(LOOKUP(2,1/(($D$3:D1255=$D1256)*($A$3:A1255&lt;$A1256)),$N$3:N1255),'Guide &amp; Settings'!$C$41))</f>
        <v>0</v>
      </c>
      <c r="I1256" s="123">
        <f t="shared" si="382"/>
        <v>0</v>
      </c>
      <c r="J1256" s="124">
        <f>IF($D1256="",0,IF($F1256&lt;2,0,IF($E1256="Win",('Guide &amp; Settings'!$C$42/(($F1256-1)*COUNTIFS($A$4:$A$1510,$A1256,$E$4:$E$1510,"Win")))*SUMIFS($X$4:$X$1510,$A$4:$A$1510,$A1256,$E$4:$E$1510,"Loss"),-('Guide &amp; Settings'!$C$42/($F1256-1))*$X1256)))</f>
        <v>0</v>
      </c>
      <c r="K1256" s="124">
        <f>IF($D1256="",0,'Guide &amp; Settings'!$C$43*(IF($E1256="Win",1,0)-$I1256))</f>
        <v>0</v>
      </c>
      <c r="L1256" s="125">
        <f>IF($D1256="",0,'Guide &amp; Settings'!$C$44*IF($F1256&gt;=3,$F1256,0))</f>
        <v>0</v>
      </c>
      <c r="M1256" s="124">
        <f t="shared" si="383"/>
        <v>0</v>
      </c>
      <c r="N1256" s="122">
        <f t="shared" si="384"/>
        <v>0</v>
      </c>
      <c r="O1256" s="121" t="str">
        <f t="shared" si="385"/>
        <v/>
      </c>
      <c r="P1256">
        <f t="shared" si="386"/>
        <v>0</v>
      </c>
      <c r="Q1256">
        <f t="shared" si="387"/>
        <v>0</v>
      </c>
      <c r="R1256">
        <f t="shared" si="388"/>
        <v>0</v>
      </c>
      <c r="S1256">
        <f t="shared" si="389"/>
        <v>0</v>
      </c>
      <c r="T1256" s="89">
        <f t="shared" si="390"/>
        <v>0</v>
      </c>
      <c r="U1256" s="126">
        <f>IF($D1256="",0,IFERROR(LOOKUP(2,1/(($D$3:D1255=$D1256)*($C$3:C1255=$C1256)*($A$3:A1255&lt;$A1256)),$AB$3:AB1255),1000))</f>
        <v>0</v>
      </c>
      <c r="V1256" s="126">
        <f t="shared" si="391"/>
        <v>0</v>
      </c>
      <c r="W1256">
        <f t="shared" si="392"/>
        <v>0</v>
      </c>
      <c r="X1256">
        <f t="shared" si="393"/>
        <v>0</v>
      </c>
      <c r="Y1256">
        <f t="shared" si="394"/>
        <v>0</v>
      </c>
      <c r="Z1256">
        <f t="shared" si="395"/>
        <v>0</v>
      </c>
      <c r="AA1256">
        <f>IF($D1256="",0,IF($F1256&lt;2,0,IF($E1256="Win",('Guide &amp; Settings'!$C$42/(($F1256-1)*COUNTIFS($A$4:$A$1510,$A1256,$E$4:$E$1510,"Win")))*SUMIFS($Z$4:$Z$1510,$A$4:$A$1510,$A1256,$E$4:$E$1510,"Loss"),-('Guide &amp; Settings'!$C$42/($F1256-1))*$Z1256)))</f>
        <v>0</v>
      </c>
      <c r="AB1256" s="126">
        <f t="shared" si="396"/>
        <v>0</v>
      </c>
      <c r="AC1256" t="str">
        <f>IF($D1256="","",IF($AD1256=0,0,IF(COUNTIFS($D$4:$D1256,$D1256,$B$4:$B1256,$B1256)&gt;1,0,IF($B1256&lt;'Guide &amp; Settings'!$C$50,0,IF(($B1256-$AD1256)/7-'Guide &amp; Settings'!$C$48&gt;=0,(INT(($B1256-$AD1256)/7-'Guide &amp; Settings'!$C$48)+1)*'Guide &amp; Settings'!$C$49,0)))))</f>
        <v/>
      </c>
      <c r="AD1256" s="142">
        <f t="shared" si="397"/>
        <v>0</v>
      </c>
      <c r="AE1256">
        <f t="shared" si="398"/>
        <v>0</v>
      </c>
      <c r="AF1256">
        <f t="shared" si="399"/>
        <v>0</v>
      </c>
    </row>
    <row r="1257" spans="1:32" x14ac:dyDescent="0.2">
      <c r="A1257" s="117"/>
      <c r="B1257" s="118"/>
      <c r="C1257" s="119"/>
      <c r="D1257" s="119"/>
      <c r="E1257" s="117"/>
      <c r="F1257" s="120">
        <f t="shared" si="380"/>
        <v>0</v>
      </c>
      <c r="G1257" s="121" t="str">
        <f t="shared" si="381"/>
        <v/>
      </c>
      <c r="H1257" s="122">
        <f>IF($D1257="",0,IFERROR(LOOKUP(2,1/(($D$3:D1256=$D1257)*($A$3:A1256&lt;$A1257)),$N$3:N1256),'Guide &amp; Settings'!$C$41))</f>
        <v>0</v>
      </c>
      <c r="I1257" s="123">
        <f t="shared" si="382"/>
        <v>0</v>
      </c>
      <c r="J1257" s="124">
        <f>IF($D1257="",0,IF($F1257&lt;2,0,IF($E1257="Win",('Guide &amp; Settings'!$C$42/(($F1257-1)*COUNTIFS($A$4:$A$1510,$A1257,$E$4:$E$1510,"Win")))*SUMIFS($X$4:$X$1510,$A$4:$A$1510,$A1257,$E$4:$E$1510,"Loss"),-('Guide &amp; Settings'!$C$42/($F1257-1))*$X1257)))</f>
        <v>0</v>
      </c>
      <c r="K1257" s="124">
        <f>IF($D1257="",0,'Guide &amp; Settings'!$C$43*(IF($E1257="Win",1,0)-$I1257))</f>
        <v>0</v>
      </c>
      <c r="L1257" s="125">
        <f>IF($D1257="",0,'Guide &amp; Settings'!$C$44*IF($F1257&gt;=3,$F1257,0))</f>
        <v>0</v>
      </c>
      <c r="M1257" s="124">
        <f t="shared" si="383"/>
        <v>0</v>
      </c>
      <c r="N1257" s="122">
        <f t="shared" si="384"/>
        <v>0</v>
      </c>
      <c r="O1257" s="121" t="str">
        <f t="shared" si="385"/>
        <v/>
      </c>
      <c r="P1257">
        <f t="shared" si="386"/>
        <v>0</v>
      </c>
      <c r="Q1257">
        <f t="shared" si="387"/>
        <v>0</v>
      </c>
      <c r="R1257">
        <f t="shared" si="388"/>
        <v>0</v>
      </c>
      <c r="S1257">
        <f t="shared" si="389"/>
        <v>0</v>
      </c>
      <c r="T1257" s="89">
        <f t="shared" si="390"/>
        <v>0</v>
      </c>
      <c r="U1257" s="126">
        <f>IF($D1257="",0,IFERROR(LOOKUP(2,1/(($D$3:D1256=$D1257)*($C$3:C1256=$C1257)*($A$3:A1256&lt;$A1257)),$AB$3:AB1256),1000))</f>
        <v>0</v>
      </c>
      <c r="V1257" s="126">
        <f t="shared" si="391"/>
        <v>0</v>
      </c>
      <c r="W1257">
        <f t="shared" si="392"/>
        <v>0</v>
      </c>
      <c r="X1257">
        <f t="shared" si="393"/>
        <v>0</v>
      </c>
      <c r="Y1257">
        <f t="shared" si="394"/>
        <v>0</v>
      </c>
      <c r="Z1257">
        <f t="shared" si="395"/>
        <v>0</v>
      </c>
      <c r="AA1257">
        <f>IF($D1257="",0,IF($F1257&lt;2,0,IF($E1257="Win",('Guide &amp; Settings'!$C$42/(($F1257-1)*COUNTIFS($A$4:$A$1510,$A1257,$E$4:$E$1510,"Win")))*SUMIFS($Z$4:$Z$1510,$A$4:$A$1510,$A1257,$E$4:$E$1510,"Loss"),-('Guide &amp; Settings'!$C$42/($F1257-1))*$Z1257)))</f>
        <v>0</v>
      </c>
      <c r="AB1257" s="126">
        <f t="shared" si="396"/>
        <v>0</v>
      </c>
      <c r="AC1257" t="str">
        <f>IF($D1257="","",IF($AD1257=0,0,IF(COUNTIFS($D$4:$D1257,$D1257,$B$4:$B1257,$B1257)&gt;1,0,IF($B1257&lt;'Guide &amp; Settings'!$C$50,0,IF(($B1257-$AD1257)/7-'Guide &amp; Settings'!$C$48&gt;=0,(INT(($B1257-$AD1257)/7-'Guide &amp; Settings'!$C$48)+1)*'Guide &amp; Settings'!$C$49,0)))))</f>
        <v/>
      </c>
      <c r="AD1257" s="142">
        <f t="shared" si="397"/>
        <v>0</v>
      </c>
      <c r="AE1257">
        <f t="shared" si="398"/>
        <v>0</v>
      </c>
      <c r="AF1257">
        <f t="shared" si="399"/>
        <v>0</v>
      </c>
    </row>
    <row r="1258" spans="1:32" x14ac:dyDescent="0.2">
      <c r="A1258" s="117"/>
      <c r="B1258" s="118"/>
      <c r="C1258" s="119"/>
      <c r="D1258" s="119"/>
      <c r="E1258" s="117"/>
      <c r="F1258" s="120">
        <f t="shared" si="380"/>
        <v>0</v>
      </c>
      <c r="G1258" s="121" t="str">
        <f t="shared" si="381"/>
        <v/>
      </c>
      <c r="H1258" s="122">
        <f>IF($D1258="",0,IFERROR(LOOKUP(2,1/(($D$3:D1257=$D1258)*($A$3:A1257&lt;$A1258)),$N$3:N1257),'Guide &amp; Settings'!$C$41))</f>
        <v>0</v>
      </c>
      <c r="I1258" s="123">
        <f t="shared" si="382"/>
        <v>0</v>
      </c>
      <c r="J1258" s="124">
        <f>IF($D1258="",0,IF($F1258&lt;2,0,IF($E1258="Win",('Guide &amp; Settings'!$C$42/(($F1258-1)*COUNTIFS($A$4:$A$1510,$A1258,$E$4:$E$1510,"Win")))*SUMIFS($X$4:$X$1510,$A$4:$A$1510,$A1258,$E$4:$E$1510,"Loss"),-('Guide &amp; Settings'!$C$42/($F1258-1))*$X1258)))</f>
        <v>0</v>
      </c>
      <c r="K1258" s="124">
        <f>IF($D1258="",0,'Guide &amp; Settings'!$C$43*(IF($E1258="Win",1,0)-$I1258))</f>
        <v>0</v>
      </c>
      <c r="L1258" s="125">
        <f>IF($D1258="",0,'Guide &amp; Settings'!$C$44*IF($F1258&gt;=3,$F1258,0))</f>
        <v>0</v>
      </c>
      <c r="M1258" s="124">
        <f t="shared" si="383"/>
        <v>0</v>
      </c>
      <c r="N1258" s="122">
        <f t="shared" si="384"/>
        <v>0</v>
      </c>
      <c r="O1258" s="121" t="str">
        <f t="shared" si="385"/>
        <v/>
      </c>
      <c r="P1258">
        <f t="shared" si="386"/>
        <v>0</v>
      </c>
      <c r="Q1258">
        <f t="shared" si="387"/>
        <v>0</v>
      </c>
      <c r="R1258">
        <f t="shared" si="388"/>
        <v>0</v>
      </c>
      <c r="S1258">
        <f t="shared" si="389"/>
        <v>0</v>
      </c>
      <c r="T1258" s="89">
        <f t="shared" si="390"/>
        <v>0</v>
      </c>
      <c r="U1258" s="126">
        <f>IF($D1258="",0,IFERROR(LOOKUP(2,1/(($D$3:D1257=$D1258)*($C$3:C1257=$C1258)*($A$3:A1257&lt;$A1258)),$AB$3:AB1257),1000))</f>
        <v>0</v>
      </c>
      <c r="V1258" s="126">
        <f t="shared" si="391"/>
        <v>0</v>
      </c>
      <c r="W1258">
        <f t="shared" si="392"/>
        <v>0</v>
      </c>
      <c r="X1258">
        <f t="shared" si="393"/>
        <v>0</v>
      </c>
      <c r="Y1258">
        <f t="shared" si="394"/>
        <v>0</v>
      </c>
      <c r="Z1258">
        <f t="shared" si="395"/>
        <v>0</v>
      </c>
      <c r="AA1258">
        <f>IF($D1258="",0,IF($F1258&lt;2,0,IF($E1258="Win",('Guide &amp; Settings'!$C$42/(($F1258-1)*COUNTIFS($A$4:$A$1510,$A1258,$E$4:$E$1510,"Win")))*SUMIFS($Z$4:$Z$1510,$A$4:$A$1510,$A1258,$E$4:$E$1510,"Loss"),-('Guide &amp; Settings'!$C$42/($F1258-1))*$Z1258)))</f>
        <v>0</v>
      </c>
      <c r="AB1258" s="126">
        <f t="shared" si="396"/>
        <v>0</v>
      </c>
      <c r="AC1258" t="str">
        <f>IF($D1258="","",IF($AD1258=0,0,IF(COUNTIFS($D$4:$D1258,$D1258,$B$4:$B1258,$B1258)&gt;1,0,IF($B1258&lt;'Guide &amp; Settings'!$C$50,0,IF(($B1258-$AD1258)/7-'Guide &amp; Settings'!$C$48&gt;=0,(INT(($B1258-$AD1258)/7-'Guide &amp; Settings'!$C$48)+1)*'Guide &amp; Settings'!$C$49,0)))))</f>
        <v/>
      </c>
      <c r="AD1258" s="142">
        <f t="shared" si="397"/>
        <v>0</v>
      </c>
      <c r="AE1258">
        <f t="shared" si="398"/>
        <v>0</v>
      </c>
      <c r="AF1258">
        <f t="shared" si="399"/>
        <v>0</v>
      </c>
    </row>
    <row r="1259" spans="1:32" x14ac:dyDescent="0.2">
      <c r="A1259" s="117"/>
      <c r="B1259" s="118"/>
      <c r="C1259" s="119"/>
      <c r="D1259" s="119"/>
      <c r="E1259" s="117"/>
      <c r="F1259" s="120">
        <f t="shared" si="380"/>
        <v>0</v>
      </c>
      <c r="G1259" s="121" t="str">
        <f t="shared" si="381"/>
        <v/>
      </c>
      <c r="H1259" s="122">
        <f>IF($D1259="",0,IFERROR(LOOKUP(2,1/(($D$3:D1258=$D1259)*($A$3:A1258&lt;$A1259)),$N$3:N1258),'Guide &amp; Settings'!$C$41))</f>
        <v>0</v>
      </c>
      <c r="I1259" s="123">
        <f t="shared" si="382"/>
        <v>0</v>
      </c>
      <c r="J1259" s="124">
        <f>IF($D1259="",0,IF($F1259&lt;2,0,IF($E1259="Win",('Guide &amp; Settings'!$C$42/(($F1259-1)*COUNTIFS($A$4:$A$1510,$A1259,$E$4:$E$1510,"Win")))*SUMIFS($X$4:$X$1510,$A$4:$A$1510,$A1259,$E$4:$E$1510,"Loss"),-('Guide &amp; Settings'!$C$42/($F1259-1))*$X1259)))</f>
        <v>0</v>
      </c>
      <c r="K1259" s="124">
        <f>IF($D1259="",0,'Guide &amp; Settings'!$C$43*(IF($E1259="Win",1,0)-$I1259))</f>
        <v>0</v>
      </c>
      <c r="L1259" s="125">
        <f>IF($D1259="",0,'Guide &amp; Settings'!$C$44*IF($F1259&gt;=3,$F1259,0))</f>
        <v>0</v>
      </c>
      <c r="M1259" s="124">
        <f t="shared" si="383"/>
        <v>0</v>
      </c>
      <c r="N1259" s="122">
        <f t="shared" si="384"/>
        <v>0</v>
      </c>
      <c r="O1259" s="121" t="str">
        <f t="shared" si="385"/>
        <v/>
      </c>
      <c r="P1259">
        <f t="shared" si="386"/>
        <v>0</v>
      </c>
      <c r="Q1259">
        <f t="shared" si="387"/>
        <v>0</v>
      </c>
      <c r="R1259">
        <f t="shared" si="388"/>
        <v>0</v>
      </c>
      <c r="S1259">
        <f t="shared" si="389"/>
        <v>0</v>
      </c>
      <c r="T1259" s="89">
        <f t="shared" si="390"/>
        <v>0</v>
      </c>
      <c r="U1259" s="126">
        <f>IF($D1259="",0,IFERROR(LOOKUP(2,1/(($D$3:D1258=$D1259)*($C$3:C1258=$C1259)*($A$3:A1258&lt;$A1259)),$AB$3:AB1258),1000))</f>
        <v>0</v>
      </c>
      <c r="V1259" s="126">
        <f t="shared" si="391"/>
        <v>0</v>
      </c>
      <c r="W1259">
        <f t="shared" si="392"/>
        <v>0</v>
      </c>
      <c r="X1259">
        <f t="shared" si="393"/>
        <v>0</v>
      </c>
      <c r="Y1259">
        <f t="shared" si="394"/>
        <v>0</v>
      </c>
      <c r="Z1259">
        <f t="shared" si="395"/>
        <v>0</v>
      </c>
      <c r="AA1259">
        <f>IF($D1259="",0,IF($F1259&lt;2,0,IF($E1259="Win",('Guide &amp; Settings'!$C$42/(($F1259-1)*COUNTIFS($A$4:$A$1510,$A1259,$E$4:$E$1510,"Win")))*SUMIFS($Z$4:$Z$1510,$A$4:$A$1510,$A1259,$E$4:$E$1510,"Loss"),-('Guide &amp; Settings'!$C$42/($F1259-1))*$Z1259)))</f>
        <v>0</v>
      </c>
      <c r="AB1259" s="126">
        <f t="shared" si="396"/>
        <v>0</v>
      </c>
      <c r="AC1259" t="str">
        <f>IF($D1259="","",IF($AD1259=0,0,IF(COUNTIFS($D$4:$D1259,$D1259,$B$4:$B1259,$B1259)&gt;1,0,IF($B1259&lt;'Guide &amp; Settings'!$C$50,0,IF(($B1259-$AD1259)/7-'Guide &amp; Settings'!$C$48&gt;=0,(INT(($B1259-$AD1259)/7-'Guide &amp; Settings'!$C$48)+1)*'Guide &amp; Settings'!$C$49,0)))))</f>
        <v/>
      </c>
      <c r="AD1259" s="142">
        <f t="shared" si="397"/>
        <v>0</v>
      </c>
      <c r="AE1259">
        <f t="shared" si="398"/>
        <v>0</v>
      </c>
      <c r="AF1259">
        <f t="shared" si="399"/>
        <v>0</v>
      </c>
    </row>
    <row r="1260" spans="1:32" x14ac:dyDescent="0.2">
      <c r="A1260" s="117"/>
      <c r="B1260" s="118"/>
      <c r="C1260" s="119"/>
      <c r="D1260" s="119"/>
      <c r="E1260" s="117"/>
      <c r="F1260" s="120">
        <f t="shared" si="380"/>
        <v>0</v>
      </c>
      <c r="G1260" s="121" t="str">
        <f t="shared" si="381"/>
        <v/>
      </c>
      <c r="H1260" s="122">
        <f>IF($D1260="",0,IFERROR(LOOKUP(2,1/(($D$3:D1259=$D1260)*($A$3:A1259&lt;$A1260)),$N$3:N1259),'Guide &amp; Settings'!$C$41))</f>
        <v>0</v>
      </c>
      <c r="I1260" s="123">
        <f t="shared" si="382"/>
        <v>0</v>
      </c>
      <c r="J1260" s="124">
        <f>IF($D1260="",0,IF($F1260&lt;2,0,IF($E1260="Win",('Guide &amp; Settings'!$C$42/(($F1260-1)*COUNTIFS($A$4:$A$1510,$A1260,$E$4:$E$1510,"Win")))*SUMIFS($X$4:$X$1510,$A$4:$A$1510,$A1260,$E$4:$E$1510,"Loss"),-('Guide &amp; Settings'!$C$42/($F1260-1))*$X1260)))</f>
        <v>0</v>
      </c>
      <c r="K1260" s="124">
        <f>IF($D1260="",0,'Guide &amp; Settings'!$C$43*(IF($E1260="Win",1,0)-$I1260))</f>
        <v>0</v>
      </c>
      <c r="L1260" s="125">
        <f>IF($D1260="",0,'Guide &amp; Settings'!$C$44*IF($F1260&gt;=3,$F1260,0))</f>
        <v>0</v>
      </c>
      <c r="M1260" s="124">
        <f t="shared" si="383"/>
        <v>0</v>
      </c>
      <c r="N1260" s="122">
        <f t="shared" si="384"/>
        <v>0</v>
      </c>
      <c r="O1260" s="121" t="str">
        <f t="shared" si="385"/>
        <v/>
      </c>
      <c r="P1260">
        <f t="shared" si="386"/>
        <v>0</v>
      </c>
      <c r="Q1260">
        <f t="shared" si="387"/>
        <v>0</v>
      </c>
      <c r="R1260">
        <f t="shared" si="388"/>
        <v>0</v>
      </c>
      <c r="S1260">
        <f t="shared" si="389"/>
        <v>0</v>
      </c>
      <c r="T1260" s="89">
        <f t="shared" si="390"/>
        <v>0</v>
      </c>
      <c r="U1260" s="126">
        <f>IF($D1260="",0,IFERROR(LOOKUP(2,1/(($D$3:D1259=$D1260)*($C$3:C1259=$C1260)*($A$3:A1259&lt;$A1260)),$AB$3:AB1259),1000))</f>
        <v>0</v>
      </c>
      <c r="V1260" s="126">
        <f t="shared" si="391"/>
        <v>0</v>
      </c>
      <c r="W1260">
        <f t="shared" si="392"/>
        <v>0</v>
      </c>
      <c r="X1260">
        <f t="shared" si="393"/>
        <v>0</v>
      </c>
      <c r="Y1260">
        <f t="shared" si="394"/>
        <v>0</v>
      </c>
      <c r="Z1260">
        <f t="shared" si="395"/>
        <v>0</v>
      </c>
      <c r="AA1260">
        <f>IF($D1260="",0,IF($F1260&lt;2,0,IF($E1260="Win",('Guide &amp; Settings'!$C$42/(($F1260-1)*COUNTIFS($A$4:$A$1510,$A1260,$E$4:$E$1510,"Win")))*SUMIFS($Z$4:$Z$1510,$A$4:$A$1510,$A1260,$E$4:$E$1510,"Loss"),-('Guide &amp; Settings'!$C$42/($F1260-1))*$Z1260)))</f>
        <v>0</v>
      </c>
      <c r="AB1260" s="126">
        <f t="shared" si="396"/>
        <v>0</v>
      </c>
      <c r="AC1260" t="str">
        <f>IF($D1260="","",IF($AD1260=0,0,IF(COUNTIFS($D$4:$D1260,$D1260,$B$4:$B1260,$B1260)&gt;1,0,IF($B1260&lt;'Guide &amp; Settings'!$C$50,0,IF(($B1260-$AD1260)/7-'Guide &amp; Settings'!$C$48&gt;=0,(INT(($B1260-$AD1260)/7-'Guide &amp; Settings'!$C$48)+1)*'Guide &amp; Settings'!$C$49,0)))))</f>
        <v/>
      </c>
      <c r="AD1260" s="142">
        <f t="shared" si="397"/>
        <v>0</v>
      </c>
      <c r="AE1260">
        <f t="shared" si="398"/>
        <v>0</v>
      </c>
      <c r="AF1260">
        <f t="shared" si="399"/>
        <v>0</v>
      </c>
    </row>
    <row r="1261" spans="1:32" x14ac:dyDescent="0.2">
      <c r="A1261" s="117"/>
      <c r="B1261" s="118"/>
      <c r="C1261" s="119"/>
      <c r="D1261" s="119"/>
      <c r="E1261" s="117"/>
      <c r="F1261" s="120">
        <f t="shared" si="380"/>
        <v>0</v>
      </c>
      <c r="G1261" s="121" t="str">
        <f t="shared" si="381"/>
        <v/>
      </c>
      <c r="H1261" s="122">
        <f>IF($D1261="",0,IFERROR(LOOKUP(2,1/(($D$3:D1260=$D1261)*($A$3:A1260&lt;$A1261)),$N$3:N1260),'Guide &amp; Settings'!$C$41))</f>
        <v>0</v>
      </c>
      <c r="I1261" s="123">
        <f t="shared" si="382"/>
        <v>0</v>
      </c>
      <c r="J1261" s="124">
        <f>IF($D1261="",0,IF($F1261&lt;2,0,IF($E1261="Win",('Guide &amp; Settings'!$C$42/(($F1261-1)*COUNTIFS($A$4:$A$1510,$A1261,$E$4:$E$1510,"Win")))*SUMIFS($X$4:$X$1510,$A$4:$A$1510,$A1261,$E$4:$E$1510,"Loss"),-('Guide &amp; Settings'!$C$42/($F1261-1))*$X1261)))</f>
        <v>0</v>
      </c>
      <c r="K1261" s="124">
        <f>IF($D1261="",0,'Guide &amp; Settings'!$C$43*(IF($E1261="Win",1,0)-$I1261))</f>
        <v>0</v>
      </c>
      <c r="L1261" s="125">
        <f>IF($D1261="",0,'Guide &amp; Settings'!$C$44*IF($F1261&gt;=3,$F1261,0))</f>
        <v>0</v>
      </c>
      <c r="M1261" s="124">
        <f t="shared" si="383"/>
        <v>0</v>
      </c>
      <c r="N1261" s="122">
        <f t="shared" si="384"/>
        <v>0</v>
      </c>
      <c r="O1261" s="121" t="str">
        <f t="shared" si="385"/>
        <v/>
      </c>
      <c r="P1261">
        <f t="shared" si="386"/>
        <v>0</v>
      </c>
      <c r="Q1261">
        <f t="shared" si="387"/>
        <v>0</v>
      </c>
      <c r="R1261">
        <f t="shared" si="388"/>
        <v>0</v>
      </c>
      <c r="S1261">
        <f t="shared" si="389"/>
        <v>0</v>
      </c>
      <c r="T1261" s="89">
        <f t="shared" si="390"/>
        <v>0</v>
      </c>
      <c r="U1261" s="126">
        <f>IF($D1261="",0,IFERROR(LOOKUP(2,1/(($D$3:D1260=$D1261)*($C$3:C1260=$C1261)*($A$3:A1260&lt;$A1261)),$AB$3:AB1260),1000))</f>
        <v>0</v>
      </c>
      <c r="V1261" s="126">
        <f t="shared" si="391"/>
        <v>0</v>
      </c>
      <c r="W1261">
        <f t="shared" si="392"/>
        <v>0</v>
      </c>
      <c r="X1261">
        <f t="shared" si="393"/>
        <v>0</v>
      </c>
      <c r="Y1261">
        <f t="shared" si="394"/>
        <v>0</v>
      </c>
      <c r="Z1261">
        <f t="shared" si="395"/>
        <v>0</v>
      </c>
      <c r="AA1261">
        <f>IF($D1261="",0,IF($F1261&lt;2,0,IF($E1261="Win",('Guide &amp; Settings'!$C$42/(($F1261-1)*COUNTIFS($A$4:$A$1510,$A1261,$E$4:$E$1510,"Win")))*SUMIFS($Z$4:$Z$1510,$A$4:$A$1510,$A1261,$E$4:$E$1510,"Loss"),-('Guide &amp; Settings'!$C$42/($F1261-1))*$Z1261)))</f>
        <v>0</v>
      </c>
      <c r="AB1261" s="126">
        <f t="shared" si="396"/>
        <v>0</v>
      </c>
      <c r="AC1261" t="str">
        <f>IF($D1261="","",IF($AD1261=0,0,IF(COUNTIFS($D$4:$D1261,$D1261,$B$4:$B1261,$B1261)&gt;1,0,IF($B1261&lt;'Guide &amp; Settings'!$C$50,0,IF(($B1261-$AD1261)/7-'Guide &amp; Settings'!$C$48&gt;=0,(INT(($B1261-$AD1261)/7-'Guide &amp; Settings'!$C$48)+1)*'Guide &amp; Settings'!$C$49,0)))))</f>
        <v/>
      </c>
      <c r="AD1261" s="142">
        <f t="shared" si="397"/>
        <v>0</v>
      </c>
      <c r="AE1261">
        <f t="shared" si="398"/>
        <v>0</v>
      </c>
      <c r="AF1261">
        <f t="shared" si="399"/>
        <v>0</v>
      </c>
    </row>
    <row r="1262" spans="1:32" x14ac:dyDescent="0.2">
      <c r="A1262" s="117"/>
      <c r="B1262" s="118"/>
      <c r="C1262" s="119"/>
      <c r="D1262" s="119"/>
      <c r="E1262" s="117"/>
      <c r="F1262" s="120">
        <f t="shared" si="380"/>
        <v>0</v>
      </c>
      <c r="G1262" s="121" t="str">
        <f t="shared" si="381"/>
        <v/>
      </c>
      <c r="H1262" s="122">
        <f>IF($D1262="",0,IFERROR(LOOKUP(2,1/(($D$3:D1261=$D1262)*($A$3:A1261&lt;$A1262)),$N$3:N1261),'Guide &amp; Settings'!$C$41))</f>
        <v>0</v>
      </c>
      <c r="I1262" s="123">
        <f t="shared" si="382"/>
        <v>0</v>
      </c>
      <c r="J1262" s="124">
        <f>IF($D1262="",0,IF($F1262&lt;2,0,IF($E1262="Win",('Guide &amp; Settings'!$C$42/(($F1262-1)*COUNTIFS($A$4:$A$1510,$A1262,$E$4:$E$1510,"Win")))*SUMIFS($X$4:$X$1510,$A$4:$A$1510,$A1262,$E$4:$E$1510,"Loss"),-('Guide &amp; Settings'!$C$42/($F1262-1))*$X1262)))</f>
        <v>0</v>
      </c>
      <c r="K1262" s="124">
        <f>IF($D1262="",0,'Guide &amp; Settings'!$C$43*(IF($E1262="Win",1,0)-$I1262))</f>
        <v>0</v>
      </c>
      <c r="L1262" s="125">
        <f>IF($D1262="",0,'Guide &amp; Settings'!$C$44*IF($F1262&gt;=3,$F1262,0))</f>
        <v>0</v>
      </c>
      <c r="M1262" s="124">
        <f t="shared" si="383"/>
        <v>0</v>
      </c>
      <c r="N1262" s="122">
        <f t="shared" si="384"/>
        <v>0</v>
      </c>
      <c r="O1262" s="121" t="str">
        <f t="shared" si="385"/>
        <v/>
      </c>
      <c r="P1262">
        <f t="shared" si="386"/>
        <v>0</v>
      </c>
      <c r="Q1262">
        <f t="shared" si="387"/>
        <v>0</v>
      </c>
      <c r="R1262">
        <f t="shared" si="388"/>
        <v>0</v>
      </c>
      <c r="S1262">
        <f t="shared" si="389"/>
        <v>0</v>
      </c>
      <c r="T1262" s="89">
        <f t="shared" si="390"/>
        <v>0</v>
      </c>
      <c r="U1262" s="126">
        <f>IF($D1262="",0,IFERROR(LOOKUP(2,1/(($D$3:D1261=$D1262)*($C$3:C1261=$C1262)*($A$3:A1261&lt;$A1262)),$AB$3:AB1261),1000))</f>
        <v>0</v>
      </c>
      <c r="V1262" s="126">
        <f t="shared" si="391"/>
        <v>0</v>
      </c>
      <c r="W1262">
        <f t="shared" si="392"/>
        <v>0</v>
      </c>
      <c r="X1262">
        <f t="shared" si="393"/>
        <v>0</v>
      </c>
      <c r="Y1262">
        <f t="shared" si="394"/>
        <v>0</v>
      </c>
      <c r="Z1262">
        <f t="shared" si="395"/>
        <v>0</v>
      </c>
      <c r="AA1262">
        <f>IF($D1262="",0,IF($F1262&lt;2,0,IF($E1262="Win",('Guide &amp; Settings'!$C$42/(($F1262-1)*COUNTIFS($A$4:$A$1510,$A1262,$E$4:$E$1510,"Win")))*SUMIFS($Z$4:$Z$1510,$A$4:$A$1510,$A1262,$E$4:$E$1510,"Loss"),-('Guide &amp; Settings'!$C$42/($F1262-1))*$Z1262)))</f>
        <v>0</v>
      </c>
      <c r="AB1262" s="126">
        <f t="shared" si="396"/>
        <v>0</v>
      </c>
      <c r="AC1262" t="str">
        <f>IF($D1262="","",IF($AD1262=0,0,IF(COUNTIFS($D$4:$D1262,$D1262,$B$4:$B1262,$B1262)&gt;1,0,IF($B1262&lt;'Guide &amp; Settings'!$C$50,0,IF(($B1262-$AD1262)/7-'Guide &amp; Settings'!$C$48&gt;=0,(INT(($B1262-$AD1262)/7-'Guide &amp; Settings'!$C$48)+1)*'Guide &amp; Settings'!$C$49,0)))))</f>
        <v/>
      </c>
      <c r="AD1262" s="142">
        <f t="shared" si="397"/>
        <v>0</v>
      </c>
      <c r="AE1262">
        <f t="shared" si="398"/>
        <v>0</v>
      </c>
      <c r="AF1262">
        <f t="shared" si="399"/>
        <v>0</v>
      </c>
    </row>
    <row r="1263" spans="1:32" x14ac:dyDescent="0.2">
      <c r="A1263" s="117"/>
      <c r="B1263" s="118"/>
      <c r="C1263" s="119"/>
      <c r="D1263" s="119"/>
      <c r="E1263" s="117"/>
      <c r="F1263" s="120">
        <f t="shared" si="380"/>
        <v>0</v>
      </c>
      <c r="G1263" s="121" t="str">
        <f t="shared" si="381"/>
        <v/>
      </c>
      <c r="H1263" s="122">
        <f>IF($D1263="",0,IFERROR(LOOKUP(2,1/(($D$3:D1262=$D1263)*($A$3:A1262&lt;$A1263)),$N$3:N1262),'Guide &amp; Settings'!$C$41))</f>
        <v>0</v>
      </c>
      <c r="I1263" s="123">
        <f t="shared" si="382"/>
        <v>0</v>
      </c>
      <c r="J1263" s="124">
        <f>IF($D1263="",0,IF($F1263&lt;2,0,IF($E1263="Win",('Guide &amp; Settings'!$C$42/(($F1263-1)*COUNTIFS($A$4:$A$1510,$A1263,$E$4:$E$1510,"Win")))*SUMIFS($X$4:$X$1510,$A$4:$A$1510,$A1263,$E$4:$E$1510,"Loss"),-('Guide &amp; Settings'!$C$42/($F1263-1))*$X1263)))</f>
        <v>0</v>
      </c>
      <c r="K1263" s="124">
        <f>IF($D1263="",0,'Guide &amp; Settings'!$C$43*(IF($E1263="Win",1,0)-$I1263))</f>
        <v>0</v>
      </c>
      <c r="L1263" s="125">
        <f>IF($D1263="",0,'Guide &amp; Settings'!$C$44*IF($F1263&gt;=3,$F1263,0))</f>
        <v>0</v>
      </c>
      <c r="M1263" s="124">
        <f t="shared" si="383"/>
        <v>0</v>
      </c>
      <c r="N1263" s="122">
        <f t="shared" si="384"/>
        <v>0</v>
      </c>
      <c r="O1263" s="121" t="str">
        <f t="shared" si="385"/>
        <v/>
      </c>
      <c r="P1263">
        <f t="shared" si="386"/>
        <v>0</v>
      </c>
      <c r="Q1263">
        <f t="shared" si="387"/>
        <v>0</v>
      </c>
      <c r="R1263">
        <f t="shared" si="388"/>
        <v>0</v>
      </c>
      <c r="S1263">
        <f t="shared" si="389"/>
        <v>0</v>
      </c>
      <c r="T1263" s="89">
        <f t="shared" si="390"/>
        <v>0</v>
      </c>
      <c r="U1263" s="126">
        <f>IF($D1263="",0,IFERROR(LOOKUP(2,1/(($D$3:D1262=$D1263)*($C$3:C1262=$C1263)*($A$3:A1262&lt;$A1263)),$AB$3:AB1262),1000))</f>
        <v>0</v>
      </c>
      <c r="V1263" s="126">
        <f t="shared" si="391"/>
        <v>0</v>
      </c>
      <c r="W1263">
        <f t="shared" si="392"/>
        <v>0</v>
      </c>
      <c r="X1263">
        <f t="shared" si="393"/>
        <v>0</v>
      </c>
      <c r="Y1263">
        <f t="shared" si="394"/>
        <v>0</v>
      </c>
      <c r="Z1263">
        <f t="shared" si="395"/>
        <v>0</v>
      </c>
      <c r="AA1263">
        <f>IF($D1263="",0,IF($F1263&lt;2,0,IF($E1263="Win",('Guide &amp; Settings'!$C$42/(($F1263-1)*COUNTIFS($A$4:$A$1510,$A1263,$E$4:$E$1510,"Win")))*SUMIFS($Z$4:$Z$1510,$A$4:$A$1510,$A1263,$E$4:$E$1510,"Loss"),-('Guide &amp; Settings'!$C$42/($F1263-1))*$Z1263)))</f>
        <v>0</v>
      </c>
      <c r="AB1263" s="126">
        <f t="shared" si="396"/>
        <v>0</v>
      </c>
      <c r="AC1263" t="str">
        <f>IF($D1263="","",IF($AD1263=0,0,IF(COUNTIFS($D$4:$D1263,$D1263,$B$4:$B1263,$B1263)&gt;1,0,IF($B1263&lt;'Guide &amp; Settings'!$C$50,0,IF(($B1263-$AD1263)/7-'Guide &amp; Settings'!$C$48&gt;=0,(INT(($B1263-$AD1263)/7-'Guide &amp; Settings'!$C$48)+1)*'Guide &amp; Settings'!$C$49,0)))))</f>
        <v/>
      </c>
      <c r="AD1263" s="142">
        <f t="shared" si="397"/>
        <v>0</v>
      </c>
      <c r="AE1263">
        <f t="shared" si="398"/>
        <v>0</v>
      </c>
      <c r="AF1263">
        <f t="shared" si="399"/>
        <v>0</v>
      </c>
    </row>
    <row r="1264" spans="1:32" x14ac:dyDescent="0.2">
      <c r="A1264" s="117"/>
      <c r="B1264" s="118"/>
      <c r="C1264" s="119"/>
      <c r="D1264" s="119"/>
      <c r="E1264" s="117"/>
      <c r="F1264" s="120">
        <f t="shared" si="380"/>
        <v>0</v>
      </c>
      <c r="G1264" s="121" t="str">
        <f t="shared" si="381"/>
        <v/>
      </c>
      <c r="H1264" s="122">
        <f>IF($D1264="",0,IFERROR(LOOKUP(2,1/(($D$3:D1263=$D1264)*($A$3:A1263&lt;$A1264)),$N$3:N1263),'Guide &amp; Settings'!$C$41))</f>
        <v>0</v>
      </c>
      <c r="I1264" s="123">
        <f t="shared" si="382"/>
        <v>0</v>
      </c>
      <c r="J1264" s="124">
        <f>IF($D1264="",0,IF($F1264&lt;2,0,IF($E1264="Win",('Guide &amp; Settings'!$C$42/(($F1264-1)*COUNTIFS($A$4:$A$1510,$A1264,$E$4:$E$1510,"Win")))*SUMIFS($X$4:$X$1510,$A$4:$A$1510,$A1264,$E$4:$E$1510,"Loss"),-('Guide &amp; Settings'!$C$42/($F1264-1))*$X1264)))</f>
        <v>0</v>
      </c>
      <c r="K1264" s="124">
        <f>IF($D1264="",0,'Guide &amp; Settings'!$C$43*(IF($E1264="Win",1,0)-$I1264))</f>
        <v>0</v>
      </c>
      <c r="L1264" s="125">
        <f>IF($D1264="",0,'Guide &amp; Settings'!$C$44*IF($F1264&gt;=3,$F1264,0))</f>
        <v>0</v>
      </c>
      <c r="M1264" s="124">
        <f t="shared" si="383"/>
        <v>0</v>
      </c>
      <c r="N1264" s="122">
        <f t="shared" si="384"/>
        <v>0</v>
      </c>
      <c r="O1264" s="121" t="str">
        <f t="shared" si="385"/>
        <v/>
      </c>
      <c r="P1264">
        <f t="shared" si="386"/>
        <v>0</v>
      </c>
      <c r="Q1264">
        <f t="shared" si="387"/>
        <v>0</v>
      </c>
      <c r="R1264">
        <f t="shared" si="388"/>
        <v>0</v>
      </c>
      <c r="S1264">
        <f t="shared" si="389"/>
        <v>0</v>
      </c>
      <c r="T1264" s="89">
        <f t="shared" si="390"/>
        <v>0</v>
      </c>
      <c r="U1264" s="126">
        <f>IF($D1264="",0,IFERROR(LOOKUP(2,1/(($D$3:D1263=$D1264)*($C$3:C1263=$C1264)*($A$3:A1263&lt;$A1264)),$AB$3:AB1263),1000))</f>
        <v>0</v>
      </c>
      <c r="V1264" s="126">
        <f t="shared" si="391"/>
        <v>0</v>
      </c>
      <c r="W1264">
        <f t="shared" si="392"/>
        <v>0</v>
      </c>
      <c r="X1264">
        <f t="shared" si="393"/>
        <v>0</v>
      </c>
      <c r="Y1264">
        <f t="shared" si="394"/>
        <v>0</v>
      </c>
      <c r="Z1264">
        <f t="shared" si="395"/>
        <v>0</v>
      </c>
      <c r="AA1264">
        <f>IF($D1264="",0,IF($F1264&lt;2,0,IF($E1264="Win",('Guide &amp; Settings'!$C$42/(($F1264-1)*COUNTIFS($A$4:$A$1510,$A1264,$E$4:$E$1510,"Win")))*SUMIFS($Z$4:$Z$1510,$A$4:$A$1510,$A1264,$E$4:$E$1510,"Loss"),-('Guide &amp; Settings'!$C$42/($F1264-1))*$Z1264)))</f>
        <v>0</v>
      </c>
      <c r="AB1264" s="126">
        <f t="shared" si="396"/>
        <v>0</v>
      </c>
      <c r="AC1264" t="str">
        <f>IF($D1264="","",IF($AD1264=0,0,IF(COUNTIFS($D$4:$D1264,$D1264,$B$4:$B1264,$B1264)&gt;1,0,IF($B1264&lt;'Guide &amp; Settings'!$C$50,0,IF(($B1264-$AD1264)/7-'Guide &amp; Settings'!$C$48&gt;=0,(INT(($B1264-$AD1264)/7-'Guide &amp; Settings'!$C$48)+1)*'Guide &amp; Settings'!$C$49,0)))))</f>
        <v/>
      </c>
      <c r="AD1264" s="142">
        <f t="shared" si="397"/>
        <v>0</v>
      </c>
      <c r="AE1264">
        <f t="shared" si="398"/>
        <v>0</v>
      </c>
      <c r="AF1264">
        <f t="shared" si="399"/>
        <v>0</v>
      </c>
    </row>
    <row r="1265" spans="1:32" x14ac:dyDescent="0.2">
      <c r="A1265" s="117"/>
      <c r="B1265" s="118"/>
      <c r="C1265" s="119"/>
      <c r="D1265" s="119"/>
      <c r="E1265" s="117"/>
      <c r="F1265" s="120">
        <f t="shared" si="380"/>
        <v>0</v>
      </c>
      <c r="G1265" s="121" t="str">
        <f t="shared" si="381"/>
        <v/>
      </c>
      <c r="H1265" s="122">
        <f>IF($D1265="",0,IFERROR(LOOKUP(2,1/(($D$3:D1264=$D1265)*($A$3:A1264&lt;$A1265)),$N$3:N1264),'Guide &amp; Settings'!$C$41))</f>
        <v>0</v>
      </c>
      <c r="I1265" s="123">
        <f t="shared" si="382"/>
        <v>0</v>
      </c>
      <c r="J1265" s="124">
        <f>IF($D1265="",0,IF($F1265&lt;2,0,IF($E1265="Win",('Guide &amp; Settings'!$C$42/(($F1265-1)*COUNTIFS($A$4:$A$1510,$A1265,$E$4:$E$1510,"Win")))*SUMIFS($X$4:$X$1510,$A$4:$A$1510,$A1265,$E$4:$E$1510,"Loss"),-('Guide &amp; Settings'!$C$42/($F1265-1))*$X1265)))</f>
        <v>0</v>
      </c>
      <c r="K1265" s="124">
        <f>IF($D1265="",0,'Guide &amp; Settings'!$C$43*(IF($E1265="Win",1,0)-$I1265))</f>
        <v>0</v>
      </c>
      <c r="L1265" s="125">
        <f>IF($D1265="",0,'Guide &amp; Settings'!$C$44*IF($F1265&gt;=3,$F1265,0))</f>
        <v>0</v>
      </c>
      <c r="M1265" s="124">
        <f t="shared" si="383"/>
        <v>0</v>
      </c>
      <c r="N1265" s="122">
        <f t="shared" si="384"/>
        <v>0</v>
      </c>
      <c r="O1265" s="121" t="str">
        <f t="shared" si="385"/>
        <v/>
      </c>
      <c r="P1265">
        <f t="shared" si="386"/>
        <v>0</v>
      </c>
      <c r="Q1265">
        <f t="shared" si="387"/>
        <v>0</v>
      </c>
      <c r="R1265">
        <f t="shared" si="388"/>
        <v>0</v>
      </c>
      <c r="S1265">
        <f t="shared" si="389"/>
        <v>0</v>
      </c>
      <c r="T1265" s="89">
        <f t="shared" si="390"/>
        <v>0</v>
      </c>
      <c r="U1265" s="126">
        <f>IF($D1265="",0,IFERROR(LOOKUP(2,1/(($D$3:D1264=$D1265)*($C$3:C1264=$C1265)*($A$3:A1264&lt;$A1265)),$AB$3:AB1264),1000))</f>
        <v>0</v>
      </c>
      <c r="V1265" s="126">
        <f t="shared" si="391"/>
        <v>0</v>
      </c>
      <c r="W1265">
        <f t="shared" si="392"/>
        <v>0</v>
      </c>
      <c r="X1265">
        <f t="shared" si="393"/>
        <v>0</v>
      </c>
      <c r="Y1265">
        <f t="shared" si="394"/>
        <v>0</v>
      </c>
      <c r="Z1265">
        <f t="shared" si="395"/>
        <v>0</v>
      </c>
      <c r="AA1265">
        <f>IF($D1265="",0,IF($F1265&lt;2,0,IF($E1265="Win",('Guide &amp; Settings'!$C$42/(($F1265-1)*COUNTIFS($A$4:$A$1510,$A1265,$E$4:$E$1510,"Win")))*SUMIFS($Z$4:$Z$1510,$A$4:$A$1510,$A1265,$E$4:$E$1510,"Loss"),-('Guide &amp; Settings'!$C$42/($F1265-1))*$Z1265)))</f>
        <v>0</v>
      </c>
      <c r="AB1265" s="126">
        <f t="shared" si="396"/>
        <v>0</v>
      </c>
      <c r="AC1265" t="str">
        <f>IF($D1265="","",IF($AD1265=0,0,IF(COUNTIFS($D$4:$D1265,$D1265,$B$4:$B1265,$B1265)&gt;1,0,IF($B1265&lt;'Guide &amp; Settings'!$C$50,0,IF(($B1265-$AD1265)/7-'Guide &amp; Settings'!$C$48&gt;=0,(INT(($B1265-$AD1265)/7-'Guide &amp; Settings'!$C$48)+1)*'Guide &amp; Settings'!$C$49,0)))))</f>
        <v/>
      </c>
      <c r="AD1265" s="142">
        <f t="shared" si="397"/>
        <v>0</v>
      </c>
      <c r="AE1265">
        <f t="shared" si="398"/>
        <v>0</v>
      </c>
      <c r="AF1265">
        <f t="shared" si="399"/>
        <v>0</v>
      </c>
    </row>
    <row r="1266" spans="1:32" x14ac:dyDescent="0.2">
      <c r="A1266" s="117"/>
      <c r="B1266" s="118"/>
      <c r="C1266" s="119"/>
      <c r="D1266" s="119"/>
      <c r="E1266" s="117"/>
      <c r="F1266" s="120">
        <f t="shared" si="380"/>
        <v>0</v>
      </c>
      <c r="G1266" s="121" t="str">
        <f t="shared" si="381"/>
        <v/>
      </c>
      <c r="H1266" s="122">
        <f>IF($D1266="",0,IFERROR(LOOKUP(2,1/(($D$3:D1265=$D1266)*($A$3:A1265&lt;$A1266)),$N$3:N1265),'Guide &amp; Settings'!$C$41))</f>
        <v>0</v>
      </c>
      <c r="I1266" s="123">
        <f t="shared" si="382"/>
        <v>0</v>
      </c>
      <c r="J1266" s="124">
        <f>IF($D1266="",0,IF($F1266&lt;2,0,IF($E1266="Win",('Guide &amp; Settings'!$C$42/(($F1266-1)*COUNTIFS($A$4:$A$1510,$A1266,$E$4:$E$1510,"Win")))*SUMIFS($X$4:$X$1510,$A$4:$A$1510,$A1266,$E$4:$E$1510,"Loss"),-('Guide &amp; Settings'!$C$42/($F1266-1))*$X1266)))</f>
        <v>0</v>
      </c>
      <c r="K1266" s="124">
        <f>IF($D1266="",0,'Guide &amp; Settings'!$C$43*(IF($E1266="Win",1,0)-$I1266))</f>
        <v>0</v>
      </c>
      <c r="L1266" s="125">
        <f>IF($D1266="",0,'Guide &amp; Settings'!$C$44*IF($F1266&gt;=3,$F1266,0))</f>
        <v>0</v>
      </c>
      <c r="M1266" s="124">
        <f t="shared" si="383"/>
        <v>0</v>
      </c>
      <c r="N1266" s="122">
        <f t="shared" si="384"/>
        <v>0</v>
      </c>
      <c r="O1266" s="121" t="str">
        <f t="shared" si="385"/>
        <v/>
      </c>
      <c r="P1266">
        <f t="shared" si="386"/>
        <v>0</v>
      </c>
      <c r="Q1266">
        <f t="shared" si="387"/>
        <v>0</v>
      </c>
      <c r="R1266">
        <f t="shared" si="388"/>
        <v>0</v>
      </c>
      <c r="S1266">
        <f t="shared" si="389"/>
        <v>0</v>
      </c>
      <c r="T1266" s="89">
        <f t="shared" si="390"/>
        <v>0</v>
      </c>
      <c r="U1266" s="126">
        <f>IF($D1266="",0,IFERROR(LOOKUP(2,1/(($D$3:D1265=$D1266)*($C$3:C1265=$C1266)*($A$3:A1265&lt;$A1266)),$AB$3:AB1265),1000))</f>
        <v>0</v>
      </c>
      <c r="V1266" s="126">
        <f t="shared" si="391"/>
        <v>0</v>
      </c>
      <c r="W1266">
        <f t="shared" si="392"/>
        <v>0</v>
      </c>
      <c r="X1266">
        <f t="shared" si="393"/>
        <v>0</v>
      </c>
      <c r="Y1266">
        <f t="shared" si="394"/>
        <v>0</v>
      </c>
      <c r="Z1266">
        <f t="shared" si="395"/>
        <v>0</v>
      </c>
      <c r="AA1266">
        <f>IF($D1266="",0,IF($F1266&lt;2,0,IF($E1266="Win",('Guide &amp; Settings'!$C$42/(($F1266-1)*COUNTIFS($A$4:$A$1510,$A1266,$E$4:$E$1510,"Win")))*SUMIFS($Z$4:$Z$1510,$A$4:$A$1510,$A1266,$E$4:$E$1510,"Loss"),-('Guide &amp; Settings'!$C$42/($F1266-1))*$Z1266)))</f>
        <v>0</v>
      </c>
      <c r="AB1266" s="126">
        <f t="shared" si="396"/>
        <v>0</v>
      </c>
      <c r="AC1266" t="str">
        <f>IF($D1266="","",IF($AD1266=0,0,IF(COUNTIFS($D$4:$D1266,$D1266,$B$4:$B1266,$B1266)&gt;1,0,IF($B1266&lt;'Guide &amp; Settings'!$C$50,0,IF(($B1266-$AD1266)/7-'Guide &amp; Settings'!$C$48&gt;=0,(INT(($B1266-$AD1266)/7-'Guide &amp; Settings'!$C$48)+1)*'Guide &amp; Settings'!$C$49,0)))))</f>
        <v/>
      </c>
      <c r="AD1266" s="142">
        <f t="shared" si="397"/>
        <v>0</v>
      </c>
      <c r="AE1266">
        <f t="shared" si="398"/>
        <v>0</v>
      </c>
      <c r="AF1266">
        <f t="shared" si="399"/>
        <v>0</v>
      </c>
    </row>
    <row r="1267" spans="1:32" x14ac:dyDescent="0.2">
      <c r="A1267" s="117"/>
      <c r="B1267" s="118"/>
      <c r="C1267" s="119"/>
      <c r="D1267" s="119"/>
      <c r="E1267" s="117"/>
      <c r="F1267" s="120">
        <f t="shared" si="380"/>
        <v>0</v>
      </c>
      <c r="G1267" s="121" t="str">
        <f t="shared" si="381"/>
        <v/>
      </c>
      <c r="H1267" s="122">
        <f>IF($D1267="",0,IFERROR(LOOKUP(2,1/(($D$3:D1266=$D1267)*($A$3:A1266&lt;$A1267)),$N$3:N1266),'Guide &amp; Settings'!$C$41))</f>
        <v>0</v>
      </c>
      <c r="I1267" s="123">
        <f t="shared" si="382"/>
        <v>0</v>
      </c>
      <c r="J1267" s="124">
        <f>IF($D1267="",0,IF($F1267&lt;2,0,IF($E1267="Win",('Guide &amp; Settings'!$C$42/(($F1267-1)*COUNTIFS($A$4:$A$1510,$A1267,$E$4:$E$1510,"Win")))*SUMIFS($X$4:$X$1510,$A$4:$A$1510,$A1267,$E$4:$E$1510,"Loss"),-('Guide &amp; Settings'!$C$42/($F1267-1))*$X1267)))</f>
        <v>0</v>
      </c>
      <c r="K1267" s="124">
        <f>IF($D1267="",0,'Guide &amp; Settings'!$C$43*(IF($E1267="Win",1,0)-$I1267))</f>
        <v>0</v>
      </c>
      <c r="L1267" s="125">
        <f>IF($D1267="",0,'Guide &amp; Settings'!$C$44*IF($F1267&gt;=3,$F1267,0))</f>
        <v>0</v>
      </c>
      <c r="M1267" s="124">
        <f t="shared" si="383"/>
        <v>0</v>
      </c>
      <c r="N1267" s="122">
        <f t="shared" si="384"/>
        <v>0</v>
      </c>
      <c r="O1267" s="121" t="str">
        <f t="shared" si="385"/>
        <v/>
      </c>
      <c r="P1267">
        <f t="shared" si="386"/>
        <v>0</v>
      </c>
      <c r="Q1267">
        <f t="shared" si="387"/>
        <v>0</v>
      </c>
      <c r="R1267">
        <f t="shared" si="388"/>
        <v>0</v>
      </c>
      <c r="S1267">
        <f t="shared" si="389"/>
        <v>0</v>
      </c>
      <c r="T1267" s="89">
        <f t="shared" si="390"/>
        <v>0</v>
      </c>
      <c r="U1267" s="126">
        <f>IF($D1267="",0,IFERROR(LOOKUP(2,1/(($D$3:D1266=$D1267)*($C$3:C1266=$C1267)*($A$3:A1266&lt;$A1267)),$AB$3:AB1266),1000))</f>
        <v>0</v>
      </c>
      <c r="V1267" s="126">
        <f t="shared" si="391"/>
        <v>0</v>
      </c>
      <c r="W1267">
        <f t="shared" si="392"/>
        <v>0</v>
      </c>
      <c r="X1267">
        <f t="shared" si="393"/>
        <v>0</v>
      </c>
      <c r="Y1267">
        <f t="shared" si="394"/>
        <v>0</v>
      </c>
      <c r="Z1267">
        <f t="shared" si="395"/>
        <v>0</v>
      </c>
      <c r="AA1267">
        <f>IF($D1267="",0,IF($F1267&lt;2,0,IF($E1267="Win",('Guide &amp; Settings'!$C$42/(($F1267-1)*COUNTIFS($A$4:$A$1510,$A1267,$E$4:$E$1510,"Win")))*SUMIFS($Z$4:$Z$1510,$A$4:$A$1510,$A1267,$E$4:$E$1510,"Loss"),-('Guide &amp; Settings'!$C$42/($F1267-1))*$Z1267)))</f>
        <v>0</v>
      </c>
      <c r="AB1267" s="126">
        <f t="shared" si="396"/>
        <v>0</v>
      </c>
      <c r="AC1267" t="str">
        <f>IF($D1267="","",IF($AD1267=0,0,IF(COUNTIFS($D$4:$D1267,$D1267,$B$4:$B1267,$B1267)&gt;1,0,IF($B1267&lt;'Guide &amp; Settings'!$C$50,0,IF(($B1267-$AD1267)/7-'Guide &amp; Settings'!$C$48&gt;=0,(INT(($B1267-$AD1267)/7-'Guide &amp; Settings'!$C$48)+1)*'Guide &amp; Settings'!$C$49,0)))))</f>
        <v/>
      </c>
      <c r="AD1267" s="142">
        <f t="shared" si="397"/>
        <v>0</v>
      </c>
      <c r="AE1267">
        <f t="shared" si="398"/>
        <v>0</v>
      </c>
      <c r="AF1267">
        <f t="shared" si="399"/>
        <v>0</v>
      </c>
    </row>
    <row r="1268" spans="1:32" x14ac:dyDescent="0.2">
      <c r="A1268" s="117"/>
      <c r="B1268" s="118"/>
      <c r="C1268" s="119"/>
      <c r="D1268" s="119"/>
      <c r="E1268" s="117"/>
      <c r="F1268" s="120">
        <f t="shared" si="380"/>
        <v>0</v>
      </c>
      <c r="G1268" s="121" t="str">
        <f t="shared" si="381"/>
        <v/>
      </c>
      <c r="H1268" s="122">
        <f>IF($D1268="",0,IFERROR(LOOKUP(2,1/(($D$3:D1267=$D1268)*($A$3:A1267&lt;$A1268)),$N$3:N1267),'Guide &amp; Settings'!$C$41))</f>
        <v>0</v>
      </c>
      <c r="I1268" s="123">
        <f t="shared" si="382"/>
        <v>0</v>
      </c>
      <c r="J1268" s="124">
        <f>IF($D1268="",0,IF($F1268&lt;2,0,IF($E1268="Win",('Guide &amp; Settings'!$C$42/(($F1268-1)*COUNTIFS($A$4:$A$1510,$A1268,$E$4:$E$1510,"Win")))*SUMIFS($X$4:$X$1510,$A$4:$A$1510,$A1268,$E$4:$E$1510,"Loss"),-('Guide &amp; Settings'!$C$42/($F1268-1))*$X1268)))</f>
        <v>0</v>
      </c>
      <c r="K1268" s="124">
        <f>IF($D1268="",0,'Guide &amp; Settings'!$C$43*(IF($E1268="Win",1,0)-$I1268))</f>
        <v>0</v>
      </c>
      <c r="L1268" s="125">
        <f>IF($D1268="",0,'Guide &amp; Settings'!$C$44*IF($F1268&gt;=3,$F1268,0))</f>
        <v>0</v>
      </c>
      <c r="M1268" s="124">
        <f t="shared" si="383"/>
        <v>0</v>
      </c>
      <c r="N1268" s="122">
        <f t="shared" si="384"/>
        <v>0</v>
      </c>
      <c r="O1268" s="121" t="str">
        <f t="shared" si="385"/>
        <v/>
      </c>
      <c r="P1268">
        <f t="shared" si="386"/>
        <v>0</v>
      </c>
      <c r="Q1268">
        <f t="shared" si="387"/>
        <v>0</v>
      </c>
      <c r="R1268">
        <f t="shared" si="388"/>
        <v>0</v>
      </c>
      <c r="S1268">
        <f t="shared" si="389"/>
        <v>0</v>
      </c>
      <c r="T1268" s="89">
        <f t="shared" si="390"/>
        <v>0</v>
      </c>
      <c r="U1268" s="126">
        <f>IF($D1268="",0,IFERROR(LOOKUP(2,1/(($D$3:D1267=$D1268)*($C$3:C1267=$C1268)*($A$3:A1267&lt;$A1268)),$AB$3:AB1267),1000))</f>
        <v>0</v>
      </c>
      <c r="V1268" s="126">
        <f t="shared" si="391"/>
        <v>0</v>
      </c>
      <c r="W1268">
        <f t="shared" si="392"/>
        <v>0</v>
      </c>
      <c r="X1268">
        <f t="shared" si="393"/>
        <v>0</v>
      </c>
      <c r="Y1268">
        <f t="shared" si="394"/>
        <v>0</v>
      </c>
      <c r="Z1268">
        <f t="shared" si="395"/>
        <v>0</v>
      </c>
      <c r="AA1268">
        <f>IF($D1268="",0,IF($F1268&lt;2,0,IF($E1268="Win",('Guide &amp; Settings'!$C$42/(($F1268-1)*COUNTIFS($A$4:$A$1510,$A1268,$E$4:$E$1510,"Win")))*SUMIFS($Z$4:$Z$1510,$A$4:$A$1510,$A1268,$E$4:$E$1510,"Loss"),-('Guide &amp; Settings'!$C$42/($F1268-1))*$Z1268)))</f>
        <v>0</v>
      </c>
      <c r="AB1268" s="126">
        <f t="shared" si="396"/>
        <v>0</v>
      </c>
      <c r="AC1268" t="str">
        <f>IF($D1268="","",IF($AD1268=0,0,IF(COUNTIFS($D$4:$D1268,$D1268,$B$4:$B1268,$B1268)&gt;1,0,IF($B1268&lt;'Guide &amp; Settings'!$C$50,0,IF(($B1268-$AD1268)/7-'Guide &amp; Settings'!$C$48&gt;=0,(INT(($B1268-$AD1268)/7-'Guide &amp; Settings'!$C$48)+1)*'Guide &amp; Settings'!$C$49,0)))))</f>
        <v/>
      </c>
      <c r="AD1268" s="142">
        <f t="shared" si="397"/>
        <v>0</v>
      </c>
      <c r="AE1268">
        <f t="shared" si="398"/>
        <v>0</v>
      </c>
      <c r="AF1268">
        <f t="shared" si="399"/>
        <v>0</v>
      </c>
    </row>
    <row r="1269" spans="1:32" x14ac:dyDescent="0.2">
      <c r="A1269" s="117"/>
      <c r="B1269" s="118"/>
      <c r="C1269" s="119"/>
      <c r="D1269" s="119"/>
      <c r="E1269" s="117"/>
      <c r="F1269" s="120">
        <f t="shared" si="380"/>
        <v>0</v>
      </c>
      <c r="G1269" s="121" t="str">
        <f t="shared" si="381"/>
        <v/>
      </c>
      <c r="H1269" s="122">
        <f>IF($D1269="",0,IFERROR(LOOKUP(2,1/(($D$3:D1268=$D1269)*($A$3:A1268&lt;$A1269)),$N$3:N1268),'Guide &amp; Settings'!$C$41))</f>
        <v>0</v>
      </c>
      <c r="I1269" s="123">
        <f t="shared" si="382"/>
        <v>0</v>
      </c>
      <c r="J1269" s="124">
        <f>IF($D1269="",0,IF($F1269&lt;2,0,IF($E1269="Win",('Guide &amp; Settings'!$C$42/(($F1269-1)*COUNTIFS($A$4:$A$1510,$A1269,$E$4:$E$1510,"Win")))*SUMIFS($X$4:$X$1510,$A$4:$A$1510,$A1269,$E$4:$E$1510,"Loss"),-('Guide &amp; Settings'!$C$42/($F1269-1))*$X1269)))</f>
        <v>0</v>
      </c>
      <c r="K1269" s="124">
        <f>IF($D1269="",0,'Guide &amp; Settings'!$C$43*(IF($E1269="Win",1,0)-$I1269))</f>
        <v>0</v>
      </c>
      <c r="L1269" s="125">
        <f>IF($D1269="",0,'Guide &amp; Settings'!$C$44*IF($F1269&gt;=3,$F1269,0))</f>
        <v>0</v>
      </c>
      <c r="M1269" s="124">
        <f t="shared" si="383"/>
        <v>0</v>
      </c>
      <c r="N1269" s="122">
        <f t="shared" si="384"/>
        <v>0</v>
      </c>
      <c r="O1269" s="121" t="str">
        <f t="shared" si="385"/>
        <v/>
      </c>
      <c r="P1269">
        <f t="shared" si="386"/>
        <v>0</v>
      </c>
      <c r="Q1269">
        <f t="shared" si="387"/>
        <v>0</v>
      </c>
      <c r="R1269">
        <f t="shared" si="388"/>
        <v>0</v>
      </c>
      <c r="S1269">
        <f t="shared" si="389"/>
        <v>0</v>
      </c>
      <c r="T1269" s="89">
        <f t="shared" si="390"/>
        <v>0</v>
      </c>
      <c r="U1269" s="126">
        <f>IF($D1269="",0,IFERROR(LOOKUP(2,1/(($D$3:D1268=$D1269)*($C$3:C1268=$C1269)*($A$3:A1268&lt;$A1269)),$AB$3:AB1268),1000))</f>
        <v>0</v>
      </c>
      <c r="V1269" s="126">
        <f t="shared" si="391"/>
        <v>0</v>
      </c>
      <c r="W1269">
        <f t="shared" si="392"/>
        <v>0</v>
      </c>
      <c r="X1269">
        <f t="shared" si="393"/>
        <v>0</v>
      </c>
      <c r="Y1269">
        <f t="shared" si="394"/>
        <v>0</v>
      </c>
      <c r="Z1269">
        <f t="shared" si="395"/>
        <v>0</v>
      </c>
      <c r="AA1269">
        <f>IF($D1269="",0,IF($F1269&lt;2,0,IF($E1269="Win",('Guide &amp; Settings'!$C$42/(($F1269-1)*COUNTIFS($A$4:$A$1510,$A1269,$E$4:$E$1510,"Win")))*SUMIFS($Z$4:$Z$1510,$A$4:$A$1510,$A1269,$E$4:$E$1510,"Loss"),-('Guide &amp; Settings'!$C$42/($F1269-1))*$Z1269)))</f>
        <v>0</v>
      </c>
      <c r="AB1269" s="126">
        <f t="shared" si="396"/>
        <v>0</v>
      </c>
      <c r="AC1269" t="str">
        <f>IF($D1269="","",IF($AD1269=0,0,IF(COUNTIFS($D$4:$D1269,$D1269,$B$4:$B1269,$B1269)&gt;1,0,IF($B1269&lt;'Guide &amp; Settings'!$C$50,0,IF(($B1269-$AD1269)/7-'Guide &amp; Settings'!$C$48&gt;=0,(INT(($B1269-$AD1269)/7-'Guide &amp; Settings'!$C$48)+1)*'Guide &amp; Settings'!$C$49,0)))))</f>
        <v/>
      </c>
      <c r="AD1269" s="142">
        <f t="shared" si="397"/>
        <v>0</v>
      </c>
      <c r="AE1269">
        <f t="shared" si="398"/>
        <v>0</v>
      </c>
      <c r="AF1269">
        <f t="shared" si="399"/>
        <v>0</v>
      </c>
    </row>
    <row r="1270" spans="1:32" x14ac:dyDescent="0.2">
      <c r="A1270" s="117"/>
      <c r="B1270" s="118"/>
      <c r="C1270" s="119"/>
      <c r="D1270" s="119"/>
      <c r="E1270" s="117"/>
      <c r="F1270" s="120">
        <f t="shared" si="380"/>
        <v>0</v>
      </c>
      <c r="G1270" s="121" t="str">
        <f t="shared" si="381"/>
        <v/>
      </c>
      <c r="H1270" s="122">
        <f>IF($D1270="",0,IFERROR(LOOKUP(2,1/(($D$3:D1269=$D1270)*($A$3:A1269&lt;$A1270)),$N$3:N1269),'Guide &amp; Settings'!$C$41))</f>
        <v>0</v>
      </c>
      <c r="I1270" s="123">
        <f t="shared" si="382"/>
        <v>0</v>
      </c>
      <c r="J1270" s="124">
        <f>IF($D1270="",0,IF($F1270&lt;2,0,IF($E1270="Win",('Guide &amp; Settings'!$C$42/(($F1270-1)*COUNTIFS($A$4:$A$1510,$A1270,$E$4:$E$1510,"Win")))*SUMIFS($X$4:$X$1510,$A$4:$A$1510,$A1270,$E$4:$E$1510,"Loss"),-('Guide &amp; Settings'!$C$42/($F1270-1))*$X1270)))</f>
        <v>0</v>
      </c>
      <c r="K1270" s="124">
        <f>IF($D1270="",0,'Guide &amp; Settings'!$C$43*(IF($E1270="Win",1,0)-$I1270))</f>
        <v>0</v>
      </c>
      <c r="L1270" s="125">
        <f>IF($D1270="",0,'Guide &amp; Settings'!$C$44*IF($F1270&gt;=3,$F1270,0))</f>
        <v>0</v>
      </c>
      <c r="M1270" s="124">
        <f t="shared" si="383"/>
        <v>0</v>
      </c>
      <c r="N1270" s="122">
        <f t="shared" si="384"/>
        <v>0</v>
      </c>
      <c r="O1270" s="121" t="str">
        <f t="shared" si="385"/>
        <v/>
      </c>
      <c r="P1270">
        <f t="shared" si="386"/>
        <v>0</v>
      </c>
      <c r="Q1270">
        <f t="shared" si="387"/>
        <v>0</v>
      </c>
      <c r="R1270">
        <f t="shared" si="388"/>
        <v>0</v>
      </c>
      <c r="S1270">
        <f t="shared" si="389"/>
        <v>0</v>
      </c>
      <c r="T1270" s="89">
        <f t="shared" si="390"/>
        <v>0</v>
      </c>
      <c r="U1270" s="126">
        <f>IF($D1270="",0,IFERROR(LOOKUP(2,1/(($D$3:D1269=$D1270)*($C$3:C1269=$C1270)*($A$3:A1269&lt;$A1270)),$AB$3:AB1269),1000))</f>
        <v>0</v>
      </c>
      <c r="V1270" s="126">
        <f t="shared" si="391"/>
        <v>0</v>
      </c>
      <c r="W1270">
        <f t="shared" si="392"/>
        <v>0</v>
      </c>
      <c r="X1270">
        <f t="shared" si="393"/>
        <v>0</v>
      </c>
      <c r="Y1270">
        <f t="shared" si="394"/>
        <v>0</v>
      </c>
      <c r="Z1270">
        <f t="shared" si="395"/>
        <v>0</v>
      </c>
      <c r="AA1270">
        <f>IF($D1270="",0,IF($F1270&lt;2,0,IF($E1270="Win",('Guide &amp; Settings'!$C$42/(($F1270-1)*COUNTIFS($A$4:$A$1510,$A1270,$E$4:$E$1510,"Win")))*SUMIFS($Z$4:$Z$1510,$A$4:$A$1510,$A1270,$E$4:$E$1510,"Loss"),-('Guide &amp; Settings'!$C$42/($F1270-1))*$Z1270)))</f>
        <v>0</v>
      </c>
      <c r="AB1270" s="126">
        <f t="shared" si="396"/>
        <v>0</v>
      </c>
      <c r="AC1270" t="str">
        <f>IF($D1270="","",IF($AD1270=0,0,IF(COUNTIFS($D$4:$D1270,$D1270,$B$4:$B1270,$B1270)&gt;1,0,IF($B1270&lt;'Guide &amp; Settings'!$C$50,0,IF(($B1270-$AD1270)/7-'Guide &amp; Settings'!$C$48&gt;=0,(INT(($B1270-$AD1270)/7-'Guide &amp; Settings'!$C$48)+1)*'Guide &amp; Settings'!$C$49,0)))))</f>
        <v/>
      </c>
      <c r="AD1270" s="142">
        <f t="shared" si="397"/>
        <v>0</v>
      </c>
      <c r="AE1270">
        <f t="shared" si="398"/>
        <v>0</v>
      </c>
      <c r="AF1270">
        <f t="shared" si="399"/>
        <v>0</v>
      </c>
    </row>
    <row r="1271" spans="1:32" x14ac:dyDescent="0.2">
      <c r="A1271" s="117"/>
      <c r="B1271" s="118"/>
      <c r="C1271" s="119"/>
      <c r="D1271" s="119"/>
      <c r="E1271" s="117"/>
      <c r="F1271" s="120">
        <f t="shared" si="380"/>
        <v>0</v>
      </c>
      <c r="G1271" s="121" t="str">
        <f t="shared" si="381"/>
        <v/>
      </c>
      <c r="H1271" s="122">
        <f>IF($D1271="",0,IFERROR(LOOKUP(2,1/(($D$3:D1270=$D1271)*($A$3:A1270&lt;$A1271)),$N$3:N1270),'Guide &amp; Settings'!$C$41))</f>
        <v>0</v>
      </c>
      <c r="I1271" s="123">
        <f t="shared" si="382"/>
        <v>0</v>
      </c>
      <c r="J1271" s="124">
        <f>IF($D1271="",0,IF($F1271&lt;2,0,IF($E1271="Win",('Guide &amp; Settings'!$C$42/(($F1271-1)*COUNTIFS($A$4:$A$1510,$A1271,$E$4:$E$1510,"Win")))*SUMIFS($X$4:$X$1510,$A$4:$A$1510,$A1271,$E$4:$E$1510,"Loss"),-('Guide &amp; Settings'!$C$42/($F1271-1))*$X1271)))</f>
        <v>0</v>
      </c>
      <c r="K1271" s="124">
        <f>IF($D1271="",0,'Guide &amp; Settings'!$C$43*(IF($E1271="Win",1,0)-$I1271))</f>
        <v>0</v>
      </c>
      <c r="L1271" s="125">
        <f>IF($D1271="",0,'Guide &amp; Settings'!$C$44*IF($F1271&gt;=3,$F1271,0))</f>
        <v>0</v>
      </c>
      <c r="M1271" s="124">
        <f t="shared" si="383"/>
        <v>0</v>
      </c>
      <c r="N1271" s="122">
        <f t="shared" si="384"/>
        <v>0</v>
      </c>
      <c r="O1271" s="121" t="str">
        <f t="shared" si="385"/>
        <v/>
      </c>
      <c r="P1271">
        <f t="shared" si="386"/>
        <v>0</v>
      </c>
      <c r="Q1271">
        <f t="shared" si="387"/>
        <v>0</v>
      </c>
      <c r="R1271">
        <f t="shared" si="388"/>
        <v>0</v>
      </c>
      <c r="S1271">
        <f t="shared" si="389"/>
        <v>0</v>
      </c>
      <c r="T1271" s="89">
        <f t="shared" si="390"/>
        <v>0</v>
      </c>
      <c r="U1271" s="126">
        <f>IF($D1271="",0,IFERROR(LOOKUP(2,1/(($D$3:D1270=$D1271)*($C$3:C1270=$C1271)*($A$3:A1270&lt;$A1271)),$AB$3:AB1270),1000))</f>
        <v>0</v>
      </c>
      <c r="V1271" s="126">
        <f t="shared" si="391"/>
        <v>0</v>
      </c>
      <c r="W1271">
        <f t="shared" si="392"/>
        <v>0</v>
      </c>
      <c r="X1271">
        <f t="shared" si="393"/>
        <v>0</v>
      </c>
      <c r="Y1271">
        <f t="shared" si="394"/>
        <v>0</v>
      </c>
      <c r="Z1271">
        <f t="shared" si="395"/>
        <v>0</v>
      </c>
      <c r="AA1271">
        <f>IF($D1271="",0,IF($F1271&lt;2,0,IF($E1271="Win",('Guide &amp; Settings'!$C$42/(($F1271-1)*COUNTIFS($A$4:$A$1510,$A1271,$E$4:$E$1510,"Win")))*SUMIFS($Z$4:$Z$1510,$A$4:$A$1510,$A1271,$E$4:$E$1510,"Loss"),-('Guide &amp; Settings'!$C$42/($F1271-1))*$Z1271)))</f>
        <v>0</v>
      </c>
      <c r="AB1271" s="126">
        <f t="shared" si="396"/>
        <v>0</v>
      </c>
      <c r="AC1271" t="str">
        <f>IF($D1271="","",IF($AD1271=0,0,IF(COUNTIFS($D$4:$D1271,$D1271,$B$4:$B1271,$B1271)&gt;1,0,IF($B1271&lt;'Guide &amp; Settings'!$C$50,0,IF(($B1271-$AD1271)/7-'Guide &amp; Settings'!$C$48&gt;=0,(INT(($B1271-$AD1271)/7-'Guide &amp; Settings'!$C$48)+1)*'Guide &amp; Settings'!$C$49,0)))))</f>
        <v/>
      </c>
      <c r="AD1271" s="142">
        <f t="shared" si="397"/>
        <v>0</v>
      </c>
      <c r="AE1271">
        <f t="shared" si="398"/>
        <v>0</v>
      </c>
      <c r="AF1271">
        <f t="shared" si="399"/>
        <v>0</v>
      </c>
    </row>
    <row r="1272" spans="1:32" x14ac:dyDescent="0.2">
      <c r="A1272" s="117"/>
      <c r="B1272" s="118"/>
      <c r="C1272" s="119"/>
      <c r="D1272" s="119"/>
      <c r="E1272" s="117"/>
      <c r="F1272" s="120">
        <f t="shared" si="380"/>
        <v>0</v>
      </c>
      <c r="G1272" s="121" t="str">
        <f t="shared" si="381"/>
        <v/>
      </c>
      <c r="H1272" s="122">
        <f>IF($D1272="",0,IFERROR(LOOKUP(2,1/(($D$3:D1271=$D1272)*($A$3:A1271&lt;$A1272)),$N$3:N1271),'Guide &amp; Settings'!$C$41))</f>
        <v>0</v>
      </c>
      <c r="I1272" s="123">
        <f t="shared" si="382"/>
        <v>0</v>
      </c>
      <c r="J1272" s="124">
        <f>IF($D1272="",0,IF($F1272&lt;2,0,IF($E1272="Win",('Guide &amp; Settings'!$C$42/(($F1272-1)*COUNTIFS($A$4:$A$1510,$A1272,$E$4:$E$1510,"Win")))*SUMIFS($X$4:$X$1510,$A$4:$A$1510,$A1272,$E$4:$E$1510,"Loss"),-('Guide &amp; Settings'!$C$42/($F1272-1))*$X1272)))</f>
        <v>0</v>
      </c>
      <c r="K1272" s="124">
        <f>IF($D1272="",0,'Guide &amp; Settings'!$C$43*(IF($E1272="Win",1,0)-$I1272))</f>
        <v>0</v>
      </c>
      <c r="L1272" s="125">
        <f>IF($D1272="",0,'Guide &amp; Settings'!$C$44*IF($F1272&gt;=3,$F1272,0))</f>
        <v>0</v>
      </c>
      <c r="M1272" s="124">
        <f t="shared" si="383"/>
        <v>0</v>
      </c>
      <c r="N1272" s="122">
        <f t="shared" si="384"/>
        <v>0</v>
      </c>
      <c r="O1272" s="121" t="str">
        <f t="shared" si="385"/>
        <v/>
      </c>
      <c r="P1272">
        <f t="shared" si="386"/>
        <v>0</v>
      </c>
      <c r="Q1272">
        <f t="shared" si="387"/>
        <v>0</v>
      </c>
      <c r="R1272">
        <f t="shared" si="388"/>
        <v>0</v>
      </c>
      <c r="S1272">
        <f t="shared" si="389"/>
        <v>0</v>
      </c>
      <c r="T1272" s="89">
        <f t="shared" si="390"/>
        <v>0</v>
      </c>
      <c r="U1272" s="126">
        <f>IF($D1272="",0,IFERROR(LOOKUP(2,1/(($D$3:D1271=$D1272)*($C$3:C1271=$C1272)*($A$3:A1271&lt;$A1272)),$AB$3:AB1271),1000))</f>
        <v>0</v>
      </c>
      <c r="V1272" s="126">
        <f t="shared" si="391"/>
        <v>0</v>
      </c>
      <c r="W1272">
        <f t="shared" si="392"/>
        <v>0</v>
      </c>
      <c r="X1272">
        <f t="shared" si="393"/>
        <v>0</v>
      </c>
      <c r="Y1272">
        <f t="shared" si="394"/>
        <v>0</v>
      </c>
      <c r="Z1272">
        <f t="shared" si="395"/>
        <v>0</v>
      </c>
      <c r="AA1272">
        <f>IF($D1272="",0,IF($F1272&lt;2,0,IF($E1272="Win",('Guide &amp; Settings'!$C$42/(($F1272-1)*COUNTIFS($A$4:$A$1510,$A1272,$E$4:$E$1510,"Win")))*SUMIFS($Z$4:$Z$1510,$A$4:$A$1510,$A1272,$E$4:$E$1510,"Loss"),-('Guide &amp; Settings'!$C$42/($F1272-1))*$Z1272)))</f>
        <v>0</v>
      </c>
      <c r="AB1272" s="126">
        <f t="shared" si="396"/>
        <v>0</v>
      </c>
      <c r="AC1272" t="str">
        <f>IF($D1272="","",IF($AD1272=0,0,IF(COUNTIFS($D$4:$D1272,$D1272,$B$4:$B1272,$B1272)&gt;1,0,IF($B1272&lt;'Guide &amp; Settings'!$C$50,0,IF(($B1272-$AD1272)/7-'Guide &amp; Settings'!$C$48&gt;=0,(INT(($B1272-$AD1272)/7-'Guide &amp; Settings'!$C$48)+1)*'Guide &amp; Settings'!$C$49,0)))))</f>
        <v/>
      </c>
      <c r="AD1272" s="142">
        <f t="shared" si="397"/>
        <v>0</v>
      </c>
      <c r="AE1272">
        <f t="shared" si="398"/>
        <v>0</v>
      </c>
      <c r="AF1272">
        <f t="shared" si="399"/>
        <v>0</v>
      </c>
    </row>
    <row r="1273" spans="1:32" x14ac:dyDescent="0.2">
      <c r="A1273" s="117"/>
      <c r="B1273" s="118"/>
      <c r="C1273" s="119"/>
      <c r="D1273" s="119"/>
      <c r="E1273" s="117"/>
      <c r="F1273" s="120">
        <f t="shared" si="380"/>
        <v>0</v>
      </c>
      <c r="G1273" s="121" t="str">
        <f t="shared" si="381"/>
        <v/>
      </c>
      <c r="H1273" s="122">
        <f>IF($D1273="",0,IFERROR(LOOKUP(2,1/(($D$3:D1272=$D1273)*($A$3:A1272&lt;$A1273)),$N$3:N1272),'Guide &amp; Settings'!$C$41))</f>
        <v>0</v>
      </c>
      <c r="I1273" s="123">
        <f t="shared" si="382"/>
        <v>0</v>
      </c>
      <c r="J1273" s="124">
        <f>IF($D1273="",0,IF($F1273&lt;2,0,IF($E1273="Win",('Guide &amp; Settings'!$C$42/(($F1273-1)*COUNTIFS($A$4:$A$1510,$A1273,$E$4:$E$1510,"Win")))*SUMIFS($X$4:$X$1510,$A$4:$A$1510,$A1273,$E$4:$E$1510,"Loss"),-('Guide &amp; Settings'!$C$42/($F1273-1))*$X1273)))</f>
        <v>0</v>
      </c>
      <c r="K1273" s="124">
        <f>IF($D1273="",0,'Guide &amp; Settings'!$C$43*(IF($E1273="Win",1,0)-$I1273))</f>
        <v>0</v>
      </c>
      <c r="L1273" s="125">
        <f>IF($D1273="",0,'Guide &amp; Settings'!$C$44*IF($F1273&gt;=3,$F1273,0))</f>
        <v>0</v>
      </c>
      <c r="M1273" s="124">
        <f t="shared" si="383"/>
        <v>0</v>
      </c>
      <c r="N1273" s="122">
        <f t="shared" si="384"/>
        <v>0</v>
      </c>
      <c r="O1273" s="121" t="str">
        <f t="shared" si="385"/>
        <v/>
      </c>
      <c r="P1273">
        <f t="shared" si="386"/>
        <v>0</v>
      </c>
      <c r="Q1273">
        <f t="shared" si="387"/>
        <v>0</v>
      </c>
      <c r="R1273">
        <f t="shared" si="388"/>
        <v>0</v>
      </c>
      <c r="S1273">
        <f t="shared" si="389"/>
        <v>0</v>
      </c>
      <c r="T1273" s="89">
        <f t="shared" si="390"/>
        <v>0</v>
      </c>
      <c r="U1273" s="126">
        <f>IF($D1273="",0,IFERROR(LOOKUP(2,1/(($D$3:D1272=$D1273)*($C$3:C1272=$C1273)*($A$3:A1272&lt;$A1273)),$AB$3:AB1272),1000))</f>
        <v>0</v>
      </c>
      <c r="V1273" s="126">
        <f t="shared" si="391"/>
        <v>0</v>
      </c>
      <c r="W1273">
        <f t="shared" si="392"/>
        <v>0</v>
      </c>
      <c r="X1273">
        <f t="shared" si="393"/>
        <v>0</v>
      </c>
      <c r="Y1273">
        <f t="shared" si="394"/>
        <v>0</v>
      </c>
      <c r="Z1273">
        <f t="shared" si="395"/>
        <v>0</v>
      </c>
      <c r="AA1273">
        <f>IF($D1273="",0,IF($F1273&lt;2,0,IF($E1273="Win",('Guide &amp; Settings'!$C$42/(($F1273-1)*COUNTIFS($A$4:$A$1510,$A1273,$E$4:$E$1510,"Win")))*SUMIFS($Z$4:$Z$1510,$A$4:$A$1510,$A1273,$E$4:$E$1510,"Loss"),-('Guide &amp; Settings'!$C$42/($F1273-1))*$Z1273)))</f>
        <v>0</v>
      </c>
      <c r="AB1273" s="126">
        <f t="shared" si="396"/>
        <v>0</v>
      </c>
      <c r="AC1273" t="str">
        <f>IF($D1273="","",IF($AD1273=0,0,IF(COUNTIFS($D$4:$D1273,$D1273,$B$4:$B1273,$B1273)&gt;1,0,IF($B1273&lt;'Guide &amp; Settings'!$C$50,0,IF(($B1273-$AD1273)/7-'Guide &amp; Settings'!$C$48&gt;=0,(INT(($B1273-$AD1273)/7-'Guide &amp; Settings'!$C$48)+1)*'Guide &amp; Settings'!$C$49,0)))))</f>
        <v/>
      </c>
      <c r="AD1273" s="142">
        <f t="shared" si="397"/>
        <v>0</v>
      </c>
      <c r="AE1273">
        <f t="shared" si="398"/>
        <v>0</v>
      </c>
      <c r="AF1273">
        <f t="shared" si="399"/>
        <v>0</v>
      </c>
    </row>
    <row r="1274" spans="1:32" x14ac:dyDescent="0.2">
      <c r="A1274" s="117"/>
      <c r="B1274" s="118"/>
      <c r="C1274" s="119"/>
      <c r="D1274" s="119"/>
      <c r="E1274" s="117"/>
      <c r="F1274" s="120">
        <f t="shared" si="380"/>
        <v>0</v>
      </c>
      <c r="G1274" s="121" t="str">
        <f t="shared" si="381"/>
        <v/>
      </c>
      <c r="H1274" s="122">
        <f>IF($D1274="",0,IFERROR(LOOKUP(2,1/(($D$3:D1273=$D1274)*($A$3:A1273&lt;$A1274)),$N$3:N1273),'Guide &amp; Settings'!$C$41))</f>
        <v>0</v>
      </c>
      <c r="I1274" s="123">
        <f t="shared" si="382"/>
        <v>0</v>
      </c>
      <c r="J1274" s="124">
        <f>IF($D1274="",0,IF($F1274&lt;2,0,IF($E1274="Win",('Guide &amp; Settings'!$C$42/(($F1274-1)*COUNTIFS($A$4:$A$1510,$A1274,$E$4:$E$1510,"Win")))*SUMIFS($X$4:$X$1510,$A$4:$A$1510,$A1274,$E$4:$E$1510,"Loss"),-('Guide &amp; Settings'!$C$42/($F1274-1))*$X1274)))</f>
        <v>0</v>
      </c>
      <c r="K1274" s="124">
        <f>IF($D1274="",0,'Guide &amp; Settings'!$C$43*(IF($E1274="Win",1,0)-$I1274))</f>
        <v>0</v>
      </c>
      <c r="L1274" s="125">
        <f>IF($D1274="",0,'Guide &amp; Settings'!$C$44*IF($F1274&gt;=3,$F1274,0))</f>
        <v>0</v>
      </c>
      <c r="M1274" s="124">
        <f t="shared" si="383"/>
        <v>0</v>
      </c>
      <c r="N1274" s="122">
        <f t="shared" si="384"/>
        <v>0</v>
      </c>
      <c r="O1274" s="121" t="str">
        <f t="shared" si="385"/>
        <v/>
      </c>
      <c r="P1274">
        <f t="shared" si="386"/>
        <v>0</v>
      </c>
      <c r="Q1274">
        <f t="shared" si="387"/>
        <v>0</v>
      </c>
      <c r="R1274">
        <f t="shared" si="388"/>
        <v>0</v>
      </c>
      <c r="S1274">
        <f t="shared" si="389"/>
        <v>0</v>
      </c>
      <c r="T1274" s="89">
        <f t="shared" si="390"/>
        <v>0</v>
      </c>
      <c r="U1274" s="126">
        <f>IF($D1274="",0,IFERROR(LOOKUP(2,1/(($D$3:D1273=$D1274)*($C$3:C1273=$C1274)*($A$3:A1273&lt;$A1274)),$AB$3:AB1273),1000))</f>
        <v>0</v>
      </c>
      <c r="V1274" s="126">
        <f t="shared" si="391"/>
        <v>0</v>
      </c>
      <c r="W1274">
        <f t="shared" si="392"/>
        <v>0</v>
      </c>
      <c r="X1274">
        <f t="shared" si="393"/>
        <v>0</v>
      </c>
      <c r="Y1274">
        <f t="shared" si="394"/>
        <v>0</v>
      </c>
      <c r="Z1274">
        <f t="shared" si="395"/>
        <v>0</v>
      </c>
      <c r="AA1274">
        <f>IF($D1274="",0,IF($F1274&lt;2,0,IF($E1274="Win",('Guide &amp; Settings'!$C$42/(($F1274-1)*COUNTIFS($A$4:$A$1510,$A1274,$E$4:$E$1510,"Win")))*SUMIFS($Z$4:$Z$1510,$A$4:$A$1510,$A1274,$E$4:$E$1510,"Loss"),-('Guide &amp; Settings'!$C$42/($F1274-1))*$Z1274)))</f>
        <v>0</v>
      </c>
      <c r="AB1274" s="126">
        <f t="shared" si="396"/>
        <v>0</v>
      </c>
      <c r="AC1274" t="str">
        <f>IF($D1274="","",IF($AD1274=0,0,IF(COUNTIFS($D$4:$D1274,$D1274,$B$4:$B1274,$B1274)&gt;1,0,IF($B1274&lt;'Guide &amp; Settings'!$C$50,0,IF(($B1274-$AD1274)/7-'Guide &amp; Settings'!$C$48&gt;=0,(INT(($B1274-$AD1274)/7-'Guide &amp; Settings'!$C$48)+1)*'Guide &amp; Settings'!$C$49,0)))))</f>
        <v/>
      </c>
      <c r="AD1274" s="142">
        <f t="shared" si="397"/>
        <v>0</v>
      </c>
      <c r="AE1274">
        <f t="shared" si="398"/>
        <v>0</v>
      </c>
      <c r="AF1274">
        <f t="shared" si="399"/>
        <v>0</v>
      </c>
    </row>
    <row r="1275" spans="1:32" x14ac:dyDescent="0.2">
      <c r="A1275" s="117"/>
      <c r="B1275" s="118"/>
      <c r="C1275" s="119"/>
      <c r="D1275" s="119"/>
      <c r="E1275" s="117"/>
      <c r="F1275" s="120">
        <f t="shared" si="380"/>
        <v>0</v>
      </c>
      <c r="G1275" s="121" t="str">
        <f t="shared" si="381"/>
        <v/>
      </c>
      <c r="H1275" s="122">
        <f>IF($D1275="",0,IFERROR(LOOKUP(2,1/(($D$3:D1274=$D1275)*($A$3:A1274&lt;$A1275)),$N$3:N1274),'Guide &amp; Settings'!$C$41))</f>
        <v>0</v>
      </c>
      <c r="I1275" s="123">
        <f t="shared" si="382"/>
        <v>0</v>
      </c>
      <c r="J1275" s="124">
        <f>IF($D1275="",0,IF($F1275&lt;2,0,IF($E1275="Win",('Guide &amp; Settings'!$C$42/(($F1275-1)*COUNTIFS($A$4:$A$1510,$A1275,$E$4:$E$1510,"Win")))*SUMIFS($X$4:$X$1510,$A$4:$A$1510,$A1275,$E$4:$E$1510,"Loss"),-('Guide &amp; Settings'!$C$42/($F1275-1))*$X1275)))</f>
        <v>0</v>
      </c>
      <c r="K1275" s="124">
        <f>IF($D1275="",0,'Guide &amp; Settings'!$C$43*(IF($E1275="Win",1,0)-$I1275))</f>
        <v>0</v>
      </c>
      <c r="L1275" s="125">
        <f>IF($D1275="",0,'Guide &amp; Settings'!$C$44*IF($F1275&gt;=3,$F1275,0))</f>
        <v>0</v>
      </c>
      <c r="M1275" s="124">
        <f t="shared" si="383"/>
        <v>0</v>
      </c>
      <c r="N1275" s="122">
        <f t="shared" si="384"/>
        <v>0</v>
      </c>
      <c r="O1275" s="121" t="str">
        <f t="shared" si="385"/>
        <v/>
      </c>
      <c r="P1275">
        <f t="shared" si="386"/>
        <v>0</v>
      </c>
      <c r="Q1275">
        <f t="shared" si="387"/>
        <v>0</v>
      </c>
      <c r="R1275">
        <f t="shared" si="388"/>
        <v>0</v>
      </c>
      <c r="S1275">
        <f t="shared" si="389"/>
        <v>0</v>
      </c>
      <c r="T1275" s="89">
        <f t="shared" si="390"/>
        <v>0</v>
      </c>
      <c r="U1275" s="126">
        <f>IF($D1275="",0,IFERROR(LOOKUP(2,1/(($D$3:D1274=$D1275)*($C$3:C1274=$C1275)*($A$3:A1274&lt;$A1275)),$AB$3:AB1274),1000))</f>
        <v>0</v>
      </c>
      <c r="V1275" s="126">
        <f t="shared" si="391"/>
        <v>0</v>
      </c>
      <c r="W1275">
        <f t="shared" si="392"/>
        <v>0</v>
      </c>
      <c r="X1275">
        <f t="shared" si="393"/>
        <v>0</v>
      </c>
      <c r="Y1275">
        <f t="shared" si="394"/>
        <v>0</v>
      </c>
      <c r="Z1275">
        <f t="shared" si="395"/>
        <v>0</v>
      </c>
      <c r="AA1275">
        <f>IF($D1275="",0,IF($F1275&lt;2,0,IF($E1275="Win",('Guide &amp; Settings'!$C$42/(($F1275-1)*COUNTIFS($A$4:$A$1510,$A1275,$E$4:$E$1510,"Win")))*SUMIFS($Z$4:$Z$1510,$A$4:$A$1510,$A1275,$E$4:$E$1510,"Loss"),-('Guide &amp; Settings'!$C$42/($F1275-1))*$Z1275)))</f>
        <v>0</v>
      </c>
      <c r="AB1275" s="126">
        <f t="shared" si="396"/>
        <v>0</v>
      </c>
      <c r="AC1275" t="str">
        <f>IF($D1275="","",IF($AD1275=0,0,IF(COUNTIFS($D$4:$D1275,$D1275,$B$4:$B1275,$B1275)&gt;1,0,IF($B1275&lt;'Guide &amp; Settings'!$C$50,0,IF(($B1275-$AD1275)/7-'Guide &amp; Settings'!$C$48&gt;=0,(INT(($B1275-$AD1275)/7-'Guide &amp; Settings'!$C$48)+1)*'Guide &amp; Settings'!$C$49,0)))))</f>
        <v/>
      </c>
      <c r="AD1275" s="142">
        <f t="shared" si="397"/>
        <v>0</v>
      </c>
      <c r="AE1275">
        <f t="shared" si="398"/>
        <v>0</v>
      </c>
      <c r="AF1275">
        <f t="shared" si="399"/>
        <v>0</v>
      </c>
    </row>
    <row r="1276" spans="1:32" x14ac:dyDescent="0.2">
      <c r="A1276" s="117"/>
      <c r="B1276" s="118"/>
      <c r="C1276" s="119"/>
      <c r="D1276" s="119"/>
      <c r="E1276" s="117"/>
      <c r="F1276" s="120">
        <f t="shared" si="380"/>
        <v>0</v>
      </c>
      <c r="G1276" s="121" t="str">
        <f t="shared" si="381"/>
        <v/>
      </c>
      <c r="H1276" s="122">
        <f>IF($D1276="",0,IFERROR(LOOKUP(2,1/(($D$3:D1275=$D1276)*($A$3:A1275&lt;$A1276)),$N$3:N1275),'Guide &amp; Settings'!$C$41))</f>
        <v>0</v>
      </c>
      <c r="I1276" s="123">
        <f t="shared" si="382"/>
        <v>0</v>
      </c>
      <c r="J1276" s="124">
        <f>IF($D1276="",0,IF($F1276&lt;2,0,IF($E1276="Win",('Guide &amp; Settings'!$C$42/(($F1276-1)*COUNTIFS($A$4:$A$1510,$A1276,$E$4:$E$1510,"Win")))*SUMIFS($X$4:$X$1510,$A$4:$A$1510,$A1276,$E$4:$E$1510,"Loss"),-('Guide &amp; Settings'!$C$42/($F1276-1))*$X1276)))</f>
        <v>0</v>
      </c>
      <c r="K1276" s="124">
        <f>IF($D1276="",0,'Guide &amp; Settings'!$C$43*(IF($E1276="Win",1,0)-$I1276))</f>
        <v>0</v>
      </c>
      <c r="L1276" s="125">
        <f>IF($D1276="",0,'Guide &amp; Settings'!$C$44*IF($F1276&gt;=3,$F1276,0))</f>
        <v>0</v>
      </c>
      <c r="M1276" s="124">
        <f t="shared" si="383"/>
        <v>0</v>
      </c>
      <c r="N1276" s="122">
        <f t="shared" si="384"/>
        <v>0</v>
      </c>
      <c r="O1276" s="121" t="str">
        <f t="shared" si="385"/>
        <v/>
      </c>
      <c r="P1276">
        <f t="shared" si="386"/>
        <v>0</v>
      </c>
      <c r="Q1276">
        <f t="shared" si="387"/>
        <v>0</v>
      </c>
      <c r="R1276">
        <f t="shared" si="388"/>
        <v>0</v>
      </c>
      <c r="S1276">
        <f t="shared" si="389"/>
        <v>0</v>
      </c>
      <c r="T1276" s="89">
        <f t="shared" si="390"/>
        <v>0</v>
      </c>
      <c r="U1276" s="126">
        <f>IF($D1276="",0,IFERROR(LOOKUP(2,1/(($D$3:D1275=$D1276)*($C$3:C1275=$C1276)*($A$3:A1275&lt;$A1276)),$AB$3:AB1275),1000))</f>
        <v>0</v>
      </c>
      <c r="V1276" s="126">
        <f t="shared" si="391"/>
        <v>0</v>
      </c>
      <c r="W1276">
        <f t="shared" si="392"/>
        <v>0</v>
      </c>
      <c r="X1276">
        <f t="shared" si="393"/>
        <v>0</v>
      </c>
      <c r="Y1276">
        <f t="shared" si="394"/>
        <v>0</v>
      </c>
      <c r="Z1276">
        <f t="shared" si="395"/>
        <v>0</v>
      </c>
      <c r="AA1276">
        <f>IF($D1276="",0,IF($F1276&lt;2,0,IF($E1276="Win",('Guide &amp; Settings'!$C$42/(($F1276-1)*COUNTIFS($A$4:$A$1510,$A1276,$E$4:$E$1510,"Win")))*SUMIFS($Z$4:$Z$1510,$A$4:$A$1510,$A1276,$E$4:$E$1510,"Loss"),-('Guide &amp; Settings'!$C$42/($F1276-1))*$Z1276)))</f>
        <v>0</v>
      </c>
      <c r="AB1276" s="126">
        <f t="shared" si="396"/>
        <v>0</v>
      </c>
      <c r="AC1276" t="str">
        <f>IF($D1276="","",IF($AD1276=0,0,IF(COUNTIFS($D$4:$D1276,$D1276,$B$4:$B1276,$B1276)&gt;1,0,IF($B1276&lt;'Guide &amp; Settings'!$C$50,0,IF(($B1276-$AD1276)/7-'Guide &amp; Settings'!$C$48&gt;=0,(INT(($B1276-$AD1276)/7-'Guide &amp; Settings'!$C$48)+1)*'Guide &amp; Settings'!$C$49,0)))))</f>
        <v/>
      </c>
      <c r="AD1276" s="142">
        <f t="shared" si="397"/>
        <v>0</v>
      </c>
      <c r="AE1276">
        <f t="shared" si="398"/>
        <v>0</v>
      </c>
      <c r="AF1276">
        <f t="shared" si="399"/>
        <v>0</v>
      </c>
    </row>
    <row r="1277" spans="1:32" x14ac:dyDescent="0.2">
      <c r="A1277" s="117"/>
      <c r="B1277" s="118"/>
      <c r="C1277" s="119"/>
      <c r="D1277" s="119"/>
      <c r="E1277" s="117"/>
      <c r="F1277" s="120">
        <f t="shared" si="380"/>
        <v>0</v>
      </c>
      <c r="G1277" s="121" t="str">
        <f t="shared" si="381"/>
        <v/>
      </c>
      <c r="H1277" s="122">
        <f>IF($D1277="",0,IFERROR(LOOKUP(2,1/(($D$3:D1276=$D1277)*($A$3:A1276&lt;$A1277)),$N$3:N1276),'Guide &amp; Settings'!$C$41))</f>
        <v>0</v>
      </c>
      <c r="I1277" s="123">
        <f t="shared" si="382"/>
        <v>0</v>
      </c>
      <c r="J1277" s="124">
        <f>IF($D1277="",0,IF($F1277&lt;2,0,IF($E1277="Win",('Guide &amp; Settings'!$C$42/(($F1277-1)*COUNTIFS($A$4:$A$1510,$A1277,$E$4:$E$1510,"Win")))*SUMIFS($X$4:$X$1510,$A$4:$A$1510,$A1277,$E$4:$E$1510,"Loss"),-('Guide &amp; Settings'!$C$42/($F1277-1))*$X1277)))</f>
        <v>0</v>
      </c>
      <c r="K1277" s="124">
        <f>IF($D1277="",0,'Guide &amp; Settings'!$C$43*(IF($E1277="Win",1,0)-$I1277))</f>
        <v>0</v>
      </c>
      <c r="L1277" s="125">
        <f>IF($D1277="",0,'Guide &amp; Settings'!$C$44*IF($F1277&gt;=3,$F1277,0))</f>
        <v>0</v>
      </c>
      <c r="M1277" s="124">
        <f t="shared" si="383"/>
        <v>0</v>
      </c>
      <c r="N1277" s="122">
        <f t="shared" si="384"/>
        <v>0</v>
      </c>
      <c r="O1277" s="121" t="str">
        <f t="shared" si="385"/>
        <v/>
      </c>
      <c r="P1277">
        <f t="shared" si="386"/>
        <v>0</v>
      </c>
      <c r="Q1277">
        <f t="shared" si="387"/>
        <v>0</v>
      </c>
      <c r="R1277">
        <f t="shared" si="388"/>
        <v>0</v>
      </c>
      <c r="S1277">
        <f t="shared" si="389"/>
        <v>0</v>
      </c>
      <c r="T1277" s="89">
        <f t="shared" si="390"/>
        <v>0</v>
      </c>
      <c r="U1277" s="126">
        <f>IF($D1277="",0,IFERROR(LOOKUP(2,1/(($D$3:D1276=$D1277)*($C$3:C1276=$C1277)*($A$3:A1276&lt;$A1277)),$AB$3:AB1276),1000))</f>
        <v>0</v>
      </c>
      <c r="V1277" s="126">
        <f t="shared" si="391"/>
        <v>0</v>
      </c>
      <c r="W1277">
        <f t="shared" si="392"/>
        <v>0</v>
      </c>
      <c r="X1277">
        <f t="shared" si="393"/>
        <v>0</v>
      </c>
      <c r="Y1277">
        <f t="shared" si="394"/>
        <v>0</v>
      </c>
      <c r="Z1277">
        <f t="shared" si="395"/>
        <v>0</v>
      </c>
      <c r="AA1277">
        <f>IF($D1277="",0,IF($F1277&lt;2,0,IF($E1277="Win",('Guide &amp; Settings'!$C$42/(($F1277-1)*COUNTIFS($A$4:$A$1510,$A1277,$E$4:$E$1510,"Win")))*SUMIFS($Z$4:$Z$1510,$A$4:$A$1510,$A1277,$E$4:$E$1510,"Loss"),-('Guide &amp; Settings'!$C$42/($F1277-1))*$Z1277)))</f>
        <v>0</v>
      </c>
      <c r="AB1277" s="126">
        <f t="shared" si="396"/>
        <v>0</v>
      </c>
      <c r="AC1277" t="str">
        <f>IF($D1277="","",IF($AD1277=0,0,IF(COUNTIFS($D$4:$D1277,$D1277,$B$4:$B1277,$B1277)&gt;1,0,IF($B1277&lt;'Guide &amp; Settings'!$C$50,0,IF(($B1277-$AD1277)/7-'Guide &amp; Settings'!$C$48&gt;=0,(INT(($B1277-$AD1277)/7-'Guide &amp; Settings'!$C$48)+1)*'Guide &amp; Settings'!$C$49,0)))))</f>
        <v/>
      </c>
      <c r="AD1277" s="142">
        <f t="shared" si="397"/>
        <v>0</v>
      </c>
      <c r="AE1277">
        <f t="shared" si="398"/>
        <v>0</v>
      </c>
      <c r="AF1277">
        <f t="shared" si="399"/>
        <v>0</v>
      </c>
    </row>
    <row r="1278" spans="1:32" x14ac:dyDescent="0.2">
      <c r="A1278" s="117"/>
      <c r="B1278" s="118"/>
      <c r="C1278" s="119"/>
      <c r="D1278" s="119"/>
      <c r="E1278" s="117"/>
      <c r="F1278" s="120">
        <f t="shared" si="380"/>
        <v>0</v>
      </c>
      <c r="G1278" s="121" t="str">
        <f t="shared" si="381"/>
        <v/>
      </c>
      <c r="H1278" s="122">
        <f>IF($D1278="",0,IFERROR(LOOKUP(2,1/(($D$3:D1277=$D1278)*($A$3:A1277&lt;$A1278)),$N$3:N1277),'Guide &amp; Settings'!$C$41))</f>
        <v>0</v>
      </c>
      <c r="I1278" s="123">
        <f t="shared" si="382"/>
        <v>0</v>
      </c>
      <c r="J1278" s="124">
        <f>IF($D1278="",0,IF($F1278&lt;2,0,IF($E1278="Win",('Guide &amp; Settings'!$C$42/(($F1278-1)*COUNTIFS($A$4:$A$1510,$A1278,$E$4:$E$1510,"Win")))*SUMIFS($X$4:$X$1510,$A$4:$A$1510,$A1278,$E$4:$E$1510,"Loss"),-('Guide &amp; Settings'!$C$42/($F1278-1))*$X1278)))</f>
        <v>0</v>
      </c>
      <c r="K1278" s="124">
        <f>IF($D1278="",0,'Guide &amp; Settings'!$C$43*(IF($E1278="Win",1,0)-$I1278))</f>
        <v>0</v>
      </c>
      <c r="L1278" s="125">
        <f>IF($D1278="",0,'Guide &amp; Settings'!$C$44*IF($F1278&gt;=3,$F1278,0))</f>
        <v>0</v>
      </c>
      <c r="M1278" s="124">
        <f t="shared" si="383"/>
        <v>0</v>
      </c>
      <c r="N1278" s="122">
        <f t="shared" si="384"/>
        <v>0</v>
      </c>
      <c r="O1278" s="121" t="str">
        <f t="shared" si="385"/>
        <v/>
      </c>
      <c r="P1278">
        <f t="shared" si="386"/>
        <v>0</v>
      </c>
      <c r="Q1278">
        <f t="shared" si="387"/>
        <v>0</v>
      </c>
      <c r="R1278">
        <f t="shared" si="388"/>
        <v>0</v>
      </c>
      <c r="S1278">
        <f t="shared" si="389"/>
        <v>0</v>
      </c>
      <c r="T1278" s="89">
        <f t="shared" si="390"/>
        <v>0</v>
      </c>
      <c r="U1278" s="126">
        <f>IF($D1278="",0,IFERROR(LOOKUP(2,1/(($D$3:D1277=$D1278)*($C$3:C1277=$C1278)*($A$3:A1277&lt;$A1278)),$AB$3:AB1277),1000))</f>
        <v>0</v>
      </c>
      <c r="V1278" s="126">
        <f t="shared" si="391"/>
        <v>0</v>
      </c>
      <c r="W1278">
        <f t="shared" si="392"/>
        <v>0</v>
      </c>
      <c r="X1278">
        <f t="shared" si="393"/>
        <v>0</v>
      </c>
      <c r="Y1278">
        <f t="shared" si="394"/>
        <v>0</v>
      </c>
      <c r="Z1278">
        <f t="shared" si="395"/>
        <v>0</v>
      </c>
      <c r="AA1278">
        <f>IF($D1278="",0,IF($F1278&lt;2,0,IF($E1278="Win",('Guide &amp; Settings'!$C$42/(($F1278-1)*COUNTIFS($A$4:$A$1510,$A1278,$E$4:$E$1510,"Win")))*SUMIFS($Z$4:$Z$1510,$A$4:$A$1510,$A1278,$E$4:$E$1510,"Loss"),-('Guide &amp; Settings'!$C$42/($F1278-1))*$Z1278)))</f>
        <v>0</v>
      </c>
      <c r="AB1278" s="126">
        <f t="shared" si="396"/>
        <v>0</v>
      </c>
      <c r="AC1278" t="str">
        <f>IF($D1278="","",IF($AD1278=0,0,IF(COUNTIFS($D$4:$D1278,$D1278,$B$4:$B1278,$B1278)&gt;1,0,IF($B1278&lt;'Guide &amp; Settings'!$C$50,0,IF(($B1278-$AD1278)/7-'Guide &amp; Settings'!$C$48&gt;=0,(INT(($B1278-$AD1278)/7-'Guide &amp; Settings'!$C$48)+1)*'Guide &amp; Settings'!$C$49,0)))))</f>
        <v/>
      </c>
      <c r="AD1278" s="142">
        <f t="shared" si="397"/>
        <v>0</v>
      </c>
      <c r="AE1278">
        <f t="shared" si="398"/>
        <v>0</v>
      </c>
      <c r="AF1278">
        <f t="shared" si="399"/>
        <v>0</v>
      </c>
    </row>
    <row r="1279" spans="1:32" x14ac:dyDescent="0.2">
      <c r="A1279" s="117"/>
      <c r="B1279" s="118"/>
      <c r="C1279" s="119"/>
      <c r="D1279" s="119"/>
      <c r="E1279" s="117"/>
      <c r="F1279" s="120">
        <f t="shared" si="380"/>
        <v>0</v>
      </c>
      <c r="G1279" s="121" t="str">
        <f t="shared" si="381"/>
        <v/>
      </c>
      <c r="H1279" s="122">
        <f>IF($D1279="",0,IFERROR(LOOKUP(2,1/(($D$3:D1278=$D1279)*($A$3:A1278&lt;$A1279)),$N$3:N1278),'Guide &amp; Settings'!$C$41))</f>
        <v>0</v>
      </c>
      <c r="I1279" s="123">
        <f t="shared" si="382"/>
        <v>0</v>
      </c>
      <c r="J1279" s="124">
        <f>IF($D1279="",0,IF($F1279&lt;2,0,IF($E1279="Win",('Guide &amp; Settings'!$C$42/(($F1279-1)*COUNTIFS($A$4:$A$1510,$A1279,$E$4:$E$1510,"Win")))*SUMIFS($X$4:$X$1510,$A$4:$A$1510,$A1279,$E$4:$E$1510,"Loss"),-('Guide &amp; Settings'!$C$42/($F1279-1))*$X1279)))</f>
        <v>0</v>
      </c>
      <c r="K1279" s="124">
        <f>IF($D1279="",0,'Guide &amp; Settings'!$C$43*(IF($E1279="Win",1,0)-$I1279))</f>
        <v>0</v>
      </c>
      <c r="L1279" s="125">
        <f>IF($D1279="",0,'Guide &amp; Settings'!$C$44*IF($F1279&gt;=3,$F1279,0))</f>
        <v>0</v>
      </c>
      <c r="M1279" s="124">
        <f t="shared" si="383"/>
        <v>0</v>
      </c>
      <c r="N1279" s="122">
        <f t="shared" si="384"/>
        <v>0</v>
      </c>
      <c r="O1279" s="121" t="str">
        <f t="shared" si="385"/>
        <v/>
      </c>
      <c r="P1279">
        <f t="shared" si="386"/>
        <v>0</v>
      </c>
      <c r="Q1279">
        <f t="shared" si="387"/>
        <v>0</v>
      </c>
      <c r="R1279">
        <f t="shared" si="388"/>
        <v>0</v>
      </c>
      <c r="S1279">
        <f t="shared" si="389"/>
        <v>0</v>
      </c>
      <c r="T1279" s="89">
        <f t="shared" si="390"/>
        <v>0</v>
      </c>
      <c r="U1279" s="126">
        <f>IF($D1279="",0,IFERROR(LOOKUP(2,1/(($D$3:D1278=$D1279)*($C$3:C1278=$C1279)*($A$3:A1278&lt;$A1279)),$AB$3:AB1278),1000))</f>
        <v>0</v>
      </c>
      <c r="V1279" s="126">
        <f t="shared" si="391"/>
        <v>0</v>
      </c>
      <c r="W1279">
        <f t="shared" si="392"/>
        <v>0</v>
      </c>
      <c r="X1279">
        <f t="shared" si="393"/>
        <v>0</v>
      </c>
      <c r="Y1279">
        <f t="shared" si="394"/>
        <v>0</v>
      </c>
      <c r="Z1279">
        <f t="shared" si="395"/>
        <v>0</v>
      </c>
      <c r="AA1279">
        <f>IF($D1279="",0,IF($F1279&lt;2,0,IF($E1279="Win",('Guide &amp; Settings'!$C$42/(($F1279-1)*COUNTIFS($A$4:$A$1510,$A1279,$E$4:$E$1510,"Win")))*SUMIFS($Z$4:$Z$1510,$A$4:$A$1510,$A1279,$E$4:$E$1510,"Loss"),-('Guide &amp; Settings'!$C$42/($F1279-1))*$Z1279)))</f>
        <v>0</v>
      </c>
      <c r="AB1279" s="126">
        <f t="shared" si="396"/>
        <v>0</v>
      </c>
      <c r="AC1279" t="str">
        <f>IF($D1279="","",IF($AD1279=0,0,IF(COUNTIFS($D$4:$D1279,$D1279,$B$4:$B1279,$B1279)&gt;1,0,IF($B1279&lt;'Guide &amp; Settings'!$C$50,0,IF(($B1279-$AD1279)/7-'Guide &amp; Settings'!$C$48&gt;=0,(INT(($B1279-$AD1279)/7-'Guide &amp; Settings'!$C$48)+1)*'Guide &amp; Settings'!$C$49,0)))))</f>
        <v/>
      </c>
      <c r="AD1279" s="142">
        <f t="shared" si="397"/>
        <v>0</v>
      </c>
      <c r="AE1279">
        <f t="shared" si="398"/>
        <v>0</v>
      </c>
      <c r="AF1279">
        <f t="shared" si="399"/>
        <v>0</v>
      </c>
    </row>
    <row r="1280" spans="1:32" x14ac:dyDescent="0.2">
      <c r="A1280" s="117"/>
      <c r="B1280" s="118"/>
      <c r="C1280" s="119"/>
      <c r="D1280" s="119"/>
      <c r="E1280" s="117"/>
      <c r="F1280" s="120">
        <f t="shared" si="380"/>
        <v>0</v>
      </c>
      <c r="G1280" s="121" t="str">
        <f t="shared" si="381"/>
        <v/>
      </c>
      <c r="H1280" s="122">
        <f>IF($D1280="",0,IFERROR(LOOKUP(2,1/(($D$3:D1279=$D1280)*($A$3:A1279&lt;$A1280)),$N$3:N1279),'Guide &amp; Settings'!$C$41))</f>
        <v>0</v>
      </c>
      <c r="I1280" s="123">
        <f t="shared" si="382"/>
        <v>0</v>
      </c>
      <c r="J1280" s="124">
        <f>IF($D1280="",0,IF($F1280&lt;2,0,IF($E1280="Win",('Guide &amp; Settings'!$C$42/(($F1280-1)*COUNTIFS($A$4:$A$1510,$A1280,$E$4:$E$1510,"Win")))*SUMIFS($X$4:$X$1510,$A$4:$A$1510,$A1280,$E$4:$E$1510,"Loss"),-('Guide &amp; Settings'!$C$42/($F1280-1))*$X1280)))</f>
        <v>0</v>
      </c>
      <c r="K1280" s="124">
        <f>IF($D1280="",0,'Guide &amp; Settings'!$C$43*(IF($E1280="Win",1,0)-$I1280))</f>
        <v>0</v>
      </c>
      <c r="L1280" s="125">
        <f>IF($D1280="",0,'Guide &amp; Settings'!$C$44*IF($F1280&gt;=3,$F1280,0))</f>
        <v>0</v>
      </c>
      <c r="M1280" s="124">
        <f t="shared" si="383"/>
        <v>0</v>
      </c>
      <c r="N1280" s="122">
        <f t="shared" si="384"/>
        <v>0</v>
      </c>
      <c r="O1280" s="121" t="str">
        <f t="shared" si="385"/>
        <v/>
      </c>
      <c r="P1280">
        <f t="shared" si="386"/>
        <v>0</v>
      </c>
      <c r="Q1280">
        <f t="shared" si="387"/>
        <v>0</v>
      </c>
      <c r="R1280">
        <f t="shared" si="388"/>
        <v>0</v>
      </c>
      <c r="S1280">
        <f t="shared" si="389"/>
        <v>0</v>
      </c>
      <c r="T1280" s="89">
        <f t="shared" si="390"/>
        <v>0</v>
      </c>
      <c r="U1280" s="126">
        <f>IF($D1280="",0,IFERROR(LOOKUP(2,1/(($D$3:D1279=$D1280)*($C$3:C1279=$C1280)*($A$3:A1279&lt;$A1280)),$AB$3:AB1279),1000))</f>
        <v>0</v>
      </c>
      <c r="V1280" s="126">
        <f t="shared" si="391"/>
        <v>0</v>
      </c>
      <c r="W1280">
        <f t="shared" si="392"/>
        <v>0</v>
      </c>
      <c r="X1280">
        <f t="shared" si="393"/>
        <v>0</v>
      </c>
      <c r="Y1280">
        <f t="shared" si="394"/>
        <v>0</v>
      </c>
      <c r="Z1280">
        <f t="shared" si="395"/>
        <v>0</v>
      </c>
      <c r="AA1280">
        <f>IF($D1280="",0,IF($F1280&lt;2,0,IF($E1280="Win",('Guide &amp; Settings'!$C$42/(($F1280-1)*COUNTIFS($A$4:$A$1510,$A1280,$E$4:$E$1510,"Win")))*SUMIFS($Z$4:$Z$1510,$A$4:$A$1510,$A1280,$E$4:$E$1510,"Loss"),-('Guide &amp; Settings'!$C$42/($F1280-1))*$Z1280)))</f>
        <v>0</v>
      </c>
      <c r="AB1280" s="126">
        <f t="shared" si="396"/>
        <v>0</v>
      </c>
      <c r="AC1280" t="str">
        <f>IF($D1280="","",IF($AD1280=0,0,IF(COUNTIFS($D$4:$D1280,$D1280,$B$4:$B1280,$B1280)&gt;1,0,IF($B1280&lt;'Guide &amp; Settings'!$C$50,0,IF(($B1280-$AD1280)/7-'Guide &amp; Settings'!$C$48&gt;=0,(INT(($B1280-$AD1280)/7-'Guide &amp; Settings'!$C$48)+1)*'Guide &amp; Settings'!$C$49,0)))))</f>
        <v/>
      </c>
      <c r="AD1280" s="142">
        <f t="shared" si="397"/>
        <v>0</v>
      </c>
      <c r="AE1280">
        <f t="shared" si="398"/>
        <v>0</v>
      </c>
      <c r="AF1280">
        <f t="shared" si="399"/>
        <v>0</v>
      </c>
    </row>
    <row r="1281" spans="1:32" x14ac:dyDescent="0.2">
      <c r="A1281" s="117"/>
      <c r="B1281" s="118"/>
      <c r="C1281" s="119"/>
      <c r="D1281" s="119"/>
      <c r="E1281" s="117"/>
      <c r="F1281" s="120">
        <f t="shared" si="380"/>
        <v>0</v>
      </c>
      <c r="G1281" s="121" t="str">
        <f t="shared" si="381"/>
        <v/>
      </c>
      <c r="H1281" s="122">
        <f>IF($D1281="",0,IFERROR(LOOKUP(2,1/(($D$3:D1280=$D1281)*($A$3:A1280&lt;$A1281)),$N$3:N1280),'Guide &amp; Settings'!$C$41))</f>
        <v>0</v>
      </c>
      <c r="I1281" s="123">
        <f t="shared" si="382"/>
        <v>0</v>
      </c>
      <c r="J1281" s="124">
        <f>IF($D1281="",0,IF($F1281&lt;2,0,IF($E1281="Win",('Guide &amp; Settings'!$C$42/(($F1281-1)*COUNTIFS($A$4:$A$1510,$A1281,$E$4:$E$1510,"Win")))*SUMIFS($X$4:$X$1510,$A$4:$A$1510,$A1281,$E$4:$E$1510,"Loss"),-('Guide &amp; Settings'!$C$42/($F1281-1))*$X1281)))</f>
        <v>0</v>
      </c>
      <c r="K1281" s="124">
        <f>IF($D1281="",0,'Guide &amp; Settings'!$C$43*(IF($E1281="Win",1,0)-$I1281))</f>
        <v>0</v>
      </c>
      <c r="L1281" s="125">
        <f>IF($D1281="",0,'Guide &amp; Settings'!$C$44*IF($F1281&gt;=3,$F1281,0))</f>
        <v>0</v>
      </c>
      <c r="M1281" s="124">
        <f t="shared" si="383"/>
        <v>0</v>
      </c>
      <c r="N1281" s="122">
        <f t="shared" si="384"/>
        <v>0</v>
      </c>
      <c r="O1281" s="121" t="str">
        <f t="shared" si="385"/>
        <v/>
      </c>
      <c r="P1281">
        <f t="shared" si="386"/>
        <v>0</v>
      </c>
      <c r="Q1281">
        <f t="shared" si="387"/>
        <v>0</v>
      </c>
      <c r="R1281">
        <f t="shared" si="388"/>
        <v>0</v>
      </c>
      <c r="S1281">
        <f t="shared" si="389"/>
        <v>0</v>
      </c>
      <c r="T1281" s="89">
        <f t="shared" si="390"/>
        <v>0</v>
      </c>
      <c r="U1281" s="126">
        <f>IF($D1281="",0,IFERROR(LOOKUP(2,1/(($D$3:D1280=$D1281)*($C$3:C1280=$C1281)*($A$3:A1280&lt;$A1281)),$AB$3:AB1280),1000))</f>
        <v>0</v>
      </c>
      <c r="V1281" s="126">
        <f t="shared" si="391"/>
        <v>0</v>
      </c>
      <c r="W1281">
        <f t="shared" si="392"/>
        <v>0</v>
      </c>
      <c r="X1281">
        <f t="shared" si="393"/>
        <v>0</v>
      </c>
      <c r="Y1281">
        <f t="shared" si="394"/>
        <v>0</v>
      </c>
      <c r="Z1281">
        <f t="shared" si="395"/>
        <v>0</v>
      </c>
      <c r="AA1281">
        <f>IF($D1281="",0,IF($F1281&lt;2,0,IF($E1281="Win",('Guide &amp; Settings'!$C$42/(($F1281-1)*COUNTIFS($A$4:$A$1510,$A1281,$E$4:$E$1510,"Win")))*SUMIFS($Z$4:$Z$1510,$A$4:$A$1510,$A1281,$E$4:$E$1510,"Loss"),-('Guide &amp; Settings'!$C$42/($F1281-1))*$Z1281)))</f>
        <v>0</v>
      </c>
      <c r="AB1281" s="126">
        <f t="shared" si="396"/>
        <v>0</v>
      </c>
      <c r="AC1281" t="str">
        <f>IF($D1281="","",IF($AD1281=0,0,IF(COUNTIFS($D$4:$D1281,$D1281,$B$4:$B1281,$B1281)&gt;1,0,IF($B1281&lt;'Guide &amp; Settings'!$C$50,0,IF(($B1281-$AD1281)/7-'Guide &amp; Settings'!$C$48&gt;=0,(INT(($B1281-$AD1281)/7-'Guide &amp; Settings'!$C$48)+1)*'Guide &amp; Settings'!$C$49,0)))))</f>
        <v/>
      </c>
      <c r="AD1281" s="142">
        <f t="shared" si="397"/>
        <v>0</v>
      </c>
      <c r="AE1281">
        <f t="shared" si="398"/>
        <v>0</v>
      </c>
      <c r="AF1281">
        <f t="shared" si="399"/>
        <v>0</v>
      </c>
    </row>
    <row r="1282" spans="1:32" x14ac:dyDescent="0.2">
      <c r="A1282" s="117"/>
      <c r="B1282" s="118"/>
      <c r="C1282" s="119"/>
      <c r="D1282" s="119"/>
      <c r="E1282" s="117"/>
      <c r="F1282" s="120">
        <f t="shared" si="380"/>
        <v>0</v>
      </c>
      <c r="G1282" s="121" t="str">
        <f t="shared" si="381"/>
        <v/>
      </c>
      <c r="H1282" s="122">
        <f>IF($D1282="",0,IFERROR(LOOKUP(2,1/(($D$3:D1281=$D1282)*($A$3:A1281&lt;$A1282)),$N$3:N1281),'Guide &amp; Settings'!$C$41))</f>
        <v>0</v>
      </c>
      <c r="I1282" s="123">
        <f t="shared" si="382"/>
        <v>0</v>
      </c>
      <c r="J1282" s="124">
        <f>IF($D1282="",0,IF($F1282&lt;2,0,IF($E1282="Win",('Guide &amp; Settings'!$C$42/(($F1282-1)*COUNTIFS($A$4:$A$1510,$A1282,$E$4:$E$1510,"Win")))*SUMIFS($X$4:$X$1510,$A$4:$A$1510,$A1282,$E$4:$E$1510,"Loss"),-('Guide &amp; Settings'!$C$42/($F1282-1))*$X1282)))</f>
        <v>0</v>
      </c>
      <c r="K1282" s="124">
        <f>IF($D1282="",0,'Guide &amp; Settings'!$C$43*(IF($E1282="Win",1,0)-$I1282))</f>
        <v>0</v>
      </c>
      <c r="L1282" s="125">
        <f>IF($D1282="",0,'Guide &amp; Settings'!$C$44*IF($F1282&gt;=3,$F1282,0))</f>
        <v>0</v>
      </c>
      <c r="M1282" s="124">
        <f t="shared" si="383"/>
        <v>0</v>
      </c>
      <c r="N1282" s="122">
        <f t="shared" si="384"/>
        <v>0</v>
      </c>
      <c r="O1282" s="121" t="str">
        <f t="shared" si="385"/>
        <v/>
      </c>
      <c r="P1282">
        <f t="shared" si="386"/>
        <v>0</v>
      </c>
      <c r="Q1282">
        <f t="shared" si="387"/>
        <v>0</v>
      </c>
      <c r="R1282">
        <f t="shared" si="388"/>
        <v>0</v>
      </c>
      <c r="S1282">
        <f t="shared" si="389"/>
        <v>0</v>
      </c>
      <c r="T1282" s="89">
        <f t="shared" si="390"/>
        <v>0</v>
      </c>
      <c r="U1282" s="126">
        <f>IF($D1282="",0,IFERROR(LOOKUP(2,1/(($D$3:D1281=$D1282)*($C$3:C1281=$C1282)*($A$3:A1281&lt;$A1282)),$AB$3:AB1281),1000))</f>
        <v>0</v>
      </c>
      <c r="V1282" s="126">
        <f t="shared" si="391"/>
        <v>0</v>
      </c>
      <c r="W1282">
        <f t="shared" si="392"/>
        <v>0</v>
      </c>
      <c r="X1282">
        <f t="shared" si="393"/>
        <v>0</v>
      </c>
      <c r="Y1282">
        <f t="shared" si="394"/>
        <v>0</v>
      </c>
      <c r="Z1282">
        <f t="shared" si="395"/>
        <v>0</v>
      </c>
      <c r="AA1282">
        <f>IF($D1282="",0,IF($F1282&lt;2,0,IF($E1282="Win",('Guide &amp; Settings'!$C$42/(($F1282-1)*COUNTIFS($A$4:$A$1510,$A1282,$E$4:$E$1510,"Win")))*SUMIFS($Z$4:$Z$1510,$A$4:$A$1510,$A1282,$E$4:$E$1510,"Loss"),-('Guide &amp; Settings'!$C$42/($F1282-1))*$Z1282)))</f>
        <v>0</v>
      </c>
      <c r="AB1282" s="126">
        <f t="shared" si="396"/>
        <v>0</v>
      </c>
      <c r="AC1282" t="str">
        <f>IF($D1282="","",IF($AD1282=0,0,IF(COUNTIFS($D$4:$D1282,$D1282,$B$4:$B1282,$B1282)&gt;1,0,IF($B1282&lt;'Guide &amp; Settings'!$C$50,0,IF(($B1282-$AD1282)/7-'Guide &amp; Settings'!$C$48&gt;=0,(INT(($B1282-$AD1282)/7-'Guide &amp; Settings'!$C$48)+1)*'Guide &amp; Settings'!$C$49,0)))))</f>
        <v/>
      </c>
      <c r="AD1282" s="142">
        <f t="shared" si="397"/>
        <v>0</v>
      </c>
      <c r="AE1282">
        <f t="shared" si="398"/>
        <v>0</v>
      </c>
      <c r="AF1282">
        <f t="shared" si="399"/>
        <v>0</v>
      </c>
    </row>
    <row r="1283" spans="1:32" x14ac:dyDescent="0.2">
      <c r="A1283" s="117"/>
      <c r="B1283" s="118"/>
      <c r="C1283" s="119"/>
      <c r="D1283" s="119"/>
      <c r="E1283" s="117"/>
      <c r="F1283" s="120">
        <f t="shared" si="380"/>
        <v>0</v>
      </c>
      <c r="G1283" s="121" t="str">
        <f t="shared" si="381"/>
        <v/>
      </c>
      <c r="H1283" s="122">
        <f>IF($D1283="",0,IFERROR(LOOKUP(2,1/(($D$3:D1282=$D1283)*($A$3:A1282&lt;$A1283)),$N$3:N1282),'Guide &amp; Settings'!$C$41))</f>
        <v>0</v>
      </c>
      <c r="I1283" s="123">
        <f t="shared" si="382"/>
        <v>0</v>
      </c>
      <c r="J1283" s="124">
        <f>IF($D1283="",0,IF($F1283&lt;2,0,IF($E1283="Win",('Guide &amp; Settings'!$C$42/(($F1283-1)*COUNTIFS($A$4:$A$1510,$A1283,$E$4:$E$1510,"Win")))*SUMIFS($X$4:$X$1510,$A$4:$A$1510,$A1283,$E$4:$E$1510,"Loss"),-('Guide &amp; Settings'!$C$42/($F1283-1))*$X1283)))</f>
        <v>0</v>
      </c>
      <c r="K1283" s="124">
        <f>IF($D1283="",0,'Guide &amp; Settings'!$C$43*(IF($E1283="Win",1,0)-$I1283))</f>
        <v>0</v>
      </c>
      <c r="L1283" s="125">
        <f>IF($D1283="",0,'Guide &amp; Settings'!$C$44*IF($F1283&gt;=3,$F1283,0))</f>
        <v>0</v>
      </c>
      <c r="M1283" s="124">
        <f t="shared" si="383"/>
        <v>0</v>
      </c>
      <c r="N1283" s="122">
        <f t="shared" si="384"/>
        <v>0</v>
      </c>
      <c r="O1283" s="121" t="str">
        <f t="shared" si="385"/>
        <v/>
      </c>
      <c r="P1283">
        <f t="shared" si="386"/>
        <v>0</v>
      </c>
      <c r="Q1283">
        <f t="shared" si="387"/>
        <v>0</v>
      </c>
      <c r="R1283">
        <f t="shared" si="388"/>
        <v>0</v>
      </c>
      <c r="S1283">
        <f t="shared" si="389"/>
        <v>0</v>
      </c>
      <c r="T1283" s="89">
        <f t="shared" si="390"/>
        <v>0</v>
      </c>
      <c r="U1283" s="126">
        <f>IF($D1283="",0,IFERROR(LOOKUP(2,1/(($D$3:D1282=$D1283)*($C$3:C1282=$C1283)*($A$3:A1282&lt;$A1283)),$AB$3:AB1282),1000))</f>
        <v>0</v>
      </c>
      <c r="V1283" s="126">
        <f t="shared" si="391"/>
        <v>0</v>
      </c>
      <c r="W1283">
        <f t="shared" si="392"/>
        <v>0</v>
      </c>
      <c r="X1283">
        <f t="shared" si="393"/>
        <v>0</v>
      </c>
      <c r="Y1283">
        <f t="shared" si="394"/>
        <v>0</v>
      </c>
      <c r="Z1283">
        <f t="shared" si="395"/>
        <v>0</v>
      </c>
      <c r="AA1283">
        <f>IF($D1283="",0,IF($F1283&lt;2,0,IF($E1283="Win",('Guide &amp; Settings'!$C$42/(($F1283-1)*COUNTIFS($A$4:$A$1510,$A1283,$E$4:$E$1510,"Win")))*SUMIFS($Z$4:$Z$1510,$A$4:$A$1510,$A1283,$E$4:$E$1510,"Loss"),-('Guide &amp; Settings'!$C$42/($F1283-1))*$Z1283)))</f>
        <v>0</v>
      </c>
      <c r="AB1283" s="126">
        <f t="shared" si="396"/>
        <v>0</v>
      </c>
      <c r="AC1283" t="str">
        <f>IF($D1283="","",IF($AD1283=0,0,IF(COUNTIFS($D$4:$D1283,$D1283,$B$4:$B1283,$B1283)&gt;1,0,IF($B1283&lt;'Guide &amp; Settings'!$C$50,0,IF(($B1283-$AD1283)/7-'Guide &amp; Settings'!$C$48&gt;=0,(INT(($B1283-$AD1283)/7-'Guide &amp; Settings'!$C$48)+1)*'Guide &amp; Settings'!$C$49,0)))))</f>
        <v/>
      </c>
      <c r="AD1283" s="142">
        <f t="shared" si="397"/>
        <v>0</v>
      </c>
      <c r="AE1283">
        <f t="shared" si="398"/>
        <v>0</v>
      </c>
      <c r="AF1283">
        <f t="shared" si="399"/>
        <v>0</v>
      </c>
    </row>
    <row r="1284" spans="1:32" x14ac:dyDescent="0.2">
      <c r="A1284" s="117"/>
      <c r="B1284" s="118"/>
      <c r="C1284" s="119"/>
      <c r="D1284" s="119"/>
      <c r="E1284" s="117"/>
      <c r="F1284" s="120">
        <f t="shared" ref="F1284:F1347" si="400">IF($D1284="",0,COUNTIF($A$4:$A$1510,$A1284))</f>
        <v>0</v>
      </c>
      <c r="G1284" s="121" t="str">
        <f t="shared" ref="G1284:G1347" si="401">IF($D1284="","",IFERROR(LOOKUP(2,1/(($A$4:$A$1510=$A1284)*($E$4:$E$1510="Win")),$D$4:$D$1510),"(no winner)"))</f>
        <v/>
      </c>
      <c r="H1284" s="122">
        <f>IF($D1284="",0,IFERROR(LOOKUP(2,1/(($D$3:D1283=$D1284)*($A$3:A1283&lt;$A1284)),$N$3:N1283),'Guide &amp; Settings'!$C$41))</f>
        <v>0</v>
      </c>
      <c r="I1284" s="123">
        <f t="shared" ref="I1284:I1347" si="402">IF($D1284="",0,IF($S1284=0,0,$R1284/$S1284))</f>
        <v>0</v>
      </c>
      <c r="J1284" s="124">
        <f>IF($D1284="",0,IF($F1284&lt;2,0,IF($E1284="Win",('Guide &amp; Settings'!$C$42/(($F1284-1)*COUNTIFS($A$4:$A$1510,$A1284,$E$4:$E$1510,"Win")))*SUMIFS($X$4:$X$1510,$A$4:$A$1510,$A1284,$E$4:$E$1510,"Loss"),-('Guide &amp; Settings'!$C$42/($F1284-1))*$X1284)))</f>
        <v>0</v>
      </c>
      <c r="K1284" s="124">
        <f>IF($D1284="",0,'Guide &amp; Settings'!$C$43*(IF($E1284="Win",1,0)-$I1284))</f>
        <v>0</v>
      </c>
      <c r="L1284" s="125">
        <f>IF($D1284="",0,'Guide &amp; Settings'!$C$44*IF($F1284&gt;=3,$F1284,0))</f>
        <v>0</v>
      </c>
      <c r="M1284" s="124">
        <f t="shared" ref="M1284:M1347" si="403">IF($D1284="",0,$J1284+$K1284+$L1284)</f>
        <v>0</v>
      </c>
      <c r="N1284" s="122">
        <f t="shared" ref="N1284:N1347" si="404">IF($D1284="",0,$H1284+$M1284)</f>
        <v>0</v>
      </c>
      <c r="O1284" s="121" t="str">
        <f t="shared" ref="O1284:O1347" si="405">IF($D1284="","",IF($AE1284=0,"need a winner",IF($F1284-$AE1284=0,"need a loser",IF(MOD($AF1284,2)=1,"duplicate player",IF(MOD(INT($AF1284/2),2)=1,"mixed sports",IF($AF1284&gt;=4,"mixed dates",IF($AE1284&gt;1,IF($F1284&gt;=4,"OK (team)","check winners"),"OK")))))))</f>
        <v/>
      </c>
      <c r="P1284">
        <f t="shared" ref="P1284:P1347" si="406">IF($D1284="",0,IFERROR(SUMIFS($H$4:$H$1510,$A$4:$A$1510,$A1284,$E$4:$E$1510,"Win")/COUNTIFS($A$4:$A$1510,$A1284,$E$4:$E$1510,"Win"),0))</f>
        <v>0</v>
      </c>
      <c r="Q1284">
        <f t="shared" ref="Q1284:Q1347" si="407">IF($D1284="",0,1/(1+10^(($P1284-$H1284)/400)))</f>
        <v>0</v>
      </c>
      <c r="R1284">
        <f t="shared" ref="R1284:R1347" si="408">IF($D1284="",0,(COUNTIFS($D$4:$D$1510,$D1284,$C$4:$C$1510,$C1284,$E$4:$E$1510,"Win",$A$4:$A$1510,"&lt;"&amp;$A1284)+1)/(COUNTIFS($D$4:$D$1510,$D1284,$C$4:$C$1510,$C1284,$A$4:$A$1510,"&lt;"&amp;$A1284)+2))</f>
        <v>0</v>
      </c>
      <c r="S1284">
        <f t="shared" ref="S1284:S1347" si="409">IF($D1284="",0,SUMIFS($R$4:$R$1510,$A$4:$A$1510,$A1284))</f>
        <v>0</v>
      </c>
      <c r="T1284" s="89">
        <f t="shared" ref="T1284:T1347" si="410">IF($D1284="",0,COUNTIFS($D$4:$D$1510,$D1284,$C$4:$C$1510,$C1284,$A$4:$A$1510,"&lt;"&amp;$A1284))</f>
        <v>0</v>
      </c>
      <c r="U1284" s="126">
        <f>IF($D1284="",0,IFERROR(LOOKUP(2,1/(($D$3:D1283=$D1284)*($C$3:C1283=$C1284)*($A$3:A1283&lt;$A1284)),$AB$3:AB1283),1000))</f>
        <v>0</v>
      </c>
      <c r="V1284" s="126">
        <f t="shared" ref="V1284:V1347" si="411">IF($D1284="",0,$U1284*($T1284/($T1284+5))+$H1284*(1-$T1284/($T1284+5)))</f>
        <v>0</v>
      </c>
      <c r="W1284">
        <f t="shared" ref="W1284:W1347" si="412">IF($D1284="",0,IFERROR(SUMIFS($V$4:$V$1510,$A$4:$A$1510,$A1284,$E$4:$E$1510,"Win")/COUNTIFS($A$4:$A$1510,$A1284,$E$4:$E$1510,"Win"),0))</f>
        <v>0</v>
      </c>
      <c r="X1284">
        <f t="shared" ref="X1284:X1347" si="413">IF($D1284="",0,1/(1+10^(($W1284-$V1284)/400)))</f>
        <v>0</v>
      </c>
      <c r="Y1284">
        <f t="shared" ref="Y1284:Y1347" si="414">IF($D1284="",0,IFERROR(SUMIFS($U$4:$U$1510,$A$4:$A$1510,$A1284,$E$4:$E$1510,"Win")/COUNTIFS($A$4:$A$1510,$A1284,$E$4:$E$1510,"Win"),0))</f>
        <v>0</v>
      </c>
      <c r="Z1284">
        <f t="shared" ref="Z1284:Z1347" si="415">IF($D1284="",0,1/(1+10^(($Y1284-$U1284)/400)))</f>
        <v>0</v>
      </c>
      <c r="AA1284">
        <f>IF($D1284="",0,IF($F1284&lt;2,0,IF($E1284="Win",('Guide &amp; Settings'!$C$42/(($F1284-1)*COUNTIFS($A$4:$A$1510,$A1284,$E$4:$E$1510,"Win")))*SUMIFS($Z$4:$Z$1510,$A$4:$A$1510,$A1284,$E$4:$E$1510,"Loss"),-('Guide &amp; Settings'!$C$42/($F1284-1))*$Z1284)))</f>
        <v>0</v>
      </c>
      <c r="AB1284" s="126">
        <f t="shared" ref="AB1284:AB1347" si="416">IF($D1284="",0,$U1284+$AA1284)</f>
        <v>0</v>
      </c>
      <c r="AC1284" t="str">
        <f>IF($D1284="","",IF($AD1284=0,0,IF(COUNTIFS($D$4:$D1284,$D1284,$B$4:$B1284,$B1284)&gt;1,0,IF($B1284&lt;'Guide &amp; Settings'!$C$50,0,IF(($B1284-$AD1284)/7-'Guide &amp; Settings'!$C$48&gt;=0,(INT(($B1284-$AD1284)/7-'Guide &amp; Settings'!$C$48)+1)*'Guide &amp; Settings'!$C$49,0)))))</f>
        <v/>
      </c>
      <c r="AD1284" s="142">
        <f t="shared" ref="AD1284:AD1347" si="417">IF($D1284="",0,SUMPRODUCT(MAX(($D$4:$D$1510=$D1284)*($B$4:$B$1510&lt;$B1284)*$B$4:$B$1510)))</f>
        <v>0</v>
      </c>
      <c r="AE1284">
        <f t="shared" ref="AE1284:AE1347" si="418">IF($D1284="",0,COUNTIFS($A$4:$A$1510,$A1284,$E$4:$E$1510,"Win"))</f>
        <v>0</v>
      </c>
      <c r="AF1284">
        <f t="shared" ref="AF1284:AF1347" si="419">IF($D1284="",0,(COUNTIFS($A$4:$A$1510,$A1284,$D$4:$D$1510,$D1284)&gt;1)*1+(COUNTIFS($A$4:$A$1510,$A1284,$C$4:$C$1510,"&lt;&gt;"&amp;$C1284)&gt;0)*2+(COUNTIFS($A$4:$A$1510,$A1284,$B$4:$B$1510,"&lt;&gt;"&amp;$B1284)&gt;0)*4)</f>
        <v>0</v>
      </c>
    </row>
    <row r="1285" spans="1:32" x14ac:dyDescent="0.2">
      <c r="A1285" s="117"/>
      <c r="B1285" s="118"/>
      <c r="C1285" s="119"/>
      <c r="D1285" s="119"/>
      <c r="E1285" s="117"/>
      <c r="F1285" s="120">
        <f t="shared" si="400"/>
        <v>0</v>
      </c>
      <c r="G1285" s="121" t="str">
        <f t="shared" si="401"/>
        <v/>
      </c>
      <c r="H1285" s="122">
        <f>IF($D1285="",0,IFERROR(LOOKUP(2,1/(($D$3:D1284=$D1285)*($A$3:A1284&lt;$A1285)),$N$3:N1284),'Guide &amp; Settings'!$C$41))</f>
        <v>0</v>
      </c>
      <c r="I1285" s="123">
        <f t="shared" si="402"/>
        <v>0</v>
      </c>
      <c r="J1285" s="124">
        <f>IF($D1285="",0,IF($F1285&lt;2,0,IF($E1285="Win",('Guide &amp; Settings'!$C$42/(($F1285-1)*COUNTIFS($A$4:$A$1510,$A1285,$E$4:$E$1510,"Win")))*SUMIFS($X$4:$X$1510,$A$4:$A$1510,$A1285,$E$4:$E$1510,"Loss"),-('Guide &amp; Settings'!$C$42/($F1285-1))*$X1285)))</f>
        <v>0</v>
      </c>
      <c r="K1285" s="124">
        <f>IF($D1285="",0,'Guide &amp; Settings'!$C$43*(IF($E1285="Win",1,0)-$I1285))</f>
        <v>0</v>
      </c>
      <c r="L1285" s="125">
        <f>IF($D1285="",0,'Guide &amp; Settings'!$C$44*IF($F1285&gt;=3,$F1285,0))</f>
        <v>0</v>
      </c>
      <c r="M1285" s="124">
        <f t="shared" si="403"/>
        <v>0</v>
      </c>
      <c r="N1285" s="122">
        <f t="shared" si="404"/>
        <v>0</v>
      </c>
      <c r="O1285" s="121" t="str">
        <f t="shared" si="405"/>
        <v/>
      </c>
      <c r="P1285">
        <f t="shared" si="406"/>
        <v>0</v>
      </c>
      <c r="Q1285">
        <f t="shared" si="407"/>
        <v>0</v>
      </c>
      <c r="R1285">
        <f t="shared" si="408"/>
        <v>0</v>
      </c>
      <c r="S1285">
        <f t="shared" si="409"/>
        <v>0</v>
      </c>
      <c r="T1285" s="89">
        <f t="shared" si="410"/>
        <v>0</v>
      </c>
      <c r="U1285" s="126">
        <f>IF($D1285="",0,IFERROR(LOOKUP(2,1/(($D$3:D1284=$D1285)*($C$3:C1284=$C1285)*($A$3:A1284&lt;$A1285)),$AB$3:AB1284),1000))</f>
        <v>0</v>
      </c>
      <c r="V1285" s="126">
        <f t="shared" si="411"/>
        <v>0</v>
      </c>
      <c r="W1285">
        <f t="shared" si="412"/>
        <v>0</v>
      </c>
      <c r="X1285">
        <f t="shared" si="413"/>
        <v>0</v>
      </c>
      <c r="Y1285">
        <f t="shared" si="414"/>
        <v>0</v>
      </c>
      <c r="Z1285">
        <f t="shared" si="415"/>
        <v>0</v>
      </c>
      <c r="AA1285">
        <f>IF($D1285="",0,IF($F1285&lt;2,0,IF($E1285="Win",('Guide &amp; Settings'!$C$42/(($F1285-1)*COUNTIFS($A$4:$A$1510,$A1285,$E$4:$E$1510,"Win")))*SUMIFS($Z$4:$Z$1510,$A$4:$A$1510,$A1285,$E$4:$E$1510,"Loss"),-('Guide &amp; Settings'!$C$42/($F1285-1))*$Z1285)))</f>
        <v>0</v>
      </c>
      <c r="AB1285" s="126">
        <f t="shared" si="416"/>
        <v>0</v>
      </c>
      <c r="AC1285" t="str">
        <f>IF($D1285="","",IF($AD1285=0,0,IF(COUNTIFS($D$4:$D1285,$D1285,$B$4:$B1285,$B1285)&gt;1,0,IF($B1285&lt;'Guide &amp; Settings'!$C$50,0,IF(($B1285-$AD1285)/7-'Guide &amp; Settings'!$C$48&gt;=0,(INT(($B1285-$AD1285)/7-'Guide &amp; Settings'!$C$48)+1)*'Guide &amp; Settings'!$C$49,0)))))</f>
        <v/>
      </c>
      <c r="AD1285" s="142">
        <f t="shared" si="417"/>
        <v>0</v>
      </c>
      <c r="AE1285">
        <f t="shared" si="418"/>
        <v>0</v>
      </c>
      <c r="AF1285">
        <f t="shared" si="419"/>
        <v>0</v>
      </c>
    </row>
    <row r="1286" spans="1:32" x14ac:dyDescent="0.2">
      <c r="A1286" s="117"/>
      <c r="B1286" s="118"/>
      <c r="C1286" s="119"/>
      <c r="D1286" s="119"/>
      <c r="E1286" s="117"/>
      <c r="F1286" s="120">
        <f t="shared" si="400"/>
        <v>0</v>
      </c>
      <c r="G1286" s="121" t="str">
        <f t="shared" si="401"/>
        <v/>
      </c>
      <c r="H1286" s="122">
        <f>IF($D1286="",0,IFERROR(LOOKUP(2,1/(($D$3:D1285=$D1286)*($A$3:A1285&lt;$A1286)),$N$3:N1285),'Guide &amp; Settings'!$C$41))</f>
        <v>0</v>
      </c>
      <c r="I1286" s="123">
        <f t="shared" si="402"/>
        <v>0</v>
      </c>
      <c r="J1286" s="124">
        <f>IF($D1286="",0,IF($F1286&lt;2,0,IF($E1286="Win",('Guide &amp; Settings'!$C$42/(($F1286-1)*COUNTIFS($A$4:$A$1510,$A1286,$E$4:$E$1510,"Win")))*SUMIFS($X$4:$X$1510,$A$4:$A$1510,$A1286,$E$4:$E$1510,"Loss"),-('Guide &amp; Settings'!$C$42/($F1286-1))*$X1286)))</f>
        <v>0</v>
      </c>
      <c r="K1286" s="124">
        <f>IF($D1286="",0,'Guide &amp; Settings'!$C$43*(IF($E1286="Win",1,0)-$I1286))</f>
        <v>0</v>
      </c>
      <c r="L1286" s="125">
        <f>IF($D1286="",0,'Guide &amp; Settings'!$C$44*IF($F1286&gt;=3,$F1286,0))</f>
        <v>0</v>
      </c>
      <c r="M1286" s="124">
        <f t="shared" si="403"/>
        <v>0</v>
      </c>
      <c r="N1286" s="122">
        <f t="shared" si="404"/>
        <v>0</v>
      </c>
      <c r="O1286" s="121" t="str">
        <f t="shared" si="405"/>
        <v/>
      </c>
      <c r="P1286">
        <f t="shared" si="406"/>
        <v>0</v>
      </c>
      <c r="Q1286">
        <f t="shared" si="407"/>
        <v>0</v>
      </c>
      <c r="R1286">
        <f t="shared" si="408"/>
        <v>0</v>
      </c>
      <c r="S1286">
        <f t="shared" si="409"/>
        <v>0</v>
      </c>
      <c r="T1286" s="89">
        <f t="shared" si="410"/>
        <v>0</v>
      </c>
      <c r="U1286" s="126">
        <f>IF($D1286="",0,IFERROR(LOOKUP(2,1/(($D$3:D1285=$D1286)*($C$3:C1285=$C1286)*($A$3:A1285&lt;$A1286)),$AB$3:AB1285),1000))</f>
        <v>0</v>
      </c>
      <c r="V1286" s="126">
        <f t="shared" si="411"/>
        <v>0</v>
      </c>
      <c r="W1286">
        <f t="shared" si="412"/>
        <v>0</v>
      </c>
      <c r="X1286">
        <f t="shared" si="413"/>
        <v>0</v>
      </c>
      <c r="Y1286">
        <f t="shared" si="414"/>
        <v>0</v>
      </c>
      <c r="Z1286">
        <f t="shared" si="415"/>
        <v>0</v>
      </c>
      <c r="AA1286">
        <f>IF($D1286="",0,IF($F1286&lt;2,0,IF($E1286="Win",('Guide &amp; Settings'!$C$42/(($F1286-1)*COUNTIFS($A$4:$A$1510,$A1286,$E$4:$E$1510,"Win")))*SUMIFS($Z$4:$Z$1510,$A$4:$A$1510,$A1286,$E$4:$E$1510,"Loss"),-('Guide &amp; Settings'!$C$42/($F1286-1))*$Z1286)))</f>
        <v>0</v>
      </c>
      <c r="AB1286" s="126">
        <f t="shared" si="416"/>
        <v>0</v>
      </c>
      <c r="AC1286" t="str">
        <f>IF($D1286="","",IF($AD1286=0,0,IF(COUNTIFS($D$4:$D1286,$D1286,$B$4:$B1286,$B1286)&gt;1,0,IF($B1286&lt;'Guide &amp; Settings'!$C$50,0,IF(($B1286-$AD1286)/7-'Guide &amp; Settings'!$C$48&gt;=0,(INT(($B1286-$AD1286)/7-'Guide &amp; Settings'!$C$48)+1)*'Guide &amp; Settings'!$C$49,0)))))</f>
        <v/>
      </c>
      <c r="AD1286" s="142">
        <f t="shared" si="417"/>
        <v>0</v>
      </c>
      <c r="AE1286">
        <f t="shared" si="418"/>
        <v>0</v>
      </c>
      <c r="AF1286">
        <f t="shared" si="419"/>
        <v>0</v>
      </c>
    </row>
    <row r="1287" spans="1:32" x14ac:dyDescent="0.2">
      <c r="A1287" s="117"/>
      <c r="B1287" s="118"/>
      <c r="C1287" s="119"/>
      <c r="D1287" s="119"/>
      <c r="E1287" s="117"/>
      <c r="F1287" s="120">
        <f t="shared" si="400"/>
        <v>0</v>
      </c>
      <c r="G1287" s="121" t="str">
        <f t="shared" si="401"/>
        <v/>
      </c>
      <c r="H1287" s="122">
        <f>IF($D1287="",0,IFERROR(LOOKUP(2,1/(($D$3:D1286=$D1287)*($A$3:A1286&lt;$A1287)),$N$3:N1286),'Guide &amp; Settings'!$C$41))</f>
        <v>0</v>
      </c>
      <c r="I1287" s="123">
        <f t="shared" si="402"/>
        <v>0</v>
      </c>
      <c r="J1287" s="124">
        <f>IF($D1287="",0,IF($F1287&lt;2,0,IF($E1287="Win",('Guide &amp; Settings'!$C$42/(($F1287-1)*COUNTIFS($A$4:$A$1510,$A1287,$E$4:$E$1510,"Win")))*SUMIFS($X$4:$X$1510,$A$4:$A$1510,$A1287,$E$4:$E$1510,"Loss"),-('Guide &amp; Settings'!$C$42/($F1287-1))*$X1287)))</f>
        <v>0</v>
      </c>
      <c r="K1287" s="124">
        <f>IF($D1287="",0,'Guide &amp; Settings'!$C$43*(IF($E1287="Win",1,0)-$I1287))</f>
        <v>0</v>
      </c>
      <c r="L1287" s="125">
        <f>IF($D1287="",0,'Guide &amp; Settings'!$C$44*IF($F1287&gt;=3,$F1287,0))</f>
        <v>0</v>
      </c>
      <c r="M1287" s="124">
        <f t="shared" si="403"/>
        <v>0</v>
      </c>
      <c r="N1287" s="122">
        <f t="shared" si="404"/>
        <v>0</v>
      </c>
      <c r="O1287" s="121" t="str">
        <f t="shared" si="405"/>
        <v/>
      </c>
      <c r="P1287">
        <f t="shared" si="406"/>
        <v>0</v>
      </c>
      <c r="Q1287">
        <f t="shared" si="407"/>
        <v>0</v>
      </c>
      <c r="R1287">
        <f t="shared" si="408"/>
        <v>0</v>
      </c>
      <c r="S1287">
        <f t="shared" si="409"/>
        <v>0</v>
      </c>
      <c r="T1287" s="89">
        <f t="shared" si="410"/>
        <v>0</v>
      </c>
      <c r="U1287" s="126">
        <f>IF($D1287="",0,IFERROR(LOOKUP(2,1/(($D$3:D1286=$D1287)*($C$3:C1286=$C1287)*($A$3:A1286&lt;$A1287)),$AB$3:AB1286),1000))</f>
        <v>0</v>
      </c>
      <c r="V1287" s="126">
        <f t="shared" si="411"/>
        <v>0</v>
      </c>
      <c r="W1287">
        <f t="shared" si="412"/>
        <v>0</v>
      </c>
      <c r="X1287">
        <f t="shared" si="413"/>
        <v>0</v>
      </c>
      <c r="Y1287">
        <f t="shared" si="414"/>
        <v>0</v>
      </c>
      <c r="Z1287">
        <f t="shared" si="415"/>
        <v>0</v>
      </c>
      <c r="AA1287">
        <f>IF($D1287="",0,IF($F1287&lt;2,0,IF($E1287="Win",('Guide &amp; Settings'!$C$42/(($F1287-1)*COUNTIFS($A$4:$A$1510,$A1287,$E$4:$E$1510,"Win")))*SUMIFS($Z$4:$Z$1510,$A$4:$A$1510,$A1287,$E$4:$E$1510,"Loss"),-('Guide &amp; Settings'!$C$42/($F1287-1))*$Z1287)))</f>
        <v>0</v>
      </c>
      <c r="AB1287" s="126">
        <f t="shared" si="416"/>
        <v>0</v>
      </c>
      <c r="AC1287" t="str">
        <f>IF($D1287="","",IF($AD1287=0,0,IF(COUNTIFS($D$4:$D1287,$D1287,$B$4:$B1287,$B1287)&gt;1,0,IF($B1287&lt;'Guide &amp; Settings'!$C$50,0,IF(($B1287-$AD1287)/7-'Guide &amp; Settings'!$C$48&gt;=0,(INT(($B1287-$AD1287)/7-'Guide &amp; Settings'!$C$48)+1)*'Guide &amp; Settings'!$C$49,0)))))</f>
        <v/>
      </c>
      <c r="AD1287" s="142">
        <f t="shared" si="417"/>
        <v>0</v>
      </c>
      <c r="AE1287">
        <f t="shared" si="418"/>
        <v>0</v>
      </c>
      <c r="AF1287">
        <f t="shared" si="419"/>
        <v>0</v>
      </c>
    </row>
    <row r="1288" spans="1:32" x14ac:dyDescent="0.2">
      <c r="A1288" s="117"/>
      <c r="B1288" s="118"/>
      <c r="C1288" s="119"/>
      <c r="D1288" s="119"/>
      <c r="E1288" s="117"/>
      <c r="F1288" s="120">
        <f t="shared" si="400"/>
        <v>0</v>
      </c>
      <c r="G1288" s="121" t="str">
        <f t="shared" si="401"/>
        <v/>
      </c>
      <c r="H1288" s="122">
        <f>IF($D1288="",0,IFERROR(LOOKUP(2,1/(($D$3:D1287=$D1288)*($A$3:A1287&lt;$A1288)),$N$3:N1287),'Guide &amp; Settings'!$C$41))</f>
        <v>0</v>
      </c>
      <c r="I1288" s="123">
        <f t="shared" si="402"/>
        <v>0</v>
      </c>
      <c r="J1288" s="124">
        <f>IF($D1288="",0,IF($F1288&lt;2,0,IF($E1288="Win",('Guide &amp; Settings'!$C$42/(($F1288-1)*COUNTIFS($A$4:$A$1510,$A1288,$E$4:$E$1510,"Win")))*SUMIFS($X$4:$X$1510,$A$4:$A$1510,$A1288,$E$4:$E$1510,"Loss"),-('Guide &amp; Settings'!$C$42/($F1288-1))*$X1288)))</f>
        <v>0</v>
      </c>
      <c r="K1288" s="124">
        <f>IF($D1288="",0,'Guide &amp; Settings'!$C$43*(IF($E1288="Win",1,0)-$I1288))</f>
        <v>0</v>
      </c>
      <c r="L1288" s="125">
        <f>IF($D1288="",0,'Guide &amp; Settings'!$C$44*IF($F1288&gt;=3,$F1288,0))</f>
        <v>0</v>
      </c>
      <c r="M1288" s="124">
        <f t="shared" si="403"/>
        <v>0</v>
      </c>
      <c r="N1288" s="122">
        <f t="shared" si="404"/>
        <v>0</v>
      </c>
      <c r="O1288" s="121" t="str">
        <f t="shared" si="405"/>
        <v/>
      </c>
      <c r="P1288">
        <f t="shared" si="406"/>
        <v>0</v>
      </c>
      <c r="Q1288">
        <f t="shared" si="407"/>
        <v>0</v>
      </c>
      <c r="R1288">
        <f t="shared" si="408"/>
        <v>0</v>
      </c>
      <c r="S1288">
        <f t="shared" si="409"/>
        <v>0</v>
      </c>
      <c r="T1288" s="89">
        <f t="shared" si="410"/>
        <v>0</v>
      </c>
      <c r="U1288" s="126">
        <f>IF($D1288="",0,IFERROR(LOOKUP(2,1/(($D$3:D1287=$D1288)*($C$3:C1287=$C1288)*($A$3:A1287&lt;$A1288)),$AB$3:AB1287),1000))</f>
        <v>0</v>
      </c>
      <c r="V1288" s="126">
        <f t="shared" si="411"/>
        <v>0</v>
      </c>
      <c r="W1288">
        <f t="shared" si="412"/>
        <v>0</v>
      </c>
      <c r="X1288">
        <f t="shared" si="413"/>
        <v>0</v>
      </c>
      <c r="Y1288">
        <f t="shared" si="414"/>
        <v>0</v>
      </c>
      <c r="Z1288">
        <f t="shared" si="415"/>
        <v>0</v>
      </c>
      <c r="AA1288">
        <f>IF($D1288="",0,IF($F1288&lt;2,0,IF($E1288="Win",('Guide &amp; Settings'!$C$42/(($F1288-1)*COUNTIFS($A$4:$A$1510,$A1288,$E$4:$E$1510,"Win")))*SUMIFS($Z$4:$Z$1510,$A$4:$A$1510,$A1288,$E$4:$E$1510,"Loss"),-('Guide &amp; Settings'!$C$42/($F1288-1))*$Z1288)))</f>
        <v>0</v>
      </c>
      <c r="AB1288" s="126">
        <f t="shared" si="416"/>
        <v>0</v>
      </c>
      <c r="AC1288" t="str">
        <f>IF($D1288="","",IF($AD1288=0,0,IF(COUNTIFS($D$4:$D1288,$D1288,$B$4:$B1288,$B1288)&gt;1,0,IF($B1288&lt;'Guide &amp; Settings'!$C$50,0,IF(($B1288-$AD1288)/7-'Guide &amp; Settings'!$C$48&gt;=0,(INT(($B1288-$AD1288)/7-'Guide &amp; Settings'!$C$48)+1)*'Guide &amp; Settings'!$C$49,0)))))</f>
        <v/>
      </c>
      <c r="AD1288" s="142">
        <f t="shared" si="417"/>
        <v>0</v>
      </c>
      <c r="AE1288">
        <f t="shared" si="418"/>
        <v>0</v>
      </c>
      <c r="AF1288">
        <f t="shared" si="419"/>
        <v>0</v>
      </c>
    </row>
    <row r="1289" spans="1:32" x14ac:dyDescent="0.2">
      <c r="A1289" s="117"/>
      <c r="B1289" s="118"/>
      <c r="C1289" s="119"/>
      <c r="D1289" s="119"/>
      <c r="E1289" s="117"/>
      <c r="F1289" s="120">
        <f t="shared" si="400"/>
        <v>0</v>
      </c>
      <c r="G1289" s="121" t="str">
        <f t="shared" si="401"/>
        <v/>
      </c>
      <c r="H1289" s="122">
        <f>IF($D1289="",0,IFERROR(LOOKUP(2,1/(($D$3:D1288=$D1289)*($A$3:A1288&lt;$A1289)),$N$3:N1288),'Guide &amp; Settings'!$C$41))</f>
        <v>0</v>
      </c>
      <c r="I1289" s="123">
        <f t="shared" si="402"/>
        <v>0</v>
      </c>
      <c r="J1289" s="124">
        <f>IF($D1289="",0,IF($F1289&lt;2,0,IF($E1289="Win",('Guide &amp; Settings'!$C$42/(($F1289-1)*COUNTIFS($A$4:$A$1510,$A1289,$E$4:$E$1510,"Win")))*SUMIFS($X$4:$X$1510,$A$4:$A$1510,$A1289,$E$4:$E$1510,"Loss"),-('Guide &amp; Settings'!$C$42/($F1289-1))*$X1289)))</f>
        <v>0</v>
      </c>
      <c r="K1289" s="124">
        <f>IF($D1289="",0,'Guide &amp; Settings'!$C$43*(IF($E1289="Win",1,0)-$I1289))</f>
        <v>0</v>
      </c>
      <c r="L1289" s="125">
        <f>IF($D1289="",0,'Guide &amp; Settings'!$C$44*IF($F1289&gt;=3,$F1289,0))</f>
        <v>0</v>
      </c>
      <c r="M1289" s="124">
        <f t="shared" si="403"/>
        <v>0</v>
      </c>
      <c r="N1289" s="122">
        <f t="shared" si="404"/>
        <v>0</v>
      </c>
      <c r="O1289" s="121" t="str">
        <f t="shared" si="405"/>
        <v/>
      </c>
      <c r="P1289">
        <f t="shared" si="406"/>
        <v>0</v>
      </c>
      <c r="Q1289">
        <f t="shared" si="407"/>
        <v>0</v>
      </c>
      <c r="R1289">
        <f t="shared" si="408"/>
        <v>0</v>
      </c>
      <c r="S1289">
        <f t="shared" si="409"/>
        <v>0</v>
      </c>
      <c r="T1289" s="89">
        <f t="shared" si="410"/>
        <v>0</v>
      </c>
      <c r="U1289" s="126">
        <f>IF($D1289="",0,IFERROR(LOOKUP(2,1/(($D$3:D1288=$D1289)*($C$3:C1288=$C1289)*($A$3:A1288&lt;$A1289)),$AB$3:AB1288),1000))</f>
        <v>0</v>
      </c>
      <c r="V1289" s="126">
        <f t="shared" si="411"/>
        <v>0</v>
      </c>
      <c r="W1289">
        <f t="shared" si="412"/>
        <v>0</v>
      </c>
      <c r="X1289">
        <f t="shared" si="413"/>
        <v>0</v>
      </c>
      <c r="Y1289">
        <f t="shared" si="414"/>
        <v>0</v>
      </c>
      <c r="Z1289">
        <f t="shared" si="415"/>
        <v>0</v>
      </c>
      <c r="AA1289">
        <f>IF($D1289="",0,IF($F1289&lt;2,0,IF($E1289="Win",('Guide &amp; Settings'!$C$42/(($F1289-1)*COUNTIFS($A$4:$A$1510,$A1289,$E$4:$E$1510,"Win")))*SUMIFS($Z$4:$Z$1510,$A$4:$A$1510,$A1289,$E$4:$E$1510,"Loss"),-('Guide &amp; Settings'!$C$42/($F1289-1))*$Z1289)))</f>
        <v>0</v>
      </c>
      <c r="AB1289" s="126">
        <f t="shared" si="416"/>
        <v>0</v>
      </c>
      <c r="AC1289" t="str">
        <f>IF($D1289="","",IF($AD1289=0,0,IF(COUNTIFS($D$4:$D1289,$D1289,$B$4:$B1289,$B1289)&gt;1,0,IF($B1289&lt;'Guide &amp; Settings'!$C$50,0,IF(($B1289-$AD1289)/7-'Guide &amp; Settings'!$C$48&gt;=0,(INT(($B1289-$AD1289)/7-'Guide &amp; Settings'!$C$48)+1)*'Guide &amp; Settings'!$C$49,0)))))</f>
        <v/>
      </c>
      <c r="AD1289" s="142">
        <f t="shared" si="417"/>
        <v>0</v>
      </c>
      <c r="AE1289">
        <f t="shared" si="418"/>
        <v>0</v>
      </c>
      <c r="AF1289">
        <f t="shared" si="419"/>
        <v>0</v>
      </c>
    </row>
    <row r="1290" spans="1:32" x14ac:dyDescent="0.2">
      <c r="A1290" s="117"/>
      <c r="B1290" s="118"/>
      <c r="C1290" s="119"/>
      <c r="D1290" s="119"/>
      <c r="E1290" s="117"/>
      <c r="F1290" s="120">
        <f t="shared" si="400"/>
        <v>0</v>
      </c>
      <c r="G1290" s="121" t="str">
        <f t="shared" si="401"/>
        <v/>
      </c>
      <c r="H1290" s="122">
        <f>IF($D1290="",0,IFERROR(LOOKUP(2,1/(($D$3:D1289=$D1290)*($A$3:A1289&lt;$A1290)),$N$3:N1289),'Guide &amp; Settings'!$C$41))</f>
        <v>0</v>
      </c>
      <c r="I1290" s="123">
        <f t="shared" si="402"/>
        <v>0</v>
      </c>
      <c r="J1290" s="124">
        <f>IF($D1290="",0,IF($F1290&lt;2,0,IF($E1290="Win",('Guide &amp; Settings'!$C$42/(($F1290-1)*COUNTIFS($A$4:$A$1510,$A1290,$E$4:$E$1510,"Win")))*SUMIFS($X$4:$X$1510,$A$4:$A$1510,$A1290,$E$4:$E$1510,"Loss"),-('Guide &amp; Settings'!$C$42/($F1290-1))*$X1290)))</f>
        <v>0</v>
      </c>
      <c r="K1290" s="124">
        <f>IF($D1290="",0,'Guide &amp; Settings'!$C$43*(IF($E1290="Win",1,0)-$I1290))</f>
        <v>0</v>
      </c>
      <c r="L1290" s="125">
        <f>IF($D1290="",0,'Guide &amp; Settings'!$C$44*IF($F1290&gt;=3,$F1290,0))</f>
        <v>0</v>
      </c>
      <c r="M1290" s="124">
        <f t="shared" si="403"/>
        <v>0</v>
      </c>
      <c r="N1290" s="122">
        <f t="shared" si="404"/>
        <v>0</v>
      </c>
      <c r="O1290" s="121" t="str">
        <f t="shared" si="405"/>
        <v/>
      </c>
      <c r="P1290">
        <f t="shared" si="406"/>
        <v>0</v>
      </c>
      <c r="Q1290">
        <f t="shared" si="407"/>
        <v>0</v>
      </c>
      <c r="R1290">
        <f t="shared" si="408"/>
        <v>0</v>
      </c>
      <c r="S1290">
        <f t="shared" si="409"/>
        <v>0</v>
      </c>
      <c r="T1290" s="89">
        <f t="shared" si="410"/>
        <v>0</v>
      </c>
      <c r="U1290" s="126">
        <f>IF($D1290="",0,IFERROR(LOOKUP(2,1/(($D$3:D1289=$D1290)*($C$3:C1289=$C1290)*($A$3:A1289&lt;$A1290)),$AB$3:AB1289),1000))</f>
        <v>0</v>
      </c>
      <c r="V1290" s="126">
        <f t="shared" si="411"/>
        <v>0</v>
      </c>
      <c r="W1290">
        <f t="shared" si="412"/>
        <v>0</v>
      </c>
      <c r="X1290">
        <f t="shared" si="413"/>
        <v>0</v>
      </c>
      <c r="Y1290">
        <f t="shared" si="414"/>
        <v>0</v>
      </c>
      <c r="Z1290">
        <f t="shared" si="415"/>
        <v>0</v>
      </c>
      <c r="AA1290">
        <f>IF($D1290="",0,IF($F1290&lt;2,0,IF($E1290="Win",('Guide &amp; Settings'!$C$42/(($F1290-1)*COUNTIFS($A$4:$A$1510,$A1290,$E$4:$E$1510,"Win")))*SUMIFS($Z$4:$Z$1510,$A$4:$A$1510,$A1290,$E$4:$E$1510,"Loss"),-('Guide &amp; Settings'!$C$42/($F1290-1))*$Z1290)))</f>
        <v>0</v>
      </c>
      <c r="AB1290" s="126">
        <f t="shared" si="416"/>
        <v>0</v>
      </c>
      <c r="AC1290" t="str">
        <f>IF($D1290="","",IF($AD1290=0,0,IF(COUNTIFS($D$4:$D1290,$D1290,$B$4:$B1290,$B1290)&gt;1,0,IF($B1290&lt;'Guide &amp; Settings'!$C$50,0,IF(($B1290-$AD1290)/7-'Guide &amp; Settings'!$C$48&gt;=0,(INT(($B1290-$AD1290)/7-'Guide &amp; Settings'!$C$48)+1)*'Guide &amp; Settings'!$C$49,0)))))</f>
        <v/>
      </c>
      <c r="AD1290" s="142">
        <f t="shared" si="417"/>
        <v>0</v>
      </c>
      <c r="AE1290">
        <f t="shared" si="418"/>
        <v>0</v>
      </c>
      <c r="AF1290">
        <f t="shared" si="419"/>
        <v>0</v>
      </c>
    </row>
    <row r="1291" spans="1:32" x14ac:dyDescent="0.2">
      <c r="A1291" s="117"/>
      <c r="B1291" s="118"/>
      <c r="C1291" s="119"/>
      <c r="D1291" s="119"/>
      <c r="E1291" s="117"/>
      <c r="F1291" s="120">
        <f t="shared" si="400"/>
        <v>0</v>
      </c>
      <c r="G1291" s="121" t="str">
        <f t="shared" si="401"/>
        <v/>
      </c>
      <c r="H1291" s="122">
        <f>IF($D1291="",0,IFERROR(LOOKUP(2,1/(($D$3:D1290=$D1291)*($A$3:A1290&lt;$A1291)),$N$3:N1290),'Guide &amp; Settings'!$C$41))</f>
        <v>0</v>
      </c>
      <c r="I1291" s="123">
        <f t="shared" si="402"/>
        <v>0</v>
      </c>
      <c r="J1291" s="124">
        <f>IF($D1291="",0,IF($F1291&lt;2,0,IF($E1291="Win",('Guide &amp; Settings'!$C$42/(($F1291-1)*COUNTIFS($A$4:$A$1510,$A1291,$E$4:$E$1510,"Win")))*SUMIFS($X$4:$X$1510,$A$4:$A$1510,$A1291,$E$4:$E$1510,"Loss"),-('Guide &amp; Settings'!$C$42/($F1291-1))*$X1291)))</f>
        <v>0</v>
      </c>
      <c r="K1291" s="124">
        <f>IF($D1291="",0,'Guide &amp; Settings'!$C$43*(IF($E1291="Win",1,0)-$I1291))</f>
        <v>0</v>
      </c>
      <c r="L1291" s="125">
        <f>IF($D1291="",0,'Guide &amp; Settings'!$C$44*IF($F1291&gt;=3,$F1291,0))</f>
        <v>0</v>
      </c>
      <c r="M1291" s="124">
        <f t="shared" si="403"/>
        <v>0</v>
      </c>
      <c r="N1291" s="122">
        <f t="shared" si="404"/>
        <v>0</v>
      </c>
      <c r="O1291" s="121" t="str">
        <f t="shared" si="405"/>
        <v/>
      </c>
      <c r="P1291">
        <f t="shared" si="406"/>
        <v>0</v>
      </c>
      <c r="Q1291">
        <f t="shared" si="407"/>
        <v>0</v>
      </c>
      <c r="R1291">
        <f t="shared" si="408"/>
        <v>0</v>
      </c>
      <c r="S1291">
        <f t="shared" si="409"/>
        <v>0</v>
      </c>
      <c r="T1291" s="89">
        <f t="shared" si="410"/>
        <v>0</v>
      </c>
      <c r="U1291" s="126">
        <f>IF($D1291="",0,IFERROR(LOOKUP(2,1/(($D$3:D1290=$D1291)*($C$3:C1290=$C1291)*($A$3:A1290&lt;$A1291)),$AB$3:AB1290),1000))</f>
        <v>0</v>
      </c>
      <c r="V1291" s="126">
        <f t="shared" si="411"/>
        <v>0</v>
      </c>
      <c r="W1291">
        <f t="shared" si="412"/>
        <v>0</v>
      </c>
      <c r="X1291">
        <f t="shared" si="413"/>
        <v>0</v>
      </c>
      <c r="Y1291">
        <f t="shared" si="414"/>
        <v>0</v>
      </c>
      <c r="Z1291">
        <f t="shared" si="415"/>
        <v>0</v>
      </c>
      <c r="AA1291">
        <f>IF($D1291="",0,IF($F1291&lt;2,0,IF($E1291="Win",('Guide &amp; Settings'!$C$42/(($F1291-1)*COUNTIFS($A$4:$A$1510,$A1291,$E$4:$E$1510,"Win")))*SUMIFS($Z$4:$Z$1510,$A$4:$A$1510,$A1291,$E$4:$E$1510,"Loss"),-('Guide &amp; Settings'!$C$42/($F1291-1))*$Z1291)))</f>
        <v>0</v>
      </c>
      <c r="AB1291" s="126">
        <f t="shared" si="416"/>
        <v>0</v>
      </c>
      <c r="AC1291" t="str">
        <f>IF($D1291="","",IF($AD1291=0,0,IF(COUNTIFS($D$4:$D1291,$D1291,$B$4:$B1291,$B1291)&gt;1,0,IF($B1291&lt;'Guide &amp; Settings'!$C$50,0,IF(($B1291-$AD1291)/7-'Guide &amp; Settings'!$C$48&gt;=0,(INT(($B1291-$AD1291)/7-'Guide &amp; Settings'!$C$48)+1)*'Guide &amp; Settings'!$C$49,0)))))</f>
        <v/>
      </c>
      <c r="AD1291" s="142">
        <f t="shared" si="417"/>
        <v>0</v>
      </c>
      <c r="AE1291">
        <f t="shared" si="418"/>
        <v>0</v>
      </c>
      <c r="AF1291">
        <f t="shared" si="419"/>
        <v>0</v>
      </c>
    </row>
    <row r="1292" spans="1:32" x14ac:dyDescent="0.2">
      <c r="A1292" s="117"/>
      <c r="B1292" s="118"/>
      <c r="C1292" s="119"/>
      <c r="D1292" s="119"/>
      <c r="E1292" s="117"/>
      <c r="F1292" s="120">
        <f t="shared" si="400"/>
        <v>0</v>
      </c>
      <c r="G1292" s="121" t="str">
        <f t="shared" si="401"/>
        <v/>
      </c>
      <c r="H1292" s="122">
        <f>IF($D1292="",0,IFERROR(LOOKUP(2,1/(($D$3:D1291=$D1292)*($A$3:A1291&lt;$A1292)),$N$3:N1291),'Guide &amp; Settings'!$C$41))</f>
        <v>0</v>
      </c>
      <c r="I1292" s="123">
        <f t="shared" si="402"/>
        <v>0</v>
      </c>
      <c r="J1292" s="124">
        <f>IF($D1292="",0,IF($F1292&lt;2,0,IF($E1292="Win",('Guide &amp; Settings'!$C$42/(($F1292-1)*COUNTIFS($A$4:$A$1510,$A1292,$E$4:$E$1510,"Win")))*SUMIFS($X$4:$X$1510,$A$4:$A$1510,$A1292,$E$4:$E$1510,"Loss"),-('Guide &amp; Settings'!$C$42/($F1292-1))*$X1292)))</f>
        <v>0</v>
      </c>
      <c r="K1292" s="124">
        <f>IF($D1292="",0,'Guide &amp; Settings'!$C$43*(IF($E1292="Win",1,0)-$I1292))</f>
        <v>0</v>
      </c>
      <c r="L1292" s="125">
        <f>IF($D1292="",0,'Guide &amp; Settings'!$C$44*IF($F1292&gt;=3,$F1292,0))</f>
        <v>0</v>
      </c>
      <c r="M1292" s="124">
        <f t="shared" si="403"/>
        <v>0</v>
      </c>
      <c r="N1292" s="122">
        <f t="shared" si="404"/>
        <v>0</v>
      </c>
      <c r="O1292" s="121" t="str">
        <f t="shared" si="405"/>
        <v/>
      </c>
      <c r="P1292">
        <f t="shared" si="406"/>
        <v>0</v>
      </c>
      <c r="Q1292">
        <f t="shared" si="407"/>
        <v>0</v>
      </c>
      <c r="R1292">
        <f t="shared" si="408"/>
        <v>0</v>
      </c>
      <c r="S1292">
        <f t="shared" si="409"/>
        <v>0</v>
      </c>
      <c r="T1292" s="89">
        <f t="shared" si="410"/>
        <v>0</v>
      </c>
      <c r="U1292" s="126">
        <f>IF($D1292="",0,IFERROR(LOOKUP(2,1/(($D$3:D1291=$D1292)*($C$3:C1291=$C1292)*($A$3:A1291&lt;$A1292)),$AB$3:AB1291),1000))</f>
        <v>0</v>
      </c>
      <c r="V1292" s="126">
        <f t="shared" si="411"/>
        <v>0</v>
      </c>
      <c r="W1292">
        <f t="shared" si="412"/>
        <v>0</v>
      </c>
      <c r="X1292">
        <f t="shared" si="413"/>
        <v>0</v>
      </c>
      <c r="Y1292">
        <f t="shared" si="414"/>
        <v>0</v>
      </c>
      <c r="Z1292">
        <f t="shared" si="415"/>
        <v>0</v>
      </c>
      <c r="AA1292">
        <f>IF($D1292="",0,IF($F1292&lt;2,0,IF($E1292="Win",('Guide &amp; Settings'!$C$42/(($F1292-1)*COUNTIFS($A$4:$A$1510,$A1292,$E$4:$E$1510,"Win")))*SUMIFS($Z$4:$Z$1510,$A$4:$A$1510,$A1292,$E$4:$E$1510,"Loss"),-('Guide &amp; Settings'!$C$42/($F1292-1))*$Z1292)))</f>
        <v>0</v>
      </c>
      <c r="AB1292" s="126">
        <f t="shared" si="416"/>
        <v>0</v>
      </c>
      <c r="AC1292" t="str">
        <f>IF($D1292="","",IF($AD1292=0,0,IF(COUNTIFS($D$4:$D1292,$D1292,$B$4:$B1292,$B1292)&gt;1,0,IF($B1292&lt;'Guide &amp; Settings'!$C$50,0,IF(($B1292-$AD1292)/7-'Guide &amp; Settings'!$C$48&gt;=0,(INT(($B1292-$AD1292)/7-'Guide &amp; Settings'!$C$48)+1)*'Guide &amp; Settings'!$C$49,0)))))</f>
        <v/>
      </c>
      <c r="AD1292" s="142">
        <f t="shared" si="417"/>
        <v>0</v>
      </c>
      <c r="AE1292">
        <f t="shared" si="418"/>
        <v>0</v>
      </c>
      <c r="AF1292">
        <f t="shared" si="419"/>
        <v>0</v>
      </c>
    </row>
    <row r="1293" spans="1:32" x14ac:dyDescent="0.2">
      <c r="A1293" s="117"/>
      <c r="B1293" s="118"/>
      <c r="C1293" s="119"/>
      <c r="D1293" s="119"/>
      <c r="E1293" s="117"/>
      <c r="F1293" s="120">
        <f t="shared" si="400"/>
        <v>0</v>
      </c>
      <c r="G1293" s="121" t="str">
        <f t="shared" si="401"/>
        <v/>
      </c>
      <c r="H1293" s="122">
        <f>IF($D1293="",0,IFERROR(LOOKUP(2,1/(($D$3:D1292=$D1293)*($A$3:A1292&lt;$A1293)),$N$3:N1292),'Guide &amp; Settings'!$C$41))</f>
        <v>0</v>
      </c>
      <c r="I1293" s="123">
        <f t="shared" si="402"/>
        <v>0</v>
      </c>
      <c r="J1293" s="124">
        <f>IF($D1293="",0,IF($F1293&lt;2,0,IF($E1293="Win",('Guide &amp; Settings'!$C$42/(($F1293-1)*COUNTIFS($A$4:$A$1510,$A1293,$E$4:$E$1510,"Win")))*SUMIFS($X$4:$X$1510,$A$4:$A$1510,$A1293,$E$4:$E$1510,"Loss"),-('Guide &amp; Settings'!$C$42/($F1293-1))*$X1293)))</f>
        <v>0</v>
      </c>
      <c r="K1293" s="124">
        <f>IF($D1293="",0,'Guide &amp; Settings'!$C$43*(IF($E1293="Win",1,0)-$I1293))</f>
        <v>0</v>
      </c>
      <c r="L1293" s="125">
        <f>IF($D1293="",0,'Guide &amp; Settings'!$C$44*IF($F1293&gt;=3,$F1293,0))</f>
        <v>0</v>
      </c>
      <c r="M1293" s="124">
        <f t="shared" si="403"/>
        <v>0</v>
      </c>
      <c r="N1293" s="122">
        <f t="shared" si="404"/>
        <v>0</v>
      </c>
      <c r="O1293" s="121" t="str">
        <f t="shared" si="405"/>
        <v/>
      </c>
      <c r="P1293">
        <f t="shared" si="406"/>
        <v>0</v>
      </c>
      <c r="Q1293">
        <f t="shared" si="407"/>
        <v>0</v>
      </c>
      <c r="R1293">
        <f t="shared" si="408"/>
        <v>0</v>
      </c>
      <c r="S1293">
        <f t="shared" si="409"/>
        <v>0</v>
      </c>
      <c r="T1293" s="89">
        <f t="shared" si="410"/>
        <v>0</v>
      </c>
      <c r="U1293" s="126">
        <f>IF($D1293="",0,IFERROR(LOOKUP(2,1/(($D$3:D1292=$D1293)*($C$3:C1292=$C1293)*($A$3:A1292&lt;$A1293)),$AB$3:AB1292),1000))</f>
        <v>0</v>
      </c>
      <c r="V1293" s="126">
        <f t="shared" si="411"/>
        <v>0</v>
      </c>
      <c r="W1293">
        <f t="shared" si="412"/>
        <v>0</v>
      </c>
      <c r="X1293">
        <f t="shared" si="413"/>
        <v>0</v>
      </c>
      <c r="Y1293">
        <f t="shared" si="414"/>
        <v>0</v>
      </c>
      <c r="Z1293">
        <f t="shared" si="415"/>
        <v>0</v>
      </c>
      <c r="AA1293">
        <f>IF($D1293="",0,IF($F1293&lt;2,0,IF($E1293="Win",('Guide &amp; Settings'!$C$42/(($F1293-1)*COUNTIFS($A$4:$A$1510,$A1293,$E$4:$E$1510,"Win")))*SUMIFS($Z$4:$Z$1510,$A$4:$A$1510,$A1293,$E$4:$E$1510,"Loss"),-('Guide &amp; Settings'!$C$42/($F1293-1))*$Z1293)))</f>
        <v>0</v>
      </c>
      <c r="AB1293" s="126">
        <f t="shared" si="416"/>
        <v>0</v>
      </c>
      <c r="AC1293" t="str">
        <f>IF($D1293="","",IF($AD1293=0,0,IF(COUNTIFS($D$4:$D1293,$D1293,$B$4:$B1293,$B1293)&gt;1,0,IF($B1293&lt;'Guide &amp; Settings'!$C$50,0,IF(($B1293-$AD1293)/7-'Guide &amp; Settings'!$C$48&gt;=0,(INT(($B1293-$AD1293)/7-'Guide &amp; Settings'!$C$48)+1)*'Guide &amp; Settings'!$C$49,0)))))</f>
        <v/>
      </c>
      <c r="AD1293" s="142">
        <f t="shared" si="417"/>
        <v>0</v>
      </c>
      <c r="AE1293">
        <f t="shared" si="418"/>
        <v>0</v>
      </c>
      <c r="AF1293">
        <f t="shared" si="419"/>
        <v>0</v>
      </c>
    </row>
    <row r="1294" spans="1:32" x14ac:dyDescent="0.2">
      <c r="A1294" s="117"/>
      <c r="B1294" s="118"/>
      <c r="C1294" s="119"/>
      <c r="D1294" s="119"/>
      <c r="E1294" s="117"/>
      <c r="F1294" s="120">
        <f t="shared" si="400"/>
        <v>0</v>
      </c>
      <c r="G1294" s="121" t="str">
        <f t="shared" si="401"/>
        <v/>
      </c>
      <c r="H1294" s="122">
        <f>IF($D1294="",0,IFERROR(LOOKUP(2,1/(($D$3:D1293=$D1294)*($A$3:A1293&lt;$A1294)),$N$3:N1293),'Guide &amp; Settings'!$C$41))</f>
        <v>0</v>
      </c>
      <c r="I1294" s="123">
        <f t="shared" si="402"/>
        <v>0</v>
      </c>
      <c r="J1294" s="124">
        <f>IF($D1294="",0,IF($F1294&lt;2,0,IF($E1294="Win",('Guide &amp; Settings'!$C$42/(($F1294-1)*COUNTIFS($A$4:$A$1510,$A1294,$E$4:$E$1510,"Win")))*SUMIFS($X$4:$X$1510,$A$4:$A$1510,$A1294,$E$4:$E$1510,"Loss"),-('Guide &amp; Settings'!$C$42/($F1294-1))*$X1294)))</f>
        <v>0</v>
      </c>
      <c r="K1294" s="124">
        <f>IF($D1294="",0,'Guide &amp; Settings'!$C$43*(IF($E1294="Win",1,0)-$I1294))</f>
        <v>0</v>
      </c>
      <c r="L1294" s="125">
        <f>IF($D1294="",0,'Guide &amp; Settings'!$C$44*IF($F1294&gt;=3,$F1294,0))</f>
        <v>0</v>
      </c>
      <c r="M1294" s="124">
        <f t="shared" si="403"/>
        <v>0</v>
      </c>
      <c r="N1294" s="122">
        <f t="shared" si="404"/>
        <v>0</v>
      </c>
      <c r="O1294" s="121" t="str">
        <f t="shared" si="405"/>
        <v/>
      </c>
      <c r="P1294">
        <f t="shared" si="406"/>
        <v>0</v>
      </c>
      <c r="Q1294">
        <f t="shared" si="407"/>
        <v>0</v>
      </c>
      <c r="R1294">
        <f t="shared" si="408"/>
        <v>0</v>
      </c>
      <c r="S1294">
        <f t="shared" si="409"/>
        <v>0</v>
      </c>
      <c r="T1294" s="89">
        <f t="shared" si="410"/>
        <v>0</v>
      </c>
      <c r="U1294" s="126">
        <f>IF($D1294="",0,IFERROR(LOOKUP(2,1/(($D$3:D1293=$D1294)*($C$3:C1293=$C1294)*($A$3:A1293&lt;$A1294)),$AB$3:AB1293),1000))</f>
        <v>0</v>
      </c>
      <c r="V1294" s="126">
        <f t="shared" si="411"/>
        <v>0</v>
      </c>
      <c r="W1294">
        <f t="shared" si="412"/>
        <v>0</v>
      </c>
      <c r="X1294">
        <f t="shared" si="413"/>
        <v>0</v>
      </c>
      <c r="Y1294">
        <f t="shared" si="414"/>
        <v>0</v>
      </c>
      <c r="Z1294">
        <f t="shared" si="415"/>
        <v>0</v>
      </c>
      <c r="AA1294">
        <f>IF($D1294="",0,IF($F1294&lt;2,0,IF($E1294="Win",('Guide &amp; Settings'!$C$42/(($F1294-1)*COUNTIFS($A$4:$A$1510,$A1294,$E$4:$E$1510,"Win")))*SUMIFS($Z$4:$Z$1510,$A$4:$A$1510,$A1294,$E$4:$E$1510,"Loss"),-('Guide &amp; Settings'!$C$42/($F1294-1))*$Z1294)))</f>
        <v>0</v>
      </c>
      <c r="AB1294" s="126">
        <f t="shared" si="416"/>
        <v>0</v>
      </c>
      <c r="AC1294" t="str">
        <f>IF($D1294="","",IF($AD1294=0,0,IF(COUNTIFS($D$4:$D1294,$D1294,$B$4:$B1294,$B1294)&gt;1,0,IF($B1294&lt;'Guide &amp; Settings'!$C$50,0,IF(($B1294-$AD1294)/7-'Guide &amp; Settings'!$C$48&gt;=0,(INT(($B1294-$AD1294)/7-'Guide &amp; Settings'!$C$48)+1)*'Guide &amp; Settings'!$C$49,0)))))</f>
        <v/>
      </c>
      <c r="AD1294" s="142">
        <f t="shared" si="417"/>
        <v>0</v>
      </c>
      <c r="AE1294">
        <f t="shared" si="418"/>
        <v>0</v>
      </c>
      <c r="AF1294">
        <f t="shared" si="419"/>
        <v>0</v>
      </c>
    </row>
    <row r="1295" spans="1:32" x14ac:dyDescent="0.2">
      <c r="A1295" s="117"/>
      <c r="B1295" s="118"/>
      <c r="C1295" s="119"/>
      <c r="D1295" s="119"/>
      <c r="E1295" s="117"/>
      <c r="F1295" s="120">
        <f t="shared" si="400"/>
        <v>0</v>
      </c>
      <c r="G1295" s="121" t="str">
        <f t="shared" si="401"/>
        <v/>
      </c>
      <c r="H1295" s="122">
        <f>IF($D1295="",0,IFERROR(LOOKUP(2,1/(($D$3:D1294=$D1295)*($A$3:A1294&lt;$A1295)),$N$3:N1294),'Guide &amp; Settings'!$C$41))</f>
        <v>0</v>
      </c>
      <c r="I1295" s="123">
        <f t="shared" si="402"/>
        <v>0</v>
      </c>
      <c r="J1295" s="124">
        <f>IF($D1295="",0,IF($F1295&lt;2,0,IF($E1295="Win",('Guide &amp; Settings'!$C$42/(($F1295-1)*COUNTIFS($A$4:$A$1510,$A1295,$E$4:$E$1510,"Win")))*SUMIFS($X$4:$X$1510,$A$4:$A$1510,$A1295,$E$4:$E$1510,"Loss"),-('Guide &amp; Settings'!$C$42/($F1295-1))*$X1295)))</f>
        <v>0</v>
      </c>
      <c r="K1295" s="124">
        <f>IF($D1295="",0,'Guide &amp; Settings'!$C$43*(IF($E1295="Win",1,0)-$I1295))</f>
        <v>0</v>
      </c>
      <c r="L1295" s="125">
        <f>IF($D1295="",0,'Guide &amp; Settings'!$C$44*IF($F1295&gt;=3,$F1295,0))</f>
        <v>0</v>
      </c>
      <c r="M1295" s="124">
        <f t="shared" si="403"/>
        <v>0</v>
      </c>
      <c r="N1295" s="122">
        <f t="shared" si="404"/>
        <v>0</v>
      </c>
      <c r="O1295" s="121" t="str">
        <f t="shared" si="405"/>
        <v/>
      </c>
      <c r="P1295">
        <f t="shared" si="406"/>
        <v>0</v>
      </c>
      <c r="Q1295">
        <f t="shared" si="407"/>
        <v>0</v>
      </c>
      <c r="R1295">
        <f t="shared" si="408"/>
        <v>0</v>
      </c>
      <c r="S1295">
        <f t="shared" si="409"/>
        <v>0</v>
      </c>
      <c r="T1295" s="89">
        <f t="shared" si="410"/>
        <v>0</v>
      </c>
      <c r="U1295" s="126">
        <f>IF($D1295="",0,IFERROR(LOOKUP(2,1/(($D$3:D1294=$D1295)*($C$3:C1294=$C1295)*($A$3:A1294&lt;$A1295)),$AB$3:AB1294),1000))</f>
        <v>0</v>
      </c>
      <c r="V1295" s="126">
        <f t="shared" si="411"/>
        <v>0</v>
      </c>
      <c r="W1295">
        <f t="shared" si="412"/>
        <v>0</v>
      </c>
      <c r="X1295">
        <f t="shared" si="413"/>
        <v>0</v>
      </c>
      <c r="Y1295">
        <f t="shared" si="414"/>
        <v>0</v>
      </c>
      <c r="Z1295">
        <f t="shared" si="415"/>
        <v>0</v>
      </c>
      <c r="AA1295">
        <f>IF($D1295="",0,IF($F1295&lt;2,0,IF($E1295="Win",('Guide &amp; Settings'!$C$42/(($F1295-1)*COUNTIFS($A$4:$A$1510,$A1295,$E$4:$E$1510,"Win")))*SUMIFS($Z$4:$Z$1510,$A$4:$A$1510,$A1295,$E$4:$E$1510,"Loss"),-('Guide &amp; Settings'!$C$42/($F1295-1))*$Z1295)))</f>
        <v>0</v>
      </c>
      <c r="AB1295" s="126">
        <f t="shared" si="416"/>
        <v>0</v>
      </c>
      <c r="AC1295" t="str">
        <f>IF($D1295="","",IF($AD1295=0,0,IF(COUNTIFS($D$4:$D1295,$D1295,$B$4:$B1295,$B1295)&gt;1,0,IF($B1295&lt;'Guide &amp; Settings'!$C$50,0,IF(($B1295-$AD1295)/7-'Guide &amp; Settings'!$C$48&gt;=0,(INT(($B1295-$AD1295)/7-'Guide &amp; Settings'!$C$48)+1)*'Guide &amp; Settings'!$C$49,0)))))</f>
        <v/>
      </c>
      <c r="AD1295" s="142">
        <f t="shared" si="417"/>
        <v>0</v>
      </c>
      <c r="AE1295">
        <f t="shared" si="418"/>
        <v>0</v>
      </c>
      <c r="AF1295">
        <f t="shared" si="419"/>
        <v>0</v>
      </c>
    </row>
    <row r="1296" spans="1:32" x14ac:dyDescent="0.2">
      <c r="A1296" s="117"/>
      <c r="B1296" s="118"/>
      <c r="C1296" s="119"/>
      <c r="D1296" s="119"/>
      <c r="E1296" s="117"/>
      <c r="F1296" s="120">
        <f t="shared" si="400"/>
        <v>0</v>
      </c>
      <c r="G1296" s="121" t="str">
        <f t="shared" si="401"/>
        <v/>
      </c>
      <c r="H1296" s="122">
        <f>IF($D1296="",0,IFERROR(LOOKUP(2,1/(($D$3:D1295=$D1296)*($A$3:A1295&lt;$A1296)),$N$3:N1295),'Guide &amp; Settings'!$C$41))</f>
        <v>0</v>
      </c>
      <c r="I1296" s="123">
        <f t="shared" si="402"/>
        <v>0</v>
      </c>
      <c r="J1296" s="124">
        <f>IF($D1296="",0,IF($F1296&lt;2,0,IF($E1296="Win",('Guide &amp; Settings'!$C$42/(($F1296-1)*COUNTIFS($A$4:$A$1510,$A1296,$E$4:$E$1510,"Win")))*SUMIFS($X$4:$X$1510,$A$4:$A$1510,$A1296,$E$4:$E$1510,"Loss"),-('Guide &amp; Settings'!$C$42/($F1296-1))*$X1296)))</f>
        <v>0</v>
      </c>
      <c r="K1296" s="124">
        <f>IF($D1296="",0,'Guide &amp; Settings'!$C$43*(IF($E1296="Win",1,0)-$I1296))</f>
        <v>0</v>
      </c>
      <c r="L1296" s="125">
        <f>IF($D1296="",0,'Guide &amp; Settings'!$C$44*IF($F1296&gt;=3,$F1296,0))</f>
        <v>0</v>
      </c>
      <c r="M1296" s="124">
        <f t="shared" si="403"/>
        <v>0</v>
      </c>
      <c r="N1296" s="122">
        <f t="shared" si="404"/>
        <v>0</v>
      </c>
      <c r="O1296" s="121" t="str">
        <f t="shared" si="405"/>
        <v/>
      </c>
      <c r="P1296">
        <f t="shared" si="406"/>
        <v>0</v>
      </c>
      <c r="Q1296">
        <f t="shared" si="407"/>
        <v>0</v>
      </c>
      <c r="R1296">
        <f t="shared" si="408"/>
        <v>0</v>
      </c>
      <c r="S1296">
        <f t="shared" si="409"/>
        <v>0</v>
      </c>
      <c r="T1296" s="89">
        <f t="shared" si="410"/>
        <v>0</v>
      </c>
      <c r="U1296" s="126">
        <f>IF($D1296="",0,IFERROR(LOOKUP(2,1/(($D$3:D1295=$D1296)*($C$3:C1295=$C1296)*($A$3:A1295&lt;$A1296)),$AB$3:AB1295),1000))</f>
        <v>0</v>
      </c>
      <c r="V1296" s="126">
        <f t="shared" si="411"/>
        <v>0</v>
      </c>
      <c r="W1296">
        <f t="shared" si="412"/>
        <v>0</v>
      </c>
      <c r="X1296">
        <f t="shared" si="413"/>
        <v>0</v>
      </c>
      <c r="Y1296">
        <f t="shared" si="414"/>
        <v>0</v>
      </c>
      <c r="Z1296">
        <f t="shared" si="415"/>
        <v>0</v>
      </c>
      <c r="AA1296">
        <f>IF($D1296="",0,IF($F1296&lt;2,0,IF($E1296="Win",('Guide &amp; Settings'!$C$42/(($F1296-1)*COUNTIFS($A$4:$A$1510,$A1296,$E$4:$E$1510,"Win")))*SUMIFS($Z$4:$Z$1510,$A$4:$A$1510,$A1296,$E$4:$E$1510,"Loss"),-('Guide &amp; Settings'!$C$42/($F1296-1))*$Z1296)))</f>
        <v>0</v>
      </c>
      <c r="AB1296" s="126">
        <f t="shared" si="416"/>
        <v>0</v>
      </c>
      <c r="AC1296" t="str">
        <f>IF($D1296="","",IF($AD1296=0,0,IF(COUNTIFS($D$4:$D1296,$D1296,$B$4:$B1296,$B1296)&gt;1,0,IF($B1296&lt;'Guide &amp; Settings'!$C$50,0,IF(($B1296-$AD1296)/7-'Guide &amp; Settings'!$C$48&gt;=0,(INT(($B1296-$AD1296)/7-'Guide &amp; Settings'!$C$48)+1)*'Guide &amp; Settings'!$C$49,0)))))</f>
        <v/>
      </c>
      <c r="AD1296" s="142">
        <f t="shared" si="417"/>
        <v>0</v>
      </c>
      <c r="AE1296">
        <f t="shared" si="418"/>
        <v>0</v>
      </c>
      <c r="AF1296">
        <f t="shared" si="419"/>
        <v>0</v>
      </c>
    </row>
    <row r="1297" spans="1:32" x14ac:dyDescent="0.2">
      <c r="A1297" s="117"/>
      <c r="B1297" s="118"/>
      <c r="C1297" s="119"/>
      <c r="D1297" s="119"/>
      <c r="E1297" s="117"/>
      <c r="F1297" s="120">
        <f t="shared" si="400"/>
        <v>0</v>
      </c>
      <c r="G1297" s="121" t="str">
        <f t="shared" si="401"/>
        <v/>
      </c>
      <c r="H1297" s="122">
        <f>IF($D1297="",0,IFERROR(LOOKUP(2,1/(($D$3:D1296=$D1297)*($A$3:A1296&lt;$A1297)),$N$3:N1296),'Guide &amp; Settings'!$C$41))</f>
        <v>0</v>
      </c>
      <c r="I1297" s="123">
        <f t="shared" si="402"/>
        <v>0</v>
      </c>
      <c r="J1297" s="124">
        <f>IF($D1297="",0,IF($F1297&lt;2,0,IF($E1297="Win",('Guide &amp; Settings'!$C$42/(($F1297-1)*COUNTIFS($A$4:$A$1510,$A1297,$E$4:$E$1510,"Win")))*SUMIFS($X$4:$X$1510,$A$4:$A$1510,$A1297,$E$4:$E$1510,"Loss"),-('Guide &amp; Settings'!$C$42/($F1297-1))*$X1297)))</f>
        <v>0</v>
      </c>
      <c r="K1297" s="124">
        <f>IF($D1297="",0,'Guide &amp; Settings'!$C$43*(IF($E1297="Win",1,0)-$I1297))</f>
        <v>0</v>
      </c>
      <c r="L1297" s="125">
        <f>IF($D1297="",0,'Guide &amp; Settings'!$C$44*IF($F1297&gt;=3,$F1297,0))</f>
        <v>0</v>
      </c>
      <c r="M1297" s="124">
        <f t="shared" si="403"/>
        <v>0</v>
      </c>
      <c r="N1297" s="122">
        <f t="shared" si="404"/>
        <v>0</v>
      </c>
      <c r="O1297" s="121" t="str">
        <f t="shared" si="405"/>
        <v/>
      </c>
      <c r="P1297">
        <f t="shared" si="406"/>
        <v>0</v>
      </c>
      <c r="Q1297">
        <f t="shared" si="407"/>
        <v>0</v>
      </c>
      <c r="R1297">
        <f t="shared" si="408"/>
        <v>0</v>
      </c>
      <c r="S1297">
        <f t="shared" si="409"/>
        <v>0</v>
      </c>
      <c r="T1297" s="89">
        <f t="shared" si="410"/>
        <v>0</v>
      </c>
      <c r="U1297" s="126">
        <f>IF($D1297="",0,IFERROR(LOOKUP(2,1/(($D$3:D1296=$D1297)*($C$3:C1296=$C1297)*($A$3:A1296&lt;$A1297)),$AB$3:AB1296),1000))</f>
        <v>0</v>
      </c>
      <c r="V1297" s="126">
        <f t="shared" si="411"/>
        <v>0</v>
      </c>
      <c r="W1297">
        <f t="shared" si="412"/>
        <v>0</v>
      </c>
      <c r="X1297">
        <f t="shared" si="413"/>
        <v>0</v>
      </c>
      <c r="Y1297">
        <f t="shared" si="414"/>
        <v>0</v>
      </c>
      <c r="Z1297">
        <f t="shared" si="415"/>
        <v>0</v>
      </c>
      <c r="AA1297">
        <f>IF($D1297="",0,IF($F1297&lt;2,0,IF($E1297="Win",('Guide &amp; Settings'!$C$42/(($F1297-1)*COUNTIFS($A$4:$A$1510,$A1297,$E$4:$E$1510,"Win")))*SUMIFS($Z$4:$Z$1510,$A$4:$A$1510,$A1297,$E$4:$E$1510,"Loss"),-('Guide &amp; Settings'!$C$42/($F1297-1))*$Z1297)))</f>
        <v>0</v>
      </c>
      <c r="AB1297" s="126">
        <f t="shared" si="416"/>
        <v>0</v>
      </c>
      <c r="AC1297" t="str">
        <f>IF($D1297="","",IF($AD1297=0,0,IF(COUNTIFS($D$4:$D1297,$D1297,$B$4:$B1297,$B1297)&gt;1,0,IF($B1297&lt;'Guide &amp; Settings'!$C$50,0,IF(($B1297-$AD1297)/7-'Guide &amp; Settings'!$C$48&gt;=0,(INT(($B1297-$AD1297)/7-'Guide &amp; Settings'!$C$48)+1)*'Guide &amp; Settings'!$C$49,0)))))</f>
        <v/>
      </c>
      <c r="AD1297" s="142">
        <f t="shared" si="417"/>
        <v>0</v>
      </c>
      <c r="AE1297">
        <f t="shared" si="418"/>
        <v>0</v>
      </c>
      <c r="AF1297">
        <f t="shared" si="419"/>
        <v>0</v>
      </c>
    </row>
    <row r="1298" spans="1:32" x14ac:dyDescent="0.2">
      <c r="A1298" s="117"/>
      <c r="B1298" s="118"/>
      <c r="C1298" s="119"/>
      <c r="D1298" s="119"/>
      <c r="E1298" s="117"/>
      <c r="F1298" s="120">
        <f t="shared" si="400"/>
        <v>0</v>
      </c>
      <c r="G1298" s="121" t="str">
        <f t="shared" si="401"/>
        <v/>
      </c>
      <c r="H1298" s="122">
        <f>IF($D1298="",0,IFERROR(LOOKUP(2,1/(($D$3:D1297=$D1298)*($A$3:A1297&lt;$A1298)),$N$3:N1297),'Guide &amp; Settings'!$C$41))</f>
        <v>0</v>
      </c>
      <c r="I1298" s="123">
        <f t="shared" si="402"/>
        <v>0</v>
      </c>
      <c r="J1298" s="124">
        <f>IF($D1298="",0,IF($F1298&lt;2,0,IF($E1298="Win",('Guide &amp; Settings'!$C$42/(($F1298-1)*COUNTIFS($A$4:$A$1510,$A1298,$E$4:$E$1510,"Win")))*SUMIFS($X$4:$X$1510,$A$4:$A$1510,$A1298,$E$4:$E$1510,"Loss"),-('Guide &amp; Settings'!$C$42/($F1298-1))*$X1298)))</f>
        <v>0</v>
      </c>
      <c r="K1298" s="124">
        <f>IF($D1298="",0,'Guide &amp; Settings'!$C$43*(IF($E1298="Win",1,0)-$I1298))</f>
        <v>0</v>
      </c>
      <c r="L1298" s="125">
        <f>IF($D1298="",0,'Guide &amp; Settings'!$C$44*IF($F1298&gt;=3,$F1298,0))</f>
        <v>0</v>
      </c>
      <c r="M1298" s="124">
        <f t="shared" si="403"/>
        <v>0</v>
      </c>
      <c r="N1298" s="122">
        <f t="shared" si="404"/>
        <v>0</v>
      </c>
      <c r="O1298" s="121" t="str">
        <f t="shared" si="405"/>
        <v/>
      </c>
      <c r="P1298">
        <f t="shared" si="406"/>
        <v>0</v>
      </c>
      <c r="Q1298">
        <f t="shared" si="407"/>
        <v>0</v>
      </c>
      <c r="R1298">
        <f t="shared" si="408"/>
        <v>0</v>
      </c>
      <c r="S1298">
        <f t="shared" si="409"/>
        <v>0</v>
      </c>
      <c r="T1298" s="89">
        <f t="shared" si="410"/>
        <v>0</v>
      </c>
      <c r="U1298" s="126">
        <f>IF($D1298="",0,IFERROR(LOOKUP(2,1/(($D$3:D1297=$D1298)*($C$3:C1297=$C1298)*($A$3:A1297&lt;$A1298)),$AB$3:AB1297),1000))</f>
        <v>0</v>
      </c>
      <c r="V1298" s="126">
        <f t="shared" si="411"/>
        <v>0</v>
      </c>
      <c r="W1298">
        <f t="shared" si="412"/>
        <v>0</v>
      </c>
      <c r="X1298">
        <f t="shared" si="413"/>
        <v>0</v>
      </c>
      <c r="Y1298">
        <f t="shared" si="414"/>
        <v>0</v>
      </c>
      <c r="Z1298">
        <f t="shared" si="415"/>
        <v>0</v>
      </c>
      <c r="AA1298">
        <f>IF($D1298="",0,IF($F1298&lt;2,0,IF($E1298="Win",('Guide &amp; Settings'!$C$42/(($F1298-1)*COUNTIFS($A$4:$A$1510,$A1298,$E$4:$E$1510,"Win")))*SUMIFS($Z$4:$Z$1510,$A$4:$A$1510,$A1298,$E$4:$E$1510,"Loss"),-('Guide &amp; Settings'!$C$42/($F1298-1))*$Z1298)))</f>
        <v>0</v>
      </c>
      <c r="AB1298" s="126">
        <f t="shared" si="416"/>
        <v>0</v>
      </c>
      <c r="AC1298" t="str">
        <f>IF($D1298="","",IF($AD1298=0,0,IF(COUNTIFS($D$4:$D1298,$D1298,$B$4:$B1298,$B1298)&gt;1,0,IF($B1298&lt;'Guide &amp; Settings'!$C$50,0,IF(($B1298-$AD1298)/7-'Guide &amp; Settings'!$C$48&gt;=0,(INT(($B1298-$AD1298)/7-'Guide &amp; Settings'!$C$48)+1)*'Guide &amp; Settings'!$C$49,0)))))</f>
        <v/>
      </c>
      <c r="AD1298" s="142">
        <f t="shared" si="417"/>
        <v>0</v>
      </c>
      <c r="AE1298">
        <f t="shared" si="418"/>
        <v>0</v>
      </c>
      <c r="AF1298">
        <f t="shared" si="419"/>
        <v>0</v>
      </c>
    </row>
    <row r="1299" spans="1:32" x14ac:dyDescent="0.2">
      <c r="A1299" s="117"/>
      <c r="B1299" s="118"/>
      <c r="C1299" s="119"/>
      <c r="D1299" s="119"/>
      <c r="E1299" s="117"/>
      <c r="F1299" s="120">
        <f t="shared" si="400"/>
        <v>0</v>
      </c>
      <c r="G1299" s="121" t="str">
        <f t="shared" si="401"/>
        <v/>
      </c>
      <c r="H1299" s="122">
        <f>IF($D1299="",0,IFERROR(LOOKUP(2,1/(($D$3:D1298=$D1299)*($A$3:A1298&lt;$A1299)),$N$3:N1298),'Guide &amp; Settings'!$C$41))</f>
        <v>0</v>
      </c>
      <c r="I1299" s="123">
        <f t="shared" si="402"/>
        <v>0</v>
      </c>
      <c r="J1299" s="124">
        <f>IF($D1299="",0,IF($F1299&lt;2,0,IF($E1299="Win",('Guide &amp; Settings'!$C$42/(($F1299-1)*COUNTIFS($A$4:$A$1510,$A1299,$E$4:$E$1510,"Win")))*SUMIFS($X$4:$X$1510,$A$4:$A$1510,$A1299,$E$4:$E$1510,"Loss"),-('Guide &amp; Settings'!$C$42/($F1299-1))*$X1299)))</f>
        <v>0</v>
      </c>
      <c r="K1299" s="124">
        <f>IF($D1299="",0,'Guide &amp; Settings'!$C$43*(IF($E1299="Win",1,0)-$I1299))</f>
        <v>0</v>
      </c>
      <c r="L1299" s="125">
        <f>IF($D1299="",0,'Guide &amp; Settings'!$C$44*IF($F1299&gt;=3,$F1299,0))</f>
        <v>0</v>
      </c>
      <c r="M1299" s="124">
        <f t="shared" si="403"/>
        <v>0</v>
      </c>
      <c r="N1299" s="122">
        <f t="shared" si="404"/>
        <v>0</v>
      </c>
      <c r="O1299" s="121" t="str">
        <f t="shared" si="405"/>
        <v/>
      </c>
      <c r="P1299">
        <f t="shared" si="406"/>
        <v>0</v>
      </c>
      <c r="Q1299">
        <f t="shared" si="407"/>
        <v>0</v>
      </c>
      <c r="R1299">
        <f t="shared" si="408"/>
        <v>0</v>
      </c>
      <c r="S1299">
        <f t="shared" si="409"/>
        <v>0</v>
      </c>
      <c r="T1299" s="89">
        <f t="shared" si="410"/>
        <v>0</v>
      </c>
      <c r="U1299" s="126">
        <f>IF($D1299="",0,IFERROR(LOOKUP(2,1/(($D$3:D1298=$D1299)*($C$3:C1298=$C1299)*($A$3:A1298&lt;$A1299)),$AB$3:AB1298),1000))</f>
        <v>0</v>
      </c>
      <c r="V1299" s="126">
        <f t="shared" si="411"/>
        <v>0</v>
      </c>
      <c r="W1299">
        <f t="shared" si="412"/>
        <v>0</v>
      </c>
      <c r="X1299">
        <f t="shared" si="413"/>
        <v>0</v>
      </c>
      <c r="Y1299">
        <f t="shared" si="414"/>
        <v>0</v>
      </c>
      <c r="Z1299">
        <f t="shared" si="415"/>
        <v>0</v>
      </c>
      <c r="AA1299">
        <f>IF($D1299="",0,IF($F1299&lt;2,0,IF($E1299="Win",('Guide &amp; Settings'!$C$42/(($F1299-1)*COUNTIFS($A$4:$A$1510,$A1299,$E$4:$E$1510,"Win")))*SUMIFS($Z$4:$Z$1510,$A$4:$A$1510,$A1299,$E$4:$E$1510,"Loss"),-('Guide &amp; Settings'!$C$42/($F1299-1))*$Z1299)))</f>
        <v>0</v>
      </c>
      <c r="AB1299" s="126">
        <f t="shared" si="416"/>
        <v>0</v>
      </c>
      <c r="AC1299" t="str">
        <f>IF($D1299="","",IF($AD1299=0,0,IF(COUNTIFS($D$4:$D1299,$D1299,$B$4:$B1299,$B1299)&gt;1,0,IF($B1299&lt;'Guide &amp; Settings'!$C$50,0,IF(($B1299-$AD1299)/7-'Guide &amp; Settings'!$C$48&gt;=0,(INT(($B1299-$AD1299)/7-'Guide &amp; Settings'!$C$48)+1)*'Guide &amp; Settings'!$C$49,0)))))</f>
        <v/>
      </c>
      <c r="AD1299" s="142">
        <f t="shared" si="417"/>
        <v>0</v>
      </c>
      <c r="AE1299">
        <f t="shared" si="418"/>
        <v>0</v>
      </c>
      <c r="AF1299">
        <f t="shared" si="419"/>
        <v>0</v>
      </c>
    </row>
    <row r="1300" spans="1:32" x14ac:dyDescent="0.2">
      <c r="A1300" s="117"/>
      <c r="B1300" s="118"/>
      <c r="C1300" s="119"/>
      <c r="D1300" s="119"/>
      <c r="E1300" s="117"/>
      <c r="F1300" s="120">
        <f t="shared" si="400"/>
        <v>0</v>
      </c>
      <c r="G1300" s="121" t="str">
        <f t="shared" si="401"/>
        <v/>
      </c>
      <c r="H1300" s="122">
        <f>IF($D1300="",0,IFERROR(LOOKUP(2,1/(($D$3:D1299=$D1300)*($A$3:A1299&lt;$A1300)),$N$3:N1299),'Guide &amp; Settings'!$C$41))</f>
        <v>0</v>
      </c>
      <c r="I1300" s="123">
        <f t="shared" si="402"/>
        <v>0</v>
      </c>
      <c r="J1300" s="124">
        <f>IF($D1300="",0,IF($F1300&lt;2,0,IF($E1300="Win",('Guide &amp; Settings'!$C$42/(($F1300-1)*COUNTIFS($A$4:$A$1510,$A1300,$E$4:$E$1510,"Win")))*SUMIFS($X$4:$X$1510,$A$4:$A$1510,$A1300,$E$4:$E$1510,"Loss"),-('Guide &amp; Settings'!$C$42/($F1300-1))*$X1300)))</f>
        <v>0</v>
      </c>
      <c r="K1300" s="124">
        <f>IF($D1300="",0,'Guide &amp; Settings'!$C$43*(IF($E1300="Win",1,0)-$I1300))</f>
        <v>0</v>
      </c>
      <c r="L1300" s="125">
        <f>IF($D1300="",0,'Guide &amp; Settings'!$C$44*IF($F1300&gt;=3,$F1300,0))</f>
        <v>0</v>
      </c>
      <c r="M1300" s="124">
        <f t="shared" si="403"/>
        <v>0</v>
      </c>
      <c r="N1300" s="122">
        <f t="shared" si="404"/>
        <v>0</v>
      </c>
      <c r="O1300" s="121" t="str">
        <f t="shared" si="405"/>
        <v/>
      </c>
      <c r="P1300">
        <f t="shared" si="406"/>
        <v>0</v>
      </c>
      <c r="Q1300">
        <f t="shared" si="407"/>
        <v>0</v>
      </c>
      <c r="R1300">
        <f t="shared" si="408"/>
        <v>0</v>
      </c>
      <c r="S1300">
        <f t="shared" si="409"/>
        <v>0</v>
      </c>
      <c r="T1300" s="89">
        <f t="shared" si="410"/>
        <v>0</v>
      </c>
      <c r="U1300" s="126">
        <f>IF($D1300="",0,IFERROR(LOOKUP(2,1/(($D$3:D1299=$D1300)*($C$3:C1299=$C1300)*($A$3:A1299&lt;$A1300)),$AB$3:AB1299),1000))</f>
        <v>0</v>
      </c>
      <c r="V1300" s="126">
        <f t="shared" si="411"/>
        <v>0</v>
      </c>
      <c r="W1300">
        <f t="shared" si="412"/>
        <v>0</v>
      </c>
      <c r="X1300">
        <f t="shared" si="413"/>
        <v>0</v>
      </c>
      <c r="Y1300">
        <f t="shared" si="414"/>
        <v>0</v>
      </c>
      <c r="Z1300">
        <f t="shared" si="415"/>
        <v>0</v>
      </c>
      <c r="AA1300">
        <f>IF($D1300="",0,IF($F1300&lt;2,0,IF($E1300="Win",('Guide &amp; Settings'!$C$42/(($F1300-1)*COUNTIFS($A$4:$A$1510,$A1300,$E$4:$E$1510,"Win")))*SUMIFS($Z$4:$Z$1510,$A$4:$A$1510,$A1300,$E$4:$E$1510,"Loss"),-('Guide &amp; Settings'!$C$42/($F1300-1))*$Z1300)))</f>
        <v>0</v>
      </c>
      <c r="AB1300" s="126">
        <f t="shared" si="416"/>
        <v>0</v>
      </c>
      <c r="AC1300" t="str">
        <f>IF($D1300="","",IF($AD1300=0,0,IF(COUNTIFS($D$4:$D1300,$D1300,$B$4:$B1300,$B1300)&gt;1,0,IF($B1300&lt;'Guide &amp; Settings'!$C$50,0,IF(($B1300-$AD1300)/7-'Guide &amp; Settings'!$C$48&gt;=0,(INT(($B1300-$AD1300)/7-'Guide &amp; Settings'!$C$48)+1)*'Guide &amp; Settings'!$C$49,0)))))</f>
        <v/>
      </c>
      <c r="AD1300" s="142">
        <f t="shared" si="417"/>
        <v>0</v>
      </c>
      <c r="AE1300">
        <f t="shared" si="418"/>
        <v>0</v>
      </c>
      <c r="AF1300">
        <f t="shared" si="419"/>
        <v>0</v>
      </c>
    </row>
    <row r="1301" spans="1:32" x14ac:dyDescent="0.2">
      <c r="A1301" s="117"/>
      <c r="B1301" s="118"/>
      <c r="C1301" s="119"/>
      <c r="D1301" s="119"/>
      <c r="E1301" s="117"/>
      <c r="F1301" s="120">
        <f t="shared" si="400"/>
        <v>0</v>
      </c>
      <c r="G1301" s="121" t="str">
        <f t="shared" si="401"/>
        <v/>
      </c>
      <c r="H1301" s="122">
        <f>IF($D1301="",0,IFERROR(LOOKUP(2,1/(($D$3:D1300=$D1301)*($A$3:A1300&lt;$A1301)),$N$3:N1300),'Guide &amp; Settings'!$C$41))</f>
        <v>0</v>
      </c>
      <c r="I1301" s="123">
        <f t="shared" si="402"/>
        <v>0</v>
      </c>
      <c r="J1301" s="124">
        <f>IF($D1301="",0,IF($F1301&lt;2,0,IF($E1301="Win",('Guide &amp; Settings'!$C$42/(($F1301-1)*COUNTIFS($A$4:$A$1510,$A1301,$E$4:$E$1510,"Win")))*SUMIFS($X$4:$X$1510,$A$4:$A$1510,$A1301,$E$4:$E$1510,"Loss"),-('Guide &amp; Settings'!$C$42/($F1301-1))*$X1301)))</f>
        <v>0</v>
      </c>
      <c r="K1301" s="124">
        <f>IF($D1301="",0,'Guide &amp; Settings'!$C$43*(IF($E1301="Win",1,0)-$I1301))</f>
        <v>0</v>
      </c>
      <c r="L1301" s="125">
        <f>IF($D1301="",0,'Guide &amp; Settings'!$C$44*IF($F1301&gt;=3,$F1301,0))</f>
        <v>0</v>
      </c>
      <c r="M1301" s="124">
        <f t="shared" si="403"/>
        <v>0</v>
      </c>
      <c r="N1301" s="122">
        <f t="shared" si="404"/>
        <v>0</v>
      </c>
      <c r="O1301" s="121" t="str">
        <f t="shared" si="405"/>
        <v/>
      </c>
      <c r="P1301">
        <f t="shared" si="406"/>
        <v>0</v>
      </c>
      <c r="Q1301">
        <f t="shared" si="407"/>
        <v>0</v>
      </c>
      <c r="R1301">
        <f t="shared" si="408"/>
        <v>0</v>
      </c>
      <c r="S1301">
        <f t="shared" si="409"/>
        <v>0</v>
      </c>
      <c r="T1301" s="89">
        <f t="shared" si="410"/>
        <v>0</v>
      </c>
      <c r="U1301" s="126">
        <f>IF($D1301="",0,IFERROR(LOOKUP(2,1/(($D$3:D1300=$D1301)*($C$3:C1300=$C1301)*($A$3:A1300&lt;$A1301)),$AB$3:AB1300),1000))</f>
        <v>0</v>
      </c>
      <c r="V1301" s="126">
        <f t="shared" si="411"/>
        <v>0</v>
      </c>
      <c r="W1301">
        <f t="shared" si="412"/>
        <v>0</v>
      </c>
      <c r="X1301">
        <f t="shared" si="413"/>
        <v>0</v>
      </c>
      <c r="Y1301">
        <f t="shared" si="414"/>
        <v>0</v>
      </c>
      <c r="Z1301">
        <f t="shared" si="415"/>
        <v>0</v>
      </c>
      <c r="AA1301">
        <f>IF($D1301="",0,IF($F1301&lt;2,0,IF($E1301="Win",('Guide &amp; Settings'!$C$42/(($F1301-1)*COUNTIFS($A$4:$A$1510,$A1301,$E$4:$E$1510,"Win")))*SUMIFS($Z$4:$Z$1510,$A$4:$A$1510,$A1301,$E$4:$E$1510,"Loss"),-('Guide &amp; Settings'!$C$42/($F1301-1))*$Z1301)))</f>
        <v>0</v>
      </c>
      <c r="AB1301" s="126">
        <f t="shared" si="416"/>
        <v>0</v>
      </c>
      <c r="AC1301" t="str">
        <f>IF($D1301="","",IF($AD1301=0,0,IF(COUNTIFS($D$4:$D1301,$D1301,$B$4:$B1301,$B1301)&gt;1,0,IF($B1301&lt;'Guide &amp; Settings'!$C$50,0,IF(($B1301-$AD1301)/7-'Guide &amp; Settings'!$C$48&gt;=0,(INT(($B1301-$AD1301)/7-'Guide &amp; Settings'!$C$48)+1)*'Guide &amp; Settings'!$C$49,0)))))</f>
        <v/>
      </c>
      <c r="AD1301" s="142">
        <f t="shared" si="417"/>
        <v>0</v>
      </c>
      <c r="AE1301">
        <f t="shared" si="418"/>
        <v>0</v>
      </c>
      <c r="AF1301">
        <f t="shared" si="419"/>
        <v>0</v>
      </c>
    </row>
    <row r="1302" spans="1:32" x14ac:dyDescent="0.2">
      <c r="A1302" s="117"/>
      <c r="B1302" s="118"/>
      <c r="C1302" s="119"/>
      <c r="D1302" s="119"/>
      <c r="E1302" s="117"/>
      <c r="F1302" s="120">
        <f t="shared" si="400"/>
        <v>0</v>
      </c>
      <c r="G1302" s="121" t="str">
        <f t="shared" si="401"/>
        <v/>
      </c>
      <c r="H1302" s="122">
        <f>IF($D1302="",0,IFERROR(LOOKUP(2,1/(($D$3:D1301=$D1302)*($A$3:A1301&lt;$A1302)),$N$3:N1301),'Guide &amp; Settings'!$C$41))</f>
        <v>0</v>
      </c>
      <c r="I1302" s="123">
        <f t="shared" si="402"/>
        <v>0</v>
      </c>
      <c r="J1302" s="124">
        <f>IF($D1302="",0,IF($F1302&lt;2,0,IF($E1302="Win",('Guide &amp; Settings'!$C$42/(($F1302-1)*COUNTIFS($A$4:$A$1510,$A1302,$E$4:$E$1510,"Win")))*SUMIFS($X$4:$X$1510,$A$4:$A$1510,$A1302,$E$4:$E$1510,"Loss"),-('Guide &amp; Settings'!$C$42/($F1302-1))*$X1302)))</f>
        <v>0</v>
      </c>
      <c r="K1302" s="124">
        <f>IF($D1302="",0,'Guide &amp; Settings'!$C$43*(IF($E1302="Win",1,0)-$I1302))</f>
        <v>0</v>
      </c>
      <c r="L1302" s="125">
        <f>IF($D1302="",0,'Guide &amp; Settings'!$C$44*IF($F1302&gt;=3,$F1302,0))</f>
        <v>0</v>
      </c>
      <c r="M1302" s="124">
        <f t="shared" si="403"/>
        <v>0</v>
      </c>
      <c r="N1302" s="122">
        <f t="shared" si="404"/>
        <v>0</v>
      </c>
      <c r="O1302" s="121" t="str">
        <f t="shared" si="405"/>
        <v/>
      </c>
      <c r="P1302">
        <f t="shared" si="406"/>
        <v>0</v>
      </c>
      <c r="Q1302">
        <f t="shared" si="407"/>
        <v>0</v>
      </c>
      <c r="R1302">
        <f t="shared" si="408"/>
        <v>0</v>
      </c>
      <c r="S1302">
        <f t="shared" si="409"/>
        <v>0</v>
      </c>
      <c r="T1302" s="89">
        <f t="shared" si="410"/>
        <v>0</v>
      </c>
      <c r="U1302" s="126">
        <f>IF($D1302="",0,IFERROR(LOOKUP(2,1/(($D$3:D1301=$D1302)*($C$3:C1301=$C1302)*($A$3:A1301&lt;$A1302)),$AB$3:AB1301),1000))</f>
        <v>0</v>
      </c>
      <c r="V1302" s="126">
        <f t="shared" si="411"/>
        <v>0</v>
      </c>
      <c r="W1302">
        <f t="shared" si="412"/>
        <v>0</v>
      </c>
      <c r="X1302">
        <f t="shared" si="413"/>
        <v>0</v>
      </c>
      <c r="Y1302">
        <f t="shared" si="414"/>
        <v>0</v>
      </c>
      <c r="Z1302">
        <f t="shared" si="415"/>
        <v>0</v>
      </c>
      <c r="AA1302">
        <f>IF($D1302="",0,IF($F1302&lt;2,0,IF($E1302="Win",('Guide &amp; Settings'!$C$42/(($F1302-1)*COUNTIFS($A$4:$A$1510,$A1302,$E$4:$E$1510,"Win")))*SUMIFS($Z$4:$Z$1510,$A$4:$A$1510,$A1302,$E$4:$E$1510,"Loss"),-('Guide &amp; Settings'!$C$42/($F1302-1))*$Z1302)))</f>
        <v>0</v>
      </c>
      <c r="AB1302" s="126">
        <f t="shared" si="416"/>
        <v>0</v>
      </c>
      <c r="AC1302" t="str">
        <f>IF($D1302="","",IF($AD1302=0,0,IF(COUNTIFS($D$4:$D1302,$D1302,$B$4:$B1302,$B1302)&gt;1,0,IF($B1302&lt;'Guide &amp; Settings'!$C$50,0,IF(($B1302-$AD1302)/7-'Guide &amp; Settings'!$C$48&gt;=0,(INT(($B1302-$AD1302)/7-'Guide &amp; Settings'!$C$48)+1)*'Guide &amp; Settings'!$C$49,0)))))</f>
        <v/>
      </c>
      <c r="AD1302" s="142">
        <f t="shared" si="417"/>
        <v>0</v>
      </c>
      <c r="AE1302">
        <f t="shared" si="418"/>
        <v>0</v>
      </c>
      <c r="AF1302">
        <f t="shared" si="419"/>
        <v>0</v>
      </c>
    </row>
    <row r="1303" spans="1:32" x14ac:dyDescent="0.2">
      <c r="A1303" s="117"/>
      <c r="B1303" s="118"/>
      <c r="C1303" s="119"/>
      <c r="D1303" s="119"/>
      <c r="E1303" s="117"/>
      <c r="F1303" s="120">
        <f t="shared" si="400"/>
        <v>0</v>
      </c>
      <c r="G1303" s="121" t="str">
        <f t="shared" si="401"/>
        <v/>
      </c>
      <c r="H1303" s="122">
        <f>IF($D1303="",0,IFERROR(LOOKUP(2,1/(($D$3:D1302=$D1303)*($A$3:A1302&lt;$A1303)),$N$3:N1302),'Guide &amp; Settings'!$C$41))</f>
        <v>0</v>
      </c>
      <c r="I1303" s="123">
        <f t="shared" si="402"/>
        <v>0</v>
      </c>
      <c r="J1303" s="124">
        <f>IF($D1303="",0,IF($F1303&lt;2,0,IF($E1303="Win",('Guide &amp; Settings'!$C$42/(($F1303-1)*COUNTIFS($A$4:$A$1510,$A1303,$E$4:$E$1510,"Win")))*SUMIFS($X$4:$X$1510,$A$4:$A$1510,$A1303,$E$4:$E$1510,"Loss"),-('Guide &amp; Settings'!$C$42/($F1303-1))*$X1303)))</f>
        <v>0</v>
      </c>
      <c r="K1303" s="124">
        <f>IF($D1303="",0,'Guide &amp; Settings'!$C$43*(IF($E1303="Win",1,0)-$I1303))</f>
        <v>0</v>
      </c>
      <c r="L1303" s="125">
        <f>IF($D1303="",0,'Guide &amp; Settings'!$C$44*IF($F1303&gt;=3,$F1303,0))</f>
        <v>0</v>
      </c>
      <c r="M1303" s="124">
        <f t="shared" si="403"/>
        <v>0</v>
      </c>
      <c r="N1303" s="122">
        <f t="shared" si="404"/>
        <v>0</v>
      </c>
      <c r="O1303" s="121" t="str">
        <f t="shared" si="405"/>
        <v/>
      </c>
      <c r="P1303">
        <f t="shared" si="406"/>
        <v>0</v>
      </c>
      <c r="Q1303">
        <f t="shared" si="407"/>
        <v>0</v>
      </c>
      <c r="R1303">
        <f t="shared" si="408"/>
        <v>0</v>
      </c>
      <c r="S1303">
        <f t="shared" si="409"/>
        <v>0</v>
      </c>
      <c r="T1303" s="89">
        <f t="shared" si="410"/>
        <v>0</v>
      </c>
      <c r="U1303" s="126">
        <f>IF($D1303="",0,IFERROR(LOOKUP(2,1/(($D$3:D1302=$D1303)*($C$3:C1302=$C1303)*($A$3:A1302&lt;$A1303)),$AB$3:AB1302),1000))</f>
        <v>0</v>
      </c>
      <c r="V1303" s="126">
        <f t="shared" si="411"/>
        <v>0</v>
      </c>
      <c r="W1303">
        <f t="shared" si="412"/>
        <v>0</v>
      </c>
      <c r="X1303">
        <f t="shared" si="413"/>
        <v>0</v>
      </c>
      <c r="Y1303">
        <f t="shared" si="414"/>
        <v>0</v>
      </c>
      <c r="Z1303">
        <f t="shared" si="415"/>
        <v>0</v>
      </c>
      <c r="AA1303">
        <f>IF($D1303="",0,IF($F1303&lt;2,0,IF($E1303="Win",('Guide &amp; Settings'!$C$42/(($F1303-1)*COUNTIFS($A$4:$A$1510,$A1303,$E$4:$E$1510,"Win")))*SUMIFS($Z$4:$Z$1510,$A$4:$A$1510,$A1303,$E$4:$E$1510,"Loss"),-('Guide &amp; Settings'!$C$42/($F1303-1))*$Z1303)))</f>
        <v>0</v>
      </c>
      <c r="AB1303" s="126">
        <f t="shared" si="416"/>
        <v>0</v>
      </c>
      <c r="AC1303" t="str">
        <f>IF($D1303="","",IF($AD1303=0,0,IF(COUNTIFS($D$4:$D1303,$D1303,$B$4:$B1303,$B1303)&gt;1,0,IF($B1303&lt;'Guide &amp; Settings'!$C$50,0,IF(($B1303-$AD1303)/7-'Guide &amp; Settings'!$C$48&gt;=0,(INT(($B1303-$AD1303)/7-'Guide &amp; Settings'!$C$48)+1)*'Guide &amp; Settings'!$C$49,0)))))</f>
        <v/>
      </c>
      <c r="AD1303" s="142">
        <f t="shared" si="417"/>
        <v>0</v>
      </c>
      <c r="AE1303">
        <f t="shared" si="418"/>
        <v>0</v>
      </c>
      <c r="AF1303">
        <f t="shared" si="419"/>
        <v>0</v>
      </c>
    </row>
    <row r="1304" spans="1:32" x14ac:dyDescent="0.2">
      <c r="A1304" s="117"/>
      <c r="B1304" s="118"/>
      <c r="C1304" s="119"/>
      <c r="D1304" s="119"/>
      <c r="E1304" s="117"/>
      <c r="F1304" s="120">
        <f t="shared" si="400"/>
        <v>0</v>
      </c>
      <c r="G1304" s="121" t="str">
        <f t="shared" si="401"/>
        <v/>
      </c>
      <c r="H1304" s="122">
        <f>IF($D1304="",0,IFERROR(LOOKUP(2,1/(($D$3:D1303=$D1304)*($A$3:A1303&lt;$A1304)),$N$3:N1303),'Guide &amp; Settings'!$C$41))</f>
        <v>0</v>
      </c>
      <c r="I1304" s="123">
        <f t="shared" si="402"/>
        <v>0</v>
      </c>
      <c r="J1304" s="124">
        <f>IF($D1304="",0,IF($F1304&lt;2,0,IF($E1304="Win",('Guide &amp; Settings'!$C$42/(($F1304-1)*COUNTIFS($A$4:$A$1510,$A1304,$E$4:$E$1510,"Win")))*SUMIFS($X$4:$X$1510,$A$4:$A$1510,$A1304,$E$4:$E$1510,"Loss"),-('Guide &amp; Settings'!$C$42/($F1304-1))*$X1304)))</f>
        <v>0</v>
      </c>
      <c r="K1304" s="124">
        <f>IF($D1304="",0,'Guide &amp; Settings'!$C$43*(IF($E1304="Win",1,0)-$I1304))</f>
        <v>0</v>
      </c>
      <c r="L1304" s="125">
        <f>IF($D1304="",0,'Guide &amp; Settings'!$C$44*IF($F1304&gt;=3,$F1304,0))</f>
        <v>0</v>
      </c>
      <c r="M1304" s="124">
        <f t="shared" si="403"/>
        <v>0</v>
      </c>
      <c r="N1304" s="122">
        <f t="shared" si="404"/>
        <v>0</v>
      </c>
      <c r="O1304" s="121" t="str">
        <f t="shared" si="405"/>
        <v/>
      </c>
      <c r="P1304">
        <f t="shared" si="406"/>
        <v>0</v>
      </c>
      <c r="Q1304">
        <f t="shared" si="407"/>
        <v>0</v>
      </c>
      <c r="R1304">
        <f t="shared" si="408"/>
        <v>0</v>
      </c>
      <c r="S1304">
        <f t="shared" si="409"/>
        <v>0</v>
      </c>
      <c r="T1304" s="89">
        <f t="shared" si="410"/>
        <v>0</v>
      </c>
      <c r="U1304" s="126">
        <f>IF($D1304="",0,IFERROR(LOOKUP(2,1/(($D$3:D1303=$D1304)*($C$3:C1303=$C1304)*($A$3:A1303&lt;$A1304)),$AB$3:AB1303),1000))</f>
        <v>0</v>
      </c>
      <c r="V1304" s="126">
        <f t="shared" si="411"/>
        <v>0</v>
      </c>
      <c r="W1304">
        <f t="shared" si="412"/>
        <v>0</v>
      </c>
      <c r="X1304">
        <f t="shared" si="413"/>
        <v>0</v>
      </c>
      <c r="Y1304">
        <f t="shared" si="414"/>
        <v>0</v>
      </c>
      <c r="Z1304">
        <f t="shared" si="415"/>
        <v>0</v>
      </c>
      <c r="AA1304">
        <f>IF($D1304="",0,IF($F1304&lt;2,0,IF($E1304="Win",('Guide &amp; Settings'!$C$42/(($F1304-1)*COUNTIFS($A$4:$A$1510,$A1304,$E$4:$E$1510,"Win")))*SUMIFS($Z$4:$Z$1510,$A$4:$A$1510,$A1304,$E$4:$E$1510,"Loss"),-('Guide &amp; Settings'!$C$42/($F1304-1))*$Z1304)))</f>
        <v>0</v>
      </c>
      <c r="AB1304" s="126">
        <f t="shared" si="416"/>
        <v>0</v>
      </c>
      <c r="AC1304" t="str">
        <f>IF($D1304="","",IF($AD1304=0,0,IF(COUNTIFS($D$4:$D1304,$D1304,$B$4:$B1304,$B1304)&gt;1,0,IF($B1304&lt;'Guide &amp; Settings'!$C$50,0,IF(($B1304-$AD1304)/7-'Guide &amp; Settings'!$C$48&gt;=0,(INT(($B1304-$AD1304)/7-'Guide &amp; Settings'!$C$48)+1)*'Guide &amp; Settings'!$C$49,0)))))</f>
        <v/>
      </c>
      <c r="AD1304" s="142">
        <f t="shared" si="417"/>
        <v>0</v>
      </c>
      <c r="AE1304">
        <f t="shared" si="418"/>
        <v>0</v>
      </c>
      <c r="AF1304">
        <f t="shared" si="419"/>
        <v>0</v>
      </c>
    </row>
    <row r="1305" spans="1:32" x14ac:dyDescent="0.2">
      <c r="A1305" s="117"/>
      <c r="B1305" s="118"/>
      <c r="C1305" s="119"/>
      <c r="D1305" s="119"/>
      <c r="E1305" s="117"/>
      <c r="F1305" s="120">
        <f t="shared" si="400"/>
        <v>0</v>
      </c>
      <c r="G1305" s="121" t="str">
        <f t="shared" si="401"/>
        <v/>
      </c>
      <c r="H1305" s="122">
        <f>IF($D1305="",0,IFERROR(LOOKUP(2,1/(($D$3:D1304=$D1305)*($A$3:A1304&lt;$A1305)),$N$3:N1304),'Guide &amp; Settings'!$C$41))</f>
        <v>0</v>
      </c>
      <c r="I1305" s="123">
        <f t="shared" si="402"/>
        <v>0</v>
      </c>
      <c r="J1305" s="124">
        <f>IF($D1305="",0,IF($F1305&lt;2,0,IF($E1305="Win",('Guide &amp; Settings'!$C$42/(($F1305-1)*COUNTIFS($A$4:$A$1510,$A1305,$E$4:$E$1510,"Win")))*SUMIFS($X$4:$X$1510,$A$4:$A$1510,$A1305,$E$4:$E$1510,"Loss"),-('Guide &amp; Settings'!$C$42/($F1305-1))*$X1305)))</f>
        <v>0</v>
      </c>
      <c r="K1305" s="124">
        <f>IF($D1305="",0,'Guide &amp; Settings'!$C$43*(IF($E1305="Win",1,0)-$I1305))</f>
        <v>0</v>
      </c>
      <c r="L1305" s="125">
        <f>IF($D1305="",0,'Guide &amp; Settings'!$C$44*IF($F1305&gt;=3,$F1305,0))</f>
        <v>0</v>
      </c>
      <c r="M1305" s="124">
        <f t="shared" si="403"/>
        <v>0</v>
      </c>
      <c r="N1305" s="122">
        <f t="shared" si="404"/>
        <v>0</v>
      </c>
      <c r="O1305" s="121" t="str">
        <f t="shared" si="405"/>
        <v/>
      </c>
      <c r="P1305">
        <f t="shared" si="406"/>
        <v>0</v>
      </c>
      <c r="Q1305">
        <f t="shared" si="407"/>
        <v>0</v>
      </c>
      <c r="R1305">
        <f t="shared" si="408"/>
        <v>0</v>
      </c>
      <c r="S1305">
        <f t="shared" si="409"/>
        <v>0</v>
      </c>
      <c r="T1305" s="89">
        <f t="shared" si="410"/>
        <v>0</v>
      </c>
      <c r="U1305" s="126">
        <f>IF($D1305="",0,IFERROR(LOOKUP(2,1/(($D$3:D1304=$D1305)*($C$3:C1304=$C1305)*($A$3:A1304&lt;$A1305)),$AB$3:AB1304),1000))</f>
        <v>0</v>
      </c>
      <c r="V1305" s="126">
        <f t="shared" si="411"/>
        <v>0</v>
      </c>
      <c r="W1305">
        <f t="shared" si="412"/>
        <v>0</v>
      </c>
      <c r="X1305">
        <f t="shared" si="413"/>
        <v>0</v>
      </c>
      <c r="Y1305">
        <f t="shared" si="414"/>
        <v>0</v>
      </c>
      <c r="Z1305">
        <f t="shared" si="415"/>
        <v>0</v>
      </c>
      <c r="AA1305">
        <f>IF($D1305="",0,IF($F1305&lt;2,0,IF($E1305="Win",('Guide &amp; Settings'!$C$42/(($F1305-1)*COUNTIFS($A$4:$A$1510,$A1305,$E$4:$E$1510,"Win")))*SUMIFS($Z$4:$Z$1510,$A$4:$A$1510,$A1305,$E$4:$E$1510,"Loss"),-('Guide &amp; Settings'!$C$42/($F1305-1))*$Z1305)))</f>
        <v>0</v>
      </c>
      <c r="AB1305" s="126">
        <f t="shared" si="416"/>
        <v>0</v>
      </c>
      <c r="AC1305" t="str">
        <f>IF($D1305="","",IF($AD1305=0,0,IF(COUNTIFS($D$4:$D1305,$D1305,$B$4:$B1305,$B1305)&gt;1,0,IF($B1305&lt;'Guide &amp; Settings'!$C$50,0,IF(($B1305-$AD1305)/7-'Guide &amp; Settings'!$C$48&gt;=0,(INT(($B1305-$AD1305)/7-'Guide &amp; Settings'!$C$48)+1)*'Guide &amp; Settings'!$C$49,0)))))</f>
        <v/>
      </c>
      <c r="AD1305" s="142">
        <f t="shared" si="417"/>
        <v>0</v>
      </c>
      <c r="AE1305">
        <f t="shared" si="418"/>
        <v>0</v>
      </c>
      <c r="AF1305">
        <f t="shared" si="419"/>
        <v>0</v>
      </c>
    </row>
    <row r="1306" spans="1:32" x14ac:dyDescent="0.2">
      <c r="A1306" s="117"/>
      <c r="B1306" s="118"/>
      <c r="C1306" s="119"/>
      <c r="D1306" s="119"/>
      <c r="E1306" s="117"/>
      <c r="F1306" s="120">
        <f t="shared" si="400"/>
        <v>0</v>
      </c>
      <c r="G1306" s="121" t="str">
        <f t="shared" si="401"/>
        <v/>
      </c>
      <c r="H1306" s="122">
        <f>IF($D1306="",0,IFERROR(LOOKUP(2,1/(($D$3:D1305=$D1306)*($A$3:A1305&lt;$A1306)),$N$3:N1305),'Guide &amp; Settings'!$C$41))</f>
        <v>0</v>
      </c>
      <c r="I1306" s="123">
        <f t="shared" si="402"/>
        <v>0</v>
      </c>
      <c r="J1306" s="124">
        <f>IF($D1306="",0,IF($F1306&lt;2,0,IF($E1306="Win",('Guide &amp; Settings'!$C$42/(($F1306-1)*COUNTIFS($A$4:$A$1510,$A1306,$E$4:$E$1510,"Win")))*SUMIFS($X$4:$X$1510,$A$4:$A$1510,$A1306,$E$4:$E$1510,"Loss"),-('Guide &amp; Settings'!$C$42/($F1306-1))*$X1306)))</f>
        <v>0</v>
      </c>
      <c r="K1306" s="124">
        <f>IF($D1306="",0,'Guide &amp; Settings'!$C$43*(IF($E1306="Win",1,0)-$I1306))</f>
        <v>0</v>
      </c>
      <c r="L1306" s="125">
        <f>IF($D1306="",0,'Guide &amp; Settings'!$C$44*IF($F1306&gt;=3,$F1306,0))</f>
        <v>0</v>
      </c>
      <c r="M1306" s="124">
        <f t="shared" si="403"/>
        <v>0</v>
      </c>
      <c r="N1306" s="122">
        <f t="shared" si="404"/>
        <v>0</v>
      </c>
      <c r="O1306" s="121" t="str">
        <f t="shared" si="405"/>
        <v/>
      </c>
      <c r="P1306">
        <f t="shared" si="406"/>
        <v>0</v>
      </c>
      <c r="Q1306">
        <f t="shared" si="407"/>
        <v>0</v>
      </c>
      <c r="R1306">
        <f t="shared" si="408"/>
        <v>0</v>
      </c>
      <c r="S1306">
        <f t="shared" si="409"/>
        <v>0</v>
      </c>
      <c r="T1306" s="89">
        <f t="shared" si="410"/>
        <v>0</v>
      </c>
      <c r="U1306" s="126">
        <f>IF($D1306="",0,IFERROR(LOOKUP(2,1/(($D$3:D1305=$D1306)*($C$3:C1305=$C1306)*($A$3:A1305&lt;$A1306)),$AB$3:AB1305),1000))</f>
        <v>0</v>
      </c>
      <c r="V1306" s="126">
        <f t="shared" si="411"/>
        <v>0</v>
      </c>
      <c r="W1306">
        <f t="shared" si="412"/>
        <v>0</v>
      </c>
      <c r="X1306">
        <f t="shared" si="413"/>
        <v>0</v>
      </c>
      <c r="Y1306">
        <f t="shared" si="414"/>
        <v>0</v>
      </c>
      <c r="Z1306">
        <f t="shared" si="415"/>
        <v>0</v>
      </c>
      <c r="AA1306">
        <f>IF($D1306="",0,IF($F1306&lt;2,0,IF($E1306="Win",('Guide &amp; Settings'!$C$42/(($F1306-1)*COUNTIFS($A$4:$A$1510,$A1306,$E$4:$E$1510,"Win")))*SUMIFS($Z$4:$Z$1510,$A$4:$A$1510,$A1306,$E$4:$E$1510,"Loss"),-('Guide &amp; Settings'!$C$42/($F1306-1))*$Z1306)))</f>
        <v>0</v>
      </c>
      <c r="AB1306" s="126">
        <f t="shared" si="416"/>
        <v>0</v>
      </c>
      <c r="AC1306" t="str">
        <f>IF($D1306="","",IF($AD1306=0,0,IF(COUNTIFS($D$4:$D1306,$D1306,$B$4:$B1306,$B1306)&gt;1,0,IF($B1306&lt;'Guide &amp; Settings'!$C$50,0,IF(($B1306-$AD1306)/7-'Guide &amp; Settings'!$C$48&gt;=0,(INT(($B1306-$AD1306)/7-'Guide &amp; Settings'!$C$48)+1)*'Guide &amp; Settings'!$C$49,0)))))</f>
        <v/>
      </c>
      <c r="AD1306" s="142">
        <f t="shared" si="417"/>
        <v>0</v>
      </c>
      <c r="AE1306">
        <f t="shared" si="418"/>
        <v>0</v>
      </c>
      <c r="AF1306">
        <f t="shared" si="419"/>
        <v>0</v>
      </c>
    </row>
    <row r="1307" spans="1:32" x14ac:dyDescent="0.2">
      <c r="A1307" s="117"/>
      <c r="B1307" s="118"/>
      <c r="C1307" s="119"/>
      <c r="D1307" s="119"/>
      <c r="E1307" s="117"/>
      <c r="F1307" s="120">
        <f t="shared" si="400"/>
        <v>0</v>
      </c>
      <c r="G1307" s="121" t="str">
        <f t="shared" si="401"/>
        <v/>
      </c>
      <c r="H1307" s="122">
        <f>IF($D1307="",0,IFERROR(LOOKUP(2,1/(($D$3:D1306=$D1307)*($A$3:A1306&lt;$A1307)),$N$3:N1306),'Guide &amp; Settings'!$C$41))</f>
        <v>0</v>
      </c>
      <c r="I1307" s="123">
        <f t="shared" si="402"/>
        <v>0</v>
      </c>
      <c r="J1307" s="124">
        <f>IF($D1307="",0,IF($F1307&lt;2,0,IF($E1307="Win",('Guide &amp; Settings'!$C$42/(($F1307-1)*COUNTIFS($A$4:$A$1510,$A1307,$E$4:$E$1510,"Win")))*SUMIFS($X$4:$X$1510,$A$4:$A$1510,$A1307,$E$4:$E$1510,"Loss"),-('Guide &amp; Settings'!$C$42/($F1307-1))*$X1307)))</f>
        <v>0</v>
      </c>
      <c r="K1307" s="124">
        <f>IF($D1307="",0,'Guide &amp; Settings'!$C$43*(IF($E1307="Win",1,0)-$I1307))</f>
        <v>0</v>
      </c>
      <c r="L1307" s="125">
        <f>IF($D1307="",0,'Guide &amp; Settings'!$C$44*IF($F1307&gt;=3,$F1307,0))</f>
        <v>0</v>
      </c>
      <c r="M1307" s="124">
        <f t="shared" si="403"/>
        <v>0</v>
      </c>
      <c r="N1307" s="122">
        <f t="shared" si="404"/>
        <v>0</v>
      </c>
      <c r="O1307" s="121" t="str">
        <f t="shared" si="405"/>
        <v/>
      </c>
      <c r="P1307">
        <f t="shared" si="406"/>
        <v>0</v>
      </c>
      <c r="Q1307">
        <f t="shared" si="407"/>
        <v>0</v>
      </c>
      <c r="R1307">
        <f t="shared" si="408"/>
        <v>0</v>
      </c>
      <c r="S1307">
        <f t="shared" si="409"/>
        <v>0</v>
      </c>
      <c r="T1307" s="89">
        <f t="shared" si="410"/>
        <v>0</v>
      </c>
      <c r="U1307" s="126">
        <f>IF($D1307="",0,IFERROR(LOOKUP(2,1/(($D$3:D1306=$D1307)*($C$3:C1306=$C1307)*($A$3:A1306&lt;$A1307)),$AB$3:AB1306),1000))</f>
        <v>0</v>
      </c>
      <c r="V1307" s="126">
        <f t="shared" si="411"/>
        <v>0</v>
      </c>
      <c r="W1307">
        <f t="shared" si="412"/>
        <v>0</v>
      </c>
      <c r="X1307">
        <f t="shared" si="413"/>
        <v>0</v>
      </c>
      <c r="Y1307">
        <f t="shared" si="414"/>
        <v>0</v>
      </c>
      <c r="Z1307">
        <f t="shared" si="415"/>
        <v>0</v>
      </c>
      <c r="AA1307">
        <f>IF($D1307="",0,IF($F1307&lt;2,0,IF($E1307="Win",('Guide &amp; Settings'!$C$42/(($F1307-1)*COUNTIFS($A$4:$A$1510,$A1307,$E$4:$E$1510,"Win")))*SUMIFS($Z$4:$Z$1510,$A$4:$A$1510,$A1307,$E$4:$E$1510,"Loss"),-('Guide &amp; Settings'!$C$42/($F1307-1))*$Z1307)))</f>
        <v>0</v>
      </c>
      <c r="AB1307" s="126">
        <f t="shared" si="416"/>
        <v>0</v>
      </c>
      <c r="AC1307" t="str">
        <f>IF($D1307="","",IF($AD1307=0,0,IF(COUNTIFS($D$4:$D1307,$D1307,$B$4:$B1307,$B1307)&gt;1,0,IF($B1307&lt;'Guide &amp; Settings'!$C$50,0,IF(($B1307-$AD1307)/7-'Guide &amp; Settings'!$C$48&gt;=0,(INT(($B1307-$AD1307)/7-'Guide &amp; Settings'!$C$48)+1)*'Guide &amp; Settings'!$C$49,0)))))</f>
        <v/>
      </c>
      <c r="AD1307" s="142">
        <f t="shared" si="417"/>
        <v>0</v>
      </c>
      <c r="AE1307">
        <f t="shared" si="418"/>
        <v>0</v>
      </c>
      <c r="AF1307">
        <f t="shared" si="419"/>
        <v>0</v>
      </c>
    </row>
    <row r="1308" spans="1:32" x14ac:dyDescent="0.2">
      <c r="A1308" s="117"/>
      <c r="B1308" s="118"/>
      <c r="C1308" s="119"/>
      <c r="D1308" s="119"/>
      <c r="E1308" s="117"/>
      <c r="F1308" s="120">
        <f t="shared" si="400"/>
        <v>0</v>
      </c>
      <c r="G1308" s="121" t="str">
        <f t="shared" si="401"/>
        <v/>
      </c>
      <c r="H1308" s="122">
        <f>IF($D1308="",0,IFERROR(LOOKUP(2,1/(($D$3:D1307=$D1308)*($A$3:A1307&lt;$A1308)),$N$3:N1307),'Guide &amp; Settings'!$C$41))</f>
        <v>0</v>
      </c>
      <c r="I1308" s="123">
        <f t="shared" si="402"/>
        <v>0</v>
      </c>
      <c r="J1308" s="124">
        <f>IF($D1308="",0,IF($F1308&lt;2,0,IF($E1308="Win",('Guide &amp; Settings'!$C$42/(($F1308-1)*COUNTIFS($A$4:$A$1510,$A1308,$E$4:$E$1510,"Win")))*SUMIFS($X$4:$X$1510,$A$4:$A$1510,$A1308,$E$4:$E$1510,"Loss"),-('Guide &amp; Settings'!$C$42/($F1308-1))*$X1308)))</f>
        <v>0</v>
      </c>
      <c r="K1308" s="124">
        <f>IF($D1308="",0,'Guide &amp; Settings'!$C$43*(IF($E1308="Win",1,0)-$I1308))</f>
        <v>0</v>
      </c>
      <c r="L1308" s="125">
        <f>IF($D1308="",0,'Guide &amp; Settings'!$C$44*IF($F1308&gt;=3,$F1308,0))</f>
        <v>0</v>
      </c>
      <c r="M1308" s="124">
        <f t="shared" si="403"/>
        <v>0</v>
      </c>
      <c r="N1308" s="122">
        <f t="shared" si="404"/>
        <v>0</v>
      </c>
      <c r="O1308" s="121" t="str">
        <f t="shared" si="405"/>
        <v/>
      </c>
      <c r="P1308">
        <f t="shared" si="406"/>
        <v>0</v>
      </c>
      <c r="Q1308">
        <f t="shared" si="407"/>
        <v>0</v>
      </c>
      <c r="R1308">
        <f t="shared" si="408"/>
        <v>0</v>
      </c>
      <c r="S1308">
        <f t="shared" si="409"/>
        <v>0</v>
      </c>
      <c r="T1308" s="89">
        <f t="shared" si="410"/>
        <v>0</v>
      </c>
      <c r="U1308" s="126">
        <f>IF($D1308="",0,IFERROR(LOOKUP(2,1/(($D$3:D1307=$D1308)*($C$3:C1307=$C1308)*($A$3:A1307&lt;$A1308)),$AB$3:AB1307),1000))</f>
        <v>0</v>
      </c>
      <c r="V1308" s="126">
        <f t="shared" si="411"/>
        <v>0</v>
      </c>
      <c r="W1308">
        <f t="shared" si="412"/>
        <v>0</v>
      </c>
      <c r="X1308">
        <f t="shared" si="413"/>
        <v>0</v>
      </c>
      <c r="Y1308">
        <f t="shared" si="414"/>
        <v>0</v>
      </c>
      <c r="Z1308">
        <f t="shared" si="415"/>
        <v>0</v>
      </c>
      <c r="AA1308">
        <f>IF($D1308="",0,IF($F1308&lt;2,0,IF($E1308="Win",('Guide &amp; Settings'!$C$42/(($F1308-1)*COUNTIFS($A$4:$A$1510,$A1308,$E$4:$E$1510,"Win")))*SUMIFS($Z$4:$Z$1510,$A$4:$A$1510,$A1308,$E$4:$E$1510,"Loss"),-('Guide &amp; Settings'!$C$42/($F1308-1))*$Z1308)))</f>
        <v>0</v>
      </c>
      <c r="AB1308" s="126">
        <f t="shared" si="416"/>
        <v>0</v>
      </c>
      <c r="AC1308" t="str">
        <f>IF($D1308="","",IF($AD1308=0,0,IF(COUNTIFS($D$4:$D1308,$D1308,$B$4:$B1308,$B1308)&gt;1,0,IF($B1308&lt;'Guide &amp; Settings'!$C$50,0,IF(($B1308-$AD1308)/7-'Guide &amp; Settings'!$C$48&gt;=0,(INT(($B1308-$AD1308)/7-'Guide &amp; Settings'!$C$48)+1)*'Guide &amp; Settings'!$C$49,0)))))</f>
        <v/>
      </c>
      <c r="AD1308" s="142">
        <f t="shared" si="417"/>
        <v>0</v>
      </c>
      <c r="AE1308">
        <f t="shared" si="418"/>
        <v>0</v>
      </c>
      <c r="AF1308">
        <f t="shared" si="419"/>
        <v>0</v>
      </c>
    </row>
    <row r="1309" spans="1:32" x14ac:dyDescent="0.2">
      <c r="A1309" s="117"/>
      <c r="B1309" s="118"/>
      <c r="C1309" s="119"/>
      <c r="D1309" s="119"/>
      <c r="E1309" s="117"/>
      <c r="F1309" s="120">
        <f t="shared" si="400"/>
        <v>0</v>
      </c>
      <c r="G1309" s="121" t="str">
        <f t="shared" si="401"/>
        <v/>
      </c>
      <c r="H1309" s="122">
        <f>IF($D1309="",0,IFERROR(LOOKUP(2,1/(($D$3:D1308=$D1309)*($A$3:A1308&lt;$A1309)),$N$3:N1308),'Guide &amp; Settings'!$C$41))</f>
        <v>0</v>
      </c>
      <c r="I1309" s="123">
        <f t="shared" si="402"/>
        <v>0</v>
      </c>
      <c r="J1309" s="124">
        <f>IF($D1309="",0,IF($F1309&lt;2,0,IF($E1309="Win",('Guide &amp; Settings'!$C$42/(($F1309-1)*COUNTIFS($A$4:$A$1510,$A1309,$E$4:$E$1510,"Win")))*SUMIFS($X$4:$X$1510,$A$4:$A$1510,$A1309,$E$4:$E$1510,"Loss"),-('Guide &amp; Settings'!$C$42/($F1309-1))*$X1309)))</f>
        <v>0</v>
      </c>
      <c r="K1309" s="124">
        <f>IF($D1309="",0,'Guide &amp; Settings'!$C$43*(IF($E1309="Win",1,0)-$I1309))</f>
        <v>0</v>
      </c>
      <c r="L1309" s="125">
        <f>IF($D1309="",0,'Guide &amp; Settings'!$C$44*IF($F1309&gt;=3,$F1309,0))</f>
        <v>0</v>
      </c>
      <c r="M1309" s="124">
        <f t="shared" si="403"/>
        <v>0</v>
      </c>
      <c r="N1309" s="122">
        <f t="shared" si="404"/>
        <v>0</v>
      </c>
      <c r="O1309" s="121" t="str">
        <f t="shared" si="405"/>
        <v/>
      </c>
      <c r="P1309">
        <f t="shared" si="406"/>
        <v>0</v>
      </c>
      <c r="Q1309">
        <f t="shared" si="407"/>
        <v>0</v>
      </c>
      <c r="R1309">
        <f t="shared" si="408"/>
        <v>0</v>
      </c>
      <c r="S1309">
        <f t="shared" si="409"/>
        <v>0</v>
      </c>
      <c r="T1309" s="89">
        <f t="shared" si="410"/>
        <v>0</v>
      </c>
      <c r="U1309" s="126">
        <f>IF($D1309="",0,IFERROR(LOOKUP(2,1/(($D$3:D1308=$D1309)*($C$3:C1308=$C1309)*($A$3:A1308&lt;$A1309)),$AB$3:AB1308),1000))</f>
        <v>0</v>
      </c>
      <c r="V1309" s="126">
        <f t="shared" si="411"/>
        <v>0</v>
      </c>
      <c r="W1309">
        <f t="shared" si="412"/>
        <v>0</v>
      </c>
      <c r="X1309">
        <f t="shared" si="413"/>
        <v>0</v>
      </c>
      <c r="Y1309">
        <f t="shared" si="414"/>
        <v>0</v>
      </c>
      <c r="Z1309">
        <f t="shared" si="415"/>
        <v>0</v>
      </c>
      <c r="AA1309">
        <f>IF($D1309="",0,IF($F1309&lt;2,0,IF($E1309="Win",('Guide &amp; Settings'!$C$42/(($F1309-1)*COUNTIFS($A$4:$A$1510,$A1309,$E$4:$E$1510,"Win")))*SUMIFS($Z$4:$Z$1510,$A$4:$A$1510,$A1309,$E$4:$E$1510,"Loss"),-('Guide &amp; Settings'!$C$42/($F1309-1))*$Z1309)))</f>
        <v>0</v>
      </c>
      <c r="AB1309" s="126">
        <f t="shared" si="416"/>
        <v>0</v>
      </c>
      <c r="AC1309" t="str">
        <f>IF($D1309="","",IF($AD1309=0,0,IF(COUNTIFS($D$4:$D1309,$D1309,$B$4:$B1309,$B1309)&gt;1,0,IF($B1309&lt;'Guide &amp; Settings'!$C$50,0,IF(($B1309-$AD1309)/7-'Guide &amp; Settings'!$C$48&gt;=0,(INT(($B1309-$AD1309)/7-'Guide &amp; Settings'!$C$48)+1)*'Guide &amp; Settings'!$C$49,0)))))</f>
        <v/>
      </c>
      <c r="AD1309" s="142">
        <f t="shared" si="417"/>
        <v>0</v>
      </c>
      <c r="AE1309">
        <f t="shared" si="418"/>
        <v>0</v>
      </c>
      <c r="AF1309">
        <f t="shared" si="419"/>
        <v>0</v>
      </c>
    </row>
    <row r="1310" spans="1:32" x14ac:dyDescent="0.2">
      <c r="A1310" s="117"/>
      <c r="B1310" s="118"/>
      <c r="C1310" s="119"/>
      <c r="D1310" s="119"/>
      <c r="E1310" s="117"/>
      <c r="F1310" s="120">
        <f t="shared" si="400"/>
        <v>0</v>
      </c>
      <c r="G1310" s="121" t="str">
        <f t="shared" si="401"/>
        <v/>
      </c>
      <c r="H1310" s="122">
        <f>IF($D1310="",0,IFERROR(LOOKUP(2,1/(($D$3:D1309=$D1310)*($A$3:A1309&lt;$A1310)),$N$3:N1309),'Guide &amp; Settings'!$C$41))</f>
        <v>0</v>
      </c>
      <c r="I1310" s="123">
        <f t="shared" si="402"/>
        <v>0</v>
      </c>
      <c r="J1310" s="124">
        <f>IF($D1310="",0,IF($F1310&lt;2,0,IF($E1310="Win",('Guide &amp; Settings'!$C$42/(($F1310-1)*COUNTIFS($A$4:$A$1510,$A1310,$E$4:$E$1510,"Win")))*SUMIFS($X$4:$X$1510,$A$4:$A$1510,$A1310,$E$4:$E$1510,"Loss"),-('Guide &amp; Settings'!$C$42/($F1310-1))*$X1310)))</f>
        <v>0</v>
      </c>
      <c r="K1310" s="124">
        <f>IF($D1310="",0,'Guide &amp; Settings'!$C$43*(IF($E1310="Win",1,0)-$I1310))</f>
        <v>0</v>
      </c>
      <c r="L1310" s="125">
        <f>IF($D1310="",0,'Guide &amp; Settings'!$C$44*IF($F1310&gt;=3,$F1310,0))</f>
        <v>0</v>
      </c>
      <c r="M1310" s="124">
        <f t="shared" si="403"/>
        <v>0</v>
      </c>
      <c r="N1310" s="122">
        <f t="shared" si="404"/>
        <v>0</v>
      </c>
      <c r="O1310" s="121" t="str">
        <f t="shared" si="405"/>
        <v/>
      </c>
      <c r="P1310">
        <f t="shared" si="406"/>
        <v>0</v>
      </c>
      <c r="Q1310">
        <f t="shared" si="407"/>
        <v>0</v>
      </c>
      <c r="R1310">
        <f t="shared" si="408"/>
        <v>0</v>
      </c>
      <c r="S1310">
        <f t="shared" si="409"/>
        <v>0</v>
      </c>
      <c r="T1310" s="89">
        <f t="shared" si="410"/>
        <v>0</v>
      </c>
      <c r="U1310" s="126">
        <f>IF($D1310="",0,IFERROR(LOOKUP(2,1/(($D$3:D1309=$D1310)*($C$3:C1309=$C1310)*($A$3:A1309&lt;$A1310)),$AB$3:AB1309),1000))</f>
        <v>0</v>
      </c>
      <c r="V1310" s="126">
        <f t="shared" si="411"/>
        <v>0</v>
      </c>
      <c r="W1310">
        <f t="shared" si="412"/>
        <v>0</v>
      </c>
      <c r="X1310">
        <f t="shared" si="413"/>
        <v>0</v>
      </c>
      <c r="Y1310">
        <f t="shared" si="414"/>
        <v>0</v>
      </c>
      <c r="Z1310">
        <f t="shared" si="415"/>
        <v>0</v>
      </c>
      <c r="AA1310">
        <f>IF($D1310="",0,IF($F1310&lt;2,0,IF($E1310="Win",('Guide &amp; Settings'!$C$42/(($F1310-1)*COUNTIFS($A$4:$A$1510,$A1310,$E$4:$E$1510,"Win")))*SUMIFS($Z$4:$Z$1510,$A$4:$A$1510,$A1310,$E$4:$E$1510,"Loss"),-('Guide &amp; Settings'!$C$42/($F1310-1))*$Z1310)))</f>
        <v>0</v>
      </c>
      <c r="AB1310" s="126">
        <f t="shared" si="416"/>
        <v>0</v>
      </c>
      <c r="AC1310" t="str">
        <f>IF($D1310="","",IF($AD1310=0,0,IF(COUNTIFS($D$4:$D1310,$D1310,$B$4:$B1310,$B1310)&gt;1,0,IF($B1310&lt;'Guide &amp; Settings'!$C$50,0,IF(($B1310-$AD1310)/7-'Guide &amp; Settings'!$C$48&gt;=0,(INT(($B1310-$AD1310)/7-'Guide &amp; Settings'!$C$48)+1)*'Guide &amp; Settings'!$C$49,0)))))</f>
        <v/>
      </c>
      <c r="AD1310" s="142">
        <f t="shared" si="417"/>
        <v>0</v>
      </c>
      <c r="AE1310">
        <f t="shared" si="418"/>
        <v>0</v>
      </c>
      <c r="AF1310">
        <f t="shared" si="419"/>
        <v>0</v>
      </c>
    </row>
    <row r="1311" spans="1:32" x14ac:dyDescent="0.2">
      <c r="A1311" s="117"/>
      <c r="B1311" s="118"/>
      <c r="C1311" s="119"/>
      <c r="D1311" s="119"/>
      <c r="E1311" s="117"/>
      <c r="F1311" s="120">
        <f t="shared" si="400"/>
        <v>0</v>
      </c>
      <c r="G1311" s="121" t="str">
        <f t="shared" si="401"/>
        <v/>
      </c>
      <c r="H1311" s="122">
        <f>IF($D1311="",0,IFERROR(LOOKUP(2,1/(($D$3:D1310=$D1311)*($A$3:A1310&lt;$A1311)),$N$3:N1310),'Guide &amp; Settings'!$C$41))</f>
        <v>0</v>
      </c>
      <c r="I1311" s="123">
        <f t="shared" si="402"/>
        <v>0</v>
      </c>
      <c r="J1311" s="124">
        <f>IF($D1311="",0,IF($F1311&lt;2,0,IF($E1311="Win",('Guide &amp; Settings'!$C$42/(($F1311-1)*COUNTIFS($A$4:$A$1510,$A1311,$E$4:$E$1510,"Win")))*SUMIFS($X$4:$X$1510,$A$4:$A$1510,$A1311,$E$4:$E$1510,"Loss"),-('Guide &amp; Settings'!$C$42/($F1311-1))*$X1311)))</f>
        <v>0</v>
      </c>
      <c r="K1311" s="124">
        <f>IF($D1311="",0,'Guide &amp; Settings'!$C$43*(IF($E1311="Win",1,0)-$I1311))</f>
        <v>0</v>
      </c>
      <c r="L1311" s="125">
        <f>IF($D1311="",0,'Guide &amp; Settings'!$C$44*IF($F1311&gt;=3,$F1311,0))</f>
        <v>0</v>
      </c>
      <c r="M1311" s="124">
        <f t="shared" si="403"/>
        <v>0</v>
      </c>
      <c r="N1311" s="122">
        <f t="shared" si="404"/>
        <v>0</v>
      </c>
      <c r="O1311" s="121" t="str">
        <f t="shared" si="405"/>
        <v/>
      </c>
      <c r="P1311">
        <f t="shared" si="406"/>
        <v>0</v>
      </c>
      <c r="Q1311">
        <f t="shared" si="407"/>
        <v>0</v>
      </c>
      <c r="R1311">
        <f t="shared" si="408"/>
        <v>0</v>
      </c>
      <c r="S1311">
        <f t="shared" si="409"/>
        <v>0</v>
      </c>
      <c r="T1311" s="89">
        <f t="shared" si="410"/>
        <v>0</v>
      </c>
      <c r="U1311" s="126">
        <f>IF($D1311="",0,IFERROR(LOOKUP(2,1/(($D$3:D1310=$D1311)*($C$3:C1310=$C1311)*($A$3:A1310&lt;$A1311)),$AB$3:AB1310),1000))</f>
        <v>0</v>
      </c>
      <c r="V1311" s="126">
        <f t="shared" si="411"/>
        <v>0</v>
      </c>
      <c r="W1311">
        <f t="shared" si="412"/>
        <v>0</v>
      </c>
      <c r="X1311">
        <f t="shared" si="413"/>
        <v>0</v>
      </c>
      <c r="Y1311">
        <f t="shared" si="414"/>
        <v>0</v>
      </c>
      <c r="Z1311">
        <f t="shared" si="415"/>
        <v>0</v>
      </c>
      <c r="AA1311">
        <f>IF($D1311="",0,IF($F1311&lt;2,0,IF($E1311="Win",('Guide &amp; Settings'!$C$42/(($F1311-1)*COUNTIFS($A$4:$A$1510,$A1311,$E$4:$E$1510,"Win")))*SUMIFS($Z$4:$Z$1510,$A$4:$A$1510,$A1311,$E$4:$E$1510,"Loss"),-('Guide &amp; Settings'!$C$42/($F1311-1))*$Z1311)))</f>
        <v>0</v>
      </c>
      <c r="AB1311" s="126">
        <f t="shared" si="416"/>
        <v>0</v>
      </c>
      <c r="AC1311" t="str">
        <f>IF($D1311="","",IF($AD1311=0,0,IF(COUNTIFS($D$4:$D1311,$D1311,$B$4:$B1311,$B1311)&gt;1,0,IF($B1311&lt;'Guide &amp; Settings'!$C$50,0,IF(($B1311-$AD1311)/7-'Guide &amp; Settings'!$C$48&gt;=0,(INT(($B1311-$AD1311)/7-'Guide &amp; Settings'!$C$48)+1)*'Guide &amp; Settings'!$C$49,0)))))</f>
        <v/>
      </c>
      <c r="AD1311" s="142">
        <f t="shared" si="417"/>
        <v>0</v>
      </c>
      <c r="AE1311">
        <f t="shared" si="418"/>
        <v>0</v>
      </c>
      <c r="AF1311">
        <f t="shared" si="419"/>
        <v>0</v>
      </c>
    </row>
    <row r="1312" spans="1:32" x14ac:dyDescent="0.2">
      <c r="A1312" s="117"/>
      <c r="B1312" s="118"/>
      <c r="C1312" s="119"/>
      <c r="D1312" s="119"/>
      <c r="E1312" s="117"/>
      <c r="F1312" s="120">
        <f t="shared" si="400"/>
        <v>0</v>
      </c>
      <c r="G1312" s="121" t="str">
        <f t="shared" si="401"/>
        <v/>
      </c>
      <c r="H1312" s="122">
        <f>IF($D1312="",0,IFERROR(LOOKUP(2,1/(($D$3:D1311=$D1312)*($A$3:A1311&lt;$A1312)),$N$3:N1311),'Guide &amp; Settings'!$C$41))</f>
        <v>0</v>
      </c>
      <c r="I1312" s="123">
        <f t="shared" si="402"/>
        <v>0</v>
      </c>
      <c r="J1312" s="124">
        <f>IF($D1312="",0,IF($F1312&lt;2,0,IF($E1312="Win",('Guide &amp; Settings'!$C$42/(($F1312-1)*COUNTIFS($A$4:$A$1510,$A1312,$E$4:$E$1510,"Win")))*SUMIFS($X$4:$X$1510,$A$4:$A$1510,$A1312,$E$4:$E$1510,"Loss"),-('Guide &amp; Settings'!$C$42/($F1312-1))*$X1312)))</f>
        <v>0</v>
      </c>
      <c r="K1312" s="124">
        <f>IF($D1312="",0,'Guide &amp; Settings'!$C$43*(IF($E1312="Win",1,0)-$I1312))</f>
        <v>0</v>
      </c>
      <c r="L1312" s="125">
        <f>IF($D1312="",0,'Guide &amp; Settings'!$C$44*IF($F1312&gt;=3,$F1312,0))</f>
        <v>0</v>
      </c>
      <c r="M1312" s="124">
        <f t="shared" si="403"/>
        <v>0</v>
      </c>
      <c r="N1312" s="122">
        <f t="shared" si="404"/>
        <v>0</v>
      </c>
      <c r="O1312" s="121" t="str">
        <f t="shared" si="405"/>
        <v/>
      </c>
      <c r="P1312">
        <f t="shared" si="406"/>
        <v>0</v>
      </c>
      <c r="Q1312">
        <f t="shared" si="407"/>
        <v>0</v>
      </c>
      <c r="R1312">
        <f t="shared" si="408"/>
        <v>0</v>
      </c>
      <c r="S1312">
        <f t="shared" si="409"/>
        <v>0</v>
      </c>
      <c r="T1312" s="89">
        <f t="shared" si="410"/>
        <v>0</v>
      </c>
      <c r="U1312" s="126">
        <f>IF($D1312="",0,IFERROR(LOOKUP(2,1/(($D$3:D1311=$D1312)*($C$3:C1311=$C1312)*($A$3:A1311&lt;$A1312)),$AB$3:AB1311),1000))</f>
        <v>0</v>
      </c>
      <c r="V1312" s="126">
        <f t="shared" si="411"/>
        <v>0</v>
      </c>
      <c r="W1312">
        <f t="shared" si="412"/>
        <v>0</v>
      </c>
      <c r="X1312">
        <f t="shared" si="413"/>
        <v>0</v>
      </c>
      <c r="Y1312">
        <f t="shared" si="414"/>
        <v>0</v>
      </c>
      <c r="Z1312">
        <f t="shared" si="415"/>
        <v>0</v>
      </c>
      <c r="AA1312">
        <f>IF($D1312="",0,IF($F1312&lt;2,0,IF($E1312="Win",('Guide &amp; Settings'!$C$42/(($F1312-1)*COUNTIFS($A$4:$A$1510,$A1312,$E$4:$E$1510,"Win")))*SUMIFS($Z$4:$Z$1510,$A$4:$A$1510,$A1312,$E$4:$E$1510,"Loss"),-('Guide &amp; Settings'!$C$42/($F1312-1))*$Z1312)))</f>
        <v>0</v>
      </c>
      <c r="AB1312" s="126">
        <f t="shared" si="416"/>
        <v>0</v>
      </c>
      <c r="AC1312" t="str">
        <f>IF($D1312="","",IF($AD1312=0,0,IF(COUNTIFS($D$4:$D1312,$D1312,$B$4:$B1312,$B1312)&gt;1,0,IF($B1312&lt;'Guide &amp; Settings'!$C$50,0,IF(($B1312-$AD1312)/7-'Guide &amp; Settings'!$C$48&gt;=0,(INT(($B1312-$AD1312)/7-'Guide &amp; Settings'!$C$48)+1)*'Guide &amp; Settings'!$C$49,0)))))</f>
        <v/>
      </c>
      <c r="AD1312" s="142">
        <f t="shared" si="417"/>
        <v>0</v>
      </c>
      <c r="AE1312">
        <f t="shared" si="418"/>
        <v>0</v>
      </c>
      <c r="AF1312">
        <f t="shared" si="419"/>
        <v>0</v>
      </c>
    </row>
    <row r="1313" spans="1:32" x14ac:dyDescent="0.2">
      <c r="A1313" s="117"/>
      <c r="B1313" s="118"/>
      <c r="C1313" s="119"/>
      <c r="D1313" s="119"/>
      <c r="E1313" s="117"/>
      <c r="F1313" s="120">
        <f t="shared" si="400"/>
        <v>0</v>
      </c>
      <c r="G1313" s="121" t="str">
        <f t="shared" si="401"/>
        <v/>
      </c>
      <c r="H1313" s="122">
        <f>IF($D1313="",0,IFERROR(LOOKUP(2,1/(($D$3:D1312=$D1313)*($A$3:A1312&lt;$A1313)),$N$3:N1312),'Guide &amp; Settings'!$C$41))</f>
        <v>0</v>
      </c>
      <c r="I1313" s="123">
        <f t="shared" si="402"/>
        <v>0</v>
      </c>
      <c r="J1313" s="124">
        <f>IF($D1313="",0,IF($F1313&lt;2,0,IF($E1313="Win",('Guide &amp; Settings'!$C$42/(($F1313-1)*COUNTIFS($A$4:$A$1510,$A1313,$E$4:$E$1510,"Win")))*SUMIFS($X$4:$X$1510,$A$4:$A$1510,$A1313,$E$4:$E$1510,"Loss"),-('Guide &amp; Settings'!$C$42/($F1313-1))*$X1313)))</f>
        <v>0</v>
      </c>
      <c r="K1313" s="124">
        <f>IF($D1313="",0,'Guide &amp; Settings'!$C$43*(IF($E1313="Win",1,0)-$I1313))</f>
        <v>0</v>
      </c>
      <c r="L1313" s="125">
        <f>IF($D1313="",0,'Guide &amp; Settings'!$C$44*IF($F1313&gt;=3,$F1313,0))</f>
        <v>0</v>
      </c>
      <c r="M1313" s="124">
        <f t="shared" si="403"/>
        <v>0</v>
      </c>
      <c r="N1313" s="122">
        <f t="shared" si="404"/>
        <v>0</v>
      </c>
      <c r="O1313" s="121" t="str">
        <f t="shared" si="405"/>
        <v/>
      </c>
      <c r="P1313">
        <f t="shared" si="406"/>
        <v>0</v>
      </c>
      <c r="Q1313">
        <f t="shared" si="407"/>
        <v>0</v>
      </c>
      <c r="R1313">
        <f t="shared" si="408"/>
        <v>0</v>
      </c>
      <c r="S1313">
        <f t="shared" si="409"/>
        <v>0</v>
      </c>
      <c r="T1313" s="89">
        <f t="shared" si="410"/>
        <v>0</v>
      </c>
      <c r="U1313" s="126">
        <f>IF($D1313="",0,IFERROR(LOOKUP(2,1/(($D$3:D1312=$D1313)*($C$3:C1312=$C1313)*($A$3:A1312&lt;$A1313)),$AB$3:AB1312),1000))</f>
        <v>0</v>
      </c>
      <c r="V1313" s="126">
        <f t="shared" si="411"/>
        <v>0</v>
      </c>
      <c r="W1313">
        <f t="shared" si="412"/>
        <v>0</v>
      </c>
      <c r="X1313">
        <f t="shared" si="413"/>
        <v>0</v>
      </c>
      <c r="Y1313">
        <f t="shared" si="414"/>
        <v>0</v>
      </c>
      <c r="Z1313">
        <f t="shared" si="415"/>
        <v>0</v>
      </c>
      <c r="AA1313">
        <f>IF($D1313="",0,IF($F1313&lt;2,0,IF($E1313="Win",('Guide &amp; Settings'!$C$42/(($F1313-1)*COUNTIFS($A$4:$A$1510,$A1313,$E$4:$E$1510,"Win")))*SUMIFS($Z$4:$Z$1510,$A$4:$A$1510,$A1313,$E$4:$E$1510,"Loss"),-('Guide &amp; Settings'!$C$42/($F1313-1))*$Z1313)))</f>
        <v>0</v>
      </c>
      <c r="AB1313" s="126">
        <f t="shared" si="416"/>
        <v>0</v>
      </c>
      <c r="AC1313" t="str">
        <f>IF($D1313="","",IF($AD1313=0,0,IF(COUNTIFS($D$4:$D1313,$D1313,$B$4:$B1313,$B1313)&gt;1,0,IF($B1313&lt;'Guide &amp; Settings'!$C$50,0,IF(($B1313-$AD1313)/7-'Guide &amp; Settings'!$C$48&gt;=0,(INT(($B1313-$AD1313)/7-'Guide &amp; Settings'!$C$48)+1)*'Guide &amp; Settings'!$C$49,0)))))</f>
        <v/>
      </c>
      <c r="AD1313" s="142">
        <f t="shared" si="417"/>
        <v>0</v>
      </c>
      <c r="AE1313">
        <f t="shared" si="418"/>
        <v>0</v>
      </c>
      <c r="AF1313">
        <f t="shared" si="419"/>
        <v>0</v>
      </c>
    </row>
    <row r="1314" spans="1:32" x14ac:dyDescent="0.2">
      <c r="A1314" s="117"/>
      <c r="B1314" s="118"/>
      <c r="C1314" s="119"/>
      <c r="D1314" s="119"/>
      <c r="E1314" s="117"/>
      <c r="F1314" s="120">
        <f t="shared" si="400"/>
        <v>0</v>
      </c>
      <c r="G1314" s="121" t="str">
        <f t="shared" si="401"/>
        <v/>
      </c>
      <c r="H1314" s="122">
        <f>IF($D1314="",0,IFERROR(LOOKUP(2,1/(($D$3:D1313=$D1314)*($A$3:A1313&lt;$A1314)),$N$3:N1313),'Guide &amp; Settings'!$C$41))</f>
        <v>0</v>
      </c>
      <c r="I1314" s="123">
        <f t="shared" si="402"/>
        <v>0</v>
      </c>
      <c r="J1314" s="124">
        <f>IF($D1314="",0,IF($F1314&lt;2,0,IF($E1314="Win",('Guide &amp; Settings'!$C$42/(($F1314-1)*COUNTIFS($A$4:$A$1510,$A1314,$E$4:$E$1510,"Win")))*SUMIFS($X$4:$X$1510,$A$4:$A$1510,$A1314,$E$4:$E$1510,"Loss"),-('Guide &amp; Settings'!$C$42/($F1314-1))*$X1314)))</f>
        <v>0</v>
      </c>
      <c r="K1314" s="124">
        <f>IF($D1314="",0,'Guide &amp; Settings'!$C$43*(IF($E1314="Win",1,0)-$I1314))</f>
        <v>0</v>
      </c>
      <c r="L1314" s="125">
        <f>IF($D1314="",0,'Guide &amp; Settings'!$C$44*IF($F1314&gt;=3,$F1314,0))</f>
        <v>0</v>
      </c>
      <c r="M1314" s="124">
        <f t="shared" si="403"/>
        <v>0</v>
      </c>
      <c r="N1314" s="122">
        <f t="shared" si="404"/>
        <v>0</v>
      </c>
      <c r="O1314" s="121" t="str">
        <f t="shared" si="405"/>
        <v/>
      </c>
      <c r="P1314">
        <f t="shared" si="406"/>
        <v>0</v>
      </c>
      <c r="Q1314">
        <f t="shared" si="407"/>
        <v>0</v>
      </c>
      <c r="R1314">
        <f t="shared" si="408"/>
        <v>0</v>
      </c>
      <c r="S1314">
        <f t="shared" si="409"/>
        <v>0</v>
      </c>
      <c r="T1314" s="89">
        <f t="shared" si="410"/>
        <v>0</v>
      </c>
      <c r="U1314" s="126">
        <f>IF($D1314="",0,IFERROR(LOOKUP(2,1/(($D$3:D1313=$D1314)*($C$3:C1313=$C1314)*($A$3:A1313&lt;$A1314)),$AB$3:AB1313),1000))</f>
        <v>0</v>
      </c>
      <c r="V1314" s="126">
        <f t="shared" si="411"/>
        <v>0</v>
      </c>
      <c r="W1314">
        <f t="shared" si="412"/>
        <v>0</v>
      </c>
      <c r="X1314">
        <f t="shared" si="413"/>
        <v>0</v>
      </c>
      <c r="Y1314">
        <f t="shared" si="414"/>
        <v>0</v>
      </c>
      <c r="Z1314">
        <f t="shared" si="415"/>
        <v>0</v>
      </c>
      <c r="AA1314">
        <f>IF($D1314="",0,IF($F1314&lt;2,0,IF($E1314="Win",('Guide &amp; Settings'!$C$42/(($F1314-1)*COUNTIFS($A$4:$A$1510,$A1314,$E$4:$E$1510,"Win")))*SUMIFS($Z$4:$Z$1510,$A$4:$A$1510,$A1314,$E$4:$E$1510,"Loss"),-('Guide &amp; Settings'!$C$42/($F1314-1))*$Z1314)))</f>
        <v>0</v>
      </c>
      <c r="AB1314" s="126">
        <f t="shared" si="416"/>
        <v>0</v>
      </c>
      <c r="AC1314" t="str">
        <f>IF($D1314="","",IF($AD1314=0,0,IF(COUNTIFS($D$4:$D1314,$D1314,$B$4:$B1314,$B1314)&gt;1,0,IF($B1314&lt;'Guide &amp; Settings'!$C$50,0,IF(($B1314-$AD1314)/7-'Guide &amp; Settings'!$C$48&gt;=0,(INT(($B1314-$AD1314)/7-'Guide &amp; Settings'!$C$48)+1)*'Guide &amp; Settings'!$C$49,0)))))</f>
        <v/>
      </c>
      <c r="AD1314" s="142">
        <f t="shared" si="417"/>
        <v>0</v>
      </c>
      <c r="AE1314">
        <f t="shared" si="418"/>
        <v>0</v>
      </c>
      <c r="AF1314">
        <f t="shared" si="419"/>
        <v>0</v>
      </c>
    </row>
    <row r="1315" spans="1:32" x14ac:dyDescent="0.2">
      <c r="A1315" s="117"/>
      <c r="B1315" s="118"/>
      <c r="C1315" s="119"/>
      <c r="D1315" s="119"/>
      <c r="E1315" s="117"/>
      <c r="F1315" s="120">
        <f t="shared" si="400"/>
        <v>0</v>
      </c>
      <c r="G1315" s="121" t="str">
        <f t="shared" si="401"/>
        <v/>
      </c>
      <c r="H1315" s="122">
        <f>IF($D1315="",0,IFERROR(LOOKUP(2,1/(($D$3:D1314=$D1315)*($A$3:A1314&lt;$A1315)),$N$3:N1314),'Guide &amp; Settings'!$C$41))</f>
        <v>0</v>
      </c>
      <c r="I1315" s="123">
        <f t="shared" si="402"/>
        <v>0</v>
      </c>
      <c r="J1315" s="124">
        <f>IF($D1315="",0,IF($F1315&lt;2,0,IF($E1315="Win",('Guide &amp; Settings'!$C$42/(($F1315-1)*COUNTIFS($A$4:$A$1510,$A1315,$E$4:$E$1510,"Win")))*SUMIFS($X$4:$X$1510,$A$4:$A$1510,$A1315,$E$4:$E$1510,"Loss"),-('Guide &amp; Settings'!$C$42/($F1315-1))*$X1315)))</f>
        <v>0</v>
      </c>
      <c r="K1315" s="124">
        <f>IF($D1315="",0,'Guide &amp; Settings'!$C$43*(IF($E1315="Win",1,0)-$I1315))</f>
        <v>0</v>
      </c>
      <c r="L1315" s="125">
        <f>IF($D1315="",0,'Guide &amp; Settings'!$C$44*IF($F1315&gt;=3,$F1315,0))</f>
        <v>0</v>
      </c>
      <c r="M1315" s="124">
        <f t="shared" si="403"/>
        <v>0</v>
      </c>
      <c r="N1315" s="122">
        <f t="shared" si="404"/>
        <v>0</v>
      </c>
      <c r="O1315" s="121" t="str">
        <f t="shared" si="405"/>
        <v/>
      </c>
      <c r="P1315">
        <f t="shared" si="406"/>
        <v>0</v>
      </c>
      <c r="Q1315">
        <f t="shared" si="407"/>
        <v>0</v>
      </c>
      <c r="R1315">
        <f t="shared" si="408"/>
        <v>0</v>
      </c>
      <c r="S1315">
        <f t="shared" si="409"/>
        <v>0</v>
      </c>
      <c r="T1315" s="89">
        <f t="shared" si="410"/>
        <v>0</v>
      </c>
      <c r="U1315" s="126">
        <f>IF($D1315="",0,IFERROR(LOOKUP(2,1/(($D$3:D1314=$D1315)*($C$3:C1314=$C1315)*($A$3:A1314&lt;$A1315)),$AB$3:AB1314),1000))</f>
        <v>0</v>
      </c>
      <c r="V1315" s="126">
        <f t="shared" si="411"/>
        <v>0</v>
      </c>
      <c r="W1315">
        <f t="shared" si="412"/>
        <v>0</v>
      </c>
      <c r="X1315">
        <f t="shared" si="413"/>
        <v>0</v>
      </c>
      <c r="Y1315">
        <f t="shared" si="414"/>
        <v>0</v>
      </c>
      <c r="Z1315">
        <f t="shared" si="415"/>
        <v>0</v>
      </c>
      <c r="AA1315">
        <f>IF($D1315="",0,IF($F1315&lt;2,0,IF($E1315="Win",('Guide &amp; Settings'!$C$42/(($F1315-1)*COUNTIFS($A$4:$A$1510,$A1315,$E$4:$E$1510,"Win")))*SUMIFS($Z$4:$Z$1510,$A$4:$A$1510,$A1315,$E$4:$E$1510,"Loss"),-('Guide &amp; Settings'!$C$42/($F1315-1))*$Z1315)))</f>
        <v>0</v>
      </c>
      <c r="AB1315" s="126">
        <f t="shared" si="416"/>
        <v>0</v>
      </c>
      <c r="AC1315" t="str">
        <f>IF($D1315="","",IF($AD1315=0,0,IF(COUNTIFS($D$4:$D1315,$D1315,$B$4:$B1315,$B1315)&gt;1,0,IF($B1315&lt;'Guide &amp; Settings'!$C$50,0,IF(($B1315-$AD1315)/7-'Guide &amp; Settings'!$C$48&gt;=0,(INT(($B1315-$AD1315)/7-'Guide &amp; Settings'!$C$48)+1)*'Guide &amp; Settings'!$C$49,0)))))</f>
        <v/>
      </c>
      <c r="AD1315" s="142">
        <f t="shared" si="417"/>
        <v>0</v>
      </c>
      <c r="AE1315">
        <f t="shared" si="418"/>
        <v>0</v>
      </c>
      <c r="AF1315">
        <f t="shared" si="419"/>
        <v>0</v>
      </c>
    </row>
    <row r="1316" spans="1:32" x14ac:dyDescent="0.2">
      <c r="A1316" s="117"/>
      <c r="B1316" s="118"/>
      <c r="C1316" s="119"/>
      <c r="D1316" s="119"/>
      <c r="E1316" s="117"/>
      <c r="F1316" s="120">
        <f t="shared" si="400"/>
        <v>0</v>
      </c>
      <c r="G1316" s="121" t="str">
        <f t="shared" si="401"/>
        <v/>
      </c>
      <c r="H1316" s="122">
        <f>IF($D1316="",0,IFERROR(LOOKUP(2,1/(($D$3:D1315=$D1316)*($A$3:A1315&lt;$A1316)),$N$3:N1315),'Guide &amp; Settings'!$C$41))</f>
        <v>0</v>
      </c>
      <c r="I1316" s="123">
        <f t="shared" si="402"/>
        <v>0</v>
      </c>
      <c r="J1316" s="124">
        <f>IF($D1316="",0,IF($F1316&lt;2,0,IF($E1316="Win",('Guide &amp; Settings'!$C$42/(($F1316-1)*COUNTIFS($A$4:$A$1510,$A1316,$E$4:$E$1510,"Win")))*SUMIFS($X$4:$X$1510,$A$4:$A$1510,$A1316,$E$4:$E$1510,"Loss"),-('Guide &amp; Settings'!$C$42/($F1316-1))*$X1316)))</f>
        <v>0</v>
      </c>
      <c r="K1316" s="124">
        <f>IF($D1316="",0,'Guide &amp; Settings'!$C$43*(IF($E1316="Win",1,0)-$I1316))</f>
        <v>0</v>
      </c>
      <c r="L1316" s="125">
        <f>IF($D1316="",0,'Guide &amp; Settings'!$C$44*IF($F1316&gt;=3,$F1316,0))</f>
        <v>0</v>
      </c>
      <c r="M1316" s="124">
        <f t="shared" si="403"/>
        <v>0</v>
      </c>
      <c r="N1316" s="122">
        <f t="shared" si="404"/>
        <v>0</v>
      </c>
      <c r="O1316" s="121" t="str">
        <f t="shared" si="405"/>
        <v/>
      </c>
      <c r="P1316">
        <f t="shared" si="406"/>
        <v>0</v>
      </c>
      <c r="Q1316">
        <f t="shared" si="407"/>
        <v>0</v>
      </c>
      <c r="R1316">
        <f t="shared" si="408"/>
        <v>0</v>
      </c>
      <c r="S1316">
        <f t="shared" si="409"/>
        <v>0</v>
      </c>
      <c r="T1316" s="89">
        <f t="shared" si="410"/>
        <v>0</v>
      </c>
      <c r="U1316" s="126">
        <f>IF($D1316="",0,IFERROR(LOOKUP(2,1/(($D$3:D1315=$D1316)*($C$3:C1315=$C1316)*($A$3:A1315&lt;$A1316)),$AB$3:AB1315),1000))</f>
        <v>0</v>
      </c>
      <c r="V1316" s="126">
        <f t="shared" si="411"/>
        <v>0</v>
      </c>
      <c r="W1316">
        <f t="shared" si="412"/>
        <v>0</v>
      </c>
      <c r="X1316">
        <f t="shared" si="413"/>
        <v>0</v>
      </c>
      <c r="Y1316">
        <f t="shared" si="414"/>
        <v>0</v>
      </c>
      <c r="Z1316">
        <f t="shared" si="415"/>
        <v>0</v>
      </c>
      <c r="AA1316">
        <f>IF($D1316="",0,IF($F1316&lt;2,0,IF($E1316="Win",('Guide &amp; Settings'!$C$42/(($F1316-1)*COUNTIFS($A$4:$A$1510,$A1316,$E$4:$E$1510,"Win")))*SUMIFS($Z$4:$Z$1510,$A$4:$A$1510,$A1316,$E$4:$E$1510,"Loss"),-('Guide &amp; Settings'!$C$42/($F1316-1))*$Z1316)))</f>
        <v>0</v>
      </c>
      <c r="AB1316" s="126">
        <f t="shared" si="416"/>
        <v>0</v>
      </c>
      <c r="AC1316" t="str">
        <f>IF($D1316="","",IF($AD1316=0,0,IF(COUNTIFS($D$4:$D1316,$D1316,$B$4:$B1316,$B1316)&gt;1,0,IF($B1316&lt;'Guide &amp; Settings'!$C$50,0,IF(($B1316-$AD1316)/7-'Guide &amp; Settings'!$C$48&gt;=0,(INT(($B1316-$AD1316)/7-'Guide &amp; Settings'!$C$48)+1)*'Guide &amp; Settings'!$C$49,0)))))</f>
        <v/>
      </c>
      <c r="AD1316" s="142">
        <f t="shared" si="417"/>
        <v>0</v>
      </c>
      <c r="AE1316">
        <f t="shared" si="418"/>
        <v>0</v>
      </c>
      <c r="AF1316">
        <f t="shared" si="419"/>
        <v>0</v>
      </c>
    </row>
    <row r="1317" spans="1:32" x14ac:dyDescent="0.2">
      <c r="A1317" s="117"/>
      <c r="B1317" s="118"/>
      <c r="C1317" s="119"/>
      <c r="D1317" s="119"/>
      <c r="E1317" s="117"/>
      <c r="F1317" s="120">
        <f t="shared" si="400"/>
        <v>0</v>
      </c>
      <c r="G1317" s="121" t="str">
        <f t="shared" si="401"/>
        <v/>
      </c>
      <c r="H1317" s="122">
        <f>IF($D1317="",0,IFERROR(LOOKUP(2,1/(($D$3:D1316=$D1317)*($A$3:A1316&lt;$A1317)),$N$3:N1316),'Guide &amp; Settings'!$C$41))</f>
        <v>0</v>
      </c>
      <c r="I1317" s="123">
        <f t="shared" si="402"/>
        <v>0</v>
      </c>
      <c r="J1317" s="124">
        <f>IF($D1317="",0,IF($F1317&lt;2,0,IF($E1317="Win",('Guide &amp; Settings'!$C$42/(($F1317-1)*COUNTIFS($A$4:$A$1510,$A1317,$E$4:$E$1510,"Win")))*SUMIFS($X$4:$X$1510,$A$4:$A$1510,$A1317,$E$4:$E$1510,"Loss"),-('Guide &amp; Settings'!$C$42/($F1317-1))*$X1317)))</f>
        <v>0</v>
      </c>
      <c r="K1317" s="124">
        <f>IF($D1317="",0,'Guide &amp; Settings'!$C$43*(IF($E1317="Win",1,0)-$I1317))</f>
        <v>0</v>
      </c>
      <c r="L1317" s="125">
        <f>IF($D1317="",0,'Guide &amp; Settings'!$C$44*IF($F1317&gt;=3,$F1317,0))</f>
        <v>0</v>
      </c>
      <c r="M1317" s="124">
        <f t="shared" si="403"/>
        <v>0</v>
      </c>
      <c r="N1317" s="122">
        <f t="shared" si="404"/>
        <v>0</v>
      </c>
      <c r="O1317" s="121" t="str">
        <f t="shared" si="405"/>
        <v/>
      </c>
      <c r="P1317">
        <f t="shared" si="406"/>
        <v>0</v>
      </c>
      <c r="Q1317">
        <f t="shared" si="407"/>
        <v>0</v>
      </c>
      <c r="R1317">
        <f t="shared" si="408"/>
        <v>0</v>
      </c>
      <c r="S1317">
        <f t="shared" si="409"/>
        <v>0</v>
      </c>
      <c r="T1317" s="89">
        <f t="shared" si="410"/>
        <v>0</v>
      </c>
      <c r="U1317" s="126">
        <f>IF($D1317="",0,IFERROR(LOOKUP(2,1/(($D$3:D1316=$D1317)*($C$3:C1316=$C1317)*($A$3:A1316&lt;$A1317)),$AB$3:AB1316),1000))</f>
        <v>0</v>
      </c>
      <c r="V1317" s="126">
        <f t="shared" si="411"/>
        <v>0</v>
      </c>
      <c r="W1317">
        <f t="shared" si="412"/>
        <v>0</v>
      </c>
      <c r="X1317">
        <f t="shared" si="413"/>
        <v>0</v>
      </c>
      <c r="Y1317">
        <f t="shared" si="414"/>
        <v>0</v>
      </c>
      <c r="Z1317">
        <f t="shared" si="415"/>
        <v>0</v>
      </c>
      <c r="AA1317">
        <f>IF($D1317="",0,IF($F1317&lt;2,0,IF($E1317="Win",('Guide &amp; Settings'!$C$42/(($F1317-1)*COUNTIFS($A$4:$A$1510,$A1317,$E$4:$E$1510,"Win")))*SUMIFS($Z$4:$Z$1510,$A$4:$A$1510,$A1317,$E$4:$E$1510,"Loss"),-('Guide &amp; Settings'!$C$42/($F1317-1))*$Z1317)))</f>
        <v>0</v>
      </c>
      <c r="AB1317" s="126">
        <f t="shared" si="416"/>
        <v>0</v>
      </c>
      <c r="AC1317" t="str">
        <f>IF($D1317="","",IF($AD1317=0,0,IF(COUNTIFS($D$4:$D1317,$D1317,$B$4:$B1317,$B1317)&gt;1,0,IF($B1317&lt;'Guide &amp; Settings'!$C$50,0,IF(($B1317-$AD1317)/7-'Guide &amp; Settings'!$C$48&gt;=0,(INT(($B1317-$AD1317)/7-'Guide &amp; Settings'!$C$48)+1)*'Guide &amp; Settings'!$C$49,0)))))</f>
        <v/>
      </c>
      <c r="AD1317" s="142">
        <f t="shared" si="417"/>
        <v>0</v>
      </c>
      <c r="AE1317">
        <f t="shared" si="418"/>
        <v>0</v>
      </c>
      <c r="AF1317">
        <f t="shared" si="419"/>
        <v>0</v>
      </c>
    </row>
    <row r="1318" spans="1:32" x14ac:dyDescent="0.2">
      <c r="A1318" s="117"/>
      <c r="B1318" s="118"/>
      <c r="C1318" s="119"/>
      <c r="D1318" s="119"/>
      <c r="E1318" s="117"/>
      <c r="F1318" s="120">
        <f t="shared" si="400"/>
        <v>0</v>
      </c>
      <c r="G1318" s="121" t="str">
        <f t="shared" si="401"/>
        <v/>
      </c>
      <c r="H1318" s="122">
        <f>IF($D1318="",0,IFERROR(LOOKUP(2,1/(($D$3:D1317=$D1318)*($A$3:A1317&lt;$A1318)),$N$3:N1317),'Guide &amp; Settings'!$C$41))</f>
        <v>0</v>
      </c>
      <c r="I1318" s="123">
        <f t="shared" si="402"/>
        <v>0</v>
      </c>
      <c r="J1318" s="124">
        <f>IF($D1318="",0,IF($F1318&lt;2,0,IF($E1318="Win",('Guide &amp; Settings'!$C$42/(($F1318-1)*COUNTIFS($A$4:$A$1510,$A1318,$E$4:$E$1510,"Win")))*SUMIFS($X$4:$X$1510,$A$4:$A$1510,$A1318,$E$4:$E$1510,"Loss"),-('Guide &amp; Settings'!$C$42/($F1318-1))*$X1318)))</f>
        <v>0</v>
      </c>
      <c r="K1318" s="124">
        <f>IF($D1318="",0,'Guide &amp; Settings'!$C$43*(IF($E1318="Win",1,0)-$I1318))</f>
        <v>0</v>
      </c>
      <c r="L1318" s="125">
        <f>IF($D1318="",0,'Guide &amp; Settings'!$C$44*IF($F1318&gt;=3,$F1318,0))</f>
        <v>0</v>
      </c>
      <c r="M1318" s="124">
        <f t="shared" si="403"/>
        <v>0</v>
      </c>
      <c r="N1318" s="122">
        <f t="shared" si="404"/>
        <v>0</v>
      </c>
      <c r="O1318" s="121" t="str">
        <f t="shared" si="405"/>
        <v/>
      </c>
      <c r="P1318">
        <f t="shared" si="406"/>
        <v>0</v>
      </c>
      <c r="Q1318">
        <f t="shared" si="407"/>
        <v>0</v>
      </c>
      <c r="R1318">
        <f t="shared" si="408"/>
        <v>0</v>
      </c>
      <c r="S1318">
        <f t="shared" si="409"/>
        <v>0</v>
      </c>
      <c r="T1318" s="89">
        <f t="shared" si="410"/>
        <v>0</v>
      </c>
      <c r="U1318" s="126">
        <f>IF($D1318="",0,IFERROR(LOOKUP(2,1/(($D$3:D1317=$D1318)*($C$3:C1317=$C1318)*($A$3:A1317&lt;$A1318)),$AB$3:AB1317),1000))</f>
        <v>0</v>
      </c>
      <c r="V1318" s="126">
        <f t="shared" si="411"/>
        <v>0</v>
      </c>
      <c r="W1318">
        <f t="shared" si="412"/>
        <v>0</v>
      </c>
      <c r="X1318">
        <f t="shared" si="413"/>
        <v>0</v>
      </c>
      <c r="Y1318">
        <f t="shared" si="414"/>
        <v>0</v>
      </c>
      <c r="Z1318">
        <f t="shared" si="415"/>
        <v>0</v>
      </c>
      <c r="AA1318">
        <f>IF($D1318="",0,IF($F1318&lt;2,0,IF($E1318="Win",('Guide &amp; Settings'!$C$42/(($F1318-1)*COUNTIFS($A$4:$A$1510,$A1318,$E$4:$E$1510,"Win")))*SUMIFS($Z$4:$Z$1510,$A$4:$A$1510,$A1318,$E$4:$E$1510,"Loss"),-('Guide &amp; Settings'!$C$42/($F1318-1))*$Z1318)))</f>
        <v>0</v>
      </c>
      <c r="AB1318" s="126">
        <f t="shared" si="416"/>
        <v>0</v>
      </c>
      <c r="AC1318" t="str">
        <f>IF($D1318="","",IF($AD1318=0,0,IF(COUNTIFS($D$4:$D1318,$D1318,$B$4:$B1318,$B1318)&gt;1,0,IF($B1318&lt;'Guide &amp; Settings'!$C$50,0,IF(($B1318-$AD1318)/7-'Guide &amp; Settings'!$C$48&gt;=0,(INT(($B1318-$AD1318)/7-'Guide &amp; Settings'!$C$48)+1)*'Guide &amp; Settings'!$C$49,0)))))</f>
        <v/>
      </c>
      <c r="AD1318" s="142">
        <f t="shared" si="417"/>
        <v>0</v>
      </c>
      <c r="AE1318">
        <f t="shared" si="418"/>
        <v>0</v>
      </c>
      <c r="AF1318">
        <f t="shared" si="419"/>
        <v>0</v>
      </c>
    </row>
    <row r="1319" spans="1:32" x14ac:dyDescent="0.2">
      <c r="A1319" s="117"/>
      <c r="B1319" s="118"/>
      <c r="C1319" s="119"/>
      <c r="D1319" s="119"/>
      <c r="E1319" s="117"/>
      <c r="F1319" s="120">
        <f t="shared" si="400"/>
        <v>0</v>
      </c>
      <c r="G1319" s="121" t="str">
        <f t="shared" si="401"/>
        <v/>
      </c>
      <c r="H1319" s="122">
        <f>IF($D1319="",0,IFERROR(LOOKUP(2,1/(($D$3:D1318=$D1319)*($A$3:A1318&lt;$A1319)),$N$3:N1318),'Guide &amp; Settings'!$C$41))</f>
        <v>0</v>
      </c>
      <c r="I1319" s="123">
        <f t="shared" si="402"/>
        <v>0</v>
      </c>
      <c r="J1319" s="124">
        <f>IF($D1319="",0,IF($F1319&lt;2,0,IF($E1319="Win",('Guide &amp; Settings'!$C$42/(($F1319-1)*COUNTIFS($A$4:$A$1510,$A1319,$E$4:$E$1510,"Win")))*SUMIFS($X$4:$X$1510,$A$4:$A$1510,$A1319,$E$4:$E$1510,"Loss"),-('Guide &amp; Settings'!$C$42/($F1319-1))*$X1319)))</f>
        <v>0</v>
      </c>
      <c r="K1319" s="124">
        <f>IF($D1319="",0,'Guide &amp; Settings'!$C$43*(IF($E1319="Win",1,0)-$I1319))</f>
        <v>0</v>
      </c>
      <c r="L1319" s="125">
        <f>IF($D1319="",0,'Guide &amp; Settings'!$C$44*IF($F1319&gt;=3,$F1319,0))</f>
        <v>0</v>
      </c>
      <c r="M1319" s="124">
        <f t="shared" si="403"/>
        <v>0</v>
      </c>
      <c r="N1319" s="122">
        <f t="shared" si="404"/>
        <v>0</v>
      </c>
      <c r="O1319" s="121" t="str">
        <f t="shared" si="405"/>
        <v/>
      </c>
      <c r="P1319">
        <f t="shared" si="406"/>
        <v>0</v>
      </c>
      <c r="Q1319">
        <f t="shared" si="407"/>
        <v>0</v>
      </c>
      <c r="R1319">
        <f t="shared" si="408"/>
        <v>0</v>
      </c>
      <c r="S1319">
        <f t="shared" si="409"/>
        <v>0</v>
      </c>
      <c r="T1319" s="89">
        <f t="shared" si="410"/>
        <v>0</v>
      </c>
      <c r="U1319" s="126">
        <f>IF($D1319="",0,IFERROR(LOOKUP(2,1/(($D$3:D1318=$D1319)*($C$3:C1318=$C1319)*($A$3:A1318&lt;$A1319)),$AB$3:AB1318),1000))</f>
        <v>0</v>
      </c>
      <c r="V1319" s="126">
        <f t="shared" si="411"/>
        <v>0</v>
      </c>
      <c r="W1319">
        <f t="shared" si="412"/>
        <v>0</v>
      </c>
      <c r="X1319">
        <f t="shared" si="413"/>
        <v>0</v>
      </c>
      <c r="Y1319">
        <f t="shared" si="414"/>
        <v>0</v>
      </c>
      <c r="Z1319">
        <f t="shared" si="415"/>
        <v>0</v>
      </c>
      <c r="AA1319">
        <f>IF($D1319="",0,IF($F1319&lt;2,0,IF($E1319="Win",('Guide &amp; Settings'!$C$42/(($F1319-1)*COUNTIFS($A$4:$A$1510,$A1319,$E$4:$E$1510,"Win")))*SUMIFS($Z$4:$Z$1510,$A$4:$A$1510,$A1319,$E$4:$E$1510,"Loss"),-('Guide &amp; Settings'!$C$42/($F1319-1))*$Z1319)))</f>
        <v>0</v>
      </c>
      <c r="AB1319" s="126">
        <f t="shared" si="416"/>
        <v>0</v>
      </c>
      <c r="AC1319" t="str">
        <f>IF($D1319="","",IF($AD1319=0,0,IF(COUNTIFS($D$4:$D1319,$D1319,$B$4:$B1319,$B1319)&gt;1,0,IF($B1319&lt;'Guide &amp; Settings'!$C$50,0,IF(($B1319-$AD1319)/7-'Guide &amp; Settings'!$C$48&gt;=0,(INT(($B1319-$AD1319)/7-'Guide &amp; Settings'!$C$48)+1)*'Guide &amp; Settings'!$C$49,0)))))</f>
        <v/>
      </c>
      <c r="AD1319" s="142">
        <f t="shared" si="417"/>
        <v>0</v>
      </c>
      <c r="AE1319">
        <f t="shared" si="418"/>
        <v>0</v>
      </c>
      <c r="AF1319">
        <f t="shared" si="419"/>
        <v>0</v>
      </c>
    </row>
    <row r="1320" spans="1:32" x14ac:dyDescent="0.2">
      <c r="A1320" s="117"/>
      <c r="B1320" s="118"/>
      <c r="C1320" s="119"/>
      <c r="D1320" s="119"/>
      <c r="E1320" s="117"/>
      <c r="F1320" s="120">
        <f t="shared" si="400"/>
        <v>0</v>
      </c>
      <c r="G1320" s="121" t="str">
        <f t="shared" si="401"/>
        <v/>
      </c>
      <c r="H1320" s="122">
        <f>IF($D1320="",0,IFERROR(LOOKUP(2,1/(($D$3:D1319=$D1320)*($A$3:A1319&lt;$A1320)),$N$3:N1319),'Guide &amp; Settings'!$C$41))</f>
        <v>0</v>
      </c>
      <c r="I1320" s="123">
        <f t="shared" si="402"/>
        <v>0</v>
      </c>
      <c r="J1320" s="124">
        <f>IF($D1320="",0,IF($F1320&lt;2,0,IF($E1320="Win",('Guide &amp; Settings'!$C$42/(($F1320-1)*COUNTIFS($A$4:$A$1510,$A1320,$E$4:$E$1510,"Win")))*SUMIFS($X$4:$X$1510,$A$4:$A$1510,$A1320,$E$4:$E$1510,"Loss"),-('Guide &amp; Settings'!$C$42/($F1320-1))*$X1320)))</f>
        <v>0</v>
      </c>
      <c r="K1320" s="124">
        <f>IF($D1320="",0,'Guide &amp; Settings'!$C$43*(IF($E1320="Win",1,0)-$I1320))</f>
        <v>0</v>
      </c>
      <c r="L1320" s="125">
        <f>IF($D1320="",0,'Guide &amp; Settings'!$C$44*IF($F1320&gt;=3,$F1320,0))</f>
        <v>0</v>
      </c>
      <c r="M1320" s="124">
        <f t="shared" si="403"/>
        <v>0</v>
      </c>
      <c r="N1320" s="122">
        <f t="shared" si="404"/>
        <v>0</v>
      </c>
      <c r="O1320" s="121" t="str">
        <f t="shared" si="405"/>
        <v/>
      </c>
      <c r="P1320">
        <f t="shared" si="406"/>
        <v>0</v>
      </c>
      <c r="Q1320">
        <f t="shared" si="407"/>
        <v>0</v>
      </c>
      <c r="R1320">
        <f t="shared" si="408"/>
        <v>0</v>
      </c>
      <c r="S1320">
        <f t="shared" si="409"/>
        <v>0</v>
      </c>
      <c r="T1320" s="89">
        <f t="shared" si="410"/>
        <v>0</v>
      </c>
      <c r="U1320" s="126">
        <f>IF($D1320="",0,IFERROR(LOOKUP(2,1/(($D$3:D1319=$D1320)*($C$3:C1319=$C1320)*($A$3:A1319&lt;$A1320)),$AB$3:AB1319),1000))</f>
        <v>0</v>
      </c>
      <c r="V1320" s="126">
        <f t="shared" si="411"/>
        <v>0</v>
      </c>
      <c r="W1320">
        <f t="shared" si="412"/>
        <v>0</v>
      </c>
      <c r="X1320">
        <f t="shared" si="413"/>
        <v>0</v>
      </c>
      <c r="Y1320">
        <f t="shared" si="414"/>
        <v>0</v>
      </c>
      <c r="Z1320">
        <f t="shared" si="415"/>
        <v>0</v>
      </c>
      <c r="AA1320">
        <f>IF($D1320="",0,IF($F1320&lt;2,0,IF($E1320="Win",('Guide &amp; Settings'!$C$42/(($F1320-1)*COUNTIFS($A$4:$A$1510,$A1320,$E$4:$E$1510,"Win")))*SUMIFS($Z$4:$Z$1510,$A$4:$A$1510,$A1320,$E$4:$E$1510,"Loss"),-('Guide &amp; Settings'!$C$42/($F1320-1))*$Z1320)))</f>
        <v>0</v>
      </c>
      <c r="AB1320" s="126">
        <f t="shared" si="416"/>
        <v>0</v>
      </c>
      <c r="AC1320" t="str">
        <f>IF($D1320="","",IF($AD1320=0,0,IF(COUNTIFS($D$4:$D1320,$D1320,$B$4:$B1320,$B1320)&gt;1,0,IF($B1320&lt;'Guide &amp; Settings'!$C$50,0,IF(($B1320-$AD1320)/7-'Guide &amp; Settings'!$C$48&gt;=0,(INT(($B1320-$AD1320)/7-'Guide &amp; Settings'!$C$48)+1)*'Guide &amp; Settings'!$C$49,0)))))</f>
        <v/>
      </c>
      <c r="AD1320" s="142">
        <f t="shared" si="417"/>
        <v>0</v>
      </c>
      <c r="AE1320">
        <f t="shared" si="418"/>
        <v>0</v>
      </c>
      <c r="AF1320">
        <f t="shared" si="419"/>
        <v>0</v>
      </c>
    </row>
    <row r="1321" spans="1:32" x14ac:dyDescent="0.2">
      <c r="A1321" s="117"/>
      <c r="B1321" s="118"/>
      <c r="C1321" s="119"/>
      <c r="D1321" s="119"/>
      <c r="E1321" s="117"/>
      <c r="F1321" s="120">
        <f t="shared" si="400"/>
        <v>0</v>
      </c>
      <c r="G1321" s="121" t="str">
        <f t="shared" si="401"/>
        <v/>
      </c>
      <c r="H1321" s="122">
        <f>IF($D1321="",0,IFERROR(LOOKUP(2,1/(($D$3:D1320=$D1321)*($A$3:A1320&lt;$A1321)),$N$3:N1320),'Guide &amp; Settings'!$C$41))</f>
        <v>0</v>
      </c>
      <c r="I1321" s="123">
        <f t="shared" si="402"/>
        <v>0</v>
      </c>
      <c r="J1321" s="124">
        <f>IF($D1321="",0,IF($F1321&lt;2,0,IF($E1321="Win",('Guide &amp; Settings'!$C$42/(($F1321-1)*COUNTIFS($A$4:$A$1510,$A1321,$E$4:$E$1510,"Win")))*SUMIFS($X$4:$X$1510,$A$4:$A$1510,$A1321,$E$4:$E$1510,"Loss"),-('Guide &amp; Settings'!$C$42/($F1321-1))*$X1321)))</f>
        <v>0</v>
      </c>
      <c r="K1321" s="124">
        <f>IF($D1321="",0,'Guide &amp; Settings'!$C$43*(IF($E1321="Win",1,0)-$I1321))</f>
        <v>0</v>
      </c>
      <c r="L1321" s="125">
        <f>IF($D1321="",0,'Guide &amp; Settings'!$C$44*IF($F1321&gt;=3,$F1321,0))</f>
        <v>0</v>
      </c>
      <c r="M1321" s="124">
        <f t="shared" si="403"/>
        <v>0</v>
      </c>
      <c r="N1321" s="122">
        <f t="shared" si="404"/>
        <v>0</v>
      </c>
      <c r="O1321" s="121" t="str">
        <f t="shared" si="405"/>
        <v/>
      </c>
      <c r="P1321">
        <f t="shared" si="406"/>
        <v>0</v>
      </c>
      <c r="Q1321">
        <f t="shared" si="407"/>
        <v>0</v>
      </c>
      <c r="R1321">
        <f t="shared" si="408"/>
        <v>0</v>
      </c>
      <c r="S1321">
        <f t="shared" si="409"/>
        <v>0</v>
      </c>
      <c r="T1321" s="89">
        <f t="shared" si="410"/>
        <v>0</v>
      </c>
      <c r="U1321" s="126">
        <f>IF($D1321="",0,IFERROR(LOOKUP(2,1/(($D$3:D1320=$D1321)*($C$3:C1320=$C1321)*($A$3:A1320&lt;$A1321)),$AB$3:AB1320),1000))</f>
        <v>0</v>
      </c>
      <c r="V1321" s="126">
        <f t="shared" si="411"/>
        <v>0</v>
      </c>
      <c r="W1321">
        <f t="shared" si="412"/>
        <v>0</v>
      </c>
      <c r="X1321">
        <f t="shared" si="413"/>
        <v>0</v>
      </c>
      <c r="Y1321">
        <f t="shared" si="414"/>
        <v>0</v>
      </c>
      <c r="Z1321">
        <f t="shared" si="415"/>
        <v>0</v>
      </c>
      <c r="AA1321">
        <f>IF($D1321="",0,IF($F1321&lt;2,0,IF($E1321="Win",('Guide &amp; Settings'!$C$42/(($F1321-1)*COUNTIFS($A$4:$A$1510,$A1321,$E$4:$E$1510,"Win")))*SUMIFS($Z$4:$Z$1510,$A$4:$A$1510,$A1321,$E$4:$E$1510,"Loss"),-('Guide &amp; Settings'!$C$42/($F1321-1))*$Z1321)))</f>
        <v>0</v>
      </c>
      <c r="AB1321" s="126">
        <f t="shared" si="416"/>
        <v>0</v>
      </c>
      <c r="AC1321" t="str">
        <f>IF($D1321="","",IF($AD1321=0,0,IF(COUNTIFS($D$4:$D1321,$D1321,$B$4:$B1321,$B1321)&gt;1,0,IF($B1321&lt;'Guide &amp; Settings'!$C$50,0,IF(($B1321-$AD1321)/7-'Guide &amp; Settings'!$C$48&gt;=0,(INT(($B1321-$AD1321)/7-'Guide &amp; Settings'!$C$48)+1)*'Guide &amp; Settings'!$C$49,0)))))</f>
        <v/>
      </c>
      <c r="AD1321" s="142">
        <f t="shared" si="417"/>
        <v>0</v>
      </c>
      <c r="AE1321">
        <f t="shared" si="418"/>
        <v>0</v>
      </c>
      <c r="AF1321">
        <f t="shared" si="419"/>
        <v>0</v>
      </c>
    </row>
    <row r="1322" spans="1:32" x14ac:dyDescent="0.2">
      <c r="A1322" s="117"/>
      <c r="B1322" s="118"/>
      <c r="C1322" s="119"/>
      <c r="D1322" s="119"/>
      <c r="E1322" s="117"/>
      <c r="F1322" s="120">
        <f t="shared" si="400"/>
        <v>0</v>
      </c>
      <c r="G1322" s="121" t="str">
        <f t="shared" si="401"/>
        <v/>
      </c>
      <c r="H1322" s="122">
        <f>IF($D1322="",0,IFERROR(LOOKUP(2,1/(($D$3:D1321=$D1322)*($A$3:A1321&lt;$A1322)),$N$3:N1321),'Guide &amp; Settings'!$C$41))</f>
        <v>0</v>
      </c>
      <c r="I1322" s="123">
        <f t="shared" si="402"/>
        <v>0</v>
      </c>
      <c r="J1322" s="124">
        <f>IF($D1322="",0,IF($F1322&lt;2,0,IF($E1322="Win",('Guide &amp; Settings'!$C$42/(($F1322-1)*COUNTIFS($A$4:$A$1510,$A1322,$E$4:$E$1510,"Win")))*SUMIFS($X$4:$X$1510,$A$4:$A$1510,$A1322,$E$4:$E$1510,"Loss"),-('Guide &amp; Settings'!$C$42/($F1322-1))*$X1322)))</f>
        <v>0</v>
      </c>
      <c r="K1322" s="124">
        <f>IF($D1322="",0,'Guide &amp; Settings'!$C$43*(IF($E1322="Win",1,0)-$I1322))</f>
        <v>0</v>
      </c>
      <c r="L1322" s="125">
        <f>IF($D1322="",0,'Guide &amp; Settings'!$C$44*IF($F1322&gt;=3,$F1322,0))</f>
        <v>0</v>
      </c>
      <c r="M1322" s="124">
        <f t="shared" si="403"/>
        <v>0</v>
      </c>
      <c r="N1322" s="122">
        <f t="shared" si="404"/>
        <v>0</v>
      </c>
      <c r="O1322" s="121" t="str">
        <f t="shared" si="405"/>
        <v/>
      </c>
      <c r="P1322">
        <f t="shared" si="406"/>
        <v>0</v>
      </c>
      <c r="Q1322">
        <f t="shared" si="407"/>
        <v>0</v>
      </c>
      <c r="R1322">
        <f t="shared" si="408"/>
        <v>0</v>
      </c>
      <c r="S1322">
        <f t="shared" si="409"/>
        <v>0</v>
      </c>
      <c r="T1322" s="89">
        <f t="shared" si="410"/>
        <v>0</v>
      </c>
      <c r="U1322" s="126">
        <f>IF($D1322="",0,IFERROR(LOOKUP(2,1/(($D$3:D1321=$D1322)*($C$3:C1321=$C1322)*($A$3:A1321&lt;$A1322)),$AB$3:AB1321),1000))</f>
        <v>0</v>
      </c>
      <c r="V1322" s="126">
        <f t="shared" si="411"/>
        <v>0</v>
      </c>
      <c r="W1322">
        <f t="shared" si="412"/>
        <v>0</v>
      </c>
      <c r="X1322">
        <f t="shared" si="413"/>
        <v>0</v>
      </c>
      <c r="Y1322">
        <f t="shared" si="414"/>
        <v>0</v>
      </c>
      <c r="Z1322">
        <f t="shared" si="415"/>
        <v>0</v>
      </c>
      <c r="AA1322">
        <f>IF($D1322="",0,IF($F1322&lt;2,0,IF($E1322="Win",('Guide &amp; Settings'!$C$42/(($F1322-1)*COUNTIFS($A$4:$A$1510,$A1322,$E$4:$E$1510,"Win")))*SUMIFS($Z$4:$Z$1510,$A$4:$A$1510,$A1322,$E$4:$E$1510,"Loss"),-('Guide &amp; Settings'!$C$42/($F1322-1))*$Z1322)))</f>
        <v>0</v>
      </c>
      <c r="AB1322" s="126">
        <f t="shared" si="416"/>
        <v>0</v>
      </c>
      <c r="AC1322" t="str">
        <f>IF($D1322="","",IF($AD1322=0,0,IF(COUNTIFS($D$4:$D1322,$D1322,$B$4:$B1322,$B1322)&gt;1,0,IF($B1322&lt;'Guide &amp; Settings'!$C$50,0,IF(($B1322-$AD1322)/7-'Guide &amp; Settings'!$C$48&gt;=0,(INT(($B1322-$AD1322)/7-'Guide &amp; Settings'!$C$48)+1)*'Guide &amp; Settings'!$C$49,0)))))</f>
        <v/>
      </c>
      <c r="AD1322" s="142">
        <f t="shared" si="417"/>
        <v>0</v>
      </c>
      <c r="AE1322">
        <f t="shared" si="418"/>
        <v>0</v>
      </c>
      <c r="AF1322">
        <f t="shared" si="419"/>
        <v>0</v>
      </c>
    </row>
    <row r="1323" spans="1:32" x14ac:dyDescent="0.2">
      <c r="A1323" s="117"/>
      <c r="B1323" s="118"/>
      <c r="C1323" s="119"/>
      <c r="D1323" s="119"/>
      <c r="E1323" s="117"/>
      <c r="F1323" s="120">
        <f t="shared" si="400"/>
        <v>0</v>
      </c>
      <c r="G1323" s="121" t="str">
        <f t="shared" si="401"/>
        <v/>
      </c>
      <c r="H1323" s="122">
        <f>IF($D1323="",0,IFERROR(LOOKUP(2,1/(($D$3:D1322=$D1323)*($A$3:A1322&lt;$A1323)),$N$3:N1322),'Guide &amp; Settings'!$C$41))</f>
        <v>0</v>
      </c>
      <c r="I1323" s="123">
        <f t="shared" si="402"/>
        <v>0</v>
      </c>
      <c r="J1323" s="124">
        <f>IF($D1323="",0,IF($F1323&lt;2,0,IF($E1323="Win",('Guide &amp; Settings'!$C$42/(($F1323-1)*COUNTIFS($A$4:$A$1510,$A1323,$E$4:$E$1510,"Win")))*SUMIFS($X$4:$X$1510,$A$4:$A$1510,$A1323,$E$4:$E$1510,"Loss"),-('Guide &amp; Settings'!$C$42/($F1323-1))*$X1323)))</f>
        <v>0</v>
      </c>
      <c r="K1323" s="124">
        <f>IF($D1323="",0,'Guide &amp; Settings'!$C$43*(IF($E1323="Win",1,0)-$I1323))</f>
        <v>0</v>
      </c>
      <c r="L1323" s="125">
        <f>IF($D1323="",0,'Guide &amp; Settings'!$C$44*IF($F1323&gt;=3,$F1323,0))</f>
        <v>0</v>
      </c>
      <c r="M1323" s="124">
        <f t="shared" si="403"/>
        <v>0</v>
      </c>
      <c r="N1323" s="122">
        <f t="shared" si="404"/>
        <v>0</v>
      </c>
      <c r="O1323" s="121" t="str">
        <f t="shared" si="405"/>
        <v/>
      </c>
      <c r="P1323">
        <f t="shared" si="406"/>
        <v>0</v>
      </c>
      <c r="Q1323">
        <f t="shared" si="407"/>
        <v>0</v>
      </c>
      <c r="R1323">
        <f t="shared" si="408"/>
        <v>0</v>
      </c>
      <c r="S1323">
        <f t="shared" si="409"/>
        <v>0</v>
      </c>
      <c r="T1323" s="89">
        <f t="shared" si="410"/>
        <v>0</v>
      </c>
      <c r="U1323" s="126">
        <f>IF($D1323="",0,IFERROR(LOOKUP(2,1/(($D$3:D1322=$D1323)*($C$3:C1322=$C1323)*($A$3:A1322&lt;$A1323)),$AB$3:AB1322),1000))</f>
        <v>0</v>
      </c>
      <c r="V1323" s="126">
        <f t="shared" si="411"/>
        <v>0</v>
      </c>
      <c r="W1323">
        <f t="shared" si="412"/>
        <v>0</v>
      </c>
      <c r="X1323">
        <f t="shared" si="413"/>
        <v>0</v>
      </c>
      <c r="Y1323">
        <f t="shared" si="414"/>
        <v>0</v>
      </c>
      <c r="Z1323">
        <f t="shared" si="415"/>
        <v>0</v>
      </c>
      <c r="AA1323">
        <f>IF($D1323="",0,IF($F1323&lt;2,0,IF($E1323="Win",('Guide &amp; Settings'!$C$42/(($F1323-1)*COUNTIFS($A$4:$A$1510,$A1323,$E$4:$E$1510,"Win")))*SUMIFS($Z$4:$Z$1510,$A$4:$A$1510,$A1323,$E$4:$E$1510,"Loss"),-('Guide &amp; Settings'!$C$42/($F1323-1))*$Z1323)))</f>
        <v>0</v>
      </c>
      <c r="AB1323" s="126">
        <f t="shared" si="416"/>
        <v>0</v>
      </c>
      <c r="AC1323" t="str">
        <f>IF($D1323="","",IF($AD1323=0,0,IF(COUNTIFS($D$4:$D1323,$D1323,$B$4:$B1323,$B1323)&gt;1,0,IF($B1323&lt;'Guide &amp; Settings'!$C$50,0,IF(($B1323-$AD1323)/7-'Guide &amp; Settings'!$C$48&gt;=0,(INT(($B1323-$AD1323)/7-'Guide &amp; Settings'!$C$48)+1)*'Guide &amp; Settings'!$C$49,0)))))</f>
        <v/>
      </c>
      <c r="AD1323" s="142">
        <f t="shared" si="417"/>
        <v>0</v>
      </c>
      <c r="AE1323">
        <f t="shared" si="418"/>
        <v>0</v>
      </c>
      <c r="AF1323">
        <f t="shared" si="419"/>
        <v>0</v>
      </c>
    </row>
    <row r="1324" spans="1:32" x14ac:dyDescent="0.2">
      <c r="A1324" s="117"/>
      <c r="B1324" s="118"/>
      <c r="C1324" s="119"/>
      <c r="D1324" s="119"/>
      <c r="E1324" s="117"/>
      <c r="F1324" s="120">
        <f t="shared" si="400"/>
        <v>0</v>
      </c>
      <c r="G1324" s="121" t="str">
        <f t="shared" si="401"/>
        <v/>
      </c>
      <c r="H1324" s="122">
        <f>IF($D1324="",0,IFERROR(LOOKUP(2,1/(($D$3:D1323=$D1324)*($A$3:A1323&lt;$A1324)),$N$3:N1323),'Guide &amp; Settings'!$C$41))</f>
        <v>0</v>
      </c>
      <c r="I1324" s="123">
        <f t="shared" si="402"/>
        <v>0</v>
      </c>
      <c r="J1324" s="124">
        <f>IF($D1324="",0,IF($F1324&lt;2,0,IF($E1324="Win",('Guide &amp; Settings'!$C$42/(($F1324-1)*COUNTIFS($A$4:$A$1510,$A1324,$E$4:$E$1510,"Win")))*SUMIFS($X$4:$X$1510,$A$4:$A$1510,$A1324,$E$4:$E$1510,"Loss"),-('Guide &amp; Settings'!$C$42/($F1324-1))*$X1324)))</f>
        <v>0</v>
      </c>
      <c r="K1324" s="124">
        <f>IF($D1324="",0,'Guide &amp; Settings'!$C$43*(IF($E1324="Win",1,0)-$I1324))</f>
        <v>0</v>
      </c>
      <c r="L1324" s="125">
        <f>IF($D1324="",0,'Guide &amp; Settings'!$C$44*IF($F1324&gt;=3,$F1324,0))</f>
        <v>0</v>
      </c>
      <c r="M1324" s="124">
        <f t="shared" si="403"/>
        <v>0</v>
      </c>
      <c r="N1324" s="122">
        <f t="shared" si="404"/>
        <v>0</v>
      </c>
      <c r="O1324" s="121" t="str">
        <f t="shared" si="405"/>
        <v/>
      </c>
      <c r="P1324">
        <f t="shared" si="406"/>
        <v>0</v>
      </c>
      <c r="Q1324">
        <f t="shared" si="407"/>
        <v>0</v>
      </c>
      <c r="R1324">
        <f t="shared" si="408"/>
        <v>0</v>
      </c>
      <c r="S1324">
        <f t="shared" si="409"/>
        <v>0</v>
      </c>
      <c r="T1324" s="89">
        <f t="shared" si="410"/>
        <v>0</v>
      </c>
      <c r="U1324" s="126">
        <f>IF($D1324="",0,IFERROR(LOOKUP(2,1/(($D$3:D1323=$D1324)*($C$3:C1323=$C1324)*($A$3:A1323&lt;$A1324)),$AB$3:AB1323),1000))</f>
        <v>0</v>
      </c>
      <c r="V1324" s="126">
        <f t="shared" si="411"/>
        <v>0</v>
      </c>
      <c r="W1324">
        <f t="shared" si="412"/>
        <v>0</v>
      </c>
      <c r="X1324">
        <f t="shared" si="413"/>
        <v>0</v>
      </c>
      <c r="Y1324">
        <f t="shared" si="414"/>
        <v>0</v>
      </c>
      <c r="Z1324">
        <f t="shared" si="415"/>
        <v>0</v>
      </c>
      <c r="AA1324">
        <f>IF($D1324="",0,IF($F1324&lt;2,0,IF($E1324="Win",('Guide &amp; Settings'!$C$42/(($F1324-1)*COUNTIFS($A$4:$A$1510,$A1324,$E$4:$E$1510,"Win")))*SUMIFS($Z$4:$Z$1510,$A$4:$A$1510,$A1324,$E$4:$E$1510,"Loss"),-('Guide &amp; Settings'!$C$42/($F1324-1))*$Z1324)))</f>
        <v>0</v>
      </c>
      <c r="AB1324" s="126">
        <f t="shared" si="416"/>
        <v>0</v>
      </c>
      <c r="AC1324" t="str">
        <f>IF($D1324="","",IF($AD1324=0,0,IF(COUNTIFS($D$4:$D1324,$D1324,$B$4:$B1324,$B1324)&gt;1,0,IF($B1324&lt;'Guide &amp; Settings'!$C$50,0,IF(($B1324-$AD1324)/7-'Guide &amp; Settings'!$C$48&gt;=0,(INT(($B1324-$AD1324)/7-'Guide &amp; Settings'!$C$48)+1)*'Guide &amp; Settings'!$C$49,0)))))</f>
        <v/>
      </c>
      <c r="AD1324" s="142">
        <f t="shared" si="417"/>
        <v>0</v>
      </c>
      <c r="AE1324">
        <f t="shared" si="418"/>
        <v>0</v>
      </c>
      <c r="AF1324">
        <f t="shared" si="419"/>
        <v>0</v>
      </c>
    </row>
    <row r="1325" spans="1:32" x14ac:dyDescent="0.2">
      <c r="A1325" s="117"/>
      <c r="B1325" s="118"/>
      <c r="C1325" s="119"/>
      <c r="D1325" s="119"/>
      <c r="E1325" s="117"/>
      <c r="F1325" s="120">
        <f t="shared" si="400"/>
        <v>0</v>
      </c>
      <c r="G1325" s="121" t="str">
        <f t="shared" si="401"/>
        <v/>
      </c>
      <c r="H1325" s="122">
        <f>IF($D1325="",0,IFERROR(LOOKUP(2,1/(($D$3:D1324=$D1325)*($A$3:A1324&lt;$A1325)),$N$3:N1324),'Guide &amp; Settings'!$C$41))</f>
        <v>0</v>
      </c>
      <c r="I1325" s="123">
        <f t="shared" si="402"/>
        <v>0</v>
      </c>
      <c r="J1325" s="124">
        <f>IF($D1325="",0,IF($F1325&lt;2,0,IF($E1325="Win",('Guide &amp; Settings'!$C$42/(($F1325-1)*COUNTIFS($A$4:$A$1510,$A1325,$E$4:$E$1510,"Win")))*SUMIFS($X$4:$X$1510,$A$4:$A$1510,$A1325,$E$4:$E$1510,"Loss"),-('Guide &amp; Settings'!$C$42/($F1325-1))*$X1325)))</f>
        <v>0</v>
      </c>
      <c r="K1325" s="124">
        <f>IF($D1325="",0,'Guide &amp; Settings'!$C$43*(IF($E1325="Win",1,0)-$I1325))</f>
        <v>0</v>
      </c>
      <c r="L1325" s="125">
        <f>IF($D1325="",0,'Guide &amp; Settings'!$C$44*IF($F1325&gt;=3,$F1325,0))</f>
        <v>0</v>
      </c>
      <c r="M1325" s="124">
        <f t="shared" si="403"/>
        <v>0</v>
      </c>
      <c r="N1325" s="122">
        <f t="shared" si="404"/>
        <v>0</v>
      </c>
      <c r="O1325" s="121" t="str">
        <f t="shared" si="405"/>
        <v/>
      </c>
      <c r="P1325">
        <f t="shared" si="406"/>
        <v>0</v>
      </c>
      <c r="Q1325">
        <f t="shared" si="407"/>
        <v>0</v>
      </c>
      <c r="R1325">
        <f t="shared" si="408"/>
        <v>0</v>
      </c>
      <c r="S1325">
        <f t="shared" si="409"/>
        <v>0</v>
      </c>
      <c r="T1325" s="89">
        <f t="shared" si="410"/>
        <v>0</v>
      </c>
      <c r="U1325" s="126">
        <f>IF($D1325="",0,IFERROR(LOOKUP(2,1/(($D$3:D1324=$D1325)*($C$3:C1324=$C1325)*($A$3:A1324&lt;$A1325)),$AB$3:AB1324),1000))</f>
        <v>0</v>
      </c>
      <c r="V1325" s="126">
        <f t="shared" si="411"/>
        <v>0</v>
      </c>
      <c r="W1325">
        <f t="shared" si="412"/>
        <v>0</v>
      </c>
      <c r="X1325">
        <f t="shared" si="413"/>
        <v>0</v>
      </c>
      <c r="Y1325">
        <f t="shared" si="414"/>
        <v>0</v>
      </c>
      <c r="Z1325">
        <f t="shared" si="415"/>
        <v>0</v>
      </c>
      <c r="AA1325">
        <f>IF($D1325="",0,IF($F1325&lt;2,0,IF($E1325="Win",('Guide &amp; Settings'!$C$42/(($F1325-1)*COUNTIFS($A$4:$A$1510,$A1325,$E$4:$E$1510,"Win")))*SUMIFS($Z$4:$Z$1510,$A$4:$A$1510,$A1325,$E$4:$E$1510,"Loss"),-('Guide &amp; Settings'!$C$42/($F1325-1))*$Z1325)))</f>
        <v>0</v>
      </c>
      <c r="AB1325" s="126">
        <f t="shared" si="416"/>
        <v>0</v>
      </c>
      <c r="AC1325" t="str">
        <f>IF($D1325="","",IF($AD1325=0,0,IF(COUNTIFS($D$4:$D1325,$D1325,$B$4:$B1325,$B1325)&gt;1,0,IF($B1325&lt;'Guide &amp; Settings'!$C$50,0,IF(($B1325-$AD1325)/7-'Guide &amp; Settings'!$C$48&gt;=0,(INT(($B1325-$AD1325)/7-'Guide &amp; Settings'!$C$48)+1)*'Guide &amp; Settings'!$C$49,0)))))</f>
        <v/>
      </c>
      <c r="AD1325" s="142">
        <f t="shared" si="417"/>
        <v>0</v>
      </c>
      <c r="AE1325">
        <f t="shared" si="418"/>
        <v>0</v>
      </c>
      <c r="AF1325">
        <f t="shared" si="419"/>
        <v>0</v>
      </c>
    </row>
    <row r="1326" spans="1:32" x14ac:dyDescent="0.2">
      <c r="A1326" s="117"/>
      <c r="B1326" s="118"/>
      <c r="C1326" s="119"/>
      <c r="D1326" s="119"/>
      <c r="E1326" s="117"/>
      <c r="F1326" s="120">
        <f t="shared" si="400"/>
        <v>0</v>
      </c>
      <c r="G1326" s="121" t="str">
        <f t="shared" si="401"/>
        <v/>
      </c>
      <c r="H1326" s="122">
        <f>IF($D1326="",0,IFERROR(LOOKUP(2,1/(($D$3:D1325=$D1326)*($A$3:A1325&lt;$A1326)),$N$3:N1325),'Guide &amp; Settings'!$C$41))</f>
        <v>0</v>
      </c>
      <c r="I1326" s="123">
        <f t="shared" si="402"/>
        <v>0</v>
      </c>
      <c r="J1326" s="124">
        <f>IF($D1326="",0,IF($F1326&lt;2,0,IF($E1326="Win",('Guide &amp; Settings'!$C$42/(($F1326-1)*COUNTIFS($A$4:$A$1510,$A1326,$E$4:$E$1510,"Win")))*SUMIFS($X$4:$X$1510,$A$4:$A$1510,$A1326,$E$4:$E$1510,"Loss"),-('Guide &amp; Settings'!$C$42/($F1326-1))*$X1326)))</f>
        <v>0</v>
      </c>
      <c r="K1326" s="124">
        <f>IF($D1326="",0,'Guide &amp; Settings'!$C$43*(IF($E1326="Win",1,0)-$I1326))</f>
        <v>0</v>
      </c>
      <c r="L1326" s="125">
        <f>IF($D1326="",0,'Guide &amp; Settings'!$C$44*IF($F1326&gt;=3,$F1326,0))</f>
        <v>0</v>
      </c>
      <c r="M1326" s="124">
        <f t="shared" si="403"/>
        <v>0</v>
      </c>
      <c r="N1326" s="122">
        <f t="shared" si="404"/>
        <v>0</v>
      </c>
      <c r="O1326" s="121" t="str">
        <f t="shared" si="405"/>
        <v/>
      </c>
      <c r="P1326">
        <f t="shared" si="406"/>
        <v>0</v>
      </c>
      <c r="Q1326">
        <f t="shared" si="407"/>
        <v>0</v>
      </c>
      <c r="R1326">
        <f t="shared" si="408"/>
        <v>0</v>
      </c>
      <c r="S1326">
        <f t="shared" si="409"/>
        <v>0</v>
      </c>
      <c r="T1326" s="89">
        <f t="shared" si="410"/>
        <v>0</v>
      </c>
      <c r="U1326" s="126">
        <f>IF($D1326="",0,IFERROR(LOOKUP(2,1/(($D$3:D1325=$D1326)*($C$3:C1325=$C1326)*($A$3:A1325&lt;$A1326)),$AB$3:AB1325),1000))</f>
        <v>0</v>
      </c>
      <c r="V1326" s="126">
        <f t="shared" si="411"/>
        <v>0</v>
      </c>
      <c r="W1326">
        <f t="shared" si="412"/>
        <v>0</v>
      </c>
      <c r="X1326">
        <f t="shared" si="413"/>
        <v>0</v>
      </c>
      <c r="Y1326">
        <f t="shared" si="414"/>
        <v>0</v>
      </c>
      <c r="Z1326">
        <f t="shared" si="415"/>
        <v>0</v>
      </c>
      <c r="AA1326">
        <f>IF($D1326="",0,IF($F1326&lt;2,0,IF($E1326="Win",('Guide &amp; Settings'!$C$42/(($F1326-1)*COUNTIFS($A$4:$A$1510,$A1326,$E$4:$E$1510,"Win")))*SUMIFS($Z$4:$Z$1510,$A$4:$A$1510,$A1326,$E$4:$E$1510,"Loss"),-('Guide &amp; Settings'!$C$42/($F1326-1))*$Z1326)))</f>
        <v>0</v>
      </c>
      <c r="AB1326" s="126">
        <f t="shared" si="416"/>
        <v>0</v>
      </c>
      <c r="AC1326" t="str">
        <f>IF($D1326="","",IF($AD1326=0,0,IF(COUNTIFS($D$4:$D1326,$D1326,$B$4:$B1326,$B1326)&gt;1,0,IF($B1326&lt;'Guide &amp; Settings'!$C$50,0,IF(($B1326-$AD1326)/7-'Guide &amp; Settings'!$C$48&gt;=0,(INT(($B1326-$AD1326)/7-'Guide &amp; Settings'!$C$48)+1)*'Guide &amp; Settings'!$C$49,0)))))</f>
        <v/>
      </c>
      <c r="AD1326" s="142">
        <f t="shared" si="417"/>
        <v>0</v>
      </c>
      <c r="AE1326">
        <f t="shared" si="418"/>
        <v>0</v>
      </c>
      <c r="AF1326">
        <f t="shared" si="419"/>
        <v>0</v>
      </c>
    </row>
    <row r="1327" spans="1:32" x14ac:dyDescent="0.2">
      <c r="A1327" s="117"/>
      <c r="B1327" s="118"/>
      <c r="C1327" s="119"/>
      <c r="D1327" s="119"/>
      <c r="E1327" s="117"/>
      <c r="F1327" s="120">
        <f t="shared" si="400"/>
        <v>0</v>
      </c>
      <c r="G1327" s="121" t="str">
        <f t="shared" si="401"/>
        <v/>
      </c>
      <c r="H1327" s="122">
        <f>IF($D1327="",0,IFERROR(LOOKUP(2,1/(($D$3:D1326=$D1327)*($A$3:A1326&lt;$A1327)),$N$3:N1326),'Guide &amp; Settings'!$C$41))</f>
        <v>0</v>
      </c>
      <c r="I1327" s="123">
        <f t="shared" si="402"/>
        <v>0</v>
      </c>
      <c r="J1327" s="124">
        <f>IF($D1327="",0,IF($F1327&lt;2,0,IF($E1327="Win",('Guide &amp; Settings'!$C$42/(($F1327-1)*COUNTIFS($A$4:$A$1510,$A1327,$E$4:$E$1510,"Win")))*SUMIFS($X$4:$X$1510,$A$4:$A$1510,$A1327,$E$4:$E$1510,"Loss"),-('Guide &amp; Settings'!$C$42/($F1327-1))*$X1327)))</f>
        <v>0</v>
      </c>
      <c r="K1327" s="124">
        <f>IF($D1327="",0,'Guide &amp; Settings'!$C$43*(IF($E1327="Win",1,0)-$I1327))</f>
        <v>0</v>
      </c>
      <c r="L1327" s="125">
        <f>IF($D1327="",0,'Guide &amp; Settings'!$C$44*IF($F1327&gt;=3,$F1327,0))</f>
        <v>0</v>
      </c>
      <c r="M1327" s="124">
        <f t="shared" si="403"/>
        <v>0</v>
      </c>
      <c r="N1327" s="122">
        <f t="shared" si="404"/>
        <v>0</v>
      </c>
      <c r="O1327" s="121" t="str">
        <f t="shared" si="405"/>
        <v/>
      </c>
      <c r="P1327">
        <f t="shared" si="406"/>
        <v>0</v>
      </c>
      <c r="Q1327">
        <f t="shared" si="407"/>
        <v>0</v>
      </c>
      <c r="R1327">
        <f t="shared" si="408"/>
        <v>0</v>
      </c>
      <c r="S1327">
        <f t="shared" si="409"/>
        <v>0</v>
      </c>
      <c r="T1327" s="89">
        <f t="shared" si="410"/>
        <v>0</v>
      </c>
      <c r="U1327" s="126">
        <f>IF($D1327="",0,IFERROR(LOOKUP(2,1/(($D$3:D1326=$D1327)*($C$3:C1326=$C1327)*($A$3:A1326&lt;$A1327)),$AB$3:AB1326),1000))</f>
        <v>0</v>
      </c>
      <c r="V1327" s="126">
        <f t="shared" si="411"/>
        <v>0</v>
      </c>
      <c r="W1327">
        <f t="shared" si="412"/>
        <v>0</v>
      </c>
      <c r="X1327">
        <f t="shared" si="413"/>
        <v>0</v>
      </c>
      <c r="Y1327">
        <f t="shared" si="414"/>
        <v>0</v>
      </c>
      <c r="Z1327">
        <f t="shared" si="415"/>
        <v>0</v>
      </c>
      <c r="AA1327">
        <f>IF($D1327="",0,IF($F1327&lt;2,0,IF($E1327="Win",('Guide &amp; Settings'!$C$42/(($F1327-1)*COUNTIFS($A$4:$A$1510,$A1327,$E$4:$E$1510,"Win")))*SUMIFS($Z$4:$Z$1510,$A$4:$A$1510,$A1327,$E$4:$E$1510,"Loss"),-('Guide &amp; Settings'!$C$42/($F1327-1))*$Z1327)))</f>
        <v>0</v>
      </c>
      <c r="AB1327" s="126">
        <f t="shared" si="416"/>
        <v>0</v>
      </c>
      <c r="AC1327" t="str">
        <f>IF($D1327="","",IF($AD1327=0,0,IF(COUNTIFS($D$4:$D1327,$D1327,$B$4:$B1327,$B1327)&gt;1,0,IF($B1327&lt;'Guide &amp; Settings'!$C$50,0,IF(($B1327-$AD1327)/7-'Guide &amp; Settings'!$C$48&gt;=0,(INT(($B1327-$AD1327)/7-'Guide &amp; Settings'!$C$48)+1)*'Guide &amp; Settings'!$C$49,0)))))</f>
        <v/>
      </c>
      <c r="AD1327" s="142">
        <f t="shared" si="417"/>
        <v>0</v>
      </c>
      <c r="AE1327">
        <f t="shared" si="418"/>
        <v>0</v>
      </c>
      <c r="AF1327">
        <f t="shared" si="419"/>
        <v>0</v>
      </c>
    </row>
    <row r="1328" spans="1:32" x14ac:dyDescent="0.2">
      <c r="A1328" s="117"/>
      <c r="B1328" s="118"/>
      <c r="C1328" s="119"/>
      <c r="D1328" s="119"/>
      <c r="E1328" s="117"/>
      <c r="F1328" s="120">
        <f t="shared" si="400"/>
        <v>0</v>
      </c>
      <c r="G1328" s="121" t="str">
        <f t="shared" si="401"/>
        <v/>
      </c>
      <c r="H1328" s="122">
        <f>IF($D1328="",0,IFERROR(LOOKUP(2,1/(($D$3:D1327=$D1328)*($A$3:A1327&lt;$A1328)),$N$3:N1327),'Guide &amp; Settings'!$C$41))</f>
        <v>0</v>
      </c>
      <c r="I1328" s="123">
        <f t="shared" si="402"/>
        <v>0</v>
      </c>
      <c r="J1328" s="124">
        <f>IF($D1328="",0,IF($F1328&lt;2,0,IF($E1328="Win",('Guide &amp; Settings'!$C$42/(($F1328-1)*COUNTIFS($A$4:$A$1510,$A1328,$E$4:$E$1510,"Win")))*SUMIFS($X$4:$X$1510,$A$4:$A$1510,$A1328,$E$4:$E$1510,"Loss"),-('Guide &amp; Settings'!$C$42/($F1328-1))*$X1328)))</f>
        <v>0</v>
      </c>
      <c r="K1328" s="124">
        <f>IF($D1328="",0,'Guide &amp; Settings'!$C$43*(IF($E1328="Win",1,0)-$I1328))</f>
        <v>0</v>
      </c>
      <c r="L1328" s="125">
        <f>IF($D1328="",0,'Guide &amp; Settings'!$C$44*IF($F1328&gt;=3,$F1328,0))</f>
        <v>0</v>
      </c>
      <c r="M1328" s="124">
        <f t="shared" si="403"/>
        <v>0</v>
      </c>
      <c r="N1328" s="122">
        <f t="shared" si="404"/>
        <v>0</v>
      </c>
      <c r="O1328" s="121" t="str">
        <f t="shared" si="405"/>
        <v/>
      </c>
      <c r="P1328">
        <f t="shared" si="406"/>
        <v>0</v>
      </c>
      <c r="Q1328">
        <f t="shared" si="407"/>
        <v>0</v>
      </c>
      <c r="R1328">
        <f t="shared" si="408"/>
        <v>0</v>
      </c>
      <c r="S1328">
        <f t="shared" si="409"/>
        <v>0</v>
      </c>
      <c r="T1328" s="89">
        <f t="shared" si="410"/>
        <v>0</v>
      </c>
      <c r="U1328" s="126">
        <f>IF($D1328="",0,IFERROR(LOOKUP(2,1/(($D$3:D1327=$D1328)*($C$3:C1327=$C1328)*($A$3:A1327&lt;$A1328)),$AB$3:AB1327),1000))</f>
        <v>0</v>
      </c>
      <c r="V1328" s="126">
        <f t="shared" si="411"/>
        <v>0</v>
      </c>
      <c r="W1328">
        <f t="shared" si="412"/>
        <v>0</v>
      </c>
      <c r="X1328">
        <f t="shared" si="413"/>
        <v>0</v>
      </c>
      <c r="Y1328">
        <f t="shared" si="414"/>
        <v>0</v>
      </c>
      <c r="Z1328">
        <f t="shared" si="415"/>
        <v>0</v>
      </c>
      <c r="AA1328">
        <f>IF($D1328="",0,IF($F1328&lt;2,0,IF($E1328="Win",('Guide &amp; Settings'!$C$42/(($F1328-1)*COUNTIFS($A$4:$A$1510,$A1328,$E$4:$E$1510,"Win")))*SUMIFS($Z$4:$Z$1510,$A$4:$A$1510,$A1328,$E$4:$E$1510,"Loss"),-('Guide &amp; Settings'!$C$42/($F1328-1))*$Z1328)))</f>
        <v>0</v>
      </c>
      <c r="AB1328" s="126">
        <f t="shared" si="416"/>
        <v>0</v>
      </c>
      <c r="AC1328" t="str">
        <f>IF($D1328="","",IF($AD1328=0,0,IF(COUNTIFS($D$4:$D1328,$D1328,$B$4:$B1328,$B1328)&gt;1,0,IF($B1328&lt;'Guide &amp; Settings'!$C$50,0,IF(($B1328-$AD1328)/7-'Guide &amp; Settings'!$C$48&gt;=0,(INT(($B1328-$AD1328)/7-'Guide &amp; Settings'!$C$48)+1)*'Guide &amp; Settings'!$C$49,0)))))</f>
        <v/>
      </c>
      <c r="AD1328" s="142">
        <f t="shared" si="417"/>
        <v>0</v>
      </c>
      <c r="AE1328">
        <f t="shared" si="418"/>
        <v>0</v>
      </c>
      <c r="AF1328">
        <f t="shared" si="419"/>
        <v>0</v>
      </c>
    </row>
    <row r="1329" spans="1:32" x14ac:dyDescent="0.2">
      <c r="A1329" s="117"/>
      <c r="B1329" s="118"/>
      <c r="C1329" s="119"/>
      <c r="D1329" s="119"/>
      <c r="E1329" s="117"/>
      <c r="F1329" s="120">
        <f t="shared" si="400"/>
        <v>0</v>
      </c>
      <c r="G1329" s="121" t="str">
        <f t="shared" si="401"/>
        <v/>
      </c>
      <c r="H1329" s="122">
        <f>IF($D1329="",0,IFERROR(LOOKUP(2,1/(($D$3:D1328=$D1329)*($A$3:A1328&lt;$A1329)),$N$3:N1328),'Guide &amp; Settings'!$C$41))</f>
        <v>0</v>
      </c>
      <c r="I1329" s="123">
        <f t="shared" si="402"/>
        <v>0</v>
      </c>
      <c r="J1329" s="124">
        <f>IF($D1329="",0,IF($F1329&lt;2,0,IF($E1329="Win",('Guide &amp; Settings'!$C$42/(($F1329-1)*COUNTIFS($A$4:$A$1510,$A1329,$E$4:$E$1510,"Win")))*SUMIFS($X$4:$X$1510,$A$4:$A$1510,$A1329,$E$4:$E$1510,"Loss"),-('Guide &amp; Settings'!$C$42/($F1329-1))*$X1329)))</f>
        <v>0</v>
      </c>
      <c r="K1329" s="124">
        <f>IF($D1329="",0,'Guide &amp; Settings'!$C$43*(IF($E1329="Win",1,0)-$I1329))</f>
        <v>0</v>
      </c>
      <c r="L1329" s="125">
        <f>IF($D1329="",0,'Guide &amp; Settings'!$C$44*IF($F1329&gt;=3,$F1329,0))</f>
        <v>0</v>
      </c>
      <c r="M1329" s="124">
        <f t="shared" si="403"/>
        <v>0</v>
      </c>
      <c r="N1329" s="122">
        <f t="shared" si="404"/>
        <v>0</v>
      </c>
      <c r="O1329" s="121" t="str">
        <f t="shared" si="405"/>
        <v/>
      </c>
      <c r="P1329">
        <f t="shared" si="406"/>
        <v>0</v>
      </c>
      <c r="Q1329">
        <f t="shared" si="407"/>
        <v>0</v>
      </c>
      <c r="R1329">
        <f t="shared" si="408"/>
        <v>0</v>
      </c>
      <c r="S1329">
        <f t="shared" si="409"/>
        <v>0</v>
      </c>
      <c r="T1329" s="89">
        <f t="shared" si="410"/>
        <v>0</v>
      </c>
      <c r="U1329" s="126">
        <f>IF($D1329="",0,IFERROR(LOOKUP(2,1/(($D$3:D1328=$D1329)*($C$3:C1328=$C1329)*($A$3:A1328&lt;$A1329)),$AB$3:AB1328),1000))</f>
        <v>0</v>
      </c>
      <c r="V1329" s="126">
        <f t="shared" si="411"/>
        <v>0</v>
      </c>
      <c r="W1329">
        <f t="shared" si="412"/>
        <v>0</v>
      </c>
      <c r="X1329">
        <f t="shared" si="413"/>
        <v>0</v>
      </c>
      <c r="Y1329">
        <f t="shared" si="414"/>
        <v>0</v>
      </c>
      <c r="Z1329">
        <f t="shared" si="415"/>
        <v>0</v>
      </c>
      <c r="AA1329">
        <f>IF($D1329="",0,IF($F1329&lt;2,0,IF($E1329="Win",('Guide &amp; Settings'!$C$42/(($F1329-1)*COUNTIFS($A$4:$A$1510,$A1329,$E$4:$E$1510,"Win")))*SUMIFS($Z$4:$Z$1510,$A$4:$A$1510,$A1329,$E$4:$E$1510,"Loss"),-('Guide &amp; Settings'!$C$42/($F1329-1))*$Z1329)))</f>
        <v>0</v>
      </c>
      <c r="AB1329" s="126">
        <f t="shared" si="416"/>
        <v>0</v>
      </c>
      <c r="AC1329" t="str">
        <f>IF($D1329="","",IF($AD1329=0,0,IF(COUNTIFS($D$4:$D1329,$D1329,$B$4:$B1329,$B1329)&gt;1,0,IF($B1329&lt;'Guide &amp; Settings'!$C$50,0,IF(($B1329-$AD1329)/7-'Guide &amp; Settings'!$C$48&gt;=0,(INT(($B1329-$AD1329)/7-'Guide &amp; Settings'!$C$48)+1)*'Guide &amp; Settings'!$C$49,0)))))</f>
        <v/>
      </c>
      <c r="AD1329" s="142">
        <f t="shared" si="417"/>
        <v>0</v>
      </c>
      <c r="AE1329">
        <f t="shared" si="418"/>
        <v>0</v>
      </c>
      <c r="AF1329">
        <f t="shared" si="419"/>
        <v>0</v>
      </c>
    </row>
    <row r="1330" spans="1:32" x14ac:dyDescent="0.2">
      <c r="A1330" s="117"/>
      <c r="B1330" s="118"/>
      <c r="C1330" s="119"/>
      <c r="D1330" s="119"/>
      <c r="E1330" s="117"/>
      <c r="F1330" s="120">
        <f t="shared" si="400"/>
        <v>0</v>
      </c>
      <c r="G1330" s="121" t="str">
        <f t="shared" si="401"/>
        <v/>
      </c>
      <c r="H1330" s="122">
        <f>IF($D1330="",0,IFERROR(LOOKUP(2,1/(($D$3:D1329=$D1330)*($A$3:A1329&lt;$A1330)),$N$3:N1329),'Guide &amp; Settings'!$C$41))</f>
        <v>0</v>
      </c>
      <c r="I1330" s="123">
        <f t="shared" si="402"/>
        <v>0</v>
      </c>
      <c r="J1330" s="124">
        <f>IF($D1330="",0,IF($F1330&lt;2,0,IF($E1330="Win",('Guide &amp; Settings'!$C$42/(($F1330-1)*COUNTIFS($A$4:$A$1510,$A1330,$E$4:$E$1510,"Win")))*SUMIFS($X$4:$X$1510,$A$4:$A$1510,$A1330,$E$4:$E$1510,"Loss"),-('Guide &amp; Settings'!$C$42/($F1330-1))*$X1330)))</f>
        <v>0</v>
      </c>
      <c r="K1330" s="124">
        <f>IF($D1330="",0,'Guide &amp; Settings'!$C$43*(IF($E1330="Win",1,0)-$I1330))</f>
        <v>0</v>
      </c>
      <c r="L1330" s="125">
        <f>IF($D1330="",0,'Guide &amp; Settings'!$C$44*IF($F1330&gt;=3,$F1330,0))</f>
        <v>0</v>
      </c>
      <c r="M1330" s="124">
        <f t="shared" si="403"/>
        <v>0</v>
      </c>
      <c r="N1330" s="122">
        <f t="shared" si="404"/>
        <v>0</v>
      </c>
      <c r="O1330" s="121" t="str">
        <f t="shared" si="405"/>
        <v/>
      </c>
      <c r="P1330">
        <f t="shared" si="406"/>
        <v>0</v>
      </c>
      <c r="Q1330">
        <f t="shared" si="407"/>
        <v>0</v>
      </c>
      <c r="R1330">
        <f t="shared" si="408"/>
        <v>0</v>
      </c>
      <c r="S1330">
        <f t="shared" si="409"/>
        <v>0</v>
      </c>
      <c r="T1330" s="89">
        <f t="shared" si="410"/>
        <v>0</v>
      </c>
      <c r="U1330" s="126">
        <f>IF($D1330="",0,IFERROR(LOOKUP(2,1/(($D$3:D1329=$D1330)*($C$3:C1329=$C1330)*($A$3:A1329&lt;$A1330)),$AB$3:AB1329),1000))</f>
        <v>0</v>
      </c>
      <c r="V1330" s="126">
        <f t="shared" si="411"/>
        <v>0</v>
      </c>
      <c r="W1330">
        <f t="shared" si="412"/>
        <v>0</v>
      </c>
      <c r="X1330">
        <f t="shared" si="413"/>
        <v>0</v>
      </c>
      <c r="Y1330">
        <f t="shared" si="414"/>
        <v>0</v>
      </c>
      <c r="Z1330">
        <f t="shared" si="415"/>
        <v>0</v>
      </c>
      <c r="AA1330">
        <f>IF($D1330="",0,IF($F1330&lt;2,0,IF($E1330="Win",('Guide &amp; Settings'!$C$42/(($F1330-1)*COUNTIFS($A$4:$A$1510,$A1330,$E$4:$E$1510,"Win")))*SUMIFS($Z$4:$Z$1510,$A$4:$A$1510,$A1330,$E$4:$E$1510,"Loss"),-('Guide &amp; Settings'!$C$42/($F1330-1))*$Z1330)))</f>
        <v>0</v>
      </c>
      <c r="AB1330" s="126">
        <f t="shared" si="416"/>
        <v>0</v>
      </c>
      <c r="AC1330" t="str">
        <f>IF($D1330="","",IF($AD1330=0,0,IF(COUNTIFS($D$4:$D1330,$D1330,$B$4:$B1330,$B1330)&gt;1,0,IF($B1330&lt;'Guide &amp; Settings'!$C$50,0,IF(($B1330-$AD1330)/7-'Guide &amp; Settings'!$C$48&gt;=0,(INT(($B1330-$AD1330)/7-'Guide &amp; Settings'!$C$48)+1)*'Guide &amp; Settings'!$C$49,0)))))</f>
        <v/>
      </c>
      <c r="AD1330" s="142">
        <f t="shared" si="417"/>
        <v>0</v>
      </c>
      <c r="AE1330">
        <f t="shared" si="418"/>
        <v>0</v>
      </c>
      <c r="AF1330">
        <f t="shared" si="419"/>
        <v>0</v>
      </c>
    </row>
    <row r="1331" spans="1:32" x14ac:dyDescent="0.2">
      <c r="A1331" s="117"/>
      <c r="B1331" s="118"/>
      <c r="C1331" s="119"/>
      <c r="D1331" s="119"/>
      <c r="E1331" s="117"/>
      <c r="F1331" s="120">
        <f t="shared" si="400"/>
        <v>0</v>
      </c>
      <c r="G1331" s="121" t="str">
        <f t="shared" si="401"/>
        <v/>
      </c>
      <c r="H1331" s="122">
        <f>IF($D1331="",0,IFERROR(LOOKUP(2,1/(($D$3:D1330=$D1331)*($A$3:A1330&lt;$A1331)),$N$3:N1330),'Guide &amp; Settings'!$C$41))</f>
        <v>0</v>
      </c>
      <c r="I1331" s="123">
        <f t="shared" si="402"/>
        <v>0</v>
      </c>
      <c r="J1331" s="124">
        <f>IF($D1331="",0,IF($F1331&lt;2,0,IF($E1331="Win",('Guide &amp; Settings'!$C$42/(($F1331-1)*COUNTIFS($A$4:$A$1510,$A1331,$E$4:$E$1510,"Win")))*SUMIFS($X$4:$X$1510,$A$4:$A$1510,$A1331,$E$4:$E$1510,"Loss"),-('Guide &amp; Settings'!$C$42/($F1331-1))*$X1331)))</f>
        <v>0</v>
      </c>
      <c r="K1331" s="124">
        <f>IF($D1331="",0,'Guide &amp; Settings'!$C$43*(IF($E1331="Win",1,0)-$I1331))</f>
        <v>0</v>
      </c>
      <c r="L1331" s="125">
        <f>IF($D1331="",0,'Guide &amp; Settings'!$C$44*IF($F1331&gt;=3,$F1331,0))</f>
        <v>0</v>
      </c>
      <c r="M1331" s="124">
        <f t="shared" si="403"/>
        <v>0</v>
      </c>
      <c r="N1331" s="122">
        <f t="shared" si="404"/>
        <v>0</v>
      </c>
      <c r="O1331" s="121" t="str">
        <f t="shared" si="405"/>
        <v/>
      </c>
      <c r="P1331">
        <f t="shared" si="406"/>
        <v>0</v>
      </c>
      <c r="Q1331">
        <f t="shared" si="407"/>
        <v>0</v>
      </c>
      <c r="R1331">
        <f t="shared" si="408"/>
        <v>0</v>
      </c>
      <c r="S1331">
        <f t="shared" si="409"/>
        <v>0</v>
      </c>
      <c r="T1331" s="89">
        <f t="shared" si="410"/>
        <v>0</v>
      </c>
      <c r="U1331" s="126">
        <f>IF($D1331="",0,IFERROR(LOOKUP(2,1/(($D$3:D1330=$D1331)*($C$3:C1330=$C1331)*($A$3:A1330&lt;$A1331)),$AB$3:AB1330),1000))</f>
        <v>0</v>
      </c>
      <c r="V1331" s="126">
        <f t="shared" si="411"/>
        <v>0</v>
      </c>
      <c r="W1331">
        <f t="shared" si="412"/>
        <v>0</v>
      </c>
      <c r="X1331">
        <f t="shared" si="413"/>
        <v>0</v>
      </c>
      <c r="Y1331">
        <f t="shared" si="414"/>
        <v>0</v>
      </c>
      <c r="Z1331">
        <f t="shared" si="415"/>
        <v>0</v>
      </c>
      <c r="AA1331">
        <f>IF($D1331="",0,IF($F1331&lt;2,0,IF($E1331="Win",('Guide &amp; Settings'!$C$42/(($F1331-1)*COUNTIFS($A$4:$A$1510,$A1331,$E$4:$E$1510,"Win")))*SUMIFS($Z$4:$Z$1510,$A$4:$A$1510,$A1331,$E$4:$E$1510,"Loss"),-('Guide &amp; Settings'!$C$42/($F1331-1))*$Z1331)))</f>
        <v>0</v>
      </c>
      <c r="AB1331" s="126">
        <f t="shared" si="416"/>
        <v>0</v>
      </c>
      <c r="AC1331" t="str">
        <f>IF($D1331="","",IF($AD1331=0,0,IF(COUNTIFS($D$4:$D1331,$D1331,$B$4:$B1331,$B1331)&gt;1,0,IF($B1331&lt;'Guide &amp; Settings'!$C$50,0,IF(($B1331-$AD1331)/7-'Guide &amp; Settings'!$C$48&gt;=0,(INT(($B1331-$AD1331)/7-'Guide &amp; Settings'!$C$48)+1)*'Guide &amp; Settings'!$C$49,0)))))</f>
        <v/>
      </c>
      <c r="AD1331" s="142">
        <f t="shared" si="417"/>
        <v>0</v>
      </c>
      <c r="AE1331">
        <f t="shared" si="418"/>
        <v>0</v>
      </c>
      <c r="AF1331">
        <f t="shared" si="419"/>
        <v>0</v>
      </c>
    </row>
    <row r="1332" spans="1:32" x14ac:dyDescent="0.2">
      <c r="A1332" s="117"/>
      <c r="B1332" s="118"/>
      <c r="C1332" s="119"/>
      <c r="D1332" s="119"/>
      <c r="E1332" s="117"/>
      <c r="F1332" s="120">
        <f t="shared" si="400"/>
        <v>0</v>
      </c>
      <c r="G1332" s="121" t="str">
        <f t="shared" si="401"/>
        <v/>
      </c>
      <c r="H1332" s="122">
        <f>IF($D1332="",0,IFERROR(LOOKUP(2,1/(($D$3:D1331=$D1332)*($A$3:A1331&lt;$A1332)),$N$3:N1331),'Guide &amp; Settings'!$C$41))</f>
        <v>0</v>
      </c>
      <c r="I1332" s="123">
        <f t="shared" si="402"/>
        <v>0</v>
      </c>
      <c r="J1332" s="124">
        <f>IF($D1332="",0,IF($F1332&lt;2,0,IF($E1332="Win",('Guide &amp; Settings'!$C$42/(($F1332-1)*COUNTIFS($A$4:$A$1510,$A1332,$E$4:$E$1510,"Win")))*SUMIFS($X$4:$X$1510,$A$4:$A$1510,$A1332,$E$4:$E$1510,"Loss"),-('Guide &amp; Settings'!$C$42/($F1332-1))*$X1332)))</f>
        <v>0</v>
      </c>
      <c r="K1332" s="124">
        <f>IF($D1332="",0,'Guide &amp; Settings'!$C$43*(IF($E1332="Win",1,0)-$I1332))</f>
        <v>0</v>
      </c>
      <c r="L1332" s="125">
        <f>IF($D1332="",0,'Guide &amp; Settings'!$C$44*IF($F1332&gt;=3,$F1332,0))</f>
        <v>0</v>
      </c>
      <c r="M1332" s="124">
        <f t="shared" si="403"/>
        <v>0</v>
      </c>
      <c r="N1332" s="122">
        <f t="shared" si="404"/>
        <v>0</v>
      </c>
      <c r="O1332" s="121" t="str">
        <f t="shared" si="405"/>
        <v/>
      </c>
      <c r="P1332">
        <f t="shared" si="406"/>
        <v>0</v>
      </c>
      <c r="Q1332">
        <f t="shared" si="407"/>
        <v>0</v>
      </c>
      <c r="R1332">
        <f t="shared" si="408"/>
        <v>0</v>
      </c>
      <c r="S1332">
        <f t="shared" si="409"/>
        <v>0</v>
      </c>
      <c r="T1332" s="89">
        <f t="shared" si="410"/>
        <v>0</v>
      </c>
      <c r="U1332" s="126">
        <f>IF($D1332="",0,IFERROR(LOOKUP(2,1/(($D$3:D1331=$D1332)*($C$3:C1331=$C1332)*($A$3:A1331&lt;$A1332)),$AB$3:AB1331),1000))</f>
        <v>0</v>
      </c>
      <c r="V1332" s="126">
        <f t="shared" si="411"/>
        <v>0</v>
      </c>
      <c r="W1332">
        <f t="shared" si="412"/>
        <v>0</v>
      </c>
      <c r="X1332">
        <f t="shared" si="413"/>
        <v>0</v>
      </c>
      <c r="Y1332">
        <f t="shared" si="414"/>
        <v>0</v>
      </c>
      <c r="Z1332">
        <f t="shared" si="415"/>
        <v>0</v>
      </c>
      <c r="AA1332">
        <f>IF($D1332="",0,IF($F1332&lt;2,0,IF($E1332="Win",('Guide &amp; Settings'!$C$42/(($F1332-1)*COUNTIFS($A$4:$A$1510,$A1332,$E$4:$E$1510,"Win")))*SUMIFS($Z$4:$Z$1510,$A$4:$A$1510,$A1332,$E$4:$E$1510,"Loss"),-('Guide &amp; Settings'!$C$42/($F1332-1))*$Z1332)))</f>
        <v>0</v>
      </c>
      <c r="AB1332" s="126">
        <f t="shared" si="416"/>
        <v>0</v>
      </c>
      <c r="AC1332" t="str">
        <f>IF($D1332="","",IF($AD1332=0,0,IF(COUNTIFS($D$4:$D1332,$D1332,$B$4:$B1332,$B1332)&gt;1,0,IF($B1332&lt;'Guide &amp; Settings'!$C$50,0,IF(($B1332-$AD1332)/7-'Guide &amp; Settings'!$C$48&gt;=0,(INT(($B1332-$AD1332)/7-'Guide &amp; Settings'!$C$48)+1)*'Guide &amp; Settings'!$C$49,0)))))</f>
        <v/>
      </c>
      <c r="AD1332" s="142">
        <f t="shared" si="417"/>
        <v>0</v>
      </c>
      <c r="AE1332">
        <f t="shared" si="418"/>
        <v>0</v>
      </c>
      <c r="AF1332">
        <f t="shared" si="419"/>
        <v>0</v>
      </c>
    </row>
    <row r="1333" spans="1:32" x14ac:dyDescent="0.2">
      <c r="A1333" s="117"/>
      <c r="B1333" s="118"/>
      <c r="C1333" s="119"/>
      <c r="D1333" s="119"/>
      <c r="E1333" s="117"/>
      <c r="F1333" s="120">
        <f t="shared" si="400"/>
        <v>0</v>
      </c>
      <c r="G1333" s="121" t="str">
        <f t="shared" si="401"/>
        <v/>
      </c>
      <c r="H1333" s="122">
        <f>IF($D1333="",0,IFERROR(LOOKUP(2,1/(($D$3:D1332=$D1333)*($A$3:A1332&lt;$A1333)),$N$3:N1332),'Guide &amp; Settings'!$C$41))</f>
        <v>0</v>
      </c>
      <c r="I1333" s="123">
        <f t="shared" si="402"/>
        <v>0</v>
      </c>
      <c r="J1333" s="124">
        <f>IF($D1333="",0,IF($F1333&lt;2,0,IF($E1333="Win",('Guide &amp; Settings'!$C$42/(($F1333-1)*COUNTIFS($A$4:$A$1510,$A1333,$E$4:$E$1510,"Win")))*SUMIFS($X$4:$X$1510,$A$4:$A$1510,$A1333,$E$4:$E$1510,"Loss"),-('Guide &amp; Settings'!$C$42/($F1333-1))*$X1333)))</f>
        <v>0</v>
      </c>
      <c r="K1333" s="124">
        <f>IF($D1333="",0,'Guide &amp; Settings'!$C$43*(IF($E1333="Win",1,0)-$I1333))</f>
        <v>0</v>
      </c>
      <c r="L1333" s="125">
        <f>IF($D1333="",0,'Guide &amp; Settings'!$C$44*IF($F1333&gt;=3,$F1333,0))</f>
        <v>0</v>
      </c>
      <c r="M1333" s="124">
        <f t="shared" si="403"/>
        <v>0</v>
      </c>
      <c r="N1333" s="122">
        <f t="shared" si="404"/>
        <v>0</v>
      </c>
      <c r="O1333" s="121" t="str">
        <f t="shared" si="405"/>
        <v/>
      </c>
      <c r="P1333">
        <f t="shared" si="406"/>
        <v>0</v>
      </c>
      <c r="Q1333">
        <f t="shared" si="407"/>
        <v>0</v>
      </c>
      <c r="R1333">
        <f t="shared" si="408"/>
        <v>0</v>
      </c>
      <c r="S1333">
        <f t="shared" si="409"/>
        <v>0</v>
      </c>
      <c r="T1333" s="89">
        <f t="shared" si="410"/>
        <v>0</v>
      </c>
      <c r="U1333" s="126">
        <f>IF($D1333="",0,IFERROR(LOOKUP(2,1/(($D$3:D1332=$D1333)*($C$3:C1332=$C1333)*($A$3:A1332&lt;$A1333)),$AB$3:AB1332),1000))</f>
        <v>0</v>
      </c>
      <c r="V1333" s="126">
        <f t="shared" si="411"/>
        <v>0</v>
      </c>
      <c r="W1333">
        <f t="shared" si="412"/>
        <v>0</v>
      </c>
      <c r="X1333">
        <f t="shared" si="413"/>
        <v>0</v>
      </c>
      <c r="Y1333">
        <f t="shared" si="414"/>
        <v>0</v>
      </c>
      <c r="Z1333">
        <f t="shared" si="415"/>
        <v>0</v>
      </c>
      <c r="AA1333">
        <f>IF($D1333="",0,IF($F1333&lt;2,0,IF($E1333="Win",('Guide &amp; Settings'!$C$42/(($F1333-1)*COUNTIFS($A$4:$A$1510,$A1333,$E$4:$E$1510,"Win")))*SUMIFS($Z$4:$Z$1510,$A$4:$A$1510,$A1333,$E$4:$E$1510,"Loss"),-('Guide &amp; Settings'!$C$42/($F1333-1))*$Z1333)))</f>
        <v>0</v>
      </c>
      <c r="AB1333" s="126">
        <f t="shared" si="416"/>
        <v>0</v>
      </c>
      <c r="AC1333" t="str">
        <f>IF($D1333="","",IF($AD1333=0,0,IF(COUNTIFS($D$4:$D1333,$D1333,$B$4:$B1333,$B1333)&gt;1,0,IF($B1333&lt;'Guide &amp; Settings'!$C$50,0,IF(($B1333-$AD1333)/7-'Guide &amp; Settings'!$C$48&gt;=0,(INT(($B1333-$AD1333)/7-'Guide &amp; Settings'!$C$48)+1)*'Guide &amp; Settings'!$C$49,0)))))</f>
        <v/>
      </c>
      <c r="AD1333" s="142">
        <f t="shared" si="417"/>
        <v>0</v>
      </c>
      <c r="AE1333">
        <f t="shared" si="418"/>
        <v>0</v>
      </c>
      <c r="AF1333">
        <f t="shared" si="419"/>
        <v>0</v>
      </c>
    </row>
    <row r="1334" spans="1:32" x14ac:dyDescent="0.2">
      <c r="A1334" s="117"/>
      <c r="B1334" s="118"/>
      <c r="C1334" s="119"/>
      <c r="D1334" s="119"/>
      <c r="E1334" s="117"/>
      <c r="F1334" s="120">
        <f t="shared" si="400"/>
        <v>0</v>
      </c>
      <c r="G1334" s="121" t="str">
        <f t="shared" si="401"/>
        <v/>
      </c>
      <c r="H1334" s="122">
        <f>IF($D1334="",0,IFERROR(LOOKUP(2,1/(($D$3:D1333=$D1334)*($A$3:A1333&lt;$A1334)),$N$3:N1333),'Guide &amp; Settings'!$C$41))</f>
        <v>0</v>
      </c>
      <c r="I1334" s="123">
        <f t="shared" si="402"/>
        <v>0</v>
      </c>
      <c r="J1334" s="124">
        <f>IF($D1334="",0,IF($F1334&lt;2,0,IF($E1334="Win",('Guide &amp; Settings'!$C$42/(($F1334-1)*COUNTIFS($A$4:$A$1510,$A1334,$E$4:$E$1510,"Win")))*SUMIFS($X$4:$X$1510,$A$4:$A$1510,$A1334,$E$4:$E$1510,"Loss"),-('Guide &amp; Settings'!$C$42/($F1334-1))*$X1334)))</f>
        <v>0</v>
      </c>
      <c r="K1334" s="124">
        <f>IF($D1334="",0,'Guide &amp; Settings'!$C$43*(IF($E1334="Win",1,0)-$I1334))</f>
        <v>0</v>
      </c>
      <c r="L1334" s="125">
        <f>IF($D1334="",0,'Guide &amp; Settings'!$C$44*IF($F1334&gt;=3,$F1334,0))</f>
        <v>0</v>
      </c>
      <c r="M1334" s="124">
        <f t="shared" si="403"/>
        <v>0</v>
      </c>
      <c r="N1334" s="122">
        <f t="shared" si="404"/>
        <v>0</v>
      </c>
      <c r="O1334" s="121" t="str">
        <f t="shared" si="405"/>
        <v/>
      </c>
      <c r="P1334">
        <f t="shared" si="406"/>
        <v>0</v>
      </c>
      <c r="Q1334">
        <f t="shared" si="407"/>
        <v>0</v>
      </c>
      <c r="R1334">
        <f t="shared" si="408"/>
        <v>0</v>
      </c>
      <c r="S1334">
        <f t="shared" si="409"/>
        <v>0</v>
      </c>
      <c r="T1334" s="89">
        <f t="shared" si="410"/>
        <v>0</v>
      </c>
      <c r="U1334" s="126">
        <f>IF($D1334="",0,IFERROR(LOOKUP(2,1/(($D$3:D1333=$D1334)*($C$3:C1333=$C1334)*($A$3:A1333&lt;$A1334)),$AB$3:AB1333),1000))</f>
        <v>0</v>
      </c>
      <c r="V1334" s="126">
        <f t="shared" si="411"/>
        <v>0</v>
      </c>
      <c r="W1334">
        <f t="shared" si="412"/>
        <v>0</v>
      </c>
      <c r="X1334">
        <f t="shared" si="413"/>
        <v>0</v>
      </c>
      <c r="Y1334">
        <f t="shared" si="414"/>
        <v>0</v>
      </c>
      <c r="Z1334">
        <f t="shared" si="415"/>
        <v>0</v>
      </c>
      <c r="AA1334">
        <f>IF($D1334="",0,IF($F1334&lt;2,0,IF($E1334="Win",('Guide &amp; Settings'!$C$42/(($F1334-1)*COUNTIFS($A$4:$A$1510,$A1334,$E$4:$E$1510,"Win")))*SUMIFS($Z$4:$Z$1510,$A$4:$A$1510,$A1334,$E$4:$E$1510,"Loss"),-('Guide &amp; Settings'!$C$42/($F1334-1))*$Z1334)))</f>
        <v>0</v>
      </c>
      <c r="AB1334" s="126">
        <f t="shared" si="416"/>
        <v>0</v>
      </c>
      <c r="AC1334" t="str">
        <f>IF($D1334="","",IF($AD1334=0,0,IF(COUNTIFS($D$4:$D1334,$D1334,$B$4:$B1334,$B1334)&gt;1,0,IF($B1334&lt;'Guide &amp; Settings'!$C$50,0,IF(($B1334-$AD1334)/7-'Guide &amp; Settings'!$C$48&gt;=0,(INT(($B1334-$AD1334)/7-'Guide &amp; Settings'!$C$48)+1)*'Guide &amp; Settings'!$C$49,0)))))</f>
        <v/>
      </c>
      <c r="AD1334" s="142">
        <f t="shared" si="417"/>
        <v>0</v>
      </c>
      <c r="AE1334">
        <f t="shared" si="418"/>
        <v>0</v>
      </c>
      <c r="AF1334">
        <f t="shared" si="419"/>
        <v>0</v>
      </c>
    </row>
    <row r="1335" spans="1:32" x14ac:dyDescent="0.2">
      <c r="A1335" s="117"/>
      <c r="B1335" s="118"/>
      <c r="C1335" s="119"/>
      <c r="D1335" s="119"/>
      <c r="E1335" s="117"/>
      <c r="F1335" s="120">
        <f t="shared" si="400"/>
        <v>0</v>
      </c>
      <c r="G1335" s="121" t="str">
        <f t="shared" si="401"/>
        <v/>
      </c>
      <c r="H1335" s="122">
        <f>IF($D1335="",0,IFERROR(LOOKUP(2,1/(($D$3:D1334=$D1335)*($A$3:A1334&lt;$A1335)),$N$3:N1334),'Guide &amp; Settings'!$C$41))</f>
        <v>0</v>
      </c>
      <c r="I1335" s="123">
        <f t="shared" si="402"/>
        <v>0</v>
      </c>
      <c r="J1335" s="124">
        <f>IF($D1335="",0,IF($F1335&lt;2,0,IF($E1335="Win",('Guide &amp; Settings'!$C$42/(($F1335-1)*COUNTIFS($A$4:$A$1510,$A1335,$E$4:$E$1510,"Win")))*SUMIFS($X$4:$X$1510,$A$4:$A$1510,$A1335,$E$4:$E$1510,"Loss"),-('Guide &amp; Settings'!$C$42/($F1335-1))*$X1335)))</f>
        <v>0</v>
      </c>
      <c r="K1335" s="124">
        <f>IF($D1335="",0,'Guide &amp; Settings'!$C$43*(IF($E1335="Win",1,0)-$I1335))</f>
        <v>0</v>
      </c>
      <c r="L1335" s="125">
        <f>IF($D1335="",0,'Guide &amp; Settings'!$C$44*IF($F1335&gt;=3,$F1335,0))</f>
        <v>0</v>
      </c>
      <c r="M1335" s="124">
        <f t="shared" si="403"/>
        <v>0</v>
      </c>
      <c r="N1335" s="122">
        <f t="shared" si="404"/>
        <v>0</v>
      </c>
      <c r="O1335" s="121" t="str">
        <f t="shared" si="405"/>
        <v/>
      </c>
      <c r="P1335">
        <f t="shared" si="406"/>
        <v>0</v>
      </c>
      <c r="Q1335">
        <f t="shared" si="407"/>
        <v>0</v>
      </c>
      <c r="R1335">
        <f t="shared" si="408"/>
        <v>0</v>
      </c>
      <c r="S1335">
        <f t="shared" si="409"/>
        <v>0</v>
      </c>
      <c r="T1335" s="89">
        <f t="shared" si="410"/>
        <v>0</v>
      </c>
      <c r="U1335" s="126">
        <f>IF($D1335="",0,IFERROR(LOOKUP(2,1/(($D$3:D1334=$D1335)*($C$3:C1334=$C1335)*($A$3:A1334&lt;$A1335)),$AB$3:AB1334),1000))</f>
        <v>0</v>
      </c>
      <c r="V1335" s="126">
        <f t="shared" si="411"/>
        <v>0</v>
      </c>
      <c r="W1335">
        <f t="shared" si="412"/>
        <v>0</v>
      </c>
      <c r="X1335">
        <f t="shared" si="413"/>
        <v>0</v>
      </c>
      <c r="Y1335">
        <f t="shared" si="414"/>
        <v>0</v>
      </c>
      <c r="Z1335">
        <f t="shared" si="415"/>
        <v>0</v>
      </c>
      <c r="AA1335">
        <f>IF($D1335="",0,IF($F1335&lt;2,0,IF($E1335="Win",('Guide &amp; Settings'!$C$42/(($F1335-1)*COUNTIFS($A$4:$A$1510,$A1335,$E$4:$E$1510,"Win")))*SUMIFS($Z$4:$Z$1510,$A$4:$A$1510,$A1335,$E$4:$E$1510,"Loss"),-('Guide &amp; Settings'!$C$42/($F1335-1))*$Z1335)))</f>
        <v>0</v>
      </c>
      <c r="AB1335" s="126">
        <f t="shared" si="416"/>
        <v>0</v>
      </c>
      <c r="AC1335" t="str">
        <f>IF($D1335="","",IF($AD1335=0,0,IF(COUNTIFS($D$4:$D1335,$D1335,$B$4:$B1335,$B1335)&gt;1,0,IF($B1335&lt;'Guide &amp; Settings'!$C$50,0,IF(($B1335-$AD1335)/7-'Guide &amp; Settings'!$C$48&gt;=0,(INT(($B1335-$AD1335)/7-'Guide &amp; Settings'!$C$48)+1)*'Guide &amp; Settings'!$C$49,0)))))</f>
        <v/>
      </c>
      <c r="AD1335" s="142">
        <f t="shared" si="417"/>
        <v>0</v>
      </c>
      <c r="AE1335">
        <f t="shared" si="418"/>
        <v>0</v>
      </c>
      <c r="AF1335">
        <f t="shared" si="419"/>
        <v>0</v>
      </c>
    </row>
    <row r="1336" spans="1:32" x14ac:dyDescent="0.2">
      <c r="A1336" s="117"/>
      <c r="B1336" s="118"/>
      <c r="C1336" s="119"/>
      <c r="D1336" s="119"/>
      <c r="E1336" s="117"/>
      <c r="F1336" s="120">
        <f t="shared" si="400"/>
        <v>0</v>
      </c>
      <c r="G1336" s="121" t="str">
        <f t="shared" si="401"/>
        <v/>
      </c>
      <c r="H1336" s="122">
        <f>IF($D1336="",0,IFERROR(LOOKUP(2,1/(($D$3:D1335=$D1336)*($A$3:A1335&lt;$A1336)),$N$3:N1335),'Guide &amp; Settings'!$C$41))</f>
        <v>0</v>
      </c>
      <c r="I1336" s="123">
        <f t="shared" si="402"/>
        <v>0</v>
      </c>
      <c r="J1336" s="124">
        <f>IF($D1336="",0,IF($F1336&lt;2,0,IF($E1336="Win",('Guide &amp; Settings'!$C$42/(($F1336-1)*COUNTIFS($A$4:$A$1510,$A1336,$E$4:$E$1510,"Win")))*SUMIFS($X$4:$X$1510,$A$4:$A$1510,$A1336,$E$4:$E$1510,"Loss"),-('Guide &amp; Settings'!$C$42/($F1336-1))*$X1336)))</f>
        <v>0</v>
      </c>
      <c r="K1336" s="124">
        <f>IF($D1336="",0,'Guide &amp; Settings'!$C$43*(IF($E1336="Win",1,0)-$I1336))</f>
        <v>0</v>
      </c>
      <c r="L1336" s="125">
        <f>IF($D1336="",0,'Guide &amp; Settings'!$C$44*IF($F1336&gt;=3,$F1336,0))</f>
        <v>0</v>
      </c>
      <c r="M1336" s="124">
        <f t="shared" si="403"/>
        <v>0</v>
      </c>
      <c r="N1336" s="122">
        <f t="shared" si="404"/>
        <v>0</v>
      </c>
      <c r="O1336" s="121" t="str">
        <f t="shared" si="405"/>
        <v/>
      </c>
      <c r="P1336">
        <f t="shared" si="406"/>
        <v>0</v>
      </c>
      <c r="Q1336">
        <f t="shared" si="407"/>
        <v>0</v>
      </c>
      <c r="R1336">
        <f t="shared" si="408"/>
        <v>0</v>
      </c>
      <c r="S1336">
        <f t="shared" si="409"/>
        <v>0</v>
      </c>
      <c r="T1336" s="89">
        <f t="shared" si="410"/>
        <v>0</v>
      </c>
      <c r="U1336" s="126">
        <f>IF($D1336="",0,IFERROR(LOOKUP(2,1/(($D$3:D1335=$D1336)*($C$3:C1335=$C1336)*($A$3:A1335&lt;$A1336)),$AB$3:AB1335),1000))</f>
        <v>0</v>
      </c>
      <c r="V1336" s="126">
        <f t="shared" si="411"/>
        <v>0</v>
      </c>
      <c r="W1336">
        <f t="shared" si="412"/>
        <v>0</v>
      </c>
      <c r="X1336">
        <f t="shared" si="413"/>
        <v>0</v>
      </c>
      <c r="Y1336">
        <f t="shared" si="414"/>
        <v>0</v>
      </c>
      <c r="Z1336">
        <f t="shared" si="415"/>
        <v>0</v>
      </c>
      <c r="AA1336">
        <f>IF($D1336="",0,IF($F1336&lt;2,0,IF($E1336="Win",('Guide &amp; Settings'!$C$42/(($F1336-1)*COUNTIFS($A$4:$A$1510,$A1336,$E$4:$E$1510,"Win")))*SUMIFS($Z$4:$Z$1510,$A$4:$A$1510,$A1336,$E$4:$E$1510,"Loss"),-('Guide &amp; Settings'!$C$42/($F1336-1))*$Z1336)))</f>
        <v>0</v>
      </c>
      <c r="AB1336" s="126">
        <f t="shared" si="416"/>
        <v>0</v>
      </c>
      <c r="AC1336" t="str">
        <f>IF($D1336="","",IF($AD1336=0,0,IF(COUNTIFS($D$4:$D1336,$D1336,$B$4:$B1336,$B1336)&gt;1,0,IF($B1336&lt;'Guide &amp; Settings'!$C$50,0,IF(($B1336-$AD1336)/7-'Guide &amp; Settings'!$C$48&gt;=0,(INT(($B1336-$AD1336)/7-'Guide &amp; Settings'!$C$48)+1)*'Guide &amp; Settings'!$C$49,0)))))</f>
        <v/>
      </c>
      <c r="AD1336" s="142">
        <f t="shared" si="417"/>
        <v>0</v>
      </c>
      <c r="AE1336">
        <f t="shared" si="418"/>
        <v>0</v>
      </c>
      <c r="AF1336">
        <f t="shared" si="419"/>
        <v>0</v>
      </c>
    </row>
    <row r="1337" spans="1:32" x14ac:dyDescent="0.2">
      <c r="A1337" s="117"/>
      <c r="B1337" s="118"/>
      <c r="C1337" s="119"/>
      <c r="D1337" s="119"/>
      <c r="E1337" s="117"/>
      <c r="F1337" s="120">
        <f t="shared" si="400"/>
        <v>0</v>
      </c>
      <c r="G1337" s="121" t="str">
        <f t="shared" si="401"/>
        <v/>
      </c>
      <c r="H1337" s="122">
        <f>IF($D1337="",0,IFERROR(LOOKUP(2,1/(($D$3:D1336=$D1337)*($A$3:A1336&lt;$A1337)),$N$3:N1336),'Guide &amp; Settings'!$C$41))</f>
        <v>0</v>
      </c>
      <c r="I1337" s="123">
        <f t="shared" si="402"/>
        <v>0</v>
      </c>
      <c r="J1337" s="124">
        <f>IF($D1337="",0,IF($F1337&lt;2,0,IF($E1337="Win",('Guide &amp; Settings'!$C$42/(($F1337-1)*COUNTIFS($A$4:$A$1510,$A1337,$E$4:$E$1510,"Win")))*SUMIFS($X$4:$X$1510,$A$4:$A$1510,$A1337,$E$4:$E$1510,"Loss"),-('Guide &amp; Settings'!$C$42/($F1337-1))*$X1337)))</f>
        <v>0</v>
      </c>
      <c r="K1337" s="124">
        <f>IF($D1337="",0,'Guide &amp; Settings'!$C$43*(IF($E1337="Win",1,0)-$I1337))</f>
        <v>0</v>
      </c>
      <c r="L1337" s="125">
        <f>IF($D1337="",0,'Guide &amp; Settings'!$C$44*IF($F1337&gt;=3,$F1337,0))</f>
        <v>0</v>
      </c>
      <c r="M1337" s="124">
        <f t="shared" si="403"/>
        <v>0</v>
      </c>
      <c r="N1337" s="122">
        <f t="shared" si="404"/>
        <v>0</v>
      </c>
      <c r="O1337" s="121" t="str">
        <f t="shared" si="405"/>
        <v/>
      </c>
      <c r="P1337">
        <f t="shared" si="406"/>
        <v>0</v>
      </c>
      <c r="Q1337">
        <f t="shared" si="407"/>
        <v>0</v>
      </c>
      <c r="R1337">
        <f t="shared" si="408"/>
        <v>0</v>
      </c>
      <c r="S1337">
        <f t="shared" si="409"/>
        <v>0</v>
      </c>
      <c r="T1337" s="89">
        <f t="shared" si="410"/>
        <v>0</v>
      </c>
      <c r="U1337" s="126">
        <f>IF($D1337="",0,IFERROR(LOOKUP(2,1/(($D$3:D1336=$D1337)*($C$3:C1336=$C1337)*($A$3:A1336&lt;$A1337)),$AB$3:AB1336),1000))</f>
        <v>0</v>
      </c>
      <c r="V1337" s="126">
        <f t="shared" si="411"/>
        <v>0</v>
      </c>
      <c r="W1337">
        <f t="shared" si="412"/>
        <v>0</v>
      </c>
      <c r="X1337">
        <f t="shared" si="413"/>
        <v>0</v>
      </c>
      <c r="Y1337">
        <f t="shared" si="414"/>
        <v>0</v>
      </c>
      <c r="Z1337">
        <f t="shared" si="415"/>
        <v>0</v>
      </c>
      <c r="AA1337">
        <f>IF($D1337="",0,IF($F1337&lt;2,0,IF($E1337="Win",('Guide &amp; Settings'!$C$42/(($F1337-1)*COUNTIFS($A$4:$A$1510,$A1337,$E$4:$E$1510,"Win")))*SUMIFS($Z$4:$Z$1510,$A$4:$A$1510,$A1337,$E$4:$E$1510,"Loss"),-('Guide &amp; Settings'!$C$42/($F1337-1))*$Z1337)))</f>
        <v>0</v>
      </c>
      <c r="AB1337" s="126">
        <f t="shared" si="416"/>
        <v>0</v>
      </c>
      <c r="AC1337" t="str">
        <f>IF($D1337="","",IF($AD1337=0,0,IF(COUNTIFS($D$4:$D1337,$D1337,$B$4:$B1337,$B1337)&gt;1,0,IF($B1337&lt;'Guide &amp; Settings'!$C$50,0,IF(($B1337-$AD1337)/7-'Guide &amp; Settings'!$C$48&gt;=0,(INT(($B1337-$AD1337)/7-'Guide &amp; Settings'!$C$48)+1)*'Guide &amp; Settings'!$C$49,0)))))</f>
        <v/>
      </c>
      <c r="AD1337" s="142">
        <f t="shared" si="417"/>
        <v>0</v>
      </c>
      <c r="AE1337">
        <f t="shared" si="418"/>
        <v>0</v>
      </c>
      <c r="AF1337">
        <f t="shared" si="419"/>
        <v>0</v>
      </c>
    </row>
    <row r="1338" spans="1:32" x14ac:dyDescent="0.2">
      <c r="A1338" s="117"/>
      <c r="B1338" s="118"/>
      <c r="C1338" s="119"/>
      <c r="D1338" s="119"/>
      <c r="E1338" s="117"/>
      <c r="F1338" s="120">
        <f t="shared" si="400"/>
        <v>0</v>
      </c>
      <c r="G1338" s="121" t="str">
        <f t="shared" si="401"/>
        <v/>
      </c>
      <c r="H1338" s="122">
        <f>IF($D1338="",0,IFERROR(LOOKUP(2,1/(($D$3:D1337=$D1338)*($A$3:A1337&lt;$A1338)),$N$3:N1337),'Guide &amp; Settings'!$C$41))</f>
        <v>0</v>
      </c>
      <c r="I1338" s="123">
        <f t="shared" si="402"/>
        <v>0</v>
      </c>
      <c r="J1338" s="124">
        <f>IF($D1338="",0,IF($F1338&lt;2,0,IF($E1338="Win",('Guide &amp; Settings'!$C$42/(($F1338-1)*COUNTIFS($A$4:$A$1510,$A1338,$E$4:$E$1510,"Win")))*SUMIFS($X$4:$X$1510,$A$4:$A$1510,$A1338,$E$4:$E$1510,"Loss"),-('Guide &amp; Settings'!$C$42/($F1338-1))*$X1338)))</f>
        <v>0</v>
      </c>
      <c r="K1338" s="124">
        <f>IF($D1338="",0,'Guide &amp; Settings'!$C$43*(IF($E1338="Win",1,0)-$I1338))</f>
        <v>0</v>
      </c>
      <c r="L1338" s="125">
        <f>IF($D1338="",0,'Guide &amp; Settings'!$C$44*IF($F1338&gt;=3,$F1338,0))</f>
        <v>0</v>
      </c>
      <c r="M1338" s="124">
        <f t="shared" si="403"/>
        <v>0</v>
      </c>
      <c r="N1338" s="122">
        <f t="shared" si="404"/>
        <v>0</v>
      </c>
      <c r="O1338" s="121" t="str">
        <f t="shared" si="405"/>
        <v/>
      </c>
      <c r="P1338">
        <f t="shared" si="406"/>
        <v>0</v>
      </c>
      <c r="Q1338">
        <f t="shared" si="407"/>
        <v>0</v>
      </c>
      <c r="R1338">
        <f t="shared" si="408"/>
        <v>0</v>
      </c>
      <c r="S1338">
        <f t="shared" si="409"/>
        <v>0</v>
      </c>
      <c r="T1338" s="89">
        <f t="shared" si="410"/>
        <v>0</v>
      </c>
      <c r="U1338" s="126">
        <f>IF($D1338="",0,IFERROR(LOOKUP(2,1/(($D$3:D1337=$D1338)*($C$3:C1337=$C1338)*($A$3:A1337&lt;$A1338)),$AB$3:AB1337),1000))</f>
        <v>0</v>
      </c>
      <c r="V1338" s="126">
        <f t="shared" si="411"/>
        <v>0</v>
      </c>
      <c r="W1338">
        <f t="shared" si="412"/>
        <v>0</v>
      </c>
      <c r="X1338">
        <f t="shared" si="413"/>
        <v>0</v>
      </c>
      <c r="Y1338">
        <f t="shared" si="414"/>
        <v>0</v>
      </c>
      <c r="Z1338">
        <f t="shared" si="415"/>
        <v>0</v>
      </c>
      <c r="AA1338">
        <f>IF($D1338="",0,IF($F1338&lt;2,0,IF($E1338="Win",('Guide &amp; Settings'!$C$42/(($F1338-1)*COUNTIFS($A$4:$A$1510,$A1338,$E$4:$E$1510,"Win")))*SUMIFS($Z$4:$Z$1510,$A$4:$A$1510,$A1338,$E$4:$E$1510,"Loss"),-('Guide &amp; Settings'!$C$42/($F1338-1))*$Z1338)))</f>
        <v>0</v>
      </c>
      <c r="AB1338" s="126">
        <f t="shared" si="416"/>
        <v>0</v>
      </c>
      <c r="AC1338" t="str">
        <f>IF($D1338="","",IF($AD1338=0,0,IF(COUNTIFS($D$4:$D1338,$D1338,$B$4:$B1338,$B1338)&gt;1,0,IF($B1338&lt;'Guide &amp; Settings'!$C$50,0,IF(($B1338-$AD1338)/7-'Guide &amp; Settings'!$C$48&gt;=0,(INT(($B1338-$AD1338)/7-'Guide &amp; Settings'!$C$48)+1)*'Guide &amp; Settings'!$C$49,0)))))</f>
        <v/>
      </c>
      <c r="AD1338" s="142">
        <f t="shared" si="417"/>
        <v>0</v>
      </c>
      <c r="AE1338">
        <f t="shared" si="418"/>
        <v>0</v>
      </c>
      <c r="AF1338">
        <f t="shared" si="419"/>
        <v>0</v>
      </c>
    </row>
    <row r="1339" spans="1:32" x14ac:dyDescent="0.2">
      <c r="A1339" s="117"/>
      <c r="B1339" s="118"/>
      <c r="C1339" s="119"/>
      <c r="D1339" s="119"/>
      <c r="E1339" s="117"/>
      <c r="F1339" s="120">
        <f t="shared" si="400"/>
        <v>0</v>
      </c>
      <c r="G1339" s="121" t="str">
        <f t="shared" si="401"/>
        <v/>
      </c>
      <c r="H1339" s="122">
        <f>IF($D1339="",0,IFERROR(LOOKUP(2,1/(($D$3:D1338=$D1339)*($A$3:A1338&lt;$A1339)),$N$3:N1338),'Guide &amp; Settings'!$C$41))</f>
        <v>0</v>
      </c>
      <c r="I1339" s="123">
        <f t="shared" si="402"/>
        <v>0</v>
      </c>
      <c r="J1339" s="124">
        <f>IF($D1339="",0,IF($F1339&lt;2,0,IF($E1339="Win",('Guide &amp; Settings'!$C$42/(($F1339-1)*COUNTIFS($A$4:$A$1510,$A1339,$E$4:$E$1510,"Win")))*SUMIFS($X$4:$X$1510,$A$4:$A$1510,$A1339,$E$4:$E$1510,"Loss"),-('Guide &amp; Settings'!$C$42/($F1339-1))*$X1339)))</f>
        <v>0</v>
      </c>
      <c r="K1339" s="124">
        <f>IF($D1339="",0,'Guide &amp; Settings'!$C$43*(IF($E1339="Win",1,0)-$I1339))</f>
        <v>0</v>
      </c>
      <c r="L1339" s="125">
        <f>IF($D1339="",0,'Guide &amp; Settings'!$C$44*IF($F1339&gt;=3,$F1339,0))</f>
        <v>0</v>
      </c>
      <c r="M1339" s="124">
        <f t="shared" si="403"/>
        <v>0</v>
      </c>
      <c r="N1339" s="122">
        <f t="shared" si="404"/>
        <v>0</v>
      </c>
      <c r="O1339" s="121" t="str">
        <f t="shared" si="405"/>
        <v/>
      </c>
      <c r="P1339">
        <f t="shared" si="406"/>
        <v>0</v>
      </c>
      <c r="Q1339">
        <f t="shared" si="407"/>
        <v>0</v>
      </c>
      <c r="R1339">
        <f t="shared" si="408"/>
        <v>0</v>
      </c>
      <c r="S1339">
        <f t="shared" si="409"/>
        <v>0</v>
      </c>
      <c r="T1339" s="89">
        <f t="shared" si="410"/>
        <v>0</v>
      </c>
      <c r="U1339" s="126">
        <f>IF($D1339="",0,IFERROR(LOOKUP(2,1/(($D$3:D1338=$D1339)*($C$3:C1338=$C1339)*($A$3:A1338&lt;$A1339)),$AB$3:AB1338),1000))</f>
        <v>0</v>
      </c>
      <c r="V1339" s="126">
        <f t="shared" si="411"/>
        <v>0</v>
      </c>
      <c r="W1339">
        <f t="shared" si="412"/>
        <v>0</v>
      </c>
      <c r="X1339">
        <f t="shared" si="413"/>
        <v>0</v>
      </c>
      <c r="Y1339">
        <f t="shared" si="414"/>
        <v>0</v>
      </c>
      <c r="Z1339">
        <f t="shared" si="415"/>
        <v>0</v>
      </c>
      <c r="AA1339">
        <f>IF($D1339="",0,IF($F1339&lt;2,0,IF($E1339="Win",('Guide &amp; Settings'!$C$42/(($F1339-1)*COUNTIFS($A$4:$A$1510,$A1339,$E$4:$E$1510,"Win")))*SUMIFS($Z$4:$Z$1510,$A$4:$A$1510,$A1339,$E$4:$E$1510,"Loss"),-('Guide &amp; Settings'!$C$42/($F1339-1))*$Z1339)))</f>
        <v>0</v>
      </c>
      <c r="AB1339" s="126">
        <f t="shared" si="416"/>
        <v>0</v>
      </c>
      <c r="AC1339" t="str">
        <f>IF($D1339="","",IF($AD1339=0,0,IF(COUNTIFS($D$4:$D1339,$D1339,$B$4:$B1339,$B1339)&gt;1,0,IF($B1339&lt;'Guide &amp; Settings'!$C$50,0,IF(($B1339-$AD1339)/7-'Guide &amp; Settings'!$C$48&gt;=0,(INT(($B1339-$AD1339)/7-'Guide &amp; Settings'!$C$48)+1)*'Guide &amp; Settings'!$C$49,0)))))</f>
        <v/>
      </c>
      <c r="AD1339" s="142">
        <f t="shared" si="417"/>
        <v>0</v>
      </c>
      <c r="AE1339">
        <f t="shared" si="418"/>
        <v>0</v>
      </c>
      <c r="AF1339">
        <f t="shared" si="419"/>
        <v>0</v>
      </c>
    </row>
    <row r="1340" spans="1:32" x14ac:dyDescent="0.2">
      <c r="A1340" s="117"/>
      <c r="B1340" s="118"/>
      <c r="C1340" s="119"/>
      <c r="D1340" s="119"/>
      <c r="E1340" s="117"/>
      <c r="F1340" s="120">
        <f t="shared" si="400"/>
        <v>0</v>
      </c>
      <c r="G1340" s="121" t="str">
        <f t="shared" si="401"/>
        <v/>
      </c>
      <c r="H1340" s="122">
        <f>IF($D1340="",0,IFERROR(LOOKUP(2,1/(($D$3:D1339=$D1340)*($A$3:A1339&lt;$A1340)),$N$3:N1339),'Guide &amp; Settings'!$C$41))</f>
        <v>0</v>
      </c>
      <c r="I1340" s="123">
        <f t="shared" si="402"/>
        <v>0</v>
      </c>
      <c r="J1340" s="124">
        <f>IF($D1340="",0,IF($F1340&lt;2,0,IF($E1340="Win",('Guide &amp; Settings'!$C$42/(($F1340-1)*COUNTIFS($A$4:$A$1510,$A1340,$E$4:$E$1510,"Win")))*SUMIFS($X$4:$X$1510,$A$4:$A$1510,$A1340,$E$4:$E$1510,"Loss"),-('Guide &amp; Settings'!$C$42/($F1340-1))*$X1340)))</f>
        <v>0</v>
      </c>
      <c r="K1340" s="124">
        <f>IF($D1340="",0,'Guide &amp; Settings'!$C$43*(IF($E1340="Win",1,0)-$I1340))</f>
        <v>0</v>
      </c>
      <c r="L1340" s="125">
        <f>IF($D1340="",0,'Guide &amp; Settings'!$C$44*IF($F1340&gt;=3,$F1340,0))</f>
        <v>0</v>
      </c>
      <c r="M1340" s="124">
        <f t="shared" si="403"/>
        <v>0</v>
      </c>
      <c r="N1340" s="122">
        <f t="shared" si="404"/>
        <v>0</v>
      </c>
      <c r="O1340" s="121" t="str">
        <f t="shared" si="405"/>
        <v/>
      </c>
      <c r="P1340">
        <f t="shared" si="406"/>
        <v>0</v>
      </c>
      <c r="Q1340">
        <f t="shared" si="407"/>
        <v>0</v>
      </c>
      <c r="R1340">
        <f t="shared" si="408"/>
        <v>0</v>
      </c>
      <c r="S1340">
        <f t="shared" si="409"/>
        <v>0</v>
      </c>
      <c r="T1340" s="89">
        <f t="shared" si="410"/>
        <v>0</v>
      </c>
      <c r="U1340" s="126">
        <f>IF($D1340="",0,IFERROR(LOOKUP(2,1/(($D$3:D1339=$D1340)*($C$3:C1339=$C1340)*($A$3:A1339&lt;$A1340)),$AB$3:AB1339),1000))</f>
        <v>0</v>
      </c>
      <c r="V1340" s="126">
        <f t="shared" si="411"/>
        <v>0</v>
      </c>
      <c r="W1340">
        <f t="shared" si="412"/>
        <v>0</v>
      </c>
      <c r="X1340">
        <f t="shared" si="413"/>
        <v>0</v>
      </c>
      <c r="Y1340">
        <f t="shared" si="414"/>
        <v>0</v>
      </c>
      <c r="Z1340">
        <f t="shared" si="415"/>
        <v>0</v>
      </c>
      <c r="AA1340">
        <f>IF($D1340="",0,IF($F1340&lt;2,0,IF($E1340="Win",('Guide &amp; Settings'!$C$42/(($F1340-1)*COUNTIFS($A$4:$A$1510,$A1340,$E$4:$E$1510,"Win")))*SUMIFS($Z$4:$Z$1510,$A$4:$A$1510,$A1340,$E$4:$E$1510,"Loss"),-('Guide &amp; Settings'!$C$42/($F1340-1))*$Z1340)))</f>
        <v>0</v>
      </c>
      <c r="AB1340" s="126">
        <f t="shared" si="416"/>
        <v>0</v>
      </c>
      <c r="AC1340" t="str">
        <f>IF($D1340="","",IF($AD1340=0,0,IF(COUNTIFS($D$4:$D1340,$D1340,$B$4:$B1340,$B1340)&gt;1,0,IF($B1340&lt;'Guide &amp; Settings'!$C$50,0,IF(($B1340-$AD1340)/7-'Guide &amp; Settings'!$C$48&gt;=0,(INT(($B1340-$AD1340)/7-'Guide &amp; Settings'!$C$48)+1)*'Guide &amp; Settings'!$C$49,0)))))</f>
        <v/>
      </c>
      <c r="AD1340" s="142">
        <f t="shared" si="417"/>
        <v>0</v>
      </c>
      <c r="AE1340">
        <f t="shared" si="418"/>
        <v>0</v>
      </c>
      <c r="AF1340">
        <f t="shared" si="419"/>
        <v>0</v>
      </c>
    </row>
    <row r="1341" spans="1:32" x14ac:dyDescent="0.2">
      <c r="A1341" s="117"/>
      <c r="B1341" s="118"/>
      <c r="C1341" s="119"/>
      <c r="D1341" s="119"/>
      <c r="E1341" s="117"/>
      <c r="F1341" s="120">
        <f t="shared" si="400"/>
        <v>0</v>
      </c>
      <c r="G1341" s="121" t="str">
        <f t="shared" si="401"/>
        <v/>
      </c>
      <c r="H1341" s="122">
        <f>IF($D1341="",0,IFERROR(LOOKUP(2,1/(($D$3:D1340=$D1341)*($A$3:A1340&lt;$A1341)),$N$3:N1340),'Guide &amp; Settings'!$C$41))</f>
        <v>0</v>
      </c>
      <c r="I1341" s="123">
        <f t="shared" si="402"/>
        <v>0</v>
      </c>
      <c r="J1341" s="124">
        <f>IF($D1341="",0,IF($F1341&lt;2,0,IF($E1341="Win",('Guide &amp; Settings'!$C$42/(($F1341-1)*COUNTIFS($A$4:$A$1510,$A1341,$E$4:$E$1510,"Win")))*SUMIFS($X$4:$X$1510,$A$4:$A$1510,$A1341,$E$4:$E$1510,"Loss"),-('Guide &amp; Settings'!$C$42/($F1341-1))*$X1341)))</f>
        <v>0</v>
      </c>
      <c r="K1341" s="124">
        <f>IF($D1341="",0,'Guide &amp; Settings'!$C$43*(IF($E1341="Win",1,0)-$I1341))</f>
        <v>0</v>
      </c>
      <c r="L1341" s="125">
        <f>IF($D1341="",0,'Guide &amp; Settings'!$C$44*IF($F1341&gt;=3,$F1341,0))</f>
        <v>0</v>
      </c>
      <c r="M1341" s="124">
        <f t="shared" si="403"/>
        <v>0</v>
      </c>
      <c r="N1341" s="122">
        <f t="shared" si="404"/>
        <v>0</v>
      </c>
      <c r="O1341" s="121" t="str">
        <f t="shared" si="405"/>
        <v/>
      </c>
      <c r="P1341">
        <f t="shared" si="406"/>
        <v>0</v>
      </c>
      <c r="Q1341">
        <f t="shared" si="407"/>
        <v>0</v>
      </c>
      <c r="R1341">
        <f t="shared" si="408"/>
        <v>0</v>
      </c>
      <c r="S1341">
        <f t="shared" si="409"/>
        <v>0</v>
      </c>
      <c r="T1341" s="89">
        <f t="shared" si="410"/>
        <v>0</v>
      </c>
      <c r="U1341" s="126">
        <f>IF($D1341="",0,IFERROR(LOOKUP(2,1/(($D$3:D1340=$D1341)*($C$3:C1340=$C1341)*($A$3:A1340&lt;$A1341)),$AB$3:AB1340),1000))</f>
        <v>0</v>
      </c>
      <c r="V1341" s="126">
        <f t="shared" si="411"/>
        <v>0</v>
      </c>
      <c r="W1341">
        <f t="shared" si="412"/>
        <v>0</v>
      </c>
      <c r="X1341">
        <f t="shared" si="413"/>
        <v>0</v>
      </c>
      <c r="Y1341">
        <f t="shared" si="414"/>
        <v>0</v>
      </c>
      <c r="Z1341">
        <f t="shared" si="415"/>
        <v>0</v>
      </c>
      <c r="AA1341">
        <f>IF($D1341="",0,IF($F1341&lt;2,0,IF($E1341="Win",('Guide &amp; Settings'!$C$42/(($F1341-1)*COUNTIFS($A$4:$A$1510,$A1341,$E$4:$E$1510,"Win")))*SUMIFS($Z$4:$Z$1510,$A$4:$A$1510,$A1341,$E$4:$E$1510,"Loss"),-('Guide &amp; Settings'!$C$42/($F1341-1))*$Z1341)))</f>
        <v>0</v>
      </c>
      <c r="AB1341" s="126">
        <f t="shared" si="416"/>
        <v>0</v>
      </c>
      <c r="AC1341" t="str">
        <f>IF($D1341="","",IF($AD1341=0,0,IF(COUNTIFS($D$4:$D1341,$D1341,$B$4:$B1341,$B1341)&gt;1,0,IF($B1341&lt;'Guide &amp; Settings'!$C$50,0,IF(($B1341-$AD1341)/7-'Guide &amp; Settings'!$C$48&gt;=0,(INT(($B1341-$AD1341)/7-'Guide &amp; Settings'!$C$48)+1)*'Guide &amp; Settings'!$C$49,0)))))</f>
        <v/>
      </c>
      <c r="AD1341" s="142">
        <f t="shared" si="417"/>
        <v>0</v>
      </c>
      <c r="AE1341">
        <f t="shared" si="418"/>
        <v>0</v>
      </c>
      <c r="AF1341">
        <f t="shared" si="419"/>
        <v>0</v>
      </c>
    </row>
    <row r="1342" spans="1:32" x14ac:dyDescent="0.2">
      <c r="A1342" s="117"/>
      <c r="B1342" s="118"/>
      <c r="C1342" s="119"/>
      <c r="D1342" s="119"/>
      <c r="E1342" s="117"/>
      <c r="F1342" s="120">
        <f t="shared" si="400"/>
        <v>0</v>
      </c>
      <c r="G1342" s="121" t="str">
        <f t="shared" si="401"/>
        <v/>
      </c>
      <c r="H1342" s="122">
        <f>IF($D1342="",0,IFERROR(LOOKUP(2,1/(($D$3:D1341=$D1342)*($A$3:A1341&lt;$A1342)),$N$3:N1341),'Guide &amp; Settings'!$C$41))</f>
        <v>0</v>
      </c>
      <c r="I1342" s="123">
        <f t="shared" si="402"/>
        <v>0</v>
      </c>
      <c r="J1342" s="124">
        <f>IF($D1342="",0,IF($F1342&lt;2,0,IF($E1342="Win",('Guide &amp; Settings'!$C$42/(($F1342-1)*COUNTIFS($A$4:$A$1510,$A1342,$E$4:$E$1510,"Win")))*SUMIFS($X$4:$X$1510,$A$4:$A$1510,$A1342,$E$4:$E$1510,"Loss"),-('Guide &amp; Settings'!$C$42/($F1342-1))*$X1342)))</f>
        <v>0</v>
      </c>
      <c r="K1342" s="124">
        <f>IF($D1342="",0,'Guide &amp; Settings'!$C$43*(IF($E1342="Win",1,0)-$I1342))</f>
        <v>0</v>
      </c>
      <c r="L1342" s="125">
        <f>IF($D1342="",0,'Guide &amp; Settings'!$C$44*IF($F1342&gt;=3,$F1342,0))</f>
        <v>0</v>
      </c>
      <c r="M1342" s="124">
        <f t="shared" si="403"/>
        <v>0</v>
      </c>
      <c r="N1342" s="122">
        <f t="shared" si="404"/>
        <v>0</v>
      </c>
      <c r="O1342" s="121" t="str">
        <f t="shared" si="405"/>
        <v/>
      </c>
      <c r="P1342">
        <f t="shared" si="406"/>
        <v>0</v>
      </c>
      <c r="Q1342">
        <f t="shared" si="407"/>
        <v>0</v>
      </c>
      <c r="R1342">
        <f t="shared" si="408"/>
        <v>0</v>
      </c>
      <c r="S1342">
        <f t="shared" si="409"/>
        <v>0</v>
      </c>
      <c r="T1342" s="89">
        <f t="shared" si="410"/>
        <v>0</v>
      </c>
      <c r="U1342" s="126">
        <f>IF($D1342="",0,IFERROR(LOOKUP(2,1/(($D$3:D1341=$D1342)*($C$3:C1341=$C1342)*($A$3:A1341&lt;$A1342)),$AB$3:AB1341),1000))</f>
        <v>0</v>
      </c>
      <c r="V1342" s="126">
        <f t="shared" si="411"/>
        <v>0</v>
      </c>
      <c r="W1342">
        <f t="shared" si="412"/>
        <v>0</v>
      </c>
      <c r="X1342">
        <f t="shared" si="413"/>
        <v>0</v>
      </c>
      <c r="Y1342">
        <f t="shared" si="414"/>
        <v>0</v>
      </c>
      <c r="Z1342">
        <f t="shared" si="415"/>
        <v>0</v>
      </c>
      <c r="AA1342">
        <f>IF($D1342="",0,IF($F1342&lt;2,0,IF($E1342="Win",('Guide &amp; Settings'!$C$42/(($F1342-1)*COUNTIFS($A$4:$A$1510,$A1342,$E$4:$E$1510,"Win")))*SUMIFS($Z$4:$Z$1510,$A$4:$A$1510,$A1342,$E$4:$E$1510,"Loss"),-('Guide &amp; Settings'!$C$42/($F1342-1))*$Z1342)))</f>
        <v>0</v>
      </c>
      <c r="AB1342" s="126">
        <f t="shared" si="416"/>
        <v>0</v>
      </c>
      <c r="AC1342" t="str">
        <f>IF($D1342="","",IF($AD1342=0,0,IF(COUNTIFS($D$4:$D1342,$D1342,$B$4:$B1342,$B1342)&gt;1,0,IF($B1342&lt;'Guide &amp; Settings'!$C$50,0,IF(($B1342-$AD1342)/7-'Guide &amp; Settings'!$C$48&gt;=0,(INT(($B1342-$AD1342)/7-'Guide &amp; Settings'!$C$48)+1)*'Guide &amp; Settings'!$C$49,0)))))</f>
        <v/>
      </c>
      <c r="AD1342" s="142">
        <f t="shared" si="417"/>
        <v>0</v>
      </c>
      <c r="AE1342">
        <f t="shared" si="418"/>
        <v>0</v>
      </c>
      <c r="AF1342">
        <f t="shared" si="419"/>
        <v>0</v>
      </c>
    </row>
    <row r="1343" spans="1:32" x14ac:dyDescent="0.2">
      <c r="A1343" s="117"/>
      <c r="B1343" s="118"/>
      <c r="C1343" s="119"/>
      <c r="D1343" s="119"/>
      <c r="E1343" s="117"/>
      <c r="F1343" s="120">
        <f t="shared" si="400"/>
        <v>0</v>
      </c>
      <c r="G1343" s="121" t="str">
        <f t="shared" si="401"/>
        <v/>
      </c>
      <c r="H1343" s="122">
        <f>IF($D1343="",0,IFERROR(LOOKUP(2,1/(($D$3:D1342=$D1343)*($A$3:A1342&lt;$A1343)),$N$3:N1342),'Guide &amp; Settings'!$C$41))</f>
        <v>0</v>
      </c>
      <c r="I1343" s="123">
        <f t="shared" si="402"/>
        <v>0</v>
      </c>
      <c r="J1343" s="124">
        <f>IF($D1343="",0,IF($F1343&lt;2,0,IF($E1343="Win",('Guide &amp; Settings'!$C$42/(($F1343-1)*COUNTIFS($A$4:$A$1510,$A1343,$E$4:$E$1510,"Win")))*SUMIFS($X$4:$X$1510,$A$4:$A$1510,$A1343,$E$4:$E$1510,"Loss"),-('Guide &amp; Settings'!$C$42/($F1343-1))*$X1343)))</f>
        <v>0</v>
      </c>
      <c r="K1343" s="124">
        <f>IF($D1343="",0,'Guide &amp; Settings'!$C$43*(IF($E1343="Win",1,0)-$I1343))</f>
        <v>0</v>
      </c>
      <c r="L1343" s="125">
        <f>IF($D1343="",0,'Guide &amp; Settings'!$C$44*IF($F1343&gt;=3,$F1343,0))</f>
        <v>0</v>
      </c>
      <c r="M1343" s="124">
        <f t="shared" si="403"/>
        <v>0</v>
      </c>
      <c r="N1343" s="122">
        <f t="shared" si="404"/>
        <v>0</v>
      </c>
      <c r="O1343" s="121" t="str">
        <f t="shared" si="405"/>
        <v/>
      </c>
      <c r="P1343">
        <f t="shared" si="406"/>
        <v>0</v>
      </c>
      <c r="Q1343">
        <f t="shared" si="407"/>
        <v>0</v>
      </c>
      <c r="R1343">
        <f t="shared" si="408"/>
        <v>0</v>
      </c>
      <c r="S1343">
        <f t="shared" si="409"/>
        <v>0</v>
      </c>
      <c r="T1343" s="89">
        <f t="shared" si="410"/>
        <v>0</v>
      </c>
      <c r="U1343" s="126">
        <f>IF($D1343="",0,IFERROR(LOOKUP(2,1/(($D$3:D1342=$D1343)*($C$3:C1342=$C1343)*($A$3:A1342&lt;$A1343)),$AB$3:AB1342),1000))</f>
        <v>0</v>
      </c>
      <c r="V1343" s="126">
        <f t="shared" si="411"/>
        <v>0</v>
      </c>
      <c r="W1343">
        <f t="shared" si="412"/>
        <v>0</v>
      </c>
      <c r="X1343">
        <f t="shared" si="413"/>
        <v>0</v>
      </c>
      <c r="Y1343">
        <f t="shared" si="414"/>
        <v>0</v>
      </c>
      <c r="Z1343">
        <f t="shared" si="415"/>
        <v>0</v>
      </c>
      <c r="AA1343">
        <f>IF($D1343="",0,IF($F1343&lt;2,0,IF($E1343="Win",('Guide &amp; Settings'!$C$42/(($F1343-1)*COUNTIFS($A$4:$A$1510,$A1343,$E$4:$E$1510,"Win")))*SUMIFS($Z$4:$Z$1510,$A$4:$A$1510,$A1343,$E$4:$E$1510,"Loss"),-('Guide &amp; Settings'!$C$42/($F1343-1))*$Z1343)))</f>
        <v>0</v>
      </c>
      <c r="AB1343" s="126">
        <f t="shared" si="416"/>
        <v>0</v>
      </c>
      <c r="AC1343" t="str">
        <f>IF($D1343="","",IF($AD1343=0,0,IF(COUNTIFS($D$4:$D1343,$D1343,$B$4:$B1343,$B1343)&gt;1,0,IF($B1343&lt;'Guide &amp; Settings'!$C$50,0,IF(($B1343-$AD1343)/7-'Guide &amp; Settings'!$C$48&gt;=0,(INT(($B1343-$AD1343)/7-'Guide &amp; Settings'!$C$48)+1)*'Guide &amp; Settings'!$C$49,0)))))</f>
        <v/>
      </c>
      <c r="AD1343" s="142">
        <f t="shared" si="417"/>
        <v>0</v>
      </c>
      <c r="AE1343">
        <f t="shared" si="418"/>
        <v>0</v>
      </c>
      <c r="AF1343">
        <f t="shared" si="419"/>
        <v>0</v>
      </c>
    </row>
    <row r="1344" spans="1:32" x14ac:dyDescent="0.2">
      <c r="A1344" s="117"/>
      <c r="B1344" s="118"/>
      <c r="C1344" s="119"/>
      <c r="D1344" s="119"/>
      <c r="E1344" s="117"/>
      <c r="F1344" s="120">
        <f t="shared" si="400"/>
        <v>0</v>
      </c>
      <c r="G1344" s="121" t="str">
        <f t="shared" si="401"/>
        <v/>
      </c>
      <c r="H1344" s="122">
        <f>IF($D1344="",0,IFERROR(LOOKUP(2,1/(($D$3:D1343=$D1344)*($A$3:A1343&lt;$A1344)),$N$3:N1343),'Guide &amp; Settings'!$C$41))</f>
        <v>0</v>
      </c>
      <c r="I1344" s="123">
        <f t="shared" si="402"/>
        <v>0</v>
      </c>
      <c r="J1344" s="124">
        <f>IF($D1344="",0,IF($F1344&lt;2,0,IF($E1344="Win",('Guide &amp; Settings'!$C$42/(($F1344-1)*COUNTIFS($A$4:$A$1510,$A1344,$E$4:$E$1510,"Win")))*SUMIFS($X$4:$X$1510,$A$4:$A$1510,$A1344,$E$4:$E$1510,"Loss"),-('Guide &amp; Settings'!$C$42/($F1344-1))*$X1344)))</f>
        <v>0</v>
      </c>
      <c r="K1344" s="124">
        <f>IF($D1344="",0,'Guide &amp; Settings'!$C$43*(IF($E1344="Win",1,0)-$I1344))</f>
        <v>0</v>
      </c>
      <c r="L1344" s="125">
        <f>IF($D1344="",0,'Guide &amp; Settings'!$C$44*IF($F1344&gt;=3,$F1344,0))</f>
        <v>0</v>
      </c>
      <c r="M1344" s="124">
        <f t="shared" si="403"/>
        <v>0</v>
      </c>
      <c r="N1344" s="122">
        <f t="shared" si="404"/>
        <v>0</v>
      </c>
      <c r="O1344" s="121" t="str">
        <f t="shared" si="405"/>
        <v/>
      </c>
      <c r="P1344">
        <f t="shared" si="406"/>
        <v>0</v>
      </c>
      <c r="Q1344">
        <f t="shared" si="407"/>
        <v>0</v>
      </c>
      <c r="R1344">
        <f t="shared" si="408"/>
        <v>0</v>
      </c>
      <c r="S1344">
        <f t="shared" si="409"/>
        <v>0</v>
      </c>
      <c r="T1344" s="89">
        <f t="shared" si="410"/>
        <v>0</v>
      </c>
      <c r="U1344" s="126">
        <f>IF($D1344="",0,IFERROR(LOOKUP(2,1/(($D$3:D1343=$D1344)*($C$3:C1343=$C1344)*($A$3:A1343&lt;$A1344)),$AB$3:AB1343),1000))</f>
        <v>0</v>
      </c>
      <c r="V1344" s="126">
        <f t="shared" si="411"/>
        <v>0</v>
      </c>
      <c r="W1344">
        <f t="shared" si="412"/>
        <v>0</v>
      </c>
      <c r="X1344">
        <f t="shared" si="413"/>
        <v>0</v>
      </c>
      <c r="Y1344">
        <f t="shared" si="414"/>
        <v>0</v>
      </c>
      <c r="Z1344">
        <f t="shared" si="415"/>
        <v>0</v>
      </c>
      <c r="AA1344">
        <f>IF($D1344="",0,IF($F1344&lt;2,0,IF($E1344="Win",('Guide &amp; Settings'!$C$42/(($F1344-1)*COUNTIFS($A$4:$A$1510,$A1344,$E$4:$E$1510,"Win")))*SUMIFS($Z$4:$Z$1510,$A$4:$A$1510,$A1344,$E$4:$E$1510,"Loss"),-('Guide &amp; Settings'!$C$42/($F1344-1))*$Z1344)))</f>
        <v>0</v>
      </c>
      <c r="AB1344" s="126">
        <f t="shared" si="416"/>
        <v>0</v>
      </c>
      <c r="AC1344" t="str">
        <f>IF($D1344="","",IF($AD1344=0,0,IF(COUNTIFS($D$4:$D1344,$D1344,$B$4:$B1344,$B1344)&gt;1,0,IF($B1344&lt;'Guide &amp; Settings'!$C$50,0,IF(($B1344-$AD1344)/7-'Guide &amp; Settings'!$C$48&gt;=0,(INT(($B1344-$AD1344)/7-'Guide &amp; Settings'!$C$48)+1)*'Guide &amp; Settings'!$C$49,0)))))</f>
        <v/>
      </c>
      <c r="AD1344" s="142">
        <f t="shared" si="417"/>
        <v>0</v>
      </c>
      <c r="AE1344">
        <f t="shared" si="418"/>
        <v>0</v>
      </c>
      <c r="AF1344">
        <f t="shared" si="419"/>
        <v>0</v>
      </c>
    </row>
    <row r="1345" spans="1:32" x14ac:dyDescent="0.2">
      <c r="A1345" s="117"/>
      <c r="B1345" s="118"/>
      <c r="C1345" s="119"/>
      <c r="D1345" s="119"/>
      <c r="E1345" s="117"/>
      <c r="F1345" s="120">
        <f t="shared" si="400"/>
        <v>0</v>
      </c>
      <c r="G1345" s="121" t="str">
        <f t="shared" si="401"/>
        <v/>
      </c>
      <c r="H1345" s="122">
        <f>IF($D1345="",0,IFERROR(LOOKUP(2,1/(($D$3:D1344=$D1345)*($A$3:A1344&lt;$A1345)),$N$3:N1344),'Guide &amp; Settings'!$C$41))</f>
        <v>0</v>
      </c>
      <c r="I1345" s="123">
        <f t="shared" si="402"/>
        <v>0</v>
      </c>
      <c r="J1345" s="124">
        <f>IF($D1345="",0,IF($F1345&lt;2,0,IF($E1345="Win",('Guide &amp; Settings'!$C$42/(($F1345-1)*COUNTIFS($A$4:$A$1510,$A1345,$E$4:$E$1510,"Win")))*SUMIFS($X$4:$X$1510,$A$4:$A$1510,$A1345,$E$4:$E$1510,"Loss"),-('Guide &amp; Settings'!$C$42/($F1345-1))*$X1345)))</f>
        <v>0</v>
      </c>
      <c r="K1345" s="124">
        <f>IF($D1345="",0,'Guide &amp; Settings'!$C$43*(IF($E1345="Win",1,0)-$I1345))</f>
        <v>0</v>
      </c>
      <c r="L1345" s="125">
        <f>IF($D1345="",0,'Guide &amp; Settings'!$C$44*IF($F1345&gt;=3,$F1345,0))</f>
        <v>0</v>
      </c>
      <c r="M1345" s="124">
        <f t="shared" si="403"/>
        <v>0</v>
      </c>
      <c r="N1345" s="122">
        <f t="shared" si="404"/>
        <v>0</v>
      </c>
      <c r="O1345" s="121" t="str">
        <f t="shared" si="405"/>
        <v/>
      </c>
      <c r="P1345">
        <f t="shared" si="406"/>
        <v>0</v>
      </c>
      <c r="Q1345">
        <f t="shared" si="407"/>
        <v>0</v>
      </c>
      <c r="R1345">
        <f t="shared" si="408"/>
        <v>0</v>
      </c>
      <c r="S1345">
        <f t="shared" si="409"/>
        <v>0</v>
      </c>
      <c r="T1345" s="89">
        <f t="shared" si="410"/>
        <v>0</v>
      </c>
      <c r="U1345" s="126">
        <f>IF($D1345="",0,IFERROR(LOOKUP(2,1/(($D$3:D1344=$D1345)*($C$3:C1344=$C1345)*($A$3:A1344&lt;$A1345)),$AB$3:AB1344),1000))</f>
        <v>0</v>
      </c>
      <c r="V1345" s="126">
        <f t="shared" si="411"/>
        <v>0</v>
      </c>
      <c r="W1345">
        <f t="shared" si="412"/>
        <v>0</v>
      </c>
      <c r="X1345">
        <f t="shared" si="413"/>
        <v>0</v>
      </c>
      <c r="Y1345">
        <f t="shared" si="414"/>
        <v>0</v>
      </c>
      <c r="Z1345">
        <f t="shared" si="415"/>
        <v>0</v>
      </c>
      <c r="AA1345">
        <f>IF($D1345="",0,IF($F1345&lt;2,0,IF($E1345="Win",('Guide &amp; Settings'!$C$42/(($F1345-1)*COUNTIFS($A$4:$A$1510,$A1345,$E$4:$E$1510,"Win")))*SUMIFS($Z$4:$Z$1510,$A$4:$A$1510,$A1345,$E$4:$E$1510,"Loss"),-('Guide &amp; Settings'!$C$42/($F1345-1))*$Z1345)))</f>
        <v>0</v>
      </c>
      <c r="AB1345" s="126">
        <f t="shared" si="416"/>
        <v>0</v>
      </c>
      <c r="AC1345" t="str">
        <f>IF($D1345="","",IF($AD1345=0,0,IF(COUNTIFS($D$4:$D1345,$D1345,$B$4:$B1345,$B1345)&gt;1,0,IF($B1345&lt;'Guide &amp; Settings'!$C$50,0,IF(($B1345-$AD1345)/7-'Guide &amp; Settings'!$C$48&gt;=0,(INT(($B1345-$AD1345)/7-'Guide &amp; Settings'!$C$48)+1)*'Guide &amp; Settings'!$C$49,0)))))</f>
        <v/>
      </c>
      <c r="AD1345" s="142">
        <f t="shared" si="417"/>
        <v>0</v>
      </c>
      <c r="AE1345">
        <f t="shared" si="418"/>
        <v>0</v>
      </c>
      <c r="AF1345">
        <f t="shared" si="419"/>
        <v>0</v>
      </c>
    </row>
    <row r="1346" spans="1:32" x14ac:dyDescent="0.2">
      <c r="A1346" s="117"/>
      <c r="B1346" s="118"/>
      <c r="C1346" s="119"/>
      <c r="D1346" s="119"/>
      <c r="E1346" s="117"/>
      <c r="F1346" s="120">
        <f t="shared" si="400"/>
        <v>0</v>
      </c>
      <c r="G1346" s="121" t="str">
        <f t="shared" si="401"/>
        <v/>
      </c>
      <c r="H1346" s="122">
        <f>IF($D1346="",0,IFERROR(LOOKUP(2,1/(($D$3:D1345=$D1346)*($A$3:A1345&lt;$A1346)),$N$3:N1345),'Guide &amp; Settings'!$C$41))</f>
        <v>0</v>
      </c>
      <c r="I1346" s="123">
        <f t="shared" si="402"/>
        <v>0</v>
      </c>
      <c r="J1346" s="124">
        <f>IF($D1346="",0,IF($F1346&lt;2,0,IF($E1346="Win",('Guide &amp; Settings'!$C$42/(($F1346-1)*COUNTIFS($A$4:$A$1510,$A1346,$E$4:$E$1510,"Win")))*SUMIFS($X$4:$X$1510,$A$4:$A$1510,$A1346,$E$4:$E$1510,"Loss"),-('Guide &amp; Settings'!$C$42/($F1346-1))*$X1346)))</f>
        <v>0</v>
      </c>
      <c r="K1346" s="124">
        <f>IF($D1346="",0,'Guide &amp; Settings'!$C$43*(IF($E1346="Win",1,0)-$I1346))</f>
        <v>0</v>
      </c>
      <c r="L1346" s="125">
        <f>IF($D1346="",0,'Guide &amp; Settings'!$C$44*IF($F1346&gt;=3,$F1346,0))</f>
        <v>0</v>
      </c>
      <c r="M1346" s="124">
        <f t="shared" si="403"/>
        <v>0</v>
      </c>
      <c r="N1346" s="122">
        <f t="shared" si="404"/>
        <v>0</v>
      </c>
      <c r="O1346" s="121" t="str">
        <f t="shared" si="405"/>
        <v/>
      </c>
      <c r="P1346">
        <f t="shared" si="406"/>
        <v>0</v>
      </c>
      <c r="Q1346">
        <f t="shared" si="407"/>
        <v>0</v>
      </c>
      <c r="R1346">
        <f t="shared" si="408"/>
        <v>0</v>
      </c>
      <c r="S1346">
        <f t="shared" si="409"/>
        <v>0</v>
      </c>
      <c r="T1346" s="89">
        <f t="shared" si="410"/>
        <v>0</v>
      </c>
      <c r="U1346" s="126">
        <f>IF($D1346="",0,IFERROR(LOOKUP(2,1/(($D$3:D1345=$D1346)*($C$3:C1345=$C1346)*($A$3:A1345&lt;$A1346)),$AB$3:AB1345),1000))</f>
        <v>0</v>
      </c>
      <c r="V1346" s="126">
        <f t="shared" si="411"/>
        <v>0</v>
      </c>
      <c r="W1346">
        <f t="shared" si="412"/>
        <v>0</v>
      </c>
      <c r="X1346">
        <f t="shared" si="413"/>
        <v>0</v>
      </c>
      <c r="Y1346">
        <f t="shared" si="414"/>
        <v>0</v>
      </c>
      <c r="Z1346">
        <f t="shared" si="415"/>
        <v>0</v>
      </c>
      <c r="AA1346">
        <f>IF($D1346="",0,IF($F1346&lt;2,0,IF($E1346="Win",('Guide &amp; Settings'!$C$42/(($F1346-1)*COUNTIFS($A$4:$A$1510,$A1346,$E$4:$E$1510,"Win")))*SUMIFS($Z$4:$Z$1510,$A$4:$A$1510,$A1346,$E$4:$E$1510,"Loss"),-('Guide &amp; Settings'!$C$42/($F1346-1))*$Z1346)))</f>
        <v>0</v>
      </c>
      <c r="AB1346" s="126">
        <f t="shared" si="416"/>
        <v>0</v>
      </c>
      <c r="AC1346" t="str">
        <f>IF($D1346="","",IF($AD1346=0,0,IF(COUNTIFS($D$4:$D1346,$D1346,$B$4:$B1346,$B1346)&gt;1,0,IF($B1346&lt;'Guide &amp; Settings'!$C$50,0,IF(($B1346-$AD1346)/7-'Guide &amp; Settings'!$C$48&gt;=0,(INT(($B1346-$AD1346)/7-'Guide &amp; Settings'!$C$48)+1)*'Guide &amp; Settings'!$C$49,0)))))</f>
        <v/>
      </c>
      <c r="AD1346" s="142">
        <f t="shared" si="417"/>
        <v>0</v>
      </c>
      <c r="AE1346">
        <f t="shared" si="418"/>
        <v>0</v>
      </c>
      <c r="AF1346">
        <f t="shared" si="419"/>
        <v>0</v>
      </c>
    </row>
    <row r="1347" spans="1:32" x14ac:dyDescent="0.2">
      <c r="A1347" s="117"/>
      <c r="B1347" s="118"/>
      <c r="C1347" s="119"/>
      <c r="D1347" s="119"/>
      <c r="E1347" s="117"/>
      <c r="F1347" s="120">
        <f t="shared" si="400"/>
        <v>0</v>
      </c>
      <c r="G1347" s="121" t="str">
        <f t="shared" si="401"/>
        <v/>
      </c>
      <c r="H1347" s="122">
        <f>IF($D1347="",0,IFERROR(LOOKUP(2,1/(($D$3:D1346=$D1347)*($A$3:A1346&lt;$A1347)),$N$3:N1346),'Guide &amp; Settings'!$C$41))</f>
        <v>0</v>
      </c>
      <c r="I1347" s="123">
        <f t="shared" si="402"/>
        <v>0</v>
      </c>
      <c r="J1347" s="124">
        <f>IF($D1347="",0,IF($F1347&lt;2,0,IF($E1347="Win",('Guide &amp; Settings'!$C$42/(($F1347-1)*COUNTIFS($A$4:$A$1510,$A1347,$E$4:$E$1510,"Win")))*SUMIFS($X$4:$X$1510,$A$4:$A$1510,$A1347,$E$4:$E$1510,"Loss"),-('Guide &amp; Settings'!$C$42/($F1347-1))*$X1347)))</f>
        <v>0</v>
      </c>
      <c r="K1347" s="124">
        <f>IF($D1347="",0,'Guide &amp; Settings'!$C$43*(IF($E1347="Win",1,0)-$I1347))</f>
        <v>0</v>
      </c>
      <c r="L1347" s="125">
        <f>IF($D1347="",0,'Guide &amp; Settings'!$C$44*IF($F1347&gt;=3,$F1347,0))</f>
        <v>0</v>
      </c>
      <c r="M1347" s="124">
        <f t="shared" si="403"/>
        <v>0</v>
      </c>
      <c r="N1347" s="122">
        <f t="shared" si="404"/>
        <v>0</v>
      </c>
      <c r="O1347" s="121" t="str">
        <f t="shared" si="405"/>
        <v/>
      </c>
      <c r="P1347">
        <f t="shared" si="406"/>
        <v>0</v>
      </c>
      <c r="Q1347">
        <f t="shared" si="407"/>
        <v>0</v>
      </c>
      <c r="R1347">
        <f t="shared" si="408"/>
        <v>0</v>
      </c>
      <c r="S1347">
        <f t="shared" si="409"/>
        <v>0</v>
      </c>
      <c r="T1347" s="89">
        <f t="shared" si="410"/>
        <v>0</v>
      </c>
      <c r="U1347" s="126">
        <f>IF($D1347="",0,IFERROR(LOOKUP(2,1/(($D$3:D1346=$D1347)*($C$3:C1346=$C1347)*($A$3:A1346&lt;$A1347)),$AB$3:AB1346),1000))</f>
        <v>0</v>
      </c>
      <c r="V1347" s="126">
        <f t="shared" si="411"/>
        <v>0</v>
      </c>
      <c r="W1347">
        <f t="shared" si="412"/>
        <v>0</v>
      </c>
      <c r="X1347">
        <f t="shared" si="413"/>
        <v>0</v>
      </c>
      <c r="Y1347">
        <f t="shared" si="414"/>
        <v>0</v>
      </c>
      <c r="Z1347">
        <f t="shared" si="415"/>
        <v>0</v>
      </c>
      <c r="AA1347">
        <f>IF($D1347="",0,IF($F1347&lt;2,0,IF($E1347="Win",('Guide &amp; Settings'!$C$42/(($F1347-1)*COUNTIFS($A$4:$A$1510,$A1347,$E$4:$E$1510,"Win")))*SUMIFS($Z$4:$Z$1510,$A$4:$A$1510,$A1347,$E$4:$E$1510,"Loss"),-('Guide &amp; Settings'!$C$42/($F1347-1))*$Z1347)))</f>
        <v>0</v>
      </c>
      <c r="AB1347" s="126">
        <f t="shared" si="416"/>
        <v>0</v>
      </c>
      <c r="AC1347" t="str">
        <f>IF($D1347="","",IF($AD1347=0,0,IF(COUNTIFS($D$4:$D1347,$D1347,$B$4:$B1347,$B1347)&gt;1,0,IF($B1347&lt;'Guide &amp; Settings'!$C$50,0,IF(($B1347-$AD1347)/7-'Guide &amp; Settings'!$C$48&gt;=0,(INT(($B1347-$AD1347)/7-'Guide &amp; Settings'!$C$48)+1)*'Guide &amp; Settings'!$C$49,0)))))</f>
        <v/>
      </c>
      <c r="AD1347" s="142">
        <f t="shared" si="417"/>
        <v>0</v>
      </c>
      <c r="AE1347">
        <f t="shared" si="418"/>
        <v>0</v>
      </c>
      <c r="AF1347">
        <f t="shared" si="419"/>
        <v>0</v>
      </c>
    </row>
    <row r="1348" spans="1:32" x14ac:dyDescent="0.2">
      <c r="A1348" s="117"/>
      <c r="B1348" s="118"/>
      <c r="C1348" s="119"/>
      <c r="D1348" s="119"/>
      <c r="E1348" s="117"/>
      <c r="F1348" s="120">
        <f t="shared" ref="F1348:F1411" si="420">IF($D1348="",0,COUNTIF($A$4:$A$1510,$A1348))</f>
        <v>0</v>
      </c>
      <c r="G1348" s="121" t="str">
        <f t="shared" ref="G1348:G1411" si="421">IF($D1348="","",IFERROR(LOOKUP(2,1/(($A$4:$A$1510=$A1348)*($E$4:$E$1510="Win")),$D$4:$D$1510),"(no winner)"))</f>
        <v/>
      </c>
      <c r="H1348" s="122">
        <f>IF($D1348="",0,IFERROR(LOOKUP(2,1/(($D$3:D1347=$D1348)*($A$3:A1347&lt;$A1348)),$N$3:N1347),'Guide &amp; Settings'!$C$41))</f>
        <v>0</v>
      </c>
      <c r="I1348" s="123">
        <f t="shared" ref="I1348:I1411" si="422">IF($D1348="",0,IF($S1348=0,0,$R1348/$S1348))</f>
        <v>0</v>
      </c>
      <c r="J1348" s="124">
        <f>IF($D1348="",0,IF($F1348&lt;2,0,IF($E1348="Win",('Guide &amp; Settings'!$C$42/(($F1348-1)*COUNTIFS($A$4:$A$1510,$A1348,$E$4:$E$1510,"Win")))*SUMIFS($X$4:$X$1510,$A$4:$A$1510,$A1348,$E$4:$E$1510,"Loss"),-('Guide &amp; Settings'!$C$42/($F1348-1))*$X1348)))</f>
        <v>0</v>
      </c>
      <c r="K1348" s="124">
        <f>IF($D1348="",0,'Guide &amp; Settings'!$C$43*(IF($E1348="Win",1,0)-$I1348))</f>
        <v>0</v>
      </c>
      <c r="L1348" s="125">
        <f>IF($D1348="",0,'Guide &amp; Settings'!$C$44*IF($F1348&gt;=3,$F1348,0))</f>
        <v>0</v>
      </c>
      <c r="M1348" s="124">
        <f t="shared" ref="M1348:M1411" si="423">IF($D1348="",0,$J1348+$K1348+$L1348)</f>
        <v>0</v>
      </c>
      <c r="N1348" s="122">
        <f t="shared" ref="N1348:N1411" si="424">IF($D1348="",0,$H1348+$M1348)</f>
        <v>0</v>
      </c>
      <c r="O1348" s="121" t="str">
        <f t="shared" ref="O1348:O1411" si="425">IF($D1348="","",IF($AE1348=0,"need a winner",IF($F1348-$AE1348=0,"need a loser",IF(MOD($AF1348,2)=1,"duplicate player",IF(MOD(INT($AF1348/2),2)=1,"mixed sports",IF($AF1348&gt;=4,"mixed dates",IF($AE1348&gt;1,IF($F1348&gt;=4,"OK (team)","check winners"),"OK")))))))</f>
        <v/>
      </c>
      <c r="P1348">
        <f t="shared" ref="P1348:P1411" si="426">IF($D1348="",0,IFERROR(SUMIFS($H$4:$H$1510,$A$4:$A$1510,$A1348,$E$4:$E$1510,"Win")/COUNTIFS($A$4:$A$1510,$A1348,$E$4:$E$1510,"Win"),0))</f>
        <v>0</v>
      </c>
      <c r="Q1348">
        <f t="shared" ref="Q1348:Q1411" si="427">IF($D1348="",0,1/(1+10^(($P1348-$H1348)/400)))</f>
        <v>0</v>
      </c>
      <c r="R1348">
        <f t="shared" ref="R1348:R1411" si="428">IF($D1348="",0,(COUNTIFS($D$4:$D$1510,$D1348,$C$4:$C$1510,$C1348,$E$4:$E$1510,"Win",$A$4:$A$1510,"&lt;"&amp;$A1348)+1)/(COUNTIFS($D$4:$D$1510,$D1348,$C$4:$C$1510,$C1348,$A$4:$A$1510,"&lt;"&amp;$A1348)+2))</f>
        <v>0</v>
      </c>
      <c r="S1348">
        <f t="shared" ref="S1348:S1411" si="429">IF($D1348="",0,SUMIFS($R$4:$R$1510,$A$4:$A$1510,$A1348))</f>
        <v>0</v>
      </c>
      <c r="T1348" s="89">
        <f t="shared" ref="T1348:T1411" si="430">IF($D1348="",0,COUNTIFS($D$4:$D$1510,$D1348,$C$4:$C$1510,$C1348,$A$4:$A$1510,"&lt;"&amp;$A1348))</f>
        <v>0</v>
      </c>
      <c r="U1348" s="126">
        <f>IF($D1348="",0,IFERROR(LOOKUP(2,1/(($D$3:D1347=$D1348)*($C$3:C1347=$C1348)*($A$3:A1347&lt;$A1348)),$AB$3:AB1347),1000))</f>
        <v>0</v>
      </c>
      <c r="V1348" s="126">
        <f t="shared" ref="V1348:V1411" si="431">IF($D1348="",0,$U1348*($T1348/($T1348+5))+$H1348*(1-$T1348/($T1348+5)))</f>
        <v>0</v>
      </c>
      <c r="W1348">
        <f t="shared" ref="W1348:W1411" si="432">IF($D1348="",0,IFERROR(SUMIFS($V$4:$V$1510,$A$4:$A$1510,$A1348,$E$4:$E$1510,"Win")/COUNTIFS($A$4:$A$1510,$A1348,$E$4:$E$1510,"Win"),0))</f>
        <v>0</v>
      </c>
      <c r="X1348">
        <f t="shared" ref="X1348:X1411" si="433">IF($D1348="",0,1/(1+10^(($W1348-$V1348)/400)))</f>
        <v>0</v>
      </c>
      <c r="Y1348">
        <f t="shared" ref="Y1348:Y1411" si="434">IF($D1348="",0,IFERROR(SUMIFS($U$4:$U$1510,$A$4:$A$1510,$A1348,$E$4:$E$1510,"Win")/COUNTIFS($A$4:$A$1510,$A1348,$E$4:$E$1510,"Win"),0))</f>
        <v>0</v>
      </c>
      <c r="Z1348">
        <f t="shared" ref="Z1348:Z1411" si="435">IF($D1348="",0,1/(1+10^(($Y1348-$U1348)/400)))</f>
        <v>0</v>
      </c>
      <c r="AA1348">
        <f>IF($D1348="",0,IF($F1348&lt;2,0,IF($E1348="Win",('Guide &amp; Settings'!$C$42/(($F1348-1)*COUNTIFS($A$4:$A$1510,$A1348,$E$4:$E$1510,"Win")))*SUMIFS($Z$4:$Z$1510,$A$4:$A$1510,$A1348,$E$4:$E$1510,"Loss"),-('Guide &amp; Settings'!$C$42/($F1348-1))*$Z1348)))</f>
        <v>0</v>
      </c>
      <c r="AB1348" s="126">
        <f t="shared" ref="AB1348:AB1411" si="436">IF($D1348="",0,$U1348+$AA1348)</f>
        <v>0</v>
      </c>
      <c r="AC1348" t="str">
        <f>IF($D1348="","",IF($AD1348=0,0,IF(COUNTIFS($D$4:$D1348,$D1348,$B$4:$B1348,$B1348)&gt;1,0,IF($B1348&lt;'Guide &amp; Settings'!$C$50,0,IF(($B1348-$AD1348)/7-'Guide &amp; Settings'!$C$48&gt;=0,(INT(($B1348-$AD1348)/7-'Guide &amp; Settings'!$C$48)+1)*'Guide &amp; Settings'!$C$49,0)))))</f>
        <v/>
      </c>
      <c r="AD1348" s="142">
        <f t="shared" ref="AD1348:AD1411" si="437">IF($D1348="",0,SUMPRODUCT(MAX(($D$4:$D$1510=$D1348)*($B$4:$B$1510&lt;$B1348)*$B$4:$B$1510)))</f>
        <v>0</v>
      </c>
      <c r="AE1348">
        <f t="shared" ref="AE1348:AE1411" si="438">IF($D1348="",0,COUNTIFS($A$4:$A$1510,$A1348,$E$4:$E$1510,"Win"))</f>
        <v>0</v>
      </c>
      <c r="AF1348">
        <f t="shared" ref="AF1348:AF1411" si="439">IF($D1348="",0,(COUNTIFS($A$4:$A$1510,$A1348,$D$4:$D$1510,$D1348)&gt;1)*1+(COUNTIFS($A$4:$A$1510,$A1348,$C$4:$C$1510,"&lt;&gt;"&amp;$C1348)&gt;0)*2+(COUNTIFS($A$4:$A$1510,$A1348,$B$4:$B$1510,"&lt;&gt;"&amp;$B1348)&gt;0)*4)</f>
        <v>0</v>
      </c>
    </row>
    <row r="1349" spans="1:32" x14ac:dyDescent="0.2">
      <c r="A1349" s="117"/>
      <c r="B1349" s="118"/>
      <c r="C1349" s="119"/>
      <c r="D1349" s="119"/>
      <c r="E1349" s="117"/>
      <c r="F1349" s="120">
        <f t="shared" si="420"/>
        <v>0</v>
      </c>
      <c r="G1349" s="121" t="str">
        <f t="shared" si="421"/>
        <v/>
      </c>
      <c r="H1349" s="122">
        <f>IF($D1349="",0,IFERROR(LOOKUP(2,1/(($D$3:D1348=$D1349)*($A$3:A1348&lt;$A1349)),$N$3:N1348),'Guide &amp; Settings'!$C$41))</f>
        <v>0</v>
      </c>
      <c r="I1349" s="123">
        <f t="shared" si="422"/>
        <v>0</v>
      </c>
      <c r="J1349" s="124">
        <f>IF($D1349="",0,IF($F1349&lt;2,0,IF($E1349="Win",('Guide &amp; Settings'!$C$42/(($F1349-1)*COUNTIFS($A$4:$A$1510,$A1349,$E$4:$E$1510,"Win")))*SUMIFS($X$4:$X$1510,$A$4:$A$1510,$A1349,$E$4:$E$1510,"Loss"),-('Guide &amp; Settings'!$C$42/($F1349-1))*$X1349)))</f>
        <v>0</v>
      </c>
      <c r="K1349" s="124">
        <f>IF($D1349="",0,'Guide &amp; Settings'!$C$43*(IF($E1349="Win",1,0)-$I1349))</f>
        <v>0</v>
      </c>
      <c r="L1349" s="125">
        <f>IF($D1349="",0,'Guide &amp; Settings'!$C$44*IF($F1349&gt;=3,$F1349,0))</f>
        <v>0</v>
      </c>
      <c r="M1349" s="124">
        <f t="shared" si="423"/>
        <v>0</v>
      </c>
      <c r="N1349" s="122">
        <f t="shared" si="424"/>
        <v>0</v>
      </c>
      <c r="O1349" s="121" t="str">
        <f t="shared" si="425"/>
        <v/>
      </c>
      <c r="P1349">
        <f t="shared" si="426"/>
        <v>0</v>
      </c>
      <c r="Q1349">
        <f t="shared" si="427"/>
        <v>0</v>
      </c>
      <c r="R1349">
        <f t="shared" si="428"/>
        <v>0</v>
      </c>
      <c r="S1349">
        <f t="shared" si="429"/>
        <v>0</v>
      </c>
      <c r="T1349" s="89">
        <f t="shared" si="430"/>
        <v>0</v>
      </c>
      <c r="U1349" s="126">
        <f>IF($D1349="",0,IFERROR(LOOKUP(2,1/(($D$3:D1348=$D1349)*($C$3:C1348=$C1349)*($A$3:A1348&lt;$A1349)),$AB$3:AB1348),1000))</f>
        <v>0</v>
      </c>
      <c r="V1349" s="126">
        <f t="shared" si="431"/>
        <v>0</v>
      </c>
      <c r="W1349">
        <f t="shared" si="432"/>
        <v>0</v>
      </c>
      <c r="X1349">
        <f t="shared" si="433"/>
        <v>0</v>
      </c>
      <c r="Y1349">
        <f t="shared" si="434"/>
        <v>0</v>
      </c>
      <c r="Z1349">
        <f t="shared" si="435"/>
        <v>0</v>
      </c>
      <c r="AA1349">
        <f>IF($D1349="",0,IF($F1349&lt;2,0,IF($E1349="Win",('Guide &amp; Settings'!$C$42/(($F1349-1)*COUNTIFS($A$4:$A$1510,$A1349,$E$4:$E$1510,"Win")))*SUMIFS($Z$4:$Z$1510,$A$4:$A$1510,$A1349,$E$4:$E$1510,"Loss"),-('Guide &amp; Settings'!$C$42/($F1349-1))*$Z1349)))</f>
        <v>0</v>
      </c>
      <c r="AB1349" s="126">
        <f t="shared" si="436"/>
        <v>0</v>
      </c>
      <c r="AC1349" t="str">
        <f>IF($D1349="","",IF($AD1349=0,0,IF(COUNTIFS($D$4:$D1349,$D1349,$B$4:$B1349,$B1349)&gt;1,0,IF($B1349&lt;'Guide &amp; Settings'!$C$50,0,IF(($B1349-$AD1349)/7-'Guide &amp; Settings'!$C$48&gt;=0,(INT(($B1349-$AD1349)/7-'Guide &amp; Settings'!$C$48)+1)*'Guide &amp; Settings'!$C$49,0)))))</f>
        <v/>
      </c>
      <c r="AD1349" s="142">
        <f t="shared" si="437"/>
        <v>0</v>
      </c>
      <c r="AE1349">
        <f t="shared" si="438"/>
        <v>0</v>
      </c>
      <c r="AF1349">
        <f t="shared" si="439"/>
        <v>0</v>
      </c>
    </row>
    <row r="1350" spans="1:32" x14ac:dyDescent="0.2">
      <c r="A1350" s="117"/>
      <c r="B1350" s="118"/>
      <c r="C1350" s="119"/>
      <c r="D1350" s="119"/>
      <c r="E1350" s="117"/>
      <c r="F1350" s="120">
        <f t="shared" si="420"/>
        <v>0</v>
      </c>
      <c r="G1350" s="121" t="str">
        <f t="shared" si="421"/>
        <v/>
      </c>
      <c r="H1350" s="122">
        <f>IF($D1350="",0,IFERROR(LOOKUP(2,1/(($D$3:D1349=$D1350)*($A$3:A1349&lt;$A1350)),$N$3:N1349),'Guide &amp; Settings'!$C$41))</f>
        <v>0</v>
      </c>
      <c r="I1350" s="123">
        <f t="shared" si="422"/>
        <v>0</v>
      </c>
      <c r="J1350" s="124">
        <f>IF($D1350="",0,IF($F1350&lt;2,0,IF($E1350="Win",('Guide &amp; Settings'!$C$42/(($F1350-1)*COUNTIFS($A$4:$A$1510,$A1350,$E$4:$E$1510,"Win")))*SUMIFS($X$4:$X$1510,$A$4:$A$1510,$A1350,$E$4:$E$1510,"Loss"),-('Guide &amp; Settings'!$C$42/($F1350-1))*$X1350)))</f>
        <v>0</v>
      </c>
      <c r="K1350" s="124">
        <f>IF($D1350="",0,'Guide &amp; Settings'!$C$43*(IF($E1350="Win",1,0)-$I1350))</f>
        <v>0</v>
      </c>
      <c r="L1350" s="125">
        <f>IF($D1350="",0,'Guide &amp; Settings'!$C$44*IF($F1350&gt;=3,$F1350,0))</f>
        <v>0</v>
      </c>
      <c r="M1350" s="124">
        <f t="shared" si="423"/>
        <v>0</v>
      </c>
      <c r="N1350" s="122">
        <f t="shared" si="424"/>
        <v>0</v>
      </c>
      <c r="O1350" s="121" t="str">
        <f t="shared" si="425"/>
        <v/>
      </c>
      <c r="P1350">
        <f t="shared" si="426"/>
        <v>0</v>
      </c>
      <c r="Q1350">
        <f t="shared" si="427"/>
        <v>0</v>
      </c>
      <c r="R1350">
        <f t="shared" si="428"/>
        <v>0</v>
      </c>
      <c r="S1350">
        <f t="shared" si="429"/>
        <v>0</v>
      </c>
      <c r="T1350" s="89">
        <f t="shared" si="430"/>
        <v>0</v>
      </c>
      <c r="U1350" s="126">
        <f>IF($D1350="",0,IFERROR(LOOKUP(2,1/(($D$3:D1349=$D1350)*($C$3:C1349=$C1350)*($A$3:A1349&lt;$A1350)),$AB$3:AB1349),1000))</f>
        <v>0</v>
      </c>
      <c r="V1350" s="126">
        <f t="shared" si="431"/>
        <v>0</v>
      </c>
      <c r="W1350">
        <f t="shared" si="432"/>
        <v>0</v>
      </c>
      <c r="X1350">
        <f t="shared" si="433"/>
        <v>0</v>
      </c>
      <c r="Y1350">
        <f t="shared" si="434"/>
        <v>0</v>
      </c>
      <c r="Z1350">
        <f t="shared" si="435"/>
        <v>0</v>
      </c>
      <c r="AA1350">
        <f>IF($D1350="",0,IF($F1350&lt;2,0,IF($E1350="Win",('Guide &amp; Settings'!$C$42/(($F1350-1)*COUNTIFS($A$4:$A$1510,$A1350,$E$4:$E$1510,"Win")))*SUMIFS($Z$4:$Z$1510,$A$4:$A$1510,$A1350,$E$4:$E$1510,"Loss"),-('Guide &amp; Settings'!$C$42/($F1350-1))*$Z1350)))</f>
        <v>0</v>
      </c>
      <c r="AB1350" s="126">
        <f t="shared" si="436"/>
        <v>0</v>
      </c>
      <c r="AC1350" t="str">
        <f>IF($D1350="","",IF($AD1350=0,0,IF(COUNTIFS($D$4:$D1350,$D1350,$B$4:$B1350,$B1350)&gt;1,0,IF($B1350&lt;'Guide &amp; Settings'!$C$50,0,IF(($B1350-$AD1350)/7-'Guide &amp; Settings'!$C$48&gt;=0,(INT(($B1350-$AD1350)/7-'Guide &amp; Settings'!$C$48)+1)*'Guide &amp; Settings'!$C$49,0)))))</f>
        <v/>
      </c>
      <c r="AD1350" s="142">
        <f t="shared" si="437"/>
        <v>0</v>
      </c>
      <c r="AE1350">
        <f t="shared" si="438"/>
        <v>0</v>
      </c>
      <c r="AF1350">
        <f t="shared" si="439"/>
        <v>0</v>
      </c>
    </row>
    <row r="1351" spans="1:32" x14ac:dyDescent="0.2">
      <c r="A1351" s="117"/>
      <c r="B1351" s="118"/>
      <c r="C1351" s="119"/>
      <c r="D1351" s="119"/>
      <c r="E1351" s="117"/>
      <c r="F1351" s="120">
        <f t="shared" si="420"/>
        <v>0</v>
      </c>
      <c r="G1351" s="121" t="str">
        <f t="shared" si="421"/>
        <v/>
      </c>
      <c r="H1351" s="122">
        <f>IF($D1351="",0,IFERROR(LOOKUP(2,1/(($D$3:D1350=$D1351)*($A$3:A1350&lt;$A1351)),$N$3:N1350),'Guide &amp; Settings'!$C$41))</f>
        <v>0</v>
      </c>
      <c r="I1351" s="123">
        <f t="shared" si="422"/>
        <v>0</v>
      </c>
      <c r="J1351" s="124">
        <f>IF($D1351="",0,IF($F1351&lt;2,0,IF($E1351="Win",('Guide &amp; Settings'!$C$42/(($F1351-1)*COUNTIFS($A$4:$A$1510,$A1351,$E$4:$E$1510,"Win")))*SUMIFS($X$4:$X$1510,$A$4:$A$1510,$A1351,$E$4:$E$1510,"Loss"),-('Guide &amp; Settings'!$C$42/($F1351-1))*$X1351)))</f>
        <v>0</v>
      </c>
      <c r="K1351" s="124">
        <f>IF($D1351="",0,'Guide &amp; Settings'!$C$43*(IF($E1351="Win",1,0)-$I1351))</f>
        <v>0</v>
      </c>
      <c r="L1351" s="125">
        <f>IF($D1351="",0,'Guide &amp; Settings'!$C$44*IF($F1351&gt;=3,$F1351,0))</f>
        <v>0</v>
      </c>
      <c r="M1351" s="124">
        <f t="shared" si="423"/>
        <v>0</v>
      </c>
      <c r="N1351" s="122">
        <f t="shared" si="424"/>
        <v>0</v>
      </c>
      <c r="O1351" s="121" t="str">
        <f t="shared" si="425"/>
        <v/>
      </c>
      <c r="P1351">
        <f t="shared" si="426"/>
        <v>0</v>
      </c>
      <c r="Q1351">
        <f t="shared" si="427"/>
        <v>0</v>
      </c>
      <c r="R1351">
        <f t="shared" si="428"/>
        <v>0</v>
      </c>
      <c r="S1351">
        <f t="shared" si="429"/>
        <v>0</v>
      </c>
      <c r="T1351" s="89">
        <f t="shared" si="430"/>
        <v>0</v>
      </c>
      <c r="U1351" s="126">
        <f>IF($D1351="",0,IFERROR(LOOKUP(2,1/(($D$3:D1350=$D1351)*($C$3:C1350=$C1351)*($A$3:A1350&lt;$A1351)),$AB$3:AB1350),1000))</f>
        <v>0</v>
      </c>
      <c r="V1351" s="126">
        <f t="shared" si="431"/>
        <v>0</v>
      </c>
      <c r="W1351">
        <f t="shared" si="432"/>
        <v>0</v>
      </c>
      <c r="X1351">
        <f t="shared" si="433"/>
        <v>0</v>
      </c>
      <c r="Y1351">
        <f t="shared" si="434"/>
        <v>0</v>
      </c>
      <c r="Z1351">
        <f t="shared" si="435"/>
        <v>0</v>
      </c>
      <c r="AA1351">
        <f>IF($D1351="",0,IF($F1351&lt;2,0,IF($E1351="Win",('Guide &amp; Settings'!$C$42/(($F1351-1)*COUNTIFS($A$4:$A$1510,$A1351,$E$4:$E$1510,"Win")))*SUMIFS($Z$4:$Z$1510,$A$4:$A$1510,$A1351,$E$4:$E$1510,"Loss"),-('Guide &amp; Settings'!$C$42/($F1351-1))*$Z1351)))</f>
        <v>0</v>
      </c>
      <c r="AB1351" s="126">
        <f t="shared" si="436"/>
        <v>0</v>
      </c>
      <c r="AC1351" t="str">
        <f>IF($D1351="","",IF($AD1351=0,0,IF(COUNTIFS($D$4:$D1351,$D1351,$B$4:$B1351,$B1351)&gt;1,0,IF($B1351&lt;'Guide &amp; Settings'!$C$50,0,IF(($B1351-$AD1351)/7-'Guide &amp; Settings'!$C$48&gt;=0,(INT(($B1351-$AD1351)/7-'Guide &amp; Settings'!$C$48)+1)*'Guide &amp; Settings'!$C$49,0)))))</f>
        <v/>
      </c>
      <c r="AD1351" s="142">
        <f t="shared" si="437"/>
        <v>0</v>
      </c>
      <c r="AE1351">
        <f t="shared" si="438"/>
        <v>0</v>
      </c>
      <c r="AF1351">
        <f t="shared" si="439"/>
        <v>0</v>
      </c>
    </row>
    <row r="1352" spans="1:32" x14ac:dyDescent="0.2">
      <c r="A1352" s="117"/>
      <c r="B1352" s="118"/>
      <c r="C1352" s="119"/>
      <c r="D1352" s="119"/>
      <c r="E1352" s="117"/>
      <c r="F1352" s="120">
        <f t="shared" si="420"/>
        <v>0</v>
      </c>
      <c r="G1352" s="121" t="str">
        <f t="shared" si="421"/>
        <v/>
      </c>
      <c r="H1352" s="122">
        <f>IF($D1352="",0,IFERROR(LOOKUP(2,1/(($D$3:D1351=$D1352)*($A$3:A1351&lt;$A1352)),$N$3:N1351),'Guide &amp; Settings'!$C$41))</f>
        <v>0</v>
      </c>
      <c r="I1352" s="123">
        <f t="shared" si="422"/>
        <v>0</v>
      </c>
      <c r="J1352" s="124">
        <f>IF($D1352="",0,IF($F1352&lt;2,0,IF($E1352="Win",('Guide &amp; Settings'!$C$42/(($F1352-1)*COUNTIFS($A$4:$A$1510,$A1352,$E$4:$E$1510,"Win")))*SUMIFS($X$4:$X$1510,$A$4:$A$1510,$A1352,$E$4:$E$1510,"Loss"),-('Guide &amp; Settings'!$C$42/($F1352-1))*$X1352)))</f>
        <v>0</v>
      </c>
      <c r="K1352" s="124">
        <f>IF($D1352="",0,'Guide &amp; Settings'!$C$43*(IF($E1352="Win",1,0)-$I1352))</f>
        <v>0</v>
      </c>
      <c r="L1352" s="125">
        <f>IF($D1352="",0,'Guide &amp; Settings'!$C$44*IF($F1352&gt;=3,$F1352,0))</f>
        <v>0</v>
      </c>
      <c r="M1352" s="124">
        <f t="shared" si="423"/>
        <v>0</v>
      </c>
      <c r="N1352" s="122">
        <f t="shared" si="424"/>
        <v>0</v>
      </c>
      <c r="O1352" s="121" t="str">
        <f t="shared" si="425"/>
        <v/>
      </c>
      <c r="P1352">
        <f t="shared" si="426"/>
        <v>0</v>
      </c>
      <c r="Q1352">
        <f t="shared" si="427"/>
        <v>0</v>
      </c>
      <c r="R1352">
        <f t="shared" si="428"/>
        <v>0</v>
      </c>
      <c r="S1352">
        <f t="shared" si="429"/>
        <v>0</v>
      </c>
      <c r="T1352" s="89">
        <f t="shared" si="430"/>
        <v>0</v>
      </c>
      <c r="U1352" s="126">
        <f>IF($D1352="",0,IFERROR(LOOKUP(2,1/(($D$3:D1351=$D1352)*($C$3:C1351=$C1352)*($A$3:A1351&lt;$A1352)),$AB$3:AB1351),1000))</f>
        <v>0</v>
      </c>
      <c r="V1352" s="126">
        <f t="shared" si="431"/>
        <v>0</v>
      </c>
      <c r="W1352">
        <f t="shared" si="432"/>
        <v>0</v>
      </c>
      <c r="X1352">
        <f t="shared" si="433"/>
        <v>0</v>
      </c>
      <c r="Y1352">
        <f t="shared" si="434"/>
        <v>0</v>
      </c>
      <c r="Z1352">
        <f t="shared" si="435"/>
        <v>0</v>
      </c>
      <c r="AA1352">
        <f>IF($D1352="",0,IF($F1352&lt;2,0,IF($E1352="Win",('Guide &amp; Settings'!$C$42/(($F1352-1)*COUNTIFS($A$4:$A$1510,$A1352,$E$4:$E$1510,"Win")))*SUMIFS($Z$4:$Z$1510,$A$4:$A$1510,$A1352,$E$4:$E$1510,"Loss"),-('Guide &amp; Settings'!$C$42/($F1352-1))*$Z1352)))</f>
        <v>0</v>
      </c>
      <c r="AB1352" s="126">
        <f t="shared" si="436"/>
        <v>0</v>
      </c>
      <c r="AC1352" t="str">
        <f>IF($D1352="","",IF($AD1352=0,0,IF(COUNTIFS($D$4:$D1352,$D1352,$B$4:$B1352,$B1352)&gt;1,0,IF($B1352&lt;'Guide &amp; Settings'!$C$50,0,IF(($B1352-$AD1352)/7-'Guide &amp; Settings'!$C$48&gt;=0,(INT(($B1352-$AD1352)/7-'Guide &amp; Settings'!$C$48)+1)*'Guide &amp; Settings'!$C$49,0)))))</f>
        <v/>
      </c>
      <c r="AD1352" s="142">
        <f t="shared" si="437"/>
        <v>0</v>
      </c>
      <c r="AE1352">
        <f t="shared" si="438"/>
        <v>0</v>
      </c>
      <c r="AF1352">
        <f t="shared" si="439"/>
        <v>0</v>
      </c>
    </row>
    <row r="1353" spans="1:32" x14ac:dyDescent="0.2">
      <c r="A1353" s="117"/>
      <c r="B1353" s="118"/>
      <c r="C1353" s="119"/>
      <c r="D1353" s="119"/>
      <c r="E1353" s="117"/>
      <c r="F1353" s="120">
        <f t="shared" si="420"/>
        <v>0</v>
      </c>
      <c r="G1353" s="121" t="str">
        <f t="shared" si="421"/>
        <v/>
      </c>
      <c r="H1353" s="122">
        <f>IF($D1353="",0,IFERROR(LOOKUP(2,1/(($D$3:D1352=$D1353)*($A$3:A1352&lt;$A1353)),$N$3:N1352),'Guide &amp; Settings'!$C$41))</f>
        <v>0</v>
      </c>
      <c r="I1353" s="123">
        <f t="shared" si="422"/>
        <v>0</v>
      </c>
      <c r="J1353" s="124">
        <f>IF($D1353="",0,IF($F1353&lt;2,0,IF($E1353="Win",('Guide &amp; Settings'!$C$42/(($F1353-1)*COUNTIFS($A$4:$A$1510,$A1353,$E$4:$E$1510,"Win")))*SUMIFS($X$4:$X$1510,$A$4:$A$1510,$A1353,$E$4:$E$1510,"Loss"),-('Guide &amp; Settings'!$C$42/($F1353-1))*$X1353)))</f>
        <v>0</v>
      </c>
      <c r="K1353" s="124">
        <f>IF($D1353="",0,'Guide &amp; Settings'!$C$43*(IF($E1353="Win",1,0)-$I1353))</f>
        <v>0</v>
      </c>
      <c r="L1353" s="125">
        <f>IF($D1353="",0,'Guide &amp; Settings'!$C$44*IF($F1353&gt;=3,$F1353,0))</f>
        <v>0</v>
      </c>
      <c r="M1353" s="124">
        <f t="shared" si="423"/>
        <v>0</v>
      </c>
      <c r="N1353" s="122">
        <f t="shared" si="424"/>
        <v>0</v>
      </c>
      <c r="O1353" s="121" t="str">
        <f t="shared" si="425"/>
        <v/>
      </c>
      <c r="P1353">
        <f t="shared" si="426"/>
        <v>0</v>
      </c>
      <c r="Q1353">
        <f t="shared" si="427"/>
        <v>0</v>
      </c>
      <c r="R1353">
        <f t="shared" si="428"/>
        <v>0</v>
      </c>
      <c r="S1353">
        <f t="shared" si="429"/>
        <v>0</v>
      </c>
      <c r="T1353" s="89">
        <f t="shared" si="430"/>
        <v>0</v>
      </c>
      <c r="U1353" s="126">
        <f>IF($D1353="",0,IFERROR(LOOKUP(2,1/(($D$3:D1352=$D1353)*($C$3:C1352=$C1353)*($A$3:A1352&lt;$A1353)),$AB$3:AB1352),1000))</f>
        <v>0</v>
      </c>
      <c r="V1353" s="126">
        <f t="shared" si="431"/>
        <v>0</v>
      </c>
      <c r="W1353">
        <f t="shared" si="432"/>
        <v>0</v>
      </c>
      <c r="X1353">
        <f t="shared" si="433"/>
        <v>0</v>
      </c>
      <c r="Y1353">
        <f t="shared" si="434"/>
        <v>0</v>
      </c>
      <c r="Z1353">
        <f t="shared" si="435"/>
        <v>0</v>
      </c>
      <c r="AA1353">
        <f>IF($D1353="",0,IF($F1353&lt;2,0,IF($E1353="Win",('Guide &amp; Settings'!$C$42/(($F1353-1)*COUNTIFS($A$4:$A$1510,$A1353,$E$4:$E$1510,"Win")))*SUMIFS($Z$4:$Z$1510,$A$4:$A$1510,$A1353,$E$4:$E$1510,"Loss"),-('Guide &amp; Settings'!$C$42/($F1353-1))*$Z1353)))</f>
        <v>0</v>
      </c>
      <c r="AB1353" s="126">
        <f t="shared" si="436"/>
        <v>0</v>
      </c>
      <c r="AC1353" t="str">
        <f>IF($D1353="","",IF($AD1353=0,0,IF(COUNTIFS($D$4:$D1353,$D1353,$B$4:$B1353,$B1353)&gt;1,0,IF($B1353&lt;'Guide &amp; Settings'!$C$50,0,IF(($B1353-$AD1353)/7-'Guide &amp; Settings'!$C$48&gt;=0,(INT(($B1353-$AD1353)/7-'Guide &amp; Settings'!$C$48)+1)*'Guide &amp; Settings'!$C$49,0)))))</f>
        <v/>
      </c>
      <c r="AD1353" s="142">
        <f t="shared" si="437"/>
        <v>0</v>
      </c>
      <c r="AE1353">
        <f t="shared" si="438"/>
        <v>0</v>
      </c>
      <c r="AF1353">
        <f t="shared" si="439"/>
        <v>0</v>
      </c>
    </row>
    <row r="1354" spans="1:32" x14ac:dyDescent="0.2">
      <c r="A1354" s="117"/>
      <c r="B1354" s="118"/>
      <c r="C1354" s="119"/>
      <c r="D1354" s="119"/>
      <c r="E1354" s="117"/>
      <c r="F1354" s="120">
        <f t="shared" si="420"/>
        <v>0</v>
      </c>
      <c r="G1354" s="121" t="str">
        <f t="shared" si="421"/>
        <v/>
      </c>
      <c r="H1354" s="122">
        <f>IF($D1354="",0,IFERROR(LOOKUP(2,1/(($D$3:D1353=$D1354)*($A$3:A1353&lt;$A1354)),$N$3:N1353),'Guide &amp; Settings'!$C$41))</f>
        <v>0</v>
      </c>
      <c r="I1354" s="123">
        <f t="shared" si="422"/>
        <v>0</v>
      </c>
      <c r="J1354" s="124">
        <f>IF($D1354="",0,IF($F1354&lt;2,0,IF($E1354="Win",('Guide &amp; Settings'!$C$42/(($F1354-1)*COUNTIFS($A$4:$A$1510,$A1354,$E$4:$E$1510,"Win")))*SUMIFS($X$4:$X$1510,$A$4:$A$1510,$A1354,$E$4:$E$1510,"Loss"),-('Guide &amp; Settings'!$C$42/($F1354-1))*$X1354)))</f>
        <v>0</v>
      </c>
      <c r="K1354" s="124">
        <f>IF($D1354="",0,'Guide &amp; Settings'!$C$43*(IF($E1354="Win",1,0)-$I1354))</f>
        <v>0</v>
      </c>
      <c r="L1354" s="125">
        <f>IF($D1354="",0,'Guide &amp; Settings'!$C$44*IF($F1354&gt;=3,$F1354,0))</f>
        <v>0</v>
      </c>
      <c r="M1354" s="124">
        <f t="shared" si="423"/>
        <v>0</v>
      </c>
      <c r="N1354" s="122">
        <f t="shared" si="424"/>
        <v>0</v>
      </c>
      <c r="O1354" s="121" t="str">
        <f t="shared" si="425"/>
        <v/>
      </c>
      <c r="P1354">
        <f t="shared" si="426"/>
        <v>0</v>
      </c>
      <c r="Q1354">
        <f t="shared" si="427"/>
        <v>0</v>
      </c>
      <c r="R1354">
        <f t="shared" si="428"/>
        <v>0</v>
      </c>
      <c r="S1354">
        <f t="shared" si="429"/>
        <v>0</v>
      </c>
      <c r="T1354" s="89">
        <f t="shared" si="430"/>
        <v>0</v>
      </c>
      <c r="U1354" s="126">
        <f>IF($D1354="",0,IFERROR(LOOKUP(2,1/(($D$3:D1353=$D1354)*($C$3:C1353=$C1354)*($A$3:A1353&lt;$A1354)),$AB$3:AB1353),1000))</f>
        <v>0</v>
      </c>
      <c r="V1354" s="126">
        <f t="shared" si="431"/>
        <v>0</v>
      </c>
      <c r="W1354">
        <f t="shared" si="432"/>
        <v>0</v>
      </c>
      <c r="X1354">
        <f t="shared" si="433"/>
        <v>0</v>
      </c>
      <c r="Y1354">
        <f t="shared" si="434"/>
        <v>0</v>
      </c>
      <c r="Z1354">
        <f t="shared" si="435"/>
        <v>0</v>
      </c>
      <c r="AA1354">
        <f>IF($D1354="",0,IF($F1354&lt;2,0,IF($E1354="Win",('Guide &amp; Settings'!$C$42/(($F1354-1)*COUNTIFS($A$4:$A$1510,$A1354,$E$4:$E$1510,"Win")))*SUMIFS($Z$4:$Z$1510,$A$4:$A$1510,$A1354,$E$4:$E$1510,"Loss"),-('Guide &amp; Settings'!$C$42/($F1354-1))*$Z1354)))</f>
        <v>0</v>
      </c>
      <c r="AB1354" s="126">
        <f t="shared" si="436"/>
        <v>0</v>
      </c>
      <c r="AC1354" t="str">
        <f>IF($D1354="","",IF($AD1354=0,0,IF(COUNTIFS($D$4:$D1354,$D1354,$B$4:$B1354,$B1354)&gt;1,0,IF($B1354&lt;'Guide &amp; Settings'!$C$50,0,IF(($B1354-$AD1354)/7-'Guide &amp; Settings'!$C$48&gt;=0,(INT(($B1354-$AD1354)/7-'Guide &amp; Settings'!$C$48)+1)*'Guide &amp; Settings'!$C$49,0)))))</f>
        <v/>
      </c>
      <c r="AD1354" s="142">
        <f t="shared" si="437"/>
        <v>0</v>
      </c>
      <c r="AE1354">
        <f t="shared" si="438"/>
        <v>0</v>
      </c>
      <c r="AF1354">
        <f t="shared" si="439"/>
        <v>0</v>
      </c>
    </row>
    <row r="1355" spans="1:32" x14ac:dyDescent="0.2">
      <c r="A1355" s="117"/>
      <c r="B1355" s="118"/>
      <c r="C1355" s="119"/>
      <c r="D1355" s="119"/>
      <c r="E1355" s="117"/>
      <c r="F1355" s="120">
        <f t="shared" si="420"/>
        <v>0</v>
      </c>
      <c r="G1355" s="121" t="str">
        <f t="shared" si="421"/>
        <v/>
      </c>
      <c r="H1355" s="122">
        <f>IF($D1355="",0,IFERROR(LOOKUP(2,1/(($D$3:D1354=$D1355)*($A$3:A1354&lt;$A1355)),$N$3:N1354),'Guide &amp; Settings'!$C$41))</f>
        <v>0</v>
      </c>
      <c r="I1355" s="123">
        <f t="shared" si="422"/>
        <v>0</v>
      </c>
      <c r="J1355" s="124">
        <f>IF($D1355="",0,IF($F1355&lt;2,0,IF($E1355="Win",('Guide &amp; Settings'!$C$42/(($F1355-1)*COUNTIFS($A$4:$A$1510,$A1355,$E$4:$E$1510,"Win")))*SUMIFS($X$4:$X$1510,$A$4:$A$1510,$A1355,$E$4:$E$1510,"Loss"),-('Guide &amp; Settings'!$C$42/($F1355-1))*$X1355)))</f>
        <v>0</v>
      </c>
      <c r="K1355" s="124">
        <f>IF($D1355="",0,'Guide &amp; Settings'!$C$43*(IF($E1355="Win",1,0)-$I1355))</f>
        <v>0</v>
      </c>
      <c r="L1355" s="125">
        <f>IF($D1355="",0,'Guide &amp; Settings'!$C$44*IF($F1355&gt;=3,$F1355,0))</f>
        <v>0</v>
      </c>
      <c r="M1355" s="124">
        <f t="shared" si="423"/>
        <v>0</v>
      </c>
      <c r="N1355" s="122">
        <f t="shared" si="424"/>
        <v>0</v>
      </c>
      <c r="O1355" s="121" t="str">
        <f t="shared" si="425"/>
        <v/>
      </c>
      <c r="P1355">
        <f t="shared" si="426"/>
        <v>0</v>
      </c>
      <c r="Q1355">
        <f t="shared" si="427"/>
        <v>0</v>
      </c>
      <c r="R1355">
        <f t="shared" si="428"/>
        <v>0</v>
      </c>
      <c r="S1355">
        <f t="shared" si="429"/>
        <v>0</v>
      </c>
      <c r="T1355" s="89">
        <f t="shared" si="430"/>
        <v>0</v>
      </c>
      <c r="U1355" s="126">
        <f>IF($D1355="",0,IFERROR(LOOKUP(2,1/(($D$3:D1354=$D1355)*($C$3:C1354=$C1355)*($A$3:A1354&lt;$A1355)),$AB$3:AB1354),1000))</f>
        <v>0</v>
      </c>
      <c r="V1355" s="126">
        <f t="shared" si="431"/>
        <v>0</v>
      </c>
      <c r="W1355">
        <f t="shared" si="432"/>
        <v>0</v>
      </c>
      <c r="X1355">
        <f t="shared" si="433"/>
        <v>0</v>
      </c>
      <c r="Y1355">
        <f t="shared" si="434"/>
        <v>0</v>
      </c>
      <c r="Z1355">
        <f t="shared" si="435"/>
        <v>0</v>
      </c>
      <c r="AA1355">
        <f>IF($D1355="",0,IF($F1355&lt;2,0,IF($E1355="Win",('Guide &amp; Settings'!$C$42/(($F1355-1)*COUNTIFS($A$4:$A$1510,$A1355,$E$4:$E$1510,"Win")))*SUMIFS($Z$4:$Z$1510,$A$4:$A$1510,$A1355,$E$4:$E$1510,"Loss"),-('Guide &amp; Settings'!$C$42/($F1355-1))*$Z1355)))</f>
        <v>0</v>
      </c>
      <c r="AB1355" s="126">
        <f t="shared" si="436"/>
        <v>0</v>
      </c>
      <c r="AC1355" t="str">
        <f>IF($D1355="","",IF($AD1355=0,0,IF(COUNTIFS($D$4:$D1355,$D1355,$B$4:$B1355,$B1355)&gt;1,0,IF($B1355&lt;'Guide &amp; Settings'!$C$50,0,IF(($B1355-$AD1355)/7-'Guide &amp; Settings'!$C$48&gt;=0,(INT(($B1355-$AD1355)/7-'Guide &amp; Settings'!$C$48)+1)*'Guide &amp; Settings'!$C$49,0)))))</f>
        <v/>
      </c>
      <c r="AD1355" s="142">
        <f t="shared" si="437"/>
        <v>0</v>
      </c>
      <c r="AE1355">
        <f t="shared" si="438"/>
        <v>0</v>
      </c>
      <c r="AF1355">
        <f t="shared" si="439"/>
        <v>0</v>
      </c>
    </row>
    <row r="1356" spans="1:32" x14ac:dyDescent="0.2">
      <c r="A1356" s="117"/>
      <c r="B1356" s="118"/>
      <c r="C1356" s="119"/>
      <c r="D1356" s="119"/>
      <c r="E1356" s="117"/>
      <c r="F1356" s="120">
        <f t="shared" si="420"/>
        <v>0</v>
      </c>
      <c r="G1356" s="121" t="str">
        <f t="shared" si="421"/>
        <v/>
      </c>
      <c r="H1356" s="122">
        <f>IF($D1356="",0,IFERROR(LOOKUP(2,1/(($D$3:D1355=$D1356)*($A$3:A1355&lt;$A1356)),$N$3:N1355),'Guide &amp; Settings'!$C$41))</f>
        <v>0</v>
      </c>
      <c r="I1356" s="123">
        <f t="shared" si="422"/>
        <v>0</v>
      </c>
      <c r="J1356" s="124">
        <f>IF($D1356="",0,IF($F1356&lt;2,0,IF($E1356="Win",('Guide &amp; Settings'!$C$42/(($F1356-1)*COUNTIFS($A$4:$A$1510,$A1356,$E$4:$E$1510,"Win")))*SUMIFS($X$4:$X$1510,$A$4:$A$1510,$A1356,$E$4:$E$1510,"Loss"),-('Guide &amp; Settings'!$C$42/($F1356-1))*$X1356)))</f>
        <v>0</v>
      </c>
      <c r="K1356" s="124">
        <f>IF($D1356="",0,'Guide &amp; Settings'!$C$43*(IF($E1356="Win",1,0)-$I1356))</f>
        <v>0</v>
      </c>
      <c r="L1356" s="125">
        <f>IF($D1356="",0,'Guide &amp; Settings'!$C$44*IF($F1356&gt;=3,$F1356,0))</f>
        <v>0</v>
      </c>
      <c r="M1356" s="124">
        <f t="shared" si="423"/>
        <v>0</v>
      </c>
      <c r="N1356" s="122">
        <f t="shared" si="424"/>
        <v>0</v>
      </c>
      <c r="O1356" s="121" t="str">
        <f t="shared" si="425"/>
        <v/>
      </c>
      <c r="P1356">
        <f t="shared" si="426"/>
        <v>0</v>
      </c>
      <c r="Q1356">
        <f t="shared" si="427"/>
        <v>0</v>
      </c>
      <c r="R1356">
        <f t="shared" si="428"/>
        <v>0</v>
      </c>
      <c r="S1356">
        <f t="shared" si="429"/>
        <v>0</v>
      </c>
      <c r="T1356" s="89">
        <f t="shared" si="430"/>
        <v>0</v>
      </c>
      <c r="U1356" s="126">
        <f>IF($D1356="",0,IFERROR(LOOKUP(2,1/(($D$3:D1355=$D1356)*($C$3:C1355=$C1356)*($A$3:A1355&lt;$A1356)),$AB$3:AB1355),1000))</f>
        <v>0</v>
      </c>
      <c r="V1356" s="126">
        <f t="shared" si="431"/>
        <v>0</v>
      </c>
      <c r="W1356">
        <f t="shared" si="432"/>
        <v>0</v>
      </c>
      <c r="X1356">
        <f t="shared" si="433"/>
        <v>0</v>
      </c>
      <c r="Y1356">
        <f t="shared" si="434"/>
        <v>0</v>
      </c>
      <c r="Z1356">
        <f t="shared" si="435"/>
        <v>0</v>
      </c>
      <c r="AA1356">
        <f>IF($D1356="",0,IF($F1356&lt;2,0,IF($E1356="Win",('Guide &amp; Settings'!$C$42/(($F1356-1)*COUNTIFS($A$4:$A$1510,$A1356,$E$4:$E$1510,"Win")))*SUMIFS($Z$4:$Z$1510,$A$4:$A$1510,$A1356,$E$4:$E$1510,"Loss"),-('Guide &amp; Settings'!$C$42/($F1356-1))*$Z1356)))</f>
        <v>0</v>
      </c>
      <c r="AB1356" s="126">
        <f t="shared" si="436"/>
        <v>0</v>
      </c>
      <c r="AC1356" t="str">
        <f>IF($D1356="","",IF($AD1356=0,0,IF(COUNTIFS($D$4:$D1356,$D1356,$B$4:$B1356,$B1356)&gt;1,0,IF($B1356&lt;'Guide &amp; Settings'!$C$50,0,IF(($B1356-$AD1356)/7-'Guide &amp; Settings'!$C$48&gt;=0,(INT(($B1356-$AD1356)/7-'Guide &amp; Settings'!$C$48)+1)*'Guide &amp; Settings'!$C$49,0)))))</f>
        <v/>
      </c>
      <c r="AD1356" s="142">
        <f t="shared" si="437"/>
        <v>0</v>
      </c>
      <c r="AE1356">
        <f t="shared" si="438"/>
        <v>0</v>
      </c>
      <c r="AF1356">
        <f t="shared" si="439"/>
        <v>0</v>
      </c>
    </row>
    <row r="1357" spans="1:32" x14ac:dyDescent="0.2">
      <c r="A1357" s="117"/>
      <c r="B1357" s="118"/>
      <c r="C1357" s="119"/>
      <c r="D1357" s="119"/>
      <c r="E1357" s="117"/>
      <c r="F1357" s="120">
        <f t="shared" si="420"/>
        <v>0</v>
      </c>
      <c r="G1357" s="121" t="str">
        <f t="shared" si="421"/>
        <v/>
      </c>
      <c r="H1357" s="122">
        <f>IF($D1357="",0,IFERROR(LOOKUP(2,1/(($D$3:D1356=$D1357)*($A$3:A1356&lt;$A1357)),$N$3:N1356),'Guide &amp; Settings'!$C$41))</f>
        <v>0</v>
      </c>
      <c r="I1357" s="123">
        <f t="shared" si="422"/>
        <v>0</v>
      </c>
      <c r="J1357" s="124">
        <f>IF($D1357="",0,IF($F1357&lt;2,0,IF($E1357="Win",('Guide &amp; Settings'!$C$42/(($F1357-1)*COUNTIFS($A$4:$A$1510,$A1357,$E$4:$E$1510,"Win")))*SUMIFS($X$4:$X$1510,$A$4:$A$1510,$A1357,$E$4:$E$1510,"Loss"),-('Guide &amp; Settings'!$C$42/($F1357-1))*$X1357)))</f>
        <v>0</v>
      </c>
      <c r="K1357" s="124">
        <f>IF($D1357="",0,'Guide &amp; Settings'!$C$43*(IF($E1357="Win",1,0)-$I1357))</f>
        <v>0</v>
      </c>
      <c r="L1357" s="125">
        <f>IF($D1357="",0,'Guide &amp; Settings'!$C$44*IF($F1357&gt;=3,$F1357,0))</f>
        <v>0</v>
      </c>
      <c r="M1357" s="124">
        <f t="shared" si="423"/>
        <v>0</v>
      </c>
      <c r="N1357" s="122">
        <f t="shared" si="424"/>
        <v>0</v>
      </c>
      <c r="O1357" s="121" t="str">
        <f t="shared" si="425"/>
        <v/>
      </c>
      <c r="P1357">
        <f t="shared" si="426"/>
        <v>0</v>
      </c>
      <c r="Q1357">
        <f t="shared" si="427"/>
        <v>0</v>
      </c>
      <c r="R1357">
        <f t="shared" si="428"/>
        <v>0</v>
      </c>
      <c r="S1357">
        <f t="shared" si="429"/>
        <v>0</v>
      </c>
      <c r="T1357" s="89">
        <f t="shared" si="430"/>
        <v>0</v>
      </c>
      <c r="U1357" s="126">
        <f>IF($D1357="",0,IFERROR(LOOKUP(2,1/(($D$3:D1356=$D1357)*($C$3:C1356=$C1357)*($A$3:A1356&lt;$A1357)),$AB$3:AB1356),1000))</f>
        <v>0</v>
      </c>
      <c r="V1357" s="126">
        <f t="shared" si="431"/>
        <v>0</v>
      </c>
      <c r="W1357">
        <f t="shared" si="432"/>
        <v>0</v>
      </c>
      <c r="X1357">
        <f t="shared" si="433"/>
        <v>0</v>
      </c>
      <c r="Y1357">
        <f t="shared" si="434"/>
        <v>0</v>
      </c>
      <c r="Z1357">
        <f t="shared" si="435"/>
        <v>0</v>
      </c>
      <c r="AA1357">
        <f>IF($D1357="",0,IF($F1357&lt;2,0,IF($E1357="Win",('Guide &amp; Settings'!$C$42/(($F1357-1)*COUNTIFS($A$4:$A$1510,$A1357,$E$4:$E$1510,"Win")))*SUMIFS($Z$4:$Z$1510,$A$4:$A$1510,$A1357,$E$4:$E$1510,"Loss"),-('Guide &amp; Settings'!$C$42/($F1357-1))*$Z1357)))</f>
        <v>0</v>
      </c>
      <c r="AB1357" s="126">
        <f t="shared" si="436"/>
        <v>0</v>
      </c>
      <c r="AC1357" t="str">
        <f>IF($D1357="","",IF($AD1357=0,0,IF(COUNTIFS($D$4:$D1357,$D1357,$B$4:$B1357,$B1357)&gt;1,0,IF($B1357&lt;'Guide &amp; Settings'!$C$50,0,IF(($B1357-$AD1357)/7-'Guide &amp; Settings'!$C$48&gt;=0,(INT(($B1357-$AD1357)/7-'Guide &amp; Settings'!$C$48)+1)*'Guide &amp; Settings'!$C$49,0)))))</f>
        <v/>
      </c>
      <c r="AD1357" s="142">
        <f t="shared" si="437"/>
        <v>0</v>
      </c>
      <c r="AE1357">
        <f t="shared" si="438"/>
        <v>0</v>
      </c>
      <c r="AF1357">
        <f t="shared" si="439"/>
        <v>0</v>
      </c>
    </row>
    <row r="1358" spans="1:32" x14ac:dyDescent="0.2">
      <c r="A1358" s="117"/>
      <c r="B1358" s="118"/>
      <c r="C1358" s="119"/>
      <c r="D1358" s="119"/>
      <c r="E1358" s="117"/>
      <c r="F1358" s="120">
        <f t="shared" si="420"/>
        <v>0</v>
      </c>
      <c r="G1358" s="121" t="str">
        <f t="shared" si="421"/>
        <v/>
      </c>
      <c r="H1358" s="122">
        <f>IF($D1358="",0,IFERROR(LOOKUP(2,1/(($D$3:D1357=$D1358)*($A$3:A1357&lt;$A1358)),$N$3:N1357),'Guide &amp; Settings'!$C$41))</f>
        <v>0</v>
      </c>
      <c r="I1358" s="123">
        <f t="shared" si="422"/>
        <v>0</v>
      </c>
      <c r="J1358" s="124">
        <f>IF($D1358="",0,IF($F1358&lt;2,0,IF($E1358="Win",('Guide &amp; Settings'!$C$42/(($F1358-1)*COUNTIFS($A$4:$A$1510,$A1358,$E$4:$E$1510,"Win")))*SUMIFS($X$4:$X$1510,$A$4:$A$1510,$A1358,$E$4:$E$1510,"Loss"),-('Guide &amp; Settings'!$C$42/($F1358-1))*$X1358)))</f>
        <v>0</v>
      </c>
      <c r="K1358" s="124">
        <f>IF($D1358="",0,'Guide &amp; Settings'!$C$43*(IF($E1358="Win",1,0)-$I1358))</f>
        <v>0</v>
      </c>
      <c r="L1358" s="125">
        <f>IF($D1358="",0,'Guide &amp; Settings'!$C$44*IF($F1358&gt;=3,$F1358,0))</f>
        <v>0</v>
      </c>
      <c r="M1358" s="124">
        <f t="shared" si="423"/>
        <v>0</v>
      </c>
      <c r="N1358" s="122">
        <f t="shared" si="424"/>
        <v>0</v>
      </c>
      <c r="O1358" s="121" t="str">
        <f t="shared" si="425"/>
        <v/>
      </c>
      <c r="P1358">
        <f t="shared" si="426"/>
        <v>0</v>
      </c>
      <c r="Q1358">
        <f t="shared" si="427"/>
        <v>0</v>
      </c>
      <c r="R1358">
        <f t="shared" si="428"/>
        <v>0</v>
      </c>
      <c r="S1358">
        <f t="shared" si="429"/>
        <v>0</v>
      </c>
      <c r="T1358" s="89">
        <f t="shared" si="430"/>
        <v>0</v>
      </c>
      <c r="U1358" s="126">
        <f>IF($D1358="",0,IFERROR(LOOKUP(2,1/(($D$3:D1357=$D1358)*($C$3:C1357=$C1358)*($A$3:A1357&lt;$A1358)),$AB$3:AB1357),1000))</f>
        <v>0</v>
      </c>
      <c r="V1358" s="126">
        <f t="shared" si="431"/>
        <v>0</v>
      </c>
      <c r="W1358">
        <f t="shared" si="432"/>
        <v>0</v>
      </c>
      <c r="X1358">
        <f t="shared" si="433"/>
        <v>0</v>
      </c>
      <c r="Y1358">
        <f t="shared" si="434"/>
        <v>0</v>
      </c>
      <c r="Z1358">
        <f t="shared" si="435"/>
        <v>0</v>
      </c>
      <c r="AA1358">
        <f>IF($D1358="",0,IF($F1358&lt;2,0,IF($E1358="Win",('Guide &amp; Settings'!$C$42/(($F1358-1)*COUNTIFS($A$4:$A$1510,$A1358,$E$4:$E$1510,"Win")))*SUMIFS($Z$4:$Z$1510,$A$4:$A$1510,$A1358,$E$4:$E$1510,"Loss"),-('Guide &amp; Settings'!$C$42/($F1358-1))*$Z1358)))</f>
        <v>0</v>
      </c>
      <c r="AB1358" s="126">
        <f t="shared" si="436"/>
        <v>0</v>
      </c>
      <c r="AC1358" t="str">
        <f>IF($D1358="","",IF($AD1358=0,0,IF(COUNTIFS($D$4:$D1358,$D1358,$B$4:$B1358,$B1358)&gt;1,0,IF($B1358&lt;'Guide &amp; Settings'!$C$50,0,IF(($B1358-$AD1358)/7-'Guide &amp; Settings'!$C$48&gt;=0,(INT(($B1358-$AD1358)/7-'Guide &amp; Settings'!$C$48)+1)*'Guide &amp; Settings'!$C$49,0)))))</f>
        <v/>
      </c>
      <c r="AD1358" s="142">
        <f t="shared" si="437"/>
        <v>0</v>
      </c>
      <c r="AE1358">
        <f t="shared" si="438"/>
        <v>0</v>
      </c>
      <c r="AF1358">
        <f t="shared" si="439"/>
        <v>0</v>
      </c>
    </row>
    <row r="1359" spans="1:32" x14ac:dyDescent="0.2">
      <c r="A1359" s="117"/>
      <c r="B1359" s="118"/>
      <c r="C1359" s="119"/>
      <c r="D1359" s="119"/>
      <c r="E1359" s="117"/>
      <c r="F1359" s="120">
        <f t="shared" si="420"/>
        <v>0</v>
      </c>
      <c r="G1359" s="121" t="str">
        <f t="shared" si="421"/>
        <v/>
      </c>
      <c r="H1359" s="122">
        <f>IF($D1359="",0,IFERROR(LOOKUP(2,1/(($D$3:D1358=$D1359)*($A$3:A1358&lt;$A1359)),$N$3:N1358),'Guide &amp; Settings'!$C$41))</f>
        <v>0</v>
      </c>
      <c r="I1359" s="123">
        <f t="shared" si="422"/>
        <v>0</v>
      </c>
      <c r="J1359" s="124">
        <f>IF($D1359="",0,IF($F1359&lt;2,0,IF($E1359="Win",('Guide &amp; Settings'!$C$42/(($F1359-1)*COUNTIFS($A$4:$A$1510,$A1359,$E$4:$E$1510,"Win")))*SUMIFS($X$4:$X$1510,$A$4:$A$1510,$A1359,$E$4:$E$1510,"Loss"),-('Guide &amp; Settings'!$C$42/($F1359-1))*$X1359)))</f>
        <v>0</v>
      </c>
      <c r="K1359" s="124">
        <f>IF($D1359="",0,'Guide &amp; Settings'!$C$43*(IF($E1359="Win",1,0)-$I1359))</f>
        <v>0</v>
      </c>
      <c r="L1359" s="125">
        <f>IF($D1359="",0,'Guide &amp; Settings'!$C$44*IF($F1359&gt;=3,$F1359,0))</f>
        <v>0</v>
      </c>
      <c r="M1359" s="124">
        <f t="shared" si="423"/>
        <v>0</v>
      </c>
      <c r="N1359" s="122">
        <f t="shared" si="424"/>
        <v>0</v>
      </c>
      <c r="O1359" s="121" t="str">
        <f t="shared" si="425"/>
        <v/>
      </c>
      <c r="P1359">
        <f t="shared" si="426"/>
        <v>0</v>
      </c>
      <c r="Q1359">
        <f t="shared" si="427"/>
        <v>0</v>
      </c>
      <c r="R1359">
        <f t="shared" si="428"/>
        <v>0</v>
      </c>
      <c r="S1359">
        <f t="shared" si="429"/>
        <v>0</v>
      </c>
      <c r="T1359" s="89">
        <f t="shared" si="430"/>
        <v>0</v>
      </c>
      <c r="U1359" s="126">
        <f>IF($D1359="",0,IFERROR(LOOKUP(2,1/(($D$3:D1358=$D1359)*($C$3:C1358=$C1359)*($A$3:A1358&lt;$A1359)),$AB$3:AB1358),1000))</f>
        <v>0</v>
      </c>
      <c r="V1359" s="126">
        <f t="shared" si="431"/>
        <v>0</v>
      </c>
      <c r="W1359">
        <f t="shared" si="432"/>
        <v>0</v>
      </c>
      <c r="X1359">
        <f t="shared" si="433"/>
        <v>0</v>
      </c>
      <c r="Y1359">
        <f t="shared" si="434"/>
        <v>0</v>
      </c>
      <c r="Z1359">
        <f t="shared" si="435"/>
        <v>0</v>
      </c>
      <c r="AA1359">
        <f>IF($D1359="",0,IF($F1359&lt;2,0,IF($E1359="Win",('Guide &amp; Settings'!$C$42/(($F1359-1)*COUNTIFS($A$4:$A$1510,$A1359,$E$4:$E$1510,"Win")))*SUMIFS($Z$4:$Z$1510,$A$4:$A$1510,$A1359,$E$4:$E$1510,"Loss"),-('Guide &amp; Settings'!$C$42/($F1359-1))*$Z1359)))</f>
        <v>0</v>
      </c>
      <c r="AB1359" s="126">
        <f t="shared" si="436"/>
        <v>0</v>
      </c>
      <c r="AC1359" t="str">
        <f>IF($D1359="","",IF($AD1359=0,0,IF(COUNTIFS($D$4:$D1359,$D1359,$B$4:$B1359,$B1359)&gt;1,0,IF($B1359&lt;'Guide &amp; Settings'!$C$50,0,IF(($B1359-$AD1359)/7-'Guide &amp; Settings'!$C$48&gt;=0,(INT(($B1359-$AD1359)/7-'Guide &amp; Settings'!$C$48)+1)*'Guide &amp; Settings'!$C$49,0)))))</f>
        <v/>
      </c>
      <c r="AD1359" s="142">
        <f t="shared" si="437"/>
        <v>0</v>
      </c>
      <c r="AE1359">
        <f t="shared" si="438"/>
        <v>0</v>
      </c>
      <c r="AF1359">
        <f t="shared" si="439"/>
        <v>0</v>
      </c>
    </row>
    <row r="1360" spans="1:32" x14ac:dyDescent="0.2">
      <c r="A1360" s="117"/>
      <c r="B1360" s="118"/>
      <c r="C1360" s="119"/>
      <c r="D1360" s="119"/>
      <c r="E1360" s="117"/>
      <c r="F1360" s="120">
        <f t="shared" si="420"/>
        <v>0</v>
      </c>
      <c r="G1360" s="121" t="str">
        <f t="shared" si="421"/>
        <v/>
      </c>
      <c r="H1360" s="122">
        <f>IF($D1360="",0,IFERROR(LOOKUP(2,1/(($D$3:D1359=$D1360)*($A$3:A1359&lt;$A1360)),$N$3:N1359),'Guide &amp; Settings'!$C$41))</f>
        <v>0</v>
      </c>
      <c r="I1360" s="123">
        <f t="shared" si="422"/>
        <v>0</v>
      </c>
      <c r="J1360" s="124">
        <f>IF($D1360="",0,IF($F1360&lt;2,0,IF($E1360="Win",('Guide &amp; Settings'!$C$42/(($F1360-1)*COUNTIFS($A$4:$A$1510,$A1360,$E$4:$E$1510,"Win")))*SUMIFS($X$4:$X$1510,$A$4:$A$1510,$A1360,$E$4:$E$1510,"Loss"),-('Guide &amp; Settings'!$C$42/($F1360-1))*$X1360)))</f>
        <v>0</v>
      </c>
      <c r="K1360" s="124">
        <f>IF($D1360="",0,'Guide &amp; Settings'!$C$43*(IF($E1360="Win",1,0)-$I1360))</f>
        <v>0</v>
      </c>
      <c r="L1360" s="125">
        <f>IF($D1360="",0,'Guide &amp; Settings'!$C$44*IF($F1360&gt;=3,$F1360,0))</f>
        <v>0</v>
      </c>
      <c r="M1360" s="124">
        <f t="shared" si="423"/>
        <v>0</v>
      </c>
      <c r="N1360" s="122">
        <f t="shared" si="424"/>
        <v>0</v>
      </c>
      <c r="O1360" s="121" t="str">
        <f t="shared" si="425"/>
        <v/>
      </c>
      <c r="P1360">
        <f t="shared" si="426"/>
        <v>0</v>
      </c>
      <c r="Q1360">
        <f t="shared" si="427"/>
        <v>0</v>
      </c>
      <c r="R1360">
        <f t="shared" si="428"/>
        <v>0</v>
      </c>
      <c r="S1360">
        <f t="shared" si="429"/>
        <v>0</v>
      </c>
      <c r="T1360" s="89">
        <f t="shared" si="430"/>
        <v>0</v>
      </c>
      <c r="U1360" s="126">
        <f>IF($D1360="",0,IFERROR(LOOKUP(2,1/(($D$3:D1359=$D1360)*($C$3:C1359=$C1360)*($A$3:A1359&lt;$A1360)),$AB$3:AB1359),1000))</f>
        <v>0</v>
      </c>
      <c r="V1360" s="126">
        <f t="shared" si="431"/>
        <v>0</v>
      </c>
      <c r="W1360">
        <f t="shared" si="432"/>
        <v>0</v>
      </c>
      <c r="X1360">
        <f t="shared" si="433"/>
        <v>0</v>
      </c>
      <c r="Y1360">
        <f t="shared" si="434"/>
        <v>0</v>
      </c>
      <c r="Z1360">
        <f t="shared" si="435"/>
        <v>0</v>
      </c>
      <c r="AA1360">
        <f>IF($D1360="",0,IF($F1360&lt;2,0,IF($E1360="Win",('Guide &amp; Settings'!$C$42/(($F1360-1)*COUNTIFS($A$4:$A$1510,$A1360,$E$4:$E$1510,"Win")))*SUMIFS($Z$4:$Z$1510,$A$4:$A$1510,$A1360,$E$4:$E$1510,"Loss"),-('Guide &amp; Settings'!$C$42/($F1360-1))*$Z1360)))</f>
        <v>0</v>
      </c>
      <c r="AB1360" s="126">
        <f t="shared" si="436"/>
        <v>0</v>
      </c>
      <c r="AC1360" t="str">
        <f>IF($D1360="","",IF($AD1360=0,0,IF(COUNTIFS($D$4:$D1360,$D1360,$B$4:$B1360,$B1360)&gt;1,0,IF($B1360&lt;'Guide &amp; Settings'!$C$50,0,IF(($B1360-$AD1360)/7-'Guide &amp; Settings'!$C$48&gt;=0,(INT(($B1360-$AD1360)/7-'Guide &amp; Settings'!$C$48)+1)*'Guide &amp; Settings'!$C$49,0)))))</f>
        <v/>
      </c>
      <c r="AD1360" s="142">
        <f t="shared" si="437"/>
        <v>0</v>
      </c>
      <c r="AE1360">
        <f t="shared" si="438"/>
        <v>0</v>
      </c>
      <c r="AF1360">
        <f t="shared" si="439"/>
        <v>0</v>
      </c>
    </row>
    <row r="1361" spans="1:32" x14ac:dyDescent="0.2">
      <c r="A1361" s="117"/>
      <c r="B1361" s="118"/>
      <c r="C1361" s="119"/>
      <c r="D1361" s="119"/>
      <c r="E1361" s="117"/>
      <c r="F1361" s="120">
        <f t="shared" si="420"/>
        <v>0</v>
      </c>
      <c r="G1361" s="121" t="str">
        <f t="shared" si="421"/>
        <v/>
      </c>
      <c r="H1361" s="122">
        <f>IF($D1361="",0,IFERROR(LOOKUP(2,1/(($D$3:D1360=$D1361)*($A$3:A1360&lt;$A1361)),$N$3:N1360),'Guide &amp; Settings'!$C$41))</f>
        <v>0</v>
      </c>
      <c r="I1361" s="123">
        <f t="shared" si="422"/>
        <v>0</v>
      </c>
      <c r="J1361" s="124">
        <f>IF($D1361="",0,IF($F1361&lt;2,0,IF($E1361="Win",('Guide &amp; Settings'!$C$42/(($F1361-1)*COUNTIFS($A$4:$A$1510,$A1361,$E$4:$E$1510,"Win")))*SUMIFS($X$4:$X$1510,$A$4:$A$1510,$A1361,$E$4:$E$1510,"Loss"),-('Guide &amp; Settings'!$C$42/($F1361-1))*$X1361)))</f>
        <v>0</v>
      </c>
      <c r="K1361" s="124">
        <f>IF($D1361="",0,'Guide &amp; Settings'!$C$43*(IF($E1361="Win",1,0)-$I1361))</f>
        <v>0</v>
      </c>
      <c r="L1361" s="125">
        <f>IF($D1361="",0,'Guide &amp; Settings'!$C$44*IF($F1361&gt;=3,$F1361,0))</f>
        <v>0</v>
      </c>
      <c r="M1361" s="124">
        <f t="shared" si="423"/>
        <v>0</v>
      </c>
      <c r="N1361" s="122">
        <f t="shared" si="424"/>
        <v>0</v>
      </c>
      <c r="O1361" s="121" t="str">
        <f t="shared" si="425"/>
        <v/>
      </c>
      <c r="P1361">
        <f t="shared" si="426"/>
        <v>0</v>
      </c>
      <c r="Q1361">
        <f t="shared" si="427"/>
        <v>0</v>
      </c>
      <c r="R1361">
        <f t="shared" si="428"/>
        <v>0</v>
      </c>
      <c r="S1361">
        <f t="shared" si="429"/>
        <v>0</v>
      </c>
      <c r="T1361" s="89">
        <f t="shared" si="430"/>
        <v>0</v>
      </c>
      <c r="U1361" s="126">
        <f>IF($D1361="",0,IFERROR(LOOKUP(2,1/(($D$3:D1360=$D1361)*($C$3:C1360=$C1361)*($A$3:A1360&lt;$A1361)),$AB$3:AB1360),1000))</f>
        <v>0</v>
      </c>
      <c r="V1361" s="126">
        <f t="shared" si="431"/>
        <v>0</v>
      </c>
      <c r="W1361">
        <f t="shared" si="432"/>
        <v>0</v>
      </c>
      <c r="X1361">
        <f t="shared" si="433"/>
        <v>0</v>
      </c>
      <c r="Y1361">
        <f t="shared" si="434"/>
        <v>0</v>
      </c>
      <c r="Z1361">
        <f t="shared" si="435"/>
        <v>0</v>
      </c>
      <c r="AA1361">
        <f>IF($D1361="",0,IF($F1361&lt;2,0,IF($E1361="Win",('Guide &amp; Settings'!$C$42/(($F1361-1)*COUNTIFS($A$4:$A$1510,$A1361,$E$4:$E$1510,"Win")))*SUMIFS($Z$4:$Z$1510,$A$4:$A$1510,$A1361,$E$4:$E$1510,"Loss"),-('Guide &amp; Settings'!$C$42/($F1361-1))*$Z1361)))</f>
        <v>0</v>
      </c>
      <c r="AB1361" s="126">
        <f t="shared" si="436"/>
        <v>0</v>
      </c>
      <c r="AC1361" t="str">
        <f>IF($D1361="","",IF($AD1361=0,0,IF(COUNTIFS($D$4:$D1361,$D1361,$B$4:$B1361,$B1361)&gt;1,0,IF($B1361&lt;'Guide &amp; Settings'!$C$50,0,IF(($B1361-$AD1361)/7-'Guide &amp; Settings'!$C$48&gt;=0,(INT(($B1361-$AD1361)/7-'Guide &amp; Settings'!$C$48)+1)*'Guide &amp; Settings'!$C$49,0)))))</f>
        <v/>
      </c>
      <c r="AD1361" s="142">
        <f t="shared" si="437"/>
        <v>0</v>
      </c>
      <c r="AE1361">
        <f t="shared" si="438"/>
        <v>0</v>
      </c>
      <c r="AF1361">
        <f t="shared" si="439"/>
        <v>0</v>
      </c>
    </row>
    <row r="1362" spans="1:32" x14ac:dyDescent="0.2">
      <c r="A1362" s="117"/>
      <c r="B1362" s="118"/>
      <c r="C1362" s="119"/>
      <c r="D1362" s="119"/>
      <c r="E1362" s="117"/>
      <c r="F1362" s="120">
        <f t="shared" si="420"/>
        <v>0</v>
      </c>
      <c r="G1362" s="121" t="str">
        <f t="shared" si="421"/>
        <v/>
      </c>
      <c r="H1362" s="122">
        <f>IF($D1362="",0,IFERROR(LOOKUP(2,1/(($D$3:D1361=$D1362)*($A$3:A1361&lt;$A1362)),$N$3:N1361),'Guide &amp; Settings'!$C$41))</f>
        <v>0</v>
      </c>
      <c r="I1362" s="123">
        <f t="shared" si="422"/>
        <v>0</v>
      </c>
      <c r="J1362" s="124">
        <f>IF($D1362="",0,IF($F1362&lt;2,0,IF($E1362="Win",('Guide &amp; Settings'!$C$42/(($F1362-1)*COUNTIFS($A$4:$A$1510,$A1362,$E$4:$E$1510,"Win")))*SUMIFS($X$4:$X$1510,$A$4:$A$1510,$A1362,$E$4:$E$1510,"Loss"),-('Guide &amp; Settings'!$C$42/($F1362-1))*$X1362)))</f>
        <v>0</v>
      </c>
      <c r="K1362" s="124">
        <f>IF($D1362="",0,'Guide &amp; Settings'!$C$43*(IF($E1362="Win",1,0)-$I1362))</f>
        <v>0</v>
      </c>
      <c r="L1362" s="125">
        <f>IF($D1362="",0,'Guide &amp; Settings'!$C$44*IF($F1362&gt;=3,$F1362,0))</f>
        <v>0</v>
      </c>
      <c r="M1362" s="124">
        <f t="shared" si="423"/>
        <v>0</v>
      </c>
      <c r="N1362" s="122">
        <f t="shared" si="424"/>
        <v>0</v>
      </c>
      <c r="O1362" s="121" t="str">
        <f t="shared" si="425"/>
        <v/>
      </c>
      <c r="P1362">
        <f t="shared" si="426"/>
        <v>0</v>
      </c>
      <c r="Q1362">
        <f t="shared" si="427"/>
        <v>0</v>
      </c>
      <c r="R1362">
        <f t="shared" si="428"/>
        <v>0</v>
      </c>
      <c r="S1362">
        <f t="shared" si="429"/>
        <v>0</v>
      </c>
      <c r="T1362" s="89">
        <f t="shared" si="430"/>
        <v>0</v>
      </c>
      <c r="U1362" s="126">
        <f>IF($D1362="",0,IFERROR(LOOKUP(2,1/(($D$3:D1361=$D1362)*($C$3:C1361=$C1362)*($A$3:A1361&lt;$A1362)),$AB$3:AB1361),1000))</f>
        <v>0</v>
      </c>
      <c r="V1362" s="126">
        <f t="shared" si="431"/>
        <v>0</v>
      </c>
      <c r="W1362">
        <f t="shared" si="432"/>
        <v>0</v>
      </c>
      <c r="X1362">
        <f t="shared" si="433"/>
        <v>0</v>
      </c>
      <c r="Y1362">
        <f t="shared" si="434"/>
        <v>0</v>
      </c>
      <c r="Z1362">
        <f t="shared" si="435"/>
        <v>0</v>
      </c>
      <c r="AA1362">
        <f>IF($D1362="",0,IF($F1362&lt;2,0,IF($E1362="Win",('Guide &amp; Settings'!$C$42/(($F1362-1)*COUNTIFS($A$4:$A$1510,$A1362,$E$4:$E$1510,"Win")))*SUMIFS($Z$4:$Z$1510,$A$4:$A$1510,$A1362,$E$4:$E$1510,"Loss"),-('Guide &amp; Settings'!$C$42/($F1362-1))*$Z1362)))</f>
        <v>0</v>
      </c>
      <c r="AB1362" s="126">
        <f t="shared" si="436"/>
        <v>0</v>
      </c>
      <c r="AC1362" t="str">
        <f>IF($D1362="","",IF($AD1362=0,0,IF(COUNTIFS($D$4:$D1362,$D1362,$B$4:$B1362,$B1362)&gt;1,0,IF($B1362&lt;'Guide &amp; Settings'!$C$50,0,IF(($B1362-$AD1362)/7-'Guide &amp; Settings'!$C$48&gt;=0,(INT(($B1362-$AD1362)/7-'Guide &amp; Settings'!$C$48)+1)*'Guide &amp; Settings'!$C$49,0)))))</f>
        <v/>
      </c>
      <c r="AD1362" s="142">
        <f t="shared" si="437"/>
        <v>0</v>
      </c>
      <c r="AE1362">
        <f t="shared" si="438"/>
        <v>0</v>
      </c>
      <c r="AF1362">
        <f t="shared" si="439"/>
        <v>0</v>
      </c>
    </row>
    <row r="1363" spans="1:32" x14ac:dyDescent="0.2">
      <c r="A1363" s="117"/>
      <c r="B1363" s="118"/>
      <c r="C1363" s="119"/>
      <c r="D1363" s="119"/>
      <c r="E1363" s="117"/>
      <c r="F1363" s="120">
        <f t="shared" si="420"/>
        <v>0</v>
      </c>
      <c r="G1363" s="121" t="str">
        <f t="shared" si="421"/>
        <v/>
      </c>
      <c r="H1363" s="122">
        <f>IF($D1363="",0,IFERROR(LOOKUP(2,1/(($D$3:D1362=$D1363)*($A$3:A1362&lt;$A1363)),$N$3:N1362),'Guide &amp; Settings'!$C$41))</f>
        <v>0</v>
      </c>
      <c r="I1363" s="123">
        <f t="shared" si="422"/>
        <v>0</v>
      </c>
      <c r="J1363" s="124">
        <f>IF($D1363="",0,IF($F1363&lt;2,0,IF($E1363="Win",('Guide &amp; Settings'!$C$42/(($F1363-1)*COUNTIFS($A$4:$A$1510,$A1363,$E$4:$E$1510,"Win")))*SUMIFS($X$4:$X$1510,$A$4:$A$1510,$A1363,$E$4:$E$1510,"Loss"),-('Guide &amp; Settings'!$C$42/($F1363-1))*$X1363)))</f>
        <v>0</v>
      </c>
      <c r="K1363" s="124">
        <f>IF($D1363="",0,'Guide &amp; Settings'!$C$43*(IF($E1363="Win",1,0)-$I1363))</f>
        <v>0</v>
      </c>
      <c r="L1363" s="125">
        <f>IF($D1363="",0,'Guide &amp; Settings'!$C$44*IF($F1363&gt;=3,$F1363,0))</f>
        <v>0</v>
      </c>
      <c r="M1363" s="124">
        <f t="shared" si="423"/>
        <v>0</v>
      </c>
      <c r="N1363" s="122">
        <f t="shared" si="424"/>
        <v>0</v>
      </c>
      <c r="O1363" s="121" t="str">
        <f t="shared" si="425"/>
        <v/>
      </c>
      <c r="P1363">
        <f t="shared" si="426"/>
        <v>0</v>
      </c>
      <c r="Q1363">
        <f t="shared" si="427"/>
        <v>0</v>
      </c>
      <c r="R1363">
        <f t="shared" si="428"/>
        <v>0</v>
      </c>
      <c r="S1363">
        <f t="shared" si="429"/>
        <v>0</v>
      </c>
      <c r="T1363" s="89">
        <f t="shared" si="430"/>
        <v>0</v>
      </c>
      <c r="U1363" s="126">
        <f>IF($D1363="",0,IFERROR(LOOKUP(2,1/(($D$3:D1362=$D1363)*($C$3:C1362=$C1363)*($A$3:A1362&lt;$A1363)),$AB$3:AB1362),1000))</f>
        <v>0</v>
      </c>
      <c r="V1363" s="126">
        <f t="shared" si="431"/>
        <v>0</v>
      </c>
      <c r="W1363">
        <f t="shared" si="432"/>
        <v>0</v>
      </c>
      <c r="X1363">
        <f t="shared" si="433"/>
        <v>0</v>
      </c>
      <c r="Y1363">
        <f t="shared" si="434"/>
        <v>0</v>
      </c>
      <c r="Z1363">
        <f t="shared" si="435"/>
        <v>0</v>
      </c>
      <c r="AA1363">
        <f>IF($D1363="",0,IF($F1363&lt;2,0,IF($E1363="Win",('Guide &amp; Settings'!$C$42/(($F1363-1)*COUNTIFS($A$4:$A$1510,$A1363,$E$4:$E$1510,"Win")))*SUMIFS($Z$4:$Z$1510,$A$4:$A$1510,$A1363,$E$4:$E$1510,"Loss"),-('Guide &amp; Settings'!$C$42/($F1363-1))*$Z1363)))</f>
        <v>0</v>
      </c>
      <c r="AB1363" s="126">
        <f t="shared" si="436"/>
        <v>0</v>
      </c>
      <c r="AC1363" t="str">
        <f>IF($D1363="","",IF($AD1363=0,0,IF(COUNTIFS($D$4:$D1363,$D1363,$B$4:$B1363,$B1363)&gt;1,0,IF($B1363&lt;'Guide &amp; Settings'!$C$50,0,IF(($B1363-$AD1363)/7-'Guide &amp; Settings'!$C$48&gt;=0,(INT(($B1363-$AD1363)/7-'Guide &amp; Settings'!$C$48)+1)*'Guide &amp; Settings'!$C$49,0)))))</f>
        <v/>
      </c>
      <c r="AD1363" s="142">
        <f t="shared" si="437"/>
        <v>0</v>
      </c>
      <c r="AE1363">
        <f t="shared" si="438"/>
        <v>0</v>
      </c>
      <c r="AF1363">
        <f t="shared" si="439"/>
        <v>0</v>
      </c>
    </row>
    <row r="1364" spans="1:32" x14ac:dyDescent="0.2">
      <c r="A1364" s="117"/>
      <c r="B1364" s="118"/>
      <c r="C1364" s="119"/>
      <c r="D1364" s="119"/>
      <c r="E1364" s="117"/>
      <c r="F1364" s="120">
        <f t="shared" si="420"/>
        <v>0</v>
      </c>
      <c r="G1364" s="121" t="str">
        <f t="shared" si="421"/>
        <v/>
      </c>
      <c r="H1364" s="122">
        <f>IF($D1364="",0,IFERROR(LOOKUP(2,1/(($D$3:D1363=$D1364)*($A$3:A1363&lt;$A1364)),$N$3:N1363),'Guide &amp; Settings'!$C$41))</f>
        <v>0</v>
      </c>
      <c r="I1364" s="123">
        <f t="shared" si="422"/>
        <v>0</v>
      </c>
      <c r="J1364" s="124">
        <f>IF($D1364="",0,IF($F1364&lt;2,0,IF($E1364="Win",('Guide &amp; Settings'!$C$42/(($F1364-1)*COUNTIFS($A$4:$A$1510,$A1364,$E$4:$E$1510,"Win")))*SUMIFS($X$4:$X$1510,$A$4:$A$1510,$A1364,$E$4:$E$1510,"Loss"),-('Guide &amp; Settings'!$C$42/($F1364-1))*$X1364)))</f>
        <v>0</v>
      </c>
      <c r="K1364" s="124">
        <f>IF($D1364="",0,'Guide &amp; Settings'!$C$43*(IF($E1364="Win",1,0)-$I1364))</f>
        <v>0</v>
      </c>
      <c r="L1364" s="125">
        <f>IF($D1364="",0,'Guide &amp; Settings'!$C$44*IF($F1364&gt;=3,$F1364,0))</f>
        <v>0</v>
      </c>
      <c r="M1364" s="124">
        <f t="shared" si="423"/>
        <v>0</v>
      </c>
      <c r="N1364" s="122">
        <f t="shared" si="424"/>
        <v>0</v>
      </c>
      <c r="O1364" s="121" t="str">
        <f t="shared" si="425"/>
        <v/>
      </c>
      <c r="P1364">
        <f t="shared" si="426"/>
        <v>0</v>
      </c>
      <c r="Q1364">
        <f t="shared" si="427"/>
        <v>0</v>
      </c>
      <c r="R1364">
        <f t="shared" si="428"/>
        <v>0</v>
      </c>
      <c r="S1364">
        <f t="shared" si="429"/>
        <v>0</v>
      </c>
      <c r="T1364" s="89">
        <f t="shared" si="430"/>
        <v>0</v>
      </c>
      <c r="U1364" s="126">
        <f>IF($D1364="",0,IFERROR(LOOKUP(2,1/(($D$3:D1363=$D1364)*($C$3:C1363=$C1364)*($A$3:A1363&lt;$A1364)),$AB$3:AB1363),1000))</f>
        <v>0</v>
      </c>
      <c r="V1364" s="126">
        <f t="shared" si="431"/>
        <v>0</v>
      </c>
      <c r="W1364">
        <f t="shared" si="432"/>
        <v>0</v>
      </c>
      <c r="X1364">
        <f t="shared" si="433"/>
        <v>0</v>
      </c>
      <c r="Y1364">
        <f t="shared" si="434"/>
        <v>0</v>
      </c>
      <c r="Z1364">
        <f t="shared" si="435"/>
        <v>0</v>
      </c>
      <c r="AA1364">
        <f>IF($D1364="",0,IF($F1364&lt;2,0,IF($E1364="Win",('Guide &amp; Settings'!$C$42/(($F1364-1)*COUNTIFS($A$4:$A$1510,$A1364,$E$4:$E$1510,"Win")))*SUMIFS($Z$4:$Z$1510,$A$4:$A$1510,$A1364,$E$4:$E$1510,"Loss"),-('Guide &amp; Settings'!$C$42/($F1364-1))*$Z1364)))</f>
        <v>0</v>
      </c>
      <c r="AB1364" s="126">
        <f t="shared" si="436"/>
        <v>0</v>
      </c>
      <c r="AC1364" t="str">
        <f>IF($D1364="","",IF($AD1364=0,0,IF(COUNTIFS($D$4:$D1364,$D1364,$B$4:$B1364,$B1364)&gt;1,0,IF($B1364&lt;'Guide &amp; Settings'!$C$50,0,IF(($B1364-$AD1364)/7-'Guide &amp; Settings'!$C$48&gt;=0,(INT(($B1364-$AD1364)/7-'Guide &amp; Settings'!$C$48)+1)*'Guide &amp; Settings'!$C$49,0)))))</f>
        <v/>
      </c>
      <c r="AD1364" s="142">
        <f t="shared" si="437"/>
        <v>0</v>
      </c>
      <c r="AE1364">
        <f t="shared" si="438"/>
        <v>0</v>
      </c>
      <c r="AF1364">
        <f t="shared" si="439"/>
        <v>0</v>
      </c>
    </row>
    <row r="1365" spans="1:32" x14ac:dyDescent="0.2">
      <c r="A1365" s="117"/>
      <c r="B1365" s="118"/>
      <c r="C1365" s="119"/>
      <c r="D1365" s="119"/>
      <c r="E1365" s="117"/>
      <c r="F1365" s="120">
        <f t="shared" si="420"/>
        <v>0</v>
      </c>
      <c r="G1365" s="121" t="str">
        <f t="shared" si="421"/>
        <v/>
      </c>
      <c r="H1365" s="122">
        <f>IF($D1365="",0,IFERROR(LOOKUP(2,1/(($D$3:D1364=$D1365)*($A$3:A1364&lt;$A1365)),$N$3:N1364),'Guide &amp; Settings'!$C$41))</f>
        <v>0</v>
      </c>
      <c r="I1365" s="123">
        <f t="shared" si="422"/>
        <v>0</v>
      </c>
      <c r="J1365" s="124">
        <f>IF($D1365="",0,IF($F1365&lt;2,0,IF($E1365="Win",('Guide &amp; Settings'!$C$42/(($F1365-1)*COUNTIFS($A$4:$A$1510,$A1365,$E$4:$E$1510,"Win")))*SUMIFS($X$4:$X$1510,$A$4:$A$1510,$A1365,$E$4:$E$1510,"Loss"),-('Guide &amp; Settings'!$C$42/($F1365-1))*$X1365)))</f>
        <v>0</v>
      </c>
      <c r="K1365" s="124">
        <f>IF($D1365="",0,'Guide &amp; Settings'!$C$43*(IF($E1365="Win",1,0)-$I1365))</f>
        <v>0</v>
      </c>
      <c r="L1365" s="125">
        <f>IF($D1365="",0,'Guide &amp; Settings'!$C$44*IF($F1365&gt;=3,$F1365,0))</f>
        <v>0</v>
      </c>
      <c r="M1365" s="124">
        <f t="shared" si="423"/>
        <v>0</v>
      </c>
      <c r="N1365" s="122">
        <f t="shared" si="424"/>
        <v>0</v>
      </c>
      <c r="O1365" s="121" t="str">
        <f t="shared" si="425"/>
        <v/>
      </c>
      <c r="P1365">
        <f t="shared" si="426"/>
        <v>0</v>
      </c>
      <c r="Q1365">
        <f t="shared" si="427"/>
        <v>0</v>
      </c>
      <c r="R1365">
        <f t="shared" si="428"/>
        <v>0</v>
      </c>
      <c r="S1365">
        <f t="shared" si="429"/>
        <v>0</v>
      </c>
      <c r="T1365" s="89">
        <f t="shared" si="430"/>
        <v>0</v>
      </c>
      <c r="U1365" s="126">
        <f>IF($D1365="",0,IFERROR(LOOKUP(2,1/(($D$3:D1364=$D1365)*($C$3:C1364=$C1365)*($A$3:A1364&lt;$A1365)),$AB$3:AB1364),1000))</f>
        <v>0</v>
      </c>
      <c r="V1365" s="126">
        <f t="shared" si="431"/>
        <v>0</v>
      </c>
      <c r="W1365">
        <f t="shared" si="432"/>
        <v>0</v>
      </c>
      <c r="X1365">
        <f t="shared" si="433"/>
        <v>0</v>
      </c>
      <c r="Y1365">
        <f t="shared" si="434"/>
        <v>0</v>
      </c>
      <c r="Z1365">
        <f t="shared" si="435"/>
        <v>0</v>
      </c>
      <c r="AA1365">
        <f>IF($D1365="",0,IF($F1365&lt;2,0,IF($E1365="Win",('Guide &amp; Settings'!$C$42/(($F1365-1)*COUNTIFS($A$4:$A$1510,$A1365,$E$4:$E$1510,"Win")))*SUMIFS($Z$4:$Z$1510,$A$4:$A$1510,$A1365,$E$4:$E$1510,"Loss"),-('Guide &amp; Settings'!$C$42/($F1365-1))*$Z1365)))</f>
        <v>0</v>
      </c>
      <c r="AB1365" s="126">
        <f t="shared" si="436"/>
        <v>0</v>
      </c>
      <c r="AC1365" t="str">
        <f>IF($D1365="","",IF($AD1365=0,0,IF(COUNTIFS($D$4:$D1365,$D1365,$B$4:$B1365,$B1365)&gt;1,0,IF($B1365&lt;'Guide &amp; Settings'!$C$50,0,IF(($B1365-$AD1365)/7-'Guide &amp; Settings'!$C$48&gt;=0,(INT(($B1365-$AD1365)/7-'Guide &amp; Settings'!$C$48)+1)*'Guide &amp; Settings'!$C$49,0)))))</f>
        <v/>
      </c>
      <c r="AD1365" s="142">
        <f t="shared" si="437"/>
        <v>0</v>
      </c>
      <c r="AE1365">
        <f t="shared" si="438"/>
        <v>0</v>
      </c>
      <c r="AF1365">
        <f t="shared" si="439"/>
        <v>0</v>
      </c>
    </row>
    <row r="1366" spans="1:32" x14ac:dyDescent="0.2">
      <c r="A1366" s="117"/>
      <c r="B1366" s="118"/>
      <c r="C1366" s="119"/>
      <c r="D1366" s="119"/>
      <c r="E1366" s="117"/>
      <c r="F1366" s="120">
        <f t="shared" si="420"/>
        <v>0</v>
      </c>
      <c r="G1366" s="121" t="str">
        <f t="shared" si="421"/>
        <v/>
      </c>
      <c r="H1366" s="122">
        <f>IF($D1366="",0,IFERROR(LOOKUP(2,1/(($D$3:D1365=$D1366)*($A$3:A1365&lt;$A1366)),$N$3:N1365),'Guide &amp; Settings'!$C$41))</f>
        <v>0</v>
      </c>
      <c r="I1366" s="123">
        <f t="shared" si="422"/>
        <v>0</v>
      </c>
      <c r="J1366" s="124">
        <f>IF($D1366="",0,IF($F1366&lt;2,0,IF($E1366="Win",('Guide &amp; Settings'!$C$42/(($F1366-1)*COUNTIFS($A$4:$A$1510,$A1366,$E$4:$E$1510,"Win")))*SUMIFS($X$4:$X$1510,$A$4:$A$1510,$A1366,$E$4:$E$1510,"Loss"),-('Guide &amp; Settings'!$C$42/($F1366-1))*$X1366)))</f>
        <v>0</v>
      </c>
      <c r="K1366" s="124">
        <f>IF($D1366="",0,'Guide &amp; Settings'!$C$43*(IF($E1366="Win",1,0)-$I1366))</f>
        <v>0</v>
      </c>
      <c r="L1366" s="125">
        <f>IF($D1366="",0,'Guide &amp; Settings'!$C$44*IF($F1366&gt;=3,$F1366,0))</f>
        <v>0</v>
      </c>
      <c r="M1366" s="124">
        <f t="shared" si="423"/>
        <v>0</v>
      </c>
      <c r="N1366" s="122">
        <f t="shared" si="424"/>
        <v>0</v>
      </c>
      <c r="O1366" s="121" t="str">
        <f t="shared" si="425"/>
        <v/>
      </c>
      <c r="P1366">
        <f t="shared" si="426"/>
        <v>0</v>
      </c>
      <c r="Q1366">
        <f t="shared" si="427"/>
        <v>0</v>
      </c>
      <c r="R1366">
        <f t="shared" si="428"/>
        <v>0</v>
      </c>
      <c r="S1366">
        <f t="shared" si="429"/>
        <v>0</v>
      </c>
      <c r="T1366" s="89">
        <f t="shared" si="430"/>
        <v>0</v>
      </c>
      <c r="U1366" s="126">
        <f>IF($D1366="",0,IFERROR(LOOKUP(2,1/(($D$3:D1365=$D1366)*($C$3:C1365=$C1366)*($A$3:A1365&lt;$A1366)),$AB$3:AB1365),1000))</f>
        <v>0</v>
      </c>
      <c r="V1366" s="126">
        <f t="shared" si="431"/>
        <v>0</v>
      </c>
      <c r="W1366">
        <f t="shared" si="432"/>
        <v>0</v>
      </c>
      <c r="X1366">
        <f t="shared" si="433"/>
        <v>0</v>
      </c>
      <c r="Y1366">
        <f t="shared" si="434"/>
        <v>0</v>
      </c>
      <c r="Z1366">
        <f t="shared" si="435"/>
        <v>0</v>
      </c>
      <c r="AA1366">
        <f>IF($D1366="",0,IF($F1366&lt;2,0,IF($E1366="Win",('Guide &amp; Settings'!$C$42/(($F1366-1)*COUNTIFS($A$4:$A$1510,$A1366,$E$4:$E$1510,"Win")))*SUMIFS($Z$4:$Z$1510,$A$4:$A$1510,$A1366,$E$4:$E$1510,"Loss"),-('Guide &amp; Settings'!$C$42/($F1366-1))*$Z1366)))</f>
        <v>0</v>
      </c>
      <c r="AB1366" s="126">
        <f t="shared" si="436"/>
        <v>0</v>
      </c>
      <c r="AC1366" t="str">
        <f>IF($D1366="","",IF($AD1366=0,0,IF(COUNTIFS($D$4:$D1366,$D1366,$B$4:$B1366,$B1366)&gt;1,0,IF($B1366&lt;'Guide &amp; Settings'!$C$50,0,IF(($B1366-$AD1366)/7-'Guide &amp; Settings'!$C$48&gt;=0,(INT(($B1366-$AD1366)/7-'Guide &amp; Settings'!$C$48)+1)*'Guide &amp; Settings'!$C$49,0)))))</f>
        <v/>
      </c>
      <c r="AD1366" s="142">
        <f t="shared" si="437"/>
        <v>0</v>
      </c>
      <c r="AE1366">
        <f t="shared" si="438"/>
        <v>0</v>
      </c>
      <c r="AF1366">
        <f t="shared" si="439"/>
        <v>0</v>
      </c>
    </row>
    <row r="1367" spans="1:32" x14ac:dyDescent="0.2">
      <c r="A1367" s="117"/>
      <c r="B1367" s="118"/>
      <c r="C1367" s="119"/>
      <c r="D1367" s="119"/>
      <c r="E1367" s="117"/>
      <c r="F1367" s="120">
        <f t="shared" si="420"/>
        <v>0</v>
      </c>
      <c r="G1367" s="121" t="str">
        <f t="shared" si="421"/>
        <v/>
      </c>
      <c r="H1367" s="122">
        <f>IF($D1367="",0,IFERROR(LOOKUP(2,1/(($D$3:D1366=$D1367)*($A$3:A1366&lt;$A1367)),$N$3:N1366),'Guide &amp; Settings'!$C$41))</f>
        <v>0</v>
      </c>
      <c r="I1367" s="123">
        <f t="shared" si="422"/>
        <v>0</v>
      </c>
      <c r="J1367" s="124">
        <f>IF($D1367="",0,IF($F1367&lt;2,0,IF($E1367="Win",('Guide &amp; Settings'!$C$42/(($F1367-1)*COUNTIFS($A$4:$A$1510,$A1367,$E$4:$E$1510,"Win")))*SUMIFS($X$4:$X$1510,$A$4:$A$1510,$A1367,$E$4:$E$1510,"Loss"),-('Guide &amp; Settings'!$C$42/($F1367-1))*$X1367)))</f>
        <v>0</v>
      </c>
      <c r="K1367" s="124">
        <f>IF($D1367="",0,'Guide &amp; Settings'!$C$43*(IF($E1367="Win",1,0)-$I1367))</f>
        <v>0</v>
      </c>
      <c r="L1367" s="125">
        <f>IF($D1367="",0,'Guide &amp; Settings'!$C$44*IF($F1367&gt;=3,$F1367,0))</f>
        <v>0</v>
      </c>
      <c r="M1367" s="124">
        <f t="shared" si="423"/>
        <v>0</v>
      </c>
      <c r="N1367" s="122">
        <f t="shared" si="424"/>
        <v>0</v>
      </c>
      <c r="O1367" s="121" t="str">
        <f t="shared" si="425"/>
        <v/>
      </c>
      <c r="P1367">
        <f t="shared" si="426"/>
        <v>0</v>
      </c>
      <c r="Q1367">
        <f t="shared" si="427"/>
        <v>0</v>
      </c>
      <c r="R1367">
        <f t="shared" si="428"/>
        <v>0</v>
      </c>
      <c r="S1367">
        <f t="shared" si="429"/>
        <v>0</v>
      </c>
      <c r="T1367" s="89">
        <f t="shared" si="430"/>
        <v>0</v>
      </c>
      <c r="U1367" s="126">
        <f>IF($D1367="",0,IFERROR(LOOKUP(2,1/(($D$3:D1366=$D1367)*($C$3:C1366=$C1367)*($A$3:A1366&lt;$A1367)),$AB$3:AB1366),1000))</f>
        <v>0</v>
      </c>
      <c r="V1367" s="126">
        <f t="shared" si="431"/>
        <v>0</v>
      </c>
      <c r="W1367">
        <f t="shared" si="432"/>
        <v>0</v>
      </c>
      <c r="X1367">
        <f t="shared" si="433"/>
        <v>0</v>
      </c>
      <c r="Y1367">
        <f t="shared" si="434"/>
        <v>0</v>
      </c>
      <c r="Z1367">
        <f t="shared" si="435"/>
        <v>0</v>
      </c>
      <c r="AA1367">
        <f>IF($D1367="",0,IF($F1367&lt;2,0,IF($E1367="Win",('Guide &amp; Settings'!$C$42/(($F1367-1)*COUNTIFS($A$4:$A$1510,$A1367,$E$4:$E$1510,"Win")))*SUMIFS($Z$4:$Z$1510,$A$4:$A$1510,$A1367,$E$4:$E$1510,"Loss"),-('Guide &amp; Settings'!$C$42/($F1367-1))*$Z1367)))</f>
        <v>0</v>
      </c>
      <c r="AB1367" s="126">
        <f t="shared" si="436"/>
        <v>0</v>
      </c>
      <c r="AC1367" t="str">
        <f>IF($D1367="","",IF($AD1367=0,0,IF(COUNTIFS($D$4:$D1367,$D1367,$B$4:$B1367,$B1367)&gt;1,0,IF($B1367&lt;'Guide &amp; Settings'!$C$50,0,IF(($B1367-$AD1367)/7-'Guide &amp; Settings'!$C$48&gt;=0,(INT(($B1367-$AD1367)/7-'Guide &amp; Settings'!$C$48)+1)*'Guide &amp; Settings'!$C$49,0)))))</f>
        <v/>
      </c>
      <c r="AD1367" s="142">
        <f t="shared" si="437"/>
        <v>0</v>
      </c>
      <c r="AE1367">
        <f t="shared" si="438"/>
        <v>0</v>
      </c>
      <c r="AF1367">
        <f t="shared" si="439"/>
        <v>0</v>
      </c>
    </row>
    <row r="1368" spans="1:32" x14ac:dyDescent="0.2">
      <c r="A1368" s="117"/>
      <c r="B1368" s="118"/>
      <c r="C1368" s="119"/>
      <c r="D1368" s="119"/>
      <c r="E1368" s="117"/>
      <c r="F1368" s="120">
        <f t="shared" si="420"/>
        <v>0</v>
      </c>
      <c r="G1368" s="121" t="str">
        <f t="shared" si="421"/>
        <v/>
      </c>
      <c r="H1368" s="122">
        <f>IF($D1368="",0,IFERROR(LOOKUP(2,1/(($D$3:D1367=$D1368)*($A$3:A1367&lt;$A1368)),$N$3:N1367),'Guide &amp; Settings'!$C$41))</f>
        <v>0</v>
      </c>
      <c r="I1368" s="123">
        <f t="shared" si="422"/>
        <v>0</v>
      </c>
      <c r="J1368" s="124">
        <f>IF($D1368="",0,IF($F1368&lt;2,0,IF($E1368="Win",('Guide &amp; Settings'!$C$42/(($F1368-1)*COUNTIFS($A$4:$A$1510,$A1368,$E$4:$E$1510,"Win")))*SUMIFS($X$4:$X$1510,$A$4:$A$1510,$A1368,$E$4:$E$1510,"Loss"),-('Guide &amp; Settings'!$C$42/($F1368-1))*$X1368)))</f>
        <v>0</v>
      </c>
      <c r="K1368" s="124">
        <f>IF($D1368="",0,'Guide &amp; Settings'!$C$43*(IF($E1368="Win",1,0)-$I1368))</f>
        <v>0</v>
      </c>
      <c r="L1368" s="125">
        <f>IF($D1368="",0,'Guide &amp; Settings'!$C$44*IF($F1368&gt;=3,$F1368,0))</f>
        <v>0</v>
      </c>
      <c r="M1368" s="124">
        <f t="shared" si="423"/>
        <v>0</v>
      </c>
      <c r="N1368" s="122">
        <f t="shared" si="424"/>
        <v>0</v>
      </c>
      <c r="O1368" s="121" t="str">
        <f t="shared" si="425"/>
        <v/>
      </c>
      <c r="P1368">
        <f t="shared" si="426"/>
        <v>0</v>
      </c>
      <c r="Q1368">
        <f t="shared" si="427"/>
        <v>0</v>
      </c>
      <c r="R1368">
        <f t="shared" si="428"/>
        <v>0</v>
      </c>
      <c r="S1368">
        <f t="shared" si="429"/>
        <v>0</v>
      </c>
      <c r="T1368" s="89">
        <f t="shared" si="430"/>
        <v>0</v>
      </c>
      <c r="U1368" s="126">
        <f>IF($D1368="",0,IFERROR(LOOKUP(2,1/(($D$3:D1367=$D1368)*($C$3:C1367=$C1368)*($A$3:A1367&lt;$A1368)),$AB$3:AB1367),1000))</f>
        <v>0</v>
      </c>
      <c r="V1368" s="126">
        <f t="shared" si="431"/>
        <v>0</v>
      </c>
      <c r="W1368">
        <f t="shared" si="432"/>
        <v>0</v>
      </c>
      <c r="X1368">
        <f t="shared" si="433"/>
        <v>0</v>
      </c>
      <c r="Y1368">
        <f t="shared" si="434"/>
        <v>0</v>
      </c>
      <c r="Z1368">
        <f t="shared" si="435"/>
        <v>0</v>
      </c>
      <c r="AA1368">
        <f>IF($D1368="",0,IF($F1368&lt;2,0,IF($E1368="Win",('Guide &amp; Settings'!$C$42/(($F1368-1)*COUNTIFS($A$4:$A$1510,$A1368,$E$4:$E$1510,"Win")))*SUMIFS($Z$4:$Z$1510,$A$4:$A$1510,$A1368,$E$4:$E$1510,"Loss"),-('Guide &amp; Settings'!$C$42/($F1368-1))*$Z1368)))</f>
        <v>0</v>
      </c>
      <c r="AB1368" s="126">
        <f t="shared" si="436"/>
        <v>0</v>
      </c>
      <c r="AC1368" t="str">
        <f>IF($D1368="","",IF($AD1368=0,0,IF(COUNTIFS($D$4:$D1368,$D1368,$B$4:$B1368,$B1368)&gt;1,0,IF($B1368&lt;'Guide &amp; Settings'!$C$50,0,IF(($B1368-$AD1368)/7-'Guide &amp; Settings'!$C$48&gt;=0,(INT(($B1368-$AD1368)/7-'Guide &amp; Settings'!$C$48)+1)*'Guide &amp; Settings'!$C$49,0)))))</f>
        <v/>
      </c>
      <c r="AD1368" s="142">
        <f t="shared" si="437"/>
        <v>0</v>
      </c>
      <c r="AE1368">
        <f t="shared" si="438"/>
        <v>0</v>
      </c>
      <c r="AF1368">
        <f t="shared" si="439"/>
        <v>0</v>
      </c>
    </row>
    <row r="1369" spans="1:32" x14ac:dyDescent="0.2">
      <c r="A1369" s="117"/>
      <c r="B1369" s="118"/>
      <c r="C1369" s="119"/>
      <c r="D1369" s="119"/>
      <c r="E1369" s="117"/>
      <c r="F1369" s="120">
        <f t="shared" si="420"/>
        <v>0</v>
      </c>
      <c r="G1369" s="121" t="str">
        <f t="shared" si="421"/>
        <v/>
      </c>
      <c r="H1369" s="122">
        <f>IF($D1369="",0,IFERROR(LOOKUP(2,1/(($D$3:D1368=$D1369)*($A$3:A1368&lt;$A1369)),$N$3:N1368),'Guide &amp; Settings'!$C$41))</f>
        <v>0</v>
      </c>
      <c r="I1369" s="123">
        <f t="shared" si="422"/>
        <v>0</v>
      </c>
      <c r="J1369" s="124">
        <f>IF($D1369="",0,IF($F1369&lt;2,0,IF($E1369="Win",('Guide &amp; Settings'!$C$42/(($F1369-1)*COUNTIFS($A$4:$A$1510,$A1369,$E$4:$E$1510,"Win")))*SUMIFS($X$4:$X$1510,$A$4:$A$1510,$A1369,$E$4:$E$1510,"Loss"),-('Guide &amp; Settings'!$C$42/($F1369-1))*$X1369)))</f>
        <v>0</v>
      </c>
      <c r="K1369" s="124">
        <f>IF($D1369="",0,'Guide &amp; Settings'!$C$43*(IF($E1369="Win",1,0)-$I1369))</f>
        <v>0</v>
      </c>
      <c r="L1369" s="125">
        <f>IF($D1369="",0,'Guide &amp; Settings'!$C$44*IF($F1369&gt;=3,$F1369,0))</f>
        <v>0</v>
      </c>
      <c r="M1369" s="124">
        <f t="shared" si="423"/>
        <v>0</v>
      </c>
      <c r="N1369" s="122">
        <f t="shared" si="424"/>
        <v>0</v>
      </c>
      <c r="O1369" s="121" t="str">
        <f t="shared" si="425"/>
        <v/>
      </c>
      <c r="P1369">
        <f t="shared" si="426"/>
        <v>0</v>
      </c>
      <c r="Q1369">
        <f t="shared" si="427"/>
        <v>0</v>
      </c>
      <c r="R1369">
        <f t="shared" si="428"/>
        <v>0</v>
      </c>
      <c r="S1369">
        <f t="shared" si="429"/>
        <v>0</v>
      </c>
      <c r="T1369" s="89">
        <f t="shared" si="430"/>
        <v>0</v>
      </c>
      <c r="U1369" s="126">
        <f>IF($D1369="",0,IFERROR(LOOKUP(2,1/(($D$3:D1368=$D1369)*($C$3:C1368=$C1369)*($A$3:A1368&lt;$A1369)),$AB$3:AB1368),1000))</f>
        <v>0</v>
      </c>
      <c r="V1369" s="126">
        <f t="shared" si="431"/>
        <v>0</v>
      </c>
      <c r="W1369">
        <f t="shared" si="432"/>
        <v>0</v>
      </c>
      <c r="X1369">
        <f t="shared" si="433"/>
        <v>0</v>
      </c>
      <c r="Y1369">
        <f t="shared" si="434"/>
        <v>0</v>
      </c>
      <c r="Z1369">
        <f t="shared" si="435"/>
        <v>0</v>
      </c>
      <c r="AA1369">
        <f>IF($D1369="",0,IF($F1369&lt;2,0,IF($E1369="Win",('Guide &amp; Settings'!$C$42/(($F1369-1)*COUNTIFS($A$4:$A$1510,$A1369,$E$4:$E$1510,"Win")))*SUMIFS($Z$4:$Z$1510,$A$4:$A$1510,$A1369,$E$4:$E$1510,"Loss"),-('Guide &amp; Settings'!$C$42/($F1369-1))*$Z1369)))</f>
        <v>0</v>
      </c>
      <c r="AB1369" s="126">
        <f t="shared" si="436"/>
        <v>0</v>
      </c>
      <c r="AC1369" t="str">
        <f>IF($D1369="","",IF($AD1369=0,0,IF(COUNTIFS($D$4:$D1369,$D1369,$B$4:$B1369,$B1369)&gt;1,0,IF($B1369&lt;'Guide &amp; Settings'!$C$50,0,IF(($B1369-$AD1369)/7-'Guide &amp; Settings'!$C$48&gt;=0,(INT(($B1369-$AD1369)/7-'Guide &amp; Settings'!$C$48)+1)*'Guide &amp; Settings'!$C$49,0)))))</f>
        <v/>
      </c>
      <c r="AD1369" s="142">
        <f t="shared" si="437"/>
        <v>0</v>
      </c>
      <c r="AE1369">
        <f t="shared" si="438"/>
        <v>0</v>
      </c>
      <c r="AF1369">
        <f t="shared" si="439"/>
        <v>0</v>
      </c>
    </row>
    <row r="1370" spans="1:32" x14ac:dyDescent="0.2">
      <c r="A1370" s="117"/>
      <c r="B1370" s="118"/>
      <c r="C1370" s="119"/>
      <c r="D1370" s="119"/>
      <c r="E1370" s="117"/>
      <c r="F1370" s="120">
        <f t="shared" si="420"/>
        <v>0</v>
      </c>
      <c r="G1370" s="121" t="str">
        <f t="shared" si="421"/>
        <v/>
      </c>
      <c r="H1370" s="122">
        <f>IF($D1370="",0,IFERROR(LOOKUP(2,1/(($D$3:D1369=$D1370)*($A$3:A1369&lt;$A1370)),$N$3:N1369),'Guide &amp; Settings'!$C$41))</f>
        <v>0</v>
      </c>
      <c r="I1370" s="123">
        <f t="shared" si="422"/>
        <v>0</v>
      </c>
      <c r="J1370" s="124">
        <f>IF($D1370="",0,IF($F1370&lt;2,0,IF($E1370="Win",('Guide &amp; Settings'!$C$42/(($F1370-1)*COUNTIFS($A$4:$A$1510,$A1370,$E$4:$E$1510,"Win")))*SUMIFS($X$4:$X$1510,$A$4:$A$1510,$A1370,$E$4:$E$1510,"Loss"),-('Guide &amp; Settings'!$C$42/($F1370-1))*$X1370)))</f>
        <v>0</v>
      </c>
      <c r="K1370" s="124">
        <f>IF($D1370="",0,'Guide &amp; Settings'!$C$43*(IF($E1370="Win",1,0)-$I1370))</f>
        <v>0</v>
      </c>
      <c r="L1370" s="125">
        <f>IF($D1370="",0,'Guide &amp; Settings'!$C$44*IF($F1370&gt;=3,$F1370,0))</f>
        <v>0</v>
      </c>
      <c r="M1370" s="124">
        <f t="shared" si="423"/>
        <v>0</v>
      </c>
      <c r="N1370" s="122">
        <f t="shared" si="424"/>
        <v>0</v>
      </c>
      <c r="O1370" s="121" t="str">
        <f t="shared" si="425"/>
        <v/>
      </c>
      <c r="P1370">
        <f t="shared" si="426"/>
        <v>0</v>
      </c>
      <c r="Q1370">
        <f t="shared" si="427"/>
        <v>0</v>
      </c>
      <c r="R1370">
        <f t="shared" si="428"/>
        <v>0</v>
      </c>
      <c r="S1370">
        <f t="shared" si="429"/>
        <v>0</v>
      </c>
      <c r="T1370" s="89">
        <f t="shared" si="430"/>
        <v>0</v>
      </c>
      <c r="U1370" s="126">
        <f>IF($D1370="",0,IFERROR(LOOKUP(2,1/(($D$3:D1369=$D1370)*($C$3:C1369=$C1370)*($A$3:A1369&lt;$A1370)),$AB$3:AB1369),1000))</f>
        <v>0</v>
      </c>
      <c r="V1370" s="126">
        <f t="shared" si="431"/>
        <v>0</v>
      </c>
      <c r="W1370">
        <f t="shared" si="432"/>
        <v>0</v>
      </c>
      <c r="X1370">
        <f t="shared" si="433"/>
        <v>0</v>
      </c>
      <c r="Y1370">
        <f t="shared" si="434"/>
        <v>0</v>
      </c>
      <c r="Z1370">
        <f t="shared" si="435"/>
        <v>0</v>
      </c>
      <c r="AA1370">
        <f>IF($D1370="",0,IF($F1370&lt;2,0,IF($E1370="Win",('Guide &amp; Settings'!$C$42/(($F1370-1)*COUNTIFS($A$4:$A$1510,$A1370,$E$4:$E$1510,"Win")))*SUMIFS($Z$4:$Z$1510,$A$4:$A$1510,$A1370,$E$4:$E$1510,"Loss"),-('Guide &amp; Settings'!$C$42/($F1370-1))*$Z1370)))</f>
        <v>0</v>
      </c>
      <c r="AB1370" s="126">
        <f t="shared" si="436"/>
        <v>0</v>
      </c>
      <c r="AC1370" t="str">
        <f>IF($D1370="","",IF($AD1370=0,0,IF(COUNTIFS($D$4:$D1370,$D1370,$B$4:$B1370,$B1370)&gt;1,0,IF($B1370&lt;'Guide &amp; Settings'!$C$50,0,IF(($B1370-$AD1370)/7-'Guide &amp; Settings'!$C$48&gt;=0,(INT(($B1370-$AD1370)/7-'Guide &amp; Settings'!$C$48)+1)*'Guide &amp; Settings'!$C$49,0)))))</f>
        <v/>
      </c>
      <c r="AD1370" s="142">
        <f t="shared" si="437"/>
        <v>0</v>
      </c>
      <c r="AE1370">
        <f t="shared" si="438"/>
        <v>0</v>
      </c>
      <c r="AF1370">
        <f t="shared" si="439"/>
        <v>0</v>
      </c>
    </row>
    <row r="1371" spans="1:32" x14ac:dyDescent="0.2">
      <c r="A1371" s="117"/>
      <c r="B1371" s="118"/>
      <c r="C1371" s="119"/>
      <c r="D1371" s="119"/>
      <c r="E1371" s="117"/>
      <c r="F1371" s="120">
        <f t="shared" si="420"/>
        <v>0</v>
      </c>
      <c r="G1371" s="121" t="str">
        <f t="shared" si="421"/>
        <v/>
      </c>
      <c r="H1371" s="122">
        <f>IF($D1371="",0,IFERROR(LOOKUP(2,1/(($D$3:D1370=$D1371)*($A$3:A1370&lt;$A1371)),$N$3:N1370),'Guide &amp; Settings'!$C$41))</f>
        <v>0</v>
      </c>
      <c r="I1371" s="123">
        <f t="shared" si="422"/>
        <v>0</v>
      </c>
      <c r="J1371" s="124">
        <f>IF($D1371="",0,IF($F1371&lt;2,0,IF($E1371="Win",('Guide &amp; Settings'!$C$42/(($F1371-1)*COUNTIFS($A$4:$A$1510,$A1371,$E$4:$E$1510,"Win")))*SUMIFS($X$4:$X$1510,$A$4:$A$1510,$A1371,$E$4:$E$1510,"Loss"),-('Guide &amp; Settings'!$C$42/($F1371-1))*$X1371)))</f>
        <v>0</v>
      </c>
      <c r="K1371" s="124">
        <f>IF($D1371="",0,'Guide &amp; Settings'!$C$43*(IF($E1371="Win",1,0)-$I1371))</f>
        <v>0</v>
      </c>
      <c r="L1371" s="125">
        <f>IF($D1371="",0,'Guide &amp; Settings'!$C$44*IF($F1371&gt;=3,$F1371,0))</f>
        <v>0</v>
      </c>
      <c r="M1371" s="124">
        <f t="shared" si="423"/>
        <v>0</v>
      </c>
      <c r="N1371" s="122">
        <f t="shared" si="424"/>
        <v>0</v>
      </c>
      <c r="O1371" s="121" t="str">
        <f t="shared" si="425"/>
        <v/>
      </c>
      <c r="P1371">
        <f t="shared" si="426"/>
        <v>0</v>
      </c>
      <c r="Q1371">
        <f t="shared" si="427"/>
        <v>0</v>
      </c>
      <c r="R1371">
        <f t="shared" si="428"/>
        <v>0</v>
      </c>
      <c r="S1371">
        <f t="shared" si="429"/>
        <v>0</v>
      </c>
      <c r="T1371" s="89">
        <f t="shared" si="430"/>
        <v>0</v>
      </c>
      <c r="U1371" s="126">
        <f>IF($D1371="",0,IFERROR(LOOKUP(2,1/(($D$3:D1370=$D1371)*($C$3:C1370=$C1371)*($A$3:A1370&lt;$A1371)),$AB$3:AB1370),1000))</f>
        <v>0</v>
      </c>
      <c r="V1371" s="126">
        <f t="shared" si="431"/>
        <v>0</v>
      </c>
      <c r="W1371">
        <f t="shared" si="432"/>
        <v>0</v>
      </c>
      <c r="X1371">
        <f t="shared" si="433"/>
        <v>0</v>
      </c>
      <c r="Y1371">
        <f t="shared" si="434"/>
        <v>0</v>
      </c>
      <c r="Z1371">
        <f t="shared" si="435"/>
        <v>0</v>
      </c>
      <c r="AA1371">
        <f>IF($D1371="",0,IF($F1371&lt;2,0,IF($E1371="Win",('Guide &amp; Settings'!$C$42/(($F1371-1)*COUNTIFS($A$4:$A$1510,$A1371,$E$4:$E$1510,"Win")))*SUMIFS($Z$4:$Z$1510,$A$4:$A$1510,$A1371,$E$4:$E$1510,"Loss"),-('Guide &amp; Settings'!$C$42/($F1371-1))*$Z1371)))</f>
        <v>0</v>
      </c>
      <c r="AB1371" s="126">
        <f t="shared" si="436"/>
        <v>0</v>
      </c>
      <c r="AC1371" t="str">
        <f>IF($D1371="","",IF($AD1371=0,0,IF(COUNTIFS($D$4:$D1371,$D1371,$B$4:$B1371,$B1371)&gt;1,0,IF($B1371&lt;'Guide &amp; Settings'!$C$50,0,IF(($B1371-$AD1371)/7-'Guide &amp; Settings'!$C$48&gt;=0,(INT(($B1371-$AD1371)/7-'Guide &amp; Settings'!$C$48)+1)*'Guide &amp; Settings'!$C$49,0)))))</f>
        <v/>
      </c>
      <c r="AD1371" s="142">
        <f t="shared" si="437"/>
        <v>0</v>
      </c>
      <c r="AE1371">
        <f t="shared" si="438"/>
        <v>0</v>
      </c>
      <c r="AF1371">
        <f t="shared" si="439"/>
        <v>0</v>
      </c>
    </row>
    <row r="1372" spans="1:32" x14ac:dyDescent="0.2">
      <c r="A1372" s="117"/>
      <c r="B1372" s="118"/>
      <c r="C1372" s="119"/>
      <c r="D1372" s="119"/>
      <c r="E1372" s="117"/>
      <c r="F1372" s="120">
        <f t="shared" si="420"/>
        <v>0</v>
      </c>
      <c r="G1372" s="121" t="str">
        <f t="shared" si="421"/>
        <v/>
      </c>
      <c r="H1372" s="122">
        <f>IF($D1372="",0,IFERROR(LOOKUP(2,1/(($D$3:D1371=$D1372)*($A$3:A1371&lt;$A1372)),$N$3:N1371),'Guide &amp; Settings'!$C$41))</f>
        <v>0</v>
      </c>
      <c r="I1372" s="123">
        <f t="shared" si="422"/>
        <v>0</v>
      </c>
      <c r="J1372" s="124">
        <f>IF($D1372="",0,IF($F1372&lt;2,0,IF($E1372="Win",('Guide &amp; Settings'!$C$42/(($F1372-1)*COUNTIFS($A$4:$A$1510,$A1372,$E$4:$E$1510,"Win")))*SUMIFS($X$4:$X$1510,$A$4:$A$1510,$A1372,$E$4:$E$1510,"Loss"),-('Guide &amp; Settings'!$C$42/($F1372-1))*$X1372)))</f>
        <v>0</v>
      </c>
      <c r="K1372" s="124">
        <f>IF($D1372="",0,'Guide &amp; Settings'!$C$43*(IF($E1372="Win",1,0)-$I1372))</f>
        <v>0</v>
      </c>
      <c r="L1372" s="125">
        <f>IF($D1372="",0,'Guide &amp; Settings'!$C$44*IF($F1372&gt;=3,$F1372,0))</f>
        <v>0</v>
      </c>
      <c r="M1372" s="124">
        <f t="shared" si="423"/>
        <v>0</v>
      </c>
      <c r="N1372" s="122">
        <f t="shared" si="424"/>
        <v>0</v>
      </c>
      <c r="O1372" s="121" t="str">
        <f t="shared" si="425"/>
        <v/>
      </c>
      <c r="P1372">
        <f t="shared" si="426"/>
        <v>0</v>
      </c>
      <c r="Q1372">
        <f t="shared" si="427"/>
        <v>0</v>
      </c>
      <c r="R1372">
        <f t="shared" si="428"/>
        <v>0</v>
      </c>
      <c r="S1372">
        <f t="shared" si="429"/>
        <v>0</v>
      </c>
      <c r="T1372" s="89">
        <f t="shared" si="430"/>
        <v>0</v>
      </c>
      <c r="U1372" s="126">
        <f>IF($D1372="",0,IFERROR(LOOKUP(2,1/(($D$3:D1371=$D1372)*($C$3:C1371=$C1372)*($A$3:A1371&lt;$A1372)),$AB$3:AB1371),1000))</f>
        <v>0</v>
      </c>
      <c r="V1372" s="126">
        <f t="shared" si="431"/>
        <v>0</v>
      </c>
      <c r="W1372">
        <f t="shared" si="432"/>
        <v>0</v>
      </c>
      <c r="X1372">
        <f t="shared" si="433"/>
        <v>0</v>
      </c>
      <c r="Y1372">
        <f t="shared" si="434"/>
        <v>0</v>
      </c>
      <c r="Z1372">
        <f t="shared" si="435"/>
        <v>0</v>
      </c>
      <c r="AA1372">
        <f>IF($D1372="",0,IF($F1372&lt;2,0,IF($E1372="Win",('Guide &amp; Settings'!$C$42/(($F1372-1)*COUNTIFS($A$4:$A$1510,$A1372,$E$4:$E$1510,"Win")))*SUMIFS($Z$4:$Z$1510,$A$4:$A$1510,$A1372,$E$4:$E$1510,"Loss"),-('Guide &amp; Settings'!$C$42/($F1372-1))*$Z1372)))</f>
        <v>0</v>
      </c>
      <c r="AB1372" s="126">
        <f t="shared" si="436"/>
        <v>0</v>
      </c>
      <c r="AC1372" t="str">
        <f>IF($D1372="","",IF($AD1372=0,0,IF(COUNTIFS($D$4:$D1372,$D1372,$B$4:$B1372,$B1372)&gt;1,0,IF($B1372&lt;'Guide &amp; Settings'!$C$50,0,IF(($B1372-$AD1372)/7-'Guide &amp; Settings'!$C$48&gt;=0,(INT(($B1372-$AD1372)/7-'Guide &amp; Settings'!$C$48)+1)*'Guide &amp; Settings'!$C$49,0)))))</f>
        <v/>
      </c>
      <c r="AD1372" s="142">
        <f t="shared" si="437"/>
        <v>0</v>
      </c>
      <c r="AE1372">
        <f t="shared" si="438"/>
        <v>0</v>
      </c>
      <c r="AF1372">
        <f t="shared" si="439"/>
        <v>0</v>
      </c>
    </row>
    <row r="1373" spans="1:32" x14ac:dyDescent="0.2">
      <c r="A1373" s="117"/>
      <c r="B1373" s="118"/>
      <c r="C1373" s="119"/>
      <c r="D1373" s="119"/>
      <c r="E1373" s="117"/>
      <c r="F1373" s="120">
        <f t="shared" si="420"/>
        <v>0</v>
      </c>
      <c r="G1373" s="121" t="str">
        <f t="shared" si="421"/>
        <v/>
      </c>
      <c r="H1373" s="122">
        <f>IF($D1373="",0,IFERROR(LOOKUP(2,1/(($D$3:D1372=$D1373)*($A$3:A1372&lt;$A1373)),$N$3:N1372),'Guide &amp; Settings'!$C$41))</f>
        <v>0</v>
      </c>
      <c r="I1373" s="123">
        <f t="shared" si="422"/>
        <v>0</v>
      </c>
      <c r="J1373" s="124">
        <f>IF($D1373="",0,IF($F1373&lt;2,0,IF($E1373="Win",('Guide &amp; Settings'!$C$42/(($F1373-1)*COUNTIFS($A$4:$A$1510,$A1373,$E$4:$E$1510,"Win")))*SUMIFS($X$4:$X$1510,$A$4:$A$1510,$A1373,$E$4:$E$1510,"Loss"),-('Guide &amp; Settings'!$C$42/($F1373-1))*$X1373)))</f>
        <v>0</v>
      </c>
      <c r="K1373" s="124">
        <f>IF($D1373="",0,'Guide &amp; Settings'!$C$43*(IF($E1373="Win",1,0)-$I1373))</f>
        <v>0</v>
      </c>
      <c r="L1373" s="125">
        <f>IF($D1373="",0,'Guide &amp; Settings'!$C$44*IF($F1373&gt;=3,$F1373,0))</f>
        <v>0</v>
      </c>
      <c r="M1373" s="124">
        <f t="shared" si="423"/>
        <v>0</v>
      </c>
      <c r="N1373" s="122">
        <f t="shared" si="424"/>
        <v>0</v>
      </c>
      <c r="O1373" s="121" t="str">
        <f t="shared" si="425"/>
        <v/>
      </c>
      <c r="P1373">
        <f t="shared" si="426"/>
        <v>0</v>
      </c>
      <c r="Q1373">
        <f t="shared" si="427"/>
        <v>0</v>
      </c>
      <c r="R1373">
        <f t="shared" si="428"/>
        <v>0</v>
      </c>
      <c r="S1373">
        <f t="shared" si="429"/>
        <v>0</v>
      </c>
      <c r="T1373" s="89">
        <f t="shared" si="430"/>
        <v>0</v>
      </c>
      <c r="U1373" s="126">
        <f>IF($D1373="",0,IFERROR(LOOKUP(2,1/(($D$3:D1372=$D1373)*($C$3:C1372=$C1373)*($A$3:A1372&lt;$A1373)),$AB$3:AB1372),1000))</f>
        <v>0</v>
      </c>
      <c r="V1373" s="126">
        <f t="shared" si="431"/>
        <v>0</v>
      </c>
      <c r="W1373">
        <f t="shared" si="432"/>
        <v>0</v>
      </c>
      <c r="X1373">
        <f t="shared" si="433"/>
        <v>0</v>
      </c>
      <c r="Y1373">
        <f t="shared" si="434"/>
        <v>0</v>
      </c>
      <c r="Z1373">
        <f t="shared" si="435"/>
        <v>0</v>
      </c>
      <c r="AA1373">
        <f>IF($D1373="",0,IF($F1373&lt;2,0,IF($E1373="Win",('Guide &amp; Settings'!$C$42/(($F1373-1)*COUNTIFS($A$4:$A$1510,$A1373,$E$4:$E$1510,"Win")))*SUMIFS($Z$4:$Z$1510,$A$4:$A$1510,$A1373,$E$4:$E$1510,"Loss"),-('Guide &amp; Settings'!$C$42/($F1373-1))*$Z1373)))</f>
        <v>0</v>
      </c>
      <c r="AB1373" s="126">
        <f t="shared" si="436"/>
        <v>0</v>
      </c>
      <c r="AC1373" t="str">
        <f>IF($D1373="","",IF($AD1373=0,0,IF(COUNTIFS($D$4:$D1373,$D1373,$B$4:$B1373,$B1373)&gt;1,0,IF($B1373&lt;'Guide &amp; Settings'!$C$50,0,IF(($B1373-$AD1373)/7-'Guide &amp; Settings'!$C$48&gt;=0,(INT(($B1373-$AD1373)/7-'Guide &amp; Settings'!$C$48)+1)*'Guide &amp; Settings'!$C$49,0)))))</f>
        <v/>
      </c>
      <c r="AD1373" s="142">
        <f t="shared" si="437"/>
        <v>0</v>
      </c>
      <c r="AE1373">
        <f t="shared" si="438"/>
        <v>0</v>
      </c>
      <c r="AF1373">
        <f t="shared" si="439"/>
        <v>0</v>
      </c>
    </row>
    <row r="1374" spans="1:32" x14ac:dyDescent="0.2">
      <c r="A1374" s="117"/>
      <c r="B1374" s="118"/>
      <c r="C1374" s="119"/>
      <c r="D1374" s="119"/>
      <c r="E1374" s="117"/>
      <c r="F1374" s="120">
        <f t="shared" si="420"/>
        <v>0</v>
      </c>
      <c r="G1374" s="121" t="str">
        <f t="shared" si="421"/>
        <v/>
      </c>
      <c r="H1374" s="122">
        <f>IF($D1374="",0,IFERROR(LOOKUP(2,1/(($D$3:D1373=$D1374)*($A$3:A1373&lt;$A1374)),$N$3:N1373),'Guide &amp; Settings'!$C$41))</f>
        <v>0</v>
      </c>
      <c r="I1374" s="123">
        <f t="shared" si="422"/>
        <v>0</v>
      </c>
      <c r="J1374" s="124">
        <f>IF($D1374="",0,IF($F1374&lt;2,0,IF($E1374="Win",('Guide &amp; Settings'!$C$42/(($F1374-1)*COUNTIFS($A$4:$A$1510,$A1374,$E$4:$E$1510,"Win")))*SUMIFS($X$4:$X$1510,$A$4:$A$1510,$A1374,$E$4:$E$1510,"Loss"),-('Guide &amp; Settings'!$C$42/($F1374-1))*$X1374)))</f>
        <v>0</v>
      </c>
      <c r="K1374" s="124">
        <f>IF($D1374="",0,'Guide &amp; Settings'!$C$43*(IF($E1374="Win",1,0)-$I1374))</f>
        <v>0</v>
      </c>
      <c r="L1374" s="125">
        <f>IF($D1374="",0,'Guide &amp; Settings'!$C$44*IF($F1374&gt;=3,$F1374,0))</f>
        <v>0</v>
      </c>
      <c r="M1374" s="124">
        <f t="shared" si="423"/>
        <v>0</v>
      </c>
      <c r="N1374" s="122">
        <f t="shared" si="424"/>
        <v>0</v>
      </c>
      <c r="O1374" s="121" t="str">
        <f t="shared" si="425"/>
        <v/>
      </c>
      <c r="P1374">
        <f t="shared" si="426"/>
        <v>0</v>
      </c>
      <c r="Q1374">
        <f t="shared" si="427"/>
        <v>0</v>
      </c>
      <c r="R1374">
        <f t="shared" si="428"/>
        <v>0</v>
      </c>
      <c r="S1374">
        <f t="shared" si="429"/>
        <v>0</v>
      </c>
      <c r="T1374" s="89">
        <f t="shared" si="430"/>
        <v>0</v>
      </c>
      <c r="U1374" s="126">
        <f>IF($D1374="",0,IFERROR(LOOKUP(2,1/(($D$3:D1373=$D1374)*($C$3:C1373=$C1374)*($A$3:A1373&lt;$A1374)),$AB$3:AB1373),1000))</f>
        <v>0</v>
      </c>
      <c r="V1374" s="126">
        <f t="shared" si="431"/>
        <v>0</v>
      </c>
      <c r="W1374">
        <f t="shared" si="432"/>
        <v>0</v>
      </c>
      <c r="X1374">
        <f t="shared" si="433"/>
        <v>0</v>
      </c>
      <c r="Y1374">
        <f t="shared" si="434"/>
        <v>0</v>
      </c>
      <c r="Z1374">
        <f t="shared" si="435"/>
        <v>0</v>
      </c>
      <c r="AA1374">
        <f>IF($D1374="",0,IF($F1374&lt;2,0,IF($E1374="Win",('Guide &amp; Settings'!$C$42/(($F1374-1)*COUNTIFS($A$4:$A$1510,$A1374,$E$4:$E$1510,"Win")))*SUMIFS($Z$4:$Z$1510,$A$4:$A$1510,$A1374,$E$4:$E$1510,"Loss"),-('Guide &amp; Settings'!$C$42/($F1374-1))*$Z1374)))</f>
        <v>0</v>
      </c>
      <c r="AB1374" s="126">
        <f t="shared" si="436"/>
        <v>0</v>
      </c>
      <c r="AC1374" t="str">
        <f>IF($D1374="","",IF($AD1374=0,0,IF(COUNTIFS($D$4:$D1374,$D1374,$B$4:$B1374,$B1374)&gt;1,0,IF($B1374&lt;'Guide &amp; Settings'!$C$50,0,IF(($B1374-$AD1374)/7-'Guide &amp; Settings'!$C$48&gt;=0,(INT(($B1374-$AD1374)/7-'Guide &amp; Settings'!$C$48)+1)*'Guide &amp; Settings'!$C$49,0)))))</f>
        <v/>
      </c>
      <c r="AD1374" s="142">
        <f t="shared" si="437"/>
        <v>0</v>
      </c>
      <c r="AE1374">
        <f t="shared" si="438"/>
        <v>0</v>
      </c>
      <c r="AF1374">
        <f t="shared" si="439"/>
        <v>0</v>
      </c>
    </row>
    <row r="1375" spans="1:32" x14ac:dyDescent="0.2">
      <c r="A1375" s="117"/>
      <c r="B1375" s="118"/>
      <c r="C1375" s="119"/>
      <c r="D1375" s="119"/>
      <c r="E1375" s="117"/>
      <c r="F1375" s="120">
        <f t="shared" si="420"/>
        <v>0</v>
      </c>
      <c r="G1375" s="121" t="str">
        <f t="shared" si="421"/>
        <v/>
      </c>
      <c r="H1375" s="122">
        <f>IF($D1375="",0,IFERROR(LOOKUP(2,1/(($D$3:D1374=$D1375)*($A$3:A1374&lt;$A1375)),$N$3:N1374),'Guide &amp; Settings'!$C$41))</f>
        <v>0</v>
      </c>
      <c r="I1375" s="123">
        <f t="shared" si="422"/>
        <v>0</v>
      </c>
      <c r="J1375" s="124">
        <f>IF($D1375="",0,IF($F1375&lt;2,0,IF($E1375="Win",('Guide &amp; Settings'!$C$42/(($F1375-1)*COUNTIFS($A$4:$A$1510,$A1375,$E$4:$E$1510,"Win")))*SUMIFS($X$4:$X$1510,$A$4:$A$1510,$A1375,$E$4:$E$1510,"Loss"),-('Guide &amp; Settings'!$C$42/($F1375-1))*$X1375)))</f>
        <v>0</v>
      </c>
      <c r="K1375" s="124">
        <f>IF($D1375="",0,'Guide &amp; Settings'!$C$43*(IF($E1375="Win",1,0)-$I1375))</f>
        <v>0</v>
      </c>
      <c r="L1375" s="125">
        <f>IF($D1375="",0,'Guide &amp; Settings'!$C$44*IF($F1375&gt;=3,$F1375,0))</f>
        <v>0</v>
      </c>
      <c r="M1375" s="124">
        <f t="shared" si="423"/>
        <v>0</v>
      </c>
      <c r="N1375" s="122">
        <f t="shared" si="424"/>
        <v>0</v>
      </c>
      <c r="O1375" s="121" t="str">
        <f t="shared" si="425"/>
        <v/>
      </c>
      <c r="P1375">
        <f t="shared" si="426"/>
        <v>0</v>
      </c>
      <c r="Q1375">
        <f t="shared" si="427"/>
        <v>0</v>
      </c>
      <c r="R1375">
        <f t="shared" si="428"/>
        <v>0</v>
      </c>
      <c r="S1375">
        <f t="shared" si="429"/>
        <v>0</v>
      </c>
      <c r="T1375" s="89">
        <f t="shared" si="430"/>
        <v>0</v>
      </c>
      <c r="U1375" s="126">
        <f>IF($D1375="",0,IFERROR(LOOKUP(2,1/(($D$3:D1374=$D1375)*($C$3:C1374=$C1375)*($A$3:A1374&lt;$A1375)),$AB$3:AB1374),1000))</f>
        <v>0</v>
      </c>
      <c r="V1375" s="126">
        <f t="shared" si="431"/>
        <v>0</v>
      </c>
      <c r="W1375">
        <f t="shared" si="432"/>
        <v>0</v>
      </c>
      <c r="X1375">
        <f t="shared" si="433"/>
        <v>0</v>
      </c>
      <c r="Y1375">
        <f t="shared" si="434"/>
        <v>0</v>
      </c>
      <c r="Z1375">
        <f t="shared" si="435"/>
        <v>0</v>
      </c>
      <c r="AA1375">
        <f>IF($D1375="",0,IF($F1375&lt;2,0,IF($E1375="Win",('Guide &amp; Settings'!$C$42/(($F1375-1)*COUNTIFS($A$4:$A$1510,$A1375,$E$4:$E$1510,"Win")))*SUMIFS($Z$4:$Z$1510,$A$4:$A$1510,$A1375,$E$4:$E$1510,"Loss"),-('Guide &amp; Settings'!$C$42/($F1375-1))*$Z1375)))</f>
        <v>0</v>
      </c>
      <c r="AB1375" s="126">
        <f t="shared" si="436"/>
        <v>0</v>
      </c>
      <c r="AC1375" t="str">
        <f>IF($D1375="","",IF($AD1375=0,0,IF(COUNTIFS($D$4:$D1375,$D1375,$B$4:$B1375,$B1375)&gt;1,0,IF($B1375&lt;'Guide &amp; Settings'!$C$50,0,IF(($B1375-$AD1375)/7-'Guide &amp; Settings'!$C$48&gt;=0,(INT(($B1375-$AD1375)/7-'Guide &amp; Settings'!$C$48)+1)*'Guide &amp; Settings'!$C$49,0)))))</f>
        <v/>
      </c>
      <c r="AD1375" s="142">
        <f t="shared" si="437"/>
        <v>0</v>
      </c>
      <c r="AE1375">
        <f t="shared" si="438"/>
        <v>0</v>
      </c>
      <c r="AF1375">
        <f t="shared" si="439"/>
        <v>0</v>
      </c>
    </row>
    <row r="1376" spans="1:32" x14ac:dyDescent="0.2">
      <c r="A1376" s="117"/>
      <c r="B1376" s="118"/>
      <c r="C1376" s="119"/>
      <c r="D1376" s="119"/>
      <c r="E1376" s="117"/>
      <c r="F1376" s="120">
        <f t="shared" si="420"/>
        <v>0</v>
      </c>
      <c r="G1376" s="121" t="str">
        <f t="shared" si="421"/>
        <v/>
      </c>
      <c r="H1376" s="122">
        <f>IF($D1376="",0,IFERROR(LOOKUP(2,1/(($D$3:D1375=$D1376)*($A$3:A1375&lt;$A1376)),$N$3:N1375),'Guide &amp; Settings'!$C$41))</f>
        <v>0</v>
      </c>
      <c r="I1376" s="123">
        <f t="shared" si="422"/>
        <v>0</v>
      </c>
      <c r="J1376" s="124">
        <f>IF($D1376="",0,IF($F1376&lt;2,0,IF($E1376="Win",('Guide &amp; Settings'!$C$42/(($F1376-1)*COUNTIFS($A$4:$A$1510,$A1376,$E$4:$E$1510,"Win")))*SUMIFS($X$4:$X$1510,$A$4:$A$1510,$A1376,$E$4:$E$1510,"Loss"),-('Guide &amp; Settings'!$C$42/($F1376-1))*$X1376)))</f>
        <v>0</v>
      </c>
      <c r="K1376" s="124">
        <f>IF($D1376="",0,'Guide &amp; Settings'!$C$43*(IF($E1376="Win",1,0)-$I1376))</f>
        <v>0</v>
      </c>
      <c r="L1376" s="125">
        <f>IF($D1376="",0,'Guide &amp; Settings'!$C$44*IF($F1376&gt;=3,$F1376,0))</f>
        <v>0</v>
      </c>
      <c r="M1376" s="124">
        <f t="shared" si="423"/>
        <v>0</v>
      </c>
      <c r="N1376" s="122">
        <f t="shared" si="424"/>
        <v>0</v>
      </c>
      <c r="O1376" s="121" t="str">
        <f t="shared" si="425"/>
        <v/>
      </c>
      <c r="P1376">
        <f t="shared" si="426"/>
        <v>0</v>
      </c>
      <c r="Q1376">
        <f t="shared" si="427"/>
        <v>0</v>
      </c>
      <c r="R1376">
        <f t="shared" si="428"/>
        <v>0</v>
      </c>
      <c r="S1376">
        <f t="shared" si="429"/>
        <v>0</v>
      </c>
      <c r="T1376" s="89">
        <f t="shared" si="430"/>
        <v>0</v>
      </c>
      <c r="U1376" s="126">
        <f>IF($D1376="",0,IFERROR(LOOKUP(2,1/(($D$3:D1375=$D1376)*($C$3:C1375=$C1376)*($A$3:A1375&lt;$A1376)),$AB$3:AB1375),1000))</f>
        <v>0</v>
      </c>
      <c r="V1376" s="126">
        <f t="shared" si="431"/>
        <v>0</v>
      </c>
      <c r="W1376">
        <f t="shared" si="432"/>
        <v>0</v>
      </c>
      <c r="X1376">
        <f t="shared" si="433"/>
        <v>0</v>
      </c>
      <c r="Y1376">
        <f t="shared" si="434"/>
        <v>0</v>
      </c>
      <c r="Z1376">
        <f t="shared" si="435"/>
        <v>0</v>
      </c>
      <c r="AA1376">
        <f>IF($D1376="",0,IF($F1376&lt;2,0,IF($E1376="Win",('Guide &amp; Settings'!$C$42/(($F1376-1)*COUNTIFS($A$4:$A$1510,$A1376,$E$4:$E$1510,"Win")))*SUMIFS($Z$4:$Z$1510,$A$4:$A$1510,$A1376,$E$4:$E$1510,"Loss"),-('Guide &amp; Settings'!$C$42/($F1376-1))*$Z1376)))</f>
        <v>0</v>
      </c>
      <c r="AB1376" s="126">
        <f t="shared" si="436"/>
        <v>0</v>
      </c>
      <c r="AC1376" t="str">
        <f>IF($D1376="","",IF($AD1376=0,0,IF(COUNTIFS($D$4:$D1376,$D1376,$B$4:$B1376,$B1376)&gt;1,0,IF($B1376&lt;'Guide &amp; Settings'!$C$50,0,IF(($B1376-$AD1376)/7-'Guide &amp; Settings'!$C$48&gt;=0,(INT(($B1376-$AD1376)/7-'Guide &amp; Settings'!$C$48)+1)*'Guide &amp; Settings'!$C$49,0)))))</f>
        <v/>
      </c>
      <c r="AD1376" s="142">
        <f t="shared" si="437"/>
        <v>0</v>
      </c>
      <c r="AE1376">
        <f t="shared" si="438"/>
        <v>0</v>
      </c>
      <c r="AF1376">
        <f t="shared" si="439"/>
        <v>0</v>
      </c>
    </row>
    <row r="1377" spans="1:32" x14ac:dyDescent="0.2">
      <c r="A1377" s="117"/>
      <c r="B1377" s="118"/>
      <c r="C1377" s="119"/>
      <c r="D1377" s="119"/>
      <c r="E1377" s="117"/>
      <c r="F1377" s="120">
        <f t="shared" si="420"/>
        <v>0</v>
      </c>
      <c r="G1377" s="121" t="str">
        <f t="shared" si="421"/>
        <v/>
      </c>
      <c r="H1377" s="122">
        <f>IF($D1377="",0,IFERROR(LOOKUP(2,1/(($D$3:D1376=$D1377)*($A$3:A1376&lt;$A1377)),$N$3:N1376),'Guide &amp; Settings'!$C$41))</f>
        <v>0</v>
      </c>
      <c r="I1377" s="123">
        <f t="shared" si="422"/>
        <v>0</v>
      </c>
      <c r="J1377" s="124">
        <f>IF($D1377="",0,IF($F1377&lt;2,0,IF($E1377="Win",('Guide &amp; Settings'!$C$42/(($F1377-1)*COUNTIFS($A$4:$A$1510,$A1377,$E$4:$E$1510,"Win")))*SUMIFS($X$4:$X$1510,$A$4:$A$1510,$A1377,$E$4:$E$1510,"Loss"),-('Guide &amp; Settings'!$C$42/($F1377-1))*$X1377)))</f>
        <v>0</v>
      </c>
      <c r="K1377" s="124">
        <f>IF($D1377="",0,'Guide &amp; Settings'!$C$43*(IF($E1377="Win",1,0)-$I1377))</f>
        <v>0</v>
      </c>
      <c r="L1377" s="125">
        <f>IF($D1377="",0,'Guide &amp; Settings'!$C$44*IF($F1377&gt;=3,$F1377,0))</f>
        <v>0</v>
      </c>
      <c r="M1377" s="124">
        <f t="shared" si="423"/>
        <v>0</v>
      </c>
      <c r="N1377" s="122">
        <f t="shared" si="424"/>
        <v>0</v>
      </c>
      <c r="O1377" s="121" t="str">
        <f t="shared" si="425"/>
        <v/>
      </c>
      <c r="P1377">
        <f t="shared" si="426"/>
        <v>0</v>
      </c>
      <c r="Q1377">
        <f t="shared" si="427"/>
        <v>0</v>
      </c>
      <c r="R1377">
        <f t="shared" si="428"/>
        <v>0</v>
      </c>
      <c r="S1377">
        <f t="shared" si="429"/>
        <v>0</v>
      </c>
      <c r="T1377" s="89">
        <f t="shared" si="430"/>
        <v>0</v>
      </c>
      <c r="U1377" s="126">
        <f>IF($D1377="",0,IFERROR(LOOKUP(2,1/(($D$3:D1376=$D1377)*($C$3:C1376=$C1377)*($A$3:A1376&lt;$A1377)),$AB$3:AB1376),1000))</f>
        <v>0</v>
      </c>
      <c r="V1377" s="126">
        <f t="shared" si="431"/>
        <v>0</v>
      </c>
      <c r="W1377">
        <f t="shared" si="432"/>
        <v>0</v>
      </c>
      <c r="X1377">
        <f t="shared" si="433"/>
        <v>0</v>
      </c>
      <c r="Y1377">
        <f t="shared" si="434"/>
        <v>0</v>
      </c>
      <c r="Z1377">
        <f t="shared" si="435"/>
        <v>0</v>
      </c>
      <c r="AA1377">
        <f>IF($D1377="",0,IF($F1377&lt;2,0,IF($E1377="Win",('Guide &amp; Settings'!$C$42/(($F1377-1)*COUNTIFS($A$4:$A$1510,$A1377,$E$4:$E$1510,"Win")))*SUMIFS($Z$4:$Z$1510,$A$4:$A$1510,$A1377,$E$4:$E$1510,"Loss"),-('Guide &amp; Settings'!$C$42/($F1377-1))*$Z1377)))</f>
        <v>0</v>
      </c>
      <c r="AB1377" s="126">
        <f t="shared" si="436"/>
        <v>0</v>
      </c>
      <c r="AC1377" t="str">
        <f>IF($D1377="","",IF($AD1377=0,0,IF(COUNTIFS($D$4:$D1377,$D1377,$B$4:$B1377,$B1377)&gt;1,0,IF($B1377&lt;'Guide &amp; Settings'!$C$50,0,IF(($B1377-$AD1377)/7-'Guide &amp; Settings'!$C$48&gt;=0,(INT(($B1377-$AD1377)/7-'Guide &amp; Settings'!$C$48)+1)*'Guide &amp; Settings'!$C$49,0)))))</f>
        <v/>
      </c>
      <c r="AD1377" s="142">
        <f t="shared" si="437"/>
        <v>0</v>
      </c>
      <c r="AE1377">
        <f t="shared" si="438"/>
        <v>0</v>
      </c>
      <c r="AF1377">
        <f t="shared" si="439"/>
        <v>0</v>
      </c>
    </row>
    <row r="1378" spans="1:32" x14ac:dyDescent="0.2">
      <c r="A1378" s="117"/>
      <c r="B1378" s="118"/>
      <c r="C1378" s="119"/>
      <c r="D1378" s="119"/>
      <c r="E1378" s="117"/>
      <c r="F1378" s="120">
        <f t="shared" si="420"/>
        <v>0</v>
      </c>
      <c r="G1378" s="121" t="str">
        <f t="shared" si="421"/>
        <v/>
      </c>
      <c r="H1378" s="122">
        <f>IF($D1378="",0,IFERROR(LOOKUP(2,1/(($D$3:D1377=$D1378)*($A$3:A1377&lt;$A1378)),$N$3:N1377),'Guide &amp; Settings'!$C$41))</f>
        <v>0</v>
      </c>
      <c r="I1378" s="123">
        <f t="shared" si="422"/>
        <v>0</v>
      </c>
      <c r="J1378" s="124">
        <f>IF($D1378="",0,IF($F1378&lt;2,0,IF($E1378="Win",('Guide &amp; Settings'!$C$42/(($F1378-1)*COUNTIFS($A$4:$A$1510,$A1378,$E$4:$E$1510,"Win")))*SUMIFS($X$4:$X$1510,$A$4:$A$1510,$A1378,$E$4:$E$1510,"Loss"),-('Guide &amp; Settings'!$C$42/($F1378-1))*$X1378)))</f>
        <v>0</v>
      </c>
      <c r="K1378" s="124">
        <f>IF($D1378="",0,'Guide &amp; Settings'!$C$43*(IF($E1378="Win",1,0)-$I1378))</f>
        <v>0</v>
      </c>
      <c r="L1378" s="125">
        <f>IF($D1378="",0,'Guide &amp; Settings'!$C$44*IF($F1378&gt;=3,$F1378,0))</f>
        <v>0</v>
      </c>
      <c r="M1378" s="124">
        <f t="shared" si="423"/>
        <v>0</v>
      </c>
      <c r="N1378" s="122">
        <f t="shared" si="424"/>
        <v>0</v>
      </c>
      <c r="O1378" s="121" t="str">
        <f t="shared" si="425"/>
        <v/>
      </c>
      <c r="P1378">
        <f t="shared" si="426"/>
        <v>0</v>
      </c>
      <c r="Q1378">
        <f t="shared" si="427"/>
        <v>0</v>
      </c>
      <c r="R1378">
        <f t="shared" si="428"/>
        <v>0</v>
      </c>
      <c r="S1378">
        <f t="shared" si="429"/>
        <v>0</v>
      </c>
      <c r="T1378" s="89">
        <f t="shared" si="430"/>
        <v>0</v>
      </c>
      <c r="U1378" s="126">
        <f>IF($D1378="",0,IFERROR(LOOKUP(2,1/(($D$3:D1377=$D1378)*($C$3:C1377=$C1378)*($A$3:A1377&lt;$A1378)),$AB$3:AB1377),1000))</f>
        <v>0</v>
      </c>
      <c r="V1378" s="126">
        <f t="shared" si="431"/>
        <v>0</v>
      </c>
      <c r="W1378">
        <f t="shared" si="432"/>
        <v>0</v>
      </c>
      <c r="X1378">
        <f t="shared" si="433"/>
        <v>0</v>
      </c>
      <c r="Y1378">
        <f t="shared" si="434"/>
        <v>0</v>
      </c>
      <c r="Z1378">
        <f t="shared" si="435"/>
        <v>0</v>
      </c>
      <c r="AA1378">
        <f>IF($D1378="",0,IF($F1378&lt;2,0,IF($E1378="Win",('Guide &amp; Settings'!$C$42/(($F1378-1)*COUNTIFS($A$4:$A$1510,$A1378,$E$4:$E$1510,"Win")))*SUMIFS($Z$4:$Z$1510,$A$4:$A$1510,$A1378,$E$4:$E$1510,"Loss"),-('Guide &amp; Settings'!$C$42/($F1378-1))*$Z1378)))</f>
        <v>0</v>
      </c>
      <c r="AB1378" s="126">
        <f t="shared" si="436"/>
        <v>0</v>
      </c>
      <c r="AC1378" t="str">
        <f>IF($D1378="","",IF($AD1378=0,0,IF(COUNTIFS($D$4:$D1378,$D1378,$B$4:$B1378,$B1378)&gt;1,0,IF($B1378&lt;'Guide &amp; Settings'!$C$50,0,IF(($B1378-$AD1378)/7-'Guide &amp; Settings'!$C$48&gt;=0,(INT(($B1378-$AD1378)/7-'Guide &amp; Settings'!$C$48)+1)*'Guide &amp; Settings'!$C$49,0)))))</f>
        <v/>
      </c>
      <c r="AD1378" s="142">
        <f t="shared" si="437"/>
        <v>0</v>
      </c>
      <c r="AE1378">
        <f t="shared" si="438"/>
        <v>0</v>
      </c>
      <c r="AF1378">
        <f t="shared" si="439"/>
        <v>0</v>
      </c>
    </row>
    <row r="1379" spans="1:32" x14ac:dyDescent="0.2">
      <c r="A1379" s="117"/>
      <c r="B1379" s="118"/>
      <c r="C1379" s="119"/>
      <c r="D1379" s="119"/>
      <c r="E1379" s="117"/>
      <c r="F1379" s="120">
        <f t="shared" si="420"/>
        <v>0</v>
      </c>
      <c r="G1379" s="121" t="str">
        <f t="shared" si="421"/>
        <v/>
      </c>
      <c r="H1379" s="122">
        <f>IF($D1379="",0,IFERROR(LOOKUP(2,1/(($D$3:D1378=$D1379)*($A$3:A1378&lt;$A1379)),$N$3:N1378),'Guide &amp; Settings'!$C$41))</f>
        <v>0</v>
      </c>
      <c r="I1379" s="123">
        <f t="shared" si="422"/>
        <v>0</v>
      </c>
      <c r="J1379" s="124">
        <f>IF($D1379="",0,IF($F1379&lt;2,0,IF($E1379="Win",('Guide &amp; Settings'!$C$42/(($F1379-1)*COUNTIFS($A$4:$A$1510,$A1379,$E$4:$E$1510,"Win")))*SUMIFS($X$4:$X$1510,$A$4:$A$1510,$A1379,$E$4:$E$1510,"Loss"),-('Guide &amp; Settings'!$C$42/($F1379-1))*$X1379)))</f>
        <v>0</v>
      </c>
      <c r="K1379" s="124">
        <f>IF($D1379="",0,'Guide &amp; Settings'!$C$43*(IF($E1379="Win",1,0)-$I1379))</f>
        <v>0</v>
      </c>
      <c r="L1379" s="125">
        <f>IF($D1379="",0,'Guide &amp; Settings'!$C$44*IF($F1379&gt;=3,$F1379,0))</f>
        <v>0</v>
      </c>
      <c r="M1379" s="124">
        <f t="shared" si="423"/>
        <v>0</v>
      </c>
      <c r="N1379" s="122">
        <f t="shared" si="424"/>
        <v>0</v>
      </c>
      <c r="O1379" s="121" t="str">
        <f t="shared" si="425"/>
        <v/>
      </c>
      <c r="P1379">
        <f t="shared" si="426"/>
        <v>0</v>
      </c>
      <c r="Q1379">
        <f t="shared" si="427"/>
        <v>0</v>
      </c>
      <c r="R1379">
        <f t="shared" si="428"/>
        <v>0</v>
      </c>
      <c r="S1379">
        <f t="shared" si="429"/>
        <v>0</v>
      </c>
      <c r="T1379" s="89">
        <f t="shared" si="430"/>
        <v>0</v>
      </c>
      <c r="U1379" s="126">
        <f>IF($D1379="",0,IFERROR(LOOKUP(2,1/(($D$3:D1378=$D1379)*($C$3:C1378=$C1379)*($A$3:A1378&lt;$A1379)),$AB$3:AB1378),1000))</f>
        <v>0</v>
      </c>
      <c r="V1379" s="126">
        <f t="shared" si="431"/>
        <v>0</v>
      </c>
      <c r="W1379">
        <f t="shared" si="432"/>
        <v>0</v>
      </c>
      <c r="X1379">
        <f t="shared" si="433"/>
        <v>0</v>
      </c>
      <c r="Y1379">
        <f t="shared" si="434"/>
        <v>0</v>
      </c>
      <c r="Z1379">
        <f t="shared" si="435"/>
        <v>0</v>
      </c>
      <c r="AA1379">
        <f>IF($D1379="",0,IF($F1379&lt;2,0,IF($E1379="Win",('Guide &amp; Settings'!$C$42/(($F1379-1)*COUNTIFS($A$4:$A$1510,$A1379,$E$4:$E$1510,"Win")))*SUMIFS($Z$4:$Z$1510,$A$4:$A$1510,$A1379,$E$4:$E$1510,"Loss"),-('Guide &amp; Settings'!$C$42/($F1379-1))*$Z1379)))</f>
        <v>0</v>
      </c>
      <c r="AB1379" s="126">
        <f t="shared" si="436"/>
        <v>0</v>
      </c>
      <c r="AC1379" t="str">
        <f>IF($D1379="","",IF($AD1379=0,0,IF(COUNTIFS($D$4:$D1379,$D1379,$B$4:$B1379,$B1379)&gt;1,0,IF($B1379&lt;'Guide &amp; Settings'!$C$50,0,IF(($B1379-$AD1379)/7-'Guide &amp; Settings'!$C$48&gt;=0,(INT(($B1379-$AD1379)/7-'Guide &amp; Settings'!$C$48)+1)*'Guide &amp; Settings'!$C$49,0)))))</f>
        <v/>
      </c>
      <c r="AD1379" s="142">
        <f t="shared" si="437"/>
        <v>0</v>
      </c>
      <c r="AE1379">
        <f t="shared" si="438"/>
        <v>0</v>
      </c>
      <c r="AF1379">
        <f t="shared" si="439"/>
        <v>0</v>
      </c>
    </row>
    <row r="1380" spans="1:32" x14ac:dyDescent="0.2">
      <c r="A1380" s="117"/>
      <c r="B1380" s="118"/>
      <c r="C1380" s="119"/>
      <c r="D1380" s="119"/>
      <c r="E1380" s="117"/>
      <c r="F1380" s="120">
        <f t="shared" si="420"/>
        <v>0</v>
      </c>
      <c r="G1380" s="121" t="str">
        <f t="shared" si="421"/>
        <v/>
      </c>
      <c r="H1380" s="122">
        <f>IF($D1380="",0,IFERROR(LOOKUP(2,1/(($D$3:D1379=$D1380)*($A$3:A1379&lt;$A1380)),$N$3:N1379),'Guide &amp; Settings'!$C$41))</f>
        <v>0</v>
      </c>
      <c r="I1380" s="123">
        <f t="shared" si="422"/>
        <v>0</v>
      </c>
      <c r="J1380" s="124">
        <f>IF($D1380="",0,IF($F1380&lt;2,0,IF($E1380="Win",('Guide &amp; Settings'!$C$42/(($F1380-1)*COUNTIFS($A$4:$A$1510,$A1380,$E$4:$E$1510,"Win")))*SUMIFS($X$4:$X$1510,$A$4:$A$1510,$A1380,$E$4:$E$1510,"Loss"),-('Guide &amp; Settings'!$C$42/($F1380-1))*$X1380)))</f>
        <v>0</v>
      </c>
      <c r="K1380" s="124">
        <f>IF($D1380="",0,'Guide &amp; Settings'!$C$43*(IF($E1380="Win",1,0)-$I1380))</f>
        <v>0</v>
      </c>
      <c r="L1380" s="125">
        <f>IF($D1380="",0,'Guide &amp; Settings'!$C$44*IF($F1380&gt;=3,$F1380,0))</f>
        <v>0</v>
      </c>
      <c r="M1380" s="124">
        <f t="shared" si="423"/>
        <v>0</v>
      </c>
      <c r="N1380" s="122">
        <f t="shared" si="424"/>
        <v>0</v>
      </c>
      <c r="O1380" s="121" t="str">
        <f t="shared" si="425"/>
        <v/>
      </c>
      <c r="P1380">
        <f t="shared" si="426"/>
        <v>0</v>
      </c>
      <c r="Q1380">
        <f t="shared" si="427"/>
        <v>0</v>
      </c>
      <c r="R1380">
        <f t="shared" si="428"/>
        <v>0</v>
      </c>
      <c r="S1380">
        <f t="shared" si="429"/>
        <v>0</v>
      </c>
      <c r="T1380" s="89">
        <f t="shared" si="430"/>
        <v>0</v>
      </c>
      <c r="U1380" s="126">
        <f>IF($D1380="",0,IFERROR(LOOKUP(2,1/(($D$3:D1379=$D1380)*($C$3:C1379=$C1380)*($A$3:A1379&lt;$A1380)),$AB$3:AB1379),1000))</f>
        <v>0</v>
      </c>
      <c r="V1380" s="126">
        <f t="shared" si="431"/>
        <v>0</v>
      </c>
      <c r="W1380">
        <f t="shared" si="432"/>
        <v>0</v>
      </c>
      <c r="X1380">
        <f t="shared" si="433"/>
        <v>0</v>
      </c>
      <c r="Y1380">
        <f t="shared" si="434"/>
        <v>0</v>
      </c>
      <c r="Z1380">
        <f t="shared" si="435"/>
        <v>0</v>
      </c>
      <c r="AA1380">
        <f>IF($D1380="",0,IF($F1380&lt;2,0,IF($E1380="Win",('Guide &amp; Settings'!$C$42/(($F1380-1)*COUNTIFS($A$4:$A$1510,$A1380,$E$4:$E$1510,"Win")))*SUMIFS($Z$4:$Z$1510,$A$4:$A$1510,$A1380,$E$4:$E$1510,"Loss"),-('Guide &amp; Settings'!$C$42/($F1380-1))*$Z1380)))</f>
        <v>0</v>
      </c>
      <c r="AB1380" s="126">
        <f t="shared" si="436"/>
        <v>0</v>
      </c>
      <c r="AC1380" t="str">
        <f>IF($D1380="","",IF($AD1380=0,0,IF(COUNTIFS($D$4:$D1380,$D1380,$B$4:$B1380,$B1380)&gt;1,0,IF($B1380&lt;'Guide &amp; Settings'!$C$50,0,IF(($B1380-$AD1380)/7-'Guide &amp; Settings'!$C$48&gt;=0,(INT(($B1380-$AD1380)/7-'Guide &amp; Settings'!$C$48)+1)*'Guide &amp; Settings'!$C$49,0)))))</f>
        <v/>
      </c>
      <c r="AD1380" s="142">
        <f t="shared" si="437"/>
        <v>0</v>
      </c>
      <c r="AE1380">
        <f t="shared" si="438"/>
        <v>0</v>
      </c>
      <c r="AF1380">
        <f t="shared" si="439"/>
        <v>0</v>
      </c>
    </row>
    <row r="1381" spans="1:32" x14ac:dyDescent="0.2">
      <c r="A1381" s="117"/>
      <c r="B1381" s="118"/>
      <c r="C1381" s="119"/>
      <c r="D1381" s="119"/>
      <c r="E1381" s="117"/>
      <c r="F1381" s="120">
        <f t="shared" si="420"/>
        <v>0</v>
      </c>
      <c r="G1381" s="121" t="str">
        <f t="shared" si="421"/>
        <v/>
      </c>
      <c r="H1381" s="122">
        <f>IF($D1381="",0,IFERROR(LOOKUP(2,1/(($D$3:D1380=$D1381)*($A$3:A1380&lt;$A1381)),$N$3:N1380),'Guide &amp; Settings'!$C$41))</f>
        <v>0</v>
      </c>
      <c r="I1381" s="123">
        <f t="shared" si="422"/>
        <v>0</v>
      </c>
      <c r="J1381" s="124">
        <f>IF($D1381="",0,IF($F1381&lt;2,0,IF($E1381="Win",('Guide &amp; Settings'!$C$42/(($F1381-1)*COUNTIFS($A$4:$A$1510,$A1381,$E$4:$E$1510,"Win")))*SUMIFS($X$4:$X$1510,$A$4:$A$1510,$A1381,$E$4:$E$1510,"Loss"),-('Guide &amp; Settings'!$C$42/($F1381-1))*$X1381)))</f>
        <v>0</v>
      </c>
      <c r="K1381" s="124">
        <f>IF($D1381="",0,'Guide &amp; Settings'!$C$43*(IF($E1381="Win",1,0)-$I1381))</f>
        <v>0</v>
      </c>
      <c r="L1381" s="125">
        <f>IF($D1381="",0,'Guide &amp; Settings'!$C$44*IF($F1381&gt;=3,$F1381,0))</f>
        <v>0</v>
      </c>
      <c r="M1381" s="124">
        <f t="shared" si="423"/>
        <v>0</v>
      </c>
      <c r="N1381" s="122">
        <f t="shared" si="424"/>
        <v>0</v>
      </c>
      <c r="O1381" s="121" t="str">
        <f t="shared" si="425"/>
        <v/>
      </c>
      <c r="P1381">
        <f t="shared" si="426"/>
        <v>0</v>
      </c>
      <c r="Q1381">
        <f t="shared" si="427"/>
        <v>0</v>
      </c>
      <c r="R1381">
        <f t="shared" si="428"/>
        <v>0</v>
      </c>
      <c r="S1381">
        <f t="shared" si="429"/>
        <v>0</v>
      </c>
      <c r="T1381" s="89">
        <f t="shared" si="430"/>
        <v>0</v>
      </c>
      <c r="U1381" s="126">
        <f>IF($D1381="",0,IFERROR(LOOKUP(2,1/(($D$3:D1380=$D1381)*($C$3:C1380=$C1381)*($A$3:A1380&lt;$A1381)),$AB$3:AB1380),1000))</f>
        <v>0</v>
      </c>
      <c r="V1381" s="126">
        <f t="shared" si="431"/>
        <v>0</v>
      </c>
      <c r="W1381">
        <f t="shared" si="432"/>
        <v>0</v>
      </c>
      <c r="X1381">
        <f t="shared" si="433"/>
        <v>0</v>
      </c>
      <c r="Y1381">
        <f t="shared" si="434"/>
        <v>0</v>
      </c>
      <c r="Z1381">
        <f t="shared" si="435"/>
        <v>0</v>
      </c>
      <c r="AA1381">
        <f>IF($D1381="",0,IF($F1381&lt;2,0,IF($E1381="Win",('Guide &amp; Settings'!$C$42/(($F1381-1)*COUNTIFS($A$4:$A$1510,$A1381,$E$4:$E$1510,"Win")))*SUMIFS($Z$4:$Z$1510,$A$4:$A$1510,$A1381,$E$4:$E$1510,"Loss"),-('Guide &amp; Settings'!$C$42/($F1381-1))*$Z1381)))</f>
        <v>0</v>
      </c>
      <c r="AB1381" s="126">
        <f t="shared" si="436"/>
        <v>0</v>
      </c>
      <c r="AC1381" t="str">
        <f>IF($D1381="","",IF($AD1381=0,0,IF(COUNTIFS($D$4:$D1381,$D1381,$B$4:$B1381,$B1381)&gt;1,0,IF($B1381&lt;'Guide &amp; Settings'!$C$50,0,IF(($B1381-$AD1381)/7-'Guide &amp; Settings'!$C$48&gt;=0,(INT(($B1381-$AD1381)/7-'Guide &amp; Settings'!$C$48)+1)*'Guide &amp; Settings'!$C$49,0)))))</f>
        <v/>
      </c>
      <c r="AD1381" s="142">
        <f t="shared" si="437"/>
        <v>0</v>
      </c>
      <c r="AE1381">
        <f t="shared" si="438"/>
        <v>0</v>
      </c>
      <c r="AF1381">
        <f t="shared" si="439"/>
        <v>0</v>
      </c>
    </row>
    <row r="1382" spans="1:32" x14ac:dyDescent="0.2">
      <c r="A1382" s="117"/>
      <c r="B1382" s="118"/>
      <c r="C1382" s="119"/>
      <c r="D1382" s="119"/>
      <c r="E1382" s="117"/>
      <c r="F1382" s="120">
        <f t="shared" si="420"/>
        <v>0</v>
      </c>
      <c r="G1382" s="121" t="str">
        <f t="shared" si="421"/>
        <v/>
      </c>
      <c r="H1382" s="122">
        <f>IF($D1382="",0,IFERROR(LOOKUP(2,1/(($D$3:D1381=$D1382)*($A$3:A1381&lt;$A1382)),$N$3:N1381),'Guide &amp; Settings'!$C$41))</f>
        <v>0</v>
      </c>
      <c r="I1382" s="123">
        <f t="shared" si="422"/>
        <v>0</v>
      </c>
      <c r="J1382" s="124">
        <f>IF($D1382="",0,IF($F1382&lt;2,0,IF($E1382="Win",('Guide &amp; Settings'!$C$42/(($F1382-1)*COUNTIFS($A$4:$A$1510,$A1382,$E$4:$E$1510,"Win")))*SUMIFS($X$4:$X$1510,$A$4:$A$1510,$A1382,$E$4:$E$1510,"Loss"),-('Guide &amp; Settings'!$C$42/($F1382-1))*$X1382)))</f>
        <v>0</v>
      </c>
      <c r="K1382" s="124">
        <f>IF($D1382="",0,'Guide &amp; Settings'!$C$43*(IF($E1382="Win",1,0)-$I1382))</f>
        <v>0</v>
      </c>
      <c r="L1382" s="125">
        <f>IF($D1382="",0,'Guide &amp; Settings'!$C$44*IF($F1382&gt;=3,$F1382,0))</f>
        <v>0</v>
      </c>
      <c r="M1382" s="124">
        <f t="shared" si="423"/>
        <v>0</v>
      </c>
      <c r="N1382" s="122">
        <f t="shared" si="424"/>
        <v>0</v>
      </c>
      <c r="O1382" s="121" t="str">
        <f t="shared" si="425"/>
        <v/>
      </c>
      <c r="P1382">
        <f t="shared" si="426"/>
        <v>0</v>
      </c>
      <c r="Q1382">
        <f t="shared" si="427"/>
        <v>0</v>
      </c>
      <c r="R1382">
        <f t="shared" si="428"/>
        <v>0</v>
      </c>
      <c r="S1382">
        <f t="shared" si="429"/>
        <v>0</v>
      </c>
      <c r="T1382" s="89">
        <f t="shared" si="430"/>
        <v>0</v>
      </c>
      <c r="U1382" s="126">
        <f>IF($D1382="",0,IFERROR(LOOKUP(2,1/(($D$3:D1381=$D1382)*($C$3:C1381=$C1382)*($A$3:A1381&lt;$A1382)),$AB$3:AB1381),1000))</f>
        <v>0</v>
      </c>
      <c r="V1382" s="126">
        <f t="shared" si="431"/>
        <v>0</v>
      </c>
      <c r="W1382">
        <f t="shared" si="432"/>
        <v>0</v>
      </c>
      <c r="X1382">
        <f t="shared" si="433"/>
        <v>0</v>
      </c>
      <c r="Y1382">
        <f t="shared" si="434"/>
        <v>0</v>
      </c>
      <c r="Z1382">
        <f t="shared" si="435"/>
        <v>0</v>
      </c>
      <c r="AA1382">
        <f>IF($D1382="",0,IF($F1382&lt;2,0,IF($E1382="Win",('Guide &amp; Settings'!$C$42/(($F1382-1)*COUNTIFS($A$4:$A$1510,$A1382,$E$4:$E$1510,"Win")))*SUMIFS($Z$4:$Z$1510,$A$4:$A$1510,$A1382,$E$4:$E$1510,"Loss"),-('Guide &amp; Settings'!$C$42/($F1382-1))*$Z1382)))</f>
        <v>0</v>
      </c>
      <c r="AB1382" s="126">
        <f t="shared" si="436"/>
        <v>0</v>
      </c>
      <c r="AC1382" t="str">
        <f>IF($D1382="","",IF($AD1382=0,0,IF(COUNTIFS($D$4:$D1382,$D1382,$B$4:$B1382,$B1382)&gt;1,0,IF($B1382&lt;'Guide &amp; Settings'!$C$50,0,IF(($B1382-$AD1382)/7-'Guide &amp; Settings'!$C$48&gt;=0,(INT(($B1382-$AD1382)/7-'Guide &amp; Settings'!$C$48)+1)*'Guide &amp; Settings'!$C$49,0)))))</f>
        <v/>
      </c>
      <c r="AD1382" s="142">
        <f t="shared" si="437"/>
        <v>0</v>
      </c>
      <c r="AE1382">
        <f t="shared" si="438"/>
        <v>0</v>
      </c>
      <c r="AF1382">
        <f t="shared" si="439"/>
        <v>0</v>
      </c>
    </row>
    <row r="1383" spans="1:32" x14ac:dyDescent="0.2">
      <c r="A1383" s="117"/>
      <c r="B1383" s="118"/>
      <c r="C1383" s="119"/>
      <c r="D1383" s="119"/>
      <c r="E1383" s="117"/>
      <c r="F1383" s="120">
        <f t="shared" si="420"/>
        <v>0</v>
      </c>
      <c r="G1383" s="121" t="str">
        <f t="shared" si="421"/>
        <v/>
      </c>
      <c r="H1383" s="122">
        <f>IF($D1383="",0,IFERROR(LOOKUP(2,1/(($D$3:D1382=$D1383)*($A$3:A1382&lt;$A1383)),$N$3:N1382),'Guide &amp; Settings'!$C$41))</f>
        <v>0</v>
      </c>
      <c r="I1383" s="123">
        <f t="shared" si="422"/>
        <v>0</v>
      </c>
      <c r="J1383" s="124">
        <f>IF($D1383="",0,IF($F1383&lt;2,0,IF($E1383="Win",('Guide &amp; Settings'!$C$42/(($F1383-1)*COUNTIFS($A$4:$A$1510,$A1383,$E$4:$E$1510,"Win")))*SUMIFS($X$4:$X$1510,$A$4:$A$1510,$A1383,$E$4:$E$1510,"Loss"),-('Guide &amp; Settings'!$C$42/($F1383-1))*$X1383)))</f>
        <v>0</v>
      </c>
      <c r="K1383" s="124">
        <f>IF($D1383="",0,'Guide &amp; Settings'!$C$43*(IF($E1383="Win",1,0)-$I1383))</f>
        <v>0</v>
      </c>
      <c r="L1383" s="125">
        <f>IF($D1383="",0,'Guide &amp; Settings'!$C$44*IF($F1383&gt;=3,$F1383,0))</f>
        <v>0</v>
      </c>
      <c r="M1383" s="124">
        <f t="shared" si="423"/>
        <v>0</v>
      </c>
      <c r="N1383" s="122">
        <f t="shared" si="424"/>
        <v>0</v>
      </c>
      <c r="O1383" s="121" t="str">
        <f t="shared" si="425"/>
        <v/>
      </c>
      <c r="P1383">
        <f t="shared" si="426"/>
        <v>0</v>
      </c>
      <c r="Q1383">
        <f t="shared" si="427"/>
        <v>0</v>
      </c>
      <c r="R1383">
        <f t="shared" si="428"/>
        <v>0</v>
      </c>
      <c r="S1383">
        <f t="shared" si="429"/>
        <v>0</v>
      </c>
      <c r="T1383" s="89">
        <f t="shared" si="430"/>
        <v>0</v>
      </c>
      <c r="U1383" s="126">
        <f>IF($D1383="",0,IFERROR(LOOKUP(2,1/(($D$3:D1382=$D1383)*($C$3:C1382=$C1383)*($A$3:A1382&lt;$A1383)),$AB$3:AB1382),1000))</f>
        <v>0</v>
      </c>
      <c r="V1383" s="126">
        <f t="shared" si="431"/>
        <v>0</v>
      </c>
      <c r="W1383">
        <f t="shared" si="432"/>
        <v>0</v>
      </c>
      <c r="X1383">
        <f t="shared" si="433"/>
        <v>0</v>
      </c>
      <c r="Y1383">
        <f t="shared" si="434"/>
        <v>0</v>
      </c>
      <c r="Z1383">
        <f t="shared" si="435"/>
        <v>0</v>
      </c>
      <c r="AA1383">
        <f>IF($D1383="",0,IF($F1383&lt;2,0,IF($E1383="Win",('Guide &amp; Settings'!$C$42/(($F1383-1)*COUNTIFS($A$4:$A$1510,$A1383,$E$4:$E$1510,"Win")))*SUMIFS($Z$4:$Z$1510,$A$4:$A$1510,$A1383,$E$4:$E$1510,"Loss"),-('Guide &amp; Settings'!$C$42/($F1383-1))*$Z1383)))</f>
        <v>0</v>
      </c>
      <c r="AB1383" s="126">
        <f t="shared" si="436"/>
        <v>0</v>
      </c>
      <c r="AC1383" t="str">
        <f>IF($D1383="","",IF($AD1383=0,0,IF(COUNTIFS($D$4:$D1383,$D1383,$B$4:$B1383,$B1383)&gt;1,0,IF($B1383&lt;'Guide &amp; Settings'!$C$50,0,IF(($B1383-$AD1383)/7-'Guide &amp; Settings'!$C$48&gt;=0,(INT(($B1383-$AD1383)/7-'Guide &amp; Settings'!$C$48)+1)*'Guide &amp; Settings'!$C$49,0)))))</f>
        <v/>
      </c>
      <c r="AD1383" s="142">
        <f t="shared" si="437"/>
        <v>0</v>
      </c>
      <c r="AE1383">
        <f t="shared" si="438"/>
        <v>0</v>
      </c>
      <c r="AF1383">
        <f t="shared" si="439"/>
        <v>0</v>
      </c>
    </row>
    <row r="1384" spans="1:32" x14ac:dyDescent="0.2">
      <c r="A1384" s="117"/>
      <c r="B1384" s="118"/>
      <c r="C1384" s="119"/>
      <c r="D1384" s="119"/>
      <c r="E1384" s="117"/>
      <c r="F1384" s="120">
        <f t="shared" si="420"/>
        <v>0</v>
      </c>
      <c r="G1384" s="121" t="str">
        <f t="shared" si="421"/>
        <v/>
      </c>
      <c r="H1384" s="122">
        <f>IF($D1384="",0,IFERROR(LOOKUP(2,1/(($D$3:D1383=$D1384)*($A$3:A1383&lt;$A1384)),$N$3:N1383),'Guide &amp; Settings'!$C$41))</f>
        <v>0</v>
      </c>
      <c r="I1384" s="123">
        <f t="shared" si="422"/>
        <v>0</v>
      </c>
      <c r="J1384" s="124">
        <f>IF($D1384="",0,IF($F1384&lt;2,0,IF($E1384="Win",('Guide &amp; Settings'!$C$42/(($F1384-1)*COUNTIFS($A$4:$A$1510,$A1384,$E$4:$E$1510,"Win")))*SUMIFS($X$4:$X$1510,$A$4:$A$1510,$A1384,$E$4:$E$1510,"Loss"),-('Guide &amp; Settings'!$C$42/($F1384-1))*$X1384)))</f>
        <v>0</v>
      </c>
      <c r="K1384" s="124">
        <f>IF($D1384="",0,'Guide &amp; Settings'!$C$43*(IF($E1384="Win",1,0)-$I1384))</f>
        <v>0</v>
      </c>
      <c r="L1384" s="125">
        <f>IF($D1384="",0,'Guide &amp; Settings'!$C$44*IF($F1384&gt;=3,$F1384,0))</f>
        <v>0</v>
      </c>
      <c r="M1384" s="124">
        <f t="shared" si="423"/>
        <v>0</v>
      </c>
      <c r="N1384" s="122">
        <f t="shared" si="424"/>
        <v>0</v>
      </c>
      <c r="O1384" s="121" t="str">
        <f t="shared" si="425"/>
        <v/>
      </c>
      <c r="P1384">
        <f t="shared" si="426"/>
        <v>0</v>
      </c>
      <c r="Q1384">
        <f t="shared" si="427"/>
        <v>0</v>
      </c>
      <c r="R1384">
        <f t="shared" si="428"/>
        <v>0</v>
      </c>
      <c r="S1384">
        <f t="shared" si="429"/>
        <v>0</v>
      </c>
      <c r="T1384" s="89">
        <f t="shared" si="430"/>
        <v>0</v>
      </c>
      <c r="U1384" s="126">
        <f>IF($D1384="",0,IFERROR(LOOKUP(2,1/(($D$3:D1383=$D1384)*($C$3:C1383=$C1384)*($A$3:A1383&lt;$A1384)),$AB$3:AB1383),1000))</f>
        <v>0</v>
      </c>
      <c r="V1384" s="126">
        <f t="shared" si="431"/>
        <v>0</v>
      </c>
      <c r="W1384">
        <f t="shared" si="432"/>
        <v>0</v>
      </c>
      <c r="X1384">
        <f t="shared" si="433"/>
        <v>0</v>
      </c>
      <c r="Y1384">
        <f t="shared" si="434"/>
        <v>0</v>
      </c>
      <c r="Z1384">
        <f t="shared" si="435"/>
        <v>0</v>
      </c>
      <c r="AA1384">
        <f>IF($D1384="",0,IF($F1384&lt;2,0,IF($E1384="Win",('Guide &amp; Settings'!$C$42/(($F1384-1)*COUNTIFS($A$4:$A$1510,$A1384,$E$4:$E$1510,"Win")))*SUMIFS($Z$4:$Z$1510,$A$4:$A$1510,$A1384,$E$4:$E$1510,"Loss"),-('Guide &amp; Settings'!$C$42/($F1384-1))*$Z1384)))</f>
        <v>0</v>
      </c>
      <c r="AB1384" s="126">
        <f t="shared" si="436"/>
        <v>0</v>
      </c>
      <c r="AC1384" t="str">
        <f>IF($D1384="","",IF($AD1384=0,0,IF(COUNTIFS($D$4:$D1384,$D1384,$B$4:$B1384,$B1384)&gt;1,0,IF($B1384&lt;'Guide &amp; Settings'!$C$50,0,IF(($B1384-$AD1384)/7-'Guide &amp; Settings'!$C$48&gt;=0,(INT(($B1384-$AD1384)/7-'Guide &amp; Settings'!$C$48)+1)*'Guide &amp; Settings'!$C$49,0)))))</f>
        <v/>
      </c>
      <c r="AD1384" s="142">
        <f t="shared" si="437"/>
        <v>0</v>
      </c>
      <c r="AE1384">
        <f t="shared" si="438"/>
        <v>0</v>
      </c>
      <c r="AF1384">
        <f t="shared" si="439"/>
        <v>0</v>
      </c>
    </row>
    <row r="1385" spans="1:32" x14ac:dyDescent="0.2">
      <c r="A1385" s="117"/>
      <c r="B1385" s="118"/>
      <c r="C1385" s="119"/>
      <c r="D1385" s="119"/>
      <c r="E1385" s="117"/>
      <c r="F1385" s="120">
        <f t="shared" si="420"/>
        <v>0</v>
      </c>
      <c r="G1385" s="121" t="str">
        <f t="shared" si="421"/>
        <v/>
      </c>
      <c r="H1385" s="122">
        <f>IF($D1385="",0,IFERROR(LOOKUP(2,1/(($D$3:D1384=$D1385)*($A$3:A1384&lt;$A1385)),$N$3:N1384),'Guide &amp; Settings'!$C$41))</f>
        <v>0</v>
      </c>
      <c r="I1385" s="123">
        <f t="shared" si="422"/>
        <v>0</v>
      </c>
      <c r="J1385" s="124">
        <f>IF($D1385="",0,IF($F1385&lt;2,0,IF($E1385="Win",('Guide &amp; Settings'!$C$42/(($F1385-1)*COUNTIFS($A$4:$A$1510,$A1385,$E$4:$E$1510,"Win")))*SUMIFS($X$4:$X$1510,$A$4:$A$1510,$A1385,$E$4:$E$1510,"Loss"),-('Guide &amp; Settings'!$C$42/($F1385-1))*$X1385)))</f>
        <v>0</v>
      </c>
      <c r="K1385" s="124">
        <f>IF($D1385="",0,'Guide &amp; Settings'!$C$43*(IF($E1385="Win",1,0)-$I1385))</f>
        <v>0</v>
      </c>
      <c r="L1385" s="125">
        <f>IF($D1385="",0,'Guide &amp; Settings'!$C$44*IF($F1385&gt;=3,$F1385,0))</f>
        <v>0</v>
      </c>
      <c r="M1385" s="124">
        <f t="shared" si="423"/>
        <v>0</v>
      </c>
      <c r="N1385" s="122">
        <f t="shared" si="424"/>
        <v>0</v>
      </c>
      <c r="O1385" s="121" t="str">
        <f t="shared" si="425"/>
        <v/>
      </c>
      <c r="P1385">
        <f t="shared" si="426"/>
        <v>0</v>
      </c>
      <c r="Q1385">
        <f t="shared" si="427"/>
        <v>0</v>
      </c>
      <c r="R1385">
        <f t="shared" si="428"/>
        <v>0</v>
      </c>
      <c r="S1385">
        <f t="shared" si="429"/>
        <v>0</v>
      </c>
      <c r="T1385" s="89">
        <f t="shared" si="430"/>
        <v>0</v>
      </c>
      <c r="U1385" s="126">
        <f>IF($D1385="",0,IFERROR(LOOKUP(2,1/(($D$3:D1384=$D1385)*($C$3:C1384=$C1385)*($A$3:A1384&lt;$A1385)),$AB$3:AB1384),1000))</f>
        <v>0</v>
      </c>
      <c r="V1385" s="126">
        <f t="shared" si="431"/>
        <v>0</v>
      </c>
      <c r="W1385">
        <f t="shared" si="432"/>
        <v>0</v>
      </c>
      <c r="X1385">
        <f t="shared" si="433"/>
        <v>0</v>
      </c>
      <c r="Y1385">
        <f t="shared" si="434"/>
        <v>0</v>
      </c>
      <c r="Z1385">
        <f t="shared" si="435"/>
        <v>0</v>
      </c>
      <c r="AA1385">
        <f>IF($D1385="",0,IF($F1385&lt;2,0,IF($E1385="Win",('Guide &amp; Settings'!$C$42/(($F1385-1)*COUNTIFS($A$4:$A$1510,$A1385,$E$4:$E$1510,"Win")))*SUMIFS($Z$4:$Z$1510,$A$4:$A$1510,$A1385,$E$4:$E$1510,"Loss"),-('Guide &amp; Settings'!$C$42/($F1385-1))*$Z1385)))</f>
        <v>0</v>
      </c>
      <c r="AB1385" s="126">
        <f t="shared" si="436"/>
        <v>0</v>
      </c>
      <c r="AC1385" t="str">
        <f>IF($D1385="","",IF($AD1385=0,0,IF(COUNTIFS($D$4:$D1385,$D1385,$B$4:$B1385,$B1385)&gt;1,0,IF($B1385&lt;'Guide &amp; Settings'!$C$50,0,IF(($B1385-$AD1385)/7-'Guide &amp; Settings'!$C$48&gt;=0,(INT(($B1385-$AD1385)/7-'Guide &amp; Settings'!$C$48)+1)*'Guide &amp; Settings'!$C$49,0)))))</f>
        <v/>
      </c>
      <c r="AD1385" s="142">
        <f t="shared" si="437"/>
        <v>0</v>
      </c>
      <c r="AE1385">
        <f t="shared" si="438"/>
        <v>0</v>
      </c>
      <c r="AF1385">
        <f t="shared" si="439"/>
        <v>0</v>
      </c>
    </row>
    <row r="1386" spans="1:32" x14ac:dyDescent="0.2">
      <c r="A1386" s="117"/>
      <c r="B1386" s="118"/>
      <c r="C1386" s="119"/>
      <c r="D1386" s="119"/>
      <c r="E1386" s="117"/>
      <c r="F1386" s="120">
        <f t="shared" si="420"/>
        <v>0</v>
      </c>
      <c r="G1386" s="121" t="str">
        <f t="shared" si="421"/>
        <v/>
      </c>
      <c r="H1386" s="122">
        <f>IF($D1386="",0,IFERROR(LOOKUP(2,1/(($D$3:D1385=$D1386)*($A$3:A1385&lt;$A1386)),$N$3:N1385),'Guide &amp; Settings'!$C$41))</f>
        <v>0</v>
      </c>
      <c r="I1386" s="123">
        <f t="shared" si="422"/>
        <v>0</v>
      </c>
      <c r="J1386" s="124">
        <f>IF($D1386="",0,IF($F1386&lt;2,0,IF($E1386="Win",('Guide &amp; Settings'!$C$42/(($F1386-1)*COUNTIFS($A$4:$A$1510,$A1386,$E$4:$E$1510,"Win")))*SUMIFS($X$4:$X$1510,$A$4:$A$1510,$A1386,$E$4:$E$1510,"Loss"),-('Guide &amp; Settings'!$C$42/($F1386-1))*$X1386)))</f>
        <v>0</v>
      </c>
      <c r="K1386" s="124">
        <f>IF($D1386="",0,'Guide &amp; Settings'!$C$43*(IF($E1386="Win",1,0)-$I1386))</f>
        <v>0</v>
      </c>
      <c r="L1386" s="125">
        <f>IF($D1386="",0,'Guide &amp; Settings'!$C$44*IF($F1386&gt;=3,$F1386,0))</f>
        <v>0</v>
      </c>
      <c r="M1386" s="124">
        <f t="shared" si="423"/>
        <v>0</v>
      </c>
      <c r="N1386" s="122">
        <f t="shared" si="424"/>
        <v>0</v>
      </c>
      <c r="O1386" s="121" t="str">
        <f t="shared" si="425"/>
        <v/>
      </c>
      <c r="P1386">
        <f t="shared" si="426"/>
        <v>0</v>
      </c>
      <c r="Q1386">
        <f t="shared" si="427"/>
        <v>0</v>
      </c>
      <c r="R1386">
        <f t="shared" si="428"/>
        <v>0</v>
      </c>
      <c r="S1386">
        <f t="shared" si="429"/>
        <v>0</v>
      </c>
      <c r="T1386" s="89">
        <f t="shared" si="430"/>
        <v>0</v>
      </c>
      <c r="U1386" s="126">
        <f>IF($D1386="",0,IFERROR(LOOKUP(2,1/(($D$3:D1385=$D1386)*($C$3:C1385=$C1386)*($A$3:A1385&lt;$A1386)),$AB$3:AB1385),1000))</f>
        <v>0</v>
      </c>
      <c r="V1386" s="126">
        <f t="shared" si="431"/>
        <v>0</v>
      </c>
      <c r="W1386">
        <f t="shared" si="432"/>
        <v>0</v>
      </c>
      <c r="X1386">
        <f t="shared" si="433"/>
        <v>0</v>
      </c>
      <c r="Y1386">
        <f t="shared" si="434"/>
        <v>0</v>
      </c>
      <c r="Z1386">
        <f t="shared" si="435"/>
        <v>0</v>
      </c>
      <c r="AA1386">
        <f>IF($D1386="",0,IF($F1386&lt;2,0,IF($E1386="Win",('Guide &amp; Settings'!$C$42/(($F1386-1)*COUNTIFS($A$4:$A$1510,$A1386,$E$4:$E$1510,"Win")))*SUMIFS($Z$4:$Z$1510,$A$4:$A$1510,$A1386,$E$4:$E$1510,"Loss"),-('Guide &amp; Settings'!$C$42/($F1386-1))*$Z1386)))</f>
        <v>0</v>
      </c>
      <c r="AB1386" s="126">
        <f t="shared" si="436"/>
        <v>0</v>
      </c>
      <c r="AC1386" t="str">
        <f>IF($D1386="","",IF($AD1386=0,0,IF(COUNTIFS($D$4:$D1386,$D1386,$B$4:$B1386,$B1386)&gt;1,0,IF($B1386&lt;'Guide &amp; Settings'!$C$50,0,IF(($B1386-$AD1386)/7-'Guide &amp; Settings'!$C$48&gt;=0,(INT(($B1386-$AD1386)/7-'Guide &amp; Settings'!$C$48)+1)*'Guide &amp; Settings'!$C$49,0)))))</f>
        <v/>
      </c>
      <c r="AD1386" s="142">
        <f t="shared" si="437"/>
        <v>0</v>
      </c>
      <c r="AE1386">
        <f t="shared" si="438"/>
        <v>0</v>
      </c>
      <c r="AF1386">
        <f t="shared" si="439"/>
        <v>0</v>
      </c>
    </row>
    <row r="1387" spans="1:32" x14ac:dyDescent="0.2">
      <c r="A1387" s="117"/>
      <c r="B1387" s="118"/>
      <c r="C1387" s="119"/>
      <c r="D1387" s="119"/>
      <c r="E1387" s="117"/>
      <c r="F1387" s="120">
        <f t="shared" si="420"/>
        <v>0</v>
      </c>
      <c r="G1387" s="121" t="str">
        <f t="shared" si="421"/>
        <v/>
      </c>
      <c r="H1387" s="122">
        <f>IF($D1387="",0,IFERROR(LOOKUP(2,1/(($D$3:D1386=$D1387)*($A$3:A1386&lt;$A1387)),$N$3:N1386),'Guide &amp; Settings'!$C$41))</f>
        <v>0</v>
      </c>
      <c r="I1387" s="123">
        <f t="shared" si="422"/>
        <v>0</v>
      </c>
      <c r="J1387" s="124">
        <f>IF($D1387="",0,IF($F1387&lt;2,0,IF($E1387="Win",('Guide &amp; Settings'!$C$42/(($F1387-1)*COUNTIFS($A$4:$A$1510,$A1387,$E$4:$E$1510,"Win")))*SUMIFS($X$4:$X$1510,$A$4:$A$1510,$A1387,$E$4:$E$1510,"Loss"),-('Guide &amp; Settings'!$C$42/($F1387-1))*$X1387)))</f>
        <v>0</v>
      </c>
      <c r="K1387" s="124">
        <f>IF($D1387="",0,'Guide &amp; Settings'!$C$43*(IF($E1387="Win",1,0)-$I1387))</f>
        <v>0</v>
      </c>
      <c r="L1387" s="125">
        <f>IF($D1387="",0,'Guide &amp; Settings'!$C$44*IF($F1387&gt;=3,$F1387,0))</f>
        <v>0</v>
      </c>
      <c r="M1387" s="124">
        <f t="shared" si="423"/>
        <v>0</v>
      </c>
      <c r="N1387" s="122">
        <f t="shared" si="424"/>
        <v>0</v>
      </c>
      <c r="O1387" s="121" t="str">
        <f t="shared" si="425"/>
        <v/>
      </c>
      <c r="P1387">
        <f t="shared" si="426"/>
        <v>0</v>
      </c>
      <c r="Q1387">
        <f t="shared" si="427"/>
        <v>0</v>
      </c>
      <c r="R1387">
        <f t="shared" si="428"/>
        <v>0</v>
      </c>
      <c r="S1387">
        <f t="shared" si="429"/>
        <v>0</v>
      </c>
      <c r="T1387" s="89">
        <f t="shared" si="430"/>
        <v>0</v>
      </c>
      <c r="U1387" s="126">
        <f>IF($D1387="",0,IFERROR(LOOKUP(2,1/(($D$3:D1386=$D1387)*($C$3:C1386=$C1387)*($A$3:A1386&lt;$A1387)),$AB$3:AB1386),1000))</f>
        <v>0</v>
      </c>
      <c r="V1387" s="126">
        <f t="shared" si="431"/>
        <v>0</v>
      </c>
      <c r="W1387">
        <f t="shared" si="432"/>
        <v>0</v>
      </c>
      <c r="X1387">
        <f t="shared" si="433"/>
        <v>0</v>
      </c>
      <c r="Y1387">
        <f t="shared" si="434"/>
        <v>0</v>
      </c>
      <c r="Z1387">
        <f t="shared" si="435"/>
        <v>0</v>
      </c>
      <c r="AA1387">
        <f>IF($D1387="",0,IF($F1387&lt;2,0,IF($E1387="Win",('Guide &amp; Settings'!$C$42/(($F1387-1)*COUNTIFS($A$4:$A$1510,$A1387,$E$4:$E$1510,"Win")))*SUMIFS($Z$4:$Z$1510,$A$4:$A$1510,$A1387,$E$4:$E$1510,"Loss"),-('Guide &amp; Settings'!$C$42/($F1387-1))*$Z1387)))</f>
        <v>0</v>
      </c>
      <c r="AB1387" s="126">
        <f t="shared" si="436"/>
        <v>0</v>
      </c>
      <c r="AC1387" t="str">
        <f>IF($D1387="","",IF($AD1387=0,0,IF(COUNTIFS($D$4:$D1387,$D1387,$B$4:$B1387,$B1387)&gt;1,0,IF($B1387&lt;'Guide &amp; Settings'!$C$50,0,IF(($B1387-$AD1387)/7-'Guide &amp; Settings'!$C$48&gt;=0,(INT(($B1387-$AD1387)/7-'Guide &amp; Settings'!$C$48)+1)*'Guide &amp; Settings'!$C$49,0)))))</f>
        <v/>
      </c>
      <c r="AD1387" s="142">
        <f t="shared" si="437"/>
        <v>0</v>
      </c>
      <c r="AE1387">
        <f t="shared" si="438"/>
        <v>0</v>
      </c>
      <c r="AF1387">
        <f t="shared" si="439"/>
        <v>0</v>
      </c>
    </row>
    <row r="1388" spans="1:32" x14ac:dyDescent="0.2">
      <c r="A1388" s="117"/>
      <c r="B1388" s="118"/>
      <c r="C1388" s="119"/>
      <c r="D1388" s="119"/>
      <c r="E1388" s="117"/>
      <c r="F1388" s="120">
        <f t="shared" si="420"/>
        <v>0</v>
      </c>
      <c r="G1388" s="121" t="str">
        <f t="shared" si="421"/>
        <v/>
      </c>
      <c r="H1388" s="122">
        <f>IF($D1388="",0,IFERROR(LOOKUP(2,1/(($D$3:D1387=$D1388)*($A$3:A1387&lt;$A1388)),$N$3:N1387),'Guide &amp; Settings'!$C$41))</f>
        <v>0</v>
      </c>
      <c r="I1388" s="123">
        <f t="shared" si="422"/>
        <v>0</v>
      </c>
      <c r="J1388" s="124">
        <f>IF($D1388="",0,IF($F1388&lt;2,0,IF($E1388="Win",('Guide &amp; Settings'!$C$42/(($F1388-1)*COUNTIFS($A$4:$A$1510,$A1388,$E$4:$E$1510,"Win")))*SUMIFS($X$4:$X$1510,$A$4:$A$1510,$A1388,$E$4:$E$1510,"Loss"),-('Guide &amp; Settings'!$C$42/($F1388-1))*$X1388)))</f>
        <v>0</v>
      </c>
      <c r="K1388" s="124">
        <f>IF($D1388="",0,'Guide &amp; Settings'!$C$43*(IF($E1388="Win",1,0)-$I1388))</f>
        <v>0</v>
      </c>
      <c r="L1388" s="125">
        <f>IF($D1388="",0,'Guide &amp; Settings'!$C$44*IF($F1388&gt;=3,$F1388,0))</f>
        <v>0</v>
      </c>
      <c r="M1388" s="124">
        <f t="shared" si="423"/>
        <v>0</v>
      </c>
      <c r="N1388" s="122">
        <f t="shared" si="424"/>
        <v>0</v>
      </c>
      <c r="O1388" s="121" t="str">
        <f t="shared" si="425"/>
        <v/>
      </c>
      <c r="P1388">
        <f t="shared" si="426"/>
        <v>0</v>
      </c>
      <c r="Q1388">
        <f t="shared" si="427"/>
        <v>0</v>
      </c>
      <c r="R1388">
        <f t="shared" si="428"/>
        <v>0</v>
      </c>
      <c r="S1388">
        <f t="shared" si="429"/>
        <v>0</v>
      </c>
      <c r="T1388" s="89">
        <f t="shared" si="430"/>
        <v>0</v>
      </c>
      <c r="U1388" s="126">
        <f>IF($D1388="",0,IFERROR(LOOKUP(2,1/(($D$3:D1387=$D1388)*($C$3:C1387=$C1388)*($A$3:A1387&lt;$A1388)),$AB$3:AB1387),1000))</f>
        <v>0</v>
      </c>
      <c r="V1388" s="126">
        <f t="shared" si="431"/>
        <v>0</v>
      </c>
      <c r="W1388">
        <f t="shared" si="432"/>
        <v>0</v>
      </c>
      <c r="X1388">
        <f t="shared" si="433"/>
        <v>0</v>
      </c>
      <c r="Y1388">
        <f t="shared" si="434"/>
        <v>0</v>
      </c>
      <c r="Z1388">
        <f t="shared" si="435"/>
        <v>0</v>
      </c>
      <c r="AA1388">
        <f>IF($D1388="",0,IF($F1388&lt;2,0,IF($E1388="Win",('Guide &amp; Settings'!$C$42/(($F1388-1)*COUNTIFS($A$4:$A$1510,$A1388,$E$4:$E$1510,"Win")))*SUMIFS($Z$4:$Z$1510,$A$4:$A$1510,$A1388,$E$4:$E$1510,"Loss"),-('Guide &amp; Settings'!$C$42/($F1388-1))*$Z1388)))</f>
        <v>0</v>
      </c>
      <c r="AB1388" s="126">
        <f t="shared" si="436"/>
        <v>0</v>
      </c>
      <c r="AC1388" t="str">
        <f>IF($D1388="","",IF($AD1388=0,0,IF(COUNTIFS($D$4:$D1388,$D1388,$B$4:$B1388,$B1388)&gt;1,0,IF($B1388&lt;'Guide &amp; Settings'!$C$50,0,IF(($B1388-$AD1388)/7-'Guide &amp; Settings'!$C$48&gt;=0,(INT(($B1388-$AD1388)/7-'Guide &amp; Settings'!$C$48)+1)*'Guide &amp; Settings'!$C$49,0)))))</f>
        <v/>
      </c>
      <c r="AD1388" s="142">
        <f t="shared" si="437"/>
        <v>0</v>
      </c>
      <c r="AE1388">
        <f t="shared" si="438"/>
        <v>0</v>
      </c>
      <c r="AF1388">
        <f t="shared" si="439"/>
        <v>0</v>
      </c>
    </row>
    <row r="1389" spans="1:32" x14ac:dyDescent="0.2">
      <c r="A1389" s="117"/>
      <c r="B1389" s="118"/>
      <c r="C1389" s="119"/>
      <c r="D1389" s="119"/>
      <c r="E1389" s="117"/>
      <c r="F1389" s="120">
        <f t="shared" si="420"/>
        <v>0</v>
      </c>
      <c r="G1389" s="121" t="str">
        <f t="shared" si="421"/>
        <v/>
      </c>
      <c r="H1389" s="122">
        <f>IF($D1389="",0,IFERROR(LOOKUP(2,1/(($D$3:D1388=$D1389)*($A$3:A1388&lt;$A1389)),$N$3:N1388),'Guide &amp; Settings'!$C$41))</f>
        <v>0</v>
      </c>
      <c r="I1389" s="123">
        <f t="shared" si="422"/>
        <v>0</v>
      </c>
      <c r="J1389" s="124">
        <f>IF($D1389="",0,IF($F1389&lt;2,0,IF($E1389="Win",('Guide &amp; Settings'!$C$42/(($F1389-1)*COUNTIFS($A$4:$A$1510,$A1389,$E$4:$E$1510,"Win")))*SUMIFS($X$4:$X$1510,$A$4:$A$1510,$A1389,$E$4:$E$1510,"Loss"),-('Guide &amp; Settings'!$C$42/($F1389-1))*$X1389)))</f>
        <v>0</v>
      </c>
      <c r="K1389" s="124">
        <f>IF($D1389="",0,'Guide &amp; Settings'!$C$43*(IF($E1389="Win",1,0)-$I1389))</f>
        <v>0</v>
      </c>
      <c r="L1389" s="125">
        <f>IF($D1389="",0,'Guide &amp; Settings'!$C$44*IF($F1389&gt;=3,$F1389,0))</f>
        <v>0</v>
      </c>
      <c r="M1389" s="124">
        <f t="shared" si="423"/>
        <v>0</v>
      </c>
      <c r="N1389" s="122">
        <f t="shared" si="424"/>
        <v>0</v>
      </c>
      <c r="O1389" s="121" t="str">
        <f t="shared" si="425"/>
        <v/>
      </c>
      <c r="P1389">
        <f t="shared" si="426"/>
        <v>0</v>
      </c>
      <c r="Q1389">
        <f t="shared" si="427"/>
        <v>0</v>
      </c>
      <c r="R1389">
        <f t="shared" si="428"/>
        <v>0</v>
      </c>
      <c r="S1389">
        <f t="shared" si="429"/>
        <v>0</v>
      </c>
      <c r="T1389" s="89">
        <f t="shared" si="430"/>
        <v>0</v>
      </c>
      <c r="U1389" s="126">
        <f>IF($D1389="",0,IFERROR(LOOKUP(2,1/(($D$3:D1388=$D1389)*($C$3:C1388=$C1389)*($A$3:A1388&lt;$A1389)),$AB$3:AB1388),1000))</f>
        <v>0</v>
      </c>
      <c r="V1389" s="126">
        <f t="shared" si="431"/>
        <v>0</v>
      </c>
      <c r="W1389">
        <f t="shared" si="432"/>
        <v>0</v>
      </c>
      <c r="X1389">
        <f t="shared" si="433"/>
        <v>0</v>
      </c>
      <c r="Y1389">
        <f t="shared" si="434"/>
        <v>0</v>
      </c>
      <c r="Z1389">
        <f t="shared" si="435"/>
        <v>0</v>
      </c>
      <c r="AA1389">
        <f>IF($D1389="",0,IF($F1389&lt;2,0,IF($E1389="Win",('Guide &amp; Settings'!$C$42/(($F1389-1)*COUNTIFS($A$4:$A$1510,$A1389,$E$4:$E$1510,"Win")))*SUMIFS($Z$4:$Z$1510,$A$4:$A$1510,$A1389,$E$4:$E$1510,"Loss"),-('Guide &amp; Settings'!$C$42/($F1389-1))*$Z1389)))</f>
        <v>0</v>
      </c>
      <c r="AB1389" s="126">
        <f t="shared" si="436"/>
        <v>0</v>
      </c>
      <c r="AC1389" t="str">
        <f>IF($D1389="","",IF($AD1389=0,0,IF(COUNTIFS($D$4:$D1389,$D1389,$B$4:$B1389,$B1389)&gt;1,0,IF($B1389&lt;'Guide &amp; Settings'!$C$50,0,IF(($B1389-$AD1389)/7-'Guide &amp; Settings'!$C$48&gt;=0,(INT(($B1389-$AD1389)/7-'Guide &amp; Settings'!$C$48)+1)*'Guide &amp; Settings'!$C$49,0)))))</f>
        <v/>
      </c>
      <c r="AD1389" s="142">
        <f t="shared" si="437"/>
        <v>0</v>
      </c>
      <c r="AE1389">
        <f t="shared" si="438"/>
        <v>0</v>
      </c>
      <c r="AF1389">
        <f t="shared" si="439"/>
        <v>0</v>
      </c>
    </row>
    <row r="1390" spans="1:32" x14ac:dyDescent="0.2">
      <c r="A1390" s="117"/>
      <c r="B1390" s="118"/>
      <c r="C1390" s="119"/>
      <c r="D1390" s="119"/>
      <c r="E1390" s="117"/>
      <c r="F1390" s="120">
        <f t="shared" si="420"/>
        <v>0</v>
      </c>
      <c r="G1390" s="121" t="str">
        <f t="shared" si="421"/>
        <v/>
      </c>
      <c r="H1390" s="122">
        <f>IF($D1390="",0,IFERROR(LOOKUP(2,1/(($D$3:D1389=$D1390)*($A$3:A1389&lt;$A1390)),$N$3:N1389),'Guide &amp; Settings'!$C$41))</f>
        <v>0</v>
      </c>
      <c r="I1390" s="123">
        <f t="shared" si="422"/>
        <v>0</v>
      </c>
      <c r="J1390" s="124">
        <f>IF($D1390="",0,IF($F1390&lt;2,0,IF($E1390="Win",('Guide &amp; Settings'!$C$42/(($F1390-1)*COUNTIFS($A$4:$A$1510,$A1390,$E$4:$E$1510,"Win")))*SUMIFS($X$4:$X$1510,$A$4:$A$1510,$A1390,$E$4:$E$1510,"Loss"),-('Guide &amp; Settings'!$C$42/($F1390-1))*$X1390)))</f>
        <v>0</v>
      </c>
      <c r="K1390" s="124">
        <f>IF($D1390="",0,'Guide &amp; Settings'!$C$43*(IF($E1390="Win",1,0)-$I1390))</f>
        <v>0</v>
      </c>
      <c r="L1390" s="125">
        <f>IF($D1390="",0,'Guide &amp; Settings'!$C$44*IF($F1390&gt;=3,$F1390,0))</f>
        <v>0</v>
      </c>
      <c r="M1390" s="124">
        <f t="shared" si="423"/>
        <v>0</v>
      </c>
      <c r="N1390" s="122">
        <f t="shared" si="424"/>
        <v>0</v>
      </c>
      <c r="O1390" s="121" t="str">
        <f t="shared" si="425"/>
        <v/>
      </c>
      <c r="P1390">
        <f t="shared" si="426"/>
        <v>0</v>
      </c>
      <c r="Q1390">
        <f t="shared" si="427"/>
        <v>0</v>
      </c>
      <c r="R1390">
        <f t="shared" si="428"/>
        <v>0</v>
      </c>
      <c r="S1390">
        <f t="shared" si="429"/>
        <v>0</v>
      </c>
      <c r="T1390" s="89">
        <f t="shared" si="430"/>
        <v>0</v>
      </c>
      <c r="U1390" s="126">
        <f>IF($D1390="",0,IFERROR(LOOKUP(2,1/(($D$3:D1389=$D1390)*($C$3:C1389=$C1390)*($A$3:A1389&lt;$A1390)),$AB$3:AB1389),1000))</f>
        <v>0</v>
      </c>
      <c r="V1390" s="126">
        <f t="shared" si="431"/>
        <v>0</v>
      </c>
      <c r="W1390">
        <f t="shared" si="432"/>
        <v>0</v>
      </c>
      <c r="X1390">
        <f t="shared" si="433"/>
        <v>0</v>
      </c>
      <c r="Y1390">
        <f t="shared" si="434"/>
        <v>0</v>
      </c>
      <c r="Z1390">
        <f t="shared" si="435"/>
        <v>0</v>
      </c>
      <c r="AA1390">
        <f>IF($D1390="",0,IF($F1390&lt;2,0,IF($E1390="Win",('Guide &amp; Settings'!$C$42/(($F1390-1)*COUNTIFS($A$4:$A$1510,$A1390,$E$4:$E$1510,"Win")))*SUMIFS($Z$4:$Z$1510,$A$4:$A$1510,$A1390,$E$4:$E$1510,"Loss"),-('Guide &amp; Settings'!$C$42/($F1390-1))*$Z1390)))</f>
        <v>0</v>
      </c>
      <c r="AB1390" s="126">
        <f t="shared" si="436"/>
        <v>0</v>
      </c>
      <c r="AC1390" t="str">
        <f>IF($D1390="","",IF($AD1390=0,0,IF(COUNTIFS($D$4:$D1390,$D1390,$B$4:$B1390,$B1390)&gt;1,0,IF($B1390&lt;'Guide &amp; Settings'!$C$50,0,IF(($B1390-$AD1390)/7-'Guide &amp; Settings'!$C$48&gt;=0,(INT(($B1390-$AD1390)/7-'Guide &amp; Settings'!$C$48)+1)*'Guide &amp; Settings'!$C$49,0)))))</f>
        <v/>
      </c>
      <c r="AD1390" s="142">
        <f t="shared" si="437"/>
        <v>0</v>
      </c>
      <c r="AE1390">
        <f t="shared" si="438"/>
        <v>0</v>
      </c>
      <c r="AF1390">
        <f t="shared" si="439"/>
        <v>0</v>
      </c>
    </row>
    <row r="1391" spans="1:32" x14ac:dyDescent="0.2">
      <c r="A1391" s="117"/>
      <c r="B1391" s="118"/>
      <c r="C1391" s="119"/>
      <c r="D1391" s="119"/>
      <c r="E1391" s="117"/>
      <c r="F1391" s="120">
        <f t="shared" si="420"/>
        <v>0</v>
      </c>
      <c r="G1391" s="121" t="str">
        <f t="shared" si="421"/>
        <v/>
      </c>
      <c r="H1391" s="122">
        <f>IF($D1391="",0,IFERROR(LOOKUP(2,1/(($D$3:D1390=$D1391)*($A$3:A1390&lt;$A1391)),$N$3:N1390),'Guide &amp; Settings'!$C$41))</f>
        <v>0</v>
      </c>
      <c r="I1391" s="123">
        <f t="shared" si="422"/>
        <v>0</v>
      </c>
      <c r="J1391" s="124">
        <f>IF($D1391="",0,IF($F1391&lt;2,0,IF($E1391="Win",('Guide &amp; Settings'!$C$42/(($F1391-1)*COUNTIFS($A$4:$A$1510,$A1391,$E$4:$E$1510,"Win")))*SUMIFS($X$4:$X$1510,$A$4:$A$1510,$A1391,$E$4:$E$1510,"Loss"),-('Guide &amp; Settings'!$C$42/($F1391-1))*$X1391)))</f>
        <v>0</v>
      </c>
      <c r="K1391" s="124">
        <f>IF($D1391="",0,'Guide &amp; Settings'!$C$43*(IF($E1391="Win",1,0)-$I1391))</f>
        <v>0</v>
      </c>
      <c r="L1391" s="125">
        <f>IF($D1391="",0,'Guide &amp; Settings'!$C$44*IF($F1391&gt;=3,$F1391,0))</f>
        <v>0</v>
      </c>
      <c r="M1391" s="124">
        <f t="shared" si="423"/>
        <v>0</v>
      </c>
      <c r="N1391" s="122">
        <f t="shared" si="424"/>
        <v>0</v>
      </c>
      <c r="O1391" s="121" t="str">
        <f t="shared" si="425"/>
        <v/>
      </c>
      <c r="P1391">
        <f t="shared" si="426"/>
        <v>0</v>
      </c>
      <c r="Q1391">
        <f t="shared" si="427"/>
        <v>0</v>
      </c>
      <c r="R1391">
        <f t="shared" si="428"/>
        <v>0</v>
      </c>
      <c r="S1391">
        <f t="shared" si="429"/>
        <v>0</v>
      </c>
      <c r="T1391" s="89">
        <f t="shared" si="430"/>
        <v>0</v>
      </c>
      <c r="U1391" s="126">
        <f>IF($D1391="",0,IFERROR(LOOKUP(2,1/(($D$3:D1390=$D1391)*($C$3:C1390=$C1391)*($A$3:A1390&lt;$A1391)),$AB$3:AB1390),1000))</f>
        <v>0</v>
      </c>
      <c r="V1391" s="126">
        <f t="shared" si="431"/>
        <v>0</v>
      </c>
      <c r="W1391">
        <f t="shared" si="432"/>
        <v>0</v>
      </c>
      <c r="X1391">
        <f t="shared" si="433"/>
        <v>0</v>
      </c>
      <c r="Y1391">
        <f t="shared" si="434"/>
        <v>0</v>
      </c>
      <c r="Z1391">
        <f t="shared" si="435"/>
        <v>0</v>
      </c>
      <c r="AA1391">
        <f>IF($D1391="",0,IF($F1391&lt;2,0,IF($E1391="Win",('Guide &amp; Settings'!$C$42/(($F1391-1)*COUNTIFS($A$4:$A$1510,$A1391,$E$4:$E$1510,"Win")))*SUMIFS($Z$4:$Z$1510,$A$4:$A$1510,$A1391,$E$4:$E$1510,"Loss"),-('Guide &amp; Settings'!$C$42/($F1391-1))*$Z1391)))</f>
        <v>0</v>
      </c>
      <c r="AB1391" s="126">
        <f t="shared" si="436"/>
        <v>0</v>
      </c>
      <c r="AC1391" t="str">
        <f>IF($D1391="","",IF($AD1391=0,0,IF(COUNTIFS($D$4:$D1391,$D1391,$B$4:$B1391,$B1391)&gt;1,0,IF($B1391&lt;'Guide &amp; Settings'!$C$50,0,IF(($B1391-$AD1391)/7-'Guide &amp; Settings'!$C$48&gt;=0,(INT(($B1391-$AD1391)/7-'Guide &amp; Settings'!$C$48)+1)*'Guide &amp; Settings'!$C$49,0)))))</f>
        <v/>
      </c>
      <c r="AD1391" s="142">
        <f t="shared" si="437"/>
        <v>0</v>
      </c>
      <c r="AE1391">
        <f t="shared" si="438"/>
        <v>0</v>
      </c>
      <c r="AF1391">
        <f t="shared" si="439"/>
        <v>0</v>
      </c>
    </row>
    <row r="1392" spans="1:32" x14ac:dyDescent="0.2">
      <c r="A1392" s="117"/>
      <c r="B1392" s="118"/>
      <c r="C1392" s="119"/>
      <c r="D1392" s="119"/>
      <c r="E1392" s="117"/>
      <c r="F1392" s="120">
        <f t="shared" si="420"/>
        <v>0</v>
      </c>
      <c r="G1392" s="121" t="str">
        <f t="shared" si="421"/>
        <v/>
      </c>
      <c r="H1392" s="122">
        <f>IF($D1392="",0,IFERROR(LOOKUP(2,1/(($D$3:D1391=$D1392)*($A$3:A1391&lt;$A1392)),$N$3:N1391),'Guide &amp; Settings'!$C$41))</f>
        <v>0</v>
      </c>
      <c r="I1392" s="123">
        <f t="shared" si="422"/>
        <v>0</v>
      </c>
      <c r="J1392" s="124">
        <f>IF($D1392="",0,IF($F1392&lt;2,0,IF($E1392="Win",('Guide &amp; Settings'!$C$42/(($F1392-1)*COUNTIFS($A$4:$A$1510,$A1392,$E$4:$E$1510,"Win")))*SUMIFS($X$4:$X$1510,$A$4:$A$1510,$A1392,$E$4:$E$1510,"Loss"),-('Guide &amp; Settings'!$C$42/($F1392-1))*$X1392)))</f>
        <v>0</v>
      </c>
      <c r="K1392" s="124">
        <f>IF($D1392="",0,'Guide &amp; Settings'!$C$43*(IF($E1392="Win",1,0)-$I1392))</f>
        <v>0</v>
      </c>
      <c r="L1392" s="125">
        <f>IF($D1392="",0,'Guide &amp; Settings'!$C$44*IF($F1392&gt;=3,$F1392,0))</f>
        <v>0</v>
      </c>
      <c r="M1392" s="124">
        <f t="shared" si="423"/>
        <v>0</v>
      </c>
      <c r="N1392" s="122">
        <f t="shared" si="424"/>
        <v>0</v>
      </c>
      <c r="O1392" s="121" t="str">
        <f t="shared" si="425"/>
        <v/>
      </c>
      <c r="P1392">
        <f t="shared" si="426"/>
        <v>0</v>
      </c>
      <c r="Q1392">
        <f t="shared" si="427"/>
        <v>0</v>
      </c>
      <c r="R1392">
        <f t="shared" si="428"/>
        <v>0</v>
      </c>
      <c r="S1392">
        <f t="shared" si="429"/>
        <v>0</v>
      </c>
      <c r="T1392" s="89">
        <f t="shared" si="430"/>
        <v>0</v>
      </c>
      <c r="U1392" s="126">
        <f>IF($D1392="",0,IFERROR(LOOKUP(2,1/(($D$3:D1391=$D1392)*($C$3:C1391=$C1392)*($A$3:A1391&lt;$A1392)),$AB$3:AB1391),1000))</f>
        <v>0</v>
      </c>
      <c r="V1392" s="126">
        <f t="shared" si="431"/>
        <v>0</v>
      </c>
      <c r="W1392">
        <f t="shared" si="432"/>
        <v>0</v>
      </c>
      <c r="X1392">
        <f t="shared" si="433"/>
        <v>0</v>
      </c>
      <c r="Y1392">
        <f t="shared" si="434"/>
        <v>0</v>
      </c>
      <c r="Z1392">
        <f t="shared" si="435"/>
        <v>0</v>
      </c>
      <c r="AA1392">
        <f>IF($D1392="",0,IF($F1392&lt;2,0,IF($E1392="Win",('Guide &amp; Settings'!$C$42/(($F1392-1)*COUNTIFS($A$4:$A$1510,$A1392,$E$4:$E$1510,"Win")))*SUMIFS($Z$4:$Z$1510,$A$4:$A$1510,$A1392,$E$4:$E$1510,"Loss"),-('Guide &amp; Settings'!$C$42/($F1392-1))*$Z1392)))</f>
        <v>0</v>
      </c>
      <c r="AB1392" s="126">
        <f t="shared" si="436"/>
        <v>0</v>
      </c>
      <c r="AC1392" t="str">
        <f>IF($D1392="","",IF($AD1392=0,0,IF(COUNTIFS($D$4:$D1392,$D1392,$B$4:$B1392,$B1392)&gt;1,0,IF($B1392&lt;'Guide &amp; Settings'!$C$50,0,IF(($B1392-$AD1392)/7-'Guide &amp; Settings'!$C$48&gt;=0,(INT(($B1392-$AD1392)/7-'Guide &amp; Settings'!$C$48)+1)*'Guide &amp; Settings'!$C$49,0)))))</f>
        <v/>
      </c>
      <c r="AD1392" s="142">
        <f t="shared" si="437"/>
        <v>0</v>
      </c>
      <c r="AE1392">
        <f t="shared" si="438"/>
        <v>0</v>
      </c>
      <c r="AF1392">
        <f t="shared" si="439"/>
        <v>0</v>
      </c>
    </row>
    <row r="1393" spans="1:32" x14ac:dyDescent="0.2">
      <c r="A1393" s="117"/>
      <c r="B1393" s="118"/>
      <c r="C1393" s="119"/>
      <c r="D1393" s="119"/>
      <c r="E1393" s="117"/>
      <c r="F1393" s="120">
        <f t="shared" si="420"/>
        <v>0</v>
      </c>
      <c r="G1393" s="121" t="str">
        <f t="shared" si="421"/>
        <v/>
      </c>
      <c r="H1393" s="122">
        <f>IF($D1393="",0,IFERROR(LOOKUP(2,1/(($D$3:D1392=$D1393)*($A$3:A1392&lt;$A1393)),$N$3:N1392),'Guide &amp; Settings'!$C$41))</f>
        <v>0</v>
      </c>
      <c r="I1393" s="123">
        <f t="shared" si="422"/>
        <v>0</v>
      </c>
      <c r="J1393" s="124">
        <f>IF($D1393="",0,IF($F1393&lt;2,0,IF($E1393="Win",('Guide &amp; Settings'!$C$42/(($F1393-1)*COUNTIFS($A$4:$A$1510,$A1393,$E$4:$E$1510,"Win")))*SUMIFS($X$4:$X$1510,$A$4:$A$1510,$A1393,$E$4:$E$1510,"Loss"),-('Guide &amp; Settings'!$C$42/($F1393-1))*$X1393)))</f>
        <v>0</v>
      </c>
      <c r="K1393" s="124">
        <f>IF($D1393="",0,'Guide &amp; Settings'!$C$43*(IF($E1393="Win",1,0)-$I1393))</f>
        <v>0</v>
      </c>
      <c r="L1393" s="125">
        <f>IF($D1393="",0,'Guide &amp; Settings'!$C$44*IF($F1393&gt;=3,$F1393,0))</f>
        <v>0</v>
      </c>
      <c r="M1393" s="124">
        <f t="shared" si="423"/>
        <v>0</v>
      </c>
      <c r="N1393" s="122">
        <f t="shared" si="424"/>
        <v>0</v>
      </c>
      <c r="O1393" s="121" t="str">
        <f t="shared" si="425"/>
        <v/>
      </c>
      <c r="P1393">
        <f t="shared" si="426"/>
        <v>0</v>
      </c>
      <c r="Q1393">
        <f t="shared" si="427"/>
        <v>0</v>
      </c>
      <c r="R1393">
        <f t="shared" si="428"/>
        <v>0</v>
      </c>
      <c r="S1393">
        <f t="shared" si="429"/>
        <v>0</v>
      </c>
      <c r="T1393" s="89">
        <f t="shared" si="430"/>
        <v>0</v>
      </c>
      <c r="U1393" s="126">
        <f>IF($D1393="",0,IFERROR(LOOKUP(2,1/(($D$3:D1392=$D1393)*($C$3:C1392=$C1393)*($A$3:A1392&lt;$A1393)),$AB$3:AB1392),1000))</f>
        <v>0</v>
      </c>
      <c r="V1393" s="126">
        <f t="shared" si="431"/>
        <v>0</v>
      </c>
      <c r="W1393">
        <f t="shared" si="432"/>
        <v>0</v>
      </c>
      <c r="X1393">
        <f t="shared" si="433"/>
        <v>0</v>
      </c>
      <c r="Y1393">
        <f t="shared" si="434"/>
        <v>0</v>
      </c>
      <c r="Z1393">
        <f t="shared" si="435"/>
        <v>0</v>
      </c>
      <c r="AA1393">
        <f>IF($D1393="",0,IF($F1393&lt;2,0,IF($E1393="Win",('Guide &amp; Settings'!$C$42/(($F1393-1)*COUNTIFS($A$4:$A$1510,$A1393,$E$4:$E$1510,"Win")))*SUMIFS($Z$4:$Z$1510,$A$4:$A$1510,$A1393,$E$4:$E$1510,"Loss"),-('Guide &amp; Settings'!$C$42/($F1393-1))*$Z1393)))</f>
        <v>0</v>
      </c>
      <c r="AB1393" s="126">
        <f t="shared" si="436"/>
        <v>0</v>
      </c>
      <c r="AC1393" t="str">
        <f>IF($D1393="","",IF($AD1393=0,0,IF(COUNTIFS($D$4:$D1393,$D1393,$B$4:$B1393,$B1393)&gt;1,0,IF($B1393&lt;'Guide &amp; Settings'!$C$50,0,IF(($B1393-$AD1393)/7-'Guide &amp; Settings'!$C$48&gt;=0,(INT(($B1393-$AD1393)/7-'Guide &amp; Settings'!$C$48)+1)*'Guide &amp; Settings'!$C$49,0)))))</f>
        <v/>
      </c>
      <c r="AD1393" s="142">
        <f t="shared" si="437"/>
        <v>0</v>
      </c>
      <c r="AE1393">
        <f t="shared" si="438"/>
        <v>0</v>
      </c>
      <c r="AF1393">
        <f t="shared" si="439"/>
        <v>0</v>
      </c>
    </row>
    <row r="1394" spans="1:32" x14ac:dyDescent="0.2">
      <c r="A1394" s="117"/>
      <c r="B1394" s="118"/>
      <c r="C1394" s="119"/>
      <c r="D1394" s="119"/>
      <c r="E1394" s="117"/>
      <c r="F1394" s="120">
        <f t="shared" si="420"/>
        <v>0</v>
      </c>
      <c r="G1394" s="121" t="str">
        <f t="shared" si="421"/>
        <v/>
      </c>
      <c r="H1394" s="122">
        <f>IF($D1394="",0,IFERROR(LOOKUP(2,1/(($D$3:D1393=$D1394)*($A$3:A1393&lt;$A1394)),$N$3:N1393),'Guide &amp; Settings'!$C$41))</f>
        <v>0</v>
      </c>
      <c r="I1394" s="123">
        <f t="shared" si="422"/>
        <v>0</v>
      </c>
      <c r="J1394" s="124">
        <f>IF($D1394="",0,IF($F1394&lt;2,0,IF($E1394="Win",('Guide &amp; Settings'!$C$42/(($F1394-1)*COUNTIFS($A$4:$A$1510,$A1394,$E$4:$E$1510,"Win")))*SUMIFS($X$4:$X$1510,$A$4:$A$1510,$A1394,$E$4:$E$1510,"Loss"),-('Guide &amp; Settings'!$C$42/($F1394-1))*$X1394)))</f>
        <v>0</v>
      </c>
      <c r="K1394" s="124">
        <f>IF($D1394="",0,'Guide &amp; Settings'!$C$43*(IF($E1394="Win",1,0)-$I1394))</f>
        <v>0</v>
      </c>
      <c r="L1394" s="125">
        <f>IF($D1394="",0,'Guide &amp; Settings'!$C$44*IF($F1394&gt;=3,$F1394,0))</f>
        <v>0</v>
      </c>
      <c r="M1394" s="124">
        <f t="shared" si="423"/>
        <v>0</v>
      </c>
      <c r="N1394" s="122">
        <f t="shared" si="424"/>
        <v>0</v>
      </c>
      <c r="O1394" s="121" t="str">
        <f t="shared" si="425"/>
        <v/>
      </c>
      <c r="P1394">
        <f t="shared" si="426"/>
        <v>0</v>
      </c>
      <c r="Q1394">
        <f t="shared" si="427"/>
        <v>0</v>
      </c>
      <c r="R1394">
        <f t="shared" si="428"/>
        <v>0</v>
      </c>
      <c r="S1394">
        <f t="shared" si="429"/>
        <v>0</v>
      </c>
      <c r="T1394" s="89">
        <f t="shared" si="430"/>
        <v>0</v>
      </c>
      <c r="U1394" s="126">
        <f>IF($D1394="",0,IFERROR(LOOKUP(2,1/(($D$3:D1393=$D1394)*($C$3:C1393=$C1394)*($A$3:A1393&lt;$A1394)),$AB$3:AB1393),1000))</f>
        <v>0</v>
      </c>
      <c r="V1394" s="126">
        <f t="shared" si="431"/>
        <v>0</v>
      </c>
      <c r="W1394">
        <f t="shared" si="432"/>
        <v>0</v>
      </c>
      <c r="X1394">
        <f t="shared" si="433"/>
        <v>0</v>
      </c>
      <c r="Y1394">
        <f t="shared" si="434"/>
        <v>0</v>
      </c>
      <c r="Z1394">
        <f t="shared" si="435"/>
        <v>0</v>
      </c>
      <c r="AA1394">
        <f>IF($D1394="",0,IF($F1394&lt;2,0,IF($E1394="Win",('Guide &amp; Settings'!$C$42/(($F1394-1)*COUNTIFS($A$4:$A$1510,$A1394,$E$4:$E$1510,"Win")))*SUMIFS($Z$4:$Z$1510,$A$4:$A$1510,$A1394,$E$4:$E$1510,"Loss"),-('Guide &amp; Settings'!$C$42/($F1394-1))*$Z1394)))</f>
        <v>0</v>
      </c>
      <c r="AB1394" s="126">
        <f t="shared" si="436"/>
        <v>0</v>
      </c>
      <c r="AC1394" t="str">
        <f>IF($D1394="","",IF($AD1394=0,0,IF(COUNTIFS($D$4:$D1394,$D1394,$B$4:$B1394,$B1394)&gt;1,0,IF($B1394&lt;'Guide &amp; Settings'!$C$50,0,IF(($B1394-$AD1394)/7-'Guide &amp; Settings'!$C$48&gt;=0,(INT(($B1394-$AD1394)/7-'Guide &amp; Settings'!$C$48)+1)*'Guide &amp; Settings'!$C$49,0)))))</f>
        <v/>
      </c>
      <c r="AD1394" s="142">
        <f t="shared" si="437"/>
        <v>0</v>
      </c>
      <c r="AE1394">
        <f t="shared" si="438"/>
        <v>0</v>
      </c>
      <c r="AF1394">
        <f t="shared" si="439"/>
        <v>0</v>
      </c>
    </row>
    <row r="1395" spans="1:32" x14ac:dyDescent="0.2">
      <c r="A1395" s="117"/>
      <c r="B1395" s="118"/>
      <c r="C1395" s="119"/>
      <c r="D1395" s="119"/>
      <c r="E1395" s="117"/>
      <c r="F1395" s="120">
        <f t="shared" si="420"/>
        <v>0</v>
      </c>
      <c r="G1395" s="121" t="str">
        <f t="shared" si="421"/>
        <v/>
      </c>
      <c r="H1395" s="122">
        <f>IF($D1395="",0,IFERROR(LOOKUP(2,1/(($D$3:D1394=$D1395)*($A$3:A1394&lt;$A1395)),$N$3:N1394),'Guide &amp; Settings'!$C$41))</f>
        <v>0</v>
      </c>
      <c r="I1395" s="123">
        <f t="shared" si="422"/>
        <v>0</v>
      </c>
      <c r="J1395" s="124">
        <f>IF($D1395="",0,IF($F1395&lt;2,0,IF($E1395="Win",('Guide &amp; Settings'!$C$42/(($F1395-1)*COUNTIFS($A$4:$A$1510,$A1395,$E$4:$E$1510,"Win")))*SUMIFS($X$4:$X$1510,$A$4:$A$1510,$A1395,$E$4:$E$1510,"Loss"),-('Guide &amp; Settings'!$C$42/($F1395-1))*$X1395)))</f>
        <v>0</v>
      </c>
      <c r="K1395" s="124">
        <f>IF($D1395="",0,'Guide &amp; Settings'!$C$43*(IF($E1395="Win",1,0)-$I1395))</f>
        <v>0</v>
      </c>
      <c r="L1395" s="125">
        <f>IF($D1395="",0,'Guide &amp; Settings'!$C$44*IF($F1395&gt;=3,$F1395,0))</f>
        <v>0</v>
      </c>
      <c r="M1395" s="124">
        <f t="shared" si="423"/>
        <v>0</v>
      </c>
      <c r="N1395" s="122">
        <f t="shared" si="424"/>
        <v>0</v>
      </c>
      <c r="O1395" s="121" t="str">
        <f t="shared" si="425"/>
        <v/>
      </c>
      <c r="P1395">
        <f t="shared" si="426"/>
        <v>0</v>
      </c>
      <c r="Q1395">
        <f t="shared" si="427"/>
        <v>0</v>
      </c>
      <c r="R1395">
        <f t="shared" si="428"/>
        <v>0</v>
      </c>
      <c r="S1395">
        <f t="shared" si="429"/>
        <v>0</v>
      </c>
      <c r="T1395" s="89">
        <f t="shared" si="430"/>
        <v>0</v>
      </c>
      <c r="U1395" s="126">
        <f>IF($D1395="",0,IFERROR(LOOKUP(2,1/(($D$3:D1394=$D1395)*($C$3:C1394=$C1395)*($A$3:A1394&lt;$A1395)),$AB$3:AB1394),1000))</f>
        <v>0</v>
      </c>
      <c r="V1395" s="126">
        <f t="shared" si="431"/>
        <v>0</v>
      </c>
      <c r="W1395">
        <f t="shared" si="432"/>
        <v>0</v>
      </c>
      <c r="X1395">
        <f t="shared" si="433"/>
        <v>0</v>
      </c>
      <c r="Y1395">
        <f t="shared" si="434"/>
        <v>0</v>
      </c>
      <c r="Z1395">
        <f t="shared" si="435"/>
        <v>0</v>
      </c>
      <c r="AA1395">
        <f>IF($D1395="",0,IF($F1395&lt;2,0,IF($E1395="Win",('Guide &amp; Settings'!$C$42/(($F1395-1)*COUNTIFS($A$4:$A$1510,$A1395,$E$4:$E$1510,"Win")))*SUMIFS($Z$4:$Z$1510,$A$4:$A$1510,$A1395,$E$4:$E$1510,"Loss"),-('Guide &amp; Settings'!$C$42/($F1395-1))*$Z1395)))</f>
        <v>0</v>
      </c>
      <c r="AB1395" s="126">
        <f t="shared" si="436"/>
        <v>0</v>
      </c>
      <c r="AC1395" t="str">
        <f>IF($D1395="","",IF($AD1395=0,0,IF(COUNTIFS($D$4:$D1395,$D1395,$B$4:$B1395,$B1395)&gt;1,0,IF($B1395&lt;'Guide &amp; Settings'!$C$50,0,IF(($B1395-$AD1395)/7-'Guide &amp; Settings'!$C$48&gt;=0,(INT(($B1395-$AD1395)/7-'Guide &amp; Settings'!$C$48)+1)*'Guide &amp; Settings'!$C$49,0)))))</f>
        <v/>
      </c>
      <c r="AD1395" s="142">
        <f t="shared" si="437"/>
        <v>0</v>
      </c>
      <c r="AE1395">
        <f t="shared" si="438"/>
        <v>0</v>
      </c>
      <c r="AF1395">
        <f t="shared" si="439"/>
        <v>0</v>
      </c>
    </row>
    <row r="1396" spans="1:32" x14ac:dyDescent="0.2">
      <c r="A1396" s="117"/>
      <c r="B1396" s="118"/>
      <c r="C1396" s="119"/>
      <c r="D1396" s="119"/>
      <c r="E1396" s="117"/>
      <c r="F1396" s="120">
        <f t="shared" si="420"/>
        <v>0</v>
      </c>
      <c r="G1396" s="121" t="str">
        <f t="shared" si="421"/>
        <v/>
      </c>
      <c r="H1396" s="122">
        <f>IF($D1396="",0,IFERROR(LOOKUP(2,1/(($D$3:D1395=$D1396)*($A$3:A1395&lt;$A1396)),$N$3:N1395),'Guide &amp; Settings'!$C$41))</f>
        <v>0</v>
      </c>
      <c r="I1396" s="123">
        <f t="shared" si="422"/>
        <v>0</v>
      </c>
      <c r="J1396" s="124">
        <f>IF($D1396="",0,IF($F1396&lt;2,0,IF($E1396="Win",('Guide &amp; Settings'!$C$42/(($F1396-1)*COUNTIFS($A$4:$A$1510,$A1396,$E$4:$E$1510,"Win")))*SUMIFS($X$4:$X$1510,$A$4:$A$1510,$A1396,$E$4:$E$1510,"Loss"),-('Guide &amp; Settings'!$C$42/($F1396-1))*$X1396)))</f>
        <v>0</v>
      </c>
      <c r="K1396" s="124">
        <f>IF($D1396="",0,'Guide &amp; Settings'!$C$43*(IF($E1396="Win",1,0)-$I1396))</f>
        <v>0</v>
      </c>
      <c r="L1396" s="125">
        <f>IF($D1396="",0,'Guide &amp; Settings'!$C$44*IF($F1396&gt;=3,$F1396,0))</f>
        <v>0</v>
      </c>
      <c r="M1396" s="124">
        <f t="shared" si="423"/>
        <v>0</v>
      </c>
      <c r="N1396" s="122">
        <f t="shared" si="424"/>
        <v>0</v>
      </c>
      <c r="O1396" s="121" t="str">
        <f t="shared" si="425"/>
        <v/>
      </c>
      <c r="P1396">
        <f t="shared" si="426"/>
        <v>0</v>
      </c>
      <c r="Q1396">
        <f t="shared" si="427"/>
        <v>0</v>
      </c>
      <c r="R1396">
        <f t="shared" si="428"/>
        <v>0</v>
      </c>
      <c r="S1396">
        <f t="shared" si="429"/>
        <v>0</v>
      </c>
      <c r="T1396" s="89">
        <f t="shared" si="430"/>
        <v>0</v>
      </c>
      <c r="U1396" s="126">
        <f>IF($D1396="",0,IFERROR(LOOKUP(2,1/(($D$3:D1395=$D1396)*($C$3:C1395=$C1396)*($A$3:A1395&lt;$A1396)),$AB$3:AB1395),1000))</f>
        <v>0</v>
      </c>
      <c r="V1396" s="126">
        <f t="shared" si="431"/>
        <v>0</v>
      </c>
      <c r="W1396">
        <f t="shared" si="432"/>
        <v>0</v>
      </c>
      <c r="X1396">
        <f t="shared" si="433"/>
        <v>0</v>
      </c>
      <c r="Y1396">
        <f t="shared" si="434"/>
        <v>0</v>
      </c>
      <c r="Z1396">
        <f t="shared" si="435"/>
        <v>0</v>
      </c>
      <c r="AA1396">
        <f>IF($D1396="",0,IF($F1396&lt;2,0,IF($E1396="Win",('Guide &amp; Settings'!$C$42/(($F1396-1)*COUNTIFS($A$4:$A$1510,$A1396,$E$4:$E$1510,"Win")))*SUMIFS($Z$4:$Z$1510,$A$4:$A$1510,$A1396,$E$4:$E$1510,"Loss"),-('Guide &amp; Settings'!$C$42/($F1396-1))*$Z1396)))</f>
        <v>0</v>
      </c>
      <c r="AB1396" s="126">
        <f t="shared" si="436"/>
        <v>0</v>
      </c>
      <c r="AC1396" t="str">
        <f>IF($D1396="","",IF($AD1396=0,0,IF(COUNTIFS($D$4:$D1396,$D1396,$B$4:$B1396,$B1396)&gt;1,0,IF($B1396&lt;'Guide &amp; Settings'!$C$50,0,IF(($B1396-$AD1396)/7-'Guide &amp; Settings'!$C$48&gt;=0,(INT(($B1396-$AD1396)/7-'Guide &amp; Settings'!$C$48)+1)*'Guide &amp; Settings'!$C$49,0)))))</f>
        <v/>
      </c>
      <c r="AD1396" s="142">
        <f t="shared" si="437"/>
        <v>0</v>
      </c>
      <c r="AE1396">
        <f t="shared" si="438"/>
        <v>0</v>
      </c>
      <c r="AF1396">
        <f t="shared" si="439"/>
        <v>0</v>
      </c>
    </row>
    <row r="1397" spans="1:32" x14ac:dyDescent="0.2">
      <c r="A1397" s="117"/>
      <c r="B1397" s="118"/>
      <c r="C1397" s="119"/>
      <c r="D1397" s="119"/>
      <c r="E1397" s="117"/>
      <c r="F1397" s="120">
        <f t="shared" si="420"/>
        <v>0</v>
      </c>
      <c r="G1397" s="121" t="str">
        <f t="shared" si="421"/>
        <v/>
      </c>
      <c r="H1397" s="122">
        <f>IF($D1397="",0,IFERROR(LOOKUP(2,1/(($D$3:D1396=$D1397)*($A$3:A1396&lt;$A1397)),$N$3:N1396),'Guide &amp; Settings'!$C$41))</f>
        <v>0</v>
      </c>
      <c r="I1397" s="123">
        <f t="shared" si="422"/>
        <v>0</v>
      </c>
      <c r="J1397" s="124">
        <f>IF($D1397="",0,IF($F1397&lt;2,0,IF($E1397="Win",('Guide &amp; Settings'!$C$42/(($F1397-1)*COUNTIFS($A$4:$A$1510,$A1397,$E$4:$E$1510,"Win")))*SUMIFS($X$4:$X$1510,$A$4:$A$1510,$A1397,$E$4:$E$1510,"Loss"),-('Guide &amp; Settings'!$C$42/($F1397-1))*$X1397)))</f>
        <v>0</v>
      </c>
      <c r="K1397" s="124">
        <f>IF($D1397="",0,'Guide &amp; Settings'!$C$43*(IF($E1397="Win",1,0)-$I1397))</f>
        <v>0</v>
      </c>
      <c r="L1397" s="125">
        <f>IF($D1397="",0,'Guide &amp; Settings'!$C$44*IF($F1397&gt;=3,$F1397,0))</f>
        <v>0</v>
      </c>
      <c r="M1397" s="124">
        <f t="shared" si="423"/>
        <v>0</v>
      </c>
      <c r="N1397" s="122">
        <f t="shared" si="424"/>
        <v>0</v>
      </c>
      <c r="O1397" s="121" t="str">
        <f t="shared" si="425"/>
        <v/>
      </c>
      <c r="P1397">
        <f t="shared" si="426"/>
        <v>0</v>
      </c>
      <c r="Q1397">
        <f t="shared" si="427"/>
        <v>0</v>
      </c>
      <c r="R1397">
        <f t="shared" si="428"/>
        <v>0</v>
      </c>
      <c r="S1397">
        <f t="shared" si="429"/>
        <v>0</v>
      </c>
      <c r="T1397" s="89">
        <f t="shared" si="430"/>
        <v>0</v>
      </c>
      <c r="U1397" s="126">
        <f>IF($D1397="",0,IFERROR(LOOKUP(2,1/(($D$3:D1396=$D1397)*($C$3:C1396=$C1397)*($A$3:A1396&lt;$A1397)),$AB$3:AB1396),1000))</f>
        <v>0</v>
      </c>
      <c r="V1397" s="126">
        <f t="shared" si="431"/>
        <v>0</v>
      </c>
      <c r="W1397">
        <f t="shared" si="432"/>
        <v>0</v>
      </c>
      <c r="X1397">
        <f t="shared" si="433"/>
        <v>0</v>
      </c>
      <c r="Y1397">
        <f t="shared" si="434"/>
        <v>0</v>
      </c>
      <c r="Z1397">
        <f t="shared" si="435"/>
        <v>0</v>
      </c>
      <c r="AA1397">
        <f>IF($D1397="",0,IF($F1397&lt;2,0,IF($E1397="Win",('Guide &amp; Settings'!$C$42/(($F1397-1)*COUNTIFS($A$4:$A$1510,$A1397,$E$4:$E$1510,"Win")))*SUMIFS($Z$4:$Z$1510,$A$4:$A$1510,$A1397,$E$4:$E$1510,"Loss"),-('Guide &amp; Settings'!$C$42/($F1397-1))*$Z1397)))</f>
        <v>0</v>
      </c>
      <c r="AB1397" s="126">
        <f t="shared" si="436"/>
        <v>0</v>
      </c>
      <c r="AC1397" t="str">
        <f>IF($D1397="","",IF($AD1397=0,0,IF(COUNTIFS($D$4:$D1397,$D1397,$B$4:$B1397,$B1397)&gt;1,0,IF($B1397&lt;'Guide &amp; Settings'!$C$50,0,IF(($B1397-$AD1397)/7-'Guide &amp; Settings'!$C$48&gt;=0,(INT(($B1397-$AD1397)/7-'Guide &amp; Settings'!$C$48)+1)*'Guide &amp; Settings'!$C$49,0)))))</f>
        <v/>
      </c>
      <c r="AD1397" s="142">
        <f t="shared" si="437"/>
        <v>0</v>
      </c>
      <c r="AE1397">
        <f t="shared" si="438"/>
        <v>0</v>
      </c>
      <c r="AF1397">
        <f t="shared" si="439"/>
        <v>0</v>
      </c>
    </row>
    <row r="1398" spans="1:32" x14ac:dyDescent="0.2">
      <c r="A1398" s="117"/>
      <c r="B1398" s="118"/>
      <c r="C1398" s="119"/>
      <c r="D1398" s="119"/>
      <c r="E1398" s="117"/>
      <c r="F1398" s="120">
        <f t="shared" si="420"/>
        <v>0</v>
      </c>
      <c r="G1398" s="121" t="str">
        <f t="shared" si="421"/>
        <v/>
      </c>
      <c r="H1398" s="122">
        <f>IF($D1398="",0,IFERROR(LOOKUP(2,1/(($D$3:D1397=$D1398)*($A$3:A1397&lt;$A1398)),$N$3:N1397),'Guide &amp; Settings'!$C$41))</f>
        <v>0</v>
      </c>
      <c r="I1398" s="123">
        <f t="shared" si="422"/>
        <v>0</v>
      </c>
      <c r="J1398" s="124">
        <f>IF($D1398="",0,IF($F1398&lt;2,0,IF($E1398="Win",('Guide &amp; Settings'!$C$42/(($F1398-1)*COUNTIFS($A$4:$A$1510,$A1398,$E$4:$E$1510,"Win")))*SUMIFS($X$4:$X$1510,$A$4:$A$1510,$A1398,$E$4:$E$1510,"Loss"),-('Guide &amp; Settings'!$C$42/($F1398-1))*$X1398)))</f>
        <v>0</v>
      </c>
      <c r="K1398" s="124">
        <f>IF($D1398="",0,'Guide &amp; Settings'!$C$43*(IF($E1398="Win",1,0)-$I1398))</f>
        <v>0</v>
      </c>
      <c r="L1398" s="125">
        <f>IF($D1398="",0,'Guide &amp; Settings'!$C$44*IF($F1398&gt;=3,$F1398,0))</f>
        <v>0</v>
      </c>
      <c r="M1398" s="124">
        <f t="shared" si="423"/>
        <v>0</v>
      </c>
      <c r="N1398" s="122">
        <f t="shared" si="424"/>
        <v>0</v>
      </c>
      <c r="O1398" s="121" t="str">
        <f t="shared" si="425"/>
        <v/>
      </c>
      <c r="P1398">
        <f t="shared" si="426"/>
        <v>0</v>
      </c>
      <c r="Q1398">
        <f t="shared" si="427"/>
        <v>0</v>
      </c>
      <c r="R1398">
        <f t="shared" si="428"/>
        <v>0</v>
      </c>
      <c r="S1398">
        <f t="shared" si="429"/>
        <v>0</v>
      </c>
      <c r="T1398" s="89">
        <f t="shared" si="430"/>
        <v>0</v>
      </c>
      <c r="U1398" s="126">
        <f>IF($D1398="",0,IFERROR(LOOKUP(2,1/(($D$3:D1397=$D1398)*($C$3:C1397=$C1398)*($A$3:A1397&lt;$A1398)),$AB$3:AB1397),1000))</f>
        <v>0</v>
      </c>
      <c r="V1398" s="126">
        <f t="shared" si="431"/>
        <v>0</v>
      </c>
      <c r="W1398">
        <f t="shared" si="432"/>
        <v>0</v>
      </c>
      <c r="X1398">
        <f t="shared" si="433"/>
        <v>0</v>
      </c>
      <c r="Y1398">
        <f t="shared" si="434"/>
        <v>0</v>
      </c>
      <c r="Z1398">
        <f t="shared" si="435"/>
        <v>0</v>
      </c>
      <c r="AA1398">
        <f>IF($D1398="",0,IF($F1398&lt;2,0,IF($E1398="Win",('Guide &amp; Settings'!$C$42/(($F1398-1)*COUNTIFS($A$4:$A$1510,$A1398,$E$4:$E$1510,"Win")))*SUMIFS($Z$4:$Z$1510,$A$4:$A$1510,$A1398,$E$4:$E$1510,"Loss"),-('Guide &amp; Settings'!$C$42/($F1398-1))*$Z1398)))</f>
        <v>0</v>
      </c>
      <c r="AB1398" s="126">
        <f t="shared" si="436"/>
        <v>0</v>
      </c>
      <c r="AC1398" t="str">
        <f>IF($D1398="","",IF($AD1398=0,0,IF(COUNTIFS($D$4:$D1398,$D1398,$B$4:$B1398,$B1398)&gt;1,0,IF($B1398&lt;'Guide &amp; Settings'!$C$50,0,IF(($B1398-$AD1398)/7-'Guide &amp; Settings'!$C$48&gt;=0,(INT(($B1398-$AD1398)/7-'Guide &amp; Settings'!$C$48)+1)*'Guide &amp; Settings'!$C$49,0)))))</f>
        <v/>
      </c>
      <c r="AD1398" s="142">
        <f t="shared" si="437"/>
        <v>0</v>
      </c>
      <c r="AE1398">
        <f t="shared" si="438"/>
        <v>0</v>
      </c>
      <c r="AF1398">
        <f t="shared" si="439"/>
        <v>0</v>
      </c>
    </row>
    <row r="1399" spans="1:32" x14ac:dyDescent="0.2">
      <c r="A1399" s="117"/>
      <c r="B1399" s="118"/>
      <c r="C1399" s="119"/>
      <c r="D1399" s="119"/>
      <c r="E1399" s="117"/>
      <c r="F1399" s="120">
        <f t="shared" si="420"/>
        <v>0</v>
      </c>
      <c r="G1399" s="121" t="str">
        <f t="shared" si="421"/>
        <v/>
      </c>
      <c r="H1399" s="122">
        <f>IF($D1399="",0,IFERROR(LOOKUP(2,1/(($D$3:D1398=$D1399)*($A$3:A1398&lt;$A1399)),$N$3:N1398),'Guide &amp; Settings'!$C$41))</f>
        <v>0</v>
      </c>
      <c r="I1399" s="123">
        <f t="shared" si="422"/>
        <v>0</v>
      </c>
      <c r="J1399" s="124">
        <f>IF($D1399="",0,IF($F1399&lt;2,0,IF($E1399="Win",('Guide &amp; Settings'!$C$42/(($F1399-1)*COUNTIFS($A$4:$A$1510,$A1399,$E$4:$E$1510,"Win")))*SUMIFS($X$4:$X$1510,$A$4:$A$1510,$A1399,$E$4:$E$1510,"Loss"),-('Guide &amp; Settings'!$C$42/($F1399-1))*$X1399)))</f>
        <v>0</v>
      </c>
      <c r="K1399" s="124">
        <f>IF($D1399="",0,'Guide &amp; Settings'!$C$43*(IF($E1399="Win",1,0)-$I1399))</f>
        <v>0</v>
      </c>
      <c r="L1399" s="125">
        <f>IF($D1399="",0,'Guide &amp; Settings'!$C$44*IF($F1399&gt;=3,$F1399,0))</f>
        <v>0</v>
      </c>
      <c r="M1399" s="124">
        <f t="shared" si="423"/>
        <v>0</v>
      </c>
      <c r="N1399" s="122">
        <f t="shared" si="424"/>
        <v>0</v>
      </c>
      <c r="O1399" s="121" t="str">
        <f t="shared" si="425"/>
        <v/>
      </c>
      <c r="P1399">
        <f t="shared" si="426"/>
        <v>0</v>
      </c>
      <c r="Q1399">
        <f t="shared" si="427"/>
        <v>0</v>
      </c>
      <c r="R1399">
        <f t="shared" si="428"/>
        <v>0</v>
      </c>
      <c r="S1399">
        <f t="shared" si="429"/>
        <v>0</v>
      </c>
      <c r="T1399" s="89">
        <f t="shared" si="430"/>
        <v>0</v>
      </c>
      <c r="U1399" s="126">
        <f>IF($D1399="",0,IFERROR(LOOKUP(2,1/(($D$3:D1398=$D1399)*($C$3:C1398=$C1399)*($A$3:A1398&lt;$A1399)),$AB$3:AB1398),1000))</f>
        <v>0</v>
      </c>
      <c r="V1399" s="126">
        <f t="shared" si="431"/>
        <v>0</v>
      </c>
      <c r="W1399">
        <f t="shared" si="432"/>
        <v>0</v>
      </c>
      <c r="X1399">
        <f t="shared" si="433"/>
        <v>0</v>
      </c>
      <c r="Y1399">
        <f t="shared" si="434"/>
        <v>0</v>
      </c>
      <c r="Z1399">
        <f t="shared" si="435"/>
        <v>0</v>
      </c>
      <c r="AA1399">
        <f>IF($D1399="",0,IF($F1399&lt;2,0,IF($E1399="Win",('Guide &amp; Settings'!$C$42/(($F1399-1)*COUNTIFS($A$4:$A$1510,$A1399,$E$4:$E$1510,"Win")))*SUMIFS($Z$4:$Z$1510,$A$4:$A$1510,$A1399,$E$4:$E$1510,"Loss"),-('Guide &amp; Settings'!$C$42/($F1399-1))*$Z1399)))</f>
        <v>0</v>
      </c>
      <c r="AB1399" s="126">
        <f t="shared" si="436"/>
        <v>0</v>
      </c>
      <c r="AC1399" t="str">
        <f>IF($D1399="","",IF($AD1399=0,0,IF(COUNTIFS($D$4:$D1399,$D1399,$B$4:$B1399,$B1399)&gt;1,0,IF($B1399&lt;'Guide &amp; Settings'!$C$50,0,IF(($B1399-$AD1399)/7-'Guide &amp; Settings'!$C$48&gt;=0,(INT(($B1399-$AD1399)/7-'Guide &amp; Settings'!$C$48)+1)*'Guide &amp; Settings'!$C$49,0)))))</f>
        <v/>
      </c>
      <c r="AD1399" s="142">
        <f t="shared" si="437"/>
        <v>0</v>
      </c>
      <c r="AE1399">
        <f t="shared" si="438"/>
        <v>0</v>
      </c>
      <c r="AF1399">
        <f t="shared" si="439"/>
        <v>0</v>
      </c>
    </row>
    <row r="1400" spans="1:32" x14ac:dyDescent="0.2">
      <c r="A1400" s="117"/>
      <c r="B1400" s="118"/>
      <c r="C1400" s="119"/>
      <c r="D1400" s="119"/>
      <c r="E1400" s="117"/>
      <c r="F1400" s="120">
        <f t="shared" si="420"/>
        <v>0</v>
      </c>
      <c r="G1400" s="121" t="str">
        <f t="shared" si="421"/>
        <v/>
      </c>
      <c r="H1400" s="122">
        <f>IF($D1400="",0,IFERROR(LOOKUP(2,1/(($D$3:D1399=$D1400)*($A$3:A1399&lt;$A1400)),$N$3:N1399),'Guide &amp; Settings'!$C$41))</f>
        <v>0</v>
      </c>
      <c r="I1400" s="123">
        <f t="shared" si="422"/>
        <v>0</v>
      </c>
      <c r="J1400" s="124">
        <f>IF($D1400="",0,IF($F1400&lt;2,0,IF($E1400="Win",('Guide &amp; Settings'!$C$42/(($F1400-1)*COUNTIFS($A$4:$A$1510,$A1400,$E$4:$E$1510,"Win")))*SUMIFS($X$4:$X$1510,$A$4:$A$1510,$A1400,$E$4:$E$1510,"Loss"),-('Guide &amp; Settings'!$C$42/($F1400-1))*$X1400)))</f>
        <v>0</v>
      </c>
      <c r="K1400" s="124">
        <f>IF($D1400="",0,'Guide &amp; Settings'!$C$43*(IF($E1400="Win",1,0)-$I1400))</f>
        <v>0</v>
      </c>
      <c r="L1400" s="125">
        <f>IF($D1400="",0,'Guide &amp; Settings'!$C$44*IF($F1400&gt;=3,$F1400,0))</f>
        <v>0</v>
      </c>
      <c r="M1400" s="124">
        <f t="shared" si="423"/>
        <v>0</v>
      </c>
      <c r="N1400" s="122">
        <f t="shared" si="424"/>
        <v>0</v>
      </c>
      <c r="O1400" s="121" t="str">
        <f t="shared" si="425"/>
        <v/>
      </c>
      <c r="P1400">
        <f t="shared" si="426"/>
        <v>0</v>
      </c>
      <c r="Q1400">
        <f t="shared" si="427"/>
        <v>0</v>
      </c>
      <c r="R1400">
        <f t="shared" si="428"/>
        <v>0</v>
      </c>
      <c r="S1400">
        <f t="shared" si="429"/>
        <v>0</v>
      </c>
      <c r="T1400" s="89">
        <f t="shared" si="430"/>
        <v>0</v>
      </c>
      <c r="U1400" s="126">
        <f>IF($D1400="",0,IFERROR(LOOKUP(2,1/(($D$3:D1399=$D1400)*($C$3:C1399=$C1400)*($A$3:A1399&lt;$A1400)),$AB$3:AB1399),1000))</f>
        <v>0</v>
      </c>
      <c r="V1400" s="126">
        <f t="shared" si="431"/>
        <v>0</v>
      </c>
      <c r="W1400">
        <f t="shared" si="432"/>
        <v>0</v>
      </c>
      <c r="X1400">
        <f t="shared" si="433"/>
        <v>0</v>
      </c>
      <c r="Y1400">
        <f t="shared" si="434"/>
        <v>0</v>
      </c>
      <c r="Z1400">
        <f t="shared" si="435"/>
        <v>0</v>
      </c>
      <c r="AA1400">
        <f>IF($D1400="",0,IF($F1400&lt;2,0,IF($E1400="Win",('Guide &amp; Settings'!$C$42/(($F1400-1)*COUNTIFS($A$4:$A$1510,$A1400,$E$4:$E$1510,"Win")))*SUMIFS($Z$4:$Z$1510,$A$4:$A$1510,$A1400,$E$4:$E$1510,"Loss"),-('Guide &amp; Settings'!$C$42/($F1400-1))*$Z1400)))</f>
        <v>0</v>
      </c>
      <c r="AB1400" s="126">
        <f t="shared" si="436"/>
        <v>0</v>
      </c>
      <c r="AC1400" t="str">
        <f>IF($D1400="","",IF($AD1400=0,0,IF(COUNTIFS($D$4:$D1400,$D1400,$B$4:$B1400,$B1400)&gt;1,0,IF($B1400&lt;'Guide &amp; Settings'!$C$50,0,IF(($B1400-$AD1400)/7-'Guide &amp; Settings'!$C$48&gt;=0,(INT(($B1400-$AD1400)/7-'Guide &amp; Settings'!$C$48)+1)*'Guide &amp; Settings'!$C$49,0)))))</f>
        <v/>
      </c>
      <c r="AD1400" s="142">
        <f t="shared" si="437"/>
        <v>0</v>
      </c>
      <c r="AE1400">
        <f t="shared" si="438"/>
        <v>0</v>
      </c>
      <c r="AF1400">
        <f t="shared" si="439"/>
        <v>0</v>
      </c>
    </row>
    <row r="1401" spans="1:32" x14ac:dyDescent="0.2">
      <c r="A1401" s="117"/>
      <c r="B1401" s="118"/>
      <c r="C1401" s="119"/>
      <c r="D1401" s="119"/>
      <c r="E1401" s="117"/>
      <c r="F1401" s="120">
        <f t="shared" si="420"/>
        <v>0</v>
      </c>
      <c r="G1401" s="121" t="str">
        <f t="shared" si="421"/>
        <v/>
      </c>
      <c r="H1401" s="122">
        <f>IF($D1401="",0,IFERROR(LOOKUP(2,1/(($D$3:D1400=$D1401)*($A$3:A1400&lt;$A1401)),$N$3:N1400),'Guide &amp; Settings'!$C$41))</f>
        <v>0</v>
      </c>
      <c r="I1401" s="123">
        <f t="shared" si="422"/>
        <v>0</v>
      </c>
      <c r="J1401" s="124">
        <f>IF($D1401="",0,IF($F1401&lt;2,0,IF($E1401="Win",('Guide &amp; Settings'!$C$42/(($F1401-1)*COUNTIFS($A$4:$A$1510,$A1401,$E$4:$E$1510,"Win")))*SUMIFS($X$4:$X$1510,$A$4:$A$1510,$A1401,$E$4:$E$1510,"Loss"),-('Guide &amp; Settings'!$C$42/($F1401-1))*$X1401)))</f>
        <v>0</v>
      </c>
      <c r="K1401" s="124">
        <f>IF($D1401="",0,'Guide &amp; Settings'!$C$43*(IF($E1401="Win",1,0)-$I1401))</f>
        <v>0</v>
      </c>
      <c r="L1401" s="125">
        <f>IF($D1401="",0,'Guide &amp; Settings'!$C$44*IF($F1401&gt;=3,$F1401,0))</f>
        <v>0</v>
      </c>
      <c r="M1401" s="124">
        <f t="shared" si="423"/>
        <v>0</v>
      </c>
      <c r="N1401" s="122">
        <f t="shared" si="424"/>
        <v>0</v>
      </c>
      <c r="O1401" s="121" t="str">
        <f t="shared" si="425"/>
        <v/>
      </c>
      <c r="P1401">
        <f t="shared" si="426"/>
        <v>0</v>
      </c>
      <c r="Q1401">
        <f t="shared" si="427"/>
        <v>0</v>
      </c>
      <c r="R1401">
        <f t="shared" si="428"/>
        <v>0</v>
      </c>
      <c r="S1401">
        <f t="shared" si="429"/>
        <v>0</v>
      </c>
      <c r="T1401" s="89">
        <f t="shared" si="430"/>
        <v>0</v>
      </c>
      <c r="U1401" s="126">
        <f>IF($D1401="",0,IFERROR(LOOKUP(2,1/(($D$3:D1400=$D1401)*($C$3:C1400=$C1401)*($A$3:A1400&lt;$A1401)),$AB$3:AB1400),1000))</f>
        <v>0</v>
      </c>
      <c r="V1401" s="126">
        <f t="shared" si="431"/>
        <v>0</v>
      </c>
      <c r="W1401">
        <f t="shared" si="432"/>
        <v>0</v>
      </c>
      <c r="X1401">
        <f t="shared" si="433"/>
        <v>0</v>
      </c>
      <c r="Y1401">
        <f t="shared" si="434"/>
        <v>0</v>
      </c>
      <c r="Z1401">
        <f t="shared" si="435"/>
        <v>0</v>
      </c>
      <c r="AA1401">
        <f>IF($D1401="",0,IF($F1401&lt;2,0,IF($E1401="Win",('Guide &amp; Settings'!$C$42/(($F1401-1)*COUNTIFS($A$4:$A$1510,$A1401,$E$4:$E$1510,"Win")))*SUMIFS($Z$4:$Z$1510,$A$4:$A$1510,$A1401,$E$4:$E$1510,"Loss"),-('Guide &amp; Settings'!$C$42/($F1401-1))*$Z1401)))</f>
        <v>0</v>
      </c>
      <c r="AB1401" s="126">
        <f t="shared" si="436"/>
        <v>0</v>
      </c>
      <c r="AC1401" t="str">
        <f>IF($D1401="","",IF($AD1401=0,0,IF(COUNTIFS($D$4:$D1401,$D1401,$B$4:$B1401,$B1401)&gt;1,0,IF($B1401&lt;'Guide &amp; Settings'!$C$50,0,IF(($B1401-$AD1401)/7-'Guide &amp; Settings'!$C$48&gt;=0,(INT(($B1401-$AD1401)/7-'Guide &amp; Settings'!$C$48)+1)*'Guide &amp; Settings'!$C$49,0)))))</f>
        <v/>
      </c>
      <c r="AD1401" s="142">
        <f t="shared" si="437"/>
        <v>0</v>
      </c>
      <c r="AE1401">
        <f t="shared" si="438"/>
        <v>0</v>
      </c>
      <c r="AF1401">
        <f t="shared" si="439"/>
        <v>0</v>
      </c>
    </row>
    <row r="1402" spans="1:32" x14ac:dyDescent="0.2">
      <c r="A1402" s="117"/>
      <c r="B1402" s="118"/>
      <c r="C1402" s="119"/>
      <c r="D1402" s="119"/>
      <c r="E1402" s="117"/>
      <c r="F1402" s="120">
        <f t="shared" si="420"/>
        <v>0</v>
      </c>
      <c r="G1402" s="121" t="str">
        <f t="shared" si="421"/>
        <v/>
      </c>
      <c r="H1402" s="122">
        <f>IF($D1402="",0,IFERROR(LOOKUP(2,1/(($D$3:D1401=$D1402)*($A$3:A1401&lt;$A1402)),$N$3:N1401),'Guide &amp; Settings'!$C$41))</f>
        <v>0</v>
      </c>
      <c r="I1402" s="123">
        <f t="shared" si="422"/>
        <v>0</v>
      </c>
      <c r="J1402" s="124">
        <f>IF($D1402="",0,IF($F1402&lt;2,0,IF($E1402="Win",('Guide &amp; Settings'!$C$42/(($F1402-1)*COUNTIFS($A$4:$A$1510,$A1402,$E$4:$E$1510,"Win")))*SUMIFS($X$4:$X$1510,$A$4:$A$1510,$A1402,$E$4:$E$1510,"Loss"),-('Guide &amp; Settings'!$C$42/($F1402-1))*$X1402)))</f>
        <v>0</v>
      </c>
      <c r="K1402" s="124">
        <f>IF($D1402="",0,'Guide &amp; Settings'!$C$43*(IF($E1402="Win",1,0)-$I1402))</f>
        <v>0</v>
      </c>
      <c r="L1402" s="125">
        <f>IF($D1402="",0,'Guide &amp; Settings'!$C$44*IF($F1402&gt;=3,$F1402,0))</f>
        <v>0</v>
      </c>
      <c r="M1402" s="124">
        <f t="shared" si="423"/>
        <v>0</v>
      </c>
      <c r="N1402" s="122">
        <f t="shared" si="424"/>
        <v>0</v>
      </c>
      <c r="O1402" s="121" t="str">
        <f t="shared" si="425"/>
        <v/>
      </c>
      <c r="P1402">
        <f t="shared" si="426"/>
        <v>0</v>
      </c>
      <c r="Q1402">
        <f t="shared" si="427"/>
        <v>0</v>
      </c>
      <c r="R1402">
        <f t="shared" si="428"/>
        <v>0</v>
      </c>
      <c r="S1402">
        <f t="shared" si="429"/>
        <v>0</v>
      </c>
      <c r="T1402" s="89">
        <f t="shared" si="430"/>
        <v>0</v>
      </c>
      <c r="U1402" s="126">
        <f>IF($D1402="",0,IFERROR(LOOKUP(2,1/(($D$3:D1401=$D1402)*($C$3:C1401=$C1402)*($A$3:A1401&lt;$A1402)),$AB$3:AB1401),1000))</f>
        <v>0</v>
      </c>
      <c r="V1402" s="126">
        <f t="shared" si="431"/>
        <v>0</v>
      </c>
      <c r="W1402">
        <f t="shared" si="432"/>
        <v>0</v>
      </c>
      <c r="X1402">
        <f t="shared" si="433"/>
        <v>0</v>
      </c>
      <c r="Y1402">
        <f t="shared" si="434"/>
        <v>0</v>
      </c>
      <c r="Z1402">
        <f t="shared" si="435"/>
        <v>0</v>
      </c>
      <c r="AA1402">
        <f>IF($D1402="",0,IF($F1402&lt;2,0,IF($E1402="Win",('Guide &amp; Settings'!$C$42/(($F1402-1)*COUNTIFS($A$4:$A$1510,$A1402,$E$4:$E$1510,"Win")))*SUMIFS($Z$4:$Z$1510,$A$4:$A$1510,$A1402,$E$4:$E$1510,"Loss"),-('Guide &amp; Settings'!$C$42/($F1402-1))*$Z1402)))</f>
        <v>0</v>
      </c>
      <c r="AB1402" s="126">
        <f t="shared" si="436"/>
        <v>0</v>
      </c>
      <c r="AC1402" t="str">
        <f>IF($D1402="","",IF($AD1402=0,0,IF(COUNTIFS($D$4:$D1402,$D1402,$B$4:$B1402,$B1402)&gt;1,0,IF($B1402&lt;'Guide &amp; Settings'!$C$50,0,IF(($B1402-$AD1402)/7-'Guide &amp; Settings'!$C$48&gt;=0,(INT(($B1402-$AD1402)/7-'Guide &amp; Settings'!$C$48)+1)*'Guide &amp; Settings'!$C$49,0)))))</f>
        <v/>
      </c>
      <c r="AD1402" s="142">
        <f t="shared" si="437"/>
        <v>0</v>
      </c>
      <c r="AE1402">
        <f t="shared" si="438"/>
        <v>0</v>
      </c>
      <c r="AF1402">
        <f t="shared" si="439"/>
        <v>0</v>
      </c>
    </row>
    <row r="1403" spans="1:32" x14ac:dyDescent="0.2">
      <c r="A1403" s="117"/>
      <c r="B1403" s="118"/>
      <c r="C1403" s="119"/>
      <c r="D1403" s="119"/>
      <c r="E1403" s="117"/>
      <c r="F1403" s="120">
        <f t="shared" si="420"/>
        <v>0</v>
      </c>
      <c r="G1403" s="121" t="str">
        <f t="shared" si="421"/>
        <v/>
      </c>
      <c r="H1403" s="122">
        <f>IF($D1403="",0,IFERROR(LOOKUP(2,1/(($D$3:D1402=$D1403)*($A$3:A1402&lt;$A1403)),$N$3:N1402),'Guide &amp; Settings'!$C$41))</f>
        <v>0</v>
      </c>
      <c r="I1403" s="123">
        <f t="shared" si="422"/>
        <v>0</v>
      </c>
      <c r="J1403" s="124">
        <f>IF($D1403="",0,IF($F1403&lt;2,0,IF($E1403="Win",('Guide &amp; Settings'!$C$42/(($F1403-1)*COUNTIFS($A$4:$A$1510,$A1403,$E$4:$E$1510,"Win")))*SUMIFS($X$4:$X$1510,$A$4:$A$1510,$A1403,$E$4:$E$1510,"Loss"),-('Guide &amp; Settings'!$C$42/($F1403-1))*$X1403)))</f>
        <v>0</v>
      </c>
      <c r="K1403" s="124">
        <f>IF($D1403="",0,'Guide &amp; Settings'!$C$43*(IF($E1403="Win",1,0)-$I1403))</f>
        <v>0</v>
      </c>
      <c r="L1403" s="125">
        <f>IF($D1403="",0,'Guide &amp; Settings'!$C$44*IF($F1403&gt;=3,$F1403,0))</f>
        <v>0</v>
      </c>
      <c r="M1403" s="124">
        <f t="shared" si="423"/>
        <v>0</v>
      </c>
      <c r="N1403" s="122">
        <f t="shared" si="424"/>
        <v>0</v>
      </c>
      <c r="O1403" s="121" t="str">
        <f t="shared" si="425"/>
        <v/>
      </c>
      <c r="P1403">
        <f t="shared" si="426"/>
        <v>0</v>
      </c>
      <c r="Q1403">
        <f t="shared" si="427"/>
        <v>0</v>
      </c>
      <c r="R1403">
        <f t="shared" si="428"/>
        <v>0</v>
      </c>
      <c r="S1403">
        <f t="shared" si="429"/>
        <v>0</v>
      </c>
      <c r="T1403" s="89">
        <f t="shared" si="430"/>
        <v>0</v>
      </c>
      <c r="U1403" s="126">
        <f>IF($D1403="",0,IFERROR(LOOKUP(2,1/(($D$3:D1402=$D1403)*($C$3:C1402=$C1403)*($A$3:A1402&lt;$A1403)),$AB$3:AB1402),1000))</f>
        <v>0</v>
      </c>
      <c r="V1403" s="126">
        <f t="shared" si="431"/>
        <v>0</v>
      </c>
      <c r="W1403">
        <f t="shared" si="432"/>
        <v>0</v>
      </c>
      <c r="X1403">
        <f t="shared" si="433"/>
        <v>0</v>
      </c>
      <c r="Y1403">
        <f t="shared" si="434"/>
        <v>0</v>
      </c>
      <c r="Z1403">
        <f t="shared" si="435"/>
        <v>0</v>
      </c>
      <c r="AA1403">
        <f>IF($D1403="",0,IF($F1403&lt;2,0,IF($E1403="Win",('Guide &amp; Settings'!$C$42/(($F1403-1)*COUNTIFS($A$4:$A$1510,$A1403,$E$4:$E$1510,"Win")))*SUMIFS($Z$4:$Z$1510,$A$4:$A$1510,$A1403,$E$4:$E$1510,"Loss"),-('Guide &amp; Settings'!$C$42/($F1403-1))*$Z1403)))</f>
        <v>0</v>
      </c>
      <c r="AB1403" s="126">
        <f t="shared" si="436"/>
        <v>0</v>
      </c>
      <c r="AC1403" t="str">
        <f>IF($D1403="","",IF($AD1403=0,0,IF(COUNTIFS($D$4:$D1403,$D1403,$B$4:$B1403,$B1403)&gt;1,0,IF($B1403&lt;'Guide &amp; Settings'!$C$50,0,IF(($B1403-$AD1403)/7-'Guide &amp; Settings'!$C$48&gt;=0,(INT(($B1403-$AD1403)/7-'Guide &amp; Settings'!$C$48)+1)*'Guide &amp; Settings'!$C$49,0)))))</f>
        <v/>
      </c>
      <c r="AD1403" s="142">
        <f t="shared" si="437"/>
        <v>0</v>
      </c>
      <c r="AE1403">
        <f t="shared" si="438"/>
        <v>0</v>
      </c>
      <c r="AF1403">
        <f t="shared" si="439"/>
        <v>0</v>
      </c>
    </row>
    <row r="1404" spans="1:32" x14ac:dyDescent="0.2">
      <c r="A1404" s="117"/>
      <c r="B1404" s="118"/>
      <c r="C1404" s="119"/>
      <c r="D1404" s="119"/>
      <c r="E1404" s="117"/>
      <c r="F1404" s="120">
        <f t="shared" si="420"/>
        <v>0</v>
      </c>
      <c r="G1404" s="121" t="str">
        <f t="shared" si="421"/>
        <v/>
      </c>
      <c r="H1404" s="122">
        <f>IF($D1404="",0,IFERROR(LOOKUP(2,1/(($D$3:D1403=$D1404)*($A$3:A1403&lt;$A1404)),$N$3:N1403),'Guide &amp; Settings'!$C$41))</f>
        <v>0</v>
      </c>
      <c r="I1404" s="123">
        <f t="shared" si="422"/>
        <v>0</v>
      </c>
      <c r="J1404" s="124">
        <f>IF($D1404="",0,IF($F1404&lt;2,0,IF($E1404="Win",('Guide &amp; Settings'!$C$42/(($F1404-1)*COUNTIFS($A$4:$A$1510,$A1404,$E$4:$E$1510,"Win")))*SUMIFS($X$4:$X$1510,$A$4:$A$1510,$A1404,$E$4:$E$1510,"Loss"),-('Guide &amp; Settings'!$C$42/($F1404-1))*$X1404)))</f>
        <v>0</v>
      </c>
      <c r="K1404" s="124">
        <f>IF($D1404="",0,'Guide &amp; Settings'!$C$43*(IF($E1404="Win",1,0)-$I1404))</f>
        <v>0</v>
      </c>
      <c r="L1404" s="125">
        <f>IF($D1404="",0,'Guide &amp; Settings'!$C$44*IF($F1404&gt;=3,$F1404,0))</f>
        <v>0</v>
      </c>
      <c r="M1404" s="124">
        <f t="shared" si="423"/>
        <v>0</v>
      </c>
      <c r="N1404" s="122">
        <f t="shared" si="424"/>
        <v>0</v>
      </c>
      <c r="O1404" s="121" t="str">
        <f t="shared" si="425"/>
        <v/>
      </c>
      <c r="P1404">
        <f t="shared" si="426"/>
        <v>0</v>
      </c>
      <c r="Q1404">
        <f t="shared" si="427"/>
        <v>0</v>
      </c>
      <c r="R1404">
        <f t="shared" si="428"/>
        <v>0</v>
      </c>
      <c r="S1404">
        <f t="shared" si="429"/>
        <v>0</v>
      </c>
      <c r="T1404" s="89">
        <f t="shared" si="430"/>
        <v>0</v>
      </c>
      <c r="U1404" s="126">
        <f>IF($D1404="",0,IFERROR(LOOKUP(2,1/(($D$3:D1403=$D1404)*($C$3:C1403=$C1404)*($A$3:A1403&lt;$A1404)),$AB$3:AB1403),1000))</f>
        <v>0</v>
      </c>
      <c r="V1404" s="126">
        <f t="shared" si="431"/>
        <v>0</v>
      </c>
      <c r="W1404">
        <f t="shared" si="432"/>
        <v>0</v>
      </c>
      <c r="X1404">
        <f t="shared" si="433"/>
        <v>0</v>
      </c>
      <c r="Y1404">
        <f t="shared" si="434"/>
        <v>0</v>
      </c>
      <c r="Z1404">
        <f t="shared" si="435"/>
        <v>0</v>
      </c>
      <c r="AA1404">
        <f>IF($D1404="",0,IF($F1404&lt;2,0,IF($E1404="Win",('Guide &amp; Settings'!$C$42/(($F1404-1)*COUNTIFS($A$4:$A$1510,$A1404,$E$4:$E$1510,"Win")))*SUMIFS($Z$4:$Z$1510,$A$4:$A$1510,$A1404,$E$4:$E$1510,"Loss"),-('Guide &amp; Settings'!$C$42/($F1404-1))*$Z1404)))</f>
        <v>0</v>
      </c>
      <c r="AB1404" s="126">
        <f t="shared" si="436"/>
        <v>0</v>
      </c>
      <c r="AC1404" t="str">
        <f>IF($D1404="","",IF($AD1404=0,0,IF(COUNTIFS($D$4:$D1404,$D1404,$B$4:$B1404,$B1404)&gt;1,0,IF($B1404&lt;'Guide &amp; Settings'!$C$50,0,IF(($B1404-$AD1404)/7-'Guide &amp; Settings'!$C$48&gt;=0,(INT(($B1404-$AD1404)/7-'Guide &amp; Settings'!$C$48)+1)*'Guide &amp; Settings'!$C$49,0)))))</f>
        <v/>
      </c>
      <c r="AD1404" s="142">
        <f t="shared" si="437"/>
        <v>0</v>
      </c>
      <c r="AE1404">
        <f t="shared" si="438"/>
        <v>0</v>
      </c>
      <c r="AF1404">
        <f t="shared" si="439"/>
        <v>0</v>
      </c>
    </row>
    <row r="1405" spans="1:32" x14ac:dyDescent="0.2">
      <c r="A1405" s="117"/>
      <c r="B1405" s="118"/>
      <c r="C1405" s="119"/>
      <c r="D1405" s="119"/>
      <c r="E1405" s="117"/>
      <c r="F1405" s="120">
        <f t="shared" si="420"/>
        <v>0</v>
      </c>
      <c r="G1405" s="121" t="str">
        <f t="shared" si="421"/>
        <v/>
      </c>
      <c r="H1405" s="122">
        <f>IF($D1405="",0,IFERROR(LOOKUP(2,1/(($D$3:D1404=$D1405)*($A$3:A1404&lt;$A1405)),$N$3:N1404),'Guide &amp; Settings'!$C$41))</f>
        <v>0</v>
      </c>
      <c r="I1405" s="123">
        <f t="shared" si="422"/>
        <v>0</v>
      </c>
      <c r="J1405" s="124">
        <f>IF($D1405="",0,IF($F1405&lt;2,0,IF($E1405="Win",('Guide &amp; Settings'!$C$42/(($F1405-1)*COUNTIFS($A$4:$A$1510,$A1405,$E$4:$E$1510,"Win")))*SUMIFS($X$4:$X$1510,$A$4:$A$1510,$A1405,$E$4:$E$1510,"Loss"),-('Guide &amp; Settings'!$C$42/($F1405-1))*$X1405)))</f>
        <v>0</v>
      </c>
      <c r="K1405" s="124">
        <f>IF($D1405="",0,'Guide &amp; Settings'!$C$43*(IF($E1405="Win",1,0)-$I1405))</f>
        <v>0</v>
      </c>
      <c r="L1405" s="125">
        <f>IF($D1405="",0,'Guide &amp; Settings'!$C$44*IF($F1405&gt;=3,$F1405,0))</f>
        <v>0</v>
      </c>
      <c r="M1405" s="124">
        <f t="shared" si="423"/>
        <v>0</v>
      </c>
      <c r="N1405" s="122">
        <f t="shared" si="424"/>
        <v>0</v>
      </c>
      <c r="O1405" s="121" t="str">
        <f t="shared" si="425"/>
        <v/>
      </c>
      <c r="P1405">
        <f t="shared" si="426"/>
        <v>0</v>
      </c>
      <c r="Q1405">
        <f t="shared" si="427"/>
        <v>0</v>
      </c>
      <c r="R1405">
        <f t="shared" si="428"/>
        <v>0</v>
      </c>
      <c r="S1405">
        <f t="shared" si="429"/>
        <v>0</v>
      </c>
      <c r="T1405" s="89">
        <f t="shared" si="430"/>
        <v>0</v>
      </c>
      <c r="U1405" s="126">
        <f>IF($D1405="",0,IFERROR(LOOKUP(2,1/(($D$3:D1404=$D1405)*($C$3:C1404=$C1405)*($A$3:A1404&lt;$A1405)),$AB$3:AB1404),1000))</f>
        <v>0</v>
      </c>
      <c r="V1405" s="126">
        <f t="shared" si="431"/>
        <v>0</v>
      </c>
      <c r="W1405">
        <f t="shared" si="432"/>
        <v>0</v>
      </c>
      <c r="X1405">
        <f t="shared" si="433"/>
        <v>0</v>
      </c>
      <c r="Y1405">
        <f t="shared" si="434"/>
        <v>0</v>
      </c>
      <c r="Z1405">
        <f t="shared" si="435"/>
        <v>0</v>
      </c>
      <c r="AA1405">
        <f>IF($D1405="",0,IF($F1405&lt;2,0,IF($E1405="Win",('Guide &amp; Settings'!$C$42/(($F1405-1)*COUNTIFS($A$4:$A$1510,$A1405,$E$4:$E$1510,"Win")))*SUMIFS($Z$4:$Z$1510,$A$4:$A$1510,$A1405,$E$4:$E$1510,"Loss"),-('Guide &amp; Settings'!$C$42/($F1405-1))*$Z1405)))</f>
        <v>0</v>
      </c>
      <c r="AB1405" s="126">
        <f t="shared" si="436"/>
        <v>0</v>
      </c>
      <c r="AC1405" t="str">
        <f>IF($D1405="","",IF($AD1405=0,0,IF(COUNTIFS($D$4:$D1405,$D1405,$B$4:$B1405,$B1405)&gt;1,0,IF($B1405&lt;'Guide &amp; Settings'!$C$50,0,IF(($B1405-$AD1405)/7-'Guide &amp; Settings'!$C$48&gt;=0,(INT(($B1405-$AD1405)/7-'Guide &amp; Settings'!$C$48)+1)*'Guide &amp; Settings'!$C$49,0)))))</f>
        <v/>
      </c>
      <c r="AD1405" s="142">
        <f t="shared" si="437"/>
        <v>0</v>
      </c>
      <c r="AE1405">
        <f t="shared" si="438"/>
        <v>0</v>
      </c>
      <c r="AF1405">
        <f t="shared" si="439"/>
        <v>0</v>
      </c>
    </row>
    <row r="1406" spans="1:32" x14ac:dyDescent="0.2">
      <c r="A1406" s="117"/>
      <c r="B1406" s="118"/>
      <c r="C1406" s="119"/>
      <c r="D1406" s="119"/>
      <c r="E1406" s="117"/>
      <c r="F1406" s="120">
        <f t="shared" si="420"/>
        <v>0</v>
      </c>
      <c r="G1406" s="121" t="str">
        <f t="shared" si="421"/>
        <v/>
      </c>
      <c r="H1406" s="122">
        <f>IF($D1406="",0,IFERROR(LOOKUP(2,1/(($D$3:D1405=$D1406)*($A$3:A1405&lt;$A1406)),$N$3:N1405),'Guide &amp; Settings'!$C$41))</f>
        <v>0</v>
      </c>
      <c r="I1406" s="123">
        <f t="shared" si="422"/>
        <v>0</v>
      </c>
      <c r="J1406" s="124">
        <f>IF($D1406="",0,IF($F1406&lt;2,0,IF($E1406="Win",('Guide &amp; Settings'!$C$42/(($F1406-1)*COUNTIFS($A$4:$A$1510,$A1406,$E$4:$E$1510,"Win")))*SUMIFS($X$4:$X$1510,$A$4:$A$1510,$A1406,$E$4:$E$1510,"Loss"),-('Guide &amp; Settings'!$C$42/($F1406-1))*$X1406)))</f>
        <v>0</v>
      </c>
      <c r="K1406" s="124">
        <f>IF($D1406="",0,'Guide &amp; Settings'!$C$43*(IF($E1406="Win",1,0)-$I1406))</f>
        <v>0</v>
      </c>
      <c r="L1406" s="125">
        <f>IF($D1406="",0,'Guide &amp; Settings'!$C$44*IF($F1406&gt;=3,$F1406,0))</f>
        <v>0</v>
      </c>
      <c r="M1406" s="124">
        <f t="shared" si="423"/>
        <v>0</v>
      </c>
      <c r="N1406" s="122">
        <f t="shared" si="424"/>
        <v>0</v>
      </c>
      <c r="O1406" s="121" t="str">
        <f t="shared" si="425"/>
        <v/>
      </c>
      <c r="P1406">
        <f t="shared" si="426"/>
        <v>0</v>
      </c>
      <c r="Q1406">
        <f t="shared" si="427"/>
        <v>0</v>
      </c>
      <c r="R1406">
        <f t="shared" si="428"/>
        <v>0</v>
      </c>
      <c r="S1406">
        <f t="shared" si="429"/>
        <v>0</v>
      </c>
      <c r="T1406" s="89">
        <f t="shared" si="430"/>
        <v>0</v>
      </c>
      <c r="U1406" s="126">
        <f>IF($D1406="",0,IFERROR(LOOKUP(2,1/(($D$3:D1405=$D1406)*($C$3:C1405=$C1406)*($A$3:A1405&lt;$A1406)),$AB$3:AB1405),1000))</f>
        <v>0</v>
      </c>
      <c r="V1406" s="126">
        <f t="shared" si="431"/>
        <v>0</v>
      </c>
      <c r="W1406">
        <f t="shared" si="432"/>
        <v>0</v>
      </c>
      <c r="X1406">
        <f t="shared" si="433"/>
        <v>0</v>
      </c>
      <c r="Y1406">
        <f t="shared" si="434"/>
        <v>0</v>
      </c>
      <c r="Z1406">
        <f t="shared" si="435"/>
        <v>0</v>
      </c>
      <c r="AA1406">
        <f>IF($D1406="",0,IF($F1406&lt;2,0,IF($E1406="Win",('Guide &amp; Settings'!$C$42/(($F1406-1)*COUNTIFS($A$4:$A$1510,$A1406,$E$4:$E$1510,"Win")))*SUMIFS($Z$4:$Z$1510,$A$4:$A$1510,$A1406,$E$4:$E$1510,"Loss"),-('Guide &amp; Settings'!$C$42/($F1406-1))*$Z1406)))</f>
        <v>0</v>
      </c>
      <c r="AB1406" s="126">
        <f t="shared" si="436"/>
        <v>0</v>
      </c>
      <c r="AC1406" t="str">
        <f>IF($D1406="","",IF($AD1406=0,0,IF(COUNTIFS($D$4:$D1406,$D1406,$B$4:$B1406,$B1406)&gt;1,0,IF($B1406&lt;'Guide &amp; Settings'!$C$50,0,IF(($B1406-$AD1406)/7-'Guide &amp; Settings'!$C$48&gt;=0,(INT(($B1406-$AD1406)/7-'Guide &amp; Settings'!$C$48)+1)*'Guide &amp; Settings'!$C$49,0)))))</f>
        <v/>
      </c>
      <c r="AD1406" s="142">
        <f t="shared" si="437"/>
        <v>0</v>
      </c>
      <c r="AE1406">
        <f t="shared" si="438"/>
        <v>0</v>
      </c>
      <c r="AF1406">
        <f t="shared" si="439"/>
        <v>0</v>
      </c>
    </row>
    <row r="1407" spans="1:32" x14ac:dyDescent="0.2">
      <c r="A1407" s="117"/>
      <c r="B1407" s="118"/>
      <c r="C1407" s="119"/>
      <c r="D1407" s="119"/>
      <c r="E1407" s="117"/>
      <c r="F1407" s="120">
        <f t="shared" si="420"/>
        <v>0</v>
      </c>
      <c r="G1407" s="121" t="str">
        <f t="shared" si="421"/>
        <v/>
      </c>
      <c r="H1407" s="122">
        <f>IF($D1407="",0,IFERROR(LOOKUP(2,1/(($D$3:D1406=$D1407)*($A$3:A1406&lt;$A1407)),$N$3:N1406),'Guide &amp; Settings'!$C$41))</f>
        <v>0</v>
      </c>
      <c r="I1407" s="123">
        <f t="shared" si="422"/>
        <v>0</v>
      </c>
      <c r="J1407" s="124">
        <f>IF($D1407="",0,IF($F1407&lt;2,0,IF($E1407="Win",('Guide &amp; Settings'!$C$42/(($F1407-1)*COUNTIFS($A$4:$A$1510,$A1407,$E$4:$E$1510,"Win")))*SUMIFS($X$4:$X$1510,$A$4:$A$1510,$A1407,$E$4:$E$1510,"Loss"),-('Guide &amp; Settings'!$C$42/($F1407-1))*$X1407)))</f>
        <v>0</v>
      </c>
      <c r="K1407" s="124">
        <f>IF($D1407="",0,'Guide &amp; Settings'!$C$43*(IF($E1407="Win",1,0)-$I1407))</f>
        <v>0</v>
      </c>
      <c r="L1407" s="125">
        <f>IF($D1407="",0,'Guide &amp; Settings'!$C$44*IF($F1407&gt;=3,$F1407,0))</f>
        <v>0</v>
      </c>
      <c r="M1407" s="124">
        <f t="shared" si="423"/>
        <v>0</v>
      </c>
      <c r="N1407" s="122">
        <f t="shared" si="424"/>
        <v>0</v>
      </c>
      <c r="O1407" s="121" t="str">
        <f t="shared" si="425"/>
        <v/>
      </c>
      <c r="P1407">
        <f t="shared" si="426"/>
        <v>0</v>
      </c>
      <c r="Q1407">
        <f t="shared" si="427"/>
        <v>0</v>
      </c>
      <c r="R1407">
        <f t="shared" si="428"/>
        <v>0</v>
      </c>
      <c r="S1407">
        <f t="shared" si="429"/>
        <v>0</v>
      </c>
      <c r="T1407" s="89">
        <f t="shared" si="430"/>
        <v>0</v>
      </c>
      <c r="U1407" s="126">
        <f>IF($D1407="",0,IFERROR(LOOKUP(2,1/(($D$3:D1406=$D1407)*($C$3:C1406=$C1407)*($A$3:A1406&lt;$A1407)),$AB$3:AB1406),1000))</f>
        <v>0</v>
      </c>
      <c r="V1407" s="126">
        <f t="shared" si="431"/>
        <v>0</v>
      </c>
      <c r="W1407">
        <f t="shared" si="432"/>
        <v>0</v>
      </c>
      <c r="X1407">
        <f t="shared" si="433"/>
        <v>0</v>
      </c>
      <c r="Y1407">
        <f t="shared" si="434"/>
        <v>0</v>
      </c>
      <c r="Z1407">
        <f t="shared" si="435"/>
        <v>0</v>
      </c>
      <c r="AA1407">
        <f>IF($D1407="",0,IF($F1407&lt;2,0,IF($E1407="Win",('Guide &amp; Settings'!$C$42/(($F1407-1)*COUNTIFS($A$4:$A$1510,$A1407,$E$4:$E$1510,"Win")))*SUMIFS($Z$4:$Z$1510,$A$4:$A$1510,$A1407,$E$4:$E$1510,"Loss"),-('Guide &amp; Settings'!$C$42/($F1407-1))*$Z1407)))</f>
        <v>0</v>
      </c>
      <c r="AB1407" s="126">
        <f t="shared" si="436"/>
        <v>0</v>
      </c>
      <c r="AC1407" t="str">
        <f>IF($D1407="","",IF($AD1407=0,0,IF(COUNTIFS($D$4:$D1407,$D1407,$B$4:$B1407,$B1407)&gt;1,0,IF($B1407&lt;'Guide &amp; Settings'!$C$50,0,IF(($B1407-$AD1407)/7-'Guide &amp; Settings'!$C$48&gt;=0,(INT(($B1407-$AD1407)/7-'Guide &amp; Settings'!$C$48)+1)*'Guide &amp; Settings'!$C$49,0)))))</f>
        <v/>
      </c>
      <c r="AD1407" s="142">
        <f t="shared" si="437"/>
        <v>0</v>
      </c>
      <c r="AE1407">
        <f t="shared" si="438"/>
        <v>0</v>
      </c>
      <c r="AF1407">
        <f t="shared" si="439"/>
        <v>0</v>
      </c>
    </row>
    <row r="1408" spans="1:32" x14ac:dyDescent="0.2">
      <c r="A1408" s="117"/>
      <c r="B1408" s="118"/>
      <c r="C1408" s="119"/>
      <c r="D1408" s="119"/>
      <c r="E1408" s="117"/>
      <c r="F1408" s="120">
        <f t="shared" si="420"/>
        <v>0</v>
      </c>
      <c r="G1408" s="121" t="str">
        <f t="shared" si="421"/>
        <v/>
      </c>
      <c r="H1408" s="122">
        <f>IF($D1408="",0,IFERROR(LOOKUP(2,1/(($D$3:D1407=$D1408)*($A$3:A1407&lt;$A1408)),$N$3:N1407),'Guide &amp; Settings'!$C$41))</f>
        <v>0</v>
      </c>
      <c r="I1408" s="123">
        <f t="shared" si="422"/>
        <v>0</v>
      </c>
      <c r="J1408" s="124">
        <f>IF($D1408="",0,IF($F1408&lt;2,0,IF($E1408="Win",('Guide &amp; Settings'!$C$42/(($F1408-1)*COUNTIFS($A$4:$A$1510,$A1408,$E$4:$E$1510,"Win")))*SUMIFS($X$4:$X$1510,$A$4:$A$1510,$A1408,$E$4:$E$1510,"Loss"),-('Guide &amp; Settings'!$C$42/($F1408-1))*$X1408)))</f>
        <v>0</v>
      </c>
      <c r="K1408" s="124">
        <f>IF($D1408="",0,'Guide &amp; Settings'!$C$43*(IF($E1408="Win",1,0)-$I1408))</f>
        <v>0</v>
      </c>
      <c r="L1408" s="125">
        <f>IF($D1408="",0,'Guide &amp; Settings'!$C$44*IF($F1408&gt;=3,$F1408,0))</f>
        <v>0</v>
      </c>
      <c r="M1408" s="124">
        <f t="shared" si="423"/>
        <v>0</v>
      </c>
      <c r="N1408" s="122">
        <f t="shared" si="424"/>
        <v>0</v>
      </c>
      <c r="O1408" s="121" t="str">
        <f t="shared" si="425"/>
        <v/>
      </c>
      <c r="P1408">
        <f t="shared" si="426"/>
        <v>0</v>
      </c>
      <c r="Q1408">
        <f t="shared" si="427"/>
        <v>0</v>
      </c>
      <c r="R1408">
        <f t="shared" si="428"/>
        <v>0</v>
      </c>
      <c r="S1408">
        <f t="shared" si="429"/>
        <v>0</v>
      </c>
      <c r="T1408" s="89">
        <f t="shared" si="430"/>
        <v>0</v>
      </c>
      <c r="U1408" s="126">
        <f>IF($D1408="",0,IFERROR(LOOKUP(2,1/(($D$3:D1407=$D1408)*($C$3:C1407=$C1408)*($A$3:A1407&lt;$A1408)),$AB$3:AB1407),1000))</f>
        <v>0</v>
      </c>
      <c r="V1408" s="126">
        <f t="shared" si="431"/>
        <v>0</v>
      </c>
      <c r="W1408">
        <f t="shared" si="432"/>
        <v>0</v>
      </c>
      <c r="X1408">
        <f t="shared" si="433"/>
        <v>0</v>
      </c>
      <c r="Y1408">
        <f t="shared" si="434"/>
        <v>0</v>
      </c>
      <c r="Z1408">
        <f t="shared" si="435"/>
        <v>0</v>
      </c>
      <c r="AA1408">
        <f>IF($D1408="",0,IF($F1408&lt;2,0,IF($E1408="Win",('Guide &amp; Settings'!$C$42/(($F1408-1)*COUNTIFS($A$4:$A$1510,$A1408,$E$4:$E$1510,"Win")))*SUMIFS($Z$4:$Z$1510,$A$4:$A$1510,$A1408,$E$4:$E$1510,"Loss"),-('Guide &amp; Settings'!$C$42/($F1408-1))*$Z1408)))</f>
        <v>0</v>
      </c>
      <c r="AB1408" s="126">
        <f t="shared" si="436"/>
        <v>0</v>
      </c>
      <c r="AC1408" t="str">
        <f>IF($D1408="","",IF($AD1408=0,0,IF(COUNTIFS($D$4:$D1408,$D1408,$B$4:$B1408,$B1408)&gt;1,0,IF($B1408&lt;'Guide &amp; Settings'!$C$50,0,IF(($B1408-$AD1408)/7-'Guide &amp; Settings'!$C$48&gt;=0,(INT(($B1408-$AD1408)/7-'Guide &amp; Settings'!$C$48)+1)*'Guide &amp; Settings'!$C$49,0)))))</f>
        <v/>
      </c>
      <c r="AD1408" s="142">
        <f t="shared" si="437"/>
        <v>0</v>
      </c>
      <c r="AE1408">
        <f t="shared" si="438"/>
        <v>0</v>
      </c>
      <c r="AF1408">
        <f t="shared" si="439"/>
        <v>0</v>
      </c>
    </row>
    <row r="1409" spans="1:32" x14ac:dyDescent="0.2">
      <c r="A1409" s="117"/>
      <c r="B1409" s="118"/>
      <c r="C1409" s="119"/>
      <c r="D1409" s="119"/>
      <c r="E1409" s="117"/>
      <c r="F1409" s="120">
        <f t="shared" si="420"/>
        <v>0</v>
      </c>
      <c r="G1409" s="121" t="str">
        <f t="shared" si="421"/>
        <v/>
      </c>
      <c r="H1409" s="122">
        <f>IF($D1409="",0,IFERROR(LOOKUP(2,1/(($D$3:D1408=$D1409)*($A$3:A1408&lt;$A1409)),$N$3:N1408),'Guide &amp; Settings'!$C$41))</f>
        <v>0</v>
      </c>
      <c r="I1409" s="123">
        <f t="shared" si="422"/>
        <v>0</v>
      </c>
      <c r="J1409" s="124">
        <f>IF($D1409="",0,IF($F1409&lt;2,0,IF($E1409="Win",('Guide &amp; Settings'!$C$42/(($F1409-1)*COUNTIFS($A$4:$A$1510,$A1409,$E$4:$E$1510,"Win")))*SUMIFS($X$4:$X$1510,$A$4:$A$1510,$A1409,$E$4:$E$1510,"Loss"),-('Guide &amp; Settings'!$C$42/($F1409-1))*$X1409)))</f>
        <v>0</v>
      </c>
      <c r="K1409" s="124">
        <f>IF($D1409="",0,'Guide &amp; Settings'!$C$43*(IF($E1409="Win",1,0)-$I1409))</f>
        <v>0</v>
      </c>
      <c r="L1409" s="125">
        <f>IF($D1409="",0,'Guide &amp; Settings'!$C$44*IF($F1409&gt;=3,$F1409,0))</f>
        <v>0</v>
      </c>
      <c r="M1409" s="124">
        <f t="shared" si="423"/>
        <v>0</v>
      </c>
      <c r="N1409" s="122">
        <f t="shared" si="424"/>
        <v>0</v>
      </c>
      <c r="O1409" s="121" t="str">
        <f t="shared" si="425"/>
        <v/>
      </c>
      <c r="P1409">
        <f t="shared" si="426"/>
        <v>0</v>
      </c>
      <c r="Q1409">
        <f t="shared" si="427"/>
        <v>0</v>
      </c>
      <c r="R1409">
        <f t="shared" si="428"/>
        <v>0</v>
      </c>
      <c r="S1409">
        <f t="shared" si="429"/>
        <v>0</v>
      </c>
      <c r="T1409" s="89">
        <f t="shared" si="430"/>
        <v>0</v>
      </c>
      <c r="U1409" s="126">
        <f>IF($D1409="",0,IFERROR(LOOKUP(2,1/(($D$3:D1408=$D1409)*($C$3:C1408=$C1409)*($A$3:A1408&lt;$A1409)),$AB$3:AB1408),1000))</f>
        <v>0</v>
      </c>
      <c r="V1409" s="126">
        <f t="shared" si="431"/>
        <v>0</v>
      </c>
      <c r="W1409">
        <f t="shared" si="432"/>
        <v>0</v>
      </c>
      <c r="X1409">
        <f t="shared" si="433"/>
        <v>0</v>
      </c>
      <c r="Y1409">
        <f t="shared" si="434"/>
        <v>0</v>
      </c>
      <c r="Z1409">
        <f t="shared" si="435"/>
        <v>0</v>
      </c>
      <c r="AA1409">
        <f>IF($D1409="",0,IF($F1409&lt;2,0,IF($E1409="Win",('Guide &amp; Settings'!$C$42/(($F1409-1)*COUNTIFS($A$4:$A$1510,$A1409,$E$4:$E$1510,"Win")))*SUMIFS($Z$4:$Z$1510,$A$4:$A$1510,$A1409,$E$4:$E$1510,"Loss"),-('Guide &amp; Settings'!$C$42/($F1409-1))*$Z1409)))</f>
        <v>0</v>
      </c>
      <c r="AB1409" s="126">
        <f t="shared" si="436"/>
        <v>0</v>
      </c>
      <c r="AC1409" t="str">
        <f>IF($D1409="","",IF($AD1409=0,0,IF(COUNTIFS($D$4:$D1409,$D1409,$B$4:$B1409,$B1409)&gt;1,0,IF($B1409&lt;'Guide &amp; Settings'!$C$50,0,IF(($B1409-$AD1409)/7-'Guide &amp; Settings'!$C$48&gt;=0,(INT(($B1409-$AD1409)/7-'Guide &amp; Settings'!$C$48)+1)*'Guide &amp; Settings'!$C$49,0)))))</f>
        <v/>
      </c>
      <c r="AD1409" s="142">
        <f t="shared" si="437"/>
        <v>0</v>
      </c>
      <c r="AE1409">
        <f t="shared" si="438"/>
        <v>0</v>
      </c>
      <c r="AF1409">
        <f t="shared" si="439"/>
        <v>0</v>
      </c>
    </row>
    <row r="1410" spans="1:32" x14ac:dyDescent="0.2">
      <c r="A1410" s="117"/>
      <c r="B1410" s="118"/>
      <c r="C1410" s="119"/>
      <c r="D1410" s="119"/>
      <c r="E1410" s="117"/>
      <c r="F1410" s="120">
        <f t="shared" si="420"/>
        <v>0</v>
      </c>
      <c r="G1410" s="121" t="str">
        <f t="shared" si="421"/>
        <v/>
      </c>
      <c r="H1410" s="122">
        <f>IF($D1410="",0,IFERROR(LOOKUP(2,1/(($D$3:D1409=$D1410)*($A$3:A1409&lt;$A1410)),$N$3:N1409),'Guide &amp; Settings'!$C$41))</f>
        <v>0</v>
      </c>
      <c r="I1410" s="123">
        <f t="shared" si="422"/>
        <v>0</v>
      </c>
      <c r="J1410" s="124">
        <f>IF($D1410="",0,IF($F1410&lt;2,0,IF($E1410="Win",('Guide &amp; Settings'!$C$42/(($F1410-1)*COUNTIFS($A$4:$A$1510,$A1410,$E$4:$E$1510,"Win")))*SUMIFS($X$4:$X$1510,$A$4:$A$1510,$A1410,$E$4:$E$1510,"Loss"),-('Guide &amp; Settings'!$C$42/($F1410-1))*$X1410)))</f>
        <v>0</v>
      </c>
      <c r="K1410" s="124">
        <f>IF($D1410="",0,'Guide &amp; Settings'!$C$43*(IF($E1410="Win",1,0)-$I1410))</f>
        <v>0</v>
      </c>
      <c r="L1410" s="125">
        <f>IF($D1410="",0,'Guide &amp; Settings'!$C$44*IF($F1410&gt;=3,$F1410,0))</f>
        <v>0</v>
      </c>
      <c r="M1410" s="124">
        <f t="shared" si="423"/>
        <v>0</v>
      </c>
      <c r="N1410" s="122">
        <f t="shared" si="424"/>
        <v>0</v>
      </c>
      <c r="O1410" s="121" t="str">
        <f t="shared" si="425"/>
        <v/>
      </c>
      <c r="P1410">
        <f t="shared" si="426"/>
        <v>0</v>
      </c>
      <c r="Q1410">
        <f t="shared" si="427"/>
        <v>0</v>
      </c>
      <c r="R1410">
        <f t="shared" si="428"/>
        <v>0</v>
      </c>
      <c r="S1410">
        <f t="shared" si="429"/>
        <v>0</v>
      </c>
      <c r="T1410" s="89">
        <f t="shared" si="430"/>
        <v>0</v>
      </c>
      <c r="U1410" s="126">
        <f>IF($D1410="",0,IFERROR(LOOKUP(2,1/(($D$3:D1409=$D1410)*($C$3:C1409=$C1410)*($A$3:A1409&lt;$A1410)),$AB$3:AB1409),1000))</f>
        <v>0</v>
      </c>
      <c r="V1410" s="126">
        <f t="shared" si="431"/>
        <v>0</v>
      </c>
      <c r="W1410">
        <f t="shared" si="432"/>
        <v>0</v>
      </c>
      <c r="X1410">
        <f t="shared" si="433"/>
        <v>0</v>
      </c>
      <c r="Y1410">
        <f t="shared" si="434"/>
        <v>0</v>
      </c>
      <c r="Z1410">
        <f t="shared" si="435"/>
        <v>0</v>
      </c>
      <c r="AA1410">
        <f>IF($D1410="",0,IF($F1410&lt;2,0,IF($E1410="Win",('Guide &amp; Settings'!$C$42/(($F1410-1)*COUNTIFS($A$4:$A$1510,$A1410,$E$4:$E$1510,"Win")))*SUMIFS($Z$4:$Z$1510,$A$4:$A$1510,$A1410,$E$4:$E$1510,"Loss"),-('Guide &amp; Settings'!$C$42/($F1410-1))*$Z1410)))</f>
        <v>0</v>
      </c>
      <c r="AB1410" s="126">
        <f t="shared" si="436"/>
        <v>0</v>
      </c>
      <c r="AC1410" t="str">
        <f>IF($D1410="","",IF($AD1410=0,0,IF(COUNTIFS($D$4:$D1410,$D1410,$B$4:$B1410,$B1410)&gt;1,0,IF($B1410&lt;'Guide &amp; Settings'!$C$50,0,IF(($B1410-$AD1410)/7-'Guide &amp; Settings'!$C$48&gt;=0,(INT(($B1410-$AD1410)/7-'Guide &amp; Settings'!$C$48)+1)*'Guide &amp; Settings'!$C$49,0)))))</f>
        <v/>
      </c>
      <c r="AD1410" s="142">
        <f t="shared" si="437"/>
        <v>0</v>
      </c>
      <c r="AE1410">
        <f t="shared" si="438"/>
        <v>0</v>
      </c>
      <c r="AF1410">
        <f t="shared" si="439"/>
        <v>0</v>
      </c>
    </row>
    <row r="1411" spans="1:32" x14ac:dyDescent="0.2">
      <c r="A1411" s="117"/>
      <c r="B1411" s="118"/>
      <c r="C1411" s="119"/>
      <c r="D1411" s="119"/>
      <c r="E1411" s="117"/>
      <c r="F1411" s="120">
        <f t="shared" si="420"/>
        <v>0</v>
      </c>
      <c r="G1411" s="121" t="str">
        <f t="shared" si="421"/>
        <v/>
      </c>
      <c r="H1411" s="122">
        <f>IF($D1411="",0,IFERROR(LOOKUP(2,1/(($D$3:D1410=$D1411)*($A$3:A1410&lt;$A1411)),$N$3:N1410),'Guide &amp; Settings'!$C$41))</f>
        <v>0</v>
      </c>
      <c r="I1411" s="123">
        <f t="shared" si="422"/>
        <v>0</v>
      </c>
      <c r="J1411" s="124">
        <f>IF($D1411="",0,IF($F1411&lt;2,0,IF($E1411="Win",('Guide &amp; Settings'!$C$42/(($F1411-1)*COUNTIFS($A$4:$A$1510,$A1411,$E$4:$E$1510,"Win")))*SUMIFS($X$4:$X$1510,$A$4:$A$1510,$A1411,$E$4:$E$1510,"Loss"),-('Guide &amp; Settings'!$C$42/($F1411-1))*$X1411)))</f>
        <v>0</v>
      </c>
      <c r="K1411" s="124">
        <f>IF($D1411="",0,'Guide &amp; Settings'!$C$43*(IF($E1411="Win",1,0)-$I1411))</f>
        <v>0</v>
      </c>
      <c r="L1411" s="125">
        <f>IF($D1411="",0,'Guide &amp; Settings'!$C$44*IF($F1411&gt;=3,$F1411,0))</f>
        <v>0</v>
      </c>
      <c r="M1411" s="124">
        <f t="shared" si="423"/>
        <v>0</v>
      </c>
      <c r="N1411" s="122">
        <f t="shared" si="424"/>
        <v>0</v>
      </c>
      <c r="O1411" s="121" t="str">
        <f t="shared" si="425"/>
        <v/>
      </c>
      <c r="P1411">
        <f t="shared" si="426"/>
        <v>0</v>
      </c>
      <c r="Q1411">
        <f t="shared" si="427"/>
        <v>0</v>
      </c>
      <c r="R1411">
        <f t="shared" si="428"/>
        <v>0</v>
      </c>
      <c r="S1411">
        <f t="shared" si="429"/>
        <v>0</v>
      </c>
      <c r="T1411" s="89">
        <f t="shared" si="430"/>
        <v>0</v>
      </c>
      <c r="U1411" s="126">
        <f>IF($D1411="",0,IFERROR(LOOKUP(2,1/(($D$3:D1410=$D1411)*($C$3:C1410=$C1411)*($A$3:A1410&lt;$A1411)),$AB$3:AB1410),1000))</f>
        <v>0</v>
      </c>
      <c r="V1411" s="126">
        <f t="shared" si="431"/>
        <v>0</v>
      </c>
      <c r="W1411">
        <f t="shared" si="432"/>
        <v>0</v>
      </c>
      <c r="X1411">
        <f t="shared" si="433"/>
        <v>0</v>
      </c>
      <c r="Y1411">
        <f t="shared" si="434"/>
        <v>0</v>
      </c>
      <c r="Z1411">
        <f t="shared" si="435"/>
        <v>0</v>
      </c>
      <c r="AA1411">
        <f>IF($D1411="",0,IF($F1411&lt;2,0,IF($E1411="Win",('Guide &amp; Settings'!$C$42/(($F1411-1)*COUNTIFS($A$4:$A$1510,$A1411,$E$4:$E$1510,"Win")))*SUMIFS($Z$4:$Z$1510,$A$4:$A$1510,$A1411,$E$4:$E$1510,"Loss"),-('Guide &amp; Settings'!$C$42/($F1411-1))*$Z1411)))</f>
        <v>0</v>
      </c>
      <c r="AB1411" s="126">
        <f t="shared" si="436"/>
        <v>0</v>
      </c>
      <c r="AC1411" t="str">
        <f>IF($D1411="","",IF($AD1411=0,0,IF(COUNTIFS($D$4:$D1411,$D1411,$B$4:$B1411,$B1411)&gt;1,0,IF($B1411&lt;'Guide &amp; Settings'!$C$50,0,IF(($B1411-$AD1411)/7-'Guide &amp; Settings'!$C$48&gt;=0,(INT(($B1411-$AD1411)/7-'Guide &amp; Settings'!$C$48)+1)*'Guide &amp; Settings'!$C$49,0)))))</f>
        <v/>
      </c>
      <c r="AD1411" s="142">
        <f t="shared" si="437"/>
        <v>0</v>
      </c>
      <c r="AE1411">
        <f t="shared" si="438"/>
        <v>0</v>
      </c>
      <c r="AF1411">
        <f t="shared" si="439"/>
        <v>0</v>
      </c>
    </row>
    <row r="1412" spans="1:32" x14ac:dyDescent="0.2">
      <c r="A1412" s="117"/>
      <c r="B1412" s="118"/>
      <c r="C1412" s="119"/>
      <c r="D1412" s="119"/>
      <c r="E1412" s="117"/>
      <c r="F1412" s="120">
        <f t="shared" ref="F1412:F1475" si="440">IF($D1412="",0,COUNTIF($A$4:$A$1510,$A1412))</f>
        <v>0</v>
      </c>
      <c r="G1412" s="121" t="str">
        <f t="shared" ref="G1412:G1475" si="441">IF($D1412="","",IFERROR(LOOKUP(2,1/(($A$4:$A$1510=$A1412)*($E$4:$E$1510="Win")),$D$4:$D$1510),"(no winner)"))</f>
        <v/>
      </c>
      <c r="H1412" s="122">
        <f>IF($D1412="",0,IFERROR(LOOKUP(2,1/(($D$3:D1411=$D1412)*($A$3:A1411&lt;$A1412)),$N$3:N1411),'Guide &amp; Settings'!$C$41))</f>
        <v>0</v>
      </c>
      <c r="I1412" s="123">
        <f t="shared" ref="I1412:I1475" si="442">IF($D1412="",0,IF($S1412=0,0,$R1412/$S1412))</f>
        <v>0</v>
      </c>
      <c r="J1412" s="124">
        <f>IF($D1412="",0,IF($F1412&lt;2,0,IF($E1412="Win",('Guide &amp; Settings'!$C$42/(($F1412-1)*COUNTIFS($A$4:$A$1510,$A1412,$E$4:$E$1510,"Win")))*SUMIFS($X$4:$X$1510,$A$4:$A$1510,$A1412,$E$4:$E$1510,"Loss"),-('Guide &amp; Settings'!$C$42/($F1412-1))*$X1412)))</f>
        <v>0</v>
      </c>
      <c r="K1412" s="124">
        <f>IF($D1412="",0,'Guide &amp; Settings'!$C$43*(IF($E1412="Win",1,0)-$I1412))</f>
        <v>0</v>
      </c>
      <c r="L1412" s="125">
        <f>IF($D1412="",0,'Guide &amp; Settings'!$C$44*IF($F1412&gt;=3,$F1412,0))</f>
        <v>0</v>
      </c>
      <c r="M1412" s="124">
        <f t="shared" ref="M1412:M1475" si="443">IF($D1412="",0,$J1412+$K1412+$L1412)</f>
        <v>0</v>
      </c>
      <c r="N1412" s="122">
        <f t="shared" ref="N1412:N1475" si="444">IF($D1412="",0,$H1412+$M1412)</f>
        <v>0</v>
      </c>
      <c r="O1412" s="121" t="str">
        <f t="shared" ref="O1412:O1475" si="445">IF($D1412="","",IF($AE1412=0,"need a winner",IF($F1412-$AE1412=0,"need a loser",IF(MOD($AF1412,2)=1,"duplicate player",IF(MOD(INT($AF1412/2),2)=1,"mixed sports",IF($AF1412&gt;=4,"mixed dates",IF($AE1412&gt;1,IF($F1412&gt;=4,"OK (team)","check winners"),"OK")))))))</f>
        <v/>
      </c>
      <c r="P1412">
        <f t="shared" ref="P1412:P1475" si="446">IF($D1412="",0,IFERROR(SUMIFS($H$4:$H$1510,$A$4:$A$1510,$A1412,$E$4:$E$1510,"Win")/COUNTIFS($A$4:$A$1510,$A1412,$E$4:$E$1510,"Win"),0))</f>
        <v>0</v>
      </c>
      <c r="Q1412">
        <f t="shared" ref="Q1412:Q1475" si="447">IF($D1412="",0,1/(1+10^(($P1412-$H1412)/400)))</f>
        <v>0</v>
      </c>
      <c r="R1412">
        <f t="shared" ref="R1412:R1475" si="448">IF($D1412="",0,(COUNTIFS($D$4:$D$1510,$D1412,$C$4:$C$1510,$C1412,$E$4:$E$1510,"Win",$A$4:$A$1510,"&lt;"&amp;$A1412)+1)/(COUNTIFS($D$4:$D$1510,$D1412,$C$4:$C$1510,$C1412,$A$4:$A$1510,"&lt;"&amp;$A1412)+2))</f>
        <v>0</v>
      </c>
      <c r="S1412">
        <f t="shared" ref="S1412:S1475" si="449">IF($D1412="",0,SUMIFS($R$4:$R$1510,$A$4:$A$1510,$A1412))</f>
        <v>0</v>
      </c>
      <c r="T1412" s="89">
        <f t="shared" ref="T1412:T1475" si="450">IF($D1412="",0,COUNTIFS($D$4:$D$1510,$D1412,$C$4:$C$1510,$C1412,$A$4:$A$1510,"&lt;"&amp;$A1412))</f>
        <v>0</v>
      </c>
      <c r="U1412" s="126">
        <f>IF($D1412="",0,IFERROR(LOOKUP(2,1/(($D$3:D1411=$D1412)*($C$3:C1411=$C1412)*($A$3:A1411&lt;$A1412)),$AB$3:AB1411),1000))</f>
        <v>0</v>
      </c>
      <c r="V1412" s="126">
        <f t="shared" ref="V1412:V1475" si="451">IF($D1412="",0,$U1412*($T1412/($T1412+5))+$H1412*(1-$T1412/($T1412+5)))</f>
        <v>0</v>
      </c>
      <c r="W1412">
        <f t="shared" ref="W1412:W1475" si="452">IF($D1412="",0,IFERROR(SUMIFS($V$4:$V$1510,$A$4:$A$1510,$A1412,$E$4:$E$1510,"Win")/COUNTIFS($A$4:$A$1510,$A1412,$E$4:$E$1510,"Win"),0))</f>
        <v>0</v>
      </c>
      <c r="X1412">
        <f t="shared" ref="X1412:X1475" si="453">IF($D1412="",0,1/(1+10^(($W1412-$V1412)/400)))</f>
        <v>0</v>
      </c>
      <c r="Y1412">
        <f t="shared" ref="Y1412:Y1475" si="454">IF($D1412="",0,IFERROR(SUMIFS($U$4:$U$1510,$A$4:$A$1510,$A1412,$E$4:$E$1510,"Win")/COUNTIFS($A$4:$A$1510,$A1412,$E$4:$E$1510,"Win"),0))</f>
        <v>0</v>
      </c>
      <c r="Z1412">
        <f t="shared" ref="Z1412:Z1475" si="455">IF($D1412="",0,1/(1+10^(($Y1412-$U1412)/400)))</f>
        <v>0</v>
      </c>
      <c r="AA1412">
        <f>IF($D1412="",0,IF($F1412&lt;2,0,IF($E1412="Win",('Guide &amp; Settings'!$C$42/(($F1412-1)*COUNTIFS($A$4:$A$1510,$A1412,$E$4:$E$1510,"Win")))*SUMIFS($Z$4:$Z$1510,$A$4:$A$1510,$A1412,$E$4:$E$1510,"Loss"),-('Guide &amp; Settings'!$C$42/($F1412-1))*$Z1412)))</f>
        <v>0</v>
      </c>
      <c r="AB1412" s="126">
        <f t="shared" ref="AB1412:AB1475" si="456">IF($D1412="",0,$U1412+$AA1412)</f>
        <v>0</v>
      </c>
      <c r="AC1412" t="str">
        <f>IF($D1412="","",IF($AD1412=0,0,IF(COUNTIFS($D$4:$D1412,$D1412,$B$4:$B1412,$B1412)&gt;1,0,IF($B1412&lt;'Guide &amp; Settings'!$C$50,0,IF(($B1412-$AD1412)/7-'Guide &amp; Settings'!$C$48&gt;=0,(INT(($B1412-$AD1412)/7-'Guide &amp; Settings'!$C$48)+1)*'Guide &amp; Settings'!$C$49,0)))))</f>
        <v/>
      </c>
      <c r="AD1412" s="142">
        <f t="shared" ref="AD1412:AD1475" si="457">IF($D1412="",0,SUMPRODUCT(MAX(($D$4:$D$1510=$D1412)*($B$4:$B$1510&lt;$B1412)*$B$4:$B$1510)))</f>
        <v>0</v>
      </c>
      <c r="AE1412">
        <f t="shared" ref="AE1412:AE1475" si="458">IF($D1412="",0,COUNTIFS($A$4:$A$1510,$A1412,$E$4:$E$1510,"Win"))</f>
        <v>0</v>
      </c>
      <c r="AF1412">
        <f t="shared" ref="AF1412:AF1475" si="459">IF($D1412="",0,(COUNTIFS($A$4:$A$1510,$A1412,$D$4:$D$1510,$D1412)&gt;1)*1+(COUNTIFS($A$4:$A$1510,$A1412,$C$4:$C$1510,"&lt;&gt;"&amp;$C1412)&gt;0)*2+(COUNTIFS($A$4:$A$1510,$A1412,$B$4:$B$1510,"&lt;&gt;"&amp;$B1412)&gt;0)*4)</f>
        <v>0</v>
      </c>
    </row>
    <row r="1413" spans="1:32" x14ac:dyDescent="0.2">
      <c r="A1413" s="117"/>
      <c r="B1413" s="118"/>
      <c r="C1413" s="119"/>
      <c r="D1413" s="119"/>
      <c r="E1413" s="117"/>
      <c r="F1413" s="120">
        <f t="shared" si="440"/>
        <v>0</v>
      </c>
      <c r="G1413" s="121" t="str">
        <f t="shared" si="441"/>
        <v/>
      </c>
      <c r="H1413" s="122">
        <f>IF($D1413="",0,IFERROR(LOOKUP(2,1/(($D$3:D1412=$D1413)*($A$3:A1412&lt;$A1413)),$N$3:N1412),'Guide &amp; Settings'!$C$41))</f>
        <v>0</v>
      </c>
      <c r="I1413" s="123">
        <f t="shared" si="442"/>
        <v>0</v>
      </c>
      <c r="J1413" s="124">
        <f>IF($D1413="",0,IF($F1413&lt;2,0,IF($E1413="Win",('Guide &amp; Settings'!$C$42/(($F1413-1)*COUNTIFS($A$4:$A$1510,$A1413,$E$4:$E$1510,"Win")))*SUMIFS($X$4:$X$1510,$A$4:$A$1510,$A1413,$E$4:$E$1510,"Loss"),-('Guide &amp; Settings'!$C$42/($F1413-1))*$X1413)))</f>
        <v>0</v>
      </c>
      <c r="K1413" s="124">
        <f>IF($D1413="",0,'Guide &amp; Settings'!$C$43*(IF($E1413="Win",1,0)-$I1413))</f>
        <v>0</v>
      </c>
      <c r="L1413" s="125">
        <f>IF($D1413="",0,'Guide &amp; Settings'!$C$44*IF($F1413&gt;=3,$F1413,0))</f>
        <v>0</v>
      </c>
      <c r="M1413" s="124">
        <f t="shared" si="443"/>
        <v>0</v>
      </c>
      <c r="N1413" s="122">
        <f t="shared" si="444"/>
        <v>0</v>
      </c>
      <c r="O1413" s="121" t="str">
        <f t="shared" si="445"/>
        <v/>
      </c>
      <c r="P1413">
        <f t="shared" si="446"/>
        <v>0</v>
      </c>
      <c r="Q1413">
        <f t="shared" si="447"/>
        <v>0</v>
      </c>
      <c r="R1413">
        <f t="shared" si="448"/>
        <v>0</v>
      </c>
      <c r="S1413">
        <f t="shared" si="449"/>
        <v>0</v>
      </c>
      <c r="T1413" s="89">
        <f t="shared" si="450"/>
        <v>0</v>
      </c>
      <c r="U1413" s="126">
        <f>IF($D1413="",0,IFERROR(LOOKUP(2,1/(($D$3:D1412=$D1413)*($C$3:C1412=$C1413)*($A$3:A1412&lt;$A1413)),$AB$3:AB1412),1000))</f>
        <v>0</v>
      </c>
      <c r="V1413" s="126">
        <f t="shared" si="451"/>
        <v>0</v>
      </c>
      <c r="W1413">
        <f t="shared" si="452"/>
        <v>0</v>
      </c>
      <c r="X1413">
        <f t="shared" si="453"/>
        <v>0</v>
      </c>
      <c r="Y1413">
        <f t="shared" si="454"/>
        <v>0</v>
      </c>
      <c r="Z1413">
        <f t="shared" si="455"/>
        <v>0</v>
      </c>
      <c r="AA1413">
        <f>IF($D1413="",0,IF($F1413&lt;2,0,IF($E1413="Win",('Guide &amp; Settings'!$C$42/(($F1413-1)*COUNTIFS($A$4:$A$1510,$A1413,$E$4:$E$1510,"Win")))*SUMIFS($Z$4:$Z$1510,$A$4:$A$1510,$A1413,$E$4:$E$1510,"Loss"),-('Guide &amp; Settings'!$C$42/($F1413-1))*$Z1413)))</f>
        <v>0</v>
      </c>
      <c r="AB1413" s="126">
        <f t="shared" si="456"/>
        <v>0</v>
      </c>
      <c r="AC1413" t="str">
        <f>IF($D1413="","",IF($AD1413=0,0,IF(COUNTIFS($D$4:$D1413,$D1413,$B$4:$B1413,$B1413)&gt;1,0,IF($B1413&lt;'Guide &amp; Settings'!$C$50,0,IF(($B1413-$AD1413)/7-'Guide &amp; Settings'!$C$48&gt;=0,(INT(($B1413-$AD1413)/7-'Guide &amp; Settings'!$C$48)+1)*'Guide &amp; Settings'!$C$49,0)))))</f>
        <v/>
      </c>
      <c r="AD1413" s="142">
        <f t="shared" si="457"/>
        <v>0</v>
      </c>
      <c r="AE1413">
        <f t="shared" si="458"/>
        <v>0</v>
      </c>
      <c r="AF1413">
        <f t="shared" si="459"/>
        <v>0</v>
      </c>
    </row>
    <row r="1414" spans="1:32" x14ac:dyDescent="0.2">
      <c r="A1414" s="117"/>
      <c r="B1414" s="118"/>
      <c r="C1414" s="119"/>
      <c r="D1414" s="119"/>
      <c r="E1414" s="117"/>
      <c r="F1414" s="120">
        <f t="shared" si="440"/>
        <v>0</v>
      </c>
      <c r="G1414" s="121" t="str">
        <f t="shared" si="441"/>
        <v/>
      </c>
      <c r="H1414" s="122">
        <f>IF($D1414="",0,IFERROR(LOOKUP(2,1/(($D$3:D1413=$D1414)*($A$3:A1413&lt;$A1414)),$N$3:N1413),'Guide &amp; Settings'!$C$41))</f>
        <v>0</v>
      </c>
      <c r="I1414" s="123">
        <f t="shared" si="442"/>
        <v>0</v>
      </c>
      <c r="J1414" s="124">
        <f>IF($D1414="",0,IF($F1414&lt;2,0,IF($E1414="Win",('Guide &amp; Settings'!$C$42/(($F1414-1)*COUNTIFS($A$4:$A$1510,$A1414,$E$4:$E$1510,"Win")))*SUMIFS($X$4:$X$1510,$A$4:$A$1510,$A1414,$E$4:$E$1510,"Loss"),-('Guide &amp; Settings'!$C$42/($F1414-1))*$X1414)))</f>
        <v>0</v>
      </c>
      <c r="K1414" s="124">
        <f>IF($D1414="",0,'Guide &amp; Settings'!$C$43*(IF($E1414="Win",1,0)-$I1414))</f>
        <v>0</v>
      </c>
      <c r="L1414" s="125">
        <f>IF($D1414="",0,'Guide &amp; Settings'!$C$44*IF($F1414&gt;=3,$F1414,0))</f>
        <v>0</v>
      </c>
      <c r="M1414" s="124">
        <f t="shared" si="443"/>
        <v>0</v>
      </c>
      <c r="N1414" s="122">
        <f t="shared" si="444"/>
        <v>0</v>
      </c>
      <c r="O1414" s="121" t="str">
        <f t="shared" si="445"/>
        <v/>
      </c>
      <c r="P1414">
        <f t="shared" si="446"/>
        <v>0</v>
      </c>
      <c r="Q1414">
        <f t="shared" si="447"/>
        <v>0</v>
      </c>
      <c r="R1414">
        <f t="shared" si="448"/>
        <v>0</v>
      </c>
      <c r="S1414">
        <f t="shared" si="449"/>
        <v>0</v>
      </c>
      <c r="T1414" s="89">
        <f t="shared" si="450"/>
        <v>0</v>
      </c>
      <c r="U1414" s="126">
        <f>IF($D1414="",0,IFERROR(LOOKUP(2,1/(($D$3:D1413=$D1414)*($C$3:C1413=$C1414)*($A$3:A1413&lt;$A1414)),$AB$3:AB1413),1000))</f>
        <v>0</v>
      </c>
      <c r="V1414" s="126">
        <f t="shared" si="451"/>
        <v>0</v>
      </c>
      <c r="W1414">
        <f t="shared" si="452"/>
        <v>0</v>
      </c>
      <c r="X1414">
        <f t="shared" si="453"/>
        <v>0</v>
      </c>
      <c r="Y1414">
        <f t="shared" si="454"/>
        <v>0</v>
      </c>
      <c r="Z1414">
        <f t="shared" si="455"/>
        <v>0</v>
      </c>
      <c r="AA1414">
        <f>IF($D1414="",0,IF($F1414&lt;2,0,IF($E1414="Win",('Guide &amp; Settings'!$C$42/(($F1414-1)*COUNTIFS($A$4:$A$1510,$A1414,$E$4:$E$1510,"Win")))*SUMIFS($Z$4:$Z$1510,$A$4:$A$1510,$A1414,$E$4:$E$1510,"Loss"),-('Guide &amp; Settings'!$C$42/($F1414-1))*$Z1414)))</f>
        <v>0</v>
      </c>
      <c r="AB1414" s="126">
        <f t="shared" si="456"/>
        <v>0</v>
      </c>
      <c r="AC1414" t="str">
        <f>IF($D1414="","",IF($AD1414=0,0,IF(COUNTIFS($D$4:$D1414,$D1414,$B$4:$B1414,$B1414)&gt;1,0,IF($B1414&lt;'Guide &amp; Settings'!$C$50,0,IF(($B1414-$AD1414)/7-'Guide &amp; Settings'!$C$48&gt;=0,(INT(($B1414-$AD1414)/7-'Guide &amp; Settings'!$C$48)+1)*'Guide &amp; Settings'!$C$49,0)))))</f>
        <v/>
      </c>
      <c r="AD1414" s="142">
        <f t="shared" si="457"/>
        <v>0</v>
      </c>
      <c r="AE1414">
        <f t="shared" si="458"/>
        <v>0</v>
      </c>
      <c r="AF1414">
        <f t="shared" si="459"/>
        <v>0</v>
      </c>
    </row>
    <row r="1415" spans="1:32" x14ac:dyDescent="0.2">
      <c r="A1415" s="117"/>
      <c r="B1415" s="118"/>
      <c r="C1415" s="119"/>
      <c r="D1415" s="119"/>
      <c r="E1415" s="117"/>
      <c r="F1415" s="120">
        <f t="shared" si="440"/>
        <v>0</v>
      </c>
      <c r="G1415" s="121" t="str">
        <f t="shared" si="441"/>
        <v/>
      </c>
      <c r="H1415" s="122">
        <f>IF($D1415="",0,IFERROR(LOOKUP(2,1/(($D$3:D1414=$D1415)*($A$3:A1414&lt;$A1415)),$N$3:N1414),'Guide &amp; Settings'!$C$41))</f>
        <v>0</v>
      </c>
      <c r="I1415" s="123">
        <f t="shared" si="442"/>
        <v>0</v>
      </c>
      <c r="J1415" s="124">
        <f>IF($D1415="",0,IF($F1415&lt;2,0,IF($E1415="Win",('Guide &amp; Settings'!$C$42/(($F1415-1)*COUNTIFS($A$4:$A$1510,$A1415,$E$4:$E$1510,"Win")))*SUMIFS($X$4:$X$1510,$A$4:$A$1510,$A1415,$E$4:$E$1510,"Loss"),-('Guide &amp; Settings'!$C$42/($F1415-1))*$X1415)))</f>
        <v>0</v>
      </c>
      <c r="K1415" s="124">
        <f>IF($D1415="",0,'Guide &amp; Settings'!$C$43*(IF($E1415="Win",1,0)-$I1415))</f>
        <v>0</v>
      </c>
      <c r="L1415" s="125">
        <f>IF($D1415="",0,'Guide &amp; Settings'!$C$44*IF($F1415&gt;=3,$F1415,0))</f>
        <v>0</v>
      </c>
      <c r="M1415" s="124">
        <f t="shared" si="443"/>
        <v>0</v>
      </c>
      <c r="N1415" s="122">
        <f t="shared" si="444"/>
        <v>0</v>
      </c>
      <c r="O1415" s="121" t="str">
        <f t="shared" si="445"/>
        <v/>
      </c>
      <c r="P1415">
        <f t="shared" si="446"/>
        <v>0</v>
      </c>
      <c r="Q1415">
        <f t="shared" si="447"/>
        <v>0</v>
      </c>
      <c r="R1415">
        <f t="shared" si="448"/>
        <v>0</v>
      </c>
      <c r="S1415">
        <f t="shared" si="449"/>
        <v>0</v>
      </c>
      <c r="T1415" s="89">
        <f t="shared" si="450"/>
        <v>0</v>
      </c>
      <c r="U1415" s="126">
        <f>IF($D1415="",0,IFERROR(LOOKUP(2,1/(($D$3:D1414=$D1415)*($C$3:C1414=$C1415)*($A$3:A1414&lt;$A1415)),$AB$3:AB1414),1000))</f>
        <v>0</v>
      </c>
      <c r="V1415" s="126">
        <f t="shared" si="451"/>
        <v>0</v>
      </c>
      <c r="W1415">
        <f t="shared" si="452"/>
        <v>0</v>
      </c>
      <c r="X1415">
        <f t="shared" si="453"/>
        <v>0</v>
      </c>
      <c r="Y1415">
        <f t="shared" si="454"/>
        <v>0</v>
      </c>
      <c r="Z1415">
        <f t="shared" si="455"/>
        <v>0</v>
      </c>
      <c r="AA1415">
        <f>IF($D1415="",0,IF($F1415&lt;2,0,IF($E1415="Win",('Guide &amp; Settings'!$C$42/(($F1415-1)*COUNTIFS($A$4:$A$1510,$A1415,$E$4:$E$1510,"Win")))*SUMIFS($Z$4:$Z$1510,$A$4:$A$1510,$A1415,$E$4:$E$1510,"Loss"),-('Guide &amp; Settings'!$C$42/($F1415-1))*$Z1415)))</f>
        <v>0</v>
      </c>
      <c r="AB1415" s="126">
        <f t="shared" si="456"/>
        <v>0</v>
      </c>
      <c r="AC1415" t="str">
        <f>IF($D1415="","",IF($AD1415=0,0,IF(COUNTIFS($D$4:$D1415,$D1415,$B$4:$B1415,$B1415)&gt;1,0,IF($B1415&lt;'Guide &amp; Settings'!$C$50,0,IF(($B1415-$AD1415)/7-'Guide &amp; Settings'!$C$48&gt;=0,(INT(($B1415-$AD1415)/7-'Guide &amp; Settings'!$C$48)+1)*'Guide &amp; Settings'!$C$49,0)))))</f>
        <v/>
      </c>
      <c r="AD1415" s="142">
        <f t="shared" si="457"/>
        <v>0</v>
      </c>
      <c r="AE1415">
        <f t="shared" si="458"/>
        <v>0</v>
      </c>
      <c r="AF1415">
        <f t="shared" si="459"/>
        <v>0</v>
      </c>
    </row>
    <row r="1416" spans="1:32" x14ac:dyDescent="0.2">
      <c r="A1416" s="117"/>
      <c r="B1416" s="118"/>
      <c r="C1416" s="119"/>
      <c r="D1416" s="119"/>
      <c r="E1416" s="117"/>
      <c r="F1416" s="120">
        <f t="shared" si="440"/>
        <v>0</v>
      </c>
      <c r="G1416" s="121" t="str">
        <f t="shared" si="441"/>
        <v/>
      </c>
      <c r="H1416" s="122">
        <f>IF($D1416="",0,IFERROR(LOOKUP(2,1/(($D$3:D1415=$D1416)*($A$3:A1415&lt;$A1416)),$N$3:N1415),'Guide &amp; Settings'!$C$41))</f>
        <v>0</v>
      </c>
      <c r="I1416" s="123">
        <f t="shared" si="442"/>
        <v>0</v>
      </c>
      <c r="J1416" s="124">
        <f>IF($D1416="",0,IF($F1416&lt;2,0,IF($E1416="Win",('Guide &amp; Settings'!$C$42/(($F1416-1)*COUNTIFS($A$4:$A$1510,$A1416,$E$4:$E$1510,"Win")))*SUMIFS($X$4:$X$1510,$A$4:$A$1510,$A1416,$E$4:$E$1510,"Loss"),-('Guide &amp; Settings'!$C$42/($F1416-1))*$X1416)))</f>
        <v>0</v>
      </c>
      <c r="K1416" s="124">
        <f>IF($D1416="",0,'Guide &amp; Settings'!$C$43*(IF($E1416="Win",1,0)-$I1416))</f>
        <v>0</v>
      </c>
      <c r="L1416" s="125">
        <f>IF($D1416="",0,'Guide &amp; Settings'!$C$44*IF($F1416&gt;=3,$F1416,0))</f>
        <v>0</v>
      </c>
      <c r="M1416" s="124">
        <f t="shared" si="443"/>
        <v>0</v>
      </c>
      <c r="N1416" s="122">
        <f t="shared" si="444"/>
        <v>0</v>
      </c>
      <c r="O1416" s="121" t="str">
        <f t="shared" si="445"/>
        <v/>
      </c>
      <c r="P1416">
        <f t="shared" si="446"/>
        <v>0</v>
      </c>
      <c r="Q1416">
        <f t="shared" si="447"/>
        <v>0</v>
      </c>
      <c r="R1416">
        <f t="shared" si="448"/>
        <v>0</v>
      </c>
      <c r="S1416">
        <f t="shared" si="449"/>
        <v>0</v>
      </c>
      <c r="T1416" s="89">
        <f t="shared" si="450"/>
        <v>0</v>
      </c>
      <c r="U1416" s="126">
        <f>IF($D1416="",0,IFERROR(LOOKUP(2,1/(($D$3:D1415=$D1416)*($C$3:C1415=$C1416)*($A$3:A1415&lt;$A1416)),$AB$3:AB1415),1000))</f>
        <v>0</v>
      </c>
      <c r="V1416" s="126">
        <f t="shared" si="451"/>
        <v>0</v>
      </c>
      <c r="W1416">
        <f t="shared" si="452"/>
        <v>0</v>
      </c>
      <c r="X1416">
        <f t="shared" si="453"/>
        <v>0</v>
      </c>
      <c r="Y1416">
        <f t="shared" si="454"/>
        <v>0</v>
      </c>
      <c r="Z1416">
        <f t="shared" si="455"/>
        <v>0</v>
      </c>
      <c r="AA1416">
        <f>IF($D1416="",0,IF($F1416&lt;2,0,IF($E1416="Win",('Guide &amp; Settings'!$C$42/(($F1416-1)*COUNTIFS($A$4:$A$1510,$A1416,$E$4:$E$1510,"Win")))*SUMIFS($Z$4:$Z$1510,$A$4:$A$1510,$A1416,$E$4:$E$1510,"Loss"),-('Guide &amp; Settings'!$C$42/($F1416-1))*$Z1416)))</f>
        <v>0</v>
      </c>
      <c r="AB1416" s="126">
        <f t="shared" si="456"/>
        <v>0</v>
      </c>
      <c r="AC1416" t="str">
        <f>IF($D1416="","",IF($AD1416=0,0,IF(COUNTIFS($D$4:$D1416,$D1416,$B$4:$B1416,$B1416)&gt;1,0,IF($B1416&lt;'Guide &amp; Settings'!$C$50,0,IF(($B1416-$AD1416)/7-'Guide &amp; Settings'!$C$48&gt;=0,(INT(($B1416-$AD1416)/7-'Guide &amp; Settings'!$C$48)+1)*'Guide &amp; Settings'!$C$49,0)))))</f>
        <v/>
      </c>
      <c r="AD1416" s="142">
        <f t="shared" si="457"/>
        <v>0</v>
      </c>
      <c r="AE1416">
        <f t="shared" si="458"/>
        <v>0</v>
      </c>
      <c r="AF1416">
        <f t="shared" si="459"/>
        <v>0</v>
      </c>
    </row>
    <row r="1417" spans="1:32" x14ac:dyDescent="0.2">
      <c r="A1417" s="117"/>
      <c r="B1417" s="118"/>
      <c r="C1417" s="119"/>
      <c r="D1417" s="119"/>
      <c r="E1417" s="117"/>
      <c r="F1417" s="120">
        <f t="shared" si="440"/>
        <v>0</v>
      </c>
      <c r="G1417" s="121" t="str">
        <f t="shared" si="441"/>
        <v/>
      </c>
      <c r="H1417" s="122">
        <f>IF($D1417="",0,IFERROR(LOOKUP(2,1/(($D$3:D1416=$D1417)*($A$3:A1416&lt;$A1417)),$N$3:N1416),'Guide &amp; Settings'!$C$41))</f>
        <v>0</v>
      </c>
      <c r="I1417" s="123">
        <f t="shared" si="442"/>
        <v>0</v>
      </c>
      <c r="J1417" s="124">
        <f>IF($D1417="",0,IF($F1417&lt;2,0,IF($E1417="Win",('Guide &amp; Settings'!$C$42/(($F1417-1)*COUNTIFS($A$4:$A$1510,$A1417,$E$4:$E$1510,"Win")))*SUMIFS($X$4:$X$1510,$A$4:$A$1510,$A1417,$E$4:$E$1510,"Loss"),-('Guide &amp; Settings'!$C$42/($F1417-1))*$X1417)))</f>
        <v>0</v>
      </c>
      <c r="K1417" s="124">
        <f>IF($D1417="",0,'Guide &amp; Settings'!$C$43*(IF($E1417="Win",1,0)-$I1417))</f>
        <v>0</v>
      </c>
      <c r="L1417" s="125">
        <f>IF($D1417="",0,'Guide &amp; Settings'!$C$44*IF($F1417&gt;=3,$F1417,0))</f>
        <v>0</v>
      </c>
      <c r="M1417" s="124">
        <f t="shared" si="443"/>
        <v>0</v>
      </c>
      <c r="N1417" s="122">
        <f t="shared" si="444"/>
        <v>0</v>
      </c>
      <c r="O1417" s="121" t="str">
        <f t="shared" si="445"/>
        <v/>
      </c>
      <c r="P1417">
        <f t="shared" si="446"/>
        <v>0</v>
      </c>
      <c r="Q1417">
        <f t="shared" si="447"/>
        <v>0</v>
      </c>
      <c r="R1417">
        <f t="shared" si="448"/>
        <v>0</v>
      </c>
      <c r="S1417">
        <f t="shared" si="449"/>
        <v>0</v>
      </c>
      <c r="T1417" s="89">
        <f t="shared" si="450"/>
        <v>0</v>
      </c>
      <c r="U1417" s="126">
        <f>IF($D1417="",0,IFERROR(LOOKUP(2,1/(($D$3:D1416=$D1417)*($C$3:C1416=$C1417)*($A$3:A1416&lt;$A1417)),$AB$3:AB1416),1000))</f>
        <v>0</v>
      </c>
      <c r="V1417" s="126">
        <f t="shared" si="451"/>
        <v>0</v>
      </c>
      <c r="W1417">
        <f t="shared" si="452"/>
        <v>0</v>
      </c>
      <c r="X1417">
        <f t="shared" si="453"/>
        <v>0</v>
      </c>
      <c r="Y1417">
        <f t="shared" si="454"/>
        <v>0</v>
      </c>
      <c r="Z1417">
        <f t="shared" si="455"/>
        <v>0</v>
      </c>
      <c r="AA1417">
        <f>IF($D1417="",0,IF($F1417&lt;2,0,IF($E1417="Win",('Guide &amp; Settings'!$C$42/(($F1417-1)*COUNTIFS($A$4:$A$1510,$A1417,$E$4:$E$1510,"Win")))*SUMIFS($Z$4:$Z$1510,$A$4:$A$1510,$A1417,$E$4:$E$1510,"Loss"),-('Guide &amp; Settings'!$C$42/($F1417-1))*$Z1417)))</f>
        <v>0</v>
      </c>
      <c r="AB1417" s="126">
        <f t="shared" si="456"/>
        <v>0</v>
      </c>
      <c r="AC1417" t="str">
        <f>IF($D1417="","",IF($AD1417=0,0,IF(COUNTIFS($D$4:$D1417,$D1417,$B$4:$B1417,$B1417)&gt;1,0,IF($B1417&lt;'Guide &amp; Settings'!$C$50,0,IF(($B1417-$AD1417)/7-'Guide &amp; Settings'!$C$48&gt;=0,(INT(($B1417-$AD1417)/7-'Guide &amp; Settings'!$C$48)+1)*'Guide &amp; Settings'!$C$49,0)))))</f>
        <v/>
      </c>
      <c r="AD1417" s="142">
        <f t="shared" si="457"/>
        <v>0</v>
      </c>
      <c r="AE1417">
        <f t="shared" si="458"/>
        <v>0</v>
      </c>
      <c r="AF1417">
        <f t="shared" si="459"/>
        <v>0</v>
      </c>
    </row>
    <row r="1418" spans="1:32" x14ac:dyDescent="0.2">
      <c r="A1418" s="117"/>
      <c r="B1418" s="118"/>
      <c r="C1418" s="119"/>
      <c r="D1418" s="119"/>
      <c r="E1418" s="117"/>
      <c r="F1418" s="120">
        <f t="shared" si="440"/>
        <v>0</v>
      </c>
      <c r="G1418" s="121" t="str">
        <f t="shared" si="441"/>
        <v/>
      </c>
      <c r="H1418" s="122">
        <f>IF($D1418="",0,IFERROR(LOOKUP(2,1/(($D$3:D1417=$D1418)*($A$3:A1417&lt;$A1418)),$N$3:N1417),'Guide &amp; Settings'!$C$41))</f>
        <v>0</v>
      </c>
      <c r="I1418" s="123">
        <f t="shared" si="442"/>
        <v>0</v>
      </c>
      <c r="J1418" s="124">
        <f>IF($D1418="",0,IF($F1418&lt;2,0,IF($E1418="Win",('Guide &amp; Settings'!$C$42/(($F1418-1)*COUNTIFS($A$4:$A$1510,$A1418,$E$4:$E$1510,"Win")))*SUMIFS($X$4:$X$1510,$A$4:$A$1510,$A1418,$E$4:$E$1510,"Loss"),-('Guide &amp; Settings'!$C$42/($F1418-1))*$X1418)))</f>
        <v>0</v>
      </c>
      <c r="K1418" s="124">
        <f>IF($D1418="",0,'Guide &amp; Settings'!$C$43*(IF($E1418="Win",1,0)-$I1418))</f>
        <v>0</v>
      </c>
      <c r="L1418" s="125">
        <f>IF($D1418="",0,'Guide &amp; Settings'!$C$44*IF($F1418&gt;=3,$F1418,0))</f>
        <v>0</v>
      </c>
      <c r="M1418" s="124">
        <f t="shared" si="443"/>
        <v>0</v>
      </c>
      <c r="N1418" s="122">
        <f t="shared" si="444"/>
        <v>0</v>
      </c>
      <c r="O1418" s="121" t="str">
        <f t="shared" si="445"/>
        <v/>
      </c>
      <c r="P1418">
        <f t="shared" si="446"/>
        <v>0</v>
      </c>
      <c r="Q1418">
        <f t="shared" si="447"/>
        <v>0</v>
      </c>
      <c r="R1418">
        <f t="shared" si="448"/>
        <v>0</v>
      </c>
      <c r="S1418">
        <f t="shared" si="449"/>
        <v>0</v>
      </c>
      <c r="T1418" s="89">
        <f t="shared" si="450"/>
        <v>0</v>
      </c>
      <c r="U1418" s="126">
        <f>IF($D1418="",0,IFERROR(LOOKUP(2,1/(($D$3:D1417=$D1418)*($C$3:C1417=$C1418)*($A$3:A1417&lt;$A1418)),$AB$3:AB1417),1000))</f>
        <v>0</v>
      </c>
      <c r="V1418" s="126">
        <f t="shared" si="451"/>
        <v>0</v>
      </c>
      <c r="W1418">
        <f t="shared" si="452"/>
        <v>0</v>
      </c>
      <c r="X1418">
        <f t="shared" si="453"/>
        <v>0</v>
      </c>
      <c r="Y1418">
        <f t="shared" si="454"/>
        <v>0</v>
      </c>
      <c r="Z1418">
        <f t="shared" si="455"/>
        <v>0</v>
      </c>
      <c r="AA1418">
        <f>IF($D1418="",0,IF($F1418&lt;2,0,IF($E1418="Win",('Guide &amp; Settings'!$C$42/(($F1418-1)*COUNTIFS($A$4:$A$1510,$A1418,$E$4:$E$1510,"Win")))*SUMIFS($Z$4:$Z$1510,$A$4:$A$1510,$A1418,$E$4:$E$1510,"Loss"),-('Guide &amp; Settings'!$C$42/($F1418-1))*$Z1418)))</f>
        <v>0</v>
      </c>
      <c r="AB1418" s="126">
        <f t="shared" si="456"/>
        <v>0</v>
      </c>
      <c r="AC1418" t="str">
        <f>IF($D1418="","",IF($AD1418=0,0,IF(COUNTIFS($D$4:$D1418,$D1418,$B$4:$B1418,$B1418)&gt;1,0,IF($B1418&lt;'Guide &amp; Settings'!$C$50,0,IF(($B1418-$AD1418)/7-'Guide &amp; Settings'!$C$48&gt;=0,(INT(($B1418-$AD1418)/7-'Guide &amp; Settings'!$C$48)+1)*'Guide &amp; Settings'!$C$49,0)))))</f>
        <v/>
      </c>
      <c r="AD1418" s="142">
        <f t="shared" si="457"/>
        <v>0</v>
      </c>
      <c r="AE1418">
        <f t="shared" si="458"/>
        <v>0</v>
      </c>
      <c r="AF1418">
        <f t="shared" si="459"/>
        <v>0</v>
      </c>
    </row>
    <row r="1419" spans="1:32" x14ac:dyDescent="0.2">
      <c r="A1419" s="117"/>
      <c r="B1419" s="118"/>
      <c r="C1419" s="119"/>
      <c r="D1419" s="119"/>
      <c r="E1419" s="117"/>
      <c r="F1419" s="120">
        <f t="shared" si="440"/>
        <v>0</v>
      </c>
      <c r="G1419" s="121" t="str">
        <f t="shared" si="441"/>
        <v/>
      </c>
      <c r="H1419" s="122">
        <f>IF($D1419="",0,IFERROR(LOOKUP(2,1/(($D$3:D1418=$D1419)*($A$3:A1418&lt;$A1419)),$N$3:N1418),'Guide &amp; Settings'!$C$41))</f>
        <v>0</v>
      </c>
      <c r="I1419" s="123">
        <f t="shared" si="442"/>
        <v>0</v>
      </c>
      <c r="J1419" s="124">
        <f>IF($D1419="",0,IF($F1419&lt;2,0,IF($E1419="Win",('Guide &amp; Settings'!$C$42/(($F1419-1)*COUNTIFS($A$4:$A$1510,$A1419,$E$4:$E$1510,"Win")))*SUMIFS($X$4:$X$1510,$A$4:$A$1510,$A1419,$E$4:$E$1510,"Loss"),-('Guide &amp; Settings'!$C$42/($F1419-1))*$X1419)))</f>
        <v>0</v>
      </c>
      <c r="K1419" s="124">
        <f>IF($D1419="",0,'Guide &amp; Settings'!$C$43*(IF($E1419="Win",1,0)-$I1419))</f>
        <v>0</v>
      </c>
      <c r="L1419" s="125">
        <f>IF($D1419="",0,'Guide &amp; Settings'!$C$44*IF($F1419&gt;=3,$F1419,0))</f>
        <v>0</v>
      </c>
      <c r="M1419" s="124">
        <f t="shared" si="443"/>
        <v>0</v>
      </c>
      <c r="N1419" s="122">
        <f t="shared" si="444"/>
        <v>0</v>
      </c>
      <c r="O1419" s="121" t="str">
        <f t="shared" si="445"/>
        <v/>
      </c>
      <c r="P1419">
        <f t="shared" si="446"/>
        <v>0</v>
      </c>
      <c r="Q1419">
        <f t="shared" si="447"/>
        <v>0</v>
      </c>
      <c r="R1419">
        <f t="shared" si="448"/>
        <v>0</v>
      </c>
      <c r="S1419">
        <f t="shared" si="449"/>
        <v>0</v>
      </c>
      <c r="T1419" s="89">
        <f t="shared" si="450"/>
        <v>0</v>
      </c>
      <c r="U1419" s="126">
        <f>IF($D1419="",0,IFERROR(LOOKUP(2,1/(($D$3:D1418=$D1419)*($C$3:C1418=$C1419)*($A$3:A1418&lt;$A1419)),$AB$3:AB1418),1000))</f>
        <v>0</v>
      </c>
      <c r="V1419" s="126">
        <f t="shared" si="451"/>
        <v>0</v>
      </c>
      <c r="W1419">
        <f t="shared" si="452"/>
        <v>0</v>
      </c>
      <c r="X1419">
        <f t="shared" si="453"/>
        <v>0</v>
      </c>
      <c r="Y1419">
        <f t="shared" si="454"/>
        <v>0</v>
      </c>
      <c r="Z1419">
        <f t="shared" si="455"/>
        <v>0</v>
      </c>
      <c r="AA1419">
        <f>IF($D1419="",0,IF($F1419&lt;2,0,IF($E1419="Win",('Guide &amp; Settings'!$C$42/(($F1419-1)*COUNTIFS($A$4:$A$1510,$A1419,$E$4:$E$1510,"Win")))*SUMIFS($Z$4:$Z$1510,$A$4:$A$1510,$A1419,$E$4:$E$1510,"Loss"),-('Guide &amp; Settings'!$C$42/($F1419-1))*$Z1419)))</f>
        <v>0</v>
      </c>
      <c r="AB1419" s="126">
        <f t="shared" si="456"/>
        <v>0</v>
      </c>
      <c r="AC1419" t="str">
        <f>IF($D1419="","",IF($AD1419=0,0,IF(COUNTIFS($D$4:$D1419,$D1419,$B$4:$B1419,$B1419)&gt;1,0,IF($B1419&lt;'Guide &amp; Settings'!$C$50,0,IF(($B1419-$AD1419)/7-'Guide &amp; Settings'!$C$48&gt;=0,(INT(($B1419-$AD1419)/7-'Guide &amp; Settings'!$C$48)+1)*'Guide &amp; Settings'!$C$49,0)))))</f>
        <v/>
      </c>
      <c r="AD1419" s="142">
        <f t="shared" si="457"/>
        <v>0</v>
      </c>
      <c r="AE1419">
        <f t="shared" si="458"/>
        <v>0</v>
      </c>
      <c r="AF1419">
        <f t="shared" si="459"/>
        <v>0</v>
      </c>
    </row>
    <row r="1420" spans="1:32" x14ac:dyDescent="0.2">
      <c r="A1420" s="117"/>
      <c r="B1420" s="118"/>
      <c r="C1420" s="119"/>
      <c r="D1420" s="119"/>
      <c r="E1420" s="117"/>
      <c r="F1420" s="120">
        <f t="shared" si="440"/>
        <v>0</v>
      </c>
      <c r="G1420" s="121" t="str">
        <f t="shared" si="441"/>
        <v/>
      </c>
      <c r="H1420" s="122">
        <f>IF($D1420="",0,IFERROR(LOOKUP(2,1/(($D$3:D1419=$D1420)*($A$3:A1419&lt;$A1420)),$N$3:N1419),'Guide &amp; Settings'!$C$41))</f>
        <v>0</v>
      </c>
      <c r="I1420" s="123">
        <f t="shared" si="442"/>
        <v>0</v>
      </c>
      <c r="J1420" s="124">
        <f>IF($D1420="",0,IF($F1420&lt;2,0,IF($E1420="Win",('Guide &amp; Settings'!$C$42/(($F1420-1)*COUNTIFS($A$4:$A$1510,$A1420,$E$4:$E$1510,"Win")))*SUMIFS($X$4:$X$1510,$A$4:$A$1510,$A1420,$E$4:$E$1510,"Loss"),-('Guide &amp; Settings'!$C$42/($F1420-1))*$X1420)))</f>
        <v>0</v>
      </c>
      <c r="K1420" s="124">
        <f>IF($D1420="",0,'Guide &amp; Settings'!$C$43*(IF($E1420="Win",1,0)-$I1420))</f>
        <v>0</v>
      </c>
      <c r="L1420" s="125">
        <f>IF($D1420="",0,'Guide &amp; Settings'!$C$44*IF($F1420&gt;=3,$F1420,0))</f>
        <v>0</v>
      </c>
      <c r="M1420" s="124">
        <f t="shared" si="443"/>
        <v>0</v>
      </c>
      <c r="N1420" s="122">
        <f t="shared" si="444"/>
        <v>0</v>
      </c>
      <c r="O1420" s="121" t="str">
        <f t="shared" si="445"/>
        <v/>
      </c>
      <c r="P1420">
        <f t="shared" si="446"/>
        <v>0</v>
      </c>
      <c r="Q1420">
        <f t="shared" si="447"/>
        <v>0</v>
      </c>
      <c r="R1420">
        <f t="shared" si="448"/>
        <v>0</v>
      </c>
      <c r="S1420">
        <f t="shared" si="449"/>
        <v>0</v>
      </c>
      <c r="T1420" s="89">
        <f t="shared" si="450"/>
        <v>0</v>
      </c>
      <c r="U1420" s="126">
        <f>IF($D1420="",0,IFERROR(LOOKUP(2,1/(($D$3:D1419=$D1420)*($C$3:C1419=$C1420)*($A$3:A1419&lt;$A1420)),$AB$3:AB1419),1000))</f>
        <v>0</v>
      </c>
      <c r="V1420" s="126">
        <f t="shared" si="451"/>
        <v>0</v>
      </c>
      <c r="W1420">
        <f t="shared" si="452"/>
        <v>0</v>
      </c>
      <c r="X1420">
        <f t="shared" si="453"/>
        <v>0</v>
      </c>
      <c r="Y1420">
        <f t="shared" si="454"/>
        <v>0</v>
      </c>
      <c r="Z1420">
        <f t="shared" si="455"/>
        <v>0</v>
      </c>
      <c r="AA1420">
        <f>IF($D1420="",0,IF($F1420&lt;2,0,IF($E1420="Win",('Guide &amp; Settings'!$C$42/(($F1420-1)*COUNTIFS($A$4:$A$1510,$A1420,$E$4:$E$1510,"Win")))*SUMIFS($Z$4:$Z$1510,$A$4:$A$1510,$A1420,$E$4:$E$1510,"Loss"),-('Guide &amp; Settings'!$C$42/($F1420-1))*$Z1420)))</f>
        <v>0</v>
      </c>
      <c r="AB1420" s="126">
        <f t="shared" si="456"/>
        <v>0</v>
      </c>
      <c r="AC1420" t="str">
        <f>IF($D1420="","",IF($AD1420=0,0,IF(COUNTIFS($D$4:$D1420,$D1420,$B$4:$B1420,$B1420)&gt;1,0,IF($B1420&lt;'Guide &amp; Settings'!$C$50,0,IF(($B1420-$AD1420)/7-'Guide &amp; Settings'!$C$48&gt;=0,(INT(($B1420-$AD1420)/7-'Guide &amp; Settings'!$C$48)+1)*'Guide &amp; Settings'!$C$49,0)))))</f>
        <v/>
      </c>
      <c r="AD1420" s="142">
        <f t="shared" si="457"/>
        <v>0</v>
      </c>
      <c r="AE1420">
        <f t="shared" si="458"/>
        <v>0</v>
      </c>
      <c r="AF1420">
        <f t="shared" si="459"/>
        <v>0</v>
      </c>
    </row>
    <row r="1421" spans="1:32" x14ac:dyDescent="0.2">
      <c r="A1421" s="117"/>
      <c r="B1421" s="118"/>
      <c r="C1421" s="119"/>
      <c r="D1421" s="119"/>
      <c r="E1421" s="117"/>
      <c r="F1421" s="120">
        <f t="shared" si="440"/>
        <v>0</v>
      </c>
      <c r="G1421" s="121" t="str">
        <f t="shared" si="441"/>
        <v/>
      </c>
      <c r="H1421" s="122">
        <f>IF($D1421="",0,IFERROR(LOOKUP(2,1/(($D$3:D1420=$D1421)*($A$3:A1420&lt;$A1421)),$N$3:N1420),'Guide &amp; Settings'!$C$41))</f>
        <v>0</v>
      </c>
      <c r="I1421" s="123">
        <f t="shared" si="442"/>
        <v>0</v>
      </c>
      <c r="J1421" s="124">
        <f>IF($D1421="",0,IF($F1421&lt;2,0,IF($E1421="Win",('Guide &amp; Settings'!$C$42/(($F1421-1)*COUNTIFS($A$4:$A$1510,$A1421,$E$4:$E$1510,"Win")))*SUMIFS($X$4:$X$1510,$A$4:$A$1510,$A1421,$E$4:$E$1510,"Loss"),-('Guide &amp; Settings'!$C$42/($F1421-1))*$X1421)))</f>
        <v>0</v>
      </c>
      <c r="K1421" s="124">
        <f>IF($D1421="",0,'Guide &amp; Settings'!$C$43*(IF($E1421="Win",1,0)-$I1421))</f>
        <v>0</v>
      </c>
      <c r="L1421" s="125">
        <f>IF($D1421="",0,'Guide &amp; Settings'!$C$44*IF($F1421&gt;=3,$F1421,0))</f>
        <v>0</v>
      </c>
      <c r="M1421" s="124">
        <f t="shared" si="443"/>
        <v>0</v>
      </c>
      <c r="N1421" s="122">
        <f t="shared" si="444"/>
        <v>0</v>
      </c>
      <c r="O1421" s="121" t="str">
        <f t="shared" si="445"/>
        <v/>
      </c>
      <c r="P1421">
        <f t="shared" si="446"/>
        <v>0</v>
      </c>
      <c r="Q1421">
        <f t="shared" si="447"/>
        <v>0</v>
      </c>
      <c r="R1421">
        <f t="shared" si="448"/>
        <v>0</v>
      </c>
      <c r="S1421">
        <f t="shared" si="449"/>
        <v>0</v>
      </c>
      <c r="T1421" s="89">
        <f t="shared" si="450"/>
        <v>0</v>
      </c>
      <c r="U1421" s="126">
        <f>IF($D1421="",0,IFERROR(LOOKUP(2,1/(($D$3:D1420=$D1421)*($C$3:C1420=$C1421)*($A$3:A1420&lt;$A1421)),$AB$3:AB1420),1000))</f>
        <v>0</v>
      </c>
      <c r="V1421" s="126">
        <f t="shared" si="451"/>
        <v>0</v>
      </c>
      <c r="W1421">
        <f t="shared" si="452"/>
        <v>0</v>
      </c>
      <c r="X1421">
        <f t="shared" si="453"/>
        <v>0</v>
      </c>
      <c r="Y1421">
        <f t="shared" si="454"/>
        <v>0</v>
      </c>
      <c r="Z1421">
        <f t="shared" si="455"/>
        <v>0</v>
      </c>
      <c r="AA1421">
        <f>IF($D1421="",0,IF($F1421&lt;2,0,IF($E1421="Win",('Guide &amp; Settings'!$C$42/(($F1421-1)*COUNTIFS($A$4:$A$1510,$A1421,$E$4:$E$1510,"Win")))*SUMIFS($Z$4:$Z$1510,$A$4:$A$1510,$A1421,$E$4:$E$1510,"Loss"),-('Guide &amp; Settings'!$C$42/($F1421-1))*$Z1421)))</f>
        <v>0</v>
      </c>
      <c r="AB1421" s="126">
        <f t="shared" si="456"/>
        <v>0</v>
      </c>
      <c r="AC1421" t="str">
        <f>IF($D1421="","",IF($AD1421=0,0,IF(COUNTIFS($D$4:$D1421,$D1421,$B$4:$B1421,$B1421)&gt;1,0,IF($B1421&lt;'Guide &amp; Settings'!$C$50,0,IF(($B1421-$AD1421)/7-'Guide &amp; Settings'!$C$48&gt;=0,(INT(($B1421-$AD1421)/7-'Guide &amp; Settings'!$C$48)+1)*'Guide &amp; Settings'!$C$49,0)))))</f>
        <v/>
      </c>
      <c r="AD1421" s="142">
        <f t="shared" si="457"/>
        <v>0</v>
      </c>
      <c r="AE1421">
        <f t="shared" si="458"/>
        <v>0</v>
      </c>
      <c r="AF1421">
        <f t="shared" si="459"/>
        <v>0</v>
      </c>
    </row>
    <row r="1422" spans="1:32" x14ac:dyDescent="0.2">
      <c r="A1422" s="117"/>
      <c r="B1422" s="118"/>
      <c r="C1422" s="119"/>
      <c r="D1422" s="119"/>
      <c r="E1422" s="117"/>
      <c r="F1422" s="120">
        <f t="shared" si="440"/>
        <v>0</v>
      </c>
      <c r="G1422" s="121" t="str">
        <f t="shared" si="441"/>
        <v/>
      </c>
      <c r="H1422" s="122">
        <f>IF($D1422="",0,IFERROR(LOOKUP(2,1/(($D$3:D1421=$D1422)*($A$3:A1421&lt;$A1422)),$N$3:N1421),'Guide &amp; Settings'!$C$41))</f>
        <v>0</v>
      </c>
      <c r="I1422" s="123">
        <f t="shared" si="442"/>
        <v>0</v>
      </c>
      <c r="J1422" s="124">
        <f>IF($D1422="",0,IF($F1422&lt;2,0,IF($E1422="Win",('Guide &amp; Settings'!$C$42/(($F1422-1)*COUNTIFS($A$4:$A$1510,$A1422,$E$4:$E$1510,"Win")))*SUMIFS($X$4:$X$1510,$A$4:$A$1510,$A1422,$E$4:$E$1510,"Loss"),-('Guide &amp; Settings'!$C$42/($F1422-1))*$X1422)))</f>
        <v>0</v>
      </c>
      <c r="K1422" s="124">
        <f>IF($D1422="",0,'Guide &amp; Settings'!$C$43*(IF($E1422="Win",1,0)-$I1422))</f>
        <v>0</v>
      </c>
      <c r="L1422" s="125">
        <f>IF($D1422="",0,'Guide &amp; Settings'!$C$44*IF($F1422&gt;=3,$F1422,0))</f>
        <v>0</v>
      </c>
      <c r="M1422" s="124">
        <f t="shared" si="443"/>
        <v>0</v>
      </c>
      <c r="N1422" s="122">
        <f t="shared" si="444"/>
        <v>0</v>
      </c>
      <c r="O1422" s="121" t="str">
        <f t="shared" si="445"/>
        <v/>
      </c>
      <c r="P1422">
        <f t="shared" si="446"/>
        <v>0</v>
      </c>
      <c r="Q1422">
        <f t="shared" si="447"/>
        <v>0</v>
      </c>
      <c r="R1422">
        <f t="shared" si="448"/>
        <v>0</v>
      </c>
      <c r="S1422">
        <f t="shared" si="449"/>
        <v>0</v>
      </c>
      <c r="T1422" s="89">
        <f t="shared" si="450"/>
        <v>0</v>
      </c>
      <c r="U1422" s="126">
        <f>IF($D1422="",0,IFERROR(LOOKUP(2,1/(($D$3:D1421=$D1422)*($C$3:C1421=$C1422)*($A$3:A1421&lt;$A1422)),$AB$3:AB1421),1000))</f>
        <v>0</v>
      </c>
      <c r="V1422" s="126">
        <f t="shared" si="451"/>
        <v>0</v>
      </c>
      <c r="W1422">
        <f t="shared" si="452"/>
        <v>0</v>
      </c>
      <c r="X1422">
        <f t="shared" si="453"/>
        <v>0</v>
      </c>
      <c r="Y1422">
        <f t="shared" si="454"/>
        <v>0</v>
      </c>
      <c r="Z1422">
        <f t="shared" si="455"/>
        <v>0</v>
      </c>
      <c r="AA1422">
        <f>IF($D1422="",0,IF($F1422&lt;2,0,IF($E1422="Win",('Guide &amp; Settings'!$C$42/(($F1422-1)*COUNTIFS($A$4:$A$1510,$A1422,$E$4:$E$1510,"Win")))*SUMIFS($Z$4:$Z$1510,$A$4:$A$1510,$A1422,$E$4:$E$1510,"Loss"),-('Guide &amp; Settings'!$C$42/($F1422-1))*$Z1422)))</f>
        <v>0</v>
      </c>
      <c r="AB1422" s="126">
        <f t="shared" si="456"/>
        <v>0</v>
      </c>
      <c r="AC1422" t="str">
        <f>IF($D1422="","",IF($AD1422=0,0,IF(COUNTIFS($D$4:$D1422,$D1422,$B$4:$B1422,$B1422)&gt;1,0,IF($B1422&lt;'Guide &amp; Settings'!$C$50,0,IF(($B1422-$AD1422)/7-'Guide &amp; Settings'!$C$48&gt;=0,(INT(($B1422-$AD1422)/7-'Guide &amp; Settings'!$C$48)+1)*'Guide &amp; Settings'!$C$49,0)))))</f>
        <v/>
      </c>
      <c r="AD1422" s="142">
        <f t="shared" si="457"/>
        <v>0</v>
      </c>
      <c r="AE1422">
        <f t="shared" si="458"/>
        <v>0</v>
      </c>
      <c r="AF1422">
        <f t="shared" si="459"/>
        <v>0</v>
      </c>
    </row>
    <row r="1423" spans="1:32" x14ac:dyDescent="0.2">
      <c r="A1423" s="117"/>
      <c r="B1423" s="118"/>
      <c r="C1423" s="119"/>
      <c r="D1423" s="119"/>
      <c r="E1423" s="117"/>
      <c r="F1423" s="120">
        <f t="shared" si="440"/>
        <v>0</v>
      </c>
      <c r="G1423" s="121" t="str">
        <f t="shared" si="441"/>
        <v/>
      </c>
      <c r="H1423" s="122">
        <f>IF($D1423="",0,IFERROR(LOOKUP(2,1/(($D$3:D1422=$D1423)*($A$3:A1422&lt;$A1423)),$N$3:N1422),'Guide &amp; Settings'!$C$41))</f>
        <v>0</v>
      </c>
      <c r="I1423" s="123">
        <f t="shared" si="442"/>
        <v>0</v>
      </c>
      <c r="J1423" s="124">
        <f>IF($D1423="",0,IF($F1423&lt;2,0,IF($E1423="Win",('Guide &amp; Settings'!$C$42/(($F1423-1)*COUNTIFS($A$4:$A$1510,$A1423,$E$4:$E$1510,"Win")))*SUMIFS($X$4:$X$1510,$A$4:$A$1510,$A1423,$E$4:$E$1510,"Loss"),-('Guide &amp; Settings'!$C$42/($F1423-1))*$X1423)))</f>
        <v>0</v>
      </c>
      <c r="K1423" s="124">
        <f>IF($D1423="",0,'Guide &amp; Settings'!$C$43*(IF($E1423="Win",1,0)-$I1423))</f>
        <v>0</v>
      </c>
      <c r="L1423" s="125">
        <f>IF($D1423="",0,'Guide &amp; Settings'!$C$44*IF($F1423&gt;=3,$F1423,0))</f>
        <v>0</v>
      </c>
      <c r="M1423" s="124">
        <f t="shared" si="443"/>
        <v>0</v>
      </c>
      <c r="N1423" s="122">
        <f t="shared" si="444"/>
        <v>0</v>
      </c>
      <c r="O1423" s="121" t="str">
        <f t="shared" si="445"/>
        <v/>
      </c>
      <c r="P1423">
        <f t="shared" si="446"/>
        <v>0</v>
      </c>
      <c r="Q1423">
        <f t="shared" si="447"/>
        <v>0</v>
      </c>
      <c r="R1423">
        <f t="shared" si="448"/>
        <v>0</v>
      </c>
      <c r="S1423">
        <f t="shared" si="449"/>
        <v>0</v>
      </c>
      <c r="T1423" s="89">
        <f t="shared" si="450"/>
        <v>0</v>
      </c>
      <c r="U1423" s="126">
        <f>IF($D1423="",0,IFERROR(LOOKUP(2,1/(($D$3:D1422=$D1423)*($C$3:C1422=$C1423)*($A$3:A1422&lt;$A1423)),$AB$3:AB1422),1000))</f>
        <v>0</v>
      </c>
      <c r="V1423" s="126">
        <f t="shared" si="451"/>
        <v>0</v>
      </c>
      <c r="W1423">
        <f t="shared" si="452"/>
        <v>0</v>
      </c>
      <c r="X1423">
        <f t="shared" si="453"/>
        <v>0</v>
      </c>
      <c r="Y1423">
        <f t="shared" si="454"/>
        <v>0</v>
      </c>
      <c r="Z1423">
        <f t="shared" si="455"/>
        <v>0</v>
      </c>
      <c r="AA1423">
        <f>IF($D1423="",0,IF($F1423&lt;2,0,IF($E1423="Win",('Guide &amp; Settings'!$C$42/(($F1423-1)*COUNTIFS($A$4:$A$1510,$A1423,$E$4:$E$1510,"Win")))*SUMIFS($Z$4:$Z$1510,$A$4:$A$1510,$A1423,$E$4:$E$1510,"Loss"),-('Guide &amp; Settings'!$C$42/($F1423-1))*$Z1423)))</f>
        <v>0</v>
      </c>
      <c r="AB1423" s="126">
        <f t="shared" si="456"/>
        <v>0</v>
      </c>
      <c r="AC1423" t="str">
        <f>IF($D1423="","",IF($AD1423=0,0,IF(COUNTIFS($D$4:$D1423,$D1423,$B$4:$B1423,$B1423)&gt;1,0,IF($B1423&lt;'Guide &amp; Settings'!$C$50,0,IF(($B1423-$AD1423)/7-'Guide &amp; Settings'!$C$48&gt;=0,(INT(($B1423-$AD1423)/7-'Guide &amp; Settings'!$C$48)+1)*'Guide &amp; Settings'!$C$49,0)))))</f>
        <v/>
      </c>
      <c r="AD1423" s="142">
        <f t="shared" si="457"/>
        <v>0</v>
      </c>
      <c r="AE1423">
        <f t="shared" si="458"/>
        <v>0</v>
      </c>
      <c r="AF1423">
        <f t="shared" si="459"/>
        <v>0</v>
      </c>
    </row>
    <row r="1424" spans="1:32" x14ac:dyDescent="0.2">
      <c r="A1424" s="117"/>
      <c r="B1424" s="118"/>
      <c r="C1424" s="119"/>
      <c r="D1424" s="119"/>
      <c r="E1424" s="117"/>
      <c r="F1424" s="120">
        <f t="shared" si="440"/>
        <v>0</v>
      </c>
      <c r="G1424" s="121" t="str">
        <f t="shared" si="441"/>
        <v/>
      </c>
      <c r="H1424" s="122">
        <f>IF($D1424="",0,IFERROR(LOOKUP(2,1/(($D$3:D1423=$D1424)*($A$3:A1423&lt;$A1424)),$N$3:N1423),'Guide &amp; Settings'!$C$41))</f>
        <v>0</v>
      </c>
      <c r="I1424" s="123">
        <f t="shared" si="442"/>
        <v>0</v>
      </c>
      <c r="J1424" s="124">
        <f>IF($D1424="",0,IF($F1424&lt;2,0,IF($E1424="Win",('Guide &amp; Settings'!$C$42/(($F1424-1)*COUNTIFS($A$4:$A$1510,$A1424,$E$4:$E$1510,"Win")))*SUMIFS($X$4:$X$1510,$A$4:$A$1510,$A1424,$E$4:$E$1510,"Loss"),-('Guide &amp; Settings'!$C$42/($F1424-1))*$X1424)))</f>
        <v>0</v>
      </c>
      <c r="K1424" s="124">
        <f>IF($D1424="",0,'Guide &amp; Settings'!$C$43*(IF($E1424="Win",1,0)-$I1424))</f>
        <v>0</v>
      </c>
      <c r="L1424" s="125">
        <f>IF($D1424="",0,'Guide &amp; Settings'!$C$44*IF($F1424&gt;=3,$F1424,0))</f>
        <v>0</v>
      </c>
      <c r="M1424" s="124">
        <f t="shared" si="443"/>
        <v>0</v>
      </c>
      <c r="N1424" s="122">
        <f t="shared" si="444"/>
        <v>0</v>
      </c>
      <c r="O1424" s="121" t="str">
        <f t="shared" si="445"/>
        <v/>
      </c>
      <c r="P1424">
        <f t="shared" si="446"/>
        <v>0</v>
      </c>
      <c r="Q1424">
        <f t="shared" si="447"/>
        <v>0</v>
      </c>
      <c r="R1424">
        <f t="shared" si="448"/>
        <v>0</v>
      </c>
      <c r="S1424">
        <f t="shared" si="449"/>
        <v>0</v>
      </c>
      <c r="T1424" s="89">
        <f t="shared" si="450"/>
        <v>0</v>
      </c>
      <c r="U1424" s="126">
        <f>IF($D1424="",0,IFERROR(LOOKUP(2,1/(($D$3:D1423=$D1424)*($C$3:C1423=$C1424)*($A$3:A1423&lt;$A1424)),$AB$3:AB1423),1000))</f>
        <v>0</v>
      </c>
      <c r="V1424" s="126">
        <f t="shared" si="451"/>
        <v>0</v>
      </c>
      <c r="W1424">
        <f t="shared" si="452"/>
        <v>0</v>
      </c>
      <c r="X1424">
        <f t="shared" si="453"/>
        <v>0</v>
      </c>
      <c r="Y1424">
        <f t="shared" si="454"/>
        <v>0</v>
      </c>
      <c r="Z1424">
        <f t="shared" si="455"/>
        <v>0</v>
      </c>
      <c r="AA1424">
        <f>IF($D1424="",0,IF($F1424&lt;2,0,IF($E1424="Win",('Guide &amp; Settings'!$C$42/(($F1424-1)*COUNTIFS($A$4:$A$1510,$A1424,$E$4:$E$1510,"Win")))*SUMIFS($Z$4:$Z$1510,$A$4:$A$1510,$A1424,$E$4:$E$1510,"Loss"),-('Guide &amp; Settings'!$C$42/($F1424-1))*$Z1424)))</f>
        <v>0</v>
      </c>
      <c r="AB1424" s="126">
        <f t="shared" si="456"/>
        <v>0</v>
      </c>
      <c r="AC1424" t="str">
        <f>IF($D1424="","",IF($AD1424=0,0,IF(COUNTIFS($D$4:$D1424,$D1424,$B$4:$B1424,$B1424)&gt;1,0,IF($B1424&lt;'Guide &amp; Settings'!$C$50,0,IF(($B1424-$AD1424)/7-'Guide &amp; Settings'!$C$48&gt;=0,(INT(($B1424-$AD1424)/7-'Guide &amp; Settings'!$C$48)+1)*'Guide &amp; Settings'!$C$49,0)))))</f>
        <v/>
      </c>
      <c r="AD1424" s="142">
        <f t="shared" si="457"/>
        <v>0</v>
      </c>
      <c r="AE1424">
        <f t="shared" si="458"/>
        <v>0</v>
      </c>
      <c r="AF1424">
        <f t="shared" si="459"/>
        <v>0</v>
      </c>
    </row>
    <row r="1425" spans="1:32" x14ac:dyDescent="0.2">
      <c r="A1425" s="117"/>
      <c r="B1425" s="118"/>
      <c r="C1425" s="119"/>
      <c r="D1425" s="119"/>
      <c r="E1425" s="117"/>
      <c r="F1425" s="120">
        <f t="shared" si="440"/>
        <v>0</v>
      </c>
      <c r="G1425" s="121" t="str">
        <f t="shared" si="441"/>
        <v/>
      </c>
      <c r="H1425" s="122">
        <f>IF($D1425="",0,IFERROR(LOOKUP(2,1/(($D$3:D1424=$D1425)*($A$3:A1424&lt;$A1425)),$N$3:N1424),'Guide &amp; Settings'!$C$41))</f>
        <v>0</v>
      </c>
      <c r="I1425" s="123">
        <f t="shared" si="442"/>
        <v>0</v>
      </c>
      <c r="J1425" s="124">
        <f>IF($D1425="",0,IF($F1425&lt;2,0,IF($E1425="Win",('Guide &amp; Settings'!$C$42/(($F1425-1)*COUNTIFS($A$4:$A$1510,$A1425,$E$4:$E$1510,"Win")))*SUMIFS($X$4:$X$1510,$A$4:$A$1510,$A1425,$E$4:$E$1510,"Loss"),-('Guide &amp; Settings'!$C$42/($F1425-1))*$X1425)))</f>
        <v>0</v>
      </c>
      <c r="K1425" s="124">
        <f>IF($D1425="",0,'Guide &amp; Settings'!$C$43*(IF($E1425="Win",1,0)-$I1425))</f>
        <v>0</v>
      </c>
      <c r="L1425" s="125">
        <f>IF($D1425="",0,'Guide &amp; Settings'!$C$44*IF($F1425&gt;=3,$F1425,0))</f>
        <v>0</v>
      </c>
      <c r="M1425" s="124">
        <f t="shared" si="443"/>
        <v>0</v>
      </c>
      <c r="N1425" s="122">
        <f t="shared" si="444"/>
        <v>0</v>
      </c>
      <c r="O1425" s="121" t="str">
        <f t="shared" si="445"/>
        <v/>
      </c>
      <c r="P1425">
        <f t="shared" si="446"/>
        <v>0</v>
      </c>
      <c r="Q1425">
        <f t="shared" si="447"/>
        <v>0</v>
      </c>
      <c r="R1425">
        <f t="shared" si="448"/>
        <v>0</v>
      </c>
      <c r="S1425">
        <f t="shared" si="449"/>
        <v>0</v>
      </c>
      <c r="T1425" s="89">
        <f t="shared" si="450"/>
        <v>0</v>
      </c>
      <c r="U1425" s="126">
        <f>IF($D1425="",0,IFERROR(LOOKUP(2,1/(($D$3:D1424=$D1425)*($C$3:C1424=$C1425)*($A$3:A1424&lt;$A1425)),$AB$3:AB1424),1000))</f>
        <v>0</v>
      </c>
      <c r="V1425" s="126">
        <f t="shared" si="451"/>
        <v>0</v>
      </c>
      <c r="W1425">
        <f t="shared" si="452"/>
        <v>0</v>
      </c>
      <c r="X1425">
        <f t="shared" si="453"/>
        <v>0</v>
      </c>
      <c r="Y1425">
        <f t="shared" si="454"/>
        <v>0</v>
      </c>
      <c r="Z1425">
        <f t="shared" si="455"/>
        <v>0</v>
      </c>
      <c r="AA1425">
        <f>IF($D1425="",0,IF($F1425&lt;2,0,IF($E1425="Win",('Guide &amp; Settings'!$C$42/(($F1425-1)*COUNTIFS($A$4:$A$1510,$A1425,$E$4:$E$1510,"Win")))*SUMIFS($Z$4:$Z$1510,$A$4:$A$1510,$A1425,$E$4:$E$1510,"Loss"),-('Guide &amp; Settings'!$C$42/($F1425-1))*$Z1425)))</f>
        <v>0</v>
      </c>
      <c r="AB1425" s="126">
        <f t="shared" si="456"/>
        <v>0</v>
      </c>
      <c r="AC1425" t="str">
        <f>IF($D1425="","",IF($AD1425=0,0,IF(COUNTIFS($D$4:$D1425,$D1425,$B$4:$B1425,$B1425)&gt;1,0,IF($B1425&lt;'Guide &amp; Settings'!$C$50,0,IF(($B1425-$AD1425)/7-'Guide &amp; Settings'!$C$48&gt;=0,(INT(($B1425-$AD1425)/7-'Guide &amp; Settings'!$C$48)+1)*'Guide &amp; Settings'!$C$49,0)))))</f>
        <v/>
      </c>
      <c r="AD1425" s="142">
        <f t="shared" si="457"/>
        <v>0</v>
      </c>
      <c r="AE1425">
        <f t="shared" si="458"/>
        <v>0</v>
      </c>
      <c r="AF1425">
        <f t="shared" si="459"/>
        <v>0</v>
      </c>
    </row>
    <row r="1426" spans="1:32" x14ac:dyDescent="0.2">
      <c r="A1426" s="117"/>
      <c r="B1426" s="118"/>
      <c r="C1426" s="119"/>
      <c r="D1426" s="119"/>
      <c r="E1426" s="117"/>
      <c r="F1426" s="120">
        <f t="shared" si="440"/>
        <v>0</v>
      </c>
      <c r="G1426" s="121" t="str">
        <f t="shared" si="441"/>
        <v/>
      </c>
      <c r="H1426" s="122">
        <f>IF($D1426="",0,IFERROR(LOOKUP(2,1/(($D$3:D1425=$D1426)*($A$3:A1425&lt;$A1426)),$N$3:N1425),'Guide &amp; Settings'!$C$41))</f>
        <v>0</v>
      </c>
      <c r="I1426" s="123">
        <f t="shared" si="442"/>
        <v>0</v>
      </c>
      <c r="J1426" s="124">
        <f>IF($D1426="",0,IF($F1426&lt;2,0,IF($E1426="Win",('Guide &amp; Settings'!$C$42/(($F1426-1)*COUNTIFS($A$4:$A$1510,$A1426,$E$4:$E$1510,"Win")))*SUMIFS($X$4:$X$1510,$A$4:$A$1510,$A1426,$E$4:$E$1510,"Loss"),-('Guide &amp; Settings'!$C$42/($F1426-1))*$X1426)))</f>
        <v>0</v>
      </c>
      <c r="K1426" s="124">
        <f>IF($D1426="",0,'Guide &amp; Settings'!$C$43*(IF($E1426="Win",1,0)-$I1426))</f>
        <v>0</v>
      </c>
      <c r="L1426" s="125">
        <f>IF($D1426="",0,'Guide &amp; Settings'!$C$44*IF($F1426&gt;=3,$F1426,0))</f>
        <v>0</v>
      </c>
      <c r="M1426" s="124">
        <f t="shared" si="443"/>
        <v>0</v>
      </c>
      <c r="N1426" s="122">
        <f t="shared" si="444"/>
        <v>0</v>
      </c>
      <c r="O1426" s="121" t="str">
        <f t="shared" si="445"/>
        <v/>
      </c>
      <c r="P1426">
        <f t="shared" si="446"/>
        <v>0</v>
      </c>
      <c r="Q1426">
        <f t="shared" si="447"/>
        <v>0</v>
      </c>
      <c r="R1426">
        <f t="shared" si="448"/>
        <v>0</v>
      </c>
      <c r="S1426">
        <f t="shared" si="449"/>
        <v>0</v>
      </c>
      <c r="T1426" s="89">
        <f t="shared" si="450"/>
        <v>0</v>
      </c>
      <c r="U1426" s="126">
        <f>IF($D1426="",0,IFERROR(LOOKUP(2,1/(($D$3:D1425=$D1426)*($C$3:C1425=$C1426)*($A$3:A1425&lt;$A1426)),$AB$3:AB1425),1000))</f>
        <v>0</v>
      </c>
      <c r="V1426" s="126">
        <f t="shared" si="451"/>
        <v>0</v>
      </c>
      <c r="W1426">
        <f t="shared" si="452"/>
        <v>0</v>
      </c>
      <c r="X1426">
        <f t="shared" si="453"/>
        <v>0</v>
      </c>
      <c r="Y1426">
        <f t="shared" si="454"/>
        <v>0</v>
      </c>
      <c r="Z1426">
        <f t="shared" si="455"/>
        <v>0</v>
      </c>
      <c r="AA1426">
        <f>IF($D1426="",0,IF($F1426&lt;2,0,IF($E1426="Win",('Guide &amp; Settings'!$C$42/(($F1426-1)*COUNTIFS($A$4:$A$1510,$A1426,$E$4:$E$1510,"Win")))*SUMIFS($Z$4:$Z$1510,$A$4:$A$1510,$A1426,$E$4:$E$1510,"Loss"),-('Guide &amp; Settings'!$C$42/($F1426-1))*$Z1426)))</f>
        <v>0</v>
      </c>
      <c r="AB1426" s="126">
        <f t="shared" si="456"/>
        <v>0</v>
      </c>
      <c r="AC1426" t="str">
        <f>IF($D1426="","",IF($AD1426=0,0,IF(COUNTIFS($D$4:$D1426,$D1426,$B$4:$B1426,$B1426)&gt;1,0,IF($B1426&lt;'Guide &amp; Settings'!$C$50,0,IF(($B1426-$AD1426)/7-'Guide &amp; Settings'!$C$48&gt;=0,(INT(($B1426-$AD1426)/7-'Guide &amp; Settings'!$C$48)+1)*'Guide &amp; Settings'!$C$49,0)))))</f>
        <v/>
      </c>
      <c r="AD1426" s="142">
        <f t="shared" si="457"/>
        <v>0</v>
      </c>
      <c r="AE1426">
        <f t="shared" si="458"/>
        <v>0</v>
      </c>
      <c r="AF1426">
        <f t="shared" si="459"/>
        <v>0</v>
      </c>
    </row>
    <row r="1427" spans="1:32" x14ac:dyDescent="0.2">
      <c r="A1427" s="117"/>
      <c r="B1427" s="118"/>
      <c r="C1427" s="119"/>
      <c r="D1427" s="119"/>
      <c r="E1427" s="117"/>
      <c r="F1427" s="120">
        <f t="shared" si="440"/>
        <v>0</v>
      </c>
      <c r="G1427" s="121" t="str">
        <f t="shared" si="441"/>
        <v/>
      </c>
      <c r="H1427" s="122">
        <f>IF($D1427="",0,IFERROR(LOOKUP(2,1/(($D$3:D1426=$D1427)*($A$3:A1426&lt;$A1427)),$N$3:N1426),'Guide &amp; Settings'!$C$41))</f>
        <v>0</v>
      </c>
      <c r="I1427" s="123">
        <f t="shared" si="442"/>
        <v>0</v>
      </c>
      <c r="J1427" s="124">
        <f>IF($D1427="",0,IF($F1427&lt;2,0,IF($E1427="Win",('Guide &amp; Settings'!$C$42/(($F1427-1)*COUNTIFS($A$4:$A$1510,$A1427,$E$4:$E$1510,"Win")))*SUMIFS($X$4:$X$1510,$A$4:$A$1510,$A1427,$E$4:$E$1510,"Loss"),-('Guide &amp; Settings'!$C$42/($F1427-1))*$X1427)))</f>
        <v>0</v>
      </c>
      <c r="K1427" s="124">
        <f>IF($D1427="",0,'Guide &amp; Settings'!$C$43*(IF($E1427="Win",1,0)-$I1427))</f>
        <v>0</v>
      </c>
      <c r="L1427" s="125">
        <f>IF($D1427="",0,'Guide &amp; Settings'!$C$44*IF($F1427&gt;=3,$F1427,0))</f>
        <v>0</v>
      </c>
      <c r="M1427" s="124">
        <f t="shared" si="443"/>
        <v>0</v>
      </c>
      <c r="N1427" s="122">
        <f t="shared" si="444"/>
        <v>0</v>
      </c>
      <c r="O1427" s="121" t="str">
        <f t="shared" si="445"/>
        <v/>
      </c>
      <c r="P1427">
        <f t="shared" si="446"/>
        <v>0</v>
      </c>
      <c r="Q1427">
        <f t="shared" si="447"/>
        <v>0</v>
      </c>
      <c r="R1427">
        <f t="shared" si="448"/>
        <v>0</v>
      </c>
      <c r="S1427">
        <f t="shared" si="449"/>
        <v>0</v>
      </c>
      <c r="T1427" s="89">
        <f t="shared" si="450"/>
        <v>0</v>
      </c>
      <c r="U1427" s="126">
        <f>IF($D1427="",0,IFERROR(LOOKUP(2,1/(($D$3:D1426=$D1427)*($C$3:C1426=$C1427)*($A$3:A1426&lt;$A1427)),$AB$3:AB1426),1000))</f>
        <v>0</v>
      </c>
      <c r="V1427" s="126">
        <f t="shared" si="451"/>
        <v>0</v>
      </c>
      <c r="W1427">
        <f t="shared" si="452"/>
        <v>0</v>
      </c>
      <c r="X1427">
        <f t="shared" si="453"/>
        <v>0</v>
      </c>
      <c r="Y1427">
        <f t="shared" si="454"/>
        <v>0</v>
      </c>
      <c r="Z1427">
        <f t="shared" si="455"/>
        <v>0</v>
      </c>
      <c r="AA1427">
        <f>IF($D1427="",0,IF($F1427&lt;2,0,IF($E1427="Win",('Guide &amp; Settings'!$C$42/(($F1427-1)*COUNTIFS($A$4:$A$1510,$A1427,$E$4:$E$1510,"Win")))*SUMIFS($Z$4:$Z$1510,$A$4:$A$1510,$A1427,$E$4:$E$1510,"Loss"),-('Guide &amp; Settings'!$C$42/($F1427-1))*$Z1427)))</f>
        <v>0</v>
      </c>
      <c r="AB1427" s="126">
        <f t="shared" si="456"/>
        <v>0</v>
      </c>
      <c r="AC1427" t="str">
        <f>IF($D1427="","",IF($AD1427=0,0,IF(COUNTIFS($D$4:$D1427,$D1427,$B$4:$B1427,$B1427)&gt;1,0,IF($B1427&lt;'Guide &amp; Settings'!$C$50,0,IF(($B1427-$AD1427)/7-'Guide &amp; Settings'!$C$48&gt;=0,(INT(($B1427-$AD1427)/7-'Guide &amp; Settings'!$C$48)+1)*'Guide &amp; Settings'!$C$49,0)))))</f>
        <v/>
      </c>
      <c r="AD1427" s="142">
        <f t="shared" si="457"/>
        <v>0</v>
      </c>
      <c r="AE1427">
        <f t="shared" si="458"/>
        <v>0</v>
      </c>
      <c r="AF1427">
        <f t="shared" si="459"/>
        <v>0</v>
      </c>
    </row>
    <row r="1428" spans="1:32" x14ac:dyDescent="0.2">
      <c r="A1428" s="117"/>
      <c r="B1428" s="118"/>
      <c r="C1428" s="119"/>
      <c r="D1428" s="119"/>
      <c r="E1428" s="117"/>
      <c r="F1428" s="120">
        <f t="shared" si="440"/>
        <v>0</v>
      </c>
      <c r="G1428" s="121" t="str">
        <f t="shared" si="441"/>
        <v/>
      </c>
      <c r="H1428" s="122">
        <f>IF($D1428="",0,IFERROR(LOOKUP(2,1/(($D$3:D1427=$D1428)*($A$3:A1427&lt;$A1428)),$N$3:N1427),'Guide &amp; Settings'!$C$41))</f>
        <v>0</v>
      </c>
      <c r="I1428" s="123">
        <f t="shared" si="442"/>
        <v>0</v>
      </c>
      <c r="J1428" s="124">
        <f>IF($D1428="",0,IF($F1428&lt;2,0,IF($E1428="Win",('Guide &amp; Settings'!$C$42/(($F1428-1)*COUNTIFS($A$4:$A$1510,$A1428,$E$4:$E$1510,"Win")))*SUMIFS($X$4:$X$1510,$A$4:$A$1510,$A1428,$E$4:$E$1510,"Loss"),-('Guide &amp; Settings'!$C$42/($F1428-1))*$X1428)))</f>
        <v>0</v>
      </c>
      <c r="K1428" s="124">
        <f>IF($D1428="",0,'Guide &amp; Settings'!$C$43*(IF($E1428="Win",1,0)-$I1428))</f>
        <v>0</v>
      </c>
      <c r="L1428" s="125">
        <f>IF($D1428="",0,'Guide &amp; Settings'!$C$44*IF($F1428&gt;=3,$F1428,0))</f>
        <v>0</v>
      </c>
      <c r="M1428" s="124">
        <f t="shared" si="443"/>
        <v>0</v>
      </c>
      <c r="N1428" s="122">
        <f t="shared" si="444"/>
        <v>0</v>
      </c>
      <c r="O1428" s="121" t="str">
        <f t="shared" si="445"/>
        <v/>
      </c>
      <c r="P1428">
        <f t="shared" si="446"/>
        <v>0</v>
      </c>
      <c r="Q1428">
        <f t="shared" si="447"/>
        <v>0</v>
      </c>
      <c r="R1428">
        <f t="shared" si="448"/>
        <v>0</v>
      </c>
      <c r="S1428">
        <f t="shared" si="449"/>
        <v>0</v>
      </c>
      <c r="T1428" s="89">
        <f t="shared" si="450"/>
        <v>0</v>
      </c>
      <c r="U1428" s="126">
        <f>IF($D1428="",0,IFERROR(LOOKUP(2,1/(($D$3:D1427=$D1428)*($C$3:C1427=$C1428)*($A$3:A1427&lt;$A1428)),$AB$3:AB1427),1000))</f>
        <v>0</v>
      </c>
      <c r="V1428" s="126">
        <f t="shared" si="451"/>
        <v>0</v>
      </c>
      <c r="W1428">
        <f t="shared" si="452"/>
        <v>0</v>
      </c>
      <c r="X1428">
        <f t="shared" si="453"/>
        <v>0</v>
      </c>
      <c r="Y1428">
        <f t="shared" si="454"/>
        <v>0</v>
      </c>
      <c r="Z1428">
        <f t="shared" si="455"/>
        <v>0</v>
      </c>
      <c r="AA1428">
        <f>IF($D1428="",0,IF($F1428&lt;2,0,IF($E1428="Win",('Guide &amp; Settings'!$C$42/(($F1428-1)*COUNTIFS($A$4:$A$1510,$A1428,$E$4:$E$1510,"Win")))*SUMIFS($Z$4:$Z$1510,$A$4:$A$1510,$A1428,$E$4:$E$1510,"Loss"),-('Guide &amp; Settings'!$C$42/($F1428-1))*$Z1428)))</f>
        <v>0</v>
      </c>
      <c r="AB1428" s="126">
        <f t="shared" si="456"/>
        <v>0</v>
      </c>
      <c r="AC1428" t="str">
        <f>IF($D1428="","",IF($AD1428=0,0,IF(COUNTIFS($D$4:$D1428,$D1428,$B$4:$B1428,$B1428)&gt;1,0,IF($B1428&lt;'Guide &amp; Settings'!$C$50,0,IF(($B1428-$AD1428)/7-'Guide &amp; Settings'!$C$48&gt;=0,(INT(($B1428-$AD1428)/7-'Guide &amp; Settings'!$C$48)+1)*'Guide &amp; Settings'!$C$49,0)))))</f>
        <v/>
      </c>
      <c r="AD1428" s="142">
        <f t="shared" si="457"/>
        <v>0</v>
      </c>
      <c r="AE1428">
        <f t="shared" si="458"/>
        <v>0</v>
      </c>
      <c r="AF1428">
        <f t="shared" si="459"/>
        <v>0</v>
      </c>
    </row>
    <row r="1429" spans="1:32" x14ac:dyDescent="0.2">
      <c r="A1429" s="117"/>
      <c r="B1429" s="118"/>
      <c r="C1429" s="119"/>
      <c r="D1429" s="119"/>
      <c r="E1429" s="117"/>
      <c r="F1429" s="120">
        <f t="shared" si="440"/>
        <v>0</v>
      </c>
      <c r="G1429" s="121" t="str">
        <f t="shared" si="441"/>
        <v/>
      </c>
      <c r="H1429" s="122">
        <f>IF($D1429="",0,IFERROR(LOOKUP(2,1/(($D$3:D1428=$D1429)*($A$3:A1428&lt;$A1429)),$N$3:N1428),'Guide &amp; Settings'!$C$41))</f>
        <v>0</v>
      </c>
      <c r="I1429" s="123">
        <f t="shared" si="442"/>
        <v>0</v>
      </c>
      <c r="J1429" s="124">
        <f>IF($D1429="",0,IF($F1429&lt;2,0,IF($E1429="Win",('Guide &amp; Settings'!$C$42/(($F1429-1)*COUNTIFS($A$4:$A$1510,$A1429,$E$4:$E$1510,"Win")))*SUMIFS($X$4:$X$1510,$A$4:$A$1510,$A1429,$E$4:$E$1510,"Loss"),-('Guide &amp; Settings'!$C$42/($F1429-1))*$X1429)))</f>
        <v>0</v>
      </c>
      <c r="K1429" s="124">
        <f>IF($D1429="",0,'Guide &amp; Settings'!$C$43*(IF($E1429="Win",1,0)-$I1429))</f>
        <v>0</v>
      </c>
      <c r="L1429" s="125">
        <f>IF($D1429="",0,'Guide &amp; Settings'!$C$44*IF($F1429&gt;=3,$F1429,0))</f>
        <v>0</v>
      </c>
      <c r="M1429" s="124">
        <f t="shared" si="443"/>
        <v>0</v>
      </c>
      <c r="N1429" s="122">
        <f t="shared" si="444"/>
        <v>0</v>
      </c>
      <c r="O1429" s="121" t="str">
        <f t="shared" si="445"/>
        <v/>
      </c>
      <c r="P1429">
        <f t="shared" si="446"/>
        <v>0</v>
      </c>
      <c r="Q1429">
        <f t="shared" si="447"/>
        <v>0</v>
      </c>
      <c r="R1429">
        <f t="shared" si="448"/>
        <v>0</v>
      </c>
      <c r="S1429">
        <f t="shared" si="449"/>
        <v>0</v>
      </c>
      <c r="T1429" s="89">
        <f t="shared" si="450"/>
        <v>0</v>
      </c>
      <c r="U1429" s="126">
        <f>IF($D1429="",0,IFERROR(LOOKUP(2,1/(($D$3:D1428=$D1429)*($C$3:C1428=$C1429)*($A$3:A1428&lt;$A1429)),$AB$3:AB1428),1000))</f>
        <v>0</v>
      </c>
      <c r="V1429" s="126">
        <f t="shared" si="451"/>
        <v>0</v>
      </c>
      <c r="W1429">
        <f t="shared" si="452"/>
        <v>0</v>
      </c>
      <c r="X1429">
        <f t="shared" si="453"/>
        <v>0</v>
      </c>
      <c r="Y1429">
        <f t="shared" si="454"/>
        <v>0</v>
      </c>
      <c r="Z1429">
        <f t="shared" si="455"/>
        <v>0</v>
      </c>
      <c r="AA1429">
        <f>IF($D1429="",0,IF($F1429&lt;2,0,IF($E1429="Win",('Guide &amp; Settings'!$C$42/(($F1429-1)*COUNTIFS($A$4:$A$1510,$A1429,$E$4:$E$1510,"Win")))*SUMIFS($Z$4:$Z$1510,$A$4:$A$1510,$A1429,$E$4:$E$1510,"Loss"),-('Guide &amp; Settings'!$C$42/($F1429-1))*$Z1429)))</f>
        <v>0</v>
      </c>
      <c r="AB1429" s="126">
        <f t="shared" si="456"/>
        <v>0</v>
      </c>
      <c r="AC1429" t="str">
        <f>IF($D1429="","",IF($AD1429=0,0,IF(COUNTIFS($D$4:$D1429,$D1429,$B$4:$B1429,$B1429)&gt;1,0,IF($B1429&lt;'Guide &amp; Settings'!$C$50,0,IF(($B1429-$AD1429)/7-'Guide &amp; Settings'!$C$48&gt;=0,(INT(($B1429-$AD1429)/7-'Guide &amp; Settings'!$C$48)+1)*'Guide &amp; Settings'!$C$49,0)))))</f>
        <v/>
      </c>
      <c r="AD1429" s="142">
        <f t="shared" si="457"/>
        <v>0</v>
      </c>
      <c r="AE1429">
        <f t="shared" si="458"/>
        <v>0</v>
      </c>
      <c r="AF1429">
        <f t="shared" si="459"/>
        <v>0</v>
      </c>
    </row>
    <row r="1430" spans="1:32" x14ac:dyDescent="0.2">
      <c r="A1430" s="117"/>
      <c r="B1430" s="118"/>
      <c r="C1430" s="119"/>
      <c r="D1430" s="119"/>
      <c r="E1430" s="117"/>
      <c r="F1430" s="120">
        <f t="shared" si="440"/>
        <v>0</v>
      </c>
      <c r="G1430" s="121" t="str">
        <f t="shared" si="441"/>
        <v/>
      </c>
      <c r="H1430" s="122">
        <f>IF($D1430="",0,IFERROR(LOOKUP(2,1/(($D$3:D1429=$D1430)*($A$3:A1429&lt;$A1430)),$N$3:N1429),'Guide &amp; Settings'!$C$41))</f>
        <v>0</v>
      </c>
      <c r="I1430" s="123">
        <f t="shared" si="442"/>
        <v>0</v>
      </c>
      <c r="J1430" s="124">
        <f>IF($D1430="",0,IF($F1430&lt;2,0,IF($E1430="Win",('Guide &amp; Settings'!$C$42/(($F1430-1)*COUNTIFS($A$4:$A$1510,$A1430,$E$4:$E$1510,"Win")))*SUMIFS($X$4:$X$1510,$A$4:$A$1510,$A1430,$E$4:$E$1510,"Loss"),-('Guide &amp; Settings'!$C$42/($F1430-1))*$X1430)))</f>
        <v>0</v>
      </c>
      <c r="K1430" s="124">
        <f>IF($D1430="",0,'Guide &amp; Settings'!$C$43*(IF($E1430="Win",1,0)-$I1430))</f>
        <v>0</v>
      </c>
      <c r="L1430" s="125">
        <f>IF($D1430="",0,'Guide &amp; Settings'!$C$44*IF($F1430&gt;=3,$F1430,0))</f>
        <v>0</v>
      </c>
      <c r="M1430" s="124">
        <f t="shared" si="443"/>
        <v>0</v>
      </c>
      <c r="N1430" s="122">
        <f t="shared" si="444"/>
        <v>0</v>
      </c>
      <c r="O1430" s="121" t="str">
        <f t="shared" si="445"/>
        <v/>
      </c>
      <c r="P1430">
        <f t="shared" si="446"/>
        <v>0</v>
      </c>
      <c r="Q1430">
        <f t="shared" si="447"/>
        <v>0</v>
      </c>
      <c r="R1430">
        <f t="shared" si="448"/>
        <v>0</v>
      </c>
      <c r="S1430">
        <f t="shared" si="449"/>
        <v>0</v>
      </c>
      <c r="T1430" s="89">
        <f t="shared" si="450"/>
        <v>0</v>
      </c>
      <c r="U1430" s="126">
        <f>IF($D1430="",0,IFERROR(LOOKUP(2,1/(($D$3:D1429=$D1430)*($C$3:C1429=$C1430)*($A$3:A1429&lt;$A1430)),$AB$3:AB1429),1000))</f>
        <v>0</v>
      </c>
      <c r="V1430" s="126">
        <f t="shared" si="451"/>
        <v>0</v>
      </c>
      <c r="W1430">
        <f t="shared" si="452"/>
        <v>0</v>
      </c>
      <c r="X1430">
        <f t="shared" si="453"/>
        <v>0</v>
      </c>
      <c r="Y1430">
        <f t="shared" si="454"/>
        <v>0</v>
      </c>
      <c r="Z1430">
        <f t="shared" si="455"/>
        <v>0</v>
      </c>
      <c r="AA1430">
        <f>IF($D1430="",0,IF($F1430&lt;2,0,IF($E1430="Win",('Guide &amp; Settings'!$C$42/(($F1430-1)*COUNTIFS($A$4:$A$1510,$A1430,$E$4:$E$1510,"Win")))*SUMIFS($Z$4:$Z$1510,$A$4:$A$1510,$A1430,$E$4:$E$1510,"Loss"),-('Guide &amp; Settings'!$C$42/($F1430-1))*$Z1430)))</f>
        <v>0</v>
      </c>
      <c r="AB1430" s="126">
        <f t="shared" si="456"/>
        <v>0</v>
      </c>
      <c r="AC1430" t="str">
        <f>IF($D1430="","",IF($AD1430=0,0,IF(COUNTIFS($D$4:$D1430,$D1430,$B$4:$B1430,$B1430)&gt;1,0,IF($B1430&lt;'Guide &amp; Settings'!$C$50,0,IF(($B1430-$AD1430)/7-'Guide &amp; Settings'!$C$48&gt;=0,(INT(($B1430-$AD1430)/7-'Guide &amp; Settings'!$C$48)+1)*'Guide &amp; Settings'!$C$49,0)))))</f>
        <v/>
      </c>
      <c r="AD1430" s="142">
        <f t="shared" si="457"/>
        <v>0</v>
      </c>
      <c r="AE1430">
        <f t="shared" si="458"/>
        <v>0</v>
      </c>
      <c r="AF1430">
        <f t="shared" si="459"/>
        <v>0</v>
      </c>
    </row>
    <row r="1431" spans="1:32" x14ac:dyDescent="0.2">
      <c r="A1431" s="117"/>
      <c r="B1431" s="118"/>
      <c r="C1431" s="119"/>
      <c r="D1431" s="119"/>
      <c r="E1431" s="117"/>
      <c r="F1431" s="120">
        <f t="shared" si="440"/>
        <v>0</v>
      </c>
      <c r="G1431" s="121" t="str">
        <f t="shared" si="441"/>
        <v/>
      </c>
      <c r="H1431" s="122">
        <f>IF($D1431="",0,IFERROR(LOOKUP(2,1/(($D$3:D1430=$D1431)*($A$3:A1430&lt;$A1431)),$N$3:N1430),'Guide &amp; Settings'!$C$41))</f>
        <v>0</v>
      </c>
      <c r="I1431" s="123">
        <f t="shared" si="442"/>
        <v>0</v>
      </c>
      <c r="J1431" s="124">
        <f>IF($D1431="",0,IF($F1431&lt;2,0,IF($E1431="Win",('Guide &amp; Settings'!$C$42/(($F1431-1)*COUNTIFS($A$4:$A$1510,$A1431,$E$4:$E$1510,"Win")))*SUMIFS($X$4:$X$1510,$A$4:$A$1510,$A1431,$E$4:$E$1510,"Loss"),-('Guide &amp; Settings'!$C$42/($F1431-1))*$X1431)))</f>
        <v>0</v>
      </c>
      <c r="K1431" s="124">
        <f>IF($D1431="",0,'Guide &amp; Settings'!$C$43*(IF($E1431="Win",1,0)-$I1431))</f>
        <v>0</v>
      </c>
      <c r="L1431" s="125">
        <f>IF($D1431="",0,'Guide &amp; Settings'!$C$44*IF($F1431&gt;=3,$F1431,0))</f>
        <v>0</v>
      </c>
      <c r="M1431" s="124">
        <f t="shared" si="443"/>
        <v>0</v>
      </c>
      <c r="N1431" s="122">
        <f t="shared" si="444"/>
        <v>0</v>
      </c>
      <c r="O1431" s="121" t="str">
        <f t="shared" si="445"/>
        <v/>
      </c>
      <c r="P1431">
        <f t="shared" si="446"/>
        <v>0</v>
      </c>
      <c r="Q1431">
        <f t="shared" si="447"/>
        <v>0</v>
      </c>
      <c r="R1431">
        <f t="shared" si="448"/>
        <v>0</v>
      </c>
      <c r="S1431">
        <f t="shared" si="449"/>
        <v>0</v>
      </c>
      <c r="T1431" s="89">
        <f t="shared" si="450"/>
        <v>0</v>
      </c>
      <c r="U1431" s="126">
        <f>IF($D1431="",0,IFERROR(LOOKUP(2,1/(($D$3:D1430=$D1431)*($C$3:C1430=$C1431)*($A$3:A1430&lt;$A1431)),$AB$3:AB1430),1000))</f>
        <v>0</v>
      </c>
      <c r="V1431" s="126">
        <f t="shared" si="451"/>
        <v>0</v>
      </c>
      <c r="W1431">
        <f t="shared" si="452"/>
        <v>0</v>
      </c>
      <c r="X1431">
        <f t="shared" si="453"/>
        <v>0</v>
      </c>
      <c r="Y1431">
        <f t="shared" si="454"/>
        <v>0</v>
      </c>
      <c r="Z1431">
        <f t="shared" si="455"/>
        <v>0</v>
      </c>
      <c r="AA1431">
        <f>IF($D1431="",0,IF($F1431&lt;2,0,IF($E1431="Win",('Guide &amp; Settings'!$C$42/(($F1431-1)*COUNTIFS($A$4:$A$1510,$A1431,$E$4:$E$1510,"Win")))*SUMIFS($Z$4:$Z$1510,$A$4:$A$1510,$A1431,$E$4:$E$1510,"Loss"),-('Guide &amp; Settings'!$C$42/($F1431-1))*$Z1431)))</f>
        <v>0</v>
      </c>
      <c r="AB1431" s="126">
        <f t="shared" si="456"/>
        <v>0</v>
      </c>
      <c r="AC1431" t="str">
        <f>IF($D1431="","",IF($AD1431=0,0,IF(COUNTIFS($D$4:$D1431,$D1431,$B$4:$B1431,$B1431)&gt;1,0,IF($B1431&lt;'Guide &amp; Settings'!$C$50,0,IF(($B1431-$AD1431)/7-'Guide &amp; Settings'!$C$48&gt;=0,(INT(($B1431-$AD1431)/7-'Guide &amp; Settings'!$C$48)+1)*'Guide &amp; Settings'!$C$49,0)))))</f>
        <v/>
      </c>
      <c r="AD1431" s="142">
        <f t="shared" si="457"/>
        <v>0</v>
      </c>
      <c r="AE1431">
        <f t="shared" si="458"/>
        <v>0</v>
      </c>
      <c r="AF1431">
        <f t="shared" si="459"/>
        <v>0</v>
      </c>
    </row>
    <row r="1432" spans="1:32" x14ac:dyDescent="0.2">
      <c r="A1432" s="117"/>
      <c r="B1432" s="118"/>
      <c r="C1432" s="119"/>
      <c r="D1432" s="119"/>
      <c r="E1432" s="117"/>
      <c r="F1432" s="120">
        <f t="shared" si="440"/>
        <v>0</v>
      </c>
      <c r="G1432" s="121" t="str">
        <f t="shared" si="441"/>
        <v/>
      </c>
      <c r="H1432" s="122">
        <f>IF($D1432="",0,IFERROR(LOOKUP(2,1/(($D$3:D1431=$D1432)*($A$3:A1431&lt;$A1432)),$N$3:N1431),'Guide &amp; Settings'!$C$41))</f>
        <v>0</v>
      </c>
      <c r="I1432" s="123">
        <f t="shared" si="442"/>
        <v>0</v>
      </c>
      <c r="J1432" s="124">
        <f>IF($D1432="",0,IF($F1432&lt;2,0,IF($E1432="Win",('Guide &amp; Settings'!$C$42/(($F1432-1)*COUNTIFS($A$4:$A$1510,$A1432,$E$4:$E$1510,"Win")))*SUMIFS($X$4:$X$1510,$A$4:$A$1510,$A1432,$E$4:$E$1510,"Loss"),-('Guide &amp; Settings'!$C$42/($F1432-1))*$X1432)))</f>
        <v>0</v>
      </c>
      <c r="K1432" s="124">
        <f>IF($D1432="",0,'Guide &amp; Settings'!$C$43*(IF($E1432="Win",1,0)-$I1432))</f>
        <v>0</v>
      </c>
      <c r="L1432" s="125">
        <f>IF($D1432="",0,'Guide &amp; Settings'!$C$44*IF($F1432&gt;=3,$F1432,0))</f>
        <v>0</v>
      </c>
      <c r="M1432" s="124">
        <f t="shared" si="443"/>
        <v>0</v>
      </c>
      <c r="N1432" s="122">
        <f t="shared" si="444"/>
        <v>0</v>
      </c>
      <c r="O1432" s="121" t="str">
        <f t="shared" si="445"/>
        <v/>
      </c>
      <c r="P1432">
        <f t="shared" si="446"/>
        <v>0</v>
      </c>
      <c r="Q1432">
        <f t="shared" si="447"/>
        <v>0</v>
      </c>
      <c r="R1432">
        <f t="shared" si="448"/>
        <v>0</v>
      </c>
      <c r="S1432">
        <f t="shared" si="449"/>
        <v>0</v>
      </c>
      <c r="T1432" s="89">
        <f t="shared" si="450"/>
        <v>0</v>
      </c>
      <c r="U1432" s="126">
        <f>IF($D1432="",0,IFERROR(LOOKUP(2,1/(($D$3:D1431=$D1432)*($C$3:C1431=$C1432)*($A$3:A1431&lt;$A1432)),$AB$3:AB1431),1000))</f>
        <v>0</v>
      </c>
      <c r="V1432" s="126">
        <f t="shared" si="451"/>
        <v>0</v>
      </c>
      <c r="W1432">
        <f t="shared" si="452"/>
        <v>0</v>
      </c>
      <c r="X1432">
        <f t="shared" si="453"/>
        <v>0</v>
      </c>
      <c r="Y1432">
        <f t="shared" si="454"/>
        <v>0</v>
      </c>
      <c r="Z1432">
        <f t="shared" si="455"/>
        <v>0</v>
      </c>
      <c r="AA1432">
        <f>IF($D1432="",0,IF($F1432&lt;2,0,IF($E1432="Win",('Guide &amp; Settings'!$C$42/(($F1432-1)*COUNTIFS($A$4:$A$1510,$A1432,$E$4:$E$1510,"Win")))*SUMIFS($Z$4:$Z$1510,$A$4:$A$1510,$A1432,$E$4:$E$1510,"Loss"),-('Guide &amp; Settings'!$C$42/($F1432-1))*$Z1432)))</f>
        <v>0</v>
      </c>
      <c r="AB1432" s="126">
        <f t="shared" si="456"/>
        <v>0</v>
      </c>
      <c r="AC1432" t="str">
        <f>IF($D1432="","",IF($AD1432=0,0,IF(COUNTIFS($D$4:$D1432,$D1432,$B$4:$B1432,$B1432)&gt;1,0,IF($B1432&lt;'Guide &amp; Settings'!$C$50,0,IF(($B1432-$AD1432)/7-'Guide &amp; Settings'!$C$48&gt;=0,(INT(($B1432-$AD1432)/7-'Guide &amp; Settings'!$C$48)+1)*'Guide &amp; Settings'!$C$49,0)))))</f>
        <v/>
      </c>
      <c r="AD1432" s="142">
        <f t="shared" si="457"/>
        <v>0</v>
      </c>
      <c r="AE1432">
        <f t="shared" si="458"/>
        <v>0</v>
      </c>
      <c r="AF1432">
        <f t="shared" si="459"/>
        <v>0</v>
      </c>
    </row>
    <row r="1433" spans="1:32" x14ac:dyDescent="0.2">
      <c r="A1433" s="117"/>
      <c r="B1433" s="118"/>
      <c r="C1433" s="119"/>
      <c r="D1433" s="119"/>
      <c r="E1433" s="117"/>
      <c r="F1433" s="120">
        <f t="shared" si="440"/>
        <v>0</v>
      </c>
      <c r="G1433" s="121" t="str">
        <f t="shared" si="441"/>
        <v/>
      </c>
      <c r="H1433" s="122">
        <f>IF($D1433="",0,IFERROR(LOOKUP(2,1/(($D$3:D1432=$D1433)*($A$3:A1432&lt;$A1433)),$N$3:N1432),'Guide &amp; Settings'!$C$41))</f>
        <v>0</v>
      </c>
      <c r="I1433" s="123">
        <f t="shared" si="442"/>
        <v>0</v>
      </c>
      <c r="J1433" s="124">
        <f>IF($D1433="",0,IF($F1433&lt;2,0,IF($E1433="Win",('Guide &amp; Settings'!$C$42/(($F1433-1)*COUNTIFS($A$4:$A$1510,$A1433,$E$4:$E$1510,"Win")))*SUMIFS($X$4:$X$1510,$A$4:$A$1510,$A1433,$E$4:$E$1510,"Loss"),-('Guide &amp; Settings'!$C$42/($F1433-1))*$X1433)))</f>
        <v>0</v>
      </c>
      <c r="K1433" s="124">
        <f>IF($D1433="",0,'Guide &amp; Settings'!$C$43*(IF($E1433="Win",1,0)-$I1433))</f>
        <v>0</v>
      </c>
      <c r="L1433" s="125">
        <f>IF($D1433="",0,'Guide &amp; Settings'!$C$44*IF($F1433&gt;=3,$F1433,0))</f>
        <v>0</v>
      </c>
      <c r="M1433" s="124">
        <f t="shared" si="443"/>
        <v>0</v>
      </c>
      <c r="N1433" s="122">
        <f t="shared" si="444"/>
        <v>0</v>
      </c>
      <c r="O1433" s="121" t="str">
        <f t="shared" si="445"/>
        <v/>
      </c>
      <c r="P1433">
        <f t="shared" si="446"/>
        <v>0</v>
      </c>
      <c r="Q1433">
        <f t="shared" si="447"/>
        <v>0</v>
      </c>
      <c r="R1433">
        <f t="shared" si="448"/>
        <v>0</v>
      </c>
      <c r="S1433">
        <f t="shared" si="449"/>
        <v>0</v>
      </c>
      <c r="T1433" s="89">
        <f t="shared" si="450"/>
        <v>0</v>
      </c>
      <c r="U1433" s="126">
        <f>IF($D1433="",0,IFERROR(LOOKUP(2,1/(($D$3:D1432=$D1433)*($C$3:C1432=$C1433)*($A$3:A1432&lt;$A1433)),$AB$3:AB1432),1000))</f>
        <v>0</v>
      </c>
      <c r="V1433" s="126">
        <f t="shared" si="451"/>
        <v>0</v>
      </c>
      <c r="W1433">
        <f t="shared" si="452"/>
        <v>0</v>
      </c>
      <c r="X1433">
        <f t="shared" si="453"/>
        <v>0</v>
      </c>
      <c r="Y1433">
        <f t="shared" si="454"/>
        <v>0</v>
      </c>
      <c r="Z1433">
        <f t="shared" si="455"/>
        <v>0</v>
      </c>
      <c r="AA1433">
        <f>IF($D1433="",0,IF($F1433&lt;2,0,IF($E1433="Win",('Guide &amp; Settings'!$C$42/(($F1433-1)*COUNTIFS($A$4:$A$1510,$A1433,$E$4:$E$1510,"Win")))*SUMIFS($Z$4:$Z$1510,$A$4:$A$1510,$A1433,$E$4:$E$1510,"Loss"),-('Guide &amp; Settings'!$C$42/($F1433-1))*$Z1433)))</f>
        <v>0</v>
      </c>
      <c r="AB1433" s="126">
        <f t="shared" si="456"/>
        <v>0</v>
      </c>
      <c r="AC1433" t="str">
        <f>IF($D1433="","",IF($AD1433=0,0,IF(COUNTIFS($D$4:$D1433,$D1433,$B$4:$B1433,$B1433)&gt;1,0,IF($B1433&lt;'Guide &amp; Settings'!$C$50,0,IF(($B1433-$AD1433)/7-'Guide &amp; Settings'!$C$48&gt;=0,(INT(($B1433-$AD1433)/7-'Guide &amp; Settings'!$C$48)+1)*'Guide &amp; Settings'!$C$49,0)))))</f>
        <v/>
      </c>
      <c r="AD1433" s="142">
        <f t="shared" si="457"/>
        <v>0</v>
      </c>
      <c r="AE1433">
        <f t="shared" si="458"/>
        <v>0</v>
      </c>
      <c r="AF1433">
        <f t="shared" si="459"/>
        <v>0</v>
      </c>
    </row>
    <row r="1434" spans="1:32" x14ac:dyDescent="0.2">
      <c r="A1434" s="117"/>
      <c r="B1434" s="118"/>
      <c r="C1434" s="119"/>
      <c r="D1434" s="119"/>
      <c r="E1434" s="117"/>
      <c r="F1434" s="120">
        <f t="shared" si="440"/>
        <v>0</v>
      </c>
      <c r="G1434" s="121" t="str">
        <f t="shared" si="441"/>
        <v/>
      </c>
      <c r="H1434" s="122">
        <f>IF($D1434="",0,IFERROR(LOOKUP(2,1/(($D$3:D1433=$D1434)*($A$3:A1433&lt;$A1434)),$N$3:N1433),'Guide &amp; Settings'!$C$41))</f>
        <v>0</v>
      </c>
      <c r="I1434" s="123">
        <f t="shared" si="442"/>
        <v>0</v>
      </c>
      <c r="J1434" s="124">
        <f>IF($D1434="",0,IF($F1434&lt;2,0,IF($E1434="Win",('Guide &amp; Settings'!$C$42/(($F1434-1)*COUNTIFS($A$4:$A$1510,$A1434,$E$4:$E$1510,"Win")))*SUMIFS($X$4:$X$1510,$A$4:$A$1510,$A1434,$E$4:$E$1510,"Loss"),-('Guide &amp; Settings'!$C$42/($F1434-1))*$X1434)))</f>
        <v>0</v>
      </c>
      <c r="K1434" s="124">
        <f>IF($D1434="",0,'Guide &amp; Settings'!$C$43*(IF($E1434="Win",1,0)-$I1434))</f>
        <v>0</v>
      </c>
      <c r="L1434" s="125">
        <f>IF($D1434="",0,'Guide &amp; Settings'!$C$44*IF($F1434&gt;=3,$F1434,0))</f>
        <v>0</v>
      </c>
      <c r="M1434" s="124">
        <f t="shared" si="443"/>
        <v>0</v>
      </c>
      <c r="N1434" s="122">
        <f t="shared" si="444"/>
        <v>0</v>
      </c>
      <c r="O1434" s="121" t="str">
        <f t="shared" si="445"/>
        <v/>
      </c>
      <c r="P1434">
        <f t="shared" si="446"/>
        <v>0</v>
      </c>
      <c r="Q1434">
        <f t="shared" si="447"/>
        <v>0</v>
      </c>
      <c r="R1434">
        <f t="shared" si="448"/>
        <v>0</v>
      </c>
      <c r="S1434">
        <f t="shared" si="449"/>
        <v>0</v>
      </c>
      <c r="T1434" s="89">
        <f t="shared" si="450"/>
        <v>0</v>
      </c>
      <c r="U1434" s="126">
        <f>IF($D1434="",0,IFERROR(LOOKUP(2,1/(($D$3:D1433=$D1434)*($C$3:C1433=$C1434)*($A$3:A1433&lt;$A1434)),$AB$3:AB1433),1000))</f>
        <v>0</v>
      </c>
      <c r="V1434" s="126">
        <f t="shared" si="451"/>
        <v>0</v>
      </c>
      <c r="W1434">
        <f t="shared" si="452"/>
        <v>0</v>
      </c>
      <c r="X1434">
        <f t="shared" si="453"/>
        <v>0</v>
      </c>
      <c r="Y1434">
        <f t="shared" si="454"/>
        <v>0</v>
      </c>
      <c r="Z1434">
        <f t="shared" si="455"/>
        <v>0</v>
      </c>
      <c r="AA1434">
        <f>IF($D1434="",0,IF($F1434&lt;2,0,IF($E1434="Win",('Guide &amp; Settings'!$C$42/(($F1434-1)*COUNTIFS($A$4:$A$1510,$A1434,$E$4:$E$1510,"Win")))*SUMIFS($Z$4:$Z$1510,$A$4:$A$1510,$A1434,$E$4:$E$1510,"Loss"),-('Guide &amp; Settings'!$C$42/($F1434-1))*$Z1434)))</f>
        <v>0</v>
      </c>
      <c r="AB1434" s="126">
        <f t="shared" si="456"/>
        <v>0</v>
      </c>
      <c r="AC1434" t="str">
        <f>IF($D1434="","",IF($AD1434=0,0,IF(COUNTIFS($D$4:$D1434,$D1434,$B$4:$B1434,$B1434)&gt;1,0,IF($B1434&lt;'Guide &amp; Settings'!$C$50,0,IF(($B1434-$AD1434)/7-'Guide &amp; Settings'!$C$48&gt;=0,(INT(($B1434-$AD1434)/7-'Guide &amp; Settings'!$C$48)+1)*'Guide &amp; Settings'!$C$49,0)))))</f>
        <v/>
      </c>
      <c r="AD1434" s="142">
        <f t="shared" si="457"/>
        <v>0</v>
      </c>
      <c r="AE1434">
        <f t="shared" si="458"/>
        <v>0</v>
      </c>
      <c r="AF1434">
        <f t="shared" si="459"/>
        <v>0</v>
      </c>
    </row>
    <row r="1435" spans="1:32" x14ac:dyDescent="0.2">
      <c r="A1435" s="117"/>
      <c r="B1435" s="118"/>
      <c r="C1435" s="119"/>
      <c r="D1435" s="119"/>
      <c r="E1435" s="117"/>
      <c r="F1435" s="120">
        <f t="shared" si="440"/>
        <v>0</v>
      </c>
      <c r="G1435" s="121" t="str">
        <f t="shared" si="441"/>
        <v/>
      </c>
      <c r="H1435" s="122">
        <f>IF($D1435="",0,IFERROR(LOOKUP(2,1/(($D$3:D1434=$D1435)*($A$3:A1434&lt;$A1435)),$N$3:N1434),'Guide &amp; Settings'!$C$41))</f>
        <v>0</v>
      </c>
      <c r="I1435" s="123">
        <f t="shared" si="442"/>
        <v>0</v>
      </c>
      <c r="J1435" s="124">
        <f>IF($D1435="",0,IF($F1435&lt;2,0,IF($E1435="Win",('Guide &amp; Settings'!$C$42/(($F1435-1)*COUNTIFS($A$4:$A$1510,$A1435,$E$4:$E$1510,"Win")))*SUMIFS($X$4:$X$1510,$A$4:$A$1510,$A1435,$E$4:$E$1510,"Loss"),-('Guide &amp; Settings'!$C$42/($F1435-1))*$X1435)))</f>
        <v>0</v>
      </c>
      <c r="K1435" s="124">
        <f>IF($D1435="",0,'Guide &amp; Settings'!$C$43*(IF($E1435="Win",1,0)-$I1435))</f>
        <v>0</v>
      </c>
      <c r="L1435" s="125">
        <f>IF($D1435="",0,'Guide &amp; Settings'!$C$44*IF($F1435&gt;=3,$F1435,0))</f>
        <v>0</v>
      </c>
      <c r="M1435" s="124">
        <f t="shared" si="443"/>
        <v>0</v>
      </c>
      <c r="N1435" s="122">
        <f t="shared" si="444"/>
        <v>0</v>
      </c>
      <c r="O1435" s="121" t="str">
        <f t="shared" si="445"/>
        <v/>
      </c>
      <c r="P1435">
        <f t="shared" si="446"/>
        <v>0</v>
      </c>
      <c r="Q1435">
        <f t="shared" si="447"/>
        <v>0</v>
      </c>
      <c r="R1435">
        <f t="shared" si="448"/>
        <v>0</v>
      </c>
      <c r="S1435">
        <f t="shared" si="449"/>
        <v>0</v>
      </c>
      <c r="T1435" s="89">
        <f t="shared" si="450"/>
        <v>0</v>
      </c>
      <c r="U1435" s="126">
        <f>IF($D1435="",0,IFERROR(LOOKUP(2,1/(($D$3:D1434=$D1435)*($C$3:C1434=$C1435)*($A$3:A1434&lt;$A1435)),$AB$3:AB1434),1000))</f>
        <v>0</v>
      </c>
      <c r="V1435" s="126">
        <f t="shared" si="451"/>
        <v>0</v>
      </c>
      <c r="W1435">
        <f t="shared" si="452"/>
        <v>0</v>
      </c>
      <c r="X1435">
        <f t="shared" si="453"/>
        <v>0</v>
      </c>
      <c r="Y1435">
        <f t="shared" si="454"/>
        <v>0</v>
      </c>
      <c r="Z1435">
        <f t="shared" si="455"/>
        <v>0</v>
      </c>
      <c r="AA1435">
        <f>IF($D1435="",0,IF($F1435&lt;2,0,IF($E1435="Win",('Guide &amp; Settings'!$C$42/(($F1435-1)*COUNTIFS($A$4:$A$1510,$A1435,$E$4:$E$1510,"Win")))*SUMIFS($Z$4:$Z$1510,$A$4:$A$1510,$A1435,$E$4:$E$1510,"Loss"),-('Guide &amp; Settings'!$C$42/($F1435-1))*$Z1435)))</f>
        <v>0</v>
      </c>
      <c r="AB1435" s="126">
        <f t="shared" si="456"/>
        <v>0</v>
      </c>
      <c r="AC1435" t="str">
        <f>IF($D1435="","",IF($AD1435=0,0,IF(COUNTIFS($D$4:$D1435,$D1435,$B$4:$B1435,$B1435)&gt;1,0,IF($B1435&lt;'Guide &amp; Settings'!$C$50,0,IF(($B1435-$AD1435)/7-'Guide &amp; Settings'!$C$48&gt;=0,(INT(($B1435-$AD1435)/7-'Guide &amp; Settings'!$C$48)+1)*'Guide &amp; Settings'!$C$49,0)))))</f>
        <v/>
      </c>
      <c r="AD1435" s="142">
        <f t="shared" si="457"/>
        <v>0</v>
      </c>
      <c r="AE1435">
        <f t="shared" si="458"/>
        <v>0</v>
      </c>
      <c r="AF1435">
        <f t="shared" si="459"/>
        <v>0</v>
      </c>
    </row>
    <row r="1436" spans="1:32" x14ac:dyDescent="0.2">
      <c r="A1436" s="117"/>
      <c r="B1436" s="118"/>
      <c r="C1436" s="119"/>
      <c r="D1436" s="119"/>
      <c r="E1436" s="117"/>
      <c r="F1436" s="120">
        <f t="shared" si="440"/>
        <v>0</v>
      </c>
      <c r="G1436" s="121" t="str">
        <f t="shared" si="441"/>
        <v/>
      </c>
      <c r="H1436" s="122">
        <f>IF($D1436="",0,IFERROR(LOOKUP(2,1/(($D$3:D1435=$D1436)*($A$3:A1435&lt;$A1436)),$N$3:N1435),'Guide &amp; Settings'!$C$41))</f>
        <v>0</v>
      </c>
      <c r="I1436" s="123">
        <f t="shared" si="442"/>
        <v>0</v>
      </c>
      <c r="J1436" s="124">
        <f>IF($D1436="",0,IF($F1436&lt;2,0,IF($E1436="Win",('Guide &amp; Settings'!$C$42/(($F1436-1)*COUNTIFS($A$4:$A$1510,$A1436,$E$4:$E$1510,"Win")))*SUMIFS($X$4:$X$1510,$A$4:$A$1510,$A1436,$E$4:$E$1510,"Loss"),-('Guide &amp; Settings'!$C$42/($F1436-1))*$X1436)))</f>
        <v>0</v>
      </c>
      <c r="K1436" s="124">
        <f>IF($D1436="",0,'Guide &amp; Settings'!$C$43*(IF($E1436="Win",1,0)-$I1436))</f>
        <v>0</v>
      </c>
      <c r="L1436" s="125">
        <f>IF($D1436="",0,'Guide &amp; Settings'!$C$44*IF($F1436&gt;=3,$F1436,0))</f>
        <v>0</v>
      </c>
      <c r="M1436" s="124">
        <f t="shared" si="443"/>
        <v>0</v>
      </c>
      <c r="N1436" s="122">
        <f t="shared" si="444"/>
        <v>0</v>
      </c>
      <c r="O1436" s="121" t="str">
        <f t="shared" si="445"/>
        <v/>
      </c>
      <c r="P1436">
        <f t="shared" si="446"/>
        <v>0</v>
      </c>
      <c r="Q1436">
        <f t="shared" si="447"/>
        <v>0</v>
      </c>
      <c r="R1436">
        <f t="shared" si="448"/>
        <v>0</v>
      </c>
      <c r="S1436">
        <f t="shared" si="449"/>
        <v>0</v>
      </c>
      <c r="T1436" s="89">
        <f t="shared" si="450"/>
        <v>0</v>
      </c>
      <c r="U1436" s="126">
        <f>IF($D1436="",0,IFERROR(LOOKUP(2,1/(($D$3:D1435=$D1436)*($C$3:C1435=$C1436)*($A$3:A1435&lt;$A1436)),$AB$3:AB1435),1000))</f>
        <v>0</v>
      </c>
      <c r="V1436" s="126">
        <f t="shared" si="451"/>
        <v>0</v>
      </c>
      <c r="W1436">
        <f t="shared" si="452"/>
        <v>0</v>
      </c>
      <c r="X1436">
        <f t="shared" si="453"/>
        <v>0</v>
      </c>
      <c r="Y1436">
        <f t="shared" si="454"/>
        <v>0</v>
      </c>
      <c r="Z1436">
        <f t="shared" si="455"/>
        <v>0</v>
      </c>
      <c r="AA1436">
        <f>IF($D1436="",0,IF($F1436&lt;2,0,IF($E1436="Win",('Guide &amp; Settings'!$C$42/(($F1436-1)*COUNTIFS($A$4:$A$1510,$A1436,$E$4:$E$1510,"Win")))*SUMIFS($Z$4:$Z$1510,$A$4:$A$1510,$A1436,$E$4:$E$1510,"Loss"),-('Guide &amp; Settings'!$C$42/($F1436-1))*$Z1436)))</f>
        <v>0</v>
      </c>
      <c r="AB1436" s="126">
        <f t="shared" si="456"/>
        <v>0</v>
      </c>
      <c r="AC1436" t="str">
        <f>IF($D1436="","",IF($AD1436=0,0,IF(COUNTIFS($D$4:$D1436,$D1436,$B$4:$B1436,$B1436)&gt;1,0,IF($B1436&lt;'Guide &amp; Settings'!$C$50,0,IF(($B1436-$AD1436)/7-'Guide &amp; Settings'!$C$48&gt;=0,(INT(($B1436-$AD1436)/7-'Guide &amp; Settings'!$C$48)+1)*'Guide &amp; Settings'!$C$49,0)))))</f>
        <v/>
      </c>
      <c r="AD1436" s="142">
        <f t="shared" si="457"/>
        <v>0</v>
      </c>
      <c r="AE1436">
        <f t="shared" si="458"/>
        <v>0</v>
      </c>
      <c r="AF1436">
        <f t="shared" si="459"/>
        <v>0</v>
      </c>
    </row>
    <row r="1437" spans="1:32" x14ac:dyDescent="0.2">
      <c r="A1437" s="117"/>
      <c r="B1437" s="118"/>
      <c r="C1437" s="119"/>
      <c r="D1437" s="119"/>
      <c r="E1437" s="117"/>
      <c r="F1437" s="120">
        <f t="shared" si="440"/>
        <v>0</v>
      </c>
      <c r="G1437" s="121" t="str">
        <f t="shared" si="441"/>
        <v/>
      </c>
      <c r="H1437" s="122">
        <f>IF($D1437="",0,IFERROR(LOOKUP(2,1/(($D$3:D1436=$D1437)*($A$3:A1436&lt;$A1437)),$N$3:N1436),'Guide &amp; Settings'!$C$41))</f>
        <v>0</v>
      </c>
      <c r="I1437" s="123">
        <f t="shared" si="442"/>
        <v>0</v>
      </c>
      <c r="J1437" s="124">
        <f>IF($D1437="",0,IF($F1437&lt;2,0,IF($E1437="Win",('Guide &amp; Settings'!$C$42/(($F1437-1)*COUNTIFS($A$4:$A$1510,$A1437,$E$4:$E$1510,"Win")))*SUMIFS($X$4:$X$1510,$A$4:$A$1510,$A1437,$E$4:$E$1510,"Loss"),-('Guide &amp; Settings'!$C$42/($F1437-1))*$X1437)))</f>
        <v>0</v>
      </c>
      <c r="K1437" s="124">
        <f>IF($D1437="",0,'Guide &amp; Settings'!$C$43*(IF($E1437="Win",1,0)-$I1437))</f>
        <v>0</v>
      </c>
      <c r="L1437" s="125">
        <f>IF($D1437="",0,'Guide &amp; Settings'!$C$44*IF($F1437&gt;=3,$F1437,0))</f>
        <v>0</v>
      </c>
      <c r="M1437" s="124">
        <f t="shared" si="443"/>
        <v>0</v>
      </c>
      <c r="N1437" s="122">
        <f t="shared" si="444"/>
        <v>0</v>
      </c>
      <c r="O1437" s="121" t="str">
        <f t="shared" si="445"/>
        <v/>
      </c>
      <c r="P1437">
        <f t="shared" si="446"/>
        <v>0</v>
      </c>
      <c r="Q1437">
        <f t="shared" si="447"/>
        <v>0</v>
      </c>
      <c r="R1437">
        <f t="shared" si="448"/>
        <v>0</v>
      </c>
      <c r="S1437">
        <f t="shared" si="449"/>
        <v>0</v>
      </c>
      <c r="T1437" s="89">
        <f t="shared" si="450"/>
        <v>0</v>
      </c>
      <c r="U1437" s="126">
        <f>IF($D1437="",0,IFERROR(LOOKUP(2,1/(($D$3:D1436=$D1437)*($C$3:C1436=$C1437)*($A$3:A1436&lt;$A1437)),$AB$3:AB1436),1000))</f>
        <v>0</v>
      </c>
      <c r="V1437" s="126">
        <f t="shared" si="451"/>
        <v>0</v>
      </c>
      <c r="W1437">
        <f t="shared" si="452"/>
        <v>0</v>
      </c>
      <c r="X1437">
        <f t="shared" si="453"/>
        <v>0</v>
      </c>
      <c r="Y1437">
        <f t="shared" si="454"/>
        <v>0</v>
      </c>
      <c r="Z1437">
        <f t="shared" si="455"/>
        <v>0</v>
      </c>
      <c r="AA1437">
        <f>IF($D1437="",0,IF($F1437&lt;2,0,IF($E1437="Win",('Guide &amp; Settings'!$C$42/(($F1437-1)*COUNTIFS($A$4:$A$1510,$A1437,$E$4:$E$1510,"Win")))*SUMIFS($Z$4:$Z$1510,$A$4:$A$1510,$A1437,$E$4:$E$1510,"Loss"),-('Guide &amp; Settings'!$C$42/($F1437-1))*$Z1437)))</f>
        <v>0</v>
      </c>
      <c r="AB1437" s="126">
        <f t="shared" si="456"/>
        <v>0</v>
      </c>
      <c r="AC1437" t="str">
        <f>IF($D1437="","",IF($AD1437=0,0,IF(COUNTIFS($D$4:$D1437,$D1437,$B$4:$B1437,$B1437)&gt;1,0,IF($B1437&lt;'Guide &amp; Settings'!$C$50,0,IF(($B1437-$AD1437)/7-'Guide &amp; Settings'!$C$48&gt;=0,(INT(($B1437-$AD1437)/7-'Guide &amp; Settings'!$C$48)+1)*'Guide &amp; Settings'!$C$49,0)))))</f>
        <v/>
      </c>
      <c r="AD1437" s="142">
        <f t="shared" si="457"/>
        <v>0</v>
      </c>
      <c r="AE1437">
        <f t="shared" si="458"/>
        <v>0</v>
      </c>
      <c r="AF1437">
        <f t="shared" si="459"/>
        <v>0</v>
      </c>
    </row>
    <row r="1438" spans="1:32" x14ac:dyDescent="0.2">
      <c r="A1438" s="117"/>
      <c r="B1438" s="118"/>
      <c r="C1438" s="119"/>
      <c r="D1438" s="119"/>
      <c r="E1438" s="117"/>
      <c r="F1438" s="120">
        <f t="shared" si="440"/>
        <v>0</v>
      </c>
      <c r="G1438" s="121" t="str">
        <f t="shared" si="441"/>
        <v/>
      </c>
      <c r="H1438" s="122">
        <f>IF($D1438="",0,IFERROR(LOOKUP(2,1/(($D$3:D1437=$D1438)*($A$3:A1437&lt;$A1438)),$N$3:N1437),'Guide &amp; Settings'!$C$41))</f>
        <v>0</v>
      </c>
      <c r="I1438" s="123">
        <f t="shared" si="442"/>
        <v>0</v>
      </c>
      <c r="J1438" s="124">
        <f>IF($D1438="",0,IF($F1438&lt;2,0,IF($E1438="Win",('Guide &amp; Settings'!$C$42/(($F1438-1)*COUNTIFS($A$4:$A$1510,$A1438,$E$4:$E$1510,"Win")))*SUMIFS($X$4:$X$1510,$A$4:$A$1510,$A1438,$E$4:$E$1510,"Loss"),-('Guide &amp; Settings'!$C$42/($F1438-1))*$X1438)))</f>
        <v>0</v>
      </c>
      <c r="K1438" s="124">
        <f>IF($D1438="",0,'Guide &amp; Settings'!$C$43*(IF($E1438="Win",1,0)-$I1438))</f>
        <v>0</v>
      </c>
      <c r="L1438" s="125">
        <f>IF($D1438="",0,'Guide &amp; Settings'!$C$44*IF($F1438&gt;=3,$F1438,0))</f>
        <v>0</v>
      </c>
      <c r="M1438" s="124">
        <f t="shared" si="443"/>
        <v>0</v>
      </c>
      <c r="N1438" s="122">
        <f t="shared" si="444"/>
        <v>0</v>
      </c>
      <c r="O1438" s="121" t="str">
        <f t="shared" si="445"/>
        <v/>
      </c>
      <c r="P1438">
        <f t="shared" si="446"/>
        <v>0</v>
      </c>
      <c r="Q1438">
        <f t="shared" si="447"/>
        <v>0</v>
      </c>
      <c r="R1438">
        <f t="shared" si="448"/>
        <v>0</v>
      </c>
      <c r="S1438">
        <f t="shared" si="449"/>
        <v>0</v>
      </c>
      <c r="T1438" s="89">
        <f t="shared" si="450"/>
        <v>0</v>
      </c>
      <c r="U1438" s="126">
        <f>IF($D1438="",0,IFERROR(LOOKUP(2,1/(($D$3:D1437=$D1438)*($C$3:C1437=$C1438)*($A$3:A1437&lt;$A1438)),$AB$3:AB1437),1000))</f>
        <v>0</v>
      </c>
      <c r="V1438" s="126">
        <f t="shared" si="451"/>
        <v>0</v>
      </c>
      <c r="W1438">
        <f t="shared" si="452"/>
        <v>0</v>
      </c>
      <c r="X1438">
        <f t="shared" si="453"/>
        <v>0</v>
      </c>
      <c r="Y1438">
        <f t="shared" si="454"/>
        <v>0</v>
      </c>
      <c r="Z1438">
        <f t="shared" si="455"/>
        <v>0</v>
      </c>
      <c r="AA1438">
        <f>IF($D1438="",0,IF($F1438&lt;2,0,IF($E1438="Win",('Guide &amp; Settings'!$C$42/(($F1438-1)*COUNTIFS($A$4:$A$1510,$A1438,$E$4:$E$1510,"Win")))*SUMIFS($Z$4:$Z$1510,$A$4:$A$1510,$A1438,$E$4:$E$1510,"Loss"),-('Guide &amp; Settings'!$C$42/($F1438-1))*$Z1438)))</f>
        <v>0</v>
      </c>
      <c r="AB1438" s="126">
        <f t="shared" si="456"/>
        <v>0</v>
      </c>
      <c r="AC1438" t="str">
        <f>IF($D1438="","",IF($AD1438=0,0,IF(COUNTIFS($D$4:$D1438,$D1438,$B$4:$B1438,$B1438)&gt;1,0,IF($B1438&lt;'Guide &amp; Settings'!$C$50,0,IF(($B1438-$AD1438)/7-'Guide &amp; Settings'!$C$48&gt;=0,(INT(($B1438-$AD1438)/7-'Guide &amp; Settings'!$C$48)+1)*'Guide &amp; Settings'!$C$49,0)))))</f>
        <v/>
      </c>
      <c r="AD1438" s="142">
        <f t="shared" si="457"/>
        <v>0</v>
      </c>
      <c r="AE1438">
        <f t="shared" si="458"/>
        <v>0</v>
      </c>
      <c r="AF1438">
        <f t="shared" si="459"/>
        <v>0</v>
      </c>
    </row>
    <row r="1439" spans="1:32" x14ac:dyDescent="0.2">
      <c r="A1439" s="117"/>
      <c r="B1439" s="118"/>
      <c r="C1439" s="119"/>
      <c r="D1439" s="119"/>
      <c r="E1439" s="117"/>
      <c r="F1439" s="120">
        <f t="shared" si="440"/>
        <v>0</v>
      </c>
      <c r="G1439" s="121" t="str">
        <f t="shared" si="441"/>
        <v/>
      </c>
      <c r="H1439" s="122">
        <f>IF($D1439="",0,IFERROR(LOOKUP(2,1/(($D$3:D1438=$D1439)*($A$3:A1438&lt;$A1439)),$N$3:N1438),'Guide &amp; Settings'!$C$41))</f>
        <v>0</v>
      </c>
      <c r="I1439" s="123">
        <f t="shared" si="442"/>
        <v>0</v>
      </c>
      <c r="J1439" s="124">
        <f>IF($D1439="",0,IF($F1439&lt;2,0,IF($E1439="Win",('Guide &amp; Settings'!$C$42/(($F1439-1)*COUNTIFS($A$4:$A$1510,$A1439,$E$4:$E$1510,"Win")))*SUMIFS($X$4:$X$1510,$A$4:$A$1510,$A1439,$E$4:$E$1510,"Loss"),-('Guide &amp; Settings'!$C$42/($F1439-1))*$X1439)))</f>
        <v>0</v>
      </c>
      <c r="K1439" s="124">
        <f>IF($D1439="",0,'Guide &amp; Settings'!$C$43*(IF($E1439="Win",1,0)-$I1439))</f>
        <v>0</v>
      </c>
      <c r="L1439" s="125">
        <f>IF($D1439="",0,'Guide &amp; Settings'!$C$44*IF($F1439&gt;=3,$F1439,0))</f>
        <v>0</v>
      </c>
      <c r="M1439" s="124">
        <f t="shared" si="443"/>
        <v>0</v>
      </c>
      <c r="N1439" s="122">
        <f t="shared" si="444"/>
        <v>0</v>
      </c>
      <c r="O1439" s="121" t="str">
        <f t="shared" si="445"/>
        <v/>
      </c>
      <c r="P1439">
        <f t="shared" si="446"/>
        <v>0</v>
      </c>
      <c r="Q1439">
        <f t="shared" si="447"/>
        <v>0</v>
      </c>
      <c r="R1439">
        <f t="shared" si="448"/>
        <v>0</v>
      </c>
      <c r="S1439">
        <f t="shared" si="449"/>
        <v>0</v>
      </c>
      <c r="T1439" s="89">
        <f t="shared" si="450"/>
        <v>0</v>
      </c>
      <c r="U1439" s="126">
        <f>IF($D1439="",0,IFERROR(LOOKUP(2,1/(($D$3:D1438=$D1439)*($C$3:C1438=$C1439)*($A$3:A1438&lt;$A1439)),$AB$3:AB1438),1000))</f>
        <v>0</v>
      </c>
      <c r="V1439" s="126">
        <f t="shared" si="451"/>
        <v>0</v>
      </c>
      <c r="W1439">
        <f t="shared" si="452"/>
        <v>0</v>
      </c>
      <c r="X1439">
        <f t="shared" si="453"/>
        <v>0</v>
      </c>
      <c r="Y1439">
        <f t="shared" si="454"/>
        <v>0</v>
      </c>
      <c r="Z1439">
        <f t="shared" si="455"/>
        <v>0</v>
      </c>
      <c r="AA1439">
        <f>IF($D1439="",0,IF($F1439&lt;2,0,IF($E1439="Win",('Guide &amp; Settings'!$C$42/(($F1439-1)*COUNTIFS($A$4:$A$1510,$A1439,$E$4:$E$1510,"Win")))*SUMIFS($Z$4:$Z$1510,$A$4:$A$1510,$A1439,$E$4:$E$1510,"Loss"),-('Guide &amp; Settings'!$C$42/($F1439-1))*$Z1439)))</f>
        <v>0</v>
      </c>
      <c r="AB1439" s="126">
        <f t="shared" si="456"/>
        <v>0</v>
      </c>
      <c r="AC1439" t="str">
        <f>IF($D1439="","",IF($AD1439=0,0,IF(COUNTIFS($D$4:$D1439,$D1439,$B$4:$B1439,$B1439)&gt;1,0,IF($B1439&lt;'Guide &amp; Settings'!$C$50,0,IF(($B1439-$AD1439)/7-'Guide &amp; Settings'!$C$48&gt;=0,(INT(($B1439-$AD1439)/7-'Guide &amp; Settings'!$C$48)+1)*'Guide &amp; Settings'!$C$49,0)))))</f>
        <v/>
      </c>
      <c r="AD1439" s="142">
        <f t="shared" si="457"/>
        <v>0</v>
      </c>
      <c r="AE1439">
        <f t="shared" si="458"/>
        <v>0</v>
      </c>
      <c r="AF1439">
        <f t="shared" si="459"/>
        <v>0</v>
      </c>
    </row>
    <row r="1440" spans="1:32" x14ac:dyDescent="0.2">
      <c r="A1440" s="117"/>
      <c r="B1440" s="118"/>
      <c r="C1440" s="119"/>
      <c r="D1440" s="119"/>
      <c r="E1440" s="117"/>
      <c r="F1440" s="120">
        <f t="shared" si="440"/>
        <v>0</v>
      </c>
      <c r="G1440" s="121" t="str">
        <f t="shared" si="441"/>
        <v/>
      </c>
      <c r="H1440" s="122">
        <f>IF($D1440="",0,IFERROR(LOOKUP(2,1/(($D$3:D1439=$D1440)*($A$3:A1439&lt;$A1440)),$N$3:N1439),'Guide &amp; Settings'!$C$41))</f>
        <v>0</v>
      </c>
      <c r="I1440" s="123">
        <f t="shared" si="442"/>
        <v>0</v>
      </c>
      <c r="J1440" s="124">
        <f>IF($D1440="",0,IF($F1440&lt;2,0,IF($E1440="Win",('Guide &amp; Settings'!$C$42/(($F1440-1)*COUNTIFS($A$4:$A$1510,$A1440,$E$4:$E$1510,"Win")))*SUMIFS($X$4:$X$1510,$A$4:$A$1510,$A1440,$E$4:$E$1510,"Loss"),-('Guide &amp; Settings'!$C$42/($F1440-1))*$X1440)))</f>
        <v>0</v>
      </c>
      <c r="K1440" s="124">
        <f>IF($D1440="",0,'Guide &amp; Settings'!$C$43*(IF($E1440="Win",1,0)-$I1440))</f>
        <v>0</v>
      </c>
      <c r="L1440" s="125">
        <f>IF($D1440="",0,'Guide &amp; Settings'!$C$44*IF($F1440&gt;=3,$F1440,0))</f>
        <v>0</v>
      </c>
      <c r="M1440" s="124">
        <f t="shared" si="443"/>
        <v>0</v>
      </c>
      <c r="N1440" s="122">
        <f t="shared" si="444"/>
        <v>0</v>
      </c>
      <c r="O1440" s="121" t="str">
        <f t="shared" si="445"/>
        <v/>
      </c>
      <c r="P1440">
        <f t="shared" si="446"/>
        <v>0</v>
      </c>
      <c r="Q1440">
        <f t="shared" si="447"/>
        <v>0</v>
      </c>
      <c r="R1440">
        <f t="shared" si="448"/>
        <v>0</v>
      </c>
      <c r="S1440">
        <f t="shared" si="449"/>
        <v>0</v>
      </c>
      <c r="T1440" s="89">
        <f t="shared" si="450"/>
        <v>0</v>
      </c>
      <c r="U1440" s="126">
        <f>IF($D1440="",0,IFERROR(LOOKUP(2,1/(($D$3:D1439=$D1440)*($C$3:C1439=$C1440)*($A$3:A1439&lt;$A1440)),$AB$3:AB1439),1000))</f>
        <v>0</v>
      </c>
      <c r="V1440" s="126">
        <f t="shared" si="451"/>
        <v>0</v>
      </c>
      <c r="W1440">
        <f t="shared" si="452"/>
        <v>0</v>
      </c>
      <c r="X1440">
        <f t="shared" si="453"/>
        <v>0</v>
      </c>
      <c r="Y1440">
        <f t="shared" si="454"/>
        <v>0</v>
      </c>
      <c r="Z1440">
        <f t="shared" si="455"/>
        <v>0</v>
      </c>
      <c r="AA1440">
        <f>IF($D1440="",0,IF($F1440&lt;2,0,IF($E1440="Win",('Guide &amp; Settings'!$C$42/(($F1440-1)*COUNTIFS($A$4:$A$1510,$A1440,$E$4:$E$1510,"Win")))*SUMIFS($Z$4:$Z$1510,$A$4:$A$1510,$A1440,$E$4:$E$1510,"Loss"),-('Guide &amp; Settings'!$C$42/($F1440-1))*$Z1440)))</f>
        <v>0</v>
      </c>
      <c r="AB1440" s="126">
        <f t="shared" si="456"/>
        <v>0</v>
      </c>
      <c r="AC1440" t="str">
        <f>IF($D1440="","",IF($AD1440=0,0,IF(COUNTIFS($D$4:$D1440,$D1440,$B$4:$B1440,$B1440)&gt;1,0,IF($B1440&lt;'Guide &amp; Settings'!$C$50,0,IF(($B1440-$AD1440)/7-'Guide &amp; Settings'!$C$48&gt;=0,(INT(($B1440-$AD1440)/7-'Guide &amp; Settings'!$C$48)+1)*'Guide &amp; Settings'!$C$49,0)))))</f>
        <v/>
      </c>
      <c r="AD1440" s="142">
        <f t="shared" si="457"/>
        <v>0</v>
      </c>
      <c r="AE1440">
        <f t="shared" si="458"/>
        <v>0</v>
      </c>
      <c r="AF1440">
        <f t="shared" si="459"/>
        <v>0</v>
      </c>
    </row>
    <row r="1441" spans="1:32" x14ac:dyDescent="0.2">
      <c r="A1441" s="117"/>
      <c r="B1441" s="118"/>
      <c r="C1441" s="119"/>
      <c r="D1441" s="119"/>
      <c r="E1441" s="117"/>
      <c r="F1441" s="120">
        <f t="shared" si="440"/>
        <v>0</v>
      </c>
      <c r="G1441" s="121" t="str">
        <f t="shared" si="441"/>
        <v/>
      </c>
      <c r="H1441" s="122">
        <f>IF($D1441="",0,IFERROR(LOOKUP(2,1/(($D$3:D1440=$D1441)*($A$3:A1440&lt;$A1441)),$N$3:N1440),'Guide &amp; Settings'!$C$41))</f>
        <v>0</v>
      </c>
      <c r="I1441" s="123">
        <f t="shared" si="442"/>
        <v>0</v>
      </c>
      <c r="J1441" s="124">
        <f>IF($D1441="",0,IF($F1441&lt;2,0,IF($E1441="Win",('Guide &amp; Settings'!$C$42/(($F1441-1)*COUNTIFS($A$4:$A$1510,$A1441,$E$4:$E$1510,"Win")))*SUMIFS($X$4:$X$1510,$A$4:$A$1510,$A1441,$E$4:$E$1510,"Loss"),-('Guide &amp; Settings'!$C$42/($F1441-1))*$X1441)))</f>
        <v>0</v>
      </c>
      <c r="K1441" s="124">
        <f>IF($D1441="",0,'Guide &amp; Settings'!$C$43*(IF($E1441="Win",1,0)-$I1441))</f>
        <v>0</v>
      </c>
      <c r="L1441" s="125">
        <f>IF($D1441="",0,'Guide &amp; Settings'!$C$44*IF($F1441&gt;=3,$F1441,0))</f>
        <v>0</v>
      </c>
      <c r="M1441" s="124">
        <f t="shared" si="443"/>
        <v>0</v>
      </c>
      <c r="N1441" s="122">
        <f t="shared" si="444"/>
        <v>0</v>
      </c>
      <c r="O1441" s="121" t="str">
        <f t="shared" si="445"/>
        <v/>
      </c>
      <c r="P1441">
        <f t="shared" si="446"/>
        <v>0</v>
      </c>
      <c r="Q1441">
        <f t="shared" si="447"/>
        <v>0</v>
      </c>
      <c r="R1441">
        <f t="shared" si="448"/>
        <v>0</v>
      </c>
      <c r="S1441">
        <f t="shared" si="449"/>
        <v>0</v>
      </c>
      <c r="T1441" s="89">
        <f t="shared" si="450"/>
        <v>0</v>
      </c>
      <c r="U1441" s="126">
        <f>IF($D1441="",0,IFERROR(LOOKUP(2,1/(($D$3:D1440=$D1441)*($C$3:C1440=$C1441)*($A$3:A1440&lt;$A1441)),$AB$3:AB1440),1000))</f>
        <v>0</v>
      </c>
      <c r="V1441" s="126">
        <f t="shared" si="451"/>
        <v>0</v>
      </c>
      <c r="W1441">
        <f t="shared" si="452"/>
        <v>0</v>
      </c>
      <c r="X1441">
        <f t="shared" si="453"/>
        <v>0</v>
      </c>
      <c r="Y1441">
        <f t="shared" si="454"/>
        <v>0</v>
      </c>
      <c r="Z1441">
        <f t="shared" si="455"/>
        <v>0</v>
      </c>
      <c r="AA1441">
        <f>IF($D1441="",0,IF($F1441&lt;2,0,IF($E1441="Win",('Guide &amp; Settings'!$C$42/(($F1441-1)*COUNTIFS($A$4:$A$1510,$A1441,$E$4:$E$1510,"Win")))*SUMIFS($Z$4:$Z$1510,$A$4:$A$1510,$A1441,$E$4:$E$1510,"Loss"),-('Guide &amp; Settings'!$C$42/($F1441-1))*$Z1441)))</f>
        <v>0</v>
      </c>
      <c r="AB1441" s="126">
        <f t="shared" si="456"/>
        <v>0</v>
      </c>
      <c r="AC1441" t="str">
        <f>IF($D1441="","",IF($AD1441=0,0,IF(COUNTIFS($D$4:$D1441,$D1441,$B$4:$B1441,$B1441)&gt;1,0,IF($B1441&lt;'Guide &amp; Settings'!$C$50,0,IF(($B1441-$AD1441)/7-'Guide &amp; Settings'!$C$48&gt;=0,(INT(($B1441-$AD1441)/7-'Guide &amp; Settings'!$C$48)+1)*'Guide &amp; Settings'!$C$49,0)))))</f>
        <v/>
      </c>
      <c r="AD1441" s="142">
        <f t="shared" si="457"/>
        <v>0</v>
      </c>
      <c r="AE1441">
        <f t="shared" si="458"/>
        <v>0</v>
      </c>
      <c r="AF1441">
        <f t="shared" si="459"/>
        <v>0</v>
      </c>
    </row>
    <row r="1442" spans="1:32" x14ac:dyDescent="0.2">
      <c r="A1442" s="117"/>
      <c r="B1442" s="118"/>
      <c r="C1442" s="119"/>
      <c r="D1442" s="119"/>
      <c r="E1442" s="117"/>
      <c r="F1442" s="120">
        <f t="shared" si="440"/>
        <v>0</v>
      </c>
      <c r="G1442" s="121" t="str">
        <f t="shared" si="441"/>
        <v/>
      </c>
      <c r="H1442" s="122">
        <f>IF($D1442="",0,IFERROR(LOOKUP(2,1/(($D$3:D1441=$D1442)*($A$3:A1441&lt;$A1442)),$N$3:N1441),'Guide &amp; Settings'!$C$41))</f>
        <v>0</v>
      </c>
      <c r="I1442" s="123">
        <f t="shared" si="442"/>
        <v>0</v>
      </c>
      <c r="J1442" s="124">
        <f>IF($D1442="",0,IF($F1442&lt;2,0,IF($E1442="Win",('Guide &amp; Settings'!$C$42/(($F1442-1)*COUNTIFS($A$4:$A$1510,$A1442,$E$4:$E$1510,"Win")))*SUMIFS($X$4:$X$1510,$A$4:$A$1510,$A1442,$E$4:$E$1510,"Loss"),-('Guide &amp; Settings'!$C$42/($F1442-1))*$X1442)))</f>
        <v>0</v>
      </c>
      <c r="K1442" s="124">
        <f>IF($D1442="",0,'Guide &amp; Settings'!$C$43*(IF($E1442="Win",1,0)-$I1442))</f>
        <v>0</v>
      </c>
      <c r="L1442" s="125">
        <f>IF($D1442="",0,'Guide &amp; Settings'!$C$44*IF($F1442&gt;=3,$F1442,0))</f>
        <v>0</v>
      </c>
      <c r="M1442" s="124">
        <f t="shared" si="443"/>
        <v>0</v>
      </c>
      <c r="N1442" s="122">
        <f t="shared" si="444"/>
        <v>0</v>
      </c>
      <c r="O1442" s="121" t="str">
        <f t="shared" si="445"/>
        <v/>
      </c>
      <c r="P1442">
        <f t="shared" si="446"/>
        <v>0</v>
      </c>
      <c r="Q1442">
        <f t="shared" si="447"/>
        <v>0</v>
      </c>
      <c r="R1442">
        <f t="shared" si="448"/>
        <v>0</v>
      </c>
      <c r="S1442">
        <f t="shared" si="449"/>
        <v>0</v>
      </c>
      <c r="T1442" s="89">
        <f t="shared" si="450"/>
        <v>0</v>
      </c>
      <c r="U1442" s="126">
        <f>IF($D1442="",0,IFERROR(LOOKUP(2,1/(($D$3:D1441=$D1442)*($C$3:C1441=$C1442)*($A$3:A1441&lt;$A1442)),$AB$3:AB1441),1000))</f>
        <v>0</v>
      </c>
      <c r="V1442" s="126">
        <f t="shared" si="451"/>
        <v>0</v>
      </c>
      <c r="W1442">
        <f t="shared" si="452"/>
        <v>0</v>
      </c>
      <c r="X1442">
        <f t="shared" si="453"/>
        <v>0</v>
      </c>
      <c r="Y1442">
        <f t="shared" si="454"/>
        <v>0</v>
      </c>
      <c r="Z1442">
        <f t="shared" si="455"/>
        <v>0</v>
      </c>
      <c r="AA1442">
        <f>IF($D1442="",0,IF($F1442&lt;2,0,IF($E1442="Win",('Guide &amp; Settings'!$C$42/(($F1442-1)*COUNTIFS($A$4:$A$1510,$A1442,$E$4:$E$1510,"Win")))*SUMIFS($Z$4:$Z$1510,$A$4:$A$1510,$A1442,$E$4:$E$1510,"Loss"),-('Guide &amp; Settings'!$C$42/($F1442-1))*$Z1442)))</f>
        <v>0</v>
      </c>
      <c r="AB1442" s="126">
        <f t="shared" si="456"/>
        <v>0</v>
      </c>
      <c r="AC1442" t="str">
        <f>IF($D1442="","",IF($AD1442=0,0,IF(COUNTIFS($D$4:$D1442,$D1442,$B$4:$B1442,$B1442)&gt;1,0,IF($B1442&lt;'Guide &amp; Settings'!$C$50,0,IF(($B1442-$AD1442)/7-'Guide &amp; Settings'!$C$48&gt;=0,(INT(($B1442-$AD1442)/7-'Guide &amp; Settings'!$C$48)+1)*'Guide &amp; Settings'!$C$49,0)))))</f>
        <v/>
      </c>
      <c r="AD1442" s="142">
        <f t="shared" si="457"/>
        <v>0</v>
      </c>
      <c r="AE1442">
        <f t="shared" si="458"/>
        <v>0</v>
      </c>
      <c r="AF1442">
        <f t="shared" si="459"/>
        <v>0</v>
      </c>
    </row>
    <row r="1443" spans="1:32" x14ac:dyDescent="0.2">
      <c r="A1443" s="117"/>
      <c r="B1443" s="118"/>
      <c r="C1443" s="119"/>
      <c r="D1443" s="119"/>
      <c r="E1443" s="117"/>
      <c r="F1443" s="120">
        <f t="shared" si="440"/>
        <v>0</v>
      </c>
      <c r="G1443" s="121" t="str">
        <f t="shared" si="441"/>
        <v/>
      </c>
      <c r="H1443" s="122">
        <f>IF($D1443="",0,IFERROR(LOOKUP(2,1/(($D$3:D1442=$D1443)*($A$3:A1442&lt;$A1443)),$N$3:N1442),'Guide &amp; Settings'!$C$41))</f>
        <v>0</v>
      </c>
      <c r="I1443" s="123">
        <f t="shared" si="442"/>
        <v>0</v>
      </c>
      <c r="J1443" s="124">
        <f>IF($D1443="",0,IF($F1443&lt;2,0,IF($E1443="Win",('Guide &amp; Settings'!$C$42/(($F1443-1)*COUNTIFS($A$4:$A$1510,$A1443,$E$4:$E$1510,"Win")))*SUMIFS($X$4:$X$1510,$A$4:$A$1510,$A1443,$E$4:$E$1510,"Loss"),-('Guide &amp; Settings'!$C$42/($F1443-1))*$X1443)))</f>
        <v>0</v>
      </c>
      <c r="K1443" s="124">
        <f>IF($D1443="",0,'Guide &amp; Settings'!$C$43*(IF($E1443="Win",1,0)-$I1443))</f>
        <v>0</v>
      </c>
      <c r="L1443" s="125">
        <f>IF($D1443="",0,'Guide &amp; Settings'!$C$44*IF($F1443&gt;=3,$F1443,0))</f>
        <v>0</v>
      </c>
      <c r="M1443" s="124">
        <f t="shared" si="443"/>
        <v>0</v>
      </c>
      <c r="N1443" s="122">
        <f t="shared" si="444"/>
        <v>0</v>
      </c>
      <c r="O1443" s="121" t="str">
        <f t="shared" si="445"/>
        <v/>
      </c>
      <c r="P1443">
        <f t="shared" si="446"/>
        <v>0</v>
      </c>
      <c r="Q1443">
        <f t="shared" si="447"/>
        <v>0</v>
      </c>
      <c r="R1443">
        <f t="shared" si="448"/>
        <v>0</v>
      </c>
      <c r="S1443">
        <f t="shared" si="449"/>
        <v>0</v>
      </c>
      <c r="T1443" s="89">
        <f t="shared" si="450"/>
        <v>0</v>
      </c>
      <c r="U1443" s="126">
        <f>IF($D1443="",0,IFERROR(LOOKUP(2,1/(($D$3:D1442=$D1443)*($C$3:C1442=$C1443)*($A$3:A1442&lt;$A1443)),$AB$3:AB1442),1000))</f>
        <v>0</v>
      </c>
      <c r="V1443" s="126">
        <f t="shared" si="451"/>
        <v>0</v>
      </c>
      <c r="W1443">
        <f t="shared" si="452"/>
        <v>0</v>
      </c>
      <c r="X1443">
        <f t="shared" si="453"/>
        <v>0</v>
      </c>
      <c r="Y1443">
        <f t="shared" si="454"/>
        <v>0</v>
      </c>
      <c r="Z1443">
        <f t="shared" si="455"/>
        <v>0</v>
      </c>
      <c r="AA1443">
        <f>IF($D1443="",0,IF($F1443&lt;2,0,IF($E1443="Win",('Guide &amp; Settings'!$C$42/(($F1443-1)*COUNTIFS($A$4:$A$1510,$A1443,$E$4:$E$1510,"Win")))*SUMIFS($Z$4:$Z$1510,$A$4:$A$1510,$A1443,$E$4:$E$1510,"Loss"),-('Guide &amp; Settings'!$C$42/($F1443-1))*$Z1443)))</f>
        <v>0</v>
      </c>
      <c r="AB1443" s="126">
        <f t="shared" si="456"/>
        <v>0</v>
      </c>
      <c r="AC1443" t="str">
        <f>IF($D1443="","",IF($AD1443=0,0,IF(COUNTIFS($D$4:$D1443,$D1443,$B$4:$B1443,$B1443)&gt;1,0,IF($B1443&lt;'Guide &amp; Settings'!$C$50,0,IF(($B1443-$AD1443)/7-'Guide &amp; Settings'!$C$48&gt;=0,(INT(($B1443-$AD1443)/7-'Guide &amp; Settings'!$C$48)+1)*'Guide &amp; Settings'!$C$49,0)))))</f>
        <v/>
      </c>
      <c r="AD1443" s="142">
        <f t="shared" si="457"/>
        <v>0</v>
      </c>
      <c r="AE1443">
        <f t="shared" si="458"/>
        <v>0</v>
      </c>
      <c r="AF1443">
        <f t="shared" si="459"/>
        <v>0</v>
      </c>
    </row>
    <row r="1444" spans="1:32" x14ac:dyDescent="0.2">
      <c r="A1444" s="117"/>
      <c r="B1444" s="118"/>
      <c r="C1444" s="119"/>
      <c r="D1444" s="119"/>
      <c r="E1444" s="117"/>
      <c r="F1444" s="120">
        <f t="shared" si="440"/>
        <v>0</v>
      </c>
      <c r="G1444" s="121" t="str">
        <f t="shared" si="441"/>
        <v/>
      </c>
      <c r="H1444" s="122">
        <f>IF($D1444="",0,IFERROR(LOOKUP(2,1/(($D$3:D1443=$D1444)*($A$3:A1443&lt;$A1444)),$N$3:N1443),'Guide &amp; Settings'!$C$41))</f>
        <v>0</v>
      </c>
      <c r="I1444" s="123">
        <f t="shared" si="442"/>
        <v>0</v>
      </c>
      <c r="J1444" s="124">
        <f>IF($D1444="",0,IF($F1444&lt;2,0,IF($E1444="Win",('Guide &amp; Settings'!$C$42/(($F1444-1)*COUNTIFS($A$4:$A$1510,$A1444,$E$4:$E$1510,"Win")))*SUMIFS($X$4:$X$1510,$A$4:$A$1510,$A1444,$E$4:$E$1510,"Loss"),-('Guide &amp; Settings'!$C$42/($F1444-1))*$X1444)))</f>
        <v>0</v>
      </c>
      <c r="K1444" s="124">
        <f>IF($D1444="",0,'Guide &amp; Settings'!$C$43*(IF($E1444="Win",1,0)-$I1444))</f>
        <v>0</v>
      </c>
      <c r="L1444" s="125">
        <f>IF($D1444="",0,'Guide &amp; Settings'!$C$44*IF($F1444&gt;=3,$F1444,0))</f>
        <v>0</v>
      </c>
      <c r="M1444" s="124">
        <f t="shared" si="443"/>
        <v>0</v>
      </c>
      <c r="N1444" s="122">
        <f t="shared" si="444"/>
        <v>0</v>
      </c>
      <c r="O1444" s="121" t="str">
        <f t="shared" si="445"/>
        <v/>
      </c>
      <c r="P1444">
        <f t="shared" si="446"/>
        <v>0</v>
      </c>
      <c r="Q1444">
        <f t="shared" si="447"/>
        <v>0</v>
      </c>
      <c r="R1444">
        <f t="shared" si="448"/>
        <v>0</v>
      </c>
      <c r="S1444">
        <f t="shared" si="449"/>
        <v>0</v>
      </c>
      <c r="T1444" s="89">
        <f t="shared" si="450"/>
        <v>0</v>
      </c>
      <c r="U1444" s="126">
        <f>IF($D1444="",0,IFERROR(LOOKUP(2,1/(($D$3:D1443=$D1444)*($C$3:C1443=$C1444)*($A$3:A1443&lt;$A1444)),$AB$3:AB1443),1000))</f>
        <v>0</v>
      </c>
      <c r="V1444" s="126">
        <f t="shared" si="451"/>
        <v>0</v>
      </c>
      <c r="W1444">
        <f t="shared" si="452"/>
        <v>0</v>
      </c>
      <c r="X1444">
        <f t="shared" si="453"/>
        <v>0</v>
      </c>
      <c r="Y1444">
        <f t="shared" si="454"/>
        <v>0</v>
      </c>
      <c r="Z1444">
        <f t="shared" si="455"/>
        <v>0</v>
      </c>
      <c r="AA1444">
        <f>IF($D1444="",0,IF($F1444&lt;2,0,IF($E1444="Win",('Guide &amp; Settings'!$C$42/(($F1444-1)*COUNTIFS($A$4:$A$1510,$A1444,$E$4:$E$1510,"Win")))*SUMIFS($Z$4:$Z$1510,$A$4:$A$1510,$A1444,$E$4:$E$1510,"Loss"),-('Guide &amp; Settings'!$C$42/($F1444-1))*$Z1444)))</f>
        <v>0</v>
      </c>
      <c r="AB1444" s="126">
        <f t="shared" si="456"/>
        <v>0</v>
      </c>
      <c r="AC1444" t="str">
        <f>IF($D1444="","",IF($AD1444=0,0,IF(COUNTIFS($D$4:$D1444,$D1444,$B$4:$B1444,$B1444)&gt;1,0,IF($B1444&lt;'Guide &amp; Settings'!$C$50,0,IF(($B1444-$AD1444)/7-'Guide &amp; Settings'!$C$48&gt;=0,(INT(($B1444-$AD1444)/7-'Guide &amp; Settings'!$C$48)+1)*'Guide &amp; Settings'!$C$49,0)))))</f>
        <v/>
      </c>
      <c r="AD1444" s="142">
        <f t="shared" si="457"/>
        <v>0</v>
      </c>
      <c r="AE1444">
        <f t="shared" si="458"/>
        <v>0</v>
      </c>
      <c r="AF1444">
        <f t="shared" si="459"/>
        <v>0</v>
      </c>
    </row>
    <row r="1445" spans="1:32" x14ac:dyDescent="0.2">
      <c r="A1445" s="117"/>
      <c r="B1445" s="118"/>
      <c r="C1445" s="119"/>
      <c r="D1445" s="119"/>
      <c r="E1445" s="117"/>
      <c r="F1445" s="120">
        <f t="shared" si="440"/>
        <v>0</v>
      </c>
      <c r="G1445" s="121" t="str">
        <f t="shared" si="441"/>
        <v/>
      </c>
      <c r="H1445" s="122">
        <f>IF($D1445="",0,IFERROR(LOOKUP(2,1/(($D$3:D1444=$D1445)*($A$3:A1444&lt;$A1445)),$N$3:N1444),'Guide &amp; Settings'!$C$41))</f>
        <v>0</v>
      </c>
      <c r="I1445" s="123">
        <f t="shared" si="442"/>
        <v>0</v>
      </c>
      <c r="J1445" s="124">
        <f>IF($D1445="",0,IF($F1445&lt;2,0,IF($E1445="Win",('Guide &amp; Settings'!$C$42/(($F1445-1)*COUNTIFS($A$4:$A$1510,$A1445,$E$4:$E$1510,"Win")))*SUMIFS($X$4:$X$1510,$A$4:$A$1510,$A1445,$E$4:$E$1510,"Loss"),-('Guide &amp; Settings'!$C$42/($F1445-1))*$X1445)))</f>
        <v>0</v>
      </c>
      <c r="K1445" s="124">
        <f>IF($D1445="",0,'Guide &amp; Settings'!$C$43*(IF($E1445="Win",1,0)-$I1445))</f>
        <v>0</v>
      </c>
      <c r="L1445" s="125">
        <f>IF($D1445="",0,'Guide &amp; Settings'!$C$44*IF($F1445&gt;=3,$F1445,0))</f>
        <v>0</v>
      </c>
      <c r="M1445" s="124">
        <f t="shared" si="443"/>
        <v>0</v>
      </c>
      <c r="N1445" s="122">
        <f t="shared" si="444"/>
        <v>0</v>
      </c>
      <c r="O1445" s="121" t="str">
        <f t="shared" si="445"/>
        <v/>
      </c>
      <c r="P1445">
        <f t="shared" si="446"/>
        <v>0</v>
      </c>
      <c r="Q1445">
        <f t="shared" si="447"/>
        <v>0</v>
      </c>
      <c r="R1445">
        <f t="shared" si="448"/>
        <v>0</v>
      </c>
      <c r="S1445">
        <f t="shared" si="449"/>
        <v>0</v>
      </c>
      <c r="T1445" s="89">
        <f t="shared" si="450"/>
        <v>0</v>
      </c>
      <c r="U1445" s="126">
        <f>IF($D1445="",0,IFERROR(LOOKUP(2,1/(($D$3:D1444=$D1445)*($C$3:C1444=$C1445)*($A$3:A1444&lt;$A1445)),$AB$3:AB1444),1000))</f>
        <v>0</v>
      </c>
      <c r="V1445" s="126">
        <f t="shared" si="451"/>
        <v>0</v>
      </c>
      <c r="W1445">
        <f t="shared" si="452"/>
        <v>0</v>
      </c>
      <c r="X1445">
        <f t="shared" si="453"/>
        <v>0</v>
      </c>
      <c r="Y1445">
        <f t="shared" si="454"/>
        <v>0</v>
      </c>
      <c r="Z1445">
        <f t="shared" si="455"/>
        <v>0</v>
      </c>
      <c r="AA1445">
        <f>IF($D1445="",0,IF($F1445&lt;2,0,IF($E1445="Win",('Guide &amp; Settings'!$C$42/(($F1445-1)*COUNTIFS($A$4:$A$1510,$A1445,$E$4:$E$1510,"Win")))*SUMIFS($Z$4:$Z$1510,$A$4:$A$1510,$A1445,$E$4:$E$1510,"Loss"),-('Guide &amp; Settings'!$C$42/($F1445-1))*$Z1445)))</f>
        <v>0</v>
      </c>
      <c r="AB1445" s="126">
        <f t="shared" si="456"/>
        <v>0</v>
      </c>
      <c r="AC1445" t="str">
        <f>IF($D1445="","",IF($AD1445=0,0,IF(COUNTIFS($D$4:$D1445,$D1445,$B$4:$B1445,$B1445)&gt;1,0,IF($B1445&lt;'Guide &amp; Settings'!$C$50,0,IF(($B1445-$AD1445)/7-'Guide &amp; Settings'!$C$48&gt;=0,(INT(($B1445-$AD1445)/7-'Guide &amp; Settings'!$C$48)+1)*'Guide &amp; Settings'!$C$49,0)))))</f>
        <v/>
      </c>
      <c r="AD1445" s="142">
        <f t="shared" si="457"/>
        <v>0</v>
      </c>
      <c r="AE1445">
        <f t="shared" si="458"/>
        <v>0</v>
      </c>
      <c r="AF1445">
        <f t="shared" si="459"/>
        <v>0</v>
      </c>
    </row>
    <row r="1446" spans="1:32" x14ac:dyDescent="0.2">
      <c r="A1446" s="117"/>
      <c r="B1446" s="118"/>
      <c r="C1446" s="119"/>
      <c r="D1446" s="119"/>
      <c r="E1446" s="117"/>
      <c r="F1446" s="120">
        <f t="shared" si="440"/>
        <v>0</v>
      </c>
      <c r="G1446" s="121" t="str">
        <f t="shared" si="441"/>
        <v/>
      </c>
      <c r="H1446" s="122">
        <f>IF($D1446="",0,IFERROR(LOOKUP(2,1/(($D$3:D1445=$D1446)*($A$3:A1445&lt;$A1446)),$N$3:N1445),'Guide &amp; Settings'!$C$41))</f>
        <v>0</v>
      </c>
      <c r="I1446" s="123">
        <f t="shared" si="442"/>
        <v>0</v>
      </c>
      <c r="J1446" s="124">
        <f>IF($D1446="",0,IF($F1446&lt;2,0,IF($E1446="Win",('Guide &amp; Settings'!$C$42/(($F1446-1)*COUNTIFS($A$4:$A$1510,$A1446,$E$4:$E$1510,"Win")))*SUMIFS($X$4:$X$1510,$A$4:$A$1510,$A1446,$E$4:$E$1510,"Loss"),-('Guide &amp; Settings'!$C$42/($F1446-1))*$X1446)))</f>
        <v>0</v>
      </c>
      <c r="K1446" s="124">
        <f>IF($D1446="",0,'Guide &amp; Settings'!$C$43*(IF($E1446="Win",1,0)-$I1446))</f>
        <v>0</v>
      </c>
      <c r="L1446" s="125">
        <f>IF($D1446="",0,'Guide &amp; Settings'!$C$44*IF($F1446&gt;=3,$F1446,0))</f>
        <v>0</v>
      </c>
      <c r="M1446" s="124">
        <f t="shared" si="443"/>
        <v>0</v>
      </c>
      <c r="N1446" s="122">
        <f t="shared" si="444"/>
        <v>0</v>
      </c>
      <c r="O1446" s="121" t="str">
        <f t="shared" si="445"/>
        <v/>
      </c>
      <c r="P1446">
        <f t="shared" si="446"/>
        <v>0</v>
      </c>
      <c r="Q1446">
        <f t="shared" si="447"/>
        <v>0</v>
      </c>
      <c r="R1446">
        <f t="shared" si="448"/>
        <v>0</v>
      </c>
      <c r="S1446">
        <f t="shared" si="449"/>
        <v>0</v>
      </c>
      <c r="T1446" s="89">
        <f t="shared" si="450"/>
        <v>0</v>
      </c>
      <c r="U1446" s="126">
        <f>IF($D1446="",0,IFERROR(LOOKUP(2,1/(($D$3:D1445=$D1446)*($C$3:C1445=$C1446)*($A$3:A1445&lt;$A1446)),$AB$3:AB1445),1000))</f>
        <v>0</v>
      </c>
      <c r="V1446" s="126">
        <f t="shared" si="451"/>
        <v>0</v>
      </c>
      <c r="W1446">
        <f t="shared" si="452"/>
        <v>0</v>
      </c>
      <c r="X1446">
        <f t="shared" si="453"/>
        <v>0</v>
      </c>
      <c r="Y1446">
        <f t="shared" si="454"/>
        <v>0</v>
      </c>
      <c r="Z1446">
        <f t="shared" si="455"/>
        <v>0</v>
      </c>
      <c r="AA1446">
        <f>IF($D1446="",0,IF($F1446&lt;2,0,IF($E1446="Win",('Guide &amp; Settings'!$C$42/(($F1446-1)*COUNTIFS($A$4:$A$1510,$A1446,$E$4:$E$1510,"Win")))*SUMIFS($Z$4:$Z$1510,$A$4:$A$1510,$A1446,$E$4:$E$1510,"Loss"),-('Guide &amp; Settings'!$C$42/($F1446-1))*$Z1446)))</f>
        <v>0</v>
      </c>
      <c r="AB1446" s="126">
        <f t="shared" si="456"/>
        <v>0</v>
      </c>
      <c r="AC1446" t="str">
        <f>IF($D1446="","",IF($AD1446=0,0,IF(COUNTIFS($D$4:$D1446,$D1446,$B$4:$B1446,$B1446)&gt;1,0,IF($B1446&lt;'Guide &amp; Settings'!$C$50,0,IF(($B1446-$AD1446)/7-'Guide &amp; Settings'!$C$48&gt;=0,(INT(($B1446-$AD1446)/7-'Guide &amp; Settings'!$C$48)+1)*'Guide &amp; Settings'!$C$49,0)))))</f>
        <v/>
      </c>
      <c r="AD1446" s="142">
        <f t="shared" si="457"/>
        <v>0</v>
      </c>
      <c r="AE1446">
        <f t="shared" si="458"/>
        <v>0</v>
      </c>
      <c r="AF1446">
        <f t="shared" si="459"/>
        <v>0</v>
      </c>
    </row>
    <row r="1447" spans="1:32" x14ac:dyDescent="0.2">
      <c r="A1447" s="117"/>
      <c r="B1447" s="118"/>
      <c r="C1447" s="119"/>
      <c r="D1447" s="119"/>
      <c r="E1447" s="117"/>
      <c r="F1447" s="120">
        <f t="shared" si="440"/>
        <v>0</v>
      </c>
      <c r="G1447" s="121" t="str">
        <f t="shared" si="441"/>
        <v/>
      </c>
      <c r="H1447" s="122">
        <f>IF($D1447="",0,IFERROR(LOOKUP(2,1/(($D$3:D1446=$D1447)*($A$3:A1446&lt;$A1447)),$N$3:N1446),'Guide &amp; Settings'!$C$41))</f>
        <v>0</v>
      </c>
      <c r="I1447" s="123">
        <f t="shared" si="442"/>
        <v>0</v>
      </c>
      <c r="J1447" s="124">
        <f>IF($D1447="",0,IF($F1447&lt;2,0,IF($E1447="Win",('Guide &amp; Settings'!$C$42/(($F1447-1)*COUNTIFS($A$4:$A$1510,$A1447,$E$4:$E$1510,"Win")))*SUMIFS($X$4:$X$1510,$A$4:$A$1510,$A1447,$E$4:$E$1510,"Loss"),-('Guide &amp; Settings'!$C$42/($F1447-1))*$X1447)))</f>
        <v>0</v>
      </c>
      <c r="K1447" s="124">
        <f>IF($D1447="",0,'Guide &amp; Settings'!$C$43*(IF($E1447="Win",1,0)-$I1447))</f>
        <v>0</v>
      </c>
      <c r="L1447" s="125">
        <f>IF($D1447="",0,'Guide &amp; Settings'!$C$44*IF($F1447&gt;=3,$F1447,0))</f>
        <v>0</v>
      </c>
      <c r="M1447" s="124">
        <f t="shared" si="443"/>
        <v>0</v>
      </c>
      <c r="N1447" s="122">
        <f t="shared" si="444"/>
        <v>0</v>
      </c>
      <c r="O1447" s="121" t="str">
        <f t="shared" si="445"/>
        <v/>
      </c>
      <c r="P1447">
        <f t="shared" si="446"/>
        <v>0</v>
      </c>
      <c r="Q1447">
        <f t="shared" si="447"/>
        <v>0</v>
      </c>
      <c r="R1447">
        <f t="shared" si="448"/>
        <v>0</v>
      </c>
      <c r="S1447">
        <f t="shared" si="449"/>
        <v>0</v>
      </c>
      <c r="T1447" s="89">
        <f t="shared" si="450"/>
        <v>0</v>
      </c>
      <c r="U1447" s="126">
        <f>IF($D1447="",0,IFERROR(LOOKUP(2,1/(($D$3:D1446=$D1447)*($C$3:C1446=$C1447)*($A$3:A1446&lt;$A1447)),$AB$3:AB1446),1000))</f>
        <v>0</v>
      </c>
      <c r="V1447" s="126">
        <f t="shared" si="451"/>
        <v>0</v>
      </c>
      <c r="W1447">
        <f t="shared" si="452"/>
        <v>0</v>
      </c>
      <c r="X1447">
        <f t="shared" si="453"/>
        <v>0</v>
      </c>
      <c r="Y1447">
        <f t="shared" si="454"/>
        <v>0</v>
      </c>
      <c r="Z1447">
        <f t="shared" si="455"/>
        <v>0</v>
      </c>
      <c r="AA1447">
        <f>IF($D1447="",0,IF($F1447&lt;2,0,IF($E1447="Win",('Guide &amp; Settings'!$C$42/(($F1447-1)*COUNTIFS($A$4:$A$1510,$A1447,$E$4:$E$1510,"Win")))*SUMIFS($Z$4:$Z$1510,$A$4:$A$1510,$A1447,$E$4:$E$1510,"Loss"),-('Guide &amp; Settings'!$C$42/($F1447-1))*$Z1447)))</f>
        <v>0</v>
      </c>
      <c r="AB1447" s="126">
        <f t="shared" si="456"/>
        <v>0</v>
      </c>
      <c r="AC1447" t="str">
        <f>IF($D1447="","",IF($AD1447=0,0,IF(COUNTIFS($D$4:$D1447,$D1447,$B$4:$B1447,$B1447)&gt;1,0,IF($B1447&lt;'Guide &amp; Settings'!$C$50,0,IF(($B1447-$AD1447)/7-'Guide &amp; Settings'!$C$48&gt;=0,(INT(($B1447-$AD1447)/7-'Guide &amp; Settings'!$C$48)+1)*'Guide &amp; Settings'!$C$49,0)))))</f>
        <v/>
      </c>
      <c r="AD1447" s="142">
        <f t="shared" si="457"/>
        <v>0</v>
      </c>
      <c r="AE1447">
        <f t="shared" si="458"/>
        <v>0</v>
      </c>
      <c r="AF1447">
        <f t="shared" si="459"/>
        <v>0</v>
      </c>
    </row>
    <row r="1448" spans="1:32" x14ac:dyDescent="0.2">
      <c r="A1448" s="117"/>
      <c r="B1448" s="118"/>
      <c r="C1448" s="119"/>
      <c r="D1448" s="119"/>
      <c r="E1448" s="117"/>
      <c r="F1448" s="120">
        <f t="shared" si="440"/>
        <v>0</v>
      </c>
      <c r="G1448" s="121" t="str">
        <f t="shared" si="441"/>
        <v/>
      </c>
      <c r="H1448" s="122">
        <f>IF($D1448="",0,IFERROR(LOOKUP(2,1/(($D$3:D1447=$D1448)*($A$3:A1447&lt;$A1448)),$N$3:N1447),'Guide &amp; Settings'!$C$41))</f>
        <v>0</v>
      </c>
      <c r="I1448" s="123">
        <f t="shared" si="442"/>
        <v>0</v>
      </c>
      <c r="J1448" s="124">
        <f>IF($D1448="",0,IF($F1448&lt;2,0,IF($E1448="Win",('Guide &amp; Settings'!$C$42/(($F1448-1)*COUNTIFS($A$4:$A$1510,$A1448,$E$4:$E$1510,"Win")))*SUMIFS($X$4:$X$1510,$A$4:$A$1510,$A1448,$E$4:$E$1510,"Loss"),-('Guide &amp; Settings'!$C$42/($F1448-1))*$X1448)))</f>
        <v>0</v>
      </c>
      <c r="K1448" s="124">
        <f>IF($D1448="",0,'Guide &amp; Settings'!$C$43*(IF($E1448="Win",1,0)-$I1448))</f>
        <v>0</v>
      </c>
      <c r="L1448" s="125">
        <f>IF($D1448="",0,'Guide &amp; Settings'!$C$44*IF($F1448&gt;=3,$F1448,0))</f>
        <v>0</v>
      </c>
      <c r="M1448" s="124">
        <f t="shared" si="443"/>
        <v>0</v>
      </c>
      <c r="N1448" s="122">
        <f t="shared" si="444"/>
        <v>0</v>
      </c>
      <c r="O1448" s="121" t="str">
        <f t="shared" si="445"/>
        <v/>
      </c>
      <c r="P1448">
        <f t="shared" si="446"/>
        <v>0</v>
      </c>
      <c r="Q1448">
        <f t="shared" si="447"/>
        <v>0</v>
      </c>
      <c r="R1448">
        <f t="shared" si="448"/>
        <v>0</v>
      </c>
      <c r="S1448">
        <f t="shared" si="449"/>
        <v>0</v>
      </c>
      <c r="T1448" s="89">
        <f t="shared" si="450"/>
        <v>0</v>
      </c>
      <c r="U1448" s="126">
        <f>IF($D1448="",0,IFERROR(LOOKUP(2,1/(($D$3:D1447=$D1448)*($C$3:C1447=$C1448)*($A$3:A1447&lt;$A1448)),$AB$3:AB1447),1000))</f>
        <v>0</v>
      </c>
      <c r="V1448" s="126">
        <f t="shared" si="451"/>
        <v>0</v>
      </c>
      <c r="W1448">
        <f t="shared" si="452"/>
        <v>0</v>
      </c>
      <c r="X1448">
        <f t="shared" si="453"/>
        <v>0</v>
      </c>
      <c r="Y1448">
        <f t="shared" si="454"/>
        <v>0</v>
      </c>
      <c r="Z1448">
        <f t="shared" si="455"/>
        <v>0</v>
      </c>
      <c r="AA1448">
        <f>IF($D1448="",0,IF($F1448&lt;2,0,IF($E1448="Win",('Guide &amp; Settings'!$C$42/(($F1448-1)*COUNTIFS($A$4:$A$1510,$A1448,$E$4:$E$1510,"Win")))*SUMIFS($Z$4:$Z$1510,$A$4:$A$1510,$A1448,$E$4:$E$1510,"Loss"),-('Guide &amp; Settings'!$C$42/($F1448-1))*$Z1448)))</f>
        <v>0</v>
      </c>
      <c r="AB1448" s="126">
        <f t="shared" si="456"/>
        <v>0</v>
      </c>
      <c r="AC1448" t="str">
        <f>IF($D1448="","",IF($AD1448=0,0,IF(COUNTIFS($D$4:$D1448,$D1448,$B$4:$B1448,$B1448)&gt;1,0,IF($B1448&lt;'Guide &amp; Settings'!$C$50,0,IF(($B1448-$AD1448)/7-'Guide &amp; Settings'!$C$48&gt;=0,(INT(($B1448-$AD1448)/7-'Guide &amp; Settings'!$C$48)+1)*'Guide &amp; Settings'!$C$49,0)))))</f>
        <v/>
      </c>
      <c r="AD1448" s="142">
        <f t="shared" si="457"/>
        <v>0</v>
      </c>
      <c r="AE1448">
        <f t="shared" si="458"/>
        <v>0</v>
      </c>
      <c r="AF1448">
        <f t="shared" si="459"/>
        <v>0</v>
      </c>
    </row>
    <row r="1449" spans="1:32" x14ac:dyDescent="0.2">
      <c r="A1449" s="117"/>
      <c r="B1449" s="118"/>
      <c r="C1449" s="119"/>
      <c r="D1449" s="119"/>
      <c r="E1449" s="117"/>
      <c r="F1449" s="120">
        <f t="shared" si="440"/>
        <v>0</v>
      </c>
      <c r="G1449" s="121" t="str">
        <f t="shared" si="441"/>
        <v/>
      </c>
      <c r="H1449" s="122">
        <f>IF($D1449="",0,IFERROR(LOOKUP(2,1/(($D$3:D1448=$D1449)*($A$3:A1448&lt;$A1449)),$N$3:N1448),'Guide &amp; Settings'!$C$41))</f>
        <v>0</v>
      </c>
      <c r="I1449" s="123">
        <f t="shared" si="442"/>
        <v>0</v>
      </c>
      <c r="J1449" s="124">
        <f>IF($D1449="",0,IF($F1449&lt;2,0,IF($E1449="Win",('Guide &amp; Settings'!$C$42/(($F1449-1)*COUNTIFS($A$4:$A$1510,$A1449,$E$4:$E$1510,"Win")))*SUMIFS($X$4:$X$1510,$A$4:$A$1510,$A1449,$E$4:$E$1510,"Loss"),-('Guide &amp; Settings'!$C$42/($F1449-1))*$X1449)))</f>
        <v>0</v>
      </c>
      <c r="K1449" s="124">
        <f>IF($D1449="",0,'Guide &amp; Settings'!$C$43*(IF($E1449="Win",1,0)-$I1449))</f>
        <v>0</v>
      </c>
      <c r="L1449" s="125">
        <f>IF($D1449="",0,'Guide &amp; Settings'!$C$44*IF($F1449&gt;=3,$F1449,0))</f>
        <v>0</v>
      </c>
      <c r="M1449" s="124">
        <f t="shared" si="443"/>
        <v>0</v>
      </c>
      <c r="N1449" s="122">
        <f t="shared" si="444"/>
        <v>0</v>
      </c>
      <c r="O1449" s="121" t="str">
        <f t="shared" si="445"/>
        <v/>
      </c>
      <c r="P1449">
        <f t="shared" si="446"/>
        <v>0</v>
      </c>
      <c r="Q1449">
        <f t="shared" si="447"/>
        <v>0</v>
      </c>
      <c r="R1449">
        <f t="shared" si="448"/>
        <v>0</v>
      </c>
      <c r="S1449">
        <f t="shared" si="449"/>
        <v>0</v>
      </c>
      <c r="T1449" s="89">
        <f t="shared" si="450"/>
        <v>0</v>
      </c>
      <c r="U1449" s="126">
        <f>IF($D1449="",0,IFERROR(LOOKUP(2,1/(($D$3:D1448=$D1449)*($C$3:C1448=$C1449)*($A$3:A1448&lt;$A1449)),$AB$3:AB1448),1000))</f>
        <v>0</v>
      </c>
      <c r="V1449" s="126">
        <f t="shared" si="451"/>
        <v>0</v>
      </c>
      <c r="W1449">
        <f t="shared" si="452"/>
        <v>0</v>
      </c>
      <c r="X1449">
        <f t="shared" si="453"/>
        <v>0</v>
      </c>
      <c r="Y1449">
        <f t="shared" si="454"/>
        <v>0</v>
      </c>
      <c r="Z1449">
        <f t="shared" si="455"/>
        <v>0</v>
      </c>
      <c r="AA1449">
        <f>IF($D1449="",0,IF($F1449&lt;2,0,IF($E1449="Win",('Guide &amp; Settings'!$C$42/(($F1449-1)*COUNTIFS($A$4:$A$1510,$A1449,$E$4:$E$1510,"Win")))*SUMIFS($Z$4:$Z$1510,$A$4:$A$1510,$A1449,$E$4:$E$1510,"Loss"),-('Guide &amp; Settings'!$C$42/($F1449-1))*$Z1449)))</f>
        <v>0</v>
      </c>
      <c r="AB1449" s="126">
        <f t="shared" si="456"/>
        <v>0</v>
      </c>
      <c r="AC1449" t="str">
        <f>IF($D1449="","",IF($AD1449=0,0,IF(COUNTIFS($D$4:$D1449,$D1449,$B$4:$B1449,$B1449)&gt;1,0,IF($B1449&lt;'Guide &amp; Settings'!$C$50,0,IF(($B1449-$AD1449)/7-'Guide &amp; Settings'!$C$48&gt;=0,(INT(($B1449-$AD1449)/7-'Guide &amp; Settings'!$C$48)+1)*'Guide &amp; Settings'!$C$49,0)))))</f>
        <v/>
      </c>
      <c r="AD1449" s="142">
        <f t="shared" si="457"/>
        <v>0</v>
      </c>
      <c r="AE1449">
        <f t="shared" si="458"/>
        <v>0</v>
      </c>
      <c r="AF1449">
        <f t="shared" si="459"/>
        <v>0</v>
      </c>
    </row>
    <row r="1450" spans="1:32" x14ac:dyDescent="0.2">
      <c r="A1450" s="117"/>
      <c r="B1450" s="118"/>
      <c r="C1450" s="119"/>
      <c r="D1450" s="119"/>
      <c r="E1450" s="117"/>
      <c r="F1450" s="120">
        <f t="shared" si="440"/>
        <v>0</v>
      </c>
      <c r="G1450" s="121" t="str">
        <f t="shared" si="441"/>
        <v/>
      </c>
      <c r="H1450" s="122">
        <f>IF($D1450="",0,IFERROR(LOOKUP(2,1/(($D$3:D1449=$D1450)*($A$3:A1449&lt;$A1450)),$N$3:N1449),'Guide &amp; Settings'!$C$41))</f>
        <v>0</v>
      </c>
      <c r="I1450" s="123">
        <f t="shared" si="442"/>
        <v>0</v>
      </c>
      <c r="J1450" s="124">
        <f>IF($D1450="",0,IF($F1450&lt;2,0,IF($E1450="Win",('Guide &amp; Settings'!$C$42/(($F1450-1)*COUNTIFS($A$4:$A$1510,$A1450,$E$4:$E$1510,"Win")))*SUMIFS($X$4:$X$1510,$A$4:$A$1510,$A1450,$E$4:$E$1510,"Loss"),-('Guide &amp; Settings'!$C$42/($F1450-1))*$X1450)))</f>
        <v>0</v>
      </c>
      <c r="K1450" s="124">
        <f>IF($D1450="",0,'Guide &amp; Settings'!$C$43*(IF($E1450="Win",1,0)-$I1450))</f>
        <v>0</v>
      </c>
      <c r="L1450" s="125">
        <f>IF($D1450="",0,'Guide &amp; Settings'!$C$44*IF($F1450&gt;=3,$F1450,0))</f>
        <v>0</v>
      </c>
      <c r="M1450" s="124">
        <f t="shared" si="443"/>
        <v>0</v>
      </c>
      <c r="N1450" s="122">
        <f t="shared" si="444"/>
        <v>0</v>
      </c>
      <c r="O1450" s="121" t="str">
        <f t="shared" si="445"/>
        <v/>
      </c>
      <c r="P1450">
        <f t="shared" si="446"/>
        <v>0</v>
      </c>
      <c r="Q1450">
        <f t="shared" si="447"/>
        <v>0</v>
      </c>
      <c r="R1450">
        <f t="shared" si="448"/>
        <v>0</v>
      </c>
      <c r="S1450">
        <f t="shared" si="449"/>
        <v>0</v>
      </c>
      <c r="T1450" s="89">
        <f t="shared" si="450"/>
        <v>0</v>
      </c>
      <c r="U1450" s="126">
        <f>IF($D1450="",0,IFERROR(LOOKUP(2,1/(($D$3:D1449=$D1450)*($C$3:C1449=$C1450)*($A$3:A1449&lt;$A1450)),$AB$3:AB1449),1000))</f>
        <v>0</v>
      </c>
      <c r="V1450" s="126">
        <f t="shared" si="451"/>
        <v>0</v>
      </c>
      <c r="W1450">
        <f t="shared" si="452"/>
        <v>0</v>
      </c>
      <c r="X1450">
        <f t="shared" si="453"/>
        <v>0</v>
      </c>
      <c r="Y1450">
        <f t="shared" si="454"/>
        <v>0</v>
      </c>
      <c r="Z1450">
        <f t="shared" si="455"/>
        <v>0</v>
      </c>
      <c r="AA1450">
        <f>IF($D1450="",0,IF($F1450&lt;2,0,IF($E1450="Win",('Guide &amp; Settings'!$C$42/(($F1450-1)*COUNTIFS($A$4:$A$1510,$A1450,$E$4:$E$1510,"Win")))*SUMIFS($Z$4:$Z$1510,$A$4:$A$1510,$A1450,$E$4:$E$1510,"Loss"),-('Guide &amp; Settings'!$C$42/($F1450-1))*$Z1450)))</f>
        <v>0</v>
      </c>
      <c r="AB1450" s="126">
        <f t="shared" si="456"/>
        <v>0</v>
      </c>
      <c r="AC1450" t="str">
        <f>IF($D1450="","",IF($AD1450=0,0,IF(COUNTIFS($D$4:$D1450,$D1450,$B$4:$B1450,$B1450)&gt;1,0,IF($B1450&lt;'Guide &amp; Settings'!$C$50,0,IF(($B1450-$AD1450)/7-'Guide &amp; Settings'!$C$48&gt;=0,(INT(($B1450-$AD1450)/7-'Guide &amp; Settings'!$C$48)+1)*'Guide &amp; Settings'!$C$49,0)))))</f>
        <v/>
      </c>
      <c r="AD1450" s="142">
        <f t="shared" si="457"/>
        <v>0</v>
      </c>
      <c r="AE1450">
        <f t="shared" si="458"/>
        <v>0</v>
      </c>
      <c r="AF1450">
        <f t="shared" si="459"/>
        <v>0</v>
      </c>
    </row>
    <row r="1451" spans="1:32" x14ac:dyDescent="0.2">
      <c r="A1451" s="117"/>
      <c r="B1451" s="118"/>
      <c r="C1451" s="119"/>
      <c r="D1451" s="119"/>
      <c r="E1451" s="117"/>
      <c r="F1451" s="120">
        <f t="shared" si="440"/>
        <v>0</v>
      </c>
      <c r="G1451" s="121" t="str">
        <f t="shared" si="441"/>
        <v/>
      </c>
      <c r="H1451" s="122">
        <f>IF($D1451="",0,IFERROR(LOOKUP(2,1/(($D$3:D1450=$D1451)*($A$3:A1450&lt;$A1451)),$N$3:N1450),'Guide &amp; Settings'!$C$41))</f>
        <v>0</v>
      </c>
      <c r="I1451" s="123">
        <f t="shared" si="442"/>
        <v>0</v>
      </c>
      <c r="J1451" s="124">
        <f>IF($D1451="",0,IF($F1451&lt;2,0,IF($E1451="Win",('Guide &amp; Settings'!$C$42/(($F1451-1)*COUNTIFS($A$4:$A$1510,$A1451,$E$4:$E$1510,"Win")))*SUMIFS($X$4:$X$1510,$A$4:$A$1510,$A1451,$E$4:$E$1510,"Loss"),-('Guide &amp; Settings'!$C$42/($F1451-1))*$X1451)))</f>
        <v>0</v>
      </c>
      <c r="K1451" s="124">
        <f>IF($D1451="",0,'Guide &amp; Settings'!$C$43*(IF($E1451="Win",1,0)-$I1451))</f>
        <v>0</v>
      </c>
      <c r="L1451" s="125">
        <f>IF($D1451="",0,'Guide &amp; Settings'!$C$44*IF($F1451&gt;=3,$F1451,0))</f>
        <v>0</v>
      </c>
      <c r="M1451" s="124">
        <f t="shared" si="443"/>
        <v>0</v>
      </c>
      <c r="N1451" s="122">
        <f t="shared" si="444"/>
        <v>0</v>
      </c>
      <c r="O1451" s="121" t="str">
        <f t="shared" si="445"/>
        <v/>
      </c>
      <c r="P1451">
        <f t="shared" si="446"/>
        <v>0</v>
      </c>
      <c r="Q1451">
        <f t="shared" si="447"/>
        <v>0</v>
      </c>
      <c r="R1451">
        <f t="shared" si="448"/>
        <v>0</v>
      </c>
      <c r="S1451">
        <f t="shared" si="449"/>
        <v>0</v>
      </c>
      <c r="T1451" s="89">
        <f t="shared" si="450"/>
        <v>0</v>
      </c>
      <c r="U1451" s="126">
        <f>IF($D1451="",0,IFERROR(LOOKUP(2,1/(($D$3:D1450=$D1451)*($C$3:C1450=$C1451)*($A$3:A1450&lt;$A1451)),$AB$3:AB1450),1000))</f>
        <v>0</v>
      </c>
      <c r="V1451" s="126">
        <f t="shared" si="451"/>
        <v>0</v>
      </c>
      <c r="W1451">
        <f t="shared" si="452"/>
        <v>0</v>
      </c>
      <c r="X1451">
        <f t="shared" si="453"/>
        <v>0</v>
      </c>
      <c r="Y1451">
        <f t="shared" si="454"/>
        <v>0</v>
      </c>
      <c r="Z1451">
        <f t="shared" si="455"/>
        <v>0</v>
      </c>
      <c r="AA1451">
        <f>IF($D1451="",0,IF($F1451&lt;2,0,IF($E1451="Win",('Guide &amp; Settings'!$C$42/(($F1451-1)*COUNTIFS($A$4:$A$1510,$A1451,$E$4:$E$1510,"Win")))*SUMIFS($Z$4:$Z$1510,$A$4:$A$1510,$A1451,$E$4:$E$1510,"Loss"),-('Guide &amp; Settings'!$C$42/($F1451-1))*$Z1451)))</f>
        <v>0</v>
      </c>
      <c r="AB1451" s="126">
        <f t="shared" si="456"/>
        <v>0</v>
      </c>
      <c r="AC1451" t="str">
        <f>IF($D1451="","",IF($AD1451=0,0,IF(COUNTIFS($D$4:$D1451,$D1451,$B$4:$B1451,$B1451)&gt;1,0,IF($B1451&lt;'Guide &amp; Settings'!$C$50,0,IF(($B1451-$AD1451)/7-'Guide &amp; Settings'!$C$48&gt;=0,(INT(($B1451-$AD1451)/7-'Guide &amp; Settings'!$C$48)+1)*'Guide &amp; Settings'!$C$49,0)))))</f>
        <v/>
      </c>
      <c r="AD1451" s="142">
        <f t="shared" si="457"/>
        <v>0</v>
      </c>
      <c r="AE1451">
        <f t="shared" si="458"/>
        <v>0</v>
      </c>
      <c r="AF1451">
        <f t="shared" si="459"/>
        <v>0</v>
      </c>
    </row>
    <row r="1452" spans="1:32" x14ac:dyDescent="0.2">
      <c r="A1452" s="117"/>
      <c r="B1452" s="118"/>
      <c r="C1452" s="119"/>
      <c r="D1452" s="119"/>
      <c r="E1452" s="117"/>
      <c r="F1452" s="120">
        <f t="shared" si="440"/>
        <v>0</v>
      </c>
      <c r="G1452" s="121" t="str">
        <f t="shared" si="441"/>
        <v/>
      </c>
      <c r="H1452" s="122">
        <f>IF($D1452="",0,IFERROR(LOOKUP(2,1/(($D$3:D1451=$D1452)*($A$3:A1451&lt;$A1452)),$N$3:N1451),'Guide &amp; Settings'!$C$41))</f>
        <v>0</v>
      </c>
      <c r="I1452" s="123">
        <f t="shared" si="442"/>
        <v>0</v>
      </c>
      <c r="J1452" s="124">
        <f>IF($D1452="",0,IF($F1452&lt;2,0,IF($E1452="Win",('Guide &amp; Settings'!$C$42/(($F1452-1)*COUNTIFS($A$4:$A$1510,$A1452,$E$4:$E$1510,"Win")))*SUMIFS($X$4:$X$1510,$A$4:$A$1510,$A1452,$E$4:$E$1510,"Loss"),-('Guide &amp; Settings'!$C$42/($F1452-1))*$X1452)))</f>
        <v>0</v>
      </c>
      <c r="K1452" s="124">
        <f>IF($D1452="",0,'Guide &amp; Settings'!$C$43*(IF($E1452="Win",1,0)-$I1452))</f>
        <v>0</v>
      </c>
      <c r="L1452" s="125">
        <f>IF($D1452="",0,'Guide &amp; Settings'!$C$44*IF($F1452&gt;=3,$F1452,0))</f>
        <v>0</v>
      </c>
      <c r="M1452" s="124">
        <f t="shared" si="443"/>
        <v>0</v>
      </c>
      <c r="N1452" s="122">
        <f t="shared" si="444"/>
        <v>0</v>
      </c>
      <c r="O1452" s="121" t="str">
        <f t="shared" si="445"/>
        <v/>
      </c>
      <c r="P1452">
        <f t="shared" si="446"/>
        <v>0</v>
      </c>
      <c r="Q1452">
        <f t="shared" si="447"/>
        <v>0</v>
      </c>
      <c r="R1452">
        <f t="shared" si="448"/>
        <v>0</v>
      </c>
      <c r="S1452">
        <f t="shared" si="449"/>
        <v>0</v>
      </c>
      <c r="T1452" s="89">
        <f t="shared" si="450"/>
        <v>0</v>
      </c>
      <c r="U1452" s="126">
        <f>IF($D1452="",0,IFERROR(LOOKUP(2,1/(($D$3:D1451=$D1452)*($C$3:C1451=$C1452)*($A$3:A1451&lt;$A1452)),$AB$3:AB1451),1000))</f>
        <v>0</v>
      </c>
      <c r="V1452" s="126">
        <f t="shared" si="451"/>
        <v>0</v>
      </c>
      <c r="W1452">
        <f t="shared" si="452"/>
        <v>0</v>
      </c>
      <c r="X1452">
        <f t="shared" si="453"/>
        <v>0</v>
      </c>
      <c r="Y1452">
        <f t="shared" si="454"/>
        <v>0</v>
      </c>
      <c r="Z1452">
        <f t="shared" si="455"/>
        <v>0</v>
      </c>
      <c r="AA1452">
        <f>IF($D1452="",0,IF($F1452&lt;2,0,IF($E1452="Win",('Guide &amp; Settings'!$C$42/(($F1452-1)*COUNTIFS($A$4:$A$1510,$A1452,$E$4:$E$1510,"Win")))*SUMIFS($Z$4:$Z$1510,$A$4:$A$1510,$A1452,$E$4:$E$1510,"Loss"),-('Guide &amp; Settings'!$C$42/($F1452-1))*$Z1452)))</f>
        <v>0</v>
      </c>
      <c r="AB1452" s="126">
        <f t="shared" si="456"/>
        <v>0</v>
      </c>
      <c r="AC1452" t="str">
        <f>IF($D1452="","",IF($AD1452=0,0,IF(COUNTIFS($D$4:$D1452,$D1452,$B$4:$B1452,$B1452)&gt;1,0,IF($B1452&lt;'Guide &amp; Settings'!$C$50,0,IF(($B1452-$AD1452)/7-'Guide &amp; Settings'!$C$48&gt;=0,(INT(($B1452-$AD1452)/7-'Guide &amp; Settings'!$C$48)+1)*'Guide &amp; Settings'!$C$49,0)))))</f>
        <v/>
      </c>
      <c r="AD1452" s="142">
        <f t="shared" si="457"/>
        <v>0</v>
      </c>
      <c r="AE1452">
        <f t="shared" si="458"/>
        <v>0</v>
      </c>
      <c r="AF1452">
        <f t="shared" si="459"/>
        <v>0</v>
      </c>
    </row>
    <row r="1453" spans="1:32" x14ac:dyDescent="0.2">
      <c r="A1453" s="117"/>
      <c r="B1453" s="118"/>
      <c r="C1453" s="119"/>
      <c r="D1453" s="119"/>
      <c r="E1453" s="117"/>
      <c r="F1453" s="120">
        <f t="shared" si="440"/>
        <v>0</v>
      </c>
      <c r="G1453" s="121" t="str">
        <f t="shared" si="441"/>
        <v/>
      </c>
      <c r="H1453" s="122">
        <f>IF($D1453="",0,IFERROR(LOOKUP(2,1/(($D$3:D1452=$D1453)*($A$3:A1452&lt;$A1453)),$N$3:N1452),'Guide &amp; Settings'!$C$41))</f>
        <v>0</v>
      </c>
      <c r="I1453" s="123">
        <f t="shared" si="442"/>
        <v>0</v>
      </c>
      <c r="J1453" s="124">
        <f>IF($D1453="",0,IF($F1453&lt;2,0,IF($E1453="Win",('Guide &amp; Settings'!$C$42/(($F1453-1)*COUNTIFS($A$4:$A$1510,$A1453,$E$4:$E$1510,"Win")))*SUMIFS($X$4:$X$1510,$A$4:$A$1510,$A1453,$E$4:$E$1510,"Loss"),-('Guide &amp; Settings'!$C$42/($F1453-1))*$X1453)))</f>
        <v>0</v>
      </c>
      <c r="K1453" s="124">
        <f>IF($D1453="",0,'Guide &amp; Settings'!$C$43*(IF($E1453="Win",1,0)-$I1453))</f>
        <v>0</v>
      </c>
      <c r="L1453" s="125">
        <f>IF($D1453="",0,'Guide &amp; Settings'!$C$44*IF($F1453&gt;=3,$F1453,0))</f>
        <v>0</v>
      </c>
      <c r="M1453" s="124">
        <f t="shared" si="443"/>
        <v>0</v>
      </c>
      <c r="N1453" s="122">
        <f t="shared" si="444"/>
        <v>0</v>
      </c>
      <c r="O1453" s="121" t="str">
        <f t="shared" si="445"/>
        <v/>
      </c>
      <c r="P1453">
        <f t="shared" si="446"/>
        <v>0</v>
      </c>
      <c r="Q1453">
        <f t="shared" si="447"/>
        <v>0</v>
      </c>
      <c r="R1453">
        <f t="shared" si="448"/>
        <v>0</v>
      </c>
      <c r="S1453">
        <f t="shared" si="449"/>
        <v>0</v>
      </c>
      <c r="T1453" s="89">
        <f t="shared" si="450"/>
        <v>0</v>
      </c>
      <c r="U1453" s="126">
        <f>IF($D1453="",0,IFERROR(LOOKUP(2,1/(($D$3:D1452=$D1453)*($C$3:C1452=$C1453)*($A$3:A1452&lt;$A1453)),$AB$3:AB1452),1000))</f>
        <v>0</v>
      </c>
      <c r="V1453" s="126">
        <f t="shared" si="451"/>
        <v>0</v>
      </c>
      <c r="W1453">
        <f t="shared" si="452"/>
        <v>0</v>
      </c>
      <c r="X1453">
        <f t="shared" si="453"/>
        <v>0</v>
      </c>
      <c r="Y1453">
        <f t="shared" si="454"/>
        <v>0</v>
      </c>
      <c r="Z1453">
        <f t="shared" si="455"/>
        <v>0</v>
      </c>
      <c r="AA1453">
        <f>IF($D1453="",0,IF($F1453&lt;2,0,IF($E1453="Win",('Guide &amp; Settings'!$C$42/(($F1453-1)*COUNTIFS($A$4:$A$1510,$A1453,$E$4:$E$1510,"Win")))*SUMIFS($Z$4:$Z$1510,$A$4:$A$1510,$A1453,$E$4:$E$1510,"Loss"),-('Guide &amp; Settings'!$C$42/($F1453-1))*$Z1453)))</f>
        <v>0</v>
      </c>
      <c r="AB1453" s="126">
        <f t="shared" si="456"/>
        <v>0</v>
      </c>
      <c r="AC1453" t="str">
        <f>IF($D1453="","",IF($AD1453=0,0,IF(COUNTIFS($D$4:$D1453,$D1453,$B$4:$B1453,$B1453)&gt;1,0,IF($B1453&lt;'Guide &amp; Settings'!$C$50,0,IF(($B1453-$AD1453)/7-'Guide &amp; Settings'!$C$48&gt;=0,(INT(($B1453-$AD1453)/7-'Guide &amp; Settings'!$C$48)+1)*'Guide &amp; Settings'!$C$49,0)))))</f>
        <v/>
      </c>
      <c r="AD1453" s="142">
        <f t="shared" si="457"/>
        <v>0</v>
      </c>
      <c r="AE1453">
        <f t="shared" si="458"/>
        <v>0</v>
      </c>
      <c r="AF1453">
        <f t="shared" si="459"/>
        <v>0</v>
      </c>
    </row>
    <row r="1454" spans="1:32" x14ac:dyDescent="0.2">
      <c r="A1454" s="117"/>
      <c r="B1454" s="118"/>
      <c r="C1454" s="119"/>
      <c r="D1454" s="119"/>
      <c r="E1454" s="117"/>
      <c r="F1454" s="120">
        <f t="shared" si="440"/>
        <v>0</v>
      </c>
      <c r="G1454" s="121" t="str">
        <f t="shared" si="441"/>
        <v/>
      </c>
      <c r="H1454" s="122">
        <f>IF($D1454="",0,IFERROR(LOOKUP(2,1/(($D$3:D1453=$D1454)*($A$3:A1453&lt;$A1454)),$N$3:N1453),'Guide &amp; Settings'!$C$41))</f>
        <v>0</v>
      </c>
      <c r="I1454" s="123">
        <f t="shared" si="442"/>
        <v>0</v>
      </c>
      <c r="J1454" s="124">
        <f>IF($D1454="",0,IF($F1454&lt;2,0,IF($E1454="Win",('Guide &amp; Settings'!$C$42/(($F1454-1)*COUNTIFS($A$4:$A$1510,$A1454,$E$4:$E$1510,"Win")))*SUMIFS($X$4:$X$1510,$A$4:$A$1510,$A1454,$E$4:$E$1510,"Loss"),-('Guide &amp; Settings'!$C$42/($F1454-1))*$X1454)))</f>
        <v>0</v>
      </c>
      <c r="K1454" s="124">
        <f>IF($D1454="",0,'Guide &amp; Settings'!$C$43*(IF($E1454="Win",1,0)-$I1454))</f>
        <v>0</v>
      </c>
      <c r="L1454" s="125">
        <f>IF($D1454="",0,'Guide &amp; Settings'!$C$44*IF($F1454&gt;=3,$F1454,0))</f>
        <v>0</v>
      </c>
      <c r="M1454" s="124">
        <f t="shared" si="443"/>
        <v>0</v>
      </c>
      <c r="N1454" s="122">
        <f t="shared" si="444"/>
        <v>0</v>
      </c>
      <c r="O1454" s="121" t="str">
        <f t="shared" si="445"/>
        <v/>
      </c>
      <c r="P1454">
        <f t="shared" si="446"/>
        <v>0</v>
      </c>
      <c r="Q1454">
        <f t="shared" si="447"/>
        <v>0</v>
      </c>
      <c r="R1454">
        <f t="shared" si="448"/>
        <v>0</v>
      </c>
      <c r="S1454">
        <f t="shared" si="449"/>
        <v>0</v>
      </c>
      <c r="T1454" s="89">
        <f t="shared" si="450"/>
        <v>0</v>
      </c>
      <c r="U1454" s="126">
        <f>IF($D1454="",0,IFERROR(LOOKUP(2,1/(($D$3:D1453=$D1454)*($C$3:C1453=$C1454)*($A$3:A1453&lt;$A1454)),$AB$3:AB1453),1000))</f>
        <v>0</v>
      </c>
      <c r="V1454" s="126">
        <f t="shared" si="451"/>
        <v>0</v>
      </c>
      <c r="W1454">
        <f t="shared" si="452"/>
        <v>0</v>
      </c>
      <c r="X1454">
        <f t="shared" si="453"/>
        <v>0</v>
      </c>
      <c r="Y1454">
        <f t="shared" si="454"/>
        <v>0</v>
      </c>
      <c r="Z1454">
        <f t="shared" si="455"/>
        <v>0</v>
      </c>
      <c r="AA1454">
        <f>IF($D1454="",0,IF($F1454&lt;2,0,IF($E1454="Win",('Guide &amp; Settings'!$C$42/(($F1454-1)*COUNTIFS($A$4:$A$1510,$A1454,$E$4:$E$1510,"Win")))*SUMIFS($Z$4:$Z$1510,$A$4:$A$1510,$A1454,$E$4:$E$1510,"Loss"),-('Guide &amp; Settings'!$C$42/($F1454-1))*$Z1454)))</f>
        <v>0</v>
      </c>
      <c r="AB1454" s="126">
        <f t="shared" si="456"/>
        <v>0</v>
      </c>
      <c r="AC1454" t="str">
        <f>IF($D1454="","",IF($AD1454=0,0,IF(COUNTIFS($D$4:$D1454,$D1454,$B$4:$B1454,$B1454)&gt;1,0,IF($B1454&lt;'Guide &amp; Settings'!$C$50,0,IF(($B1454-$AD1454)/7-'Guide &amp; Settings'!$C$48&gt;=0,(INT(($B1454-$AD1454)/7-'Guide &amp; Settings'!$C$48)+1)*'Guide &amp; Settings'!$C$49,0)))))</f>
        <v/>
      </c>
      <c r="AD1454" s="142">
        <f t="shared" si="457"/>
        <v>0</v>
      </c>
      <c r="AE1454">
        <f t="shared" si="458"/>
        <v>0</v>
      </c>
      <c r="AF1454">
        <f t="shared" si="459"/>
        <v>0</v>
      </c>
    </row>
    <row r="1455" spans="1:32" x14ac:dyDescent="0.2">
      <c r="A1455" s="117"/>
      <c r="B1455" s="118"/>
      <c r="C1455" s="119"/>
      <c r="D1455" s="119"/>
      <c r="E1455" s="117"/>
      <c r="F1455" s="120">
        <f t="shared" si="440"/>
        <v>0</v>
      </c>
      <c r="G1455" s="121" t="str">
        <f t="shared" si="441"/>
        <v/>
      </c>
      <c r="H1455" s="122">
        <f>IF($D1455="",0,IFERROR(LOOKUP(2,1/(($D$3:D1454=$D1455)*($A$3:A1454&lt;$A1455)),$N$3:N1454),'Guide &amp; Settings'!$C$41))</f>
        <v>0</v>
      </c>
      <c r="I1455" s="123">
        <f t="shared" si="442"/>
        <v>0</v>
      </c>
      <c r="J1455" s="124">
        <f>IF($D1455="",0,IF($F1455&lt;2,0,IF($E1455="Win",('Guide &amp; Settings'!$C$42/(($F1455-1)*COUNTIFS($A$4:$A$1510,$A1455,$E$4:$E$1510,"Win")))*SUMIFS($X$4:$X$1510,$A$4:$A$1510,$A1455,$E$4:$E$1510,"Loss"),-('Guide &amp; Settings'!$C$42/($F1455-1))*$X1455)))</f>
        <v>0</v>
      </c>
      <c r="K1455" s="124">
        <f>IF($D1455="",0,'Guide &amp; Settings'!$C$43*(IF($E1455="Win",1,0)-$I1455))</f>
        <v>0</v>
      </c>
      <c r="L1455" s="125">
        <f>IF($D1455="",0,'Guide &amp; Settings'!$C$44*IF($F1455&gt;=3,$F1455,0))</f>
        <v>0</v>
      </c>
      <c r="M1455" s="124">
        <f t="shared" si="443"/>
        <v>0</v>
      </c>
      <c r="N1455" s="122">
        <f t="shared" si="444"/>
        <v>0</v>
      </c>
      <c r="O1455" s="121" t="str">
        <f t="shared" si="445"/>
        <v/>
      </c>
      <c r="P1455">
        <f t="shared" si="446"/>
        <v>0</v>
      </c>
      <c r="Q1455">
        <f t="shared" si="447"/>
        <v>0</v>
      </c>
      <c r="R1455">
        <f t="shared" si="448"/>
        <v>0</v>
      </c>
      <c r="S1455">
        <f t="shared" si="449"/>
        <v>0</v>
      </c>
      <c r="T1455" s="89">
        <f t="shared" si="450"/>
        <v>0</v>
      </c>
      <c r="U1455" s="126">
        <f>IF($D1455="",0,IFERROR(LOOKUP(2,1/(($D$3:D1454=$D1455)*($C$3:C1454=$C1455)*($A$3:A1454&lt;$A1455)),$AB$3:AB1454),1000))</f>
        <v>0</v>
      </c>
      <c r="V1455" s="126">
        <f t="shared" si="451"/>
        <v>0</v>
      </c>
      <c r="W1455">
        <f t="shared" si="452"/>
        <v>0</v>
      </c>
      <c r="X1455">
        <f t="shared" si="453"/>
        <v>0</v>
      </c>
      <c r="Y1455">
        <f t="shared" si="454"/>
        <v>0</v>
      </c>
      <c r="Z1455">
        <f t="shared" si="455"/>
        <v>0</v>
      </c>
      <c r="AA1455">
        <f>IF($D1455="",0,IF($F1455&lt;2,0,IF($E1455="Win",('Guide &amp; Settings'!$C$42/(($F1455-1)*COUNTIFS($A$4:$A$1510,$A1455,$E$4:$E$1510,"Win")))*SUMIFS($Z$4:$Z$1510,$A$4:$A$1510,$A1455,$E$4:$E$1510,"Loss"),-('Guide &amp; Settings'!$C$42/($F1455-1))*$Z1455)))</f>
        <v>0</v>
      </c>
      <c r="AB1455" s="126">
        <f t="shared" si="456"/>
        <v>0</v>
      </c>
      <c r="AC1455" t="str">
        <f>IF($D1455="","",IF($AD1455=0,0,IF(COUNTIFS($D$4:$D1455,$D1455,$B$4:$B1455,$B1455)&gt;1,0,IF($B1455&lt;'Guide &amp; Settings'!$C$50,0,IF(($B1455-$AD1455)/7-'Guide &amp; Settings'!$C$48&gt;=0,(INT(($B1455-$AD1455)/7-'Guide &amp; Settings'!$C$48)+1)*'Guide &amp; Settings'!$C$49,0)))))</f>
        <v/>
      </c>
      <c r="AD1455" s="142">
        <f t="shared" si="457"/>
        <v>0</v>
      </c>
      <c r="AE1455">
        <f t="shared" si="458"/>
        <v>0</v>
      </c>
      <c r="AF1455">
        <f t="shared" si="459"/>
        <v>0</v>
      </c>
    </row>
    <row r="1456" spans="1:32" x14ac:dyDescent="0.2">
      <c r="A1456" s="117"/>
      <c r="B1456" s="118"/>
      <c r="C1456" s="119"/>
      <c r="D1456" s="119"/>
      <c r="E1456" s="117"/>
      <c r="F1456" s="120">
        <f t="shared" si="440"/>
        <v>0</v>
      </c>
      <c r="G1456" s="121" t="str">
        <f t="shared" si="441"/>
        <v/>
      </c>
      <c r="H1456" s="122">
        <f>IF($D1456="",0,IFERROR(LOOKUP(2,1/(($D$3:D1455=$D1456)*($A$3:A1455&lt;$A1456)),$N$3:N1455),'Guide &amp; Settings'!$C$41))</f>
        <v>0</v>
      </c>
      <c r="I1456" s="123">
        <f t="shared" si="442"/>
        <v>0</v>
      </c>
      <c r="J1456" s="124">
        <f>IF($D1456="",0,IF($F1456&lt;2,0,IF($E1456="Win",('Guide &amp; Settings'!$C$42/(($F1456-1)*COUNTIFS($A$4:$A$1510,$A1456,$E$4:$E$1510,"Win")))*SUMIFS($X$4:$X$1510,$A$4:$A$1510,$A1456,$E$4:$E$1510,"Loss"),-('Guide &amp; Settings'!$C$42/($F1456-1))*$X1456)))</f>
        <v>0</v>
      </c>
      <c r="K1456" s="124">
        <f>IF($D1456="",0,'Guide &amp; Settings'!$C$43*(IF($E1456="Win",1,0)-$I1456))</f>
        <v>0</v>
      </c>
      <c r="L1456" s="125">
        <f>IF($D1456="",0,'Guide &amp; Settings'!$C$44*IF($F1456&gt;=3,$F1456,0))</f>
        <v>0</v>
      </c>
      <c r="M1456" s="124">
        <f t="shared" si="443"/>
        <v>0</v>
      </c>
      <c r="N1456" s="122">
        <f t="shared" si="444"/>
        <v>0</v>
      </c>
      <c r="O1456" s="121" t="str">
        <f t="shared" si="445"/>
        <v/>
      </c>
      <c r="P1456">
        <f t="shared" si="446"/>
        <v>0</v>
      </c>
      <c r="Q1456">
        <f t="shared" si="447"/>
        <v>0</v>
      </c>
      <c r="R1456">
        <f t="shared" si="448"/>
        <v>0</v>
      </c>
      <c r="S1456">
        <f t="shared" si="449"/>
        <v>0</v>
      </c>
      <c r="T1456" s="89">
        <f t="shared" si="450"/>
        <v>0</v>
      </c>
      <c r="U1456" s="126">
        <f>IF($D1456="",0,IFERROR(LOOKUP(2,1/(($D$3:D1455=$D1456)*($C$3:C1455=$C1456)*($A$3:A1455&lt;$A1456)),$AB$3:AB1455),1000))</f>
        <v>0</v>
      </c>
      <c r="V1456" s="126">
        <f t="shared" si="451"/>
        <v>0</v>
      </c>
      <c r="W1456">
        <f t="shared" si="452"/>
        <v>0</v>
      </c>
      <c r="X1456">
        <f t="shared" si="453"/>
        <v>0</v>
      </c>
      <c r="Y1456">
        <f t="shared" si="454"/>
        <v>0</v>
      </c>
      <c r="Z1456">
        <f t="shared" si="455"/>
        <v>0</v>
      </c>
      <c r="AA1456">
        <f>IF($D1456="",0,IF($F1456&lt;2,0,IF($E1456="Win",('Guide &amp; Settings'!$C$42/(($F1456-1)*COUNTIFS($A$4:$A$1510,$A1456,$E$4:$E$1510,"Win")))*SUMIFS($Z$4:$Z$1510,$A$4:$A$1510,$A1456,$E$4:$E$1510,"Loss"),-('Guide &amp; Settings'!$C$42/($F1456-1))*$Z1456)))</f>
        <v>0</v>
      </c>
      <c r="AB1456" s="126">
        <f t="shared" si="456"/>
        <v>0</v>
      </c>
      <c r="AC1456" t="str">
        <f>IF($D1456="","",IF($AD1456=0,0,IF(COUNTIFS($D$4:$D1456,$D1456,$B$4:$B1456,$B1456)&gt;1,0,IF($B1456&lt;'Guide &amp; Settings'!$C$50,0,IF(($B1456-$AD1456)/7-'Guide &amp; Settings'!$C$48&gt;=0,(INT(($B1456-$AD1456)/7-'Guide &amp; Settings'!$C$48)+1)*'Guide &amp; Settings'!$C$49,0)))))</f>
        <v/>
      </c>
      <c r="AD1456" s="142">
        <f t="shared" si="457"/>
        <v>0</v>
      </c>
      <c r="AE1456">
        <f t="shared" si="458"/>
        <v>0</v>
      </c>
      <c r="AF1456">
        <f t="shared" si="459"/>
        <v>0</v>
      </c>
    </row>
    <row r="1457" spans="1:32" x14ac:dyDescent="0.2">
      <c r="A1457" s="117"/>
      <c r="B1457" s="118"/>
      <c r="C1457" s="119"/>
      <c r="D1457" s="119"/>
      <c r="E1457" s="117"/>
      <c r="F1457" s="120">
        <f t="shared" si="440"/>
        <v>0</v>
      </c>
      <c r="G1457" s="121" t="str">
        <f t="shared" si="441"/>
        <v/>
      </c>
      <c r="H1457" s="122">
        <f>IF($D1457="",0,IFERROR(LOOKUP(2,1/(($D$3:D1456=$D1457)*($A$3:A1456&lt;$A1457)),$N$3:N1456),'Guide &amp; Settings'!$C$41))</f>
        <v>0</v>
      </c>
      <c r="I1457" s="123">
        <f t="shared" si="442"/>
        <v>0</v>
      </c>
      <c r="J1457" s="124">
        <f>IF($D1457="",0,IF($F1457&lt;2,0,IF($E1457="Win",('Guide &amp; Settings'!$C$42/(($F1457-1)*COUNTIFS($A$4:$A$1510,$A1457,$E$4:$E$1510,"Win")))*SUMIFS($X$4:$X$1510,$A$4:$A$1510,$A1457,$E$4:$E$1510,"Loss"),-('Guide &amp; Settings'!$C$42/($F1457-1))*$X1457)))</f>
        <v>0</v>
      </c>
      <c r="K1457" s="124">
        <f>IF($D1457="",0,'Guide &amp; Settings'!$C$43*(IF($E1457="Win",1,0)-$I1457))</f>
        <v>0</v>
      </c>
      <c r="L1457" s="125">
        <f>IF($D1457="",0,'Guide &amp; Settings'!$C$44*IF($F1457&gt;=3,$F1457,0))</f>
        <v>0</v>
      </c>
      <c r="M1457" s="124">
        <f t="shared" si="443"/>
        <v>0</v>
      </c>
      <c r="N1457" s="122">
        <f t="shared" si="444"/>
        <v>0</v>
      </c>
      <c r="O1457" s="121" t="str">
        <f t="shared" si="445"/>
        <v/>
      </c>
      <c r="P1457">
        <f t="shared" si="446"/>
        <v>0</v>
      </c>
      <c r="Q1457">
        <f t="shared" si="447"/>
        <v>0</v>
      </c>
      <c r="R1457">
        <f t="shared" si="448"/>
        <v>0</v>
      </c>
      <c r="S1457">
        <f t="shared" si="449"/>
        <v>0</v>
      </c>
      <c r="T1457" s="89">
        <f t="shared" si="450"/>
        <v>0</v>
      </c>
      <c r="U1457" s="126">
        <f>IF($D1457="",0,IFERROR(LOOKUP(2,1/(($D$3:D1456=$D1457)*($C$3:C1456=$C1457)*($A$3:A1456&lt;$A1457)),$AB$3:AB1456),1000))</f>
        <v>0</v>
      </c>
      <c r="V1457" s="126">
        <f t="shared" si="451"/>
        <v>0</v>
      </c>
      <c r="W1457">
        <f t="shared" si="452"/>
        <v>0</v>
      </c>
      <c r="X1457">
        <f t="shared" si="453"/>
        <v>0</v>
      </c>
      <c r="Y1457">
        <f t="shared" si="454"/>
        <v>0</v>
      </c>
      <c r="Z1457">
        <f t="shared" si="455"/>
        <v>0</v>
      </c>
      <c r="AA1457">
        <f>IF($D1457="",0,IF($F1457&lt;2,0,IF($E1457="Win",('Guide &amp; Settings'!$C$42/(($F1457-1)*COUNTIFS($A$4:$A$1510,$A1457,$E$4:$E$1510,"Win")))*SUMIFS($Z$4:$Z$1510,$A$4:$A$1510,$A1457,$E$4:$E$1510,"Loss"),-('Guide &amp; Settings'!$C$42/($F1457-1))*$Z1457)))</f>
        <v>0</v>
      </c>
      <c r="AB1457" s="126">
        <f t="shared" si="456"/>
        <v>0</v>
      </c>
      <c r="AC1457" t="str">
        <f>IF($D1457="","",IF($AD1457=0,0,IF(COUNTIFS($D$4:$D1457,$D1457,$B$4:$B1457,$B1457)&gt;1,0,IF($B1457&lt;'Guide &amp; Settings'!$C$50,0,IF(($B1457-$AD1457)/7-'Guide &amp; Settings'!$C$48&gt;=0,(INT(($B1457-$AD1457)/7-'Guide &amp; Settings'!$C$48)+1)*'Guide &amp; Settings'!$C$49,0)))))</f>
        <v/>
      </c>
      <c r="AD1457" s="142">
        <f t="shared" si="457"/>
        <v>0</v>
      </c>
      <c r="AE1457">
        <f t="shared" si="458"/>
        <v>0</v>
      </c>
      <c r="AF1457">
        <f t="shared" si="459"/>
        <v>0</v>
      </c>
    </row>
    <row r="1458" spans="1:32" x14ac:dyDescent="0.2">
      <c r="A1458" s="117"/>
      <c r="B1458" s="118"/>
      <c r="C1458" s="119"/>
      <c r="D1458" s="119"/>
      <c r="E1458" s="117"/>
      <c r="F1458" s="120">
        <f t="shared" si="440"/>
        <v>0</v>
      </c>
      <c r="G1458" s="121" t="str">
        <f t="shared" si="441"/>
        <v/>
      </c>
      <c r="H1458" s="122">
        <f>IF($D1458="",0,IFERROR(LOOKUP(2,1/(($D$3:D1457=$D1458)*($A$3:A1457&lt;$A1458)),$N$3:N1457),'Guide &amp; Settings'!$C$41))</f>
        <v>0</v>
      </c>
      <c r="I1458" s="123">
        <f t="shared" si="442"/>
        <v>0</v>
      </c>
      <c r="J1458" s="124">
        <f>IF($D1458="",0,IF($F1458&lt;2,0,IF($E1458="Win",('Guide &amp; Settings'!$C$42/(($F1458-1)*COUNTIFS($A$4:$A$1510,$A1458,$E$4:$E$1510,"Win")))*SUMIFS($X$4:$X$1510,$A$4:$A$1510,$A1458,$E$4:$E$1510,"Loss"),-('Guide &amp; Settings'!$C$42/($F1458-1))*$X1458)))</f>
        <v>0</v>
      </c>
      <c r="K1458" s="124">
        <f>IF($D1458="",0,'Guide &amp; Settings'!$C$43*(IF($E1458="Win",1,0)-$I1458))</f>
        <v>0</v>
      </c>
      <c r="L1458" s="125">
        <f>IF($D1458="",0,'Guide &amp; Settings'!$C$44*IF($F1458&gt;=3,$F1458,0))</f>
        <v>0</v>
      </c>
      <c r="M1458" s="124">
        <f t="shared" si="443"/>
        <v>0</v>
      </c>
      <c r="N1458" s="122">
        <f t="shared" si="444"/>
        <v>0</v>
      </c>
      <c r="O1458" s="121" t="str">
        <f t="shared" si="445"/>
        <v/>
      </c>
      <c r="P1458">
        <f t="shared" si="446"/>
        <v>0</v>
      </c>
      <c r="Q1458">
        <f t="shared" si="447"/>
        <v>0</v>
      </c>
      <c r="R1458">
        <f t="shared" si="448"/>
        <v>0</v>
      </c>
      <c r="S1458">
        <f t="shared" si="449"/>
        <v>0</v>
      </c>
      <c r="T1458" s="89">
        <f t="shared" si="450"/>
        <v>0</v>
      </c>
      <c r="U1458" s="126">
        <f>IF($D1458="",0,IFERROR(LOOKUP(2,1/(($D$3:D1457=$D1458)*($C$3:C1457=$C1458)*($A$3:A1457&lt;$A1458)),$AB$3:AB1457),1000))</f>
        <v>0</v>
      </c>
      <c r="V1458" s="126">
        <f t="shared" si="451"/>
        <v>0</v>
      </c>
      <c r="W1458">
        <f t="shared" si="452"/>
        <v>0</v>
      </c>
      <c r="X1458">
        <f t="shared" si="453"/>
        <v>0</v>
      </c>
      <c r="Y1458">
        <f t="shared" si="454"/>
        <v>0</v>
      </c>
      <c r="Z1458">
        <f t="shared" si="455"/>
        <v>0</v>
      </c>
      <c r="AA1458">
        <f>IF($D1458="",0,IF($F1458&lt;2,0,IF($E1458="Win",('Guide &amp; Settings'!$C$42/(($F1458-1)*COUNTIFS($A$4:$A$1510,$A1458,$E$4:$E$1510,"Win")))*SUMIFS($Z$4:$Z$1510,$A$4:$A$1510,$A1458,$E$4:$E$1510,"Loss"),-('Guide &amp; Settings'!$C$42/($F1458-1))*$Z1458)))</f>
        <v>0</v>
      </c>
      <c r="AB1458" s="126">
        <f t="shared" si="456"/>
        <v>0</v>
      </c>
      <c r="AC1458" t="str">
        <f>IF($D1458="","",IF($AD1458=0,0,IF(COUNTIFS($D$4:$D1458,$D1458,$B$4:$B1458,$B1458)&gt;1,0,IF($B1458&lt;'Guide &amp; Settings'!$C$50,0,IF(($B1458-$AD1458)/7-'Guide &amp; Settings'!$C$48&gt;=0,(INT(($B1458-$AD1458)/7-'Guide &amp; Settings'!$C$48)+1)*'Guide &amp; Settings'!$C$49,0)))))</f>
        <v/>
      </c>
      <c r="AD1458" s="142">
        <f t="shared" si="457"/>
        <v>0</v>
      </c>
      <c r="AE1458">
        <f t="shared" si="458"/>
        <v>0</v>
      </c>
      <c r="AF1458">
        <f t="shared" si="459"/>
        <v>0</v>
      </c>
    </row>
    <row r="1459" spans="1:32" x14ac:dyDescent="0.2">
      <c r="A1459" s="117"/>
      <c r="B1459" s="118"/>
      <c r="C1459" s="119"/>
      <c r="D1459" s="119"/>
      <c r="E1459" s="117"/>
      <c r="F1459" s="120">
        <f t="shared" si="440"/>
        <v>0</v>
      </c>
      <c r="G1459" s="121" t="str">
        <f t="shared" si="441"/>
        <v/>
      </c>
      <c r="H1459" s="122">
        <f>IF($D1459="",0,IFERROR(LOOKUP(2,1/(($D$3:D1458=$D1459)*($A$3:A1458&lt;$A1459)),$N$3:N1458),'Guide &amp; Settings'!$C$41))</f>
        <v>0</v>
      </c>
      <c r="I1459" s="123">
        <f t="shared" si="442"/>
        <v>0</v>
      </c>
      <c r="J1459" s="124">
        <f>IF($D1459="",0,IF($F1459&lt;2,0,IF($E1459="Win",('Guide &amp; Settings'!$C$42/(($F1459-1)*COUNTIFS($A$4:$A$1510,$A1459,$E$4:$E$1510,"Win")))*SUMIFS($X$4:$X$1510,$A$4:$A$1510,$A1459,$E$4:$E$1510,"Loss"),-('Guide &amp; Settings'!$C$42/($F1459-1))*$X1459)))</f>
        <v>0</v>
      </c>
      <c r="K1459" s="124">
        <f>IF($D1459="",0,'Guide &amp; Settings'!$C$43*(IF($E1459="Win",1,0)-$I1459))</f>
        <v>0</v>
      </c>
      <c r="L1459" s="125">
        <f>IF($D1459="",0,'Guide &amp; Settings'!$C$44*IF($F1459&gt;=3,$F1459,0))</f>
        <v>0</v>
      </c>
      <c r="M1459" s="124">
        <f t="shared" si="443"/>
        <v>0</v>
      </c>
      <c r="N1459" s="122">
        <f t="shared" si="444"/>
        <v>0</v>
      </c>
      <c r="O1459" s="121" t="str">
        <f t="shared" si="445"/>
        <v/>
      </c>
      <c r="P1459">
        <f t="shared" si="446"/>
        <v>0</v>
      </c>
      <c r="Q1459">
        <f t="shared" si="447"/>
        <v>0</v>
      </c>
      <c r="R1459">
        <f t="shared" si="448"/>
        <v>0</v>
      </c>
      <c r="S1459">
        <f t="shared" si="449"/>
        <v>0</v>
      </c>
      <c r="T1459" s="89">
        <f t="shared" si="450"/>
        <v>0</v>
      </c>
      <c r="U1459" s="126">
        <f>IF($D1459="",0,IFERROR(LOOKUP(2,1/(($D$3:D1458=$D1459)*($C$3:C1458=$C1459)*($A$3:A1458&lt;$A1459)),$AB$3:AB1458),1000))</f>
        <v>0</v>
      </c>
      <c r="V1459" s="126">
        <f t="shared" si="451"/>
        <v>0</v>
      </c>
      <c r="W1459">
        <f t="shared" si="452"/>
        <v>0</v>
      </c>
      <c r="X1459">
        <f t="shared" si="453"/>
        <v>0</v>
      </c>
      <c r="Y1459">
        <f t="shared" si="454"/>
        <v>0</v>
      </c>
      <c r="Z1459">
        <f t="shared" si="455"/>
        <v>0</v>
      </c>
      <c r="AA1459">
        <f>IF($D1459="",0,IF($F1459&lt;2,0,IF($E1459="Win",('Guide &amp; Settings'!$C$42/(($F1459-1)*COUNTIFS($A$4:$A$1510,$A1459,$E$4:$E$1510,"Win")))*SUMIFS($Z$4:$Z$1510,$A$4:$A$1510,$A1459,$E$4:$E$1510,"Loss"),-('Guide &amp; Settings'!$C$42/($F1459-1))*$Z1459)))</f>
        <v>0</v>
      </c>
      <c r="AB1459" s="126">
        <f t="shared" si="456"/>
        <v>0</v>
      </c>
      <c r="AC1459" t="str">
        <f>IF($D1459="","",IF($AD1459=0,0,IF(COUNTIFS($D$4:$D1459,$D1459,$B$4:$B1459,$B1459)&gt;1,0,IF($B1459&lt;'Guide &amp; Settings'!$C$50,0,IF(($B1459-$AD1459)/7-'Guide &amp; Settings'!$C$48&gt;=0,(INT(($B1459-$AD1459)/7-'Guide &amp; Settings'!$C$48)+1)*'Guide &amp; Settings'!$C$49,0)))))</f>
        <v/>
      </c>
      <c r="AD1459" s="142">
        <f t="shared" si="457"/>
        <v>0</v>
      </c>
      <c r="AE1459">
        <f t="shared" si="458"/>
        <v>0</v>
      </c>
      <c r="AF1459">
        <f t="shared" si="459"/>
        <v>0</v>
      </c>
    </row>
    <row r="1460" spans="1:32" x14ac:dyDescent="0.2">
      <c r="A1460" s="117"/>
      <c r="B1460" s="118"/>
      <c r="C1460" s="119"/>
      <c r="D1460" s="119"/>
      <c r="E1460" s="117"/>
      <c r="F1460" s="120">
        <f t="shared" si="440"/>
        <v>0</v>
      </c>
      <c r="G1460" s="121" t="str">
        <f t="shared" si="441"/>
        <v/>
      </c>
      <c r="H1460" s="122">
        <f>IF($D1460="",0,IFERROR(LOOKUP(2,1/(($D$3:D1459=$D1460)*($A$3:A1459&lt;$A1460)),$N$3:N1459),'Guide &amp; Settings'!$C$41))</f>
        <v>0</v>
      </c>
      <c r="I1460" s="123">
        <f t="shared" si="442"/>
        <v>0</v>
      </c>
      <c r="J1460" s="124">
        <f>IF($D1460="",0,IF($F1460&lt;2,0,IF($E1460="Win",('Guide &amp; Settings'!$C$42/(($F1460-1)*COUNTIFS($A$4:$A$1510,$A1460,$E$4:$E$1510,"Win")))*SUMIFS($X$4:$X$1510,$A$4:$A$1510,$A1460,$E$4:$E$1510,"Loss"),-('Guide &amp; Settings'!$C$42/($F1460-1))*$X1460)))</f>
        <v>0</v>
      </c>
      <c r="K1460" s="124">
        <f>IF($D1460="",0,'Guide &amp; Settings'!$C$43*(IF($E1460="Win",1,0)-$I1460))</f>
        <v>0</v>
      </c>
      <c r="L1460" s="125">
        <f>IF($D1460="",0,'Guide &amp; Settings'!$C$44*IF($F1460&gt;=3,$F1460,0))</f>
        <v>0</v>
      </c>
      <c r="M1460" s="124">
        <f t="shared" si="443"/>
        <v>0</v>
      </c>
      <c r="N1460" s="122">
        <f t="shared" si="444"/>
        <v>0</v>
      </c>
      <c r="O1460" s="121" t="str">
        <f t="shared" si="445"/>
        <v/>
      </c>
      <c r="P1460">
        <f t="shared" si="446"/>
        <v>0</v>
      </c>
      <c r="Q1460">
        <f t="shared" si="447"/>
        <v>0</v>
      </c>
      <c r="R1460">
        <f t="shared" si="448"/>
        <v>0</v>
      </c>
      <c r="S1460">
        <f t="shared" si="449"/>
        <v>0</v>
      </c>
      <c r="T1460" s="89">
        <f t="shared" si="450"/>
        <v>0</v>
      </c>
      <c r="U1460" s="126">
        <f>IF($D1460="",0,IFERROR(LOOKUP(2,1/(($D$3:D1459=$D1460)*($C$3:C1459=$C1460)*($A$3:A1459&lt;$A1460)),$AB$3:AB1459),1000))</f>
        <v>0</v>
      </c>
      <c r="V1460" s="126">
        <f t="shared" si="451"/>
        <v>0</v>
      </c>
      <c r="W1460">
        <f t="shared" si="452"/>
        <v>0</v>
      </c>
      <c r="X1460">
        <f t="shared" si="453"/>
        <v>0</v>
      </c>
      <c r="Y1460">
        <f t="shared" si="454"/>
        <v>0</v>
      </c>
      <c r="Z1460">
        <f t="shared" si="455"/>
        <v>0</v>
      </c>
      <c r="AA1460">
        <f>IF($D1460="",0,IF($F1460&lt;2,0,IF($E1460="Win",('Guide &amp; Settings'!$C$42/(($F1460-1)*COUNTIFS($A$4:$A$1510,$A1460,$E$4:$E$1510,"Win")))*SUMIFS($Z$4:$Z$1510,$A$4:$A$1510,$A1460,$E$4:$E$1510,"Loss"),-('Guide &amp; Settings'!$C$42/($F1460-1))*$Z1460)))</f>
        <v>0</v>
      </c>
      <c r="AB1460" s="126">
        <f t="shared" si="456"/>
        <v>0</v>
      </c>
      <c r="AC1460" t="str">
        <f>IF($D1460="","",IF($AD1460=0,0,IF(COUNTIFS($D$4:$D1460,$D1460,$B$4:$B1460,$B1460)&gt;1,0,IF($B1460&lt;'Guide &amp; Settings'!$C$50,0,IF(($B1460-$AD1460)/7-'Guide &amp; Settings'!$C$48&gt;=0,(INT(($B1460-$AD1460)/7-'Guide &amp; Settings'!$C$48)+1)*'Guide &amp; Settings'!$C$49,0)))))</f>
        <v/>
      </c>
      <c r="AD1460" s="142">
        <f t="shared" si="457"/>
        <v>0</v>
      </c>
      <c r="AE1460">
        <f t="shared" si="458"/>
        <v>0</v>
      </c>
      <c r="AF1460">
        <f t="shared" si="459"/>
        <v>0</v>
      </c>
    </row>
    <row r="1461" spans="1:32" x14ac:dyDescent="0.2">
      <c r="A1461" s="117"/>
      <c r="B1461" s="118"/>
      <c r="C1461" s="119"/>
      <c r="D1461" s="119"/>
      <c r="E1461" s="117"/>
      <c r="F1461" s="120">
        <f t="shared" si="440"/>
        <v>0</v>
      </c>
      <c r="G1461" s="121" t="str">
        <f t="shared" si="441"/>
        <v/>
      </c>
      <c r="H1461" s="122">
        <f>IF($D1461="",0,IFERROR(LOOKUP(2,1/(($D$3:D1460=$D1461)*($A$3:A1460&lt;$A1461)),$N$3:N1460),'Guide &amp; Settings'!$C$41))</f>
        <v>0</v>
      </c>
      <c r="I1461" s="123">
        <f t="shared" si="442"/>
        <v>0</v>
      </c>
      <c r="J1461" s="124">
        <f>IF($D1461="",0,IF($F1461&lt;2,0,IF($E1461="Win",('Guide &amp; Settings'!$C$42/(($F1461-1)*COUNTIFS($A$4:$A$1510,$A1461,$E$4:$E$1510,"Win")))*SUMIFS($X$4:$X$1510,$A$4:$A$1510,$A1461,$E$4:$E$1510,"Loss"),-('Guide &amp; Settings'!$C$42/($F1461-1))*$X1461)))</f>
        <v>0</v>
      </c>
      <c r="K1461" s="124">
        <f>IF($D1461="",0,'Guide &amp; Settings'!$C$43*(IF($E1461="Win",1,0)-$I1461))</f>
        <v>0</v>
      </c>
      <c r="L1461" s="125">
        <f>IF($D1461="",0,'Guide &amp; Settings'!$C$44*IF($F1461&gt;=3,$F1461,0))</f>
        <v>0</v>
      </c>
      <c r="M1461" s="124">
        <f t="shared" si="443"/>
        <v>0</v>
      </c>
      <c r="N1461" s="122">
        <f t="shared" si="444"/>
        <v>0</v>
      </c>
      <c r="O1461" s="121" t="str">
        <f t="shared" si="445"/>
        <v/>
      </c>
      <c r="P1461">
        <f t="shared" si="446"/>
        <v>0</v>
      </c>
      <c r="Q1461">
        <f t="shared" si="447"/>
        <v>0</v>
      </c>
      <c r="R1461">
        <f t="shared" si="448"/>
        <v>0</v>
      </c>
      <c r="S1461">
        <f t="shared" si="449"/>
        <v>0</v>
      </c>
      <c r="T1461" s="89">
        <f t="shared" si="450"/>
        <v>0</v>
      </c>
      <c r="U1461" s="126">
        <f>IF($D1461="",0,IFERROR(LOOKUP(2,1/(($D$3:D1460=$D1461)*($C$3:C1460=$C1461)*($A$3:A1460&lt;$A1461)),$AB$3:AB1460),1000))</f>
        <v>0</v>
      </c>
      <c r="V1461" s="126">
        <f t="shared" si="451"/>
        <v>0</v>
      </c>
      <c r="W1461">
        <f t="shared" si="452"/>
        <v>0</v>
      </c>
      <c r="X1461">
        <f t="shared" si="453"/>
        <v>0</v>
      </c>
      <c r="Y1461">
        <f t="shared" si="454"/>
        <v>0</v>
      </c>
      <c r="Z1461">
        <f t="shared" si="455"/>
        <v>0</v>
      </c>
      <c r="AA1461">
        <f>IF($D1461="",0,IF($F1461&lt;2,0,IF($E1461="Win",('Guide &amp; Settings'!$C$42/(($F1461-1)*COUNTIFS($A$4:$A$1510,$A1461,$E$4:$E$1510,"Win")))*SUMIFS($Z$4:$Z$1510,$A$4:$A$1510,$A1461,$E$4:$E$1510,"Loss"),-('Guide &amp; Settings'!$C$42/($F1461-1))*$Z1461)))</f>
        <v>0</v>
      </c>
      <c r="AB1461" s="126">
        <f t="shared" si="456"/>
        <v>0</v>
      </c>
      <c r="AC1461" t="str">
        <f>IF($D1461="","",IF($AD1461=0,0,IF(COUNTIFS($D$4:$D1461,$D1461,$B$4:$B1461,$B1461)&gt;1,0,IF($B1461&lt;'Guide &amp; Settings'!$C$50,0,IF(($B1461-$AD1461)/7-'Guide &amp; Settings'!$C$48&gt;=0,(INT(($B1461-$AD1461)/7-'Guide &amp; Settings'!$C$48)+1)*'Guide &amp; Settings'!$C$49,0)))))</f>
        <v/>
      </c>
      <c r="AD1461" s="142">
        <f t="shared" si="457"/>
        <v>0</v>
      </c>
      <c r="AE1461">
        <f t="shared" si="458"/>
        <v>0</v>
      </c>
      <c r="AF1461">
        <f t="shared" si="459"/>
        <v>0</v>
      </c>
    </row>
    <row r="1462" spans="1:32" x14ac:dyDescent="0.2">
      <c r="A1462" s="117"/>
      <c r="B1462" s="118"/>
      <c r="C1462" s="119"/>
      <c r="D1462" s="119"/>
      <c r="E1462" s="117"/>
      <c r="F1462" s="120">
        <f t="shared" si="440"/>
        <v>0</v>
      </c>
      <c r="G1462" s="121" t="str">
        <f t="shared" si="441"/>
        <v/>
      </c>
      <c r="H1462" s="122">
        <f>IF($D1462="",0,IFERROR(LOOKUP(2,1/(($D$3:D1461=$D1462)*($A$3:A1461&lt;$A1462)),$N$3:N1461),'Guide &amp; Settings'!$C$41))</f>
        <v>0</v>
      </c>
      <c r="I1462" s="123">
        <f t="shared" si="442"/>
        <v>0</v>
      </c>
      <c r="J1462" s="124">
        <f>IF($D1462="",0,IF($F1462&lt;2,0,IF($E1462="Win",('Guide &amp; Settings'!$C$42/(($F1462-1)*COUNTIFS($A$4:$A$1510,$A1462,$E$4:$E$1510,"Win")))*SUMIFS($X$4:$X$1510,$A$4:$A$1510,$A1462,$E$4:$E$1510,"Loss"),-('Guide &amp; Settings'!$C$42/($F1462-1))*$X1462)))</f>
        <v>0</v>
      </c>
      <c r="K1462" s="124">
        <f>IF($D1462="",0,'Guide &amp; Settings'!$C$43*(IF($E1462="Win",1,0)-$I1462))</f>
        <v>0</v>
      </c>
      <c r="L1462" s="125">
        <f>IF($D1462="",0,'Guide &amp; Settings'!$C$44*IF($F1462&gt;=3,$F1462,0))</f>
        <v>0</v>
      </c>
      <c r="M1462" s="124">
        <f t="shared" si="443"/>
        <v>0</v>
      </c>
      <c r="N1462" s="122">
        <f t="shared" si="444"/>
        <v>0</v>
      </c>
      <c r="O1462" s="121" t="str">
        <f t="shared" si="445"/>
        <v/>
      </c>
      <c r="P1462">
        <f t="shared" si="446"/>
        <v>0</v>
      </c>
      <c r="Q1462">
        <f t="shared" si="447"/>
        <v>0</v>
      </c>
      <c r="R1462">
        <f t="shared" si="448"/>
        <v>0</v>
      </c>
      <c r="S1462">
        <f t="shared" si="449"/>
        <v>0</v>
      </c>
      <c r="T1462" s="89">
        <f t="shared" si="450"/>
        <v>0</v>
      </c>
      <c r="U1462" s="126">
        <f>IF($D1462="",0,IFERROR(LOOKUP(2,1/(($D$3:D1461=$D1462)*($C$3:C1461=$C1462)*($A$3:A1461&lt;$A1462)),$AB$3:AB1461),1000))</f>
        <v>0</v>
      </c>
      <c r="V1462" s="126">
        <f t="shared" si="451"/>
        <v>0</v>
      </c>
      <c r="W1462">
        <f t="shared" si="452"/>
        <v>0</v>
      </c>
      <c r="X1462">
        <f t="shared" si="453"/>
        <v>0</v>
      </c>
      <c r="Y1462">
        <f t="shared" si="454"/>
        <v>0</v>
      </c>
      <c r="Z1462">
        <f t="shared" si="455"/>
        <v>0</v>
      </c>
      <c r="AA1462">
        <f>IF($D1462="",0,IF($F1462&lt;2,0,IF($E1462="Win",('Guide &amp; Settings'!$C$42/(($F1462-1)*COUNTIFS($A$4:$A$1510,$A1462,$E$4:$E$1510,"Win")))*SUMIFS($Z$4:$Z$1510,$A$4:$A$1510,$A1462,$E$4:$E$1510,"Loss"),-('Guide &amp; Settings'!$C$42/($F1462-1))*$Z1462)))</f>
        <v>0</v>
      </c>
      <c r="AB1462" s="126">
        <f t="shared" si="456"/>
        <v>0</v>
      </c>
      <c r="AC1462" t="str">
        <f>IF($D1462="","",IF($AD1462=0,0,IF(COUNTIFS($D$4:$D1462,$D1462,$B$4:$B1462,$B1462)&gt;1,0,IF($B1462&lt;'Guide &amp; Settings'!$C$50,0,IF(($B1462-$AD1462)/7-'Guide &amp; Settings'!$C$48&gt;=0,(INT(($B1462-$AD1462)/7-'Guide &amp; Settings'!$C$48)+1)*'Guide &amp; Settings'!$C$49,0)))))</f>
        <v/>
      </c>
      <c r="AD1462" s="142">
        <f t="shared" si="457"/>
        <v>0</v>
      </c>
      <c r="AE1462">
        <f t="shared" si="458"/>
        <v>0</v>
      </c>
      <c r="AF1462">
        <f t="shared" si="459"/>
        <v>0</v>
      </c>
    </row>
    <row r="1463" spans="1:32" x14ac:dyDescent="0.2">
      <c r="A1463" s="117"/>
      <c r="B1463" s="118"/>
      <c r="C1463" s="119"/>
      <c r="D1463" s="119"/>
      <c r="E1463" s="117"/>
      <c r="F1463" s="120">
        <f t="shared" si="440"/>
        <v>0</v>
      </c>
      <c r="G1463" s="121" t="str">
        <f t="shared" si="441"/>
        <v/>
      </c>
      <c r="H1463" s="122">
        <f>IF($D1463="",0,IFERROR(LOOKUP(2,1/(($D$3:D1462=$D1463)*($A$3:A1462&lt;$A1463)),$N$3:N1462),'Guide &amp; Settings'!$C$41))</f>
        <v>0</v>
      </c>
      <c r="I1463" s="123">
        <f t="shared" si="442"/>
        <v>0</v>
      </c>
      <c r="J1463" s="124">
        <f>IF($D1463="",0,IF($F1463&lt;2,0,IF($E1463="Win",('Guide &amp; Settings'!$C$42/(($F1463-1)*COUNTIFS($A$4:$A$1510,$A1463,$E$4:$E$1510,"Win")))*SUMIFS($X$4:$X$1510,$A$4:$A$1510,$A1463,$E$4:$E$1510,"Loss"),-('Guide &amp; Settings'!$C$42/($F1463-1))*$X1463)))</f>
        <v>0</v>
      </c>
      <c r="K1463" s="124">
        <f>IF($D1463="",0,'Guide &amp; Settings'!$C$43*(IF($E1463="Win",1,0)-$I1463))</f>
        <v>0</v>
      </c>
      <c r="L1463" s="125">
        <f>IF($D1463="",0,'Guide &amp; Settings'!$C$44*IF($F1463&gt;=3,$F1463,0))</f>
        <v>0</v>
      </c>
      <c r="M1463" s="124">
        <f t="shared" si="443"/>
        <v>0</v>
      </c>
      <c r="N1463" s="122">
        <f t="shared" si="444"/>
        <v>0</v>
      </c>
      <c r="O1463" s="121" t="str">
        <f t="shared" si="445"/>
        <v/>
      </c>
      <c r="P1463">
        <f t="shared" si="446"/>
        <v>0</v>
      </c>
      <c r="Q1463">
        <f t="shared" si="447"/>
        <v>0</v>
      </c>
      <c r="R1463">
        <f t="shared" si="448"/>
        <v>0</v>
      </c>
      <c r="S1463">
        <f t="shared" si="449"/>
        <v>0</v>
      </c>
      <c r="T1463" s="89">
        <f t="shared" si="450"/>
        <v>0</v>
      </c>
      <c r="U1463" s="126">
        <f>IF($D1463="",0,IFERROR(LOOKUP(2,1/(($D$3:D1462=$D1463)*($C$3:C1462=$C1463)*($A$3:A1462&lt;$A1463)),$AB$3:AB1462),1000))</f>
        <v>0</v>
      </c>
      <c r="V1463" s="126">
        <f t="shared" si="451"/>
        <v>0</v>
      </c>
      <c r="W1463">
        <f t="shared" si="452"/>
        <v>0</v>
      </c>
      <c r="X1463">
        <f t="shared" si="453"/>
        <v>0</v>
      </c>
      <c r="Y1463">
        <f t="shared" si="454"/>
        <v>0</v>
      </c>
      <c r="Z1463">
        <f t="shared" si="455"/>
        <v>0</v>
      </c>
      <c r="AA1463">
        <f>IF($D1463="",0,IF($F1463&lt;2,0,IF($E1463="Win",('Guide &amp; Settings'!$C$42/(($F1463-1)*COUNTIFS($A$4:$A$1510,$A1463,$E$4:$E$1510,"Win")))*SUMIFS($Z$4:$Z$1510,$A$4:$A$1510,$A1463,$E$4:$E$1510,"Loss"),-('Guide &amp; Settings'!$C$42/($F1463-1))*$Z1463)))</f>
        <v>0</v>
      </c>
      <c r="AB1463" s="126">
        <f t="shared" si="456"/>
        <v>0</v>
      </c>
      <c r="AC1463" t="str">
        <f>IF($D1463="","",IF($AD1463=0,0,IF(COUNTIFS($D$4:$D1463,$D1463,$B$4:$B1463,$B1463)&gt;1,0,IF($B1463&lt;'Guide &amp; Settings'!$C$50,0,IF(($B1463-$AD1463)/7-'Guide &amp; Settings'!$C$48&gt;=0,(INT(($B1463-$AD1463)/7-'Guide &amp; Settings'!$C$48)+1)*'Guide &amp; Settings'!$C$49,0)))))</f>
        <v/>
      </c>
      <c r="AD1463" s="142">
        <f t="shared" si="457"/>
        <v>0</v>
      </c>
      <c r="AE1463">
        <f t="shared" si="458"/>
        <v>0</v>
      </c>
      <c r="AF1463">
        <f t="shared" si="459"/>
        <v>0</v>
      </c>
    </row>
    <row r="1464" spans="1:32" x14ac:dyDescent="0.2">
      <c r="A1464" s="117"/>
      <c r="B1464" s="118"/>
      <c r="C1464" s="119"/>
      <c r="D1464" s="119"/>
      <c r="E1464" s="117"/>
      <c r="F1464" s="120">
        <f t="shared" si="440"/>
        <v>0</v>
      </c>
      <c r="G1464" s="121" t="str">
        <f t="shared" si="441"/>
        <v/>
      </c>
      <c r="H1464" s="122">
        <f>IF($D1464="",0,IFERROR(LOOKUP(2,1/(($D$3:D1463=$D1464)*($A$3:A1463&lt;$A1464)),$N$3:N1463),'Guide &amp; Settings'!$C$41))</f>
        <v>0</v>
      </c>
      <c r="I1464" s="123">
        <f t="shared" si="442"/>
        <v>0</v>
      </c>
      <c r="J1464" s="124">
        <f>IF($D1464="",0,IF($F1464&lt;2,0,IF($E1464="Win",('Guide &amp; Settings'!$C$42/(($F1464-1)*COUNTIFS($A$4:$A$1510,$A1464,$E$4:$E$1510,"Win")))*SUMIFS($X$4:$X$1510,$A$4:$A$1510,$A1464,$E$4:$E$1510,"Loss"),-('Guide &amp; Settings'!$C$42/($F1464-1))*$X1464)))</f>
        <v>0</v>
      </c>
      <c r="K1464" s="124">
        <f>IF($D1464="",0,'Guide &amp; Settings'!$C$43*(IF($E1464="Win",1,0)-$I1464))</f>
        <v>0</v>
      </c>
      <c r="L1464" s="125">
        <f>IF($D1464="",0,'Guide &amp; Settings'!$C$44*IF($F1464&gt;=3,$F1464,0))</f>
        <v>0</v>
      </c>
      <c r="M1464" s="124">
        <f t="shared" si="443"/>
        <v>0</v>
      </c>
      <c r="N1464" s="122">
        <f t="shared" si="444"/>
        <v>0</v>
      </c>
      <c r="O1464" s="121" t="str">
        <f t="shared" si="445"/>
        <v/>
      </c>
      <c r="P1464">
        <f t="shared" si="446"/>
        <v>0</v>
      </c>
      <c r="Q1464">
        <f t="shared" si="447"/>
        <v>0</v>
      </c>
      <c r="R1464">
        <f t="shared" si="448"/>
        <v>0</v>
      </c>
      <c r="S1464">
        <f t="shared" si="449"/>
        <v>0</v>
      </c>
      <c r="T1464" s="89">
        <f t="shared" si="450"/>
        <v>0</v>
      </c>
      <c r="U1464" s="126">
        <f>IF($D1464="",0,IFERROR(LOOKUP(2,1/(($D$3:D1463=$D1464)*($C$3:C1463=$C1464)*($A$3:A1463&lt;$A1464)),$AB$3:AB1463),1000))</f>
        <v>0</v>
      </c>
      <c r="V1464" s="126">
        <f t="shared" si="451"/>
        <v>0</v>
      </c>
      <c r="W1464">
        <f t="shared" si="452"/>
        <v>0</v>
      </c>
      <c r="X1464">
        <f t="shared" si="453"/>
        <v>0</v>
      </c>
      <c r="Y1464">
        <f t="shared" si="454"/>
        <v>0</v>
      </c>
      <c r="Z1464">
        <f t="shared" si="455"/>
        <v>0</v>
      </c>
      <c r="AA1464">
        <f>IF($D1464="",0,IF($F1464&lt;2,0,IF($E1464="Win",('Guide &amp; Settings'!$C$42/(($F1464-1)*COUNTIFS($A$4:$A$1510,$A1464,$E$4:$E$1510,"Win")))*SUMIFS($Z$4:$Z$1510,$A$4:$A$1510,$A1464,$E$4:$E$1510,"Loss"),-('Guide &amp; Settings'!$C$42/($F1464-1))*$Z1464)))</f>
        <v>0</v>
      </c>
      <c r="AB1464" s="126">
        <f t="shared" si="456"/>
        <v>0</v>
      </c>
      <c r="AC1464" t="str">
        <f>IF($D1464="","",IF($AD1464=0,0,IF(COUNTIFS($D$4:$D1464,$D1464,$B$4:$B1464,$B1464)&gt;1,0,IF($B1464&lt;'Guide &amp; Settings'!$C$50,0,IF(($B1464-$AD1464)/7-'Guide &amp; Settings'!$C$48&gt;=0,(INT(($B1464-$AD1464)/7-'Guide &amp; Settings'!$C$48)+1)*'Guide &amp; Settings'!$C$49,0)))))</f>
        <v/>
      </c>
      <c r="AD1464" s="142">
        <f t="shared" si="457"/>
        <v>0</v>
      </c>
      <c r="AE1464">
        <f t="shared" si="458"/>
        <v>0</v>
      </c>
      <c r="AF1464">
        <f t="shared" si="459"/>
        <v>0</v>
      </c>
    </row>
    <row r="1465" spans="1:32" x14ac:dyDescent="0.2">
      <c r="A1465" s="117"/>
      <c r="B1465" s="118"/>
      <c r="C1465" s="119"/>
      <c r="D1465" s="119"/>
      <c r="E1465" s="117"/>
      <c r="F1465" s="120">
        <f t="shared" si="440"/>
        <v>0</v>
      </c>
      <c r="G1465" s="121" t="str">
        <f t="shared" si="441"/>
        <v/>
      </c>
      <c r="H1465" s="122">
        <f>IF($D1465="",0,IFERROR(LOOKUP(2,1/(($D$3:D1464=$D1465)*($A$3:A1464&lt;$A1465)),$N$3:N1464),'Guide &amp; Settings'!$C$41))</f>
        <v>0</v>
      </c>
      <c r="I1465" s="123">
        <f t="shared" si="442"/>
        <v>0</v>
      </c>
      <c r="J1465" s="124">
        <f>IF($D1465="",0,IF($F1465&lt;2,0,IF($E1465="Win",('Guide &amp; Settings'!$C$42/(($F1465-1)*COUNTIFS($A$4:$A$1510,$A1465,$E$4:$E$1510,"Win")))*SUMIFS($X$4:$X$1510,$A$4:$A$1510,$A1465,$E$4:$E$1510,"Loss"),-('Guide &amp; Settings'!$C$42/($F1465-1))*$X1465)))</f>
        <v>0</v>
      </c>
      <c r="K1465" s="124">
        <f>IF($D1465="",0,'Guide &amp; Settings'!$C$43*(IF($E1465="Win",1,0)-$I1465))</f>
        <v>0</v>
      </c>
      <c r="L1465" s="125">
        <f>IF($D1465="",0,'Guide &amp; Settings'!$C$44*IF($F1465&gt;=3,$F1465,0))</f>
        <v>0</v>
      </c>
      <c r="M1465" s="124">
        <f t="shared" si="443"/>
        <v>0</v>
      </c>
      <c r="N1465" s="122">
        <f t="shared" si="444"/>
        <v>0</v>
      </c>
      <c r="O1465" s="121" t="str">
        <f t="shared" si="445"/>
        <v/>
      </c>
      <c r="P1465">
        <f t="shared" si="446"/>
        <v>0</v>
      </c>
      <c r="Q1465">
        <f t="shared" si="447"/>
        <v>0</v>
      </c>
      <c r="R1465">
        <f t="shared" si="448"/>
        <v>0</v>
      </c>
      <c r="S1465">
        <f t="shared" si="449"/>
        <v>0</v>
      </c>
      <c r="T1465" s="89">
        <f t="shared" si="450"/>
        <v>0</v>
      </c>
      <c r="U1465" s="126">
        <f>IF($D1465="",0,IFERROR(LOOKUP(2,1/(($D$3:D1464=$D1465)*($C$3:C1464=$C1465)*($A$3:A1464&lt;$A1465)),$AB$3:AB1464),1000))</f>
        <v>0</v>
      </c>
      <c r="V1465" s="126">
        <f t="shared" si="451"/>
        <v>0</v>
      </c>
      <c r="W1465">
        <f t="shared" si="452"/>
        <v>0</v>
      </c>
      <c r="X1465">
        <f t="shared" si="453"/>
        <v>0</v>
      </c>
      <c r="Y1465">
        <f t="shared" si="454"/>
        <v>0</v>
      </c>
      <c r="Z1465">
        <f t="shared" si="455"/>
        <v>0</v>
      </c>
      <c r="AA1465">
        <f>IF($D1465="",0,IF($F1465&lt;2,0,IF($E1465="Win",('Guide &amp; Settings'!$C$42/(($F1465-1)*COUNTIFS($A$4:$A$1510,$A1465,$E$4:$E$1510,"Win")))*SUMIFS($Z$4:$Z$1510,$A$4:$A$1510,$A1465,$E$4:$E$1510,"Loss"),-('Guide &amp; Settings'!$C$42/($F1465-1))*$Z1465)))</f>
        <v>0</v>
      </c>
      <c r="AB1465" s="126">
        <f t="shared" si="456"/>
        <v>0</v>
      </c>
      <c r="AC1465" t="str">
        <f>IF($D1465="","",IF($AD1465=0,0,IF(COUNTIFS($D$4:$D1465,$D1465,$B$4:$B1465,$B1465)&gt;1,0,IF($B1465&lt;'Guide &amp; Settings'!$C$50,0,IF(($B1465-$AD1465)/7-'Guide &amp; Settings'!$C$48&gt;=0,(INT(($B1465-$AD1465)/7-'Guide &amp; Settings'!$C$48)+1)*'Guide &amp; Settings'!$C$49,0)))))</f>
        <v/>
      </c>
      <c r="AD1465" s="142">
        <f t="shared" si="457"/>
        <v>0</v>
      </c>
      <c r="AE1465">
        <f t="shared" si="458"/>
        <v>0</v>
      </c>
      <c r="AF1465">
        <f t="shared" si="459"/>
        <v>0</v>
      </c>
    </row>
    <row r="1466" spans="1:32" x14ac:dyDescent="0.2">
      <c r="A1466" s="117"/>
      <c r="B1466" s="118"/>
      <c r="C1466" s="119"/>
      <c r="D1466" s="119"/>
      <c r="E1466" s="117"/>
      <c r="F1466" s="120">
        <f t="shared" si="440"/>
        <v>0</v>
      </c>
      <c r="G1466" s="121" t="str">
        <f t="shared" si="441"/>
        <v/>
      </c>
      <c r="H1466" s="122">
        <f>IF($D1466="",0,IFERROR(LOOKUP(2,1/(($D$3:D1465=$D1466)*($A$3:A1465&lt;$A1466)),$N$3:N1465),'Guide &amp; Settings'!$C$41))</f>
        <v>0</v>
      </c>
      <c r="I1466" s="123">
        <f t="shared" si="442"/>
        <v>0</v>
      </c>
      <c r="J1466" s="124">
        <f>IF($D1466="",0,IF($F1466&lt;2,0,IF($E1466="Win",('Guide &amp; Settings'!$C$42/(($F1466-1)*COUNTIFS($A$4:$A$1510,$A1466,$E$4:$E$1510,"Win")))*SUMIFS($X$4:$X$1510,$A$4:$A$1510,$A1466,$E$4:$E$1510,"Loss"),-('Guide &amp; Settings'!$C$42/($F1466-1))*$X1466)))</f>
        <v>0</v>
      </c>
      <c r="K1466" s="124">
        <f>IF($D1466="",0,'Guide &amp; Settings'!$C$43*(IF($E1466="Win",1,0)-$I1466))</f>
        <v>0</v>
      </c>
      <c r="L1466" s="125">
        <f>IF($D1466="",0,'Guide &amp; Settings'!$C$44*IF($F1466&gt;=3,$F1466,0))</f>
        <v>0</v>
      </c>
      <c r="M1466" s="124">
        <f t="shared" si="443"/>
        <v>0</v>
      </c>
      <c r="N1466" s="122">
        <f t="shared" si="444"/>
        <v>0</v>
      </c>
      <c r="O1466" s="121" t="str">
        <f t="shared" si="445"/>
        <v/>
      </c>
      <c r="P1466">
        <f t="shared" si="446"/>
        <v>0</v>
      </c>
      <c r="Q1466">
        <f t="shared" si="447"/>
        <v>0</v>
      </c>
      <c r="R1466">
        <f t="shared" si="448"/>
        <v>0</v>
      </c>
      <c r="S1466">
        <f t="shared" si="449"/>
        <v>0</v>
      </c>
      <c r="T1466" s="89">
        <f t="shared" si="450"/>
        <v>0</v>
      </c>
      <c r="U1466" s="126">
        <f>IF($D1466="",0,IFERROR(LOOKUP(2,1/(($D$3:D1465=$D1466)*($C$3:C1465=$C1466)*($A$3:A1465&lt;$A1466)),$AB$3:AB1465),1000))</f>
        <v>0</v>
      </c>
      <c r="V1466" s="126">
        <f t="shared" si="451"/>
        <v>0</v>
      </c>
      <c r="W1466">
        <f t="shared" si="452"/>
        <v>0</v>
      </c>
      <c r="X1466">
        <f t="shared" si="453"/>
        <v>0</v>
      </c>
      <c r="Y1466">
        <f t="shared" si="454"/>
        <v>0</v>
      </c>
      <c r="Z1466">
        <f t="shared" si="455"/>
        <v>0</v>
      </c>
      <c r="AA1466">
        <f>IF($D1466="",0,IF($F1466&lt;2,0,IF($E1466="Win",('Guide &amp; Settings'!$C$42/(($F1466-1)*COUNTIFS($A$4:$A$1510,$A1466,$E$4:$E$1510,"Win")))*SUMIFS($Z$4:$Z$1510,$A$4:$A$1510,$A1466,$E$4:$E$1510,"Loss"),-('Guide &amp; Settings'!$C$42/($F1466-1))*$Z1466)))</f>
        <v>0</v>
      </c>
      <c r="AB1466" s="126">
        <f t="shared" si="456"/>
        <v>0</v>
      </c>
      <c r="AC1466" t="str">
        <f>IF($D1466="","",IF($AD1466=0,0,IF(COUNTIFS($D$4:$D1466,$D1466,$B$4:$B1466,$B1466)&gt;1,0,IF($B1466&lt;'Guide &amp; Settings'!$C$50,0,IF(($B1466-$AD1466)/7-'Guide &amp; Settings'!$C$48&gt;=0,(INT(($B1466-$AD1466)/7-'Guide &amp; Settings'!$C$48)+1)*'Guide &amp; Settings'!$C$49,0)))))</f>
        <v/>
      </c>
      <c r="AD1466" s="142">
        <f t="shared" si="457"/>
        <v>0</v>
      </c>
      <c r="AE1466">
        <f t="shared" si="458"/>
        <v>0</v>
      </c>
      <c r="AF1466">
        <f t="shared" si="459"/>
        <v>0</v>
      </c>
    </row>
    <row r="1467" spans="1:32" x14ac:dyDescent="0.2">
      <c r="A1467" s="117"/>
      <c r="B1467" s="118"/>
      <c r="C1467" s="119"/>
      <c r="D1467" s="119"/>
      <c r="E1467" s="117"/>
      <c r="F1467" s="120">
        <f t="shared" si="440"/>
        <v>0</v>
      </c>
      <c r="G1467" s="121" t="str">
        <f t="shared" si="441"/>
        <v/>
      </c>
      <c r="H1467" s="122">
        <f>IF($D1467="",0,IFERROR(LOOKUP(2,1/(($D$3:D1466=$D1467)*($A$3:A1466&lt;$A1467)),$N$3:N1466),'Guide &amp; Settings'!$C$41))</f>
        <v>0</v>
      </c>
      <c r="I1467" s="123">
        <f t="shared" si="442"/>
        <v>0</v>
      </c>
      <c r="J1467" s="124">
        <f>IF($D1467="",0,IF($F1467&lt;2,0,IF($E1467="Win",('Guide &amp; Settings'!$C$42/(($F1467-1)*COUNTIFS($A$4:$A$1510,$A1467,$E$4:$E$1510,"Win")))*SUMIFS($X$4:$X$1510,$A$4:$A$1510,$A1467,$E$4:$E$1510,"Loss"),-('Guide &amp; Settings'!$C$42/($F1467-1))*$X1467)))</f>
        <v>0</v>
      </c>
      <c r="K1467" s="124">
        <f>IF($D1467="",0,'Guide &amp; Settings'!$C$43*(IF($E1467="Win",1,0)-$I1467))</f>
        <v>0</v>
      </c>
      <c r="L1467" s="125">
        <f>IF($D1467="",0,'Guide &amp; Settings'!$C$44*IF($F1467&gt;=3,$F1467,0))</f>
        <v>0</v>
      </c>
      <c r="M1467" s="124">
        <f t="shared" si="443"/>
        <v>0</v>
      </c>
      <c r="N1467" s="122">
        <f t="shared" si="444"/>
        <v>0</v>
      </c>
      <c r="O1467" s="121" t="str">
        <f t="shared" si="445"/>
        <v/>
      </c>
      <c r="P1467">
        <f t="shared" si="446"/>
        <v>0</v>
      </c>
      <c r="Q1467">
        <f t="shared" si="447"/>
        <v>0</v>
      </c>
      <c r="R1467">
        <f t="shared" si="448"/>
        <v>0</v>
      </c>
      <c r="S1467">
        <f t="shared" si="449"/>
        <v>0</v>
      </c>
      <c r="T1467" s="89">
        <f t="shared" si="450"/>
        <v>0</v>
      </c>
      <c r="U1467" s="126">
        <f>IF($D1467="",0,IFERROR(LOOKUP(2,1/(($D$3:D1466=$D1467)*($C$3:C1466=$C1467)*($A$3:A1466&lt;$A1467)),$AB$3:AB1466),1000))</f>
        <v>0</v>
      </c>
      <c r="V1467" s="126">
        <f t="shared" si="451"/>
        <v>0</v>
      </c>
      <c r="W1467">
        <f t="shared" si="452"/>
        <v>0</v>
      </c>
      <c r="X1467">
        <f t="shared" si="453"/>
        <v>0</v>
      </c>
      <c r="Y1467">
        <f t="shared" si="454"/>
        <v>0</v>
      </c>
      <c r="Z1467">
        <f t="shared" si="455"/>
        <v>0</v>
      </c>
      <c r="AA1467">
        <f>IF($D1467="",0,IF($F1467&lt;2,0,IF($E1467="Win",('Guide &amp; Settings'!$C$42/(($F1467-1)*COUNTIFS($A$4:$A$1510,$A1467,$E$4:$E$1510,"Win")))*SUMIFS($Z$4:$Z$1510,$A$4:$A$1510,$A1467,$E$4:$E$1510,"Loss"),-('Guide &amp; Settings'!$C$42/($F1467-1))*$Z1467)))</f>
        <v>0</v>
      </c>
      <c r="AB1467" s="126">
        <f t="shared" si="456"/>
        <v>0</v>
      </c>
      <c r="AC1467" t="str">
        <f>IF($D1467="","",IF($AD1467=0,0,IF(COUNTIFS($D$4:$D1467,$D1467,$B$4:$B1467,$B1467)&gt;1,0,IF($B1467&lt;'Guide &amp; Settings'!$C$50,0,IF(($B1467-$AD1467)/7-'Guide &amp; Settings'!$C$48&gt;=0,(INT(($B1467-$AD1467)/7-'Guide &amp; Settings'!$C$48)+1)*'Guide &amp; Settings'!$C$49,0)))))</f>
        <v/>
      </c>
      <c r="AD1467" s="142">
        <f t="shared" si="457"/>
        <v>0</v>
      </c>
      <c r="AE1467">
        <f t="shared" si="458"/>
        <v>0</v>
      </c>
      <c r="AF1467">
        <f t="shared" si="459"/>
        <v>0</v>
      </c>
    </row>
    <row r="1468" spans="1:32" x14ac:dyDescent="0.2">
      <c r="A1468" s="117"/>
      <c r="B1468" s="118"/>
      <c r="C1468" s="119"/>
      <c r="D1468" s="119"/>
      <c r="E1468" s="117"/>
      <c r="F1468" s="120">
        <f t="shared" si="440"/>
        <v>0</v>
      </c>
      <c r="G1468" s="121" t="str">
        <f t="shared" si="441"/>
        <v/>
      </c>
      <c r="H1468" s="122">
        <f>IF($D1468="",0,IFERROR(LOOKUP(2,1/(($D$3:D1467=$D1468)*($A$3:A1467&lt;$A1468)),$N$3:N1467),'Guide &amp; Settings'!$C$41))</f>
        <v>0</v>
      </c>
      <c r="I1468" s="123">
        <f t="shared" si="442"/>
        <v>0</v>
      </c>
      <c r="J1468" s="124">
        <f>IF($D1468="",0,IF($F1468&lt;2,0,IF($E1468="Win",('Guide &amp; Settings'!$C$42/(($F1468-1)*COUNTIFS($A$4:$A$1510,$A1468,$E$4:$E$1510,"Win")))*SUMIFS($X$4:$X$1510,$A$4:$A$1510,$A1468,$E$4:$E$1510,"Loss"),-('Guide &amp; Settings'!$C$42/($F1468-1))*$X1468)))</f>
        <v>0</v>
      </c>
      <c r="K1468" s="124">
        <f>IF($D1468="",0,'Guide &amp; Settings'!$C$43*(IF($E1468="Win",1,0)-$I1468))</f>
        <v>0</v>
      </c>
      <c r="L1468" s="125">
        <f>IF($D1468="",0,'Guide &amp; Settings'!$C$44*IF($F1468&gt;=3,$F1468,0))</f>
        <v>0</v>
      </c>
      <c r="M1468" s="124">
        <f t="shared" si="443"/>
        <v>0</v>
      </c>
      <c r="N1468" s="122">
        <f t="shared" si="444"/>
        <v>0</v>
      </c>
      <c r="O1468" s="121" t="str">
        <f t="shared" si="445"/>
        <v/>
      </c>
      <c r="P1468">
        <f t="shared" si="446"/>
        <v>0</v>
      </c>
      <c r="Q1468">
        <f t="shared" si="447"/>
        <v>0</v>
      </c>
      <c r="R1468">
        <f t="shared" si="448"/>
        <v>0</v>
      </c>
      <c r="S1468">
        <f t="shared" si="449"/>
        <v>0</v>
      </c>
      <c r="T1468" s="89">
        <f t="shared" si="450"/>
        <v>0</v>
      </c>
      <c r="U1468" s="126">
        <f>IF($D1468="",0,IFERROR(LOOKUP(2,1/(($D$3:D1467=$D1468)*($C$3:C1467=$C1468)*($A$3:A1467&lt;$A1468)),$AB$3:AB1467),1000))</f>
        <v>0</v>
      </c>
      <c r="V1468" s="126">
        <f t="shared" si="451"/>
        <v>0</v>
      </c>
      <c r="W1468">
        <f t="shared" si="452"/>
        <v>0</v>
      </c>
      <c r="X1468">
        <f t="shared" si="453"/>
        <v>0</v>
      </c>
      <c r="Y1468">
        <f t="shared" si="454"/>
        <v>0</v>
      </c>
      <c r="Z1468">
        <f t="shared" si="455"/>
        <v>0</v>
      </c>
      <c r="AA1468">
        <f>IF($D1468="",0,IF($F1468&lt;2,0,IF($E1468="Win",('Guide &amp; Settings'!$C$42/(($F1468-1)*COUNTIFS($A$4:$A$1510,$A1468,$E$4:$E$1510,"Win")))*SUMIFS($Z$4:$Z$1510,$A$4:$A$1510,$A1468,$E$4:$E$1510,"Loss"),-('Guide &amp; Settings'!$C$42/($F1468-1))*$Z1468)))</f>
        <v>0</v>
      </c>
      <c r="AB1468" s="126">
        <f t="shared" si="456"/>
        <v>0</v>
      </c>
      <c r="AC1468" t="str">
        <f>IF($D1468="","",IF($AD1468=0,0,IF(COUNTIFS($D$4:$D1468,$D1468,$B$4:$B1468,$B1468)&gt;1,0,IF($B1468&lt;'Guide &amp; Settings'!$C$50,0,IF(($B1468-$AD1468)/7-'Guide &amp; Settings'!$C$48&gt;=0,(INT(($B1468-$AD1468)/7-'Guide &amp; Settings'!$C$48)+1)*'Guide &amp; Settings'!$C$49,0)))))</f>
        <v/>
      </c>
      <c r="AD1468" s="142">
        <f t="shared" si="457"/>
        <v>0</v>
      </c>
      <c r="AE1468">
        <f t="shared" si="458"/>
        <v>0</v>
      </c>
      <c r="AF1468">
        <f t="shared" si="459"/>
        <v>0</v>
      </c>
    </row>
    <row r="1469" spans="1:32" x14ac:dyDescent="0.2">
      <c r="A1469" s="117"/>
      <c r="B1469" s="118"/>
      <c r="C1469" s="119"/>
      <c r="D1469" s="119"/>
      <c r="E1469" s="117"/>
      <c r="F1469" s="120">
        <f t="shared" si="440"/>
        <v>0</v>
      </c>
      <c r="G1469" s="121" t="str">
        <f t="shared" si="441"/>
        <v/>
      </c>
      <c r="H1469" s="122">
        <f>IF($D1469="",0,IFERROR(LOOKUP(2,1/(($D$3:D1468=$D1469)*($A$3:A1468&lt;$A1469)),$N$3:N1468),'Guide &amp; Settings'!$C$41))</f>
        <v>0</v>
      </c>
      <c r="I1469" s="123">
        <f t="shared" si="442"/>
        <v>0</v>
      </c>
      <c r="J1469" s="124">
        <f>IF($D1469="",0,IF($F1469&lt;2,0,IF($E1469="Win",('Guide &amp; Settings'!$C$42/(($F1469-1)*COUNTIFS($A$4:$A$1510,$A1469,$E$4:$E$1510,"Win")))*SUMIFS($X$4:$X$1510,$A$4:$A$1510,$A1469,$E$4:$E$1510,"Loss"),-('Guide &amp; Settings'!$C$42/($F1469-1))*$X1469)))</f>
        <v>0</v>
      </c>
      <c r="K1469" s="124">
        <f>IF($D1469="",0,'Guide &amp; Settings'!$C$43*(IF($E1469="Win",1,0)-$I1469))</f>
        <v>0</v>
      </c>
      <c r="L1469" s="125">
        <f>IF($D1469="",0,'Guide &amp; Settings'!$C$44*IF($F1469&gt;=3,$F1469,0))</f>
        <v>0</v>
      </c>
      <c r="M1469" s="124">
        <f t="shared" si="443"/>
        <v>0</v>
      </c>
      <c r="N1469" s="122">
        <f t="shared" si="444"/>
        <v>0</v>
      </c>
      <c r="O1469" s="121" t="str">
        <f t="shared" si="445"/>
        <v/>
      </c>
      <c r="P1469">
        <f t="shared" si="446"/>
        <v>0</v>
      </c>
      <c r="Q1469">
        <f t="shared" si="447"/>
        <v>0</v>
      </c>
      <c r="R1469">
        <f t="shared" si="448"/>
        <v>0</v>
      </c>
      <c r="S1469">
        <f t="shared" si="449"/>
        <v>0</v>
      </c>
      <c r="T1469" s="89">
        <f t="shared" si="450"/>
        <v>0</v>
      </c>
      <c r="U1469" s="126">
        <f>IF($D1469="",0,IFERROR(LOOKUP(2,1/(($D$3:D1468=$D1469)*($C$3:C1468=$C1469)*($A$3:A1468&lt;$A1469)),$AB$3:AB1468),1000))</f>
        <v>0</v>
      </c>
      <c r="V1469" s="126">
        <f t="shared" si="451"/>
        <v>0</v>
      </c>
      <c r="W1469">
        <f t="shared" si="452"/>
        <v>0</v>
      </c>
      <c r="X1469">
        <f t="shared" si="453"/>
        <v>0</v>
      </c>
      <c r="Y1469">
        <f t="shared" si="454"/>
        <v>0</v>
      </c>
      <c r="Z1469">
        <f t="shared" si="455"/>
        <v>0</v>
      </c>
      <c r="AA1469">
        <f>IF($D1469="",0,IF($F1469&lt;2,0,IF($E1469="Win",('Guide &amp; Settings'!$C$42/(($F1469-1)*COUNTIFS($A$4:$A$1510,$A1469,$E$4:$E$1510,"Win")))*SUMIFS($Z$4:$Z$1510,$A$4:$A$1510,$A1469,$E$4:$E$1510,"Loss"),-('Guide &amp; Settings'!$C$42/($F1469-1))*$Z1469)))</f>
        <v>0</v>
      </c>
      <c r="AB1469" s="126">
        <f t="shared" si="456"/>
        <v>0</v>
      </c>
      <c r="AC1469" t="str">
        <f>IF($D1469="","",IF($AD1469=0,0,IF(COUNTIFS($D$4:$D1469,$D1469,$B$4:$B1469,$B1469)&gt;1,0,IF($B1469&lt;'Guide &amp; Settings'!$C$50,0,IF(($B1469-$AD1469)/7-'Guide &amp; Settings'!$C$48&gt;=0,(INT(($B1469-$AD1469)/7-'Guide &amp; Settings'!$C$48)+1)*'Guide &amp; Settings'!$C$49,0)))))</f>
        <v/>
      </c>
      <c r="AD1469" s="142">
        <f t="shared" si="457"/>
        <v>0</v>
      </c>
      <c r="AE1469">
        <f t="shared" si="458"/>
        <v>0</v>
      </c>
      <c r="AF1469">
        <f t="shared" si="459"/>
        <v>0</v>
      </c>
    </row>
    <row r="1470" spans="1:32" x14ac:dyDescent="0.2">
      <c r="A1470" s="117"/>
      <c r="B1470" s="118"/>
      <c r="C1470" s="119"/>
      <c r="D1470" s="119"/>
      <c r="E1470" s="117"/>
      <c r="F1470" s="120">
        <f t="shared" si="440"/>
        <v>0</v>
      </c>
      <c r="G1470" s="121" t="str">
        <f t="shared" si="441"/>
        <v/>
      </c>
      <c r="H1470" s="122">
        <f>IF($D1470="",0,IFERROR(LOOKUP(2,1/(($D$3:D1469=$D1470)*($A$3:A1469&lt;$A1470)),$N$3:N1469),'Guide &amp; Settings'!$C$41))</f>
        <v>0</v>
      </c>
      <c r="I1470" s="123">
        <f t="shared" si="442"/>
        <v>0</v>
      </c>
      <c r="J1470" s="124">
        <f>IF($D1470="",0,IF($F1470&lt;2,0,IF($E1470="Win",('Guide &amp; Settings'!$C$42/(($F1470-1)*COUNTIFS($A$4:$A$1510,$A1470,$E$4:$E$1510,"Win")))*SUMIFS($X$4:$X$1510,$A$4:$A$1510,$A1470,$E$4:$E$1510,"Loss"),-('Guide &amp; Settings'!$C$42/($F1470-1))*$X1470)))</f>
        <v>0</v>
      </c>
      <c r="K1470" s="124">
        <f>IF($D1470="",0,'Guide &amp; Settings'!$C$43*(IF($E1470="Win",1,0)-$I1470))</f>
        <v>0</v>
      </c>
      <c r="L1470" s="125">
        <f>IF($D1470="",0,'Guide &amp; Settings'!$C$44*IF($F1470&gt;=3,$F1470,0))</f>
        <v>0</v>
      </c>
      <c r="M1470" s="124">
        <f t="shared" si="443"/>
        <v>0</v>
      </c>
      <c r="N1470" s="122">
        <f t="shared" si="444"/>
        <v>0</v>
      </c>
      <c r="O1470" s="121" t="str">
        <f t="shared" si="445"/>
        <v/>
      </c>
      <c r="P1470">
        <f t="shared" si="446"/>
        <v>0</v>
      </c>
      <c r="Q1470">
        <f t="shared" si="447"/>
        <v>0</v>
      </c>
      <c r="R1470">
        <f t="shared" si="448"/>
        <v>0</v>
      </c>
      <c r="S1470">
        <f t="shared" si="449"/>
        <v>0</v>
      </c>
      <c r="T1470" s="89">
        <f t="shared" si="450"/>
        <v>0</v>
      </c>
      <c r="U1470" s="126">
        <f>IF($D1470="",0,IFERROR(LOOKUP(2,1/(($D$3:D1469=$D1470)*($C$3:C1469=$C1470)*($A$3:A1469&lt;$A1470)),$AB$3:AB1469),1000))</f>
        <v>0</v>
      </c>
      <c r="V1470" s="126">
        <f t="shared" si="451"/>
        <v>0</v>
      </c>
      <c r="W1470">
        <f t="shared" si="452"/>
        <v>0</v>
      </c>
      <c r="X1470">
        <f t="shared" si="453"/>
        <v>0</v>
      </c>
      <c r="Y1470">
        <f t="shared" si="454"/>
        <v>0</v>
      </c>
      <c r="Z1470">
        <f t="shared" si="455"/>
        <v>0</v>
      </c>
      <c r="AA1470">
        <f>IF($D1470="",0,IF($F1470&lt;2,0,IF($E1470="Win",('Guide &amp; Settings'!$C$42/(($F1470-1)*COUNTIFS($A$4:$A$1510,$A1470,$E$4:$E$1510,"Win")))*SUMIFS($Z$4:$Z$1510,$A$4:$A$1510,$A1470,$E$4:$E$1510,"Loss"),-('Guide &amp; Settings'!$C$42/($F1470-1))*$Z1470)))</f>
        <v>0</v>
      </c>
      <c r="AB1470" s="126">
        <f t="shared" si="456"/>
        <v>0</v>
      </c>
      <c r="AC1470" t="str">
        <f>IF($D1470="","",IF($AD1470=0,0,IF(COUNTIFS($D$4:$D1470,$D1470,$B$4:$B1470,$B1470)&gt;1,0,IF($B1470&lt;'Guide &amp; Settings'!$C$50,0,IF(($B1470-$AD1470)/7-'Guide &amp; Settings'!$C$48&gt;=0,(INT(($B1470-$AD1470)/7-'Guide &amp; Settings'!$C$48)+1)*'Guide &amp; Settings'!$C$49,0)))))</f>
        <v/>
      </c>
      <c r="AD1470" s="142">
        <f t="shared" si="457"/>
        <v>0</v>
      </c>
      <c r="AE1470">
        <f t="shared" si="458"/>
        <v>0</v>
      </c>
      <c r="AF1470">
        <f t="shared" si="459"/>
        <v>0</v>
      </c>
    </row>
    <row r="1471" spans="1:32" x14ac:dyDescent="0.2">
      <c r="A1471" s="117"/>
      <c r="B1471" s="118"/>
      <c r="C1471" s="119"/>
      <c r="D1471" s="119"/>
      <c r="E1471" s="117"/>
      <c r="F1471" s="120">
        <f t="shared" si="440"/>
        <v>0</v>
      </c>
      <c r="G1471" s="121" t="str">
        <f t="shared" si="441"/>
        <v/>
      </c>
      <c r="H1471" s="122">
        <f>IF($D1471="",0,IFERROR(LOOKUP(2,1/(($D$3:D1470=$D1471)*($A$3:A1470&lt;$A1471)),$N$3:N1470),'Guide &amp; Settings'!$C$41))</f>
        <v>0</v>
      </c>
      <c r="I1471" s="123">
        <f t="shared" si="442"/>
        <v>0</v>
      </c>
      <c r="J1471" s="124">
        <f>IF($D1471="",0,IF($F1471&lt;2,0,IF($E1471="Win",('Guide &amp; Settings'!$C$42/(($F1471-1)*COUNTIFS($A$4:$A$1510,$A1471,$E$4:$E$1510,"Win")))*SUMIFS($X$4:$X$1510,$A$4:$A$1510,$A1471,$E$4:$E$1510,"Loss"),-('Guide &amp; Settings'!$C$42/($F1471-1))*$X1471)))</f>
        <v>0</v>
      </c>
      <c r="K1471" s="124">
        <f>IF($D1471="",0,'Guide &amp; Settings'!$C$43*(IF($E1471="Win",1,0)-$I1471))</f>
        <v>0</v>
      </c>
      <c r="L1471" s="125">
        <f>IF($D1471="",0,'Guide &amp; Settings'!$C$44*IF($F1471&gt;=3,$F1471,0))</f>
        <v>0</v>
      </c>
      <c r="M1471" s="124">
        <f t="shared" si="443"/>
        <v>0</v>
      </c>
      <c r="N1471" s="122">
        <f t="shared" si="444"/>
        <v>0</v>
      </c>
      <c r="O1471" s="121" t="str">
        <f t="shared" si="445"/>
        <v/>
      </c>
      <c r="P1471">
        <f t="shared" si="446"/>
        <v>0</v>
      </c>
      <c r="Q1471">
        <f t="shared" si="447"/>
        <v>0</v>
      </c>
      <c r="R1471">
        <f t="shared" si="448"/>
        <v>0</v>
      </c>
      <c r="S1471">
        <f t="shared" si="449"/>
        <v>0</v>
      </c>
      <c r="T1471" s="89">
        <f t="shared" si="450"/>
        <v>0</v>
      </c>
      <c r="U1471" s="126">
        <f>IF($D1471="",0,IFERROR(LOOKUP(2,1/(($D$3:D1470=$D1471)*($C$3:C1470=$C1471)*($A$3:A1470&lt;$A1471)),$AB$3:AB1470),1000))</f>
        <v>0</v>
      </c>
      <c r="V1471" s="126">
        <f t="shared" si="451"/>
        <v>0</v>
      </c>
      <c r="W1471">
        <f t="shared" si="452"/>
        <v>0</v>
      </c>
      <c r="X1471">
        <f t="shared" si="453"/>
        <v>0</v>
      </c>
      <c r="Y1471">
        <f t="shared" si="454"/>
        <v>0</v>
      </c>
      <c r="Z1471">
        <f t="shared" si="455"/>
        <v>0</v>
      </c>
      <c r="AA1471">
        <f>IF($D1471="",0,IF($F1471&lt;2,0,IF($E1471="Win",('Guide &amp; Settings'!$C$42/(($F1471-1)*COUNTIFS($A$4:$A$1510,$A1471,$E$4:$E$1510,"Win")))*SUMIFS($Z$4:$Z$1510,$A$4:$A$1510,$A1471,$E$4:$E$1510,"Loss"),-('Guide &amp; Settings'!$C$42/($F1471-1))*$Z1471)))</f>
        <v>0</v>
      </c>
      <c r="AB1471" s="126">
        <f t="shared" si="456"/>
        <v>0</v>
      </c>
      <c r="AC1471" t="str">
        <f>IF($D1471="","",IF($AD1471=0,0,IF(COUNTIFS($D$4:$D1471,$D1471,$B$4:$B1471,$B1471)&gt;1,0,IF($B1471&lt;'Guide &amp; Settings'!$C$50,0,IF(($B1471-$AD1471)/7-'Guide &amp; Settings'!$C$48&gt;=0,(INT(($B1471-$AD1471)/7-'Guide &amp; Settings'!$C$48)+1)*'Guide &amp; Settings'!$C$49,0)))))</f>
        <v/>
      </c>
      <c r="AD1471" s="142">
        <f t="shared" si="457"/>
        <v>0</v>
      </c>
      <c r="AE1471">
        <f t="shared" si="458"/>
        <v>0</v>
      </c>
      <c r="AF1471">
        <f t="shared" si="459"/>
        <v>0</v>
      </c>
    </row>
    <row r="1472" spans="1:32" x14ac:dyDescent="0.2">
      <c r="A1472" s="117"/>
      <c r="B1472" s="118"/>
      <c r="C1472" s="119"/>
      <c r="D1472" s="119"/>
      <c r="E1472" s="117"/>
      <c r="F1472" s="120">
        <f t="shared" si="440"/>
        <v>0</v>
      </c>
      <c r="G1472" s="121" t="str">
        <f t="shared" si="441"/>
        <v/>
      </c>
      <c r="H1472" s="122">
        <f>IF($D1472="",0,IFERROR(LOOKUP(2,1/(($D$3:D1471=$D1472)*($A$3:A1471&lt;$A1472)),$N$3:N1471),'Guide &amp; Settings'!$C$41))</f>
        <v>0</v>
      </c>
      <c r="I1472" s="123">
        <f t="shared" si="442"/>
        <v>0</v>
      </c>
      <c r="J1472" s="124">
        <f>IF($D1472="",0,IF($F1472&lt;2,0,IF($E1472="Win",('Guide &amp; Settings'!$C$42/(($F1472-1)*COUNTIFS($A$4:$A$1510,$A1472,$E$4:$E$1510,"Win")))*SUMIFS($X$4:$X$1510,$A$4:$A$1510,$A1472,$E$4:$E$1510,"Loss"),-('Guide &amp; Settings'!$C$42/($F1472-1))*$X1472)))</f>
        <v>0</v>
      </c>
      <c r="K1472" s="124">
        <f>IF($D1472="",0,'Guide &amp; Settings'!$C$43*(IF($E1472="Win",1,0)-$I1472))</f>
        <v>0</v>
      </c>
      <c r="L1472" s="125">
        <f>IF($D1472="",0,'Guide &amp; Settings'!$C$44*IF($F1472&gt;=3,$F1472,0))</f>
        <v>0</v>
      </c>
      <c r="M1472" s="124">
        <f t="shared" si="443"/>
        <v>0</v>
      </c>
      <c r="N1472" s="122">
        <f t="shared" si="444"/>
        <v>0</v>
      </c>
      <c r="O1472" s="121" t="str">
        <f t="shared" si="445"/>
        <v/>
      </c>
      <c r="P1472">
        <f t="shared" si="446"/>
        <v>0</v>
      </c>
      <c r="Q1472">
        <f t="shared" si="447"/>
        <v>0</v>
      </c>
      <c r="R1472">
        <f t="shared" si="448"/>
        <v>0</v>
      </c>
      <c r="S1472">
        <f t="shared" si="449"/>
        <v>0</v>
      </c>
      <c r="T1472" s="89">
        <f t="shared" si="450"/>
        <v>0</v>
      </c>
      <c r="U1472" s="126">
        <f>IF($D1472="",0,IFERROR(LOOKUP(2,1/(($D$3:D1471=$D1472)*($C$3:C1471=$C1472)*($A$3:A1471&lt;$A1472)),$AB$3:AB1471),1000))</f>
        <v>0</v>
      </c>
      <c r="V1472" s="126">
        <f t="shared" si="451"/>
        <v>0</v>
      </c>
      <c r="W1472">
        <f t="shared" si="452"/>
        <v>0</v>
      </c>
      <c r="X1472">
        <f t="shared" si="453"/>
        <v>0</v>
      </c>
      <c r="Y1472">
        <f t="shared" si="454"/>
        <v>0</v>
      </c>
      <c r="Z1472">
        <f t="shared" si="455"/>
        <v>0</v>
      </c>
      <c r="AA1472">
        <f>IF($D1472="",0,IF($F1472&lt;2,0,IF($E1472="Win",('Guide &amp; Settings'!$C$42/(($F1472-1)*COUNTIFS($A$4:$A$1510,$A1472,$E$4:$E$1510,"Win")))*SUMIFS($Z$4:$Z$1510,$A$4:$A$1510,$A1472,$E$4:$E$1510,"Loss"),-('Guide &amp; Settings'!$C$42/($F1472-1))*$Z1472)))</f>
        <v>0</v>
      </c>
      <c r="AB1472" s="126">
        <f t="shared" si="456"/>
        <v>0</v>
      </c>
      <c r="AC1472" t="str">
        <f>IF($D1472="","",IF($AD1472=0,0,IF(COUNTIFS($D$4:$D1472,$D1472,$B$4:$B1472,$B1472)&gt;1,0,IF($B1472&lt;'Guide &amp; Settings'!$C$50,0,IF(($B1472-$AD1472)/7-'Guide &amp; Settings'!$C$48&gt;=0,(INT(($B1472-$AD1472)/7-'Guide &amp; Settings'!$C$48)+1)*'Guide &amp; Settings'!$C$49,0)))))</f>
        <v/>
      </c>
      <c r="AD1472" s="142">
        <f t="shared" si="457"/>
        <v>0</v>
      </c>
      <c r="AE1472">
        <f t="shared" si="458"/>
        <v>0</v>
      </c>
      <c r="AF1472">
        <f t="shared" si="459"/>
        <v>0</v>
      </c>
    </row>
    <row r="1473" spans="1:32" x14ac:dyDescent="0.2">
      <c r="A1473" s="117"/>
      <c r="B1473" s="118"/>
      <c r="C1473" s="119"/>
      <c r="D1473" s="119"/>
      <c r="E1473" s="117"/>
      <c r="F1473" s="120">
        <f t="shared" si="440"/>
        <v>0</v>
      </c>
      <c r="G1473" s="121" t="str">
        <f t="shared" si="441"/>
        <v/>
      </c>
      <c r="H1473" s="122">
        <f>IF($D1473="",0,IFERROR(LOOKUP(2,1/(($D$3:D1472=$D1473)*($A$3:A1472&lt;$A1473)),$N$3:N1472),'Guide &amp; Settings'!$C$41))</f>
        <v>0</v>
      </c>
      <c r="I1473" s="123">
        <f t="shared" si="442"/>
        <v>0</v>
      </c>
      <c r="J1473" s="124">
        <f>IF($D1473="",0,IF($F1473&lt;2,0,IF($E1473="Win",('Guide &amp; Settings'!$C$42/(($F1473-1)*COUNTIFS($A$4:$A$1510,$A1473,$E$4:$E$1510,"Win")))*SUMIFS($X$4:$X$1510,$A$4:$A$1510,$A1473,$E$4:$E$1510,"Loss"),-('Guide &amp; Settings'!$C$42/($F1473-1))*$X1473)))</f>
        <v>0</v>
      </c>
      <c r="K1473" s="124">
        <f>IF($D1473="",0,'Guide &amp; Settings'!$C$43*(IF($E1473="Win",1,0)-$I1473))</f>
        <v>0</v>
      </c>
      <c r="L1473" s="125">
        <f>IF($D1473="",0,'Guide &amp; Settings'!$C$44*IF($F1473&gt;=3,$F1473,0))</f>
        <v>0</v>
      </c>
      <c r="M1473" s="124">
        <f t="shared" si="443"/>
        <v>0</v>
      </c>
      <c r="N1473" s="122">
        <f t="shared" si="444"/>
        <v>0</v>
      </c>
      <c r="O1473" s="121" t="str">
        <f t="shared" si="445"/>
        <v/>
      </c>
      <c r="P1473">
        <f t="shared" si="446"/>
        <v>0</v>
      </c>
      <c r="Q1473">
        <f t="shared" si="447"/>
        <v>0</v>
      </c>
      <c r="R1473">
        <f t="shared" si="448"/>
        <v>0</v>
      </c>
      <c r="S1473">
        <f t="shared" si="449"/>
        <v>0</v>
      </c>
      <c r="T1473" s="89">
        <f t="shared" si="450"/>
        <v>0</v>
      </c>
      <c r="U1473" s="126">
        <f>IF($D1473="",0,IFERROR(LOOKUP(2,1/(($D$3:D1472=$D1473)*($C$3:C1472=$C1473)*($A$3:A1472&lt;$A1473)),$AB$3:AB1472),1000))</f>
        <v>0</v>
      </c>
      <c r="V1473" s="126">
        <f t="shared" si="451"/>
        <v>0</v>
      </c>
      <c r="W1473">
        <f t="shared" si="452"/>
        <v>0</v>
      </c>
      <c r="X1473">
        <f t="shared" si="453"/>
        <v>0</v>
      </c>
      <c r="Y1473">
        <f t="shared" si="454"/>
        <v>0</v>
      </c>
      <c r="Z1473">
        <f t="shared" si="455"/>
        <v>0</v>
      </c>
      <c r="AA1473">
        <f>IF($D1473="",0,IF($F1473&lt;2,0,IF($E1473="Win",('Guide &amp; Settings'!$C$42/(($F1473-1)*COUNTIFS($A$4:$A$1510,$A1473,$E$4:$E$1510,"Win")))*SUMIFS($Z$4:$Z$1510,$A$4:$A$1510,$A1473,$E$4:$E$1510,"Loss"),-('Guide &amp; Settings'!$C$42/($F1473-1))*$Z1473)))</f>
        <v>0</v>
      </c>
      <c r="AB1473" s="126">
        <f t="shared" si="456"/>
        <v>0</v>
      </c>
      <c r="AC1473" t="str">
        <f>IF($D1473="","",IF($AD1473=0,0,IF(COUNTIFS($D$4:$D1473,$D1473,$B$4:$B1473,$B1473)&gt;1,0,IF($B1473&lt;'Guide &amp; Settings'!$C$50,0,IF(($B1473-$AD1473)/7-'Guide &amp; Settings'!$C$48&gt;=0,(INT(($B1473-$AD1473)/7-'Guide &amp; Settings'!$C$48)+1)*'Guide &amp; Settings'!$C$49,0)))))</f>
        <v/>
      </c>
      <c r="AD1473" s="142">
        <f t="shared" si="457"/>
        <v>0</v>
      </c>
      <c r="AE1473">
        <f t="shared" si="458"/>
        <v>0</v>
      </c>
      <c r="AF1473">
        <f t="shared" si="459"/>
        <v>0</v>
      </c>
    </row>
    <row r="1474" spans="1:32" x14ac:dyDescent="0.2">
      <c r="A1474" s="117"/>
      <c r="B1474" s="118"/>
      <c r="C1474" s="119"/>
      <c r="D1474" s="119"/>
      <c r="E1474" s="117"/>
      <c r="F1474" s="120">
        <f t="shared" si="440"/>
        <v>0</v>
      </c>
      <c r="G1474" s="121" t="str">
        <f t="shared" si="441"/>
        <v/>
      </c>
      <c r="H1474" s="122">
        <f>IF($D1474="",0,IFERROR(LOOKUP(2,1/(($D$3:D1473=$D1474)*($A$3:A1473&lt;$A1474)),$N$3:N1473),'Guide &amp; Settings'!$C$41))</f>
        <v>0</v>
      </c>
      <c r="I1474" s="123">
        <f t="shared" si="442"/>
        <v>0</v>
      </c>
      <c r="J1474" s="124">
        <f>IF($D1474="",0,IF($F1474&lt;2,0,IF($E1474="Win",('Guide &amp; Settings'!$C$42/(($F1474-1)*COUNTIFS($A$4:$A$1510,$A1474,$E$4:$E$1510,"Win")))*SUMIFS($X$4:$X$1510,$A$4:$A$1510,$A1474,$E$4:$E$1510,"Loss"),-('Guide &amp; Settings'!$C$42/($F1474-1))*$X1474)))</f>
        <v>0</v>
      </c>
      <c r="K1474" s="124">
        <f>IF($D1474="",0,'Guide &amp; Settings'!$C$43*(IF($E1474="Win",1,0)-$I1474))</f>
        <v>0</v>
      </c>
      <c r="L1474" s="125">
        <f>IF($D1474="",0,'Guide &amp; Settings'!$C$44*IF($F1474&gt;=3,$F1474,0))</f>
        <v>0</v>
      </c>
      <c r="M1474" s="124">
        <f t="shared" si="443"/>
        <v>0</v>
      </c>
      <c r="N1474" s="122">
        <f t="shared" si="444"/>
        <v>0</v>
      </c>
      <c r="O1474" s="121" t="str">
        <f t="shared" si="445"/>
        <v/>
      </c>
      <c r="P1474">
        <f t="shared" si="446"/>
        <v>0</v>
      </c>
      <c r="Q1474">
        <f t="shared" si="447"/>
        <v>0</v>
      </c>
      <c r="R1474">
        <f t="shared" si="448"/>
        <v>0</v>
      </c>
      <c r="S1474">
        <f t="shared" si="449"/>
        <v>0</v>
      </c>
      <c r="T1474" s="89">
        <f t="shared" si="450"/>
        <v>0</v>
      </c>
      <c r="U1474" s="126">
        <f>IF($D1474="",0,IFERROR(LOOKUP(2,1/(($D$3:D1473=$D1474)*($C$3:C1473=$C1474)*($A$3:A1473&lt;$A1474)),$AB$3:AB1473),1000))</f>
        <v>0</v>
      </c>
      <c r="V1474" s="126">
        <f t="shared" si="451"/>
        <v>0</v>
      </c>
      <c r="W1474">
        <f t="shared" si="452"/>
        <v>0</v>
      </c>
      <c r="X1474">
        <f t="shared" si="453"/>
        <v>0</v>
      </c>
      <c r="Y1474">
        <f t="shared" si="454"/>
        <v>0</v>
      </c>
      <c r="Z1474">
        <f t="shared" si="455"/>
        <v>0</v>
      </c>
      <c r="AA1474">
        <f>IF($D1474="",0,IF($F1474&lt;2,0,IF($E1474="Win",('Guide &amp; Settings'!$C$42/(($F1474-1)*COUNTIFS($A$4:$A$1510,$A1474,$E$4:$E$1510,"Win")))*SUMIFS($Z$4:$Z$1510,$A$4:$A$1510,$A1474,$E$4:$E$1510,"Loss"),-('Guide &amp; Settings'!$C$42/($F1474-1))*$Z1474)))</f>
        <v>0</v>
      </c>
      <c r="AB1474" s="126">
        <f t="shared" si="456"/>
        <v>0</v>
      </c>
      <c r="AC1474" t="str">
        <f>IF($D1474="","",IF($AD1474=0,0,IF(COUNTIFS($D$4:$D1474,$D1474,$B$4:$B1474,$B1474)&gt;1,0,IF($B1474&lt;'Guide &amp; Settings'!$C$50,0,IF(($B1474-$AD1474)/7-'Guide &amp; Settings'!$C$48&gt;=0,(INT(($B1474-$AD1474)/7-'Guide &amp; Settings'!$C$48)+1)*'Guide &amp; Settings'!$C$49,0)))))</f>
        <v/>
      </c>
      <c r="AD1474" s="142">
        <f t="shared" si="457"/>
        <v>0</v>
      </c>
      <c r="AE1474">
        <f t="shared" si="458"/>
        <v>0</v>
      </c>
      <c r="AF1474">
        <f t="shared" si="459"/>
        <v>0</v>
      </c>
    </row>
    <row r="1475" spans="1:32" x14ac:dyDescent="0.2">
      <c r="A1475" s="117"/>
      <c r="B1475" s="118"/>
      <c r="C1475" s="119"/>
      <c r="D1475" s="119"/>
      <c r="E1475" s="117"/>
      <c r="F1475" s="120">
        <f t="shared" si="440"/>
        <v>0</v>
      </c>
      <c r="G1475" s="121" t="str">
        <f t="shared" si="441"/>
        <v/>
      </c>
      <c r="H1475" s="122">
        <f>IF($D1475="",0,IFERROR(LOOKUP(2,1/(($D$3:D1474=$D1475)*($A$3:A1474&lt;$A1475)),$N$3:N1474),'Guide &amp; Settings'!$C$41))</f>
        <v>0</v>
      </c>
      <c r="I1475" s="123">
        <f t="shared" si="442"/>
        <v>0</v>
      </c>
      <c r="J1475" s="124">
        <f>IF($D1475="",0,IF($F1475&lt;2,0,IF($E1475="Win",('Guide &amp; Settings'!$C$42/(($F1475-1)*COUNTIFS($A$4:$A$1510,$A1475,$E$4:$E$1510,"Win")))*SUMIFS($X$4:$X$1510,$A$4:$A$1510,$A1475,$E$4:$E$1510,"Loss"),-('Guide &amp; Settings'!$C$42/($F1475-1))*$X1475)))</f>
        <v>0</v>
      </c>
      <c r="K1475" s="124">
        <f>IF($D1475="",0,'Guide &amp; Settings'!$C$43*(IF($E1475="Win",1,0)-$I1475))</f>
        <v>0</v>
      </c>
      <c r="L1475" s="125">
        <f>IF($D1475="",0,'Guide &amp; Settings'!$C$44*IF($F1475&gt;=3,$F1475,0))</f>
        <v>0</v>
      </c>
      <c r="M1475" s="124">
        <f t="shared" si="443"/>
        <v>0</v>
      </c>
      <c r="N1475" s="122">
        <f t="shared" si="444"/>
        <v>0</v>
      </c>
      <c r="O1475" s="121" t="str">
        <f t="shared" si="445"/>
        <v/>
      </c>
      <c r="P1475">
        <f t="shared" si="446"/>
        <v>0</v>
      </c>
      <c r="Q1475">
        <f t="shared" si="447"/>
        <v>0</v>
      </c>
      <c r="R1475">
        <f t="shared" si="448"/>
        <v>0</v>
      </c>
      <c r="S1475">
        <f t="shared" si="449"/>
        <v>0</v>
      </c>
      <c r="T1475" s="89">
        <f t="shared" si="450"/>
        <v>0</v>
      </c>
      <c r="U1475" s="126">
        <f>IF($D1475="",0,IFERROR(LOOKUP(2,1/(($D$3:D1474=$D1475)*($C$3:C1474=$C1475)*($A$3:A1474&lt;$A1475)),$AB$3:AB1474),1000))</f>
        <v>0</v>
      </c>
      <c r="V1475" s="126">
        <f t="shared" si="451"/>
        <v>0</v>
      </c>
      <c r="W1475">
        <f t="shared" si="452"/>
        <v>0</v>
      </c>
      <c r="X1475">
        <f t="shared" si="453"/>
        <v>0</v>
      </c>
      <c r="Y1475">
        <f t="shared" si="454"/>
        <v>0</v>
      </c>
      <c r="Z1475">
        <f t="shared" si="455"/>
        <v>0</v>
      </c>
      <c r="AA1475">
        <f>IF($D1475="",0,IF($F1475&lt;2,0,IF($E1475="Win",('Guide &amp; Settings'!$C$42/(($F1475-1)*COUNTIFS($A$4:$A$1510,$A1475,$E$4:$E$1510,"Win")))*SUMIFS($Z$4:$Z$1510,$A$4:$A$1510,$A1475,$E$4:$E$1510,"Loss"),-('Guide &amp; Settings'!$C$42/($F1475-1))*$Z1475)))</f>
        <v>0</v>
      </c>
      <c r="AB1475" s="126">
        <f t="shared" si="456"/>
        <v>0</v>
      </c>
      <c r="AC1475" t="str">
        <f>IF($D1475="","",IF($AD1475=0,0,IF(COUNTIFS($D$4:$D1475,$D1475,$B$4:$B1475,$B1475)&gt;1,0,IF($B1475&lt;'Guide &amp; Settings'!$C$50,0,IF(($B1475-$AD1475)/7-'Guide &amp; Settings'!$C$48&gt;=0,(INT(($B1475-$AD1475)/7-'Guide &amp; Settings'!$C$48)+1)*'Guide &amp; Settings'!$C$49,0)))))</f>
        <v/>
      </c>
      <c r="AD1475" s="142">
        <f t="shared" si="457"/>
        <v>0</v>
      </c>
      <c r="AE1475">
        <f t="shared" si="458"/>
        <v>0</v>
      </c>
      <c r="AF1475">
        <f t="shared" si="459"/>
        <v>0</v>
      </c>
    </row>
    <row r="1476" spans="1:32" x14ac:dyDescent="0.2">
      <c r="A1476" s="117"/>
      <c r="B1476" s="118"/>
      <c r="C1476" s="119"/>
      <c r="D1476" s="119"/>
      <c r="E1476" s="117"/>
      <c r="F1476" s="120">
        <f t="shared" ref="F1476:F1510" si="460">IF($D1476="",0,COUNTIF($A$4:$A$1510,$A1476))</f>
        <v>0</v>
      </c>
      <c r="G1476" s="121" t="str">
        <f t="shared" ref="G1476:G1510" si="461">IF($D1476="","",IFERROR(LOOKUP(2,1/(($A$4:$A$1510=$A1476)*($E$4:$E$1510="Win")),$D$4:$D$1510),"(no winner)"))</f>
        <v/>
      </c>
      <c r="H1476" s="122">
        <f>IF($D1476="",0,IFERROR(LOOKUP(2,1/(($D$3:D1475=$D1476)*($A$3:A1475&lt;$A1476)),$N$3:N1475),'Guide &amp; Settings'!$C$41))</f>
        <v>0</v>
      </c>
      <c r="I1476" s="123">
        <f t="shared" ref="I1476:I1510" si="462">IF($D1476="",0,IF($S1476=0,0,$R1476/$S1476))</f>
        <v>0</v>
      </c>
      <c r="J1476" s="124">
        <f>IF($D1476="",0,IF($F1476&lt;2,0,IF($E1476="Win",('Guide &amp; Settings'!$C$42/(($F1476-1)*COUNTIFS($A$4:$A$1510,$A1476,$E$4:$E$1510,"Win")))*SUMIFS($X$4:$X$1510,$A$4:$A$1510,$A1476,$E$4:$E$1510,"Loss"),-('Guide &amp; Settings'!$C$42/($F1476-1))*$X1476)))</f>
        <v>0</v>
      </c>
      <c r="K1476" s="124">
        <f>IF($D1476="",0,'Guide &amp; Settings'!$C$43*(IF($E1476="Win",1,0)-$I1476))</f>
        <v>0</v>
      </c>
      <c r="L1476" s="125">
        <f>IF($D1476="",0,'Guide &amp; Settings'!$C$44*IF($F1476&gt;=3,$F1476,0))</f>
        <v>0</v>
      </c>
      <c r="M1476" s="124">
        <f t="shared" ref="M1476:M1510" si="463">IF($D1476="",0,$J1476+$K1476+$L1476)</f>
        <v>0</v>
      </c>
      <c r="N1476" s="122">
        <f t="shared" ref="N1476:N1510" si="464">IF($D1476="",0,$H1476+$M1476)</f>
        <v>0</v>
      </c>
      <c r="O1476" s="121" t="str">
        <f t="shared" ref="O1476:O1510" si="465">IF($D1476="","",IF($AE1476=0,"need a winner",IF($F1476-$AE1476=0,"need a loser",IF(MOD($AF1476,2)=1,"duplicate player",IF(MOD(INT($AF1476/2),2)=1,"mixed sports",IF($AF1476&gt;=4,"mixed dates",IF($AE1476&gt;1,IF($F1476&gt;=4,"OK (team)","check winners"),"OK")))))))</f>
        <v/>
      </c>
      <c r="P1476">
        <f t="shared" ref="P1476:P1510" si="466">IF($D1476="",0,IFERROR(SUMIFS($H$4:$H$1510,$A$4:$A$1510,$A1476,$E$4:$E$1510,"Win")/COUNTIFS($A$4:$A$1510,$A1476,$E$4:$E$1510,"Win"),0))</f>
        <v>0</v>
      </c>
      <c r="Q1476">
        <f t="shared" ref="Q1476:Q1510" si="467">IF($D1476="",0,1/(1+10^(($P1476-$H1476)/400)))</f>
        <v>0</v>
      </c>
      <c r="R1476">
        <f t="shared" ref="R1476:R1510" si="468">IF($D1476="",0,(COUNTIFS($D$4:$D$1510,$D1476,$C$4:$C$1510,$C1476,$E$4:$E$1510,"Win",$A$4:$A$1510,"&lt;"&amp;$A1476)+1)/(COUNTIFS($D$4:$D$1510,$D1476,$C$4:$C$1510,$C1476,$A$4:$A$1510,"&lt;"&amp;$A1476)+2))</f>
        <v>0</v>
      </c>
      <c r="S1476">
        <f t="shared" ref="S1476:S1510" si="469">IF($D1476="",0,SUMIFS($R$4:$R$1510,$A$4:$A$1510,$A1476))</f>
        <v>0</v>
      </c>
      <c r="T1476" s="89">
        <f t="shared" ref="T1476:T1510" si="470">IF($D1476="",0,COUNTIFS($D$4:$D$1510,$D1476,$C$4:$C$1510,$C1476,$A$4:$A$1510,"&lt;"&amp;$A1476))</f>
        <v>0</v>
      </c>
      <c r="U1476" s="126">
        <f>IF($D1476="",0,IFERROR(LOOKUP(2,1/(($D$3:D1475=$D1476)*($C$3:C1475=$C1476)*($A$3:A1475&lt;$A1476)),$AB$3:AB1475),1000))</f>
        <v>0</v>
      </c>
      <c r="V1476" s="126">
        <f t="shared" ref="V1476:V1510" si="471">IF($D1476="",0,$U1476*($T1476/($T1476+5))+$H1476*(1-$T1476/($T1476+5)))</f>
        <v>0</v>
      </c>
      <c r="W1476">
        <f t="shared" ref="W1476:W1510" si="472">IF($D1476="",0,IFERROR(SUMIFS($V$4:$V$1510,$A$4:$A$1510,$A1476,$E$4:$E$1510,"Win")/COUNTIFS($A$4:$A$1510,$A1476,$E$4:$E$1510,"Win"),0))</f>
        <v>0</v>
      </c>
      <c r="X1476">
        <f t="shared" ref="X1476:X1510" si="473">IF($D1476="",0,1/(1+10^(($W1476-$V1476)/400)))</f>
        <v>0</v>
      </c>
      <c r="Y1476">
        <f t="shared" ref="Y1476:Y1510" si="474">IF($D1476="",0,IFERROR(SUMIFS($U$4:$U$1510,$A$4:$A$1510,$A1476,$E$4:$E$1510,"Win")/COUNTIFS($A$4:$A$1510,$A1476,$E$4:$E$1510,"Win"),0))</f>
        <v>0</v>
      </c>
      <c r="Z1476">
        <f t="shared" ref="Z1476:Z1510" si="475">IF($D1476="",0,1/(1+10^(($Y1476-$U1476)/400)))</f>
        <v>0</v>
      </c>
      <c r="AA1476">
        <f>IF($D1476="",0,IF($F1476&lt;2,0,IF($E1476="Win",('Guide &amp; Settings'!$C$42/(($F1476-1)*COUNTIFS($A$4:$A$1510,$A1476,$E$4:$E$1510,"Win")))*SUMIFS($Z$4:$Z$1510,$A$4:$A$1510,$A1476,$E$4:$E$1510,"Loss"),-('Guide &amp; Settings'!$C$42/($F1476-1))*$Z1476)))</f>
        <v>0</v>
      </c>
      <c r="AB1476" s="126">
        <f t="shared" ref="AB1476:AB1510" si="476">IF($D1476="",0,$U1476+$AA1476)</f>
        <v>0</v>
      </c>
      <c r="AC1476" t="str">
        <f>IF($D1476="","",IF($AD1476=0,0,IF(COUNTIFS($D$4:$D1476,$D1476,$B$4:$B1476,$B1476)&gt;1,0,IF($B1476&lt;'Guide &amp; Settings'!$C$50,0,IF(($B1476-$AD1476)/7-'Guide &amp; Settings'!$C$48&gt;=0,(INT(($B1476-$AD1476)/7-'Guide &amp; Settings'!$C$48)+1)*'Guide &amp; Settings'!$C$49,0)))))</f>
        <v/>
      </c>
      <c r="AD1476" s="142">
        <f t="shared" ref="AD1476:AD1510" si="477">IF($D1476="",0,SUMPRODUCT(MAX(($D$4:$D$1510=$D1476)*($B$4:$B$1510&lt;$B1476)*$B$4:$B$1510)))</f>
        <v>0</v>
      </c>
      <c r="AE1476">
        <f t="shared" ref="AE1476:AE1510" si="478">IF($D1476="",0,COUNTIFS($A$4:$A$1510,$A1476,$E$4:$E$1510,"Win"))</f>
        <v>0</v>
      </c>
      <c r="AF1476">
        <f t="shared" ref="AF1476:AF1510" si="479">IF($D1476="",0,(COUNTIFS($A$4:$A$1510,$A1476,$D$4:$D$1510,$D1476)&gt;1)*1+(COUNTIFS($A$4:$A$1510,$A1476,$C$4:$C$1510,"&lt;&gt;"&amp;$C1476)&gt;0)*2+(COUNTIFS($A$4:$A$1510,$A1476,$B$4:$B$1510,"&lt;&gt;"&amp;$B1476)&gt;0)*4)</f>
        <v>0</v>
      </c>
    </row>
    <row r="1477" spans="1:32" x14ac:dyDescent="0.2">
      <c r="A1477" s="117"/>
      <c r="B1477" s="118"/>
      <c r="C1477" s="119"/>
      <c r="D1477" s="119"/>
      <c r="E1477" s="117"/>
      <c r="F1477" s="120">
        <f t="shared" si="460"/>
        <v>0</v>
      </c>
      <c r="G1477" s="121" t="str">
        <f t="shared" si="461"/>
        <v/>
      </c>
      <c r="H1477" s="122">
        <f>IF($D1477="",0,IFERROR(LOOKUP(2,1/(($D$3:D1476=$D1477)*($A$3:A1476&lt;$A1477)),$N$3:N1476),'Guide &amp; Settings'!$C$41))</f>
        <v>0</v>
      </c>
      <c r="I1477" s="123">
        <f t="shared" si="462"/>
        <v>0</v>
      </c>
      <c r="J1477" s="124">
        <f>IF($D1477="",0,IF($F1477&lt;2,0,IF($E1477="Win",('Guide &amp; Settings'!$C$42/(($F1477-1)*COUNTIFS($A$4:$A$1510,$A1477,$E$4:$E$1510,"Win")))*SUMIFS($X$4:$X$1510,$A$4:$A$1510,$A1477,$E$4:$E$1510,"Loss"),-('Guide &amp; Settings'!$C$42/($F1477-1))*$X1477)))</f>
        <v>0</v>
      </c>
      <c r="K1477" s="124">
        <f>IF($D1477="",0,'Guide &amp; Settings'!$C$43*(IF($E1477="Win",1,0)-$I1477))</f>
        <v>0</v>
      </c>
      <c r="L1477" s="125">
        <f>IF($D1477="",0,'Guide &amp; Settings'!$C$44*IF($F1477&gt;=3,$F1477,0))</f>
        <v>0</v>
      </c>
      <c r="M1477" s="124">
        <f t="shared" si="463"/>
        <v>0</v>
      </c>
      <c r="N1477" s="122">
        <f t="shared" si="464"/>
        <v>0</v>
      </c>
      <c r="O1477" s="121" t="str">
        <f t="shared" si="465"/>
        <v/>
      </c>
      <c r="P1477">
        <f t="shared" si="466"/>
        <v>0</v>
      </c>
      <c r="Q1477">
        <f t="shared" si="467"/>
        <v>0</v>
      </c>
      <c r="R1477">
        <f t="shared" si="468"/>
        <v>0</v>
      </c>
      <c r="S1477">
        <f t="shared" si="469"/>
        <v>0</v>
      </c>
      <c r="T1477" s="89">
        <f t="shared" si="470"/>
        <v>0</v>
      </c>
      <c r="U1477" s="126">
        <f>IF($D1477="",0,IFERROR(LOOKUP(2,1/(($D$3:D1476=$D1477)*($C$3:C1476=$C1477)*($A$3:A1476&lt;$A1477)),$AB$3:AB1476),1000))</f>
        <v>0</v>
      </c>
      <c r="V1477" s="126">
        <f t="shared" si="471"/>
        <v>0</v>
      </c>
      <c r="W1477">
        <f t="shared" si="472"/>
        <v>0</v>
      </c>
      <c r="X1477">
        <f t="shared" si="473"/>
        <v>0</v>
      </c>
      <c r="Y1477">
        <f t="shared" si="474"/>
        <v>0</v>
      </c>
      <c r="Z1477">
        <f t="shared" si="475"/>
        <v>0</v>
      </c>
      <c r="AA1477">
        <f>IF($D1477="",0,IF($F1477&lt;2,0,IF($E1477="Win",('Guide &amp; Settings'!$C$42/(($F1477-1)*COUNTIFS($A$4:$A$1510,$A1477,$E$4:$E$1510,"Win")))*SUMIFS($Z$4:$Z$1510,$A$4:$A$1510,$A1477,$E$4:$E$1510,"Loss"),-('Guide &amp; Settings'!$C$42/($F1477-1))*$Z1477)))</f>
        <v>0</v>
      </c>
      <c r="AB1477" s="126">
        <f t="shared" si="476"/>
        <v>0</v>
      </c>
      <c r="AC1477" t="str">
        <f>IF($D1477="","",IF($AD1477=0,0,IF(COUNTIFS($D$4:$D1477,$D1477,$B$4:$B1477,$B1477)&gt;1,0,IF($B1477&lt;'Guide &amp; Settings'!$C$50,0,IF(($B1477-$AD1477)/7-'Guide &amp; Settings'!$C$48&gt;=0,(INT(($B1477-$AD1477)/7-'Guide &amp; Settings'!$C$48)+1)*'Guide &amp; Settings'!$C$49,0)))))</f>
        <v/>
      </c>
      <c r="AD1477" s="142">
        <f t="shared" si="477"/>
        <v>0</v>
      </c>
      <c r="AE1477">
        <f t="shared" si="478"/>
        <v>0</v>
      </c>
      <c r="AF1477">
        <f t="shared" si="479"/>
        <v>0</v>
      </c>
    </row>
    <row r="1478" spans="1:32" x14ac:dyDescent="0.2">
      <c r="A1478" s="117"/>
      <c r="B1478" s="118"/>
      <c r="C1478" s="119"/>
      <c r="D1478" s="119"/>
      <c r="E1478" s="117"/>
      <c r="F1478" s="120">
        <f t="shared" si="460"/>
        <v>0</v>
      </c>
      <c r="G1478" s="121" t="str">
        <f t="shared" si="461"/>
        <v/>
      </c>
      <c r="H1478" s="122">
        <f>IF($D1478="",0,IFERROR(LOOKUP(2,1/(($D$3:D1477=$D1478)*($A$3:A1477&lt;$A1478)),$N$3:N1477),'Guide &amp; Settings'!$C$41))</f>
        <v>0</v>
      </c>
      <c r="I1478" s="123">
        <f t="shared" si="462"/>
        <v>0</v>
      </c>
      <c r="J1478" s="124">
        <f>IF($D1478="",0,IF($F1478&lt;2,0,IF($E1478="Win",('Guide &amp; Settings'!$C$42/(($F1478-1)*COUNTIFS($A$4:$A$1510,$A1478,$E$4:$E$1510,"Win")))*SUMIFS($X$4:$X$1510,$A$4:$A$1510,$A1478,$E$4:$E$1510,"Loss"),-('Guide &amp; Settings'!$C$42/($F1478-1))*$X1478)))</f>
        <v>0</v>
      </c>
      <c r="K1478" s="124">
        <f>IF($D1478="",0,'Guide &amp; Settings'!$C$43*(IF($E1478="Win",1,0)-$I1478))</f>
        <v>0</v>
      </c>
      <c r="L1478" s="125">
        <f>IF($D1478="",0,'Guide &amp; Settings'!$C$44*IF($F1478&gt;=3,$F1478,0))</f>
        <v>0</v>
      </c>
      <c r="M1478" s="124">
        <f t="shared" si="463"/>
        <v>0</v>
      </c>
      <c r="N1478" s="122">
        <f t="shared" si="464"/>
        <v>0</v>
      </c>
      <c r="O1478" s="121" t="str">
        <f t="shared" si="465"/>
        <v/>
      </c>
      <c r="P1478">
        <f t="shared" si="466"/>
        <v>0</v>
      </c>
      <c r="Q1478">
        <f t="shared" si="467"/>
        <v>0</v>
      </c>
      <c r="R1478">
        <f t="shared" si="468"/>
        <v>0</v>
      </c>
      <c r="S1478">
        <f t="shared" si="469"/>
        <v>0</v>
      </c>
      <c r="T1478" s="89">
        <f t="shared" si="470"/>
        <v>0</v>
      </c>
      <c r="U1478" s="126">
        <f>IF($D1478="",0,IFERROR(LOOKUP(2,1/(($D$3:D1477=$D1478)*($C$3:C1477=$C1478)*($A$3:A1477&lt;$A1478)),$AB$3:AB1477),1000))</f>
        <v>0</v>
      </c>
      <c r="V1478" s="126">
        <f t="shared" si="471"/>
        <v>0</v>
      </c>
      <c r="W1478">
        <f t="shared" si="472"/>
        <v>0</v>
      </c>
      <c r="X1478">
        <f t="shared" si="473"/>
        <v>0</v>
      </c>
      <c r="Y1478">
        <f t="shared" si="474"/>
        <v>0</v>
      </c>
      <c r="Z1478">
        <f t="shared" si="475"/>
        <v>0</v>
      </c>
      <c r="AA1478">
        <f>IF($D1478="",0,IF($F1478&lt;2,0,IF($E1478="Win",('Guide &amp; Settings'!$C$42/(($F1478-1)*COUNTIFS($A$4:$A$1510,$A1478,$E$4:$E$1510,"Win")))*SUMIFS($Z$4:$Z$1510,$A$4:$A$1510,$A1478,$E$4:$E$1510,"Loss"),-('Guide &amp; Settings'!$C$42/($F1478-1))*$Z1478)))</f>
        <v>0</v>
      </c>
      <c r="AB1478" s="126">
        <f t="shared" si="476"/>
        <v>0</v>
      </c>
      <c r="AC1478" t="str">
        <f>IF($D1478="","",IF($AD1478=0,0,IF(COUNTIFS($D$4:$D1478,$D1478,$B$4:$B1478,$B1478)&gt;1,0,IF($B1478&lt;'Guide &amp; Settings'!$C$50,0,IF(($B1478-$AD1478)/7-'Guide &amp; Settings'!$C$48&gt;=0,(INT(($B1478-$AD1478)/7-'Guide &amp; Settings'!$C$48)+1)*'Guide &amp; Settings'!$C$49,0)))))</f>
        <v/>
      </c>
      <c r="AD1478" s="142">
        <f t="shared" si="477"/>
        <v>0</v>
      </c>
      <c r="AE1478">
        <f t="shared" si="478"/>
        <v>0</v>
      </c>
      <c r="AF1478">
        <f t="shared" si="479"/>
        <v>0</v>
      </c>
    </row>
    <row r="1479" spans="1:32" x14ac:dyDescent="0.2">
      <c r="A1479" s="117"/>
      <c r="B1479" s="118"/>
      <c r="C1479" s="119"/>
      <c r="D1479" s="119"/>
      <c r="E1479" s="117"/>
      <c r="F1479" s="120">
        <f t="shared" si="460"/>
        <v>0</v>
      </c>
      <c r="G1479" s="121" t="str">
        <f t="shared" si="461"/>
        <v/>
      </c>
      <c r="H1479" s="122">
        <f>IF($D1479="",0,IFERROR(LOOKUP(2,1/(($D$3:D1478=$D1479)*($A$3:A1478&lt;$A1479)),$N$3:N1478),'Guide &amp; Settings'!$C$41))</f>
        <v>0</v>
      </c>
      <c r="I1479" s="123">
        <f t="shared" si="462"/>
        <v>0</v>
      </c>
      <c r="J1479" s="124">
        <f>IF($D1479="",0,IF($F1479&lt;2,0,IF($E1479="Win",('Guide &amp; Settings'!$C$42/(($F1479-1)*COUNTIFS($A$4:$A$1510,$A1479,$E$4:$E$1510,"Win")))*SUMIFS($X$4:$X$1510,$A$4:$A$1510,$A1479,$E$4:$E$1510,"Loss"),-('Guide &amp; Settings'!$C$42/($F1479-1))*$X1479)))</f>
        <v>0</v>
      </c>
      <c r="K1479" s="124">
        <f>IF($D1479="",0,'Guide &amp; Settings'!$C$43*(IF($E1479="Win",1,0)-$I1479))</f>
        <v>0</v>
      </c>
      <c r="L1479" s="125">
        <f>IF($D1479="",0,'Guide &amp; Settings'!$C$44*IF($F1479&gt;=3,$F1479,0))</f>
        <v>0</v>
      </c>
      <c r="M1479" s="124">
        <f t="shared" si="463"/>
        <v>0</v>
      </c>
      <c r="N1479" s="122">
        <f t="shared" si="464"/>
        <v>0</v>
      </c>
      <c r="O1479" s="121" t="str">
        <f t="shared" si="465"/>
        <v/>
      </c>
      <c r="P1479">
        <f t="shared" si="466"/>
        <v>0</v>
      </c>
      <c r="Q1479">
        <f t="shared" si="467"/>
        <v>0</v>
      </c>
      <c r="R1479">
        <f t="shared" si="468"/>
        <v>0</v>
      </c>
      <c r="S1479">
        <f t="shared" si="469"/>
        <v>0</v>
      </c>
      <c r="T1479" s="89">
        <f t="shared" si="470"/>
        <v>0</v>
      </c>
      <c r="U1479" s="126">
        <f>IF($D1479="",0,IFERROR(LOOKUP(2,1/(($D$3:D1478=$D1479)*($C$3:C1478=$C1479)*($A$3:A1478&lt;$A1479)),$AB$3:AB1478),1000))</f>
        <v>0</v>
      </c>
      <c r="V1479" s="126">
        <f t="shared" si="471"/>
        <v>0</v>
      </c>
      <c r="W1479">
        <f t="shared" si="472"/>
        <v>0</v>
      </c>
      <c r="X1479">
        <f t="shared" si="473"/>
        <v>0</v>
      </c>
      <c r="Y1479">
        <f t="shared" si="474"/>
        <v>0</v>
      </c>
      <c r="Z1479">
        <f t="shared" si="475"/>
        <v>0</v>
      </c>
      <c r="AA1479">
        <f>IF($D1479="",0,IF($F1479&lt;2,0,IF($E1479="Win",('Guide &amp; Settings'!$C$42/(($F1479-1)*COUNTIFS($A$4:$A$1510,$A1479,$E$4:$E$1510,"Win")))*SUMIFS($Z$4:$Z$1510,$A$4:$A$1510,$A1479,$E$4:$E$1510,"Loss"),-('Guide &amp; Settings'!$C$42/($F1479-1))*$Z1479)))</f>
        <v>0</v>
      </c>
      <c r="AB1479" s="126">
        <f t="shared" si="476"/>
        <v>0</v>
      </c>
      <c r="AC1479" t="str">
        <f>IF($D1479="","",IF($AD1479=0,0,IF(COUNTIFS($D$4:$D1479,$D1479,$B$4:$B1479,$B1479)&gt;1,0,IF($B1479&lt;'Guide &amp; Settings'!$C$50,0,IF(($B1479-$AD1479)/7-'Guide &amp; Settings'!$C$48&gt;=0,(INT(($B1479-$AD1479)/7-'Guide &amp; Settings'!$C$48)+1)*'Guide &amp; Settings'!$C$49,0)))))</f>
        <v/>
      </c>
      <c r="AD1479" s="142">
        <f t="shared" si="477"/>
        <v>0</v>
      </c>
      <c r="AE1479">
        <f t="shared" si="478"/>
        <v>0</v>
      </c>
      <c r="AF1479">
        <f t="shared" si="479"/>
        <v>0</v>
      </c>
    </row>
    <row r="1480" spans="1:32" x14ac:dyDescent="0.2">
      <c r="A1480" s="117"/>
      <c r="B1480" s="118"/>
      <c r="C1480" s="119"/>
      <c r="D1480" s="119"/>
      <c r="E1480" s="117"/>
      <c r="F1480" s="120">
        <f t="shared" si="460"/>
        <v>0</v>
      </c>
      <c r="G1480" s="121" t="str">
        <f t="shared" si="461"/>
        <v/>
      </c>
      <c r="H1480" s="122">
        <f>IF($D1480="",0,IFERROR(LOOKUP(2,1/(($D$3:D1479=$D1480)*($A$3:A1479&lt;$A1480)),$N$3:N1479),'Guide &amp; Settings'!$C$41))</f>
        <v>0</v>
      </c>
      <c r="I1480" s="123">
        <f t="shared" si="462"/>
        <v>0</v>
      </c>
      <c r="J1480" s="124">
        <f>IF($D1480="",0,IF($F1480&lt;2,0,IF($E1480="Win",('Guide &amp; Settings'!$C$42/(($F1480-1)*COUNTIFS($A$4:$A$1510,$A1480,$E$4:$E$1510,"Win")))*SUMIFS($X$4:$X$1510,$A$4:$A$1510,$A1480,$E$4:$E$1510,"Loss"),-('Guide &amp; Settings'!$C$42/($F1480-1))*$X1480)))</f>
        <v>0</v>
      </c>
      <c r="K1480" s="124">
        <f>IF($D1480="",0,'Guide &amp; Settings'!$C$43*(IF($E1480="Win",1,0)-$I1480))</f>
        <v>0</v>
      </c>
      <c r="L1480" s="125">
        <f>IF($D1480="",0,'Guide &amp; Settings'!$C$44*IF($F1480&gt;=3,$F1480,0))</f>
        <v>0</v>
      </c>
      <c r="M1480" s="124">
        <f t="shared" si="463"/>
        <v>0</v>
      </c>
      <c r="N1480" s="122">
        <f t="shared" si="464"/>
        <v>0</v>
      </c>
      <c r="O1480" s="121" t="str">
        <f t="shared" si="465"/>
        <v/>
      </c>
      <c r="P1480">
        <f t="shared" si="466"/>
        <v>0</v>
      </c>
      <c r="Q1480">
        <f t="shared" si="467"/>
        <v>0</v>
      </c>
      <c r="R1480">
        <f t="shared" si="468"/>
        <v>0</v>
      </c>
      <c r="S1480">
        <f t="shared" si="469"/>
        <v>0</v>
      </c>
      <c r="T1480" s="89">
        <f t="shared" si="470"/>
        <v>0</v>
      </c>
      <c r="U1480" s="126">
        <f>IF($D1480="",0,IFERROR(LOOKUP(2,1/(($D$3:D1479=$D1480)*($C$3:C1479=$C1480)*($A$3:A1479&lt;$A1480)),$AB$3:AB1479),1000))</f>
        <v>0</v>
      </c>
      <c r="V1480" s="126">
        <f t="shared" si="471"/>
        <v>0</v>
      </c>
      <c r="W1480">
        <f t="shared" si="472"/>
        <v>0</v>
      </c>
      <c r="X1480">
        <f t="shared" si="473"/>
        <v>0</v>
      </c>
      <c r="Y1480">
        <f t="shared" si="474"/>
        <v>0</v>
      </c>
      <c r="Z1480">
        <f t="shared" si="475"/>
        <v>0</v>
      </c>
      <c r="AA1480">
        <f>IF($D1480="",0,IF($F1480&lt;2,0,IF($E1480="Win",('Guide &amp; Settings'!$C$42/(($F1480-1)*COUNTIFS($A$4:$A$1510,$A1480,$E$4:$E$1510,"Win")))*SUMIFS($Z$4:$Z$1510,$A$4:$A$1510,$A1480,$E$4:$E$1510,"Loss"),-('Guide &amp; Settings'!$C$42/($F1480-1))*$Z1480)))</f>
        <v>0</v>
      </c>
      <c r="AB1480" s="126">
        <f t="shared" si="476"/>
        <v>0</v>
      </c>
      <c r="AC1480" t="str">
        <f>IF($D1480="","",IF($AD1480=0,0,IF(COUNTIFS($D$4:$D1480,$D1480,$B$4:$B1480,$B1480)&gt;1,0,IF($B1480&lt;'Guide &amp; Settings'!$C$50,0,IF(($B1480-$AD1480)/7-'Guide &amp; Settings'!$C$48&gt;=0,(INT(($B1480-$AD1480)/7-'Guide &amp; Settings'!$C$48)+1)*'Guide &amp; Settings'!$C$49,0)))))</f>
        <v/>
      </c>
      <c r="AD1480" s="142">
        <f t="shared" si="477"/>
        <v>0</v>
      </c>
      <c r="AE1480">
        <f t="shared" si="478"/>
        <v>0</v>
      </c>
      <c r="AF1480">
        <f t="shared" si="479"/>
        <v>0</v>
      </c>
    </row>
    <row r="1481" spans="1:32" x14ac:dyDescent="0.2">
      <c r="A1481" s="117"/>
      <c r="B1481" s="118"/>
      <c r="C1481" s="119"/>
      <c r="D1481" s="119"/>
      <c r="E1481" s="117"/>
      <c r="F1481" s="120">
        <f t="shared" si="460"/>
        <v>0</v>
      </c>
      <c r="G1481" s="121" t="str">
        <f t="shared" si="461"/>
        <v/>
      </c>
      <c r="H1481" s="122">
        <f>IF($D1481="",0,IFERROR(LOOKUP(2,1/(($D$3:D1480=$D1481)*($A$3:A1480&lt;$A1481)),$N$3:N1480),'Guide &amp; Settings'!$C$41))</f>
        <v>0</v>
      </c>
      <c r="I1481" s="123">
        <f t="shared" si="462"/>
        <v>0</v>
      </c>
      <c r="J1481" s="124">
        <f>IF($D1481="",0,IF($F1481&lt;2,0,IF($E1481="Win",('Guide &amp; Settings'!$C$42/(($F1481-1)*COUNTIFS($A$4:$A$1510,$A1481,$E$4:$E$1510,"Win")))*SUMIFS($X$4:$X$1510,$A$4:$A$1510,$A1481,$E$4:$E$1510,"Loss"),-('Guide &amp; Settings'!$C$42/($F1481-1))*$X1481)))</f>
        <v>0</v>
      </c>
      <c r="K1481" s="124">
        <f>IF($D1481="",0,'Guide &amp; Settings'!$C$43*(IF($E1481="Win",1,0)-$I1481))</f>
        <v>0</v>
      </c>
      <c r="L1481" s="125">
        <f>IF($D1481="",0,'Guide &amp; Settings'!$C$44*IF($F1481&gt;=3,$F1481,0))</f>
        <v>0</v>
      </c>
      <c r="M1481" s="124">
        <f t="shared" si="463"/>
        <v>0</v>
      </c>
      <c r="N1481" s="122">
        <f t="shared" si="464"/>
        <v>0</v>
      </c>
      <c r="O1481" s="121" t="str">
        <f t="shared" si="465"/>
        <v/>
      </c>
      <c r="P1481">
        <f t="shared" si="466"/>
        <v>0</v>
      </c>
      <c r="Q1481">
        <f t="shared" si="467"/>
        <v>0</v>
      </c>
      <c r="R1481">
        <f t="shared" si="468"/>
        <v>0</v>
      </c>
      <c r="S1481">
        <f t="shared" si="469"/>
        <v>0</v>
      </c>
      <c r="T1481" s="89">
        <f t="shared" si="470"/>
        <v>0</v>
      </c>
      <c r="U1481" s="126">
        <f>IF($D1481="",0,IFERROR(LOOKUP(2,1/(($D$3:D1480=$D1481)*($C$3:C1480=$C1481)*($A$3:A1480&lt;$A1481)),$AB$3:AB1480),1000))</f>
        <v>0</v>
      </c>
      <c r="V1481" s="126">
        <f t="shared" si="471"/>
        <v>0</v>
      </c>
      <c r="W1481">
        <f t="shared" si="472"/>
        <v>0</v>
      </c>
      <c r="X1481">
        <f t="shared" si="473"/>
        <v>0</v>
      </c>
      <c r="Y1481">
        <f t="shared" si="474"/>
        <v>0</v>
      </c>
      <c r="Z1481">
        <f t="shared" si="475"/>
        <v>0</v>
      </c>
      <c r="AA1481">
        <f>IF($D1481="",0,IF($F1481&lt;2,0,IF($E1481="Win",('Guide &amp; Settings'!$C$42/(($F1481-1)*COUNTIFS($A$4:$A$1510,$A1481,$E$4:$E$1510,"Win")))*SUMIFS($Z$4:$Z$1510,$A$4:$A$1510,$A1481,$E$4:$E$1510,"Loss"),-('Guide &amp; Settings'!$C$42/($F1481-1))*$Z1481)))</f>
        <v>0</v>
      </c>
      <c r="AB1481" s="126">
        <f t="shared" si="476"/>
        <v>0</v>
      </c>
      <c r="AC1481" t="str">
        <f>IF($D1481="","",IF($AD1481=0,0,IF(COUNTIFS($D$4:$D1481,$D1481,$B$4:$B1481,$B1481)&gt;1,0,IF($B1481&lt;'Guide &amp; Settings'!$C$50,0,IF(($B1481-$AD1481)/7-'Guide &amp; Settings'!$C$48&gt;=0,(INT(($B1481-$AD1481)/7-'Guide &amp; Settings'!$C$48)+1)*'Guide &amp; Settings'!$C$49,0)))))</f>
        <v/>
      </c>
      <c r="AD1481" s="142">
        <f t="shared" si="477"/>
        <v>0</v>
      </c>
      <c r="AE1481">
        <f t="shared" si="478"/>
        <v>0</v>
      </c>
      <c r="AF1481">
        <f t="shared" si="479"/>
        <v>0</v>
      </c>
    </row>
    <row r="1482" spans="1:32" x14ac:dyDescent="0.2">
      <c r="A1482" s="117"/>
      <c r="B1482" s="118"/>
      <c r="C1482" s="119"/>
      <c r="D1482" s="119"/>
      <c r="E1482" s="117"/>
      <c r="F1482" s="120">
        <f t="shared" si="460"/>
        <v>0</v>
      </c>
      <c r="G1482" s="121" t="str">
        <f t="shared" si="461"/>
        <v/>
      </c>
      <c r="H1482" s="122">
        <f>IF($D1482="",0,IFERROR(LOOKUP(2,1/(($D$3:D1481=$D1482)*($A$3:A1481&lt;$A1482)),$N$3:N1481),'Guide &amp; Settings'!$C$41))</f>
        <v>0</v>
      </c>
      <c r="I1482" s="123">
        <f t="shared" si="462"/>
        <v>0</v>
      </c>
      <c r="J1482" s="124">
        <f>IF($D1482="",0,IF($F1482&lt;2,0,IF($E1482="Win",('Guide &amp; Settings'!$C$42/(($F1482-1)*COUNTIFS($A$4:$A$1510,$A1482,$E$4:$E$1510,"Win")))*SUMIFS($X$4:$X$1510,$A$4:$A$1510,$A1482,$E$4:$E$1510,"Loss"),-('Guide &amp; Settings'!$C$42/($F1482-1))*$X1482)))</f>
        <v>0</v>
      </c>
      <c r="K1482" s="124">
        <f>IF($D1482="",0,'Guide &amp; Settings'!$C$43*(IF($E1482="Win",1,0)-$I1482))</f>
        <v>0</v>
      </c>
      <c r="L1482" s="125">
        <f>IF($D1482="",0,'Guide &amp; Settings'!$C$44*IF($F1482&gt;=3,$F1482,0))</f>
        <v>0</v>
      </c>
      <c r="M1482" s="124">
        <f t="shared" si="463"/>
        <v>0</v>
      </c>
      <c r="N1482" s="122">
        <f t="shared" si="464"/>
        <v>0</v>
      </c>
      <c r="O1482" s="121" t="str">
        <f t="shared" si="465"/>
        <v/>
      </c>
      <c r="P1482">
        <f t="shared" si="466"/>
        <v>0</v>
      </c>
      <c r="Q1482">
        <f t="shared" si="467"/>
        <v>0</v>
      </c>
      <c r="R1482">
        <f t="shared" si="468"/>
        <v>0</v>
      </c>
      <c r="S1482">
        <f t="shared" si="469"/>
        <v>0</v>
      </c>
      <c r="T1482" s="89">
        <f t="shared" si="470"/>
        <v>0</v>
      </c>
      <c r="U1482" s="126">
        <f>IF($D1482="",0,IFERROR(LOOKUP(2,1/(($D$3:D1481=$D1482)*($C$3:C1481=$C1482)*($A$3:A1481&lt;$A1482)),$AB$3:AB1481),1000))</f>
        <v>0</v>
      </c>
      <c r="V1482" s="126">
        <f t="shared" si="471"/>
        <v>0</v>
      </c>
      <c r="W1482">
        <f t="shared" si="472"/>
        <v>0</v>
      </c>
      <c r="X1482">
        <f t="shared" si="473"/>
        <v>0</v>
      </c>
      <c r="Y1482">
        <f t="shared" si="474"/>
        <v>0</v>
      </c>
      <c r="Z1482">
        <f t="shared" si="475"/>
        <v>0</v>
      </c>
      <c r="AA1482">
        <f>IF($D1482="",0,IF($F1482&lt;2,0,IF($E1482="Win",('Guide &amp; Settings'!$C$42/(($F1482-1)*COUNTIFS($A$4:$A$1510,$A1482,$E$4:$E$1510,"Win")))*SUMIFS($Z$4:$Z$1510,$A$4:$A$1510,$A1482,$E$4:$E$1510,"Loss"),-('Guide &amp; Settings'!$C$42/($F1482-1))*$Z1482)))</f>
        <v>0</v>
      </c>
      <c r="AB1482" s="126">
        <f t="shared" si="476"/>
        <v>0</v>
      </c>
      <c r="AC1482" t="str">
        <f>IF($D1482="","",IF($AD1482=0,0,IF(COUNTIFS($D$4:$D1482,$D1482,$B$4:$B1482,$B1482)&gt;1,0,IF($B1482&lt;'Guide &amp; Settings'!$C$50,0,IF(($B1482-$AD1482)/7-'Guide &amp; Settings'!$C$48&gt;=0,(INT(($B1482-$AD1482)/7-'Guide &amp; Settings'!$C$48)+1)*'Guide &amp; Settings'!$C$49,0)))))</f>
        <v/>
      </c>
      <c r="AD1482" s="142">
        <f t="shared" si="477"/>
        <v>0</v>
      </c>
      <c r="AE1482">
        <f t="shared" si="478"/>
        <v>0</v>
      </c>
      <c r="AF1482">
        <f t="shared" si="479"/>
        <v>0</v>
      </c>
    </row>
    <row r="1483" spans="1:32" x14ac:dyDescent="0.2">
      <c r="A1483" s="117"/>
      <c r="B1483" s="118"/>
      <c r="C1483" s="119"/>
      <c r="D1483" s="119"/>
      <c r="E1483" s="117"/>
      <c r="F1483" s="120">
        <f t="shared" si="460"/>
        <v>0</v>
      </c>
      <c r="G1483" s="121" t="str">
        <f t="shared" si="461"/>
        <v/>
      </c>
      <c r="H1483" s="122">
        <f>IF($D1483="",0,IFERROR(LOOKUP(2,1/(($D$3:D1482=$D1483)*($A$3:A1482&lt;$A1483)),$N$3:N1482),'Guide &amp; Settings'!$C$41))</f>
        <v>0</v>
      </c>
      <c r="I1483" s="123">
        <f t="shared" si="462"/>
        <v>0</v>
      </c>
      <c r="J1483" s="124">
        <f>IF($D1483="",0,IF($F1483&lt;2,0,IF($E1483="Win",('Guide &amp; Settings'!$C$42/(($F1483-1)*COUNTIFS($A$4:$A$1510,$A1483,$E$4:$E$1510,"Win")))*SUMIFS($X$4:$X$1510,$A$4:$A$1510,$A1483,$E$4:$E$1510,"Loss"),-('Guide &amp; Settings'!$C$42/($F1483-1))*$X1483)))</f>
        <v>0</v>
      </c>
      <c r="K1483" s="124">
        <f>IF($D1483="",0,'Guide &amp; Settings'!$C$43*(IF($E1483="Win",1,0)-$I1483))</f>
        <v>0</v>
      </c>
      <c r="L1483" s="125">
        <f>IF($D1483="",0,'Guide &amp; Settings'!$C$44*IF($F1483&gt;=3,$F1483,0))</f>
        <v>0</v>
      </c>
      <c r="M1483" s="124">
        <f t="shared" si="463"/>
        <v>0</v>
      </c>
      <c r="N1483" s="122">
        <f t="shared" si="464"/>
        <v>0</v>
      </c>
      <c r="O1483" s="121" t="str">
        <f t="shared" si="465"/>
        <v/>
      </c>
      <c r="P1483">
        <f t="shared" si="466"/>
        <v>0</v>
      </c>
      <c r="Q1483">
        <f t="shared" si="467"/>
        <v>0</v>
      </c>
      <c r="R1483">
        <f t="shared" si="468"/>
        <v>0</v>
      </c>
      <c r="S1483">
        <f t="shared" si="469"/>
        <v>0</v>
      </c>
      <c r="T1483" s="89">
        <f t="shared" si="470"/>
        <v>0</v>
      </c>
      <c r="U1483" s="126">
        <f>IF($D1483="",0,IFERROR(LOOKUP(2,1/(($D$3:D1482=$D1483)*($C$3:C1482=$C1483)*($A$3:A1482&lt;$A1483)),$AB$3:AB1482),1000))</f>
        <v>0</v>
      </c>
      <c r="V1483" s="126">
        <f t="shared" si="471"/>
        <v>0</v>
      </c>
      <c r="W1483">
        <f t="shared" si="472"/>
        <v>0</v>
      </c>
      <c r="X1483">
        <f t="shared" si="473"/>
        <v>0</v>
      </c>
      <c r="Y1483">
        <f t="shared" si="474"/>
        <v>0</v>
      </c>
      <c r="Z1483">
        <f t="shared" si="475"/>
        <v>0</v>
      </c>
      <c r="AA1483">
        <f>IF($D1483="",0,IF($F1483&lt;2,0,IF($E1483="Win",('Guide &amp; Settings'!$C$42/(($F1483-1)*COUNTIFS($A$4:$A$1510,$A1483,$E$4:$E$1510,"Win")))*SUMIFS($Z$4:$Z$1510,$A$4:$A$1510,$A1483,$E$4:$E$1510,"Loss"),-('Guide &amp; Settings'!$C$42/($F1483-1))*$Z1483)))</f>
        <v>0</v>
      </c>
      <c r="AB1483" s="126">
        <f t="shared" si="476"/>
        <v>0</v>
      </c>
      <c r="AC1483" t="str">
        <f>IF($D1483="","",IF($AD1483=0,0,IF(COUNTIFS($D$4:$D1483,$D1483,$B$4:$B1483,$B1483)&gt;1,0,IF($B1483&lt;'Guide &amp; Settings'!$C$50,0,IF(($B1483-$AD1483)/7-'Guide &amp; Settings'!$C$48&gt;=0,(INT(($B1483-$AD1483)/7-'Guide &amp; Settings'!$C$48)+1)*'Guide &amp; Settings'!$C$49,0)))))</f>
        <v/>
      </c>
      <c r="AD1483" s="142">
        <f t="shared" si="477"/>
        <v>0</v>
      </c>
      <c r="AE1483">
        <f t="shared" si="478"/>
        <v>0</v>
      </c>
      <c r="AF1483">
        <f t="shared" si="479"/>
        <v>0</v>
      </c>
    </row>
    <row r="1484" spans="1:32" x14ac:dyDescent="0.2">
      <c r="A1484" s="117"/>
      <c r="B1484" s="118"/>
      <c r="C1484" s="119"/>
      <c r="D1484" s="119"/>
      <c r="E1484" s="117"/>
      <c r="F1484" s="120">
        <f t="shared" si="460"/>
        <v>0</v>
      </c>
      <c r="G1484" s="121" t="str">
        <f t="shared" si="461"/>
        <v/>
      </c>
      <c r="H1484" s="122">
        <f>IF($D1484="",0,IFERROR(LOOKUP(2,1/(($D$3:D1483=$D1484)*($A$3:A1483&lt;$A1484)),$N$3:N1483),'Guide &amp; Settings'!$C$41))</f>
        <v>0</v>
      </c>
      <c r="I1484" s="123">
        <f t="shared" si="462"/>
        <v>0</v>
      </c>
      <c r="J1484" s="124">
        <f>IF($D1484="",0,IF($F1484&lt;2,0,IF($E1484="Win",('Guide &amp; Settings'!$C$42/(($F1484-1)*COUNTIFS($A$4:$A$1510,$A1484,$E$4:$E$1510,"Win")))*SUMIFS($X$4:$X$1510,$A$4:$A$1510,$A1484,$E$4:$E$1510,"Loss"),-('Guide &amp; Settings'!$C$42/($F1484-1))*$X1484)))</f>
        <v>0</v>
      </c>
      <c r="K1484" s="124">
        <f>IF($D1484="",0,'Guide &amp; Settings'!$C$43*(IF($E1484="Win",1,0)-$I1484))</f>
        <v>0</v>
      </c>
      <c r="L1484" s="125">
        <f>IF($D1484="",0,'Guide &amp; Settings'!$C$44*IF($F1484&gt;=3,$F1484,0))</f>
        <v>0</v>
      </c>
      <c r="M1484" s="124">
        <f t="shared" si="463"/>
        <v>0</v>
      </c>
      <c r="N1484" s="122">
        <f t="shared" si="464"/>
        <v>0</v>
      </c>
      <c r="O1484" s="121" t="str">
        <f t="shared" si="465"/>
        <v/>
      </c>
      <c r="P1484">
        <f t="shared" si="466"/>
        <v>0</v>
      </c>
      <c r="Q1484">
        <f t="shared" si="467"/>
        <v>0</v>
      </c>
      <c r="R1484">
        <f t="shared" si="468"/>
        <v>0</v>
      </c>
      <c r="S1484">
        <f t="shared" si="469"/>
        <v>0</v>
      </c>
      <c r="T1484" s="89">
        <f t="shared" si="470"/>
        <v>0</v>
      </c>
      <c r="U1484" s="126">
        <f>IF($D1484="",0,IFERROR(LOOKUP(2,1/(($D$3:D1483=$D1484)*($C$3:C1483=$C1484)*($A$3:A1483&lt;$A1484)),$AB$3:AB1483),1000))</f>
        <v>0</v>
      </c>
      <c r="V1484" s="126">
        <f t="shared" si="471"/>
        <v>0</v>
      </c>
      <c r="W1484">
        <f t="shared" si="472"/>
        <v>0</v>
      </c>
      <c r="X1484">
        <f t="shared" si="473"/>
        <v>0</v>
      </c>
      <c r="Y1484">
        <f t="shared" si="474"/>
        <v>0</v>
      </c>
      <c r="Z1484">
        <f t="shared" si="475"/>
        <v>0</v>
      </c>
      <c r="AA1484">
        <f>IF($D1484="",0,IF($F1484&lt;2,0,IF($E1484="Win",('Guide &amp; Settings'!$C$42/(($F1484-1)*COUNTIFS($A$4:$A$1510,$A1484,$E$4:$E$1510,"Win")))*SUMIFS($Z$4:$Z$1510,$A$4:$A$1510,$A1484,$E$4:$E$1510,"Loss"),-('Guide &amp; Settings'!$C$42/($F1484-1))*$Z1484)))</f>
        <v>0</v>
      </c>
      <c r="AB1484" s="126">
        <f t="shared" si="476"/>
        <v>0</v>
      </c>
      <c r="AC1484" t="str">
        <f>IF($D1484="","",IF($AD1484=0,0,IF(COUNTIFS($D$4:$D1484,$D1484,$B$4:$B1484,$B1484)&gt;1,0,IF($B1484&lt;'Guide &amp; Settings'!$C$50,0,IF(($B1484-$AD1484)/7-'Guide &amp; Settings'!$C$48&gt;=0,(INT(($B1484-$AD1484)/7-'Guide &amp; Settings'!$C$48)+1)*'Guide &amp; Settings'!$C$49,0)))))</f>
        <v/>
      </c>
      <c r="AD1484" s="142">
        <f t="shared" si="477"/>
        <v>0</v>
      </c>
      <c r="AE1484">
        <f t="shared" si="478"/>
        <v>0</v>
      </c>
      <c r="AF1484">
        <f t="shared" si="479"/>
        <v>0</v>
      </c>
    </row>
    <row r="1485" spans="1:32" x14ac:dyDescent="0.2">
      <c r="A1485" s="117"/>
      <c r="B1485" s="118"/>
      <c r="C1485" s="119"/>
      <c r="D1485" s="119"/>
      <c r="E1485" s="117"/>
      <c r="F1485" s="120">
        <f t="shared" si="460"/>
        <v>0</v>
      </c>
      <c r="G1485" s="121" t="str">
        <f t="shared" si="461"/>
        <v/>
      </c>
      <c r="H1485" s="122">
        <f>IF($D1485="",0,IFERROR(LOOKUP(2,1/(($D$3:D1484=$D1485)*($A$3:A1484&lt;$A1485)),$N$3:N1484),'Guide &amp; Settings'!$C$41))</f>
        <v>0</v>
      </c>
      <c r="I1485" s="123">
        <f t="shared" si="462"/>
        <v>0</v>
      </c>
      <c r="J1485" s="124">
        <f>IF($D1485="",0,IF($F1485&lt;2,0,IF($E1485="Win",('Guide &amp; Settings'!$C$42/(($F1485-1)*COUNTIFS($A$4:$A$1510,$A1485,$E$4:$E$1510,"Win")))*SUMIFS($X$4:$X$1510,$A$4:$A$1510,$A1485,$E$4:$E$1510,"Loss"),-('Guide &amp; Settings'!$C$42/($F1485-1))*$X1485)))</f>
        <v>0</v>
      </c>
      <c r="K1485" s="124">
        <f>IF($D1485="",0,'Guide &amp; Settings'!$C$43*(IF($E1485="Win",1,0)-$I1485))</f>
        <v>0</v>
      </c>
      <c r="L1485" s="125">
        <f>IF($D1485="",0,'Guide &amp; Settings'!$C$44*IF($F1485&gt;=3,$F1485,0))</f>
        <v>0</v>
      </c>
      <c r="M1485" s="124">
        <f t="shared" si="463"/>
        <v>0</v>
      </c>
      <c r="N1485" s="122">
        <f t="shared" si="464"/>
        <v>0</v>
      </c>
      <c r="O1485" s="121" t="str">
        <f t="shared" si="465"/>
        <v/>
      </c>
      <c r="P1485">
        <f t="shared" si="466"/>
        <v>0</v>
      </c>
      <c r="Q1485">
        <f t="shared" si="467"/>
        <v>0</v>
      </c>
      <c r="R1485">
        <f t="shared" si="468"/>
        <v>0</v>
      </c>
      <c r="S1485">
        <f t="shared" si="469"/>
        <v>0</v>
      </c>
      <c r="T1485" s="89">
        <f t="shared" si="470"/>
        <v>0</v>
      </c>
      <c r="U1485" s="126">
        <f>IF($D1485="",0,IFERROR(LOOKUP(2,1/(($D$3:D1484=$D1485)*($C$3:C1484=$C1485)*($A$3:A1484&lt;$A1485)),$AB$3:AB1484),1000))</f>
        <v>0</v>
      </c>
      <c r="V1485" s="126">
        <f t="shared" si="471"/>
        <v>0</v>
      </c>
      <c r="W1485">
        <f t="shared" si="472"/>
        <v>0</v>
      </c>
      <c r="X1485">
        <f t="shared" si="473"/>
        <v>0</v>
      </c>
      <c r="Y1485">
        <f t="shared" si="474"/>
        <v>0</v>
      </c>
      <c r="Z1485">
        <f t="shared" si="475"/>
        <v>0</v>
      </c>
      <c r="AA1485">
        <f>IF($D1485="",0,IF($F1485&lt;2,0,IF($E1485="Win",('Guide &amp; Settings'!$C$42/(($F1485-1)*COUNTIFS($A$4:$A$1510,$A1485,$E$4:$E$1510,"Win")))*SUMIFS($Z$4:$Z$1510,$A$4:$A$1510,$A1485,$E$4:$E$1510,"Loss"),-('Guide &amp; Settings'!$C$42/($F1485-1))*$Z1485)))</f>
        <v>0</v>
      </c>
      <c r="AB1485" s="126">
        <f t="shared" si="476"/>
        <v>0</v>
      </c>
      <c r="AC1485" t="str">
        <f>IF($D1485="","",IF($AD1485=0,0,IF(COUNTIFS($D$4:$D1485,$D1485,$B$4:$B1485,$B1485)&gt;1,0,IF($B1485&lt;'Guide &amp; Settings'!$C$50,0,IF(($B1485-$AD1485)/7-'Guide &amp; Settings'!$C$48&gt;=0,(INT(($B1485-$AD1485)/7-'Guide &amp; Settings'!$C$48)+1)*'Guide &amp; Settings'!$C$49,0)))))</f>
        <v/>
      </c>
      <c r="AD1485" s="142">
        <f t="shared" si="477"/>
        <v>0</v>
      </c>
      <c r="AE1485">
        <f t="shared" si="478"/>
        <v>0</v>
      </c>
      <c r="AF1485">
        <f t="shared" si="479"/>
        <v>0</v>
      </c>
    </row>
    <row r="1486" spans="1:32" x14ac:dyDescent="0.2">
      <c r="A1486" s="117"/>
      <c r="B1486" s="118"/>
      <c r="C1486" s="119"/>
      <c r="D1486" s="119"/>
      <c r="E1486" s="117"/>
      <c r="F1486" s="120">
        <f t="shared" si="460"/>
        <v>0</v>
      </c>
      <c r="G1486" s="121" t="str">
        <f t="shared" si="461"/>
        <v/>
      </c>
      <c r="H1486" s="122">
        <f>IF($D1486="",0,IFERROR(LOOKUP(2,1/(($D$3:D1485=$D1486)*($A$3:A1485&lt;$A1486)),$N$3:N1485),'Guide &amp; Settings'!$C$41))</f>
        <v>0</v>
      </c>
      <c r="I1486" s="123">
        <f t="shared" si="462"/>
        <v>0</v>
      </c>
      <c r="J1486" s="124">
        <f>IF($D1486="",0,IF($F1486&lt;2,0,IF($E1486="Win",('Guide &amp; Settings'!$C$42/(($F1486-1)*COUNTIFS($A$4:$A$1510,$A1486,$E$4:$E$1510,"Win")))*SUMIFS($X$4:$X$1510,$A$4:$A$1510,$A1486,$E$4:$E$1510,"Loss"),-('Guide &amp; Settings'!$C$42/($F1486-1))*$X1486)))</f>
        <v>0</v>
      </c>
      <c r="K1486" s="124">
        <f>IF($D1486="",0,'Guide &amp; Settings'!$C$43*(IF($E1486="Win",1,0)-$I1486))</f>
        <v>0</v>
      </c>
      <c r="L1486" s="125">
        <f>IF($D1486="",0,'Guide &amp; Settings'!$C$44*IF($F1486&gt;=3,$F1486,0))</f>
        <v>0</v>
      </c>
      <c r="M1486" s="124">
        <f t="shared" si="463"/>
        <v>0</v>
      </c>
      <c r="N1486" s="122">
        <f t="shared" si="464"/>
        <v>0</v>
      </c>
      <c r="O1486" s="121" t="str">
        <f t="shared" si="465"/>
        <v/>
      </c>
      <c r="P1486">
        <f t="shared" si="466"/>
        <v>0</v>
      </c>
      <c r="Q1486">
        <f t="shared" si="467"/>
        <v>0</v>
      </c>
      <c r="R1486">
        <f t="shared" si="468"/>
        <v>0</v>
      </c>
      <c r="S1486">
        <f t="shared" si="469"/>
        <v>0</v>
      </c>
      <c r="T1486" s="89">
        <f t="shared" si="470"/>
        <v>0</v>
      </c>
      <c r="U1486" s="126">
        <f>IF($D1486="",0,IFERROR(LOOKUP(2,1/(($D$3:D1485=$D1486)*($C$3:C1485=$C1486)*($A$3:A1485&lt;$A1486)),$AB$3:AB1485),1000))</f>
        <v>0</v>
      </c>
      <c r="V1486" s="126">
        <f t="shared" si="471"/>
        <v>0</v>
      </c>
      <c r="W1486">
        <f t="shared" si="472"/>
        <v>0</v>
      </c>
      <c r="X1486">
        <f t="shared" si="473"/>
        <v>0</v>
      </c>
      <c r="Y1486">
        <f t="shared" si="474"/>
        <v>0</v>
      </c>
      <c r="Z1486">
        <f t="shared" si="475"/>
        <v>0</v>
      </c>
      <c r="AA1486">
        <f>IF($D1486="",0,IF($F1486&lt;2,0,IF($E1486="Win",('Guide &amp; Settings'!$C$42/(($F1486-1)*COUNTIFS($A$4:$A$1510,$A1486,$E$4:$E$1510,"Win")))*SUMIFS($Z$4:$Z$1510,$A$4:$A$1510,$A1486,$E$4:$E$1510,"Loss"),-('Guide &amp; Settings'!$C$42/($F1486-1))*$Z1486)))</f>
        <v>0</v>
      </c>
      <c r="AB1486" s="126">
        <f t="shared" si="476"/>
        <v>0</v>
      </c>
      <c r="AC1486" t="str">
        <f>IF($D1486="","",IF($AD1486=0,0,IF(COUNTIFS($D$4:$D1486,$D1486,$B$4:$B1486,$B1486)&gt;1,0,IF($B1486&lt;'Guide &amp; Settings'!$C$50,0,IF(($B1486-$AD1486)/7-'Guide &amp; Settings'!$C$48&gt;=0,(INT(($B1486-$AD1486)/7-'Guide &amp; Settings'!$C$48)+1)*'Guide &amp; Settings'!$C$49,0)))))</f>
        <v/>
      </c>
      <c r="AD1486" s="142">
        <f t="shared" si="477"/>
        <v>0</v>
      </c>
      <c r="AE1486">
        <f t="shared" si="478"/>
        <v>0</v>
      </c>
      <c r="AF1486">
        <f t="shared" si="479"/>
        <v>0</v>
      </c>
    </row>
    <row r="1487" spans="1:32" x14ac:dyDescent="0.2">
      <c r="A1487" s="117"/>
      <c r="B1487" s="118"/>
      <c r="C1487" s="119"/>
      <c r="D1487" s="119"/>
      <c r="E1487" s="117"/>
      <c r="F1487" s="120">
        <f t="shared" si="460"/>
        <v>0</v>
      </c>
      <c r="G1487" s="121" t="str">
        <f t="shared" si="461"/>
        <v/>
      </c>
      <c r="H1487" s="122">
        <f>IF($D1487="",0,IFERROR(LOOKUP(2,1/(($D$3:D1486=$D1487)*($A$3:A1486&lt;$A1487)),$N$3:N1486),'Guide &amp; Settings'!$C$41))</f>
        <v>0</v>
      </c>
      <c r="I1487" s="123">
        <f t="shared" si="462"/>
        <v>0</v>
      </c>
      <c r="J1487" s="124">
        <f>IF($D1487="",0,IF($F1487&lt;2,0,IF($E1487="Win",('Guide &amp; Settings'!$C$42/(($F1487-1)*COUNTIFS($A$4:$A$1510,$A1487,$E$4:$E$1510,"Win")))*SUMIFS($X$4:$X$1510,$A$4:$A$1510,$A1487,$E$4:$E$1510,"Loss"),-('Guide &amp; Settings'!$C$42/($F1487-1))*$X1487)))</f>
        <v>0</v>
      </c>
      <c r="K1487" s="124">
        <f>IF($D1487="",0,'Guide &amp; Settings'!$C$43*(IF($E1487="Win",1,0)-$I1487))</f>
        <v>0</v>
      </c>
      <c r="L1487" s="125">
        <f>IF($D1487="",0,'Guide &amp; Settings'!$C$44*IF($F1487&gt;=3,$F1487,0))</f>
        <v>0</v>
      </c>
      <c r="M1487" s="124">
        <f t="shared" si="463"/>
        <v>0</v>
      </c>
      <c r="N1487" s="122">
        <f t="shared" si="464"/>
        <v>0</v>
      </c>
      <c r="O1487" s="121" t="str">
        <f t="shared" si="465"/>
        <v/>
      </c>
      <c r="P1487">
        <f t="shared" si="466"/>
        <v>0</v>
      </c>
      <c r="Q1487">
        <f t="shared" si="467"/>
        <v>0</v>
      </c>
      <c r="R1487">
        <f t="shared" si="468"/>
        <v>0</v>
      </c>
      <c r="S1487">
        <f t="shared" si="469"/>
        <v>0</v>
      </c>
      <c r="T1487" s="89">
        <f t="shared" si="470"/>
        <v>0</v>
      </c>
      <c r="U1487" s="126">
        <f>IF($D1487="",0,IFERROR(LOOKUP(2,1/(($D$3:D1486=$D1487)*($C$3:C1486=$C1487)*($A$3:A1486&lt;$A1487)),$AB$3:AB1486),1000))</f>
        <v>0</v>
      </c>
      <c r="V1487" s="126">
        <f t="shared" si="471"/>
        <v>0</v>
      </c>
      <c r="W1487">
        <f t="shared" si="472"/>
        <v>0</v>
      </c>
      <c r="X1487">
        <f t="shared" si="473"/>
        <v>0</v>
      </c>
      <c r="Y1487">
        <f t="shared" si="474"/>
        <v>0</v>
      </c>
      <c r="Z1487">
        <f t="shared" si="475"/>
        <v>0</v>
      </c>
      <c r="AA1487">
        <f>IF($D1487="",0,IF($F1487&lt;2,0,IF($E1487="Win",('Guide &amp; Settings'!$C$42/(($F1487-1)*COUNTIFS($A$4:$A$1510,$A1487,$E$4:$E$1510,"Win")))*SUMIFS($Z$4:$Z$1510,$A$4:$A$1510,$A1487,$E$4:$E$1510,"Loss"),-('Guide &amp; Settings'!$C$42/($F1487-1))*$Z1487)))</f>
        <v>0</v>
      </c>
      <c r="AB1487" s="126">
        <f t="shared" si="476"/>
        <v>0</v>
      </c>
      <c r="AC1487" t="str">
        <f>IF($D1487="","",IF($AD1487=0,0,IF(COUNTIFS($D$4:$D1487,$D1487,$B$4:$B1487,$B1487)&gt;1,0,IF($B1487&lt;'Guide &amp; Settings'!$C$50,0,IF(($B1487-$AD1487)/7-'Guide &amp; Settings'!$C$48&gt;=0,(INT(($B1487-$AD1487)/7-'Guide &amp; Settings'!$C$48)+1)*'Guide &amp; Settings'!$C$49,0)))))</f>
        <v/>
      </c>
      <c r="AD1487" s="142">
        <f t="shared" si="477"/>
        <v>0</v>
      </c>
      <c r="AE1487">
        <f t="shared" si="478"/>
        <v>0</v>
      </c>
      <c r="AF1487">
        <f t="shared" si="479"/>
        <v>0</v>
      </c>
    </row>
    <row r="1488" spans="1:32" x14ac:dyDescent="0.2">
      <c r="A1488" s="117"/>
      <c r="B1488" s="118"/>
      <c r="C1488" s="119"/>
      <c r="D1488" s="119"/>
      <c r="E1488" s="117"/>
      <c r="F1488" s="120">
        <f t="shared" si="460"/>
        <v>0</v>
      </c>
      <c r="G1488" s="121" t="str">
        <f t="shared" si="461"/>
        <v/>
      </c>
      <c r="H1488" s="122">
        <f>IF($D1488="",0,IFERROR(LOOKUP(2,1/(($D$3:D1487=$D1488)*($A$3:A1487&lt;$A1488)),$N$3:N1487),'Guide &amp; Settings'!$C$41))</f>
        <v>0</v>
      </c>
      <c r="I1488" s="123">
        <f t="shared" si="462"/>
        <v>0</v>
      </c>
      <c r="J1488" s="124">
        <f>IF($D1488="",0,IF($F1488&lt;2,0,IF($E1488="Win",('Guide &amp; Settings'!$C$42/(($F1488-1)*COUNTIFS($A$4:$A$1510,$A1488,$E$4:$E$1510,"Win")))*SUMIFS($X$4:$X$1510,$A$4:$A$1510,$A1488,$E$4:$E$1510,"Loss"),-('Guide &amp; Settings'!$C$42/($F1488-1))*$X1488)))</f>
        <v>0</v>
      </c>
      <c r="K1488" s="124">
        <f>IF($D1488="",0,'Guide &amp; Settings'!$C$43*(IF($E1488="Win",1,0)-$I1488))</f>
        <v>0</v>
      </c>
      <c r="L1488" s="125">
        <f>IF($D1488="",0,'Guide &amp; Settings'!$C$44*IF($F1488&gt;=3,$F1488,0))</f>
        <v>0</v>
      </c>
      <c r="M1488" s="124">
        <f t="shared" si="463"/>
        <v>0</v>
      </c>
      <c r="N1488" s="122">
        <f t="shared" si="464"/>
        <v>0</v>
      </c>
      <c r="O1488" s="121" t="str">
        <f t="shared" si="465"/>
        <v/>
      </c>
      <c r="P1488">
        <f t="shared" si="466"/>
        <v>0</v>
      </c>
      <c r="Q1488">
        <f t="shared" si="467"/>
        <v>0</v>
      </c>
      <c r="R1488">
        <f t="shared" si="468"/>
        <v>0</v>
      </c>
      <c r="S1488">
        <f t="shared" si="469"/>
        <v>0</v>
      </c>
      <c r="T1488" s="89">
        <f t="shared" si="470"/>
        <v>0</v>
      </c>
      <c r="U1488" s="126">
        <f>IF($D1488="",0,IFERROR(LOOKUP(2,1/(($D$3:D1487=$D1488)*($C$3:C1487=$C1488)*($A$3:A1487&lt;$A1488)),$AB$3:AB1487),1000))</f>
        <v>0</v>
      </c>
      <c r="V1488" s="126">
        <f t="shared" si="471"/>
        <v>0</v>
      </c>
      <c r="W1488">
        <f t="shared" si="472"/>
        <v>0</v>
      </c>
      <c r="X1488">
        <f t="shared" si="473"/>
        <v>0</v>
      </c>
      <c r="Y1488">
        <f t="shared" si="474"/>
        <v>0</v>
      </c>
      <c r="Z1488">
        <f t="shared" si="475"/>
        <v>0</v>
      </c>
      <c r="AA1488">
        <f>IF($D1488="",0,IF($F1488&lt;2,0,IF($E1488="Win",('Guide &amp; Settings'!$C$42/(($F1488-1)*COUNTIFS($A$4:$A$1510,$A1488,$E$4:$E$1510,"Win")))*SUMIFS($Z$4:$Z$1510,$A$4:$A$1510,$A1488,$E$4:$E$1510,"Loss"),-('Guide &amp; Settings'!$C$42/($F1488-1))*$Z1488)))</f>
        <v>0</v>
      </c>
      <c r="AB1488" s="126">
        <f t="shared" si="476"/>
        <v>0</v>
      </c>
      <c r="AC1488" t="str">
        <f>IF($D1488="","",IF($AD1488=0,0,IF(COUNTIFS($D$4:$D1488,$D1488,$B$4:$B1488,$B1488)&gt;1,0,IF($B1488&lt;'Guide &amp; Settings'!$C$50,0,IF(($B1488-$AD1488)/7-'Guide &amp; Settings'!$C$48&gt;=0,(INT(($B1488-$AD1488)/7-'Guide &amp; Settings'!$C$48)+1)*'Guide &amp; Settings'!$C$49,0)))))</f>
        <v/>
      </c>
      <c r="AD1488" s="142">
        <f t="shared" si="477"/>
        <v>0</v>
      </c>
      <c r="AE1488">
        <f t="shared" si="478"/>
        <v>0</v>
      </c>
      <c r="AF1488">
        <f t="shared" si="479"/>
        <v>0</v>
      </c>
    </row>
    <row r="1489" spans="1:32" x14ac:dyDescent="0.2">
      <c r="A1489" s="117"/>
      <c r="B1489" s="118"/>
      <c r="C1489" s="119"/>
      <c r="D1489" s="119"/>
      <c r="E1489" s="117"/>
      <c r="F1489" s="120">
        <f t="shared" si="460"/>
        <v>0</v>
      </c>
      <c r="G1489" s="121" t="str">
        <f t="shared" si="461"/>
        <v/>
      </c>
      <c r="H1489" s="122">
        <f>IF($D1489="",0,IFERROR(LOOKUP(2,1/(($D$3:D1488=$D1489)*($A$3:A1488&lt;$A1489)),$N$3:N1488),'Guide &amp; Settings'!$C$41))</f>
        <v>0</v>
      </c>
      <c r="I1489" s="123">
        <f t="shared" si="462"/>
        <v>0</v>
      </c>
      <c r="J1489" s="124">
        <f>IF($D1489="",0,IF($F1489&lt;2,0,IF($E1489="Win",('Guide &amp; Settings'!$C$42/(($F1489-1)*COUNTIFS($A$4:$A$1510,$A1489,$E$4:$E$1510,"Win")))*SUMIFS($X$4:$X$1510,$A$4:$A$1510,$A1489,$E$4:$E$1510,"Loss"),-('Guide &amp; Settings'!$C$42/($F1489-1))*$X1489)))</f>
        <v>0</v>
      </c>
      <c r="K1489" s="124">
        <f>IF($D1489="",0,'Guide &amp; Settings'!$C$43*(IF($E1489="Win",1,0)-$I1489))</f>
        <v>0</v>
      </c>
      <c r="L1489" s="125">
        <f>IF($D1489="",0,'Guide &amp; Settings'!$C$44*IF($F1489&gt;=3,$F1489,0))</f>
        <v>0</v>
      </c>
      <c r="M1489" s="124">
        <f t="shared" si="463"/>
        <v>0</v>
      </c>
      <c r="N1489" s="122">
        <f t="shared" si="464"/>
        <v>0</v>
      </c>
      <c r="O1489" s="121" t="str">
        <f t="shared" si="465"/>
        <v/>
      </c>
      <c r="P1489">
        <f t="shared" si="466"/>
        <v>0</v>
      </c>
      <c r="Q1489">
        <f t="shared" si="467"/>
        <v>0</v>
      </c>
      <c r="R1489">
        <f t="shared" si="468"/>
        <v>0</v>
      </c>
      <c r="S1489">
        <f t="shared" si="469"/>
        <v>0</v>
      </c>
      <c r="T1489" s="89">
        <f t="shared" si="470"/>
        <v>0</v>
      </c>
      <c r="U1489" s="126">
        <f>IF($D1489="",0,IFERROR(LOOKUP(2,1/(($D$3:D1488=$D1489)*($C$3:C1488=$C1489)*($A$3:A1488&lt;$A1489)),$AB$3:AB1488),1000))</f>
        <v>0</v>
      </c>
      <c r="V1489" s="126">
        <f t="shared" si="471"/>
        <v>0</v>
      </c>
      <c r="W1489">
        <f t="shared" si="472"/>
        <v>0</v>
      </c>
      <c r="X1489">
        <f t="shared" si="473"/>
        <v>0</v>
      </c>
      <c r="Y1489">
        <f t="shared" si="474"/>
        <v>0</v>
      </c>
      <c r="Z1489">
        <f t="shared" si="475"/>
        <v>0</v>
      </c>
      <c r="AA1489">
        <f>IF($D1489="",0,IF($F1489&lt;2,0,IF($E1489="Win",('Guide &amp; Settings'!$C$42/(($F1489-1)*COUNTIFS($A$4:$A$1510,$A1489,$E$4:$E$1510,"Win")))*SUMIFS($Z$4:$Z$1510,$A$4:$A$1510,$A1489,$E$4:$E$1510,"Loss"),-('Guide &amp; Settings'!$C$42/($F1489-1))*$Z1489)))</f>
        <v>0</v>
      </c>
      <c r="AB1489" s="126">
        <f t="shared" si="476"/>
        <v>0</v>
      </c>
      <c r="AC1489" t="str">
        <f>IF($D1489="","",IF($AD1489=0,0,IF(COUNTIFS($D$4:$D1489,$D1489,$B$4:$B1489,$B1489)&gt;1,0,IF($B1489&lt;'Guide &amp; Settings'!$C$50,0,IF(($B1489-$AD1489)/7-'Guide &amp; Settings'!$C$48&gt;=0,(INT(($B1489-$AD1489)/7-'Guide &amp; Settings'!$C$48)+1)*'Guide &amp; Settings'!$C$49,0)))))</f>
        <v/>
      </c>
      <c r="AD1489" s="142">
        <f t="shared" si="477"/>
        <v>0</v>
      </c>
      <c r="AE1489">
        <f t="shared" si="478"/>
        <v>0</v>
      </c>
      <c r="AF1489">
        <f t="shared" si="479"/>
        <v>0</v>
      </c>
    </row>
    <row r="1490" spans="1:32" x14ac:dyDescent="0.2">
      <c r="A1490" s="117"/>
      <c r="B1490" s="118"/>
      <c r="C1490" s="119"/>
      <c r="D1490" s="119"/>
      <c r="E1490" s="117"/>
      <c r="F1490" s="120">
        <f t="shared" si="460"/>
        <v>0</v>
      </c>
      <c r="G1490" s="121" t="str">
        <f t="shared" si="461"/>
        <v/>
      </c>
      <c r="H1490" s="122">
        <f>IF($D1490="",0,IFERROR(LOOKUP(2,1/(($D$3:D1489=$D1490)*($A$3:A1489&lt;$A1490)),$N$3:N1489),'Guide &amp; Settings'!$C$41))</f>
        <v>0</v>
      </c>
      <c r="I1490" s="123">
        <f t="shared" si="462"/>
        <v>0</v>
      </c>
      <c r="J1490" s="124">
        <f>IF($D1490="",0,IF($F1490&lt;2,0,IF($E1490="Win",('Guide &amp; Settings'!$C$42/(($F1490-1)*COUNTIFS($A$4:$A$1510,$A1490,$E$4:$E$1510,"Win")))*SUMIFS($X$4:$X$1510,$A$4:$A$1510,$A1490,$E$4:$E$1510,"Loss"),-('Guide &amp; Settings'!$C$42/($F1490-1))*$X1490)))</f>
        <v>0</v>
      </c>
      <c r="K1490" s="124">
        <f>IF($D1490="",0,'Guide &amp; Settings'!$C$43*(IF($E1490="Win",1,0)-$I1490))</f>
        <v>0</v>
      </c>
      <c r="L1490" s="125">
        <f>IF($D1490="",0,'Guide &amp; Settings'!$C$44*IF($F1490&gt;=3,$F1490,0))</f>
        <v>0</v>
      </c>
      <c r="M1490" s="124">
        <f t="shared" si="463"/>
        <v>0</v>
      </c>
      <c r="N1490" s="122">
        <f t="shared" si="464"/>
        <v>0</v>
      </c>
      <c r="O1490" s="121" t="str">
        <f t="shared" si="465"/>
        <v/>
      </c>
      <c r="P1490">
        <f t="shared" si="466"/>
        <v>0</v>
      </c>
      <c r="Q1490">
        <f t="shared" si="467"/>
        <v>0</v>
      </c>
      <c r="R1490">
        <f t="shared" si="468"/>
        <v>0</v>
      </c>
      <c r="S1490">
        <f t="shared" si="469"/>
        <v>0</v>
      </c>
      <c r="T1490" s="89">
        <f t="shared" si="470"/>
        <v>0</v>
      </c>
      <c r="U1490" s="126">
        <f>IF($D1490="",0,IFERROR(LOOKUP(2,1/(($D$3:D1489=$D1490)*($C$3:C1489=$C1490)*($A$3:A1489&lt;$A1490)),$AB$3:AB1489),1000))</f>
        <v>0</v>
      </c>
      <c r="V1490" s="126">
        <f t="shared" si="471"/>
        <v>0</v>
      </c>
      <c r="W1490">
        <f t="shared" si="472"/>
        <v>0</v>
      </c>
      <c r="X1490">
        <f t="shared" si="473"/>
        <v>0</v>
      </c>
      <c r="Y1490">
        <f t="shared" si="474"/>
        <v>0</v>
      </c>
      <c r="Z1490">
        <f t="shared" si="475"/>
        <v>0</v>
      </c>
      <c r="AA1490">
        <f>IF($D1490="",0,IF($F1490&lt;2,0,IF($E1490="Win",('Guide &amp; Settings'!$C$42/(($F1490-1)*COUNTIFS($A$4:$A$1510,$A1490,$E$4:$E$1510,"Win")))*SUMIFS($Z$4:$Z$1510,$A$4:$A$1510,$A1490,$E$4:$E$1510,"Loss"),-('Guide &amp; Settings'!$C$42/($F1490-1))*$Z1490)))</f>
        <v>0</v>
      </c>
      <c r="AB1490" s="126">
        <f t="shared" si="476"/>
        <v>0</v>
      </c>
      <c r="AC1490" t="str">
        <f>IF($D1490="","",IF($AD1490=0,0,IF(COUNTIFS($D$4:$D1490,$D1490,$B$4:$B1490,$B1490)&gt;1,0,IF($B1490&lt;'Guide &amp; Settings'!$C$50,0,IF(($B1490-$AD1490)/7-'Guide &amp; Settings'!$C$48&gt;=0,(INT(($B1490-$AD1490)/7-'Guide &amp; Settings'!$C$48)+1)*'Guide &amp; Settings'!$C$49,0)))))</f>
        <v/>
      </c>
      <c r="AD1490" s="142">
        <f t="shared" si="477"/>
        <v>0</v>
      </c>
      <c r="AE1490">
        <f t="shared" si="478"/>
        <v>0</v>
      </c>
      <c r="AF1490">
        <f t="shared" si="479"/>
        <v>0</v>
      </c>
    </row>
    <row r="1491" spans="1:32" x14ac:dyDescent="0.2">
      <c r="A1491" s="117"/>
      <c r="B1491" s="118"/>
      <c r="C1491" s="119"/>
      <c r="D1491" s="119"/>
      <c r="E1491" s="117"/>
      <c r="F1491" s="120">
        <f t="shared" si="460"/>
        <v>0</v>
      </c>
      <c r="G1491" s="121" t="str">
        <f t="shared" si="461"/>
        <v/>
      </c>
      <c r="H1491" s="122">
        <f>IF($D1491="",0,IFERROR(LOOKUP(2,1/(($D$3:D1490=$D1491)*($A$3:A1490&lt;$A1491)),$N$3:N1490),'Guide &amp; Settings'!$C$41))</f>
        <v>0</v>
      </c>
      <c r="I1491" s="123">
        <f t="shared" si="462"/>
        <v>0</v>
      </c>
      <c r="J1491" s="124">
        <f>IF($D1491="",0,IF($F1491&lt;2,0,IF($E1491="Win",('Guide &amp; Settings'!$C$42/(($F1491-1)*COUNTIFS($A$4:$A$1510,$A1491,$E$4:$E$1510,"Win")))*SUMIFS($X$4:$X$1510,$A$4:$A$1510,$A1491,$E$4:$E$1510,"Loss"),-('Guide &amp; Settings'!$C$42/($F1491-1))*$X1491)))</f>
        <v>0</v>
      </c>
      <c r="K1491" s="124">
        <f>IF($D1491="",0,'Guide &amp; Settings'!$C$43*(IF($E1491="Win",1,0)-$I1491))</f>
        <v>0</v>
      </c>
      <c r="L1491" s="125">
        <f>IF($D1491="",0,'Guide &amp; Settings'!$C$44*IF($F1491&gt;=3,$F1491,0))</f>
        <v>0</v>
      </c>
      <c r="M1491" s="124">
        <f t="shared" si="463"/>
        <v>0</v>
      </c>
      <c r="N1491" s="122">
        <f t="shared" si="464"/>
        <v>0</v>
      </c>
      <c r="O1491" s="121" t="str">
        <f t="shared" si="465"/>
        <v/>
      </c>
      <c r="P1491">
        <f t="shared" si="466"/>
        <v>0</v>
      </c>
      <c r="Q1491">
        <f t="shared" si="467"/>
        <v>0</v>
      </c>
      <c r="R1491">
        <f t="shared" si="468"/>
        <v>0</v>
      </c>
      <c r="S1491">
        <f t="shared" si="469"/>
        <v>0</v>
      </c>
      <c r="T1491" s="89">
        <f t="shared" si="470"/>
        <v>0</v>
      </c>
      <c r="U1491" s="126">
        <f>IF($D1491="",0,IFERROR(LOOKUP(2,1/(($D$3:D1490=$D1491)*($C$3:C1490=$C1491)*($A$3:A1490&lt;$A1491)),$AB$3:AB1490),1000))</f>
        <v>0</v>
      </c>
      <c r="V1491" s="126">
        <f t="shared" si="471"/>
        <v>0</v>
      </c>
      <c r="W1491">
        <f t="shared" si="472"/>
        <v>0</v>
      </c>
      <c r="X1491">
        <f t="shared" si="473"/>
        <v>0</v>
      </c>
      <c r="Y1491">
        <f t="shared" si="474"/>
        <v>0</v>
      </c>
      <c r="Z1491">
        <f t="shared" si="475"/>
        <v>0</v>
      </c>
      <c r="AA1491">
        <f>IF($D1491="",0,IF($F1491&lt;2,0,IF($E1491="Win",('Guide &amp; Settings'!$C$42/(($F1491-1)*COUNTIFS($A$4:$A$1510,$A1491,$E$4:$E$1510,"Win")))*SUMIFS($Z$4:$Z$1510,$A$4:$A$1510,$A1491,$E$4:$E$1510,"Loss"),-('Guide &amp; Settings'!$C$42/($F1491-1))*$Z1491)))</f>
        <v>0</v>
      </c>
      <c r="AB1491" s="126">
        <f t="shared" si="476"/>
        <v>0</v>
      </c>
      <c r="AC1491" t="str">
        <f>IF($D1491="","",IF($AD1491=0,0,IF(COUNTIFS($D$4:$D1491,$D1491,$B$4:$B1491,$B1491)&gt;1,0,IF($B1491&lt;'Guide &amp; Settings'!$C$50,0,IF(($B1491-$AD1491)/7-'Guide &amp; Settings'!$C$48&gt;=0,(INT(($B1491-$AD1491)/7-'Guide &amp; Settings'!$C$48)+1)*'Guide &amp; Settings'!$C$49,0)))))</f>
        <v/>
      </c>
      <c r="AD1491" s="142">
        <f t="shared" si="477"/>
        <v>0</v>
      </c>
      <c r="AE1491">
        <f t="shared" si="478"/>
        <v>0</v>
      </c>
      <c r="AF1491">
        <f t="shared" si="479"/>
        <v>0</v>
      </c>
    </row>
    <row r="1492" spans="1:32" x14ac:dyDescent="0.2">
      <c r="A1492" s="117"/>
      <c r="B1492" s="118"/>
      <c r="C1492" s="119"/>
      <c r="D1492" s="119"/>
      <c r="E1492" s="117"/>
      <c r="F1492" s="120">
        <f t="shared" si="460"/>
        <v>0</v>
      </c>
      <c r="G1492" s="121" t="str">
        <f t="shared" si="461"/>
        <v/>
      </c>
      <c r="H1492" s="122">
        <f>IF($D1492="",0,IFERROR(LOOKUP(2,1/(($D$3:D1491=$D1492)*($A$3:A1491&lt;$A1492)),$N$3:N1491),'Guide &amp; Settings'!$C$41))</f>
        <v>0</v>
      </c>
      <c r="I1492" s="123">
        <f t="shared" si="462"/>
        <v>0</v>
      </c>
      <c r="J1492" s="124">
        <f>IF($D1492="",0,IF($F1492&lt;2,0,IF($E1492="Win",('Guide &amp; Settings'!$C$42/(($F1492-1)*COUNTIFS($A$4:$A$1510,$A1492,$E$4:$E$1510,"Win")))*SUMIFS($X$4:$X$1510,$A$4:$A$1510,$A1492,$E$4:$E$1510,"Loss"),-('Guide &amp; Settings'!$C$42/($F1492-1))*$X1492)))</f>
        <v>0</v>
      </c>
      <c r="K1492" s="124">
        <f>IF($D1492="",0,'Guide &amp; Settings'!$C$43*(IF($E1492="Win",1,0)-$I1492))</f>
        <v>0</v>
      </c>
      <c r="L1492" s="125">
        <f>IF($D1492="",0,'Guide &amp; Settings'!$C$44*IF($F1492&gt;=3,$F1492,0))</f>
        <v>0</v>
      </c>
      <c r="M1492" s="124">
        <f t="shared" si="463"/>
        <v>0</v>
      </c>
      <c r="N1492" s="122">
        <f t="shared" si="464"/>
        <v>0</v>
      </c>
      <c r="O1492" s="121" t="str">
        <f t="shared" si="465"/>
        <v/>
      </c>
      <c r="P1492">
        <f t="shared" si="466"/>
        <v>0</v>
      </c>
      <c r="Q1492">
        <f t="shared" si="467"/>
        <v>0</v>
      </c>
      <c r="R1492">
        <f t="shared" si="468"/>
        <v>0</v>
      </c>
      <c r="S1492">
        <f t="shared" si="469"/>
        <v>0</v>
      </c>
      <c r="T1492" s="89">
        <f t="shared" si="470"/>
        <v>0</v>
      </c>
      <c r="U1492" s="126">
        <f>IF($D1492="",0,IFERROR(LOOKUP(2,1/(($D$3:D1491=$D1492)*($C$3:C1491=$C1492)*($A$3:A1491&lt;$A1492)),$AB$3:AB1491),1000))</f>
        <v>0</v>
      </c>
      <c r="V1492" s="126">
        <f t="shared" si="471"/>
        <v>0</v>
      </c>
      <c r="W1492">
        <f t="shared" si="472"/>
        <v>0</v>
      </c>
      <c r="X1492">
        <f t="shared" si="473"/>
        <v>0</v>
      </c>
      <c r="Y1492">
        <f t="shared" si="474"/>
        <v>0</v>
      </c>
      <c r="Z1492">
        <f t="shared" si="475"/>
        <v>0</v>
      </c>
      <c r="AA1492">
        <f>IF($D1492="",0,IF($F1492&lt;2,0,IF($E1492="Win",('Guide &amp; Settings'!$C$42/(($F1492-1)*COUNTIFS($A$4:$A$1510,$A1492,$E$4:$E$1510,"Win")))*SUMIFS($Z$4:$Z$1510,$A$4:$A$1510,$A1492,$E$4:$E$1510,"Loss"),-('Guide &amp; Settings'!$C$42/($F1492-1))*$Z1492)))</f>
        <v>0</v>
      </c>
      <c r="AB1492" s="126">
        <f t="shared" si="476"/>
        <v>0</v>
      </c>
      <c r="AC1492" t="str">
        <f>IF($D1492="","",IF($AD1492=0,0,IF(COUNTIFS($D$4:$D1492,$D1492,$B$4:$B1492,$B1492)&gt;1,0,IF($B1492&lt;'Guide &amp; Settings'!$C$50,0,IF(($B1492-$AD1492)/7-'Guide &amp; Settings'!$C$48&gt;=0,(INT(($B1492-$AD1492)/7-'Guide &amp; Settings'!$C$48)+1)*'Guide &amp; Settings'!$C$49,0)))))</f>
        <v/>
      </c>
      <c r="AD1492" s="142">
        <f t="shared" si="477"/>
        <v>0</v>
      </c>
      <c r="AE1492">
        <f t="shared" si="478"/>
        <v>0</v>
      </c>
      <c r="AF1492">
        <f t="shared" si="479"/>
        <v>0</v>
      </c>
    </row>
    <row r="1493" spans="1:32" x14ac:dyDescent="0.2">
      <c r="A1493" s="117"/>
      <c r="B1493" s="118"/>
      <c r="C1493" s="119"/>
      <c r="D1493" s="119"/>
      <c r="E1493" s="117"/>
      <c r="F1493" s="120">
        <f t="shared" si="460"/>
        <v>0</v>
      </c>
      <c r="G1493" s="121" t="str">
        <f t="shared" si="461"/>
        <v/>
      </c>
      <c r="H1493" s="122">
        <f>IF($D1493="",0,IFERROR(LOOKUP(2,1/(($D$3:D1492=$D1493)*($A$3:A1492&lt;$A1493)),$N$3:N1492),'Guide &amp; Settings'!$C$41))</f>
        <v>0</v>
      </c>
      <c r="I1493" s="123">
        <f t="shared" si="462"/>
        <v>0</v>
      </c>
      <c r="J1493" s="124">
        <f>IF($D1493="",0,IF($F1493&lt;2,0,IF($E1493="Win",('Guide &amp; Settings'!$C$42/(($F1493-1)*COUNTIFS($A$4:$A$1510,$A1493,$E$4:$E$1510,"Win")))*SUMIFS($X$4:$X$1510,$A$4:$A$1510,$A1493,$E$4:$E$1510,"Loss"),-('Guide &amp; Settings'!$C$42/($F1493-1))*$X1493)))</f>
        <v>0</v>
      </c>
      <c r="K1493" s="124">
        <f>IF($D1493="",0,'Guide &amp; Settings'!$C$43*(IF($E1493="Win",1,0)-$I1493))</f>
        <v>0</v>
      </c>
      <c r="L1493" s="125">
        <f>IF($D1493="",0,'Guide &amp; Settings'!$C$44*IF($F1493&gt;=3,$F1493,0))</f>
        <v>0</v>
      </c>
      <c r="M1493" s="124">
        <f t="shared" si="463"/>
        <v>0</v>
      </c>
      <c r="N1493" s="122">
        <f t="shared" si="464"/>
        <v>0</v>
      </c>
      <c r="O1493" s="121" t="str">
        <f t="shared" si="465"/>
        <v/>
      </c>
      <c r="P1493">
        <f t="shared" si="466"/>
        <v>0</v>
      </c>
      <c r="Q1493">
        <f t="shared" si="467"/>
        <v>0</v>
      </c>
      <c r="R1493">
        <f t="shared" si="468"/>
        <v>0</v>
      </c>
      <c r="S1493">
        <f t="shared" si="469"/>
        <v>0</v>
      </c>
      <c r="T1493" s="89">
        <f t="shared" si="470"/>
        <v>0</v>
      </c>
      <c r="U1493" s="126">
        <f>IF($D1493="",0,IFERROR(LOOKUP(2,1/(($D$3:D1492=$D1493)*($C$3:C1492=$C1493)*($A$3:A1492&lt;$A1493)),$AB$3:AB1492),1000))</f>
        <v>0</v>
      </c>
      <c r="V1493" s="126">
        <f t="shared" si="471"/>
        <v>0</v>
      </c>
      <c r="W1493">
        <f t="shared" si="472"/>
        <v>0</v>
      </c>
      <c r="X1493">
        <f t="shared" si="473"/>
        <v>0</v>
      </c>
      <c r="Y1493">
        <f t="shared" si="474"/>
        <v>0</v>
      </c>
      <c r="Z1493">
        <f t="shared" si="475"/>
        <v>0</v>
      </c>
      <c r="AA1493">
        <f>IF($D1493="",0,IF($F1493&lt;2,0,IF($E1493="Win",('Guide &amp; Settings'!$C$42/(($F1493-1)*COUNTIFS($A$4:$A$1510,$A1493,$E$4:$E$1510,"Win")))*SUMIFS($Z$4:$Z$1510,$A$4:$A$1510,$A1493,$E$4:$E$1510,"Loss"),-('Guide &amp; Settings'!$C$42/($F1493-1))*$Z1493)))</f>
        <v>0</v>
      </c>
      <c r="AB1493" s="126">
        <f t="shared" si="476"/>
        <v>0</v>
      </c>
      <c r="AC1493" t="str">
        <f>IF($D1493="","",IF($AD1493=0,0,IF(COUNTIFS($D$4:$D1493,$D1493,$B$4:$B1493,$B1493)&gt;1,0,IF($B1493&lt;'Guide &amp; Settings'!$C$50,0,IF(($B1493-$AD1493)/7-'Guide &amp; Settings'!$C$48&gt;=0,(INT(($B1493-$AD1493)/7-'Guide &amp; Settings'!$C$48)+1)*'Guide &amp; Settings'!$C$49,0)))))</f>
        <v/>
      </c>
      <c r="AD1493" s="142">
        <f t="shared" si="477"/>
        <v>0</v>
      </c>
      <c r="AE1493">
        <f t="shared" si="478"/>
        <v>0</v>
      </c>
      <c r="AF1493">
        <f t="shared" si="479"/>
        <v>0</v>
      </c>
    </row>
    <row r="1494" spans="1:32" x14ac:dyDescent="0.2">
      <c r="A1494" s="117"/>
      <c r="B1494" s="118"/>
      <c r="C1494" s="119"/>
      <c r="D1494" s="119"/>
      <c r="E1494" s="117"/>
      <c r="F1494" s="120">
        <f t="shared" si="460"/>
        <v>0</v>
      </c>
      <c r="G1494" s="121" t="str">
        <f t="shared" si="461"/>
        <v/>
      </c>
      <c r="H1494" s="122">
        <f>IF($D1494="",0,IFERROR(LOOKUP(2,1/(($D$3:D1493=$D1494)*($A$3:A1493&lt;$A1494)),$N$3:N1493),'Guide &amp; Settings'!$C$41))</f>
        <v>0</v>
      </c>
      <c r="I1494" s="123">
        <f t="shared" si="462"/>
        <v>0</v>
      </c>
      <c r="J1494" s="124">
        <f>IF($D1494="",0,IF($F1494&lt;2,0,IF($E1494="Win",('Guide &amp; Settings'!$C$42/(($F1494-1)*COUNTIFS($A$4:$A$1510,$A1494,$E$4:$E$1510,"Win")))*SUMIFS($X$4:$X$1510,$A$4:$A$1510,$A1494,$E$4:$E$1510,"Loss"),-('Guide &amp; Settings'!$C$42/($F1494-1))*$X1494)))</f>
        <v>0</v>
      </c>
      <c r="K1494" s="124">
        <f>IF($D1494="",0,'Guide &amp; Settings'!$C$43*(IF($E1494="Win",1,0)-$I1494))</f>
        <v>0</v>
      </c>
      <c r="L1494" s="125">
        <f>IF($D1494="",0,'Guide &amp; Settings'!$C$44*IF($F1494&gt;=3,$F1494,0))</f>
        <v>0</v>
      </c>
      <c r="M1494" s="124">
        <f t="shared" si="463"/>
        <v>0</v>
      </c>
      <c r="N1494" s="122">
        <f t="shared" si="464"/>
        <v>0</v>
      </c>
      <c r="O1494" s="121" t="str">
        <f t="shared" si="465"/>
        <v/>
      </c>
      <c r="P1494">
        <f t="shared" si="466"/>
        <v>0</v>
      </c>
      <c r="Q1494">
        <f t="shared" si="467"/>
        <v>0</v>
      </c>
      <c r="R1494">
        <f t="shared" si="468"/>
        <v>0</v>
      </c>
      <c r="S1494">
        <f t="shared" si="469"/>
        <v>0</v>
      </c>
      <c r="T1494" s="89">
        <f t="shared" si="470"/>
        <v>0</v>
      </c>
      <c r="U1494" s="126">
        <f>IF($D1494="",0,IFERROR(LOOKUP(2,1/(($D$3:D1493=$D1494)*($C$3:C1493=$C1494)*($A$3:A1493&lt;$A1494)),$AB$3:AB1493),1000))</f>
        <v>0</v>
      </c>
      <c r="V1494" s="126">
        <f t="shared" si="471"/>
        <v>0</v>
      </c>
      <c r="W1494">
        <f t="shared" si="472"/>
        <v>0</v>
      </c>
      <c r="X1494">
        <f t="shared" si="473"/>
        <v>0</v>
      </c>
      <c r="Y1494">
        <f t="shared" si="474"/>
        <v>0</v>
      </c>
      <c r="Z1494">
        <f t="shared" si="475"/>
        <v>0</v>
      </c>
      <c r="AA1494">
        <f>IF($D1494="",0,IF($F1494&lt;2,0,IF($E1494="Win",('Guide &amp; Settings'!$C$42/(($F1494-1)*COUNTIFS($A$4:$A$1510,$A1494,$E$4:$E$1510,"Win")))*SUMIFS($Z$4:$Z$1510,$A$4:$A$1510,$A1494,$E$4:$E$1510,"Loss"),-('Guide &amp; Settings'!$C$42/($F1494-1))*$Z1494)))</f>
        <v>0</v>
      </c>
      <c r="AB1494" s="126">
        <f t="shared" si="476"/>
        <v>0</v>
      </c>
      <c r="AC1494" t="str">
        <f>IF($D1494="","",IF($AD1494=0,0,IF(COUNTIFS($D$4:$D1494,$D1494,$B$4:$B1494,$B1494)&gt;1,0,IF($B1494&lt;'Guide &amp; Settings'!$C$50,0,IF(($B1494-$AD1494)/7-'Guide &amp; Settings'!$C$48&gt;=0,(INT(($B1494-$AD1494)/7-'Guide &amp; Settings'!$C$48)+1)*'Guide &amp; Settings'!$C$49,0)))))</f>
        <v/>
      </c>
      <c r="AD1494" s="142">
        <f t="shared" si="477"/>
        <v>0</v>
      </c>
      <c r="AE1494">
        <f t="shared" si="478"/>
        <v>0</v>
      </c>
      <c r="AF1494">
        <f t="shared" si="479"/>
        <v>0</v>
      </c>
    </row>
    <row r="1495" spans="1:32" x14ac:dyDescent="0.2">
      <c r="A1495" s="117"/>
      <c r="B1495" s="118"/>
      <c r="C1495" s="119"/>
      <c r="D1495" s="119"/>
      <c r="E1495" s="117"/>
      <c r="F1495" s="120">
        <f t="shared" si="460"/>
        <v>0</v>
      </c>
      <c r="G1495" s="121" t="str">
        <f t="shared" si="461"/>
        <v/>
      </c>
      <c r="H1495" s="122">
        <f>IF($D1495="",0,IFERROR(LOOKUP(2,1/(($D$3:D1494=$D1495)*($A$3:A1494&lt;$A1495)),$N$3:N1494),'Guide &amp; Settings'!$C$41))</f>
        <v>0</v>
      </c>
      <c r="I1495" s="123">
        <f t="shared" si="462"/>
        <v>0</v>
      </c>
      <c r="J1495" s="124">
        <f>IF($D1495="",0,IF($F1495&lt;2,0,IF($E1495="Win",('Guide &amp; Settings'!$C$42/(($F1495-1)*COUNTIFS($A$4:$A$1510,$A1495,$E$4:$E$1510,"Win")))*SUMIFS($X$4:$X$1510,$A$4:$A$1510,$A1495,$E$4:$E$1510,"Loss"),-('Guide &amp; Settings'!$C$42/($F1495-1))*$X1495)))</f>
        <v>0</v>
      </c>
      <c r="K1495" s="124">
        <f>IF($D1495="",0,'Guide &amp; Settings'!$C$43*(IF($E1495="Win",1,0)-$I1495))</f>
        <v>0</v>
      </c>
      <c r="L1495" s="125">
        <f>IF($D1495="",0,'Guide &amp; Settings'!$C$44*IF($F1495&gt;=3,$F1495,0))</f>
        <v>0</v>
      </c>
      <c r="M1495" s="124">
        <f t="shared" si="463"/>
        <v>0</v>
      </c>
      <c r="N1495" s="122">
        <f t="shared" si="464"/>
        <v>0</v>
      </c>
      <c r="O1495" s="121" t="str">
        <f t="shared" si="465"/>
        <v/>
      </c>
      <c r="P1495">
        <f t="shared" si="466"/>
        <v>0</v>
      </c>
      <c r="Q1495">
        <f t="shared" si="467"/>
        <v>0</v>
      </c>
      <c r="R1495">
        <f t="shared" si="468"/>
        <v>0</v>
      </c>
      <c r="S1495">
        <f t="shared" si="469"/>
        <v>0</v>
      </c>
      <c r="T1495" s="89">
        <f t="shared" si="470"/>
        <v>0</v>
      </c>
      <c r="U1495" s="126">
        <f>IF($D1495="",0,IFERROR(LOOKUP(2,1/(($D$3:D1494=$D1495)*($C$3:C1494=$C1495)*($A$3:A1494&lt;$A1495)),$AB$3:AB1494),1000))</f>
        <v>0</v>
      </c>
      <c r="V1495" s="126">
        <f t="shared" si="471"/>
        <v>0</v>
      </c>
      <c r="W1495">
        <f t="shared" si="472"/>
        <v>0</v>
      </c>
      <c r="X1495">
        <f t="shared" si="473"/>
        <v>0</v>
      </c>
      <c r="Y1495">
        <f t="shared" si="474"/>
        <v>0</v>
      </c>
      <c r="Z1495">
        <f t="shared" si="475"/>
        <v>0</v>
      </c>
      <c r="AA1495">
        <f>IF($D1495="",0,IF($F1495&lt;2,0,IF($E1495="Win",('Guide &amp; Settings'!$C$42/(($F1495-1)*COUNTIFS($A$4:$A$1510,$A1495,$E$4:$E$1510,"Win")))*SUMIFS($Z$4:$Z$1510,$A$4:$A$1510,$A1495,$E$4:$E$1510,"Loss"),-('Guide &amp; Settings'!$C$42/($F1495-1))*$Z1495)))</f>
        <v>0</v>
      </c>
      <c r="AB1495" s="126">
        <f t="shared" si="476"/>
        <v>0</v>
      </c>
      <c r="AC1495" t="str">
        <f>IF($D1495="","",IF($AD1495=0,0,IF(COUNTIFS($D$4:$D1495,$D1495,$B$4:$B1495,$B1495)&gt;1,0,IF($B1495&lt;'Guide &amp; Settings'!$C$50,0,IF(($B1495-$AD1495)/7-'Guide &amp; Settings'!$C$48&gt;=0,(INT(($B1495-$AD1495)/7-'Guide &amp; Settings'!$C$48)+1)*'Guide &amp; Settings'!$C$49,0)))))</f>
        <v/>
      </c>
      <c r="AD1495" s="142">
        <f t="shared" si="477"/>
        <v>0</v>
      </c>
      <c r="AE1495">
        <f t="shared" si="478"/>
        <v>0</v>
      </c>
      <c r="AF1495">
        <f t="shared" si="479"/>
        <v>0</v>
      </c>
    </row>
    <row r="1496" spans="1:32" x14ac:dyDescent="0.2">
      <c r="A1496" s="117"/>
      <c r="B1496" s="118"/>
      <c r="C1496" s="119"/>
      <c r="D1496" s="119"/>
      <c r="E1496" s="117"/>
      <c r="F1496" s="120">
        <f t="shared" si="460"/>
        <v>0</v>
      </c>
      <c r="G1496" s="121" t="str">
        <f t="shared" si="461"/>
        <v/>
      </c>
      <c r="H1496" s="122">
        <f>IF($D1496="",0,IFERROR(LOOKUP(2,1/(($D$3:D1495=$D1496)*($A$3:A1495&lt;$A1496)),$N$3:N1495),'Guide &amp; Settings'!$C$41))</f>
        <v>0</v>
      </c>
      <c r="I1496" s="123">
        <f t="shared" si="462"/>
        <v>0</v>
      </c>
      <c r="J1496" s="124">
        <f>IF($D1496="",0,IF($F1496&lt;2,0,IF($E1496="Win",('Guide &amp; Settings'!$C$42/(($F1496-1)*COUNTIFS($A$4:$A$1510,$A1496,$E$4:$E$1510,"Win")))*SUMIFS($X$4:$X$1510,$A$4:$A$1510,$A1496,$E$4:$E$1510,"Loss"),-('Guide &amp; Settings'!$C$42/($F1496-1))*$X1496)))</f>
        <v>0</v>
      </c>
      <c r="K1496" s="124">
        <f>IF($D1496="",0,'Guide &amp; Settings'!$C$43*(IF($E1496="Win",1,0)-$I1496))</f>
        <v>0</v>
      </c>
      <c r="L1496" s="125">
        <f>IF($D1496="",0,'Guide &amp; Settings'!$C$44*IF($F1496&gt;=3,$F1496,0))</f>
        <v>0</v>
      </c>
      <c r="M1496" s="124">
        <f t="shared" si="463"/>
        <v>0</v>
      </c>
      <c r="N1496" s="122">
        <f t="shared" si="464"/>
        <v>0</v>
      </c>
      <c r="O1496" s="121" t="str">
        <f t="shared" si="465"/>
        <v/>
      </c>
      <c r="P1496">
        <f t="shared" si="466"/>
        <v>0</v>
      </c>
      <c r="Q1496">
        <f t="shared" si="467"/>
        <v>0</v>
      </c>
      <c r="R1496">
        <f t="shared" si="468"/>
        <v>0</v>
      </c>
      <c r="S1496">
        <f t="shared" si="469"/>
        <v>0</v>
      </c>
      <c r="T1496" s="89">
        <f t="shared" si="470"/>
        <v>0</v>
      </c>
      <c r="U1496" s="126">
        <f>IF($D1496="",0,IFERROR(LOOKUP(2,1/(($D$3:D1495=$D1496)*($C$3:C1495=$C1496)*($A$3:A1495&lt;$A1496)),$AB$3:AB1495),1000))</f>
        <v>0</v>
      </c>
      <c r="V1496" s="126">
        <f t="shared" si="471"/>
        <v>0</v>
      </c>
      <c r="W1496">
        <f t="shared" si="472"/>
        <v>0</v>
      </c>
      <c r="X1496">
        <f t="shared" si="473"/>
        <v>0</v>
      </c>
      <c r="Y1496">
        <f t="shared" si="474"/>
        <v>0</v>
      </c>
      <c r="Z1496">
        <f t="shared" si="475"/>
        <v>0</v>
      </c>
      <c r="AA1496">
        <f>IF($D1496="",0,IF($F1496&lt;2,0,IF($E1496="Win",('Guide &amp; Settings'!$C$42/(($F1496-1)*COUNTIFS($A$4:$A$1510,$A1496,$E$4:$E$1510,"Win")))*SUMIFS($Z$4:$Z$1510,$A$4:$A$1510,$A1496,$E$4:$E$1510,"Loss"),-('Guide &amp; Settings'!$C$42/($F1496-1))*$Z1496)))</f>
        <v>0</v>
      </c>
      <c r="AB1496" s="126">
        <f t="shared" si="476"/>
        <v>0</v>
      </c>
      <c r="AC1496" t="str">
        <f>IF($D1496="","",IF($AD1496=0,0,IF(COUNTIFS($D$4:$D1496,$D1496,$B$4:$B1496,$B1496)&gt;1,0,IF($B1496&lt;'Guide &amp; Settings'!$C$50,0,IF(($B1496-$AD1496)/7-'Guide &amp; Settings'!$C$48&gt;=0,(INT(($B1496-$AD1496)/7-'Guide &amp; Settings'!$C$48)+1)*'Guide &amp; Settings'!$C$49,0)))))</f>
        <v/>
      </c>
      <c r="AD1496" s="142">
        <f t="shared" si="477"/>
        <v>0</v>
      </c>
      <c r="AE1496">
        <f t="shared" si="478"/>
        <v>0</v>
      </c>
      <c r="AF1496">
        <f t="shared" si="479"/>
        <v>0</v>
      </c>
    </row>
    <row r="1497" spans="1:32" x14ac:dyDescent="0.2">
      <c r="A1497" s="117"/>
      <c r="B1497" s="118"/>
      <c r="C1497" s="119"/>
      <c r="D1497" s="119"/>
      <c r="E1497" s="117"/>
      <c r="F1497" s="120">
        <f t="shared" si="460"/>
        <v>0</v>
      </c>
      <c r="G1497" s="121" t="str">
        <f t="shared" si="461"/>
        <v/>
      </c>
      <c r="H1497" s="122">
        <f>IF($D1497="",0,IFERROR(LOOKUP(2,1/(($D$3:D1496=$D1497)*($A$3:A1496&lt;$A1497)),$N$3:N1496),'Guide &amp; Settings'!$C$41))</f>
        <v>0</v>
      </c>
      <c r="I1497" s="123">
        <f t="shared" si="462"/>
        <v>0</v>
      </c>
      <c r="J1497" s="124">
        <f>IF($D1497="",0,IF($F1497&lt;2,0,IF($E1497="Win",('Guide &amp; Settings'!$C$42/(($F1497-1)*COUNTIFS($A$4:$A$1510,$A1497,$E$4:$E$1510,"Win")))*SUMIFS($X$4:$X$1510,$A$4:$A$1510,$A1497,$E$4:$E$1510,"Loss"),-('Guide &amp; Settings'!$C$42/($F1497-1))*$X1497)))</f>
        <v>0</v>
      </c>
      <c r="K1497" s="124">
        <f>IF($D1497="",0,'Guide &amp; Settings'!$C$43*(IF($E1497="Win",1,0)-$I1497))</f>
        <v>0</v>
      </c>
      <c r="L1497" s="125">
        <f>IF($D1497="",0,'Guide &amp; Settings'!$C$44*IF($F1497&gt;=3,$F1497,0))</f>
        <v>0</v>
      </c>
      <c r="M1497" s="124">
        <f t="shared" si="463"/>
        <v>0</v>
      </c>
      <c r="N1497" s="122">
        <f t="shared" si="464"/>
        <v>0</v>
      </c>
      <c r="O1497" s="121" t="str">
        <f t="shared" si="465"/>
        <v/>
      </c>
      <c r="P1497">
        <f t="shared" si="466"/>
        <v>0</v>
      </c>
      <c r="Q1497">
        <f t="shared" si="467"/>
        <v>0</v>
      </c>
      <c r="R1497">
        <f t="shared" si="468"/>
        <v>0</v>
      </c>
      <c r="S1497">
        <f t="shared" si="469"/>
        <v>0</v>
      </c>
      <c r="T1497" s="89">
        <f t="shared" si="470"/>
        <v>0</v>
      </c>
      <c r="U1497" s="126">
        <f>IF($D1497="",0,IFERROR(LOOKUP(2,1/(($D$3:D1496=$D1497)*($C$3:C1496=$C1497)*($A$3:A1496&lt;$A1497)),$AB$3:AB1496),1000))</f>
        <v>0</v>
      </c>
      <c r="V1497" s="126">
        <f t="shared" si="471"/>
        <v>0</v>
      </c>
      <c r="W1497">
        <f t="shared" si="472"/>
        <v>0</v>
      </c>
      <c r="X1497">
        <f t="shared" si="473"/>
        <v>0</v>
      </c>
      <c r="Y1497">
        <f t="shared" si="474"/>
        <v>0</v>
      </c>
      <c r="Z1497">
        <f t="shared" si="475"/>
        <v>0</v>
      </c>
      <c r="AA1497">
        <f>IF($D1497="",0,IF($F1497&lt;2,0,IF($E1497="Win",('Guide &amp; Settings'!$C$42/(($F1497-1)*COUNTIFS($A$4:$A$1510,$A1497,$E$4:$E$1510,"Win")))*SUMIFS($Z$4:$Z$1510,$A$4:$A$1510,$A1497,$E$4:$E$1510,"Loss"),-('Guide &amp; Settings'!$C$42/($F1497-1))*$Z1497)))</f>
        <v>0</v>
      </c>
      <c r="AB1497" s="126">
        <f t="shared" si="476"/>
        <v>0</v>
      </c>
      <c r="AC1497" t="str">
        <f>IF($D1497="","",IF($AD1497=0,0,IF(COUNTIFS($D$4:$D1497,$D1497,$B$4:$B1497,$B1497)&gt;1,0,IF($B1497&lt;'Guide &amp; Settings'!$C$50,0,IF(($B1497-$AD1497)/7-'Guide &amp; Settings'!$C$48&gt;=0,(INT(($B1497-$AD1497)/7-'Guide &amp; Settings'!$C$48)+1)*'Guide &amp; Settings'!$C$49,0)))))</f>
        <v/>
      </c>
      <c r="AD1497" s="142">
        <f t="shared" si="477"/>
        <v>0</v>
      </c>
      <c r="AE1497">
        <f t="shared" si="478"/>
        <v>0</v>
      </c>
      <c r="AF1497">
        <f t="shared" si="479"/>
        <v>0</v>
      </c>
    </row>
    <row r="1498" spans="1:32" x14ac:dyDescent="0.2">
      <c r="A1498" s="117"/>
      <c r="B1498" s="118"/>
      <c r="C1498" s="119"/>
      <c r="D1498" s="119"/>
      <c r="E1498" s="117"/>
      <c r="F1498" s="120">
        <f t="shared" si="460"/>
        <v>0</v>
      </c>
      <c r="G1498" s="121" t="str">
        <f t="shared" si="461"/>
        <v/>
      </c>
      <c r="H1498" s="122">
        <f>IF($D1498="",0,IFERROR(LOOKUP(2,1/(($D$3:D1497=$D1498)*($A$3:A1497&lt;$A1498)),$N$3:N1497),'Guide &amp; Settings'!$C$41))</f>
        <v>0</v>
      </c>
      <c r="I1498" s="123">
        <f t="shared" si="462"/>
        <v>0</v>
      </c>
      <c r="J1498" s="124">
        <f>IF($D1498="",0,IF($F1498&lt;2,0,IF($E1498="Win",('Guide &amp; Settings'!$C$42/(($F1498-1)*COUNTIFS($A$4:$A$1510,$A1498,$E$4:$E$1510,"Win")))*SUMIFS($X$4:$X$1510,$A$4:$A$1510,$A1498,$E$4:$E$1510,"Loss"),-('Guide &amp; Settings'!$C$42/($F1498-1))*$X1498)))</f>
        <v>0</v>
      </c>
      <c r="K1498" s="124">
        <f>IF($D1498="",0,'Guide &amp; Settings'!$C$43*(IF($E1498="Win",1,0)-$I1498))</f>
        <v>0</v>
      </c>
      <c r="L1498" s="125">
        <f>IF($D1498="",0,'Guide &amp; Settings'!$C$44*IF($F1498&gt;=3,$F1498,0))</f>
        <v>0</v>
      </c>
      <c r="M1498" s="124">
        <f t="shared" si="463"/>
        <v>0</v>
      </c>
      <c r="N1498" s="122">
        <f t="shared" si="464"/>
        <v>0</v>
      </c>
      <c r="O1498" s="121" t="str">
        <f t="shared" si="465"/>
        <v/>
      </c>
      <c r="P1498">
        <f t="shared" si="466"/>
        <v>0</v>
      </c>
      <c r="Q1498">
        <f t="shared" si="467"/>
        <v>0</v>
      </c>
      <c r="R1498">
        <f t="shared" si="468"/>
        <v>0</v>
      </c>
      <c r="S1498">
        <f t="shared" si="469"/>
        <v>0</v>
      </c>
      <c r="T1498" s="89">
        <f t="shared" si="470"/>
        <v>0</v>
      </c>
      <c r="U1498" s="126">
        <f>IF($D1498="",0,IFERROR(LOOKUP(2,1/(($D$3:D1497=$D1498)*($C$3:C1497=$C1498)*($A$3:A1497&lt;$A1498)),$AB$3:AB1497),1000))</f>
        <v>0</v>
      </c>
      <c r="V1498" s="126">
        <f t="shared" si="471"/>
        <v>0</v>
      </c>
      <c r="W1498">
        <f t="shared" si="472"/>
        <v>0</v>
      </c>
      <c r="X1498">
        <f t="shared" si="473"/>
        <v>0</v>
      </c>
      <c r="Y1498">
        <f t="shared" si="474"/>
        <v>0</v>
      </c>
      <c r="Z1498">
        <f t="shared" si="475"/>
        <v>0</v>
      </c>
      <c r="AA1498">
        <f>IF($D1498="",0,IF($F1498&lt;2,0,IF($E1498="Win",('Guide &amp; Settings'!$C$42/(($F1498-1)*COUNTIFS($A$4:$A$1510,$A1498,$E$4:$E$1510,"Win")))*SUMIFS($Z$4:$Z$1510,$A$4:$A$1510,$A1498,$E$4:$E$1510,"Loss"),-('Guide &amp; Settings'!$C$42/($F1498-1))*$Z1498)))</f>
        <v>0</v>
      </c>
      <c r="AB1498" s="126">
        <f t="shared" si="476"/>
        <v>0</v>
      </c>
      <c r="AC1498" t="str">
        <f>IF($D1498="","",IF($AD1498=0,0,IF(COUNTIFS($D$4:$D1498,$D1498,$B$4:$B1498,$B1498)&gt;1,0,IF($B1498&lt;'Guide &amp; Settings'!$C$50,0,IF(($B1498-$AD1498)/7-'Guide &amp; Settings'!$C$48&gt;=0,(INT(($B1498-$AD1498)/7-'Guide &amp; Settings'!$C$48)+1)*'Guide &amp; Settings'!$C$49,0)))))</f>
        <v/>
      </c>
      <c r="AD1498" s="142">
        <f t="shared" si="477"/>
        <v>0</v>
      </c>
      <c r="AE1498">
        <f t="shared" si="478"/>
        <v>0</v>
      </c>
      <c r="AF1498">
        <f t="shared" si="479"/>
        <v>0</v>
      </c>
    </row>
    <row r="1499" spans="1:32" x14ac:dyDescent="0.2">
      <c r="A1499" s="117"/>
      <c r="B1499" s="118"/>
      <c r="C1499" s="119"/>
      <c r="D1499" s="119"/>
      <c r="E1499" s="117"/>
      <c r="F1499" s="120">
        <f t="shared" si="460"/>
        <v>0</v>
      </c>
      <c r="G1499" s="121" t="str">
        <f t="shared" si="461"/>
        <v/>
      </c>
      <c r="H1499" s="122">
        <f>IF($D1499="",0,IFERROR(LOOKUP(2,1/(($D$3:D1498=$D1499)*($A$3:A1498&lt;$A1499)),$N$3:N1498),'Guide &amp; Settings'!$C$41))</f>
        <v>0</v>
      </c>
      <c r="I1499" s="123">
        <f t="shared" si="462"/>
        <v>0</v>
      </c>
      <c r="J1499" s="124">
        <f>IF($D1499="",0,IF($F1499&lt;2,0,IF($E1499="Win",('Guide &amp; Settings'!$C$42/(($F1499-1)*COUNTIFS($A$4:$A$1510,$A1499,$E$4:$E$1510,"Win")))*SUMIFS($X$4:$X$1510,$A$4:$A$1510,$A1499,$E$4:$E$1510,"Loss"),-('Guide &amp; Settings'!$C$42/($F1499-1))*$X1499)))</f>
        <v>0</v>
      </c>
      <c r="K1499" s="124">
        <f>IF($D1499="",0,'Guide &amp; Settings'!$C$43*(IF($E1499="Win",1,0)-$I1499))</f>
        <v>0</v>
      </c>
      <c r="L1499" s="125">
        <f>IF($D1499="",0,'Guide &amp; Settings'!$C$44*IF($F1499&gt;=3,$F1499,0))</f>
        <v>0</v>
      </c>
      <c r="M1499" s="124">
        <f t="shared" si="463"/>
        <v>0</v>
      </c>
      <c r="N1499" s="122">
        <f t="shared" si="464"/>
        <v>0</v>
      </c>
      <c r="O1499" s="121" t="str">
        <f t="shared" si="465"/>
        <v/>
      </c>
      <c r="P1499">
        <f t="shared" si="466"/>
        <v>0</v>
      </c>
      <c r="Q1499">
        <f t="shared" si="467"/>
        <v>0</v>
      </c>
      <c r="R1499">
        <f t="shared" si="468"/>
        <v>0</v>
      </c>
      <c r="S1499">
        <f t="shared" si="469"/>
        <v>0</v>
      </c>
      <c r="T1499" s="89">
        <f t="shared" si="470"/>
        <v>0</v>
      </c>
      <c r="U1499" s="126">
        <f>IF($D1499="",0,IFERROR(LOOKUP(2,1/(($D$3:D1498=$D1499)*($C$3:C1498=$C1499)*($A$3:A1498&lt;$A1499)),$AB$3:AB1498),1000))</f>
        <v>0</v>
      </c>
      <c r="V1499" s="126">
        <f t="shared" si="471"/>
        <v>0</v>
      </c>
      <c r="W1499">
        <f t="shared" si="472"/>
        <v>0</v>
      </c>
      <c r="X1499">
        <f t="shared" si="473"/>
        <v>0</v>
      </c>
      <c r="Y1499">
        <f t="shared" si="474"/>
        <v>0</v>
      </c>
      <c r="Z1499">
        <f t="shared" si="475"/>
        <v>0</v>
      </c>
      <c r="AA1499">
        <f>IF($D1499="",0,IF($F1499&lt;2,0,IF($E1499="Win",('Guide &amp; Settings'!$C$42/(($F1499-1)*COUNTIFS($A$4:$A$1510,$A1499,$E$4:$E$1510,"Win")))*SUMIFS($Z$4:$Z$1510,$A$4:$A$1510,$A1499,$E$4:$E$1510,"Loss"),-('Guide &amp; Settings'!$C$42/($F1499-1))*$Z1499)))</f>
        <v>0</v>
      </c>
      <c r="AB1499" s="126">
        <f t="shared" si="476"/>
        <v>0</v>
      </c>
      <c r="AC1499" t="str">
        <f>IF($D1499="","",IF($AD1499=0,0,IF(COUNTIFS($D$4:$D1499,$D1499,$B$4:$B1499,$B1499)&gt;1,0,IF($B1499&lt;'Guide &amp; Settings'!$C$50,0,IF(($B1499-$AD1499)/7-'Guide &amp; Settings'!$C$48&gt;=0,(INT(($B1499-$AD1499)/7-'Guide &amp; Settings'!$C$48)+1)*'Guide &amp; Settings'!$C$49,0)))))</f>
        <v/>
      </c>
      <c r="AD1499" s="142">
        <f t="shared" si="477"/>
        <v>0</v>
      </c>
      <c r="AE1499">
        <f t="shared" si="478"/>
        <v>0</v>
      </c>
      <c r="AF1499">
        <f t="shared" si="479"/>
        <v>0</v>
      </c>
    </row>
    <row r="1500" spans="1:32" x14ac:dyDescent="0.2">
      <c r="A1500" s="117"/>
      <c r="B1500" s="118"/>
      <c r="C1500" s="119"/>
      <c r="D1500" s="119"/>
      <c r="E1500" s="117"/>
      <c r="F1500" s="120">
        <f t="shared" si="460"/>
        <v>0</v>
      </c>
      <c r="G1500" s="121" t="str">
        <f t="shared" si="461"/>
        <v/>
      </c>
      <c r="H1500" s="122">
        <f>IF($D1500="",0,IFERROR(LOOKUP(2,1/(($D$3:D1499=$D1500)*($A$3:A1499&lt;$A1500)),$N$3:N1499),'Guide &amp; Settings'!$C$41))</f>
        <v>0</v>
      </c>
      <c r="I1500" s="123">
        <f t="shared" si="462"/>
        <v>0</v>
      </c>
      <c r="J1500" s="124">
        <f>IF($D1500="",0,IF($F1500&lt;2,0,IF($E1500="Win",('Guide &amp; Settings'!$C$42/(($F1500-1)*COUNTIFS($A$4:$A$1510,$A1500,$E$4:$E$1510,"Win")))*SUMIFS($X$4:$X$1510,$A$4:$A$1510,$A1500,$E$4:$E$1510,"Loss"),-('Guide &amp; Settings'!$C$42/($F1500-1))*$X1500)))</f>
        <v>0</v>
      </c>
      <c r="K1500" s="124">
        <f>IF($D1500="",0,'Guide &amp; Settings'!$C$43*(IF($E1500="Win",1,0)-$I1500))</f>
        <v>0</v>
      </c>
      <c r="L1500" s="125">
        <f>IF($D1500="",0,'Guide &amp; Settings'!$C$44*IF($F1500&gt;=3,$F1500,0))</f>
        <v>0</v>
      </c>
      <c r="M1500" s="124">
        <f t="shared" si="463"/>
        <v>0</v>
      </c>
      <c r="N1500" s="122">
        <f t="shared" si="464"/>
        <v>0</v>
      </c>
      <c r="O1500" s="121" t="str">
        <f t="shared" si="465"/>
        <v/>
      </c>
      <c r="P1500">
        <f t="shared" si="466"/>
        <v>0</v>
      </c>
      <c r="Q1500">
        <f t="shared" si="467"/>
        <v>0</v>
      </c>
      <c r="R1500">
        <f t="shared" si="468"/>
        <v>0</v>
      </c>
      <c r="S1500">
        <f t="shared" si="469"/>
        <v>0</v>
      </c>
      <c r="T1500" s="89">
        <f t="shared" si="470"/>
        <v>0</v>
      </c>
      <c r="U1500" s="126">
        <f>IF($D1500="",0,IFERROR(LOOKUP(2,1/(($D$3:D1499=$D1500)*($C$3:C1499=$C1500)*($A$3:A1499&lt;$A1500)),$AB$3:AB1499),1000))</f>
        <v>0</v>
      </c>
      <c r="V1500" s="126">
        <f t="shared" si="471"/>
        <v>0</v>
      </c>
      <c r="W1500">
        <f t="shared" si="472"/>
        <v>0</v>
      </c>
      <c r="X1500">
        <f t="shared" si="473"/>
        <v>0</v>
      </c>
      <c r="Y1500">
        <f t="shared" si="474"/>
        <v>0</v>
      </c>
      <c r="Z1500">
        <f t="shared" si="475"/>
        <v>0</v>
      </c>
      <c r="AA1500">
        <f>IF($D1500="",0,IF($F1500&lt;2,0,IF($E1500="Win",('Guide &amp; Settings'!$C$42/(($F1500-1)*COUNTIFS($A$4:$A$1510,$A1500,$E$4:$E$1510,"Win")))*SUMIFS($Z$4:$Z$1510,$A$4:$A$1510,$A1500,$E$4:$E$1510,"Loss"),-('Guide &amp; Settings'!$C$42/($F1500-1))*$Z1500)))</f>
        <v>0</v>
      </c>
      <c r="AB1500" s="126">
        <f t="shared" si="476"/>
        <v>0</v>
      </c>
      <c r="AC1500" t="str">
        <f>IF($D1500="","",IF($AD1500=0,0,IF(COUNTIFS($D$4:$D1500,$D1500,$B$4:$B1500,$B1500)&gt;1,0,IF($B1500&lt;'Guide &amp; Settings'!$C$50,0,IF(($B1500-$AD1500)/7-'Guide &amp; Settings'!$C$48&gt;=0,(INT(($B1500-$AD1500)/7-'Guide &amp; Settings'!$C$48)+1)*'Guide &amp; Settings'!$C$49,0)))))</f>
        <v/>
      </c>
      <c r="AD1500" s="142">
        <f t="shared" si="477"/>
        <v>0</v>
      </c>
      <c r="AE1500">
        <f t="shared" si="478"/>
        <v>0</v>
      </c>
      <c r="AF1500">
        <f t="shared" si="479"/>
        <v>0</v>
      </c>
    </row>
    <row r="1501" spans="1:32" x14ac:dyDescent="0.2">
      <c r="A1501" s="117"/>
      <c r="B1501" s="118"/>
      <c r="C1501" s="119"/>
      <c r="D1501" s="119"/>
      <c r="E1501" s="117"/>
      <c r="F1501" s="120">
        <f t="shared" si="460"/>
        <v>0</v>
      </c>
      <c r="G1501" s="121" t="str">
        <f t="shared" si="461"/>
        <v/>
      </c>
      <c r="H1501" s="122">
        <f>IF($D1501="",0,IFERROR(LOOKUP(2,1/(($D$3:D1500=$D1501)*($A$3:A1500&lt;$A1501)),$N$3:N1500),'Guide &amp; Settings'!$C$41))</f>
        <v>0</v>
      </c>
      <c r="I1501" s="123">
        <f t="shared" si="462"/>
        <v>0</v>
      </c>
      <c r="J1501" s="124">
        <f>IF($D1501="",0,IF($F1501&lt;2,0,IF($E1501="Win",('Guide &amp; Settings'!$C$42/(($F1501-1)*COUNTIFS($A$4:$A$1510,$A1501,$E$4:$E$1510,"Win")))*SUMIFS($X$4:$X$1510,$A$4:$A$1510,$A1501,$E$4:$E$1510,"Loss"),-('Guide &amp; Settings'!$C$42/($F1501-1))*$X1501)))</f>
        <v>0</v>
      </c>
      <c r="K1501" s="124">
        <f>IF($D1501="",0,'Guide &amp; Settings'!$C$43*(IF($E1501="Win",1,0)-$I1501))</f>
        <v>0</v>
      </c>
      <c r="L1501" s="125">
        <f>IF($D1501="",0,'Guide &amp; Settings'!$C$44*IF($F1501&gt;=3,$F1501,0))</f>
        <v>0</v>
      </c>
      <c r="M1501" s="124">
        <f t="shared" si="463"/>
        <v>0</v>
      </c>
      <c r="N1501" s="122">
        <f t="shared" si="464"/>
        <v>0</v>
      </c>
      <c r="O1501" s="121" t="str">
        <f t="shared" si="465"/>
        <v/>
      </c>
      <c r="P1501">
        <f t="shared" si="466"/>
        <v>0</v>
      </c>
      <c r="Q1501">
        <f t="shared" si="467"/>
        <v>0</v>
      </c>
      <c r="R1501">
        <f t="shared" si="468"/>
        <v>0</v>
      </c>
      <c r="S1501">
        <f t="shared" si="469"/>
        <v>0</v>
      </c>
      <c r="T1501" s="89">
        <f t="shared" si="470"/>
        <v>0</v>
      </c>
      <c r="U1501" s="126">
        <f>IF($D1501="",0,IFERROR(LOOKUP(2,1/(($D$3:D1500=$D1501)*($C$3:C1500=$C1501)*($A$3:A1500&lt;$A1501)),$AB$3:AB1500),1000))</f>
        <v>0</v>
      </c>
      <c r="V1501" s="126">
        <f t="shared" si="471"/>
        <v>0</v>
      </c>
      <c r="W1501">
        <f t="shared" si="472"/>
        <v>0</v>
      </c>
      <c r="X1501">
        <f t="shared" si="473"/>
        <v>0</v>
      </c>
      <c r="Y1501">
        <f t="shared" si="474"/>
        <v>0</v>
      </c>
      <c r="Z1501">
        <f t="shared" si="475"/>
        <v>0</v>
      </c>
      <c r="AA1501">
        <f>IF($D1501="",0,IF($F1501&lt;2,0,IF($E1501="Win",('Guide &amp; Settings'!$C$42/(($F1501-1)*COUNTIFS($A$4:$A$1510,$A1501,$E$4:$E$1510,"Win")))*SUMIFS($Z$4:$Z$1510,$A$4:$A$1510,$A1501,$E$4:$E$1510,"Loss"),-('Guide &amp; Settings'!$C$42/($F1501-1))*$Z1501)))</f>
        <v>0</v>
      </c>
      <c r="AB1501" s="126">
        <f t="shared" si="476"/>
        <v>0</v>
      </c>
      <c r="AC1501" t="str">
        <f>IF($D1501="","",IF($AD1501=0,0,IF(COUNTIFS($D$4:$D1501,$D1501,$B$4:$B1501,$B1501)&gt;1,0,IF($B1501&lt;'Guide &amp; Settings'!$C$50,0,IF(($B1501-$AD1501)/7-'Guide &amp; Settings'!$C$48&gt;=0,(INT(($B1501-$AD1501)/7-'Guide &amp; Settings'!$C$48)+1)*'Guide &amp; Settings'!$C$49,0)))))</f>
        <v/>
      </c>
      <c r="AD1501" s="142">
        <f t="shared" si="477"/>
        <v>0</v>
      </c>
      <c r="AE1501">
        <f t="shared" si="478"/>
        <v>0</v>
      </c>
      <c r="AF1501">
        <f t="shared" si="479"/>
        <v>0</v>
      </c>
    </row>
    <row r="1502" spans="1:32" x14ac:dyDescent="0.2">
      <c r="A1502" s="117"/>
      <c r="B1502" s="118"/>
      <c r="C1502" s="119"/>
      <c r="D1502" s="119"/>
      <c r="E1502" s="117"/>
      <c r="F1502" s="120">
        <f t="shared" si="460"/>
        <v>0</v>
      </c>
      <c r="G1502" s="121" t="str">
        <f t="shared" si="461"/>
        <v/>
      </c>
      <c r="H1502" s="122">
        <f>IF($D1502="",0,IFERROR(LOOKUP(2,1/(($D$3:D1501=$D1502)*($A$3:A1501&lt;$A1502)),$N$3:N1501),'Guide &amp; Settings'!$C$41))</f>
        <v>0</v>
      </c>
      <c r="I1502" s="123">
        <f t="shared" si="462"/>
        <v>0</v>
      </c>
      <c r="J1502" s="124">
        <f>IF($D1502="",0,IF($F1502&lt;2,0,IF($E1502="Win",('Guide &amp; Settings'!$C$42/(($F1502-1)*COUNTIFS($A$4:$A$1510,$A1502,$E$4:$E$1510,"Win")))*SUMIFS($X$4:$X$1510,$A$4:$A$1510,$A1502,$E$4:$E$1510,"Loss"),-('Guide &amp; Settings'!$C$42/($F1502-1))*$X1502)))</f>
        <v>0</v>
      </c>
      <c r="K1502" s="124">
        <f>IF($D1502="",0,'Guide &amp; Settings'!$C$43*(IF($E1502="Win",1,0)-$I1502))</f>
        <v>0</v>
      </c>
      <c r="L1502" s="125">
        <f>IF($D1502="",0,'Guide &amp; Settings'!$C$44*IF($F1502&gt;=3,$F1502,0))</f>
        <v>0</v>
      </c>
      <c r="M1502" s="124">
        <f t="shared" si="463"/>
        <v>0</v>
      </c>
      <c r="N1502" s="122">
        <f t="shared" si="464"/>
        <v>0</v>
      </c>
      <c r="O1502" s="121" t="str">
        <f t="shared" si="465"/>
        <v/>
      </c>
      <c r="P1502">
        <f t="shared" si="466"/>
        <v>0</v>
      </c>
      <c r="Q1502">
        <f t="shared" si="467"/>
        <v>0</v>
      </c>
      <c r="R1502">
        <f t="shared" si="468"/>
        <v>0</v>
      </c>
      <c r="S1502">
        <f t="shared" si="469"/>
        <v>0</v>
      </c>
      <c r="T1502" s="89">
        <f t="shared" si="470"/>
        <v>0</v>
      </c>
      <c r="U1502" s="126">
        <f>IF($D1502="",0,IFERROR(LOOKUP(2,1/(($D$3:D1501=$D1502)*($C$3:C1501=$C1502)*($A$3:A1501&lt;$A1502)),$AB$3:AB1501),1000))</f>
        <v>0</v>
      </c>
      <c r="V1502" s="126">
        <f t="shared" si="471"/>
        <v>0</v>
      </c>
      <c r="W1502">
        <f t="shared" si="472"/>
        <v>0</v>
      </c>
      <c r="X1502">
        <f t="shared" si="473"/>
        <v>0</v>
      </c>
      <c r="Y1502">
        <f t="shared" si="474"/>
        <v>0</v>
      </c>
      <c r="Z1502">
        <f t="shared" si="475"/>
        <v>0</v>
      </c>
      <c r="AA1502">
        <f>IF($D1502="",0,IF($F1502&lt;2,0,IF($E1502="Win",('Guide &amp; Settings'!$C$42/(($F1502-1)*COUNTIFS($A$4:$A$1510,$A1502,$E$4:$E$1510,"Win")))*SUMIFS($Z$4:$Z$1510,$A$4:$A$1510,$A1502,$E$4:$E$1510,"Loss"),-('Guide &amp; Settings'!$C$42/($F1502-1))*$Z1502)))</f>
        <v>0</v>
      </c>
      <c r="AB1502" s="126">
        <f t="shared" si="476"/>
        <v>0</v>
      </c>
      <c r="AC1502" t="str">
        <f>IF($D1502="","",IF($AD1502=0,0,IF(COUNTIFS($D$4:$D1502,$D1502,$B$4:$B1502,$B1502)&gt;1,0,IF($B1502&lt;'Guide &amp; Settings'!$C$50,0,IF(($B1502-$AD1502)/7-'Guide &amp; Settings'!$C$48&gt;=0,(INT(($B1502-$AD1502)/7-'Guide &amp; Settings'!$C$48)+1)*'Guide &amp; Settings'!$C$49,0)))))</f>
        <v/>
      </c>
      <c r="AD1502" s="142">
        <f t="shared" si="477"/>
        <v>0</v>
      </c>
      <c r="AE1502">
        <f t="shared" si="478"/>
        <v>0</v>
      </c>
      <c r="AF1502">
        <f t="shared" si="479"/>
        <v>0</v>
      </c>
    </row>
    <row r="1503" spans="1:32" x14ac:dyDescent="0.2">
      <c r="A1503" s="117"/>
      <c r="B1503" s="118"/>
      <c r="C1503" s="119"/>
      <c r="D1503" s="119"/>
      <c r="E1503" s="117"/>
      <c r="F1503" s="120">
        <f t="shared" si="460"/>
        <v>0</v>
      </c>
      <c r="G1503" s="121" t="str">
        <f t="shared" si="461"/>
        <v/>
      </c>
      <c r="H1503" s="122">
        <f>IF($D1503="",0,IFERROR(LOOKUP(2,1/(($D$3:D1502=$D1503)*($A$3:A1502&lt;$A1503)),$N$3:N1502),'Guide &amp; Settings'!$C$41))</f>
        <v>0</v>
      </c>
      <c r="I1503" s="123">
        <f t="shared" si="462"/>
        <v>0</v>
      </c>
      <c r="J1503" s="124">
        <f>IF($D1503="",0,IF($F1503&lt;2,0,IF($E1503="Win",('Guide &amp; Settings'!$C$42/(($F1503-1)*COUNTIFS($A$4:$A$1510,$A1503,$E$4:$E$1510,"Win")))*SUMIFS($X$4:$X$1510,$A$4:$A$1510,$A1503,$E$4:$E$1510,"Loss"),-('Guide &amp; Settings'!$C$42/($F1503-1))*$X1503)))</f>
        <v>0</v>
      </c>
      <c r="K1503" s="124">
        <f>IF($D1503="",0,'Guide &amp; Settings'!$C$43*(IF($E1503="Win",1,0)-$I1503))</f>
        <v>0</v>
      </c>
      <c r="L1503" s="125">
        <f>IF($D1503="",0,'Guide &amp; Settings'!$C$44*IF($F1503&gt;=3,$F1503,0))</f>
        <v>0</v>
      </c>
      <c r="M1503" s="124">
        <f t="shared" si="463"/>
        <v>0</v>
      </c>
      <c r="N1503" s="122">
        <f t="shared" si="464"/>
        <v>0</v>
      </c>
      <c r="O1503" s="121" t="str">
        <f t="shared" si="465"/>
        <v/>
      </c>
      <c r="P1503">
        <f t="shared" si="466"/>
        <v>0</v>
      </c>
      <c r="Q1503">
        <f t="shared" si="467"/>
        <v>0</v>
      </c>
      <c r="R1503">
        <f t="shared" si="468"/>
        <v>0</v>
      </c>
      <c r="S1503">
        <f t="shared" si="469"/>
        <v>0</v>
      </c>
      <c r="T1503" s="89">
        <f t="shared" si="470"/>
        <v>0</v>
      </c>
      <c r="U1503" s="126">
        <f>IF($D1503="",0,IFERROR(LOOKUP(2,1/(($D$3:D1502=$D1503)*($C$3:C1502=$C1503)*($A$3:A1502&lt;$A1503)),$AB$3:AB1502),1000))</f>
        <v>0</v>
      </c>
      <c r="V1503" s="126">
        <f t="shared" si="471"/>
        <v>0</v>
      </c>
      <c r="W1503">
        <f t="shared" si="472"/>
        <v>0</v>
      </c>
      <c r="X1503">
        <f t="shared" si="473"/>
        <v>0</v>
      </c>
      <c r="Y1503">
        <f t="shared" si="474"/>
        <v>0</v>
      </c>
      <c r="Z1503">
        <f t="shared" si="475"/>
        <v>0</v>
      </c>
      <c r="AA1503">
        <f>IF($D1503="",0,IF($F1503&lt;2,0,IF($E1503="Win",('Guide &amp; Settings'!$C$42/(($F1503-1)*COUNTIFS($A$4:$A$1510,$A1503,$E$4:$E$1510,"Win")))*SUMIFS($Z$4:$Z$1510,$A$4:$A$1510,$A1503,$E$4:$E$1510,"Loss"),-('Guide &amp; Settings'!$C$42/($F1503-1))*$Z1503)))</f>
        <v>0</v>
      </c>
      <c r="AB1503" s="126">
        <f t="shared" si="476"/>
        <v>0</v>
      </c>
      <c r="AC1503" t="str">
        <f>IF($D1503="","",IF($AD1503=0,0,IF(COUNTIFS($D$4:$D1503,$D1503,$B$4:$B1503,$B1503)&gt;1,0,IF($B1503&lt;'Guide &amp; Settings'!$C$50,0,IF(($B1503-$AD1503)/7-'Guide &amp; Settings'!$C$48&gt;=0,(INT(($B1503-$AD1503)/7-'Guide &amp; Settings'!$C$48)+1)*'Guide &amp; Settings'!$C$49,0)))))</f>
        <v/>
      </c>
      <c r="AD1503" s="142">
        <f t="shared" si="477"/>
        <v>0</v>
      </c>
      <c r="AE1503">
        <f t="shared" si="478"/>
        <v>0</v>
      </c>
      <c r="AF1503">
        <f t="shared" si="479"/>
        <v>0</v>
      </c>
    </row>
    <row r="1504" spans="1:32" x14ac:dyDescent="0.2">
      <c r="A1504" s="117"/>
      <c r="B1504" s="118"/>
      <c r="C1504" s="119"/>
      <c r="D1504" s="119"/>
      <c r="E1504" s="117"/>
      <c r="F1504" s="120">
        <f t="shared" si="460"/>
        <v>0</v>
      </c>
      <c r="G1504" s="121" t="str">
        <f t="shared" si="461"/>
        <v/>
      </c>
      <c r="H1504" s="122">
        <f>IF($D1504="",0,IFERROR(LOOKUP(2,1/(($D$3:D1503=$D1504)*($A$3:A1503&lt;$A1504)),$N$3:N1503),'Guide &amp; Settings'!$C$41))</f>
        <v>0</v>
      </c>
      <c r="I1504" s="123">
        <f t="shared" si="462"/>
        <v>0</v>
      </c>
      <c r="J1504" s="124">
        <f>IF($D1504="",0,IF($F1504&lt;2,0,IF($E1504="Win",('Guide &amp; Settings'!$C$42/(($F1504-1)*COUNTIFS($A$4:$A$1510,$A1504,$E$4:$E$1510,"Win")))*SUMIFS($X$4:$X$1510,$A$4:$A$1510,$A1504,$E$4:$E$1510,"Loss"),-('Guide &amp; Settings'!$C$42/($F1504-1))*$X1504)))</f>
        <v>0</v>
      </c>
      <c r="K1504" s="124">
        <f>IF($D1504="",0,'Guide &amp; Settings'!$C$43*(IF($E1504="Win",1,0)-$I1504))</f>
        <v>0</v>
      </c>
      <c r="L1504" s="125">
        <f>IF($D1504="",0,'Guide &amp; Settings'!$C$44*IF($F1504&gt;=3,$F1504,0))</f>
        <v>0</v>
      </c>
      <c r="M1504" s="124">
        <f t="shared" si="463"/>
        <v>0</v>
      </c>
      <c r="N1504" s="122">
        <f t="shared" si="464"/>
        <v>0</v>
      </c>
      <c r="O1504" s="121" t="str">
        <f t="shared" si="465"/>
        <v/>
      </c>
      <c r="P1504">
        <f t="shared" si="466"/>
        <v>0</v>
      </c>
      <c r="Q1504">
        <f t="shared" si="467"/>
        <v>0</v>
      </c>
      <c r="R1504">
        <f t="shared" si="468"/>
        <v>0</v>
      </c>
      <c r="S1504">
        <f t="shared" si="469"/>
        <v>0</v>
      </c>
      <c r="T1504" s="89">
        <f t="shared" si="470"/>
        <v>0</v>
      </c>
      <c r="U1504" s="126">
        <f>IF($D1504="",0,IFERROR(LOOKUP(2,1/(($D$3:D1503=$D1504)*($C$3:C1503=$C1504)*($A$3:A1503&lt;$A1504)),$AB$3:AB1503),1000))</f>
        <v>0</v>
      </c>
      <c r="V1504" s="126">
        <f t="shared" si="471"/>
        <v>0</v>
      </c>
      <c r="W1504">
        <f t="shared" si="472"/>
        <v>0</v>
      </c>
      <c r="X1504">
        <f t="shared" si="473"/>
        <v>0</v>
      </c>
      <c r="Y1504">
        <f t="shared" si="474"/>
        <v>0</v>
      </c>
      <c r="Z1504">
        <f t="shared" si="475"/>
        <v>0</v>
      </c>
      <c r="AA1504">
        <f>IF($D1504="",0,IF($F1504&lt;2,0,IF($E1504="Win",('Guide &amp; Settings'!$C$42/(($F1504-1)*COUNTIFS($A$4:$A$1510,$A1504,$E$4:$E$1510,"Win")))*SUMIFS($Z$4:$Z$1510,$A$4:$A$1510,$A1504,$E$4:$E$1510,"Loss"),-('Guide &amp; Settings'!$C$42/($F1504-1))*$Z1504)))</f>
        <v>0</v>
      </c>
      <c r="AB1504" s="126">
        <f t="shared" si="476"/>
        <v>0</v>
      </c>
      <c r="AC1504" t="str">
        <f>IF($D1504="","",IF($AD1504=0,0,IF(COUNTIFS($D$4:$D1504,$D1504,$B$4:$B1504,$B1504)&gt;1,0,IF($B1504&lt;'Guide &amp; Settings'!$C$50,0,IF(($B1504-$AD1504)/7-'Guide &amp; Settings'!$C$48&gt;=0,(INT(($B1504-$AD1504)/7-'Guide &amp; Settings'!$C$48)+1)*'Guide &amp; Settings'!$C$49,0)))))</f>
        <v/>
      </c>
      <c r="AD1504" s="142">
        <f t="shared" si="477"/>
        <v>0</v>
      </c>
      <c r="AE1504">
        <f t="shared" si="478"/>
        <v>0</v>
      </c>
      <c r="AF1504">
        <f t="shared" si="479"/>
        <v>0</v>
      </c>
    </row>
    <row r="1505" spans="1:32" x14ac:dyDescent="0.2">
      <c r="A1505" s="117"/>
      <c r="B1505" s="118"/>
      <c r="C1505" s="119"/>
      <c r="D1505" s="119"/>
      <c r="E1505" s="117"/>
      <c r="F1505" s="120">
        <f t="shared" si="460"/>
        <v>0</v>
      </c>
      <c r="G1505" s="121" t="str">
        <f t="shared" si="461"/>
        <v/>
      </c>
      <c r="H1505" s="122">
        <f>IF($D1505="",0,IFERROR(LOOKUP(2,1/(($D$3:D1504=$D1505)*($A$3:A1504&lt;$A1505)),$N$3:N1504),'Guide &amp; Settings'!$C$41))</f>
        <v>0</v>
      </c>
      <c r="I1505" s="123">
        <f t="shared" si="462"/>
        <v>0</v>
      </c>
      <c r="J1505" s="124">
        <f>IF($D1505="",0,IF($F1505&lt;2,0,IF($E1505="Win",('Guide &amp; Settings'!$C$42/(($F1505-1)*COUNTIFS($A$4:$A$1510,$A1505,$E$4:$E$1510,"Win")))*SUMIFS($X$4:$X$1510,$A$4:$A$1510,$A1505,$E$4:$E$1510,"Loss"),-('Guide &amp; Settings'!$C$42/($F1505-1))*$X1505)))</f>
        <v>0</v>
      </c>
      <c r="K1505" s="124">
        <f>IF($D1505="",0,'Guide &amp; Settings'!$C$43*(IF($E1505="Win",1,0)-$I1505))</f>
        <v>0</v>
      </c>
      <c r="L1505" s="125">
        <f>IF($D1505="",0,'Guide &amp; Settings'!$C$44*IF($F1505&gt;=3,$F1505,0))</f>
        <v>0</v>
      </c>
      <c r="M1505" s="124">
        <f t="shared" si="463"/>
        <v>0</v>
      </c>
      <c r="N1505" s="122">
        <f t="shared" si="464"/>
        <v>0</v>
      </c>
      <c r="O1505" s="121" t="str">
        <f t="shared" si="465"/>
        <v/>
      </c>
      <c r="P1505">
        <f t="shared" si="466"/>
        <v>0</v>
      </c>
      <c r="Q1505">
        <f t="shared" si="467"/>
        <v>0</v>
      </c>
      <c r="R1505">
        <f t="shared" si="468"/>
        <v>0</v>
      </c>
      <c r="S1505">
        <f t="shared" si="469"/>
        <v>0</v>
      </c>
      <c r="T1505" s="89">
        <f t="shared" si="470"/>
        <v>0</v>
      </c>
      <c r="U1505" s="126">
        <f>IF($D1505="",0,IFERROR(LOOKUP(2,1/(($D$3:D1504=$D1505)*($C$3:C1504=$C1505)*($A$3:A1504&lt;$A1505)),$AB$3:AB1504),1000))</f>
        <v>0</v>
      </c>
      <c r="V1505" s="126">
        <f t="shared" si="471"/>
        <v>0</v>
      </c>
      <c r="W1505">
        <f t="shared" si="472"/>
        <v>0</v>
      </c>
      <c r="X1505">
        <f t="shared" si="473"/>
        <v>0</v>
      </c>
      <c r="Y1505">
        <f t="shared" si="474"/>
        <v>0</v>
      </c>
      <c r="Z1505">
        <f t="shared" si="475"/>
        <v>0</v>
      </c>
      <c r="AA1505">
        <f>IF($D1505="",0,IF($F1505&lt;2,0,IF($E1505="Win",('Guide &amp; Settings'!$C$42/(($F1505-1)*COUNTIFS($A$4:$A$1510,$A1505,$E$4:$E$1510,"Win")))*SUMIFS($Z$4:$Z$1510,$A$4:$A$1510,$A1505,$E$4:$E$1510,"Loss"),-('Guide &amp; Settings'!$C$42/($F1505-1))*$Z1505)))</f>
        <v>0</v>
      </c>
      <c r="AB1505" s="126">
        <f t="shared" si="476"/>
        <v>0</v>
      </c>
      <c r="AC1505" t="str">
        <f>IF($D1505="","",IF($AD1505=0,0,IF(COUNTIFS($D$4:$D1505,$D1505,$B$4:$B1505,$B1505)&gt;1,0,IF($B1505&lt;'Guide &amp; Settings'!$C$50,0,IF(($B1505-$AD1505)/7-'Guide &amp; Settings'!$C$48&gt;=0,(INT(($B1505-$AD1505)/7-'Guide &amp; Settings'!$C$48)+1)*'Guide &amp; Settings'!$C$49,0)))))</f>
        <v/>
      </c>
      <c r="AD1505" s="142">
        <f t="shared" si="477"/>
        <v>0</v>
      </c>
      <c r="AE1505">
        <f t="shared" si="478"/>
        <v>0</v>
      </c>
      <c r="AF1505">
        <f t="shared" si="479"/>
        <v>0</v>
      </c>
    </row>
    <row r="1506" spans="1:32" x14ac:dyDescent="0.2">
      <c r="A1506" s="117"/>
      <c r="B1506" s="118"/>
      <c r="C1506" s="119"/>
      <c r="D1506" s="119"/>
      <c r="E1506" s="117"/>
      <c r="F1506" s="120">
        <f t="shared" si="460"/>
        <v>0</v>
      </c>
      <c r="G1506" s="121" t="str">
        <f t="shared" si="461"/>
        <v/>
      </c>
      <c r="H1506" s="122">
        <f>IF($D1506="",0,IFERROR(LOOKUP(2,1/(($D$3:D1505=$D1506)*($A$3:A1505&lt;$A1506)),$N$3:N1505),'Guide &amp; Settings'!$C$41))</f>
        <v>0</v>
      </c>
      <c r="I1506" s="123">
        <f t="shared" si="462"/>
        <v>0</v>
      </c>
      <c r="J1506" s="124">
        <f>IF($D1506="",0,IF($F1506&lt;2,0,IF($E1506="Win",('Guide &amp; Settings'!$C$42/(($F1506-1)*COUNTIFS($A$4:$A$1510,$A1506,$E$4:$E$1510,"Win")))*SUMIFS($X$4:$X$1510,$A$4:$A$1510,$A1506,$E$4:$E$1510,"Loss"),-('Guide &amp; Settings'!$C$42/($F1506-1))*$X1506)))</f>
        <v>0</v>
      </c>
      <c r="K1506" s="124">
        <f>IF($D1506="",0,'Guide &amp; Settings'!$C$43*(IF($E1506="Win",1,0)-$I1506))</f>
        <v>0</v>
      </c>
      <c r="L1506" s="125">
        <f>IF($D1506="",0,'Guide &amp; Settings'!$C$44*IF($F1506&gt;=3,$F1506,0))</f>
        <v>0</v>
      </c>
      <c r="M1506" s="124">
        <f t="shared" si="463"/>
        <v>0</v>
      </c>
      <c r="N1506" s="122">
        <f t="shared" si="464"/>
        <v>0</v>
      </c>
      <c r="O1506" s="121" t="str">
        <f t="shared" si="465"/>
        <v/>
      </c>
      <c r="P1506">
        <f t="shared" si="466"/>
        <v>0</v>
      </c>
      <c r="Q1506">
        <f t="shared" si="467"/>
        <v>0</v>
      </c>
      <c r="R1506">
        <f t="shared" si="468"/>
        <v>0</v>
      </c>
      <c r="S1506">
        <f t="shared" si="469"/>
        <v>0</v>
      </c>
      <c r="T1506" s="89">
        <f t="shared" si="470"/>
        <v>0</v>
      </c>
      <c r="U1506" s="126">
        <f>IF($D1506="",0,IFERROR(LOOKUP(2,1/(($D$3:D1505=$D1506)*($C$3:C1505=$C1506)*($A$3:A1505&lt;$A1506)),$AB$3:AB1505),1000))</f>
        <v>0</v>
      </c>
      <c r="V1506" s="126">
        <f t="shared" si="471"/>
        <v>0</v>
      </c>
      <c r="W1506">
        <f t="shared" si="472"/>
        <v>0</v>
      </c>
      <c r="X1506">
        <f t="shared" si="473"/>
        <v>0</v>
      </c>
      <c r="Y1506">
        <f t="shared" si="474"/>
        <v>0</v>
      </c>
      <c r="Z1506">
        <f t="shared" si="475"/>
        <v>0</v>
      </c>
      <c r="AA1506">
        <f>IF($D1506="",0,IF($F1506&lt;2,0,IF($E1506="Win",('Guide &amp; Settings'!$C$42/(($F1506-1)*COUNTIFS($A$4:$A$1510,$A1506,$E$4:$E$1510,"Win")))*SUMIFS($Z$4:$Z$1510,$A$4:$A$1510,$A1506,$E$4:$E$1510,"Loss"),-('Guide &amp; Settings'!$C$42/($F1506-1))*$Z1506)))</f>
        <v>0</v>
      </c>
      <c r="AB1506" s="126">
        <f t="shared" si="476"/>
        <v>0</v>
      </c>
      <c r="AC1506" t="str">
        <f>IF($D1506="","",IF($AD1506=0,0,IF(COUNTIFS($D$4:$D1506,$D1506,$B$4:$B1506,$B1506)&gt;1,0,IF($B1506&lt;'Guide &amp; Settings'!$C$50,0,IF(($B1506-$AD1506)/7-'Guide &amp; Settings'!$C$48&gt;=0,(INT(($B1506-$AD1506)/7-'Guide &amp; Settings'!$C$48)+1)*'Guide &amp; Settings'!$C$49,0)))))</f>
        <v/>
      </c>
      <c r="AD1506" s="142">
        <f t="shared" si="477"/>
        <v>0</v>
      </c>
      <c r="AE1506">
        <f t="shared" si="478"/>
        <v>0</v>
      </c>
      <c r="AF1506">
        <f t="shared" si="479"/>
        <v>0</v>
      </c>
    </row>
    <row r="1507" spans="1:32" x14ac:dyDescent="0.2">
      <c r="A1507" s="117"/>
      <c r="B1507" s="118"/>
      <c r="C1507" s="119"/>
      <c r="D1507" s="119"/>
      <c r="E1507" s="117"/>
      <c r="F1507" s="120">
        <f t="shared" si="460"/>
        <v>0</v>
      </c>
      <c r="G1507" s="121" t="str">
        <f t="shared" si="461"/>
        <v/>
      </c>
      <c r="H1507" s="122">
        <f>IF($D1507="",0,IFERROR(LOOKUP(2,1/(($D$3:D1506=$D1507)*($A$3:A1506&lt;$A1507)),$N$3:N1506),'Guide &amp; Settings'!$C$41))</f>
        <v>0</v>
      </c>
      <c r="I1507" s="123">
        <f t="shared" si="462"/>
        <v>0</v>
      </c>
      <c r="J1507" s="124">
        <f>IF($D1507="",0,IF($F1507&lt;2,0,IF($E1507="Win",('Guide &amp; Settings'!$C$42/(($F1507-1)*COUNTIFS($A$4:$A$1510,$A1507,$E$4:$E$1510,"Win")))*SUMIFS($X$4:$X$1510,$A$4:$A$1510,$A1507,$E$4:$E$1510,"Loss"),-('Guide &amp; Settings'!$C$42/($F1507-1))*$X1507)))</f>
        <v>0</v>
      </c>
      <c r="K1507" s="124">
        <f>IF($D1507="",0,'Guide &amp; Settings'!$C$43*(IF($E1507="Win",1,0)-$I1507))</f>
        <v>0</v>
      </c>
      <c r="L1507" s="125">
        <f>IF($D1507="",0,'Guide &amp; Settings'!$C$44*IF($F1507&gt;=3,$F1507,0))</f>
        <v>0</v>
      </c>
      <c r="M1507" s="124">
        <f t="shared" si="463"/>
        <v>0</v>
      </c>
      <c r="N1507" s="122">
        <f t="shared" si="464"/>
        <v>0</v>
      </c>
      <c r="O1507" s="121" t="str">
        <f t="shared" si="465"/>
        <v/>
      </c>
      <c r="P1507">
        <f t="shared" si="466"/>
        <v>0</v>
      </c>
      <c r="Q1507">
        <f t="shared" si="467"/>
        <v>0</v>
      </c>
      <c r="R1507">
        <f t="shared" si="468"/>
        <v>0</v>
      </c>
      <c r="S1507">
        <f t="shared" si="469"/>
        <v>0</v>
      </c>
      <c r="T1507" s="89">
        <f t="shared" si="470"/>
        <v>0</v>
      </c>
      <c r="U1507" s="126">
        <f>IF($D1507="",0,IFERROR(LOOKUP(2,1/(($D$3:D1506=$D1507)*($C$3:C1506=$C1507)*($A$3:A1506&lt;$A1507)),$AB$3:AB1506),1000))</f>
        <v>0</v>
      </c>
      <c r="V1507" s="126">
        <f t="shared" si="471"/>
        <v>0</v>
      </c>
      <c r="W1507">
        <f t="shared" si="472"/>
        <v>0</v>
      </c>
      <c r="X1507">
        <f t="shared" si="473"/>
        <v>0</v>
      </c>
      <c r="Y1507">
        <f t="shared" si="474"/>
        <v>0</v>
      </c>
      <c r="Z1507">
        <f t="shared" si="475"/>
        <v>0</v>
      </c>
      <c r="AA1507">
        <f>IF($D1507="",0,IF($F1507&lt;2,0,IF($E1507="Win",('Guide &amp; Settings'!$C$42/(($F1507-1)*COUNTIFS($A$4:$A$1510,$A1507,$E$4:$E$1510,"Win")))*SUMIFS($Z$4:$Z$1510,$A$4:$A$1510,$A1507,$E$4:$E$1510,"Loss"),-('Guide &amp; Settings'!$C$42/($F1507-1))*$Z1507)))</f>
        <v>0</v>
      </c>
      <c r="AB1507" s="126">
        <f t="shared" si="476"/>
        <v>0</v>
      </c>
      <c r="AC1507" t="str">
        <f>IF($D1507="","",IF($AD1507=0,0,IF(COUNTIFS($D$4:$D1507,$D1507,$B$4:$B1507,$B1507)&gt;1,0,IF($B1507&lt;'Guide &amp; Settings'!$C$50,0,IF(($B1507-$AD1507)/7-'Guide &amp; Settings'!$C$48&gt;=0,(INT(($B1507-$AD1507)/7-'Guide &amp; Settings'!$C$48)+1)*'Guide &amp; Settings'!$C$49,0)))))</f>
        <v/>
      </c>
      <c r="AD1507" s="142">
        <f t="shared" si="477"/>
        <v>0</v>
      </c>
      <c r="AE1507">
        <f t="shared" si="478"/>
        <v>0</v>
      </c>
      <c r="AF1507">
        <f t="shared" si="479"/>
        <v>0</v>
      </c>
    </row>
    <row r="1508" spans="1:32" x14ac:dyDescent="0.2">
      <c r="A1508" s="117"/>
      <c r="B1508" s="118"/>
      <c r="C1508" s="119"/>
      <c r="D1508" s="119"/>
      <c r="E1508" s="117"/>
      <c r="F1508" s="120">
        <f t="shared" si="460"/>
        <v>0</v>
      </c>
      <c r="G1508" s="121" t="str">
        <f t="shared" si="461"/>
        <v/>
      </c>
      <c r="H1508" s="122">
        <f>IF($D1508="",0,IFERROR(LOOKUP(2,1/(($D$3:D1507=$D1508)*($A$3:A1507&lt;$A1508)),$N$3:N1507),'Guide &amp; Settings'!$C$41))</f>
        <v>0</v>
      </c>
      <c r="I1508" s="123">
        <f t="shared" si="462"/>
        <v>0</v>
      </c>
      <c r="J1508" s="124">
        <f>IF($D1508="",0,IF($F1508&lt;2,0,IF($E1508="Win",('Guide &amp; Settings'!$C$42/(($F1508-1)*COUNTIFS($A$4:$A$1510,$A1508,$E$4:$E$1510,"Win")))*SUMIFS($X$4:$X$1510,$A$4:$A$1510,$A1508,$E$4:$E$1510,"Loss"),-('Guide &amp; Settings'!$C$42/($F1508-1))*$X1508)))</f>
        <v>0</v>
      </c>
      <c r="K1508" s="124">
        <f>IF($D1508="",0,'Guide &amp; Settings'!$C$43*(IF($E1508="Win",1,0)-$I1508))</f>
        <v>0</v>
      </c>
      <c r="L1508" s="125">
        <f>IF($D1508="",0,'Guide &amp; Settings'!$C$44*IF($F1508&gt;=3,$F1508,0))</f>
        <v>0</v>
      </c>
      <c r="M1508" s="124">
        <f t="shared" si="463"/>
        <v>0</v>
      </c>
      <c r="N1508" s="122">
        <f t="shared" si="464"/>
        <v>0</v>
      </c>
      <c r="O1508" s="121" t="str">
        <f t="shared" si="465"/>
        <v/>
      </c>
      <c r="P1508">
        <f t="shared" si="466"/>
        <v>0</v>
      </c>
      <c r="Q1508">
        <f t="shared" si="467"/>
        <v>0</v>
      </c>
      <c r="R1508">
        <f t="shared" si="468"/>
        <v>0</v>
      </c>
      <c r="S1508">
        <f t="shared" si="469"/>
        <v>0</v>
      </c>
      <c r="T1508" s="89">
        <f t="shared" si="470"/>
        <v>0</v>
      </c>
      <c r="U1508" s="126">
        <f>IF($D1508="",0,IFERROR(LOOKUP(2,1/(($D$3:D1507=$D1508)*($C$3:C1507=$C1508)*($A$3:A1507&lt;$A1508)),$AB$3:AB1507),1000))</f>
        <v>0</v>
      </c>
      <c r="V1508" s="126">
        <f t="shared" si="471"/>
        <v>0</v>
      </c>
      <c r="W1508">
        <f t="shared" si="472"/>
        <v>0</v>
      </c>
      <c r="X1508">
        <f t="shared" si="473"/>
        <v>0</v>
      </c>
      <c r="Y1508">
        <f t="shared" si="474"/>
        <v>0</v>
      </c>
      <c r="Z1508">
        <f t="shared" si="475"/>
        <v>0</v>
      </c>
      <c r="AA1508">
        <f>IF($D1508="",0,IF($F1508&lt;2,0,IF($E1508="Win",('Guide &amp; Settings'!$C$42/(($F1508-1)*COUNTIFS($A$4:$A$1510,$A1508,$E$4:$E$1510,"Win")))*SUMIFS($Z$4:$Z$1510,$A$4:$A$1510,$A1508,$E$4:$E$1510,"Loss"),-('Guide &amp; Settings'!$C$42/($F1508-1))*$Z1508)))</f>
        <v>0</v>
      </c>
      <c r="AB1508" s="126">
        <f t="shared" si="476"/>
        <v>0</v>
      </c>
      <c r="AC1508" t="str">
        <f>IF($D1508="","",IF($AD1508=0,0,IF(COUNTIFS($D$4:$D1508,$D1508,$B$4:$B1508,$B1508)&gt;1,0,IF($B1508&lt;'Guide &amp; Settings'!$C$50,0,IF(($B1508-$AD1508)/7-'Guide &amp; Settings'!$C$48&gt;=0,(INT(($B1508-$AD1508)/7-'Guide &amp; Settings'!$C$48)+1)*'Guide &amp; Settings'!$C$49,0)))))</f>
        <v/>
      </c>
      <c r="AD1508" s="142">
        <f t="shared" si="477"/>
        <v>0</v>
      </c>
      <c r="AE1508">
        <f t="shared" si="478"/>
        <v>0</v>
      </c>
      <c r="AF1508">
        <f t="shared" si="479"/>
        <v>0</v>
      </c>
    </row>
    <row r="1509" spans="1:32" x14ac:dyDescent="0.2">
      <c r="A1509" s="117"/>
      <c r="B1509" s="118"/>
      <c r="C1509" s="119"/>
      <c r="D1509" s="119"/>
      <c r="E1509" s="117"/>
      <c r="F1509" s="120">
        <f t="shared" si="460"/>
        <v>0</v>
      </c>
      <c r="G1509" s="121" t="str">
        <f t="shared" si="461"/>
        <v/>
      </c>
      <c r="H1509" s="122">
        <f>IF($D1509="",0,IFERROR(LOOKUP(2,1/(($D$3:D1508=$D1509)*($A$3:A1508&lt;$A1509)),$N$3:N1508),'Guide &amp; Settings'!$C$41))</f>
        <v>0</v>
      </c>
      <c r="I1509" s="123">
        <f t="shared" si="462"/>
        <v>0</v>
      </c>
      <c r="J1509" s="124">
        <f>IF($D1509="",0,IF($F1509&lt;2,0,IF($E1509="Win",('Guide &amp; Settings'!$C$42/(($F1509-1)*COUNTIFS($A$4:$A$1510,$A1509,$E$4:$E$1510,"Win")))*SUMIFS($X$4:$X$1510,$A$4:$A$1510,$A1509,$E$4:$E$1510,"Loss"),-('Guide &amp; Settings'!$C$42/($F1509-1))*$X1509)))</f>
        <v>0</v>
      </c>
      <c r="K1509" s="124">
        <f>IF($D1509="",0,'Guide &amp; Settings'!$C$43*(IF($E1509="Win",1,0)-$I1509))</f>
        <v>0</v>
      </c>
      <c r="L1509" s="125">
        <f>IF($D1509="",0,'Guide &amp; Settings'!$C$44*IF($F1509&gt;=3,$F1509,0))</f>
        <v>0</v>
      </c>
      <c r="M1509" s="124">
        <f t="shared" si="463"/>
        <v>0</v>
      </c>
      <c r="N1509" s="122">
        <f t="shared" si="464"/>
        <v>0</v>
      </c>
      <c r="O1509" s="121" t="str">
        <f t="shared" si="465"/>
        <v/>
      </c>
      <c r="P1509">
        <f t="shared" si="466"/>
        <v>0</v>
      </c>
      <c r="Q1509">
        <f t="shared" si="467"/>
        <v>0</v>
      </c>
      <c r="R1509">
        <f t="shared" si="468"/>
        <v>0</v>
      </c>
      <c r="S1509">
        <f t="shared" si="469"/>
        <v>0</v>
      </c>
      <c r="T1509" s="89">
        <f t="shared" si="470"/>
        <v>0</v>
      </c>
      <c r="U1509" s="126">
        <f>IF($D1509="",0,IFERROR(LOOKUP(2,1/(($D$3:D1508=$D1509)*($C$3:C1508=$C1509)*($A$3:A1508&lt;$A1509)),$AB$3:AB1508),1000))</f>
        <v>0</v>
      </c>
      <c r="V1509" s="126">
        <f t="shared" si="471"/>
        <v>0</v>
      </c>
      <c r="W1509">
        <f t="shared" si="472"/>
        <v>0</v>
      </c>
      <c r="X1509">
        <f t="shared" si="473"/>
        <v>0</v>
      </c>
      <c r="Y1509">
        <f t="shared" si="474"/>
        <v>0</v>
      </c>
      <c r="Z1509">
        <f t="shared" si="475"/>
        <v>0</v>
      </c>
      <c r="AA1509">
        <f>IF($D1509="",0,IF($F1509&lt;2,0,IF($E1509="Win",('Guide &amp; Settings'!$C$42/(($F1509-1)*COUNTIFS($A$4:$A$1510,$A1509,$E$4:$E$1510,"Win")))*SUMIFS($Z$4:$Z$1510,$A$4:$A$1510,$A1509,$E$4:$E$1510,"Loss"),-('Guide &amp; Settings'!$C$42/($F1509-1))*$Z1509)))</f>
        <v>0</v>
      </c>
      <c r="AB1509" s="126">
        <f t="shared" si="476"/>
        <v>0</v>
      </c>
      <c r="AC1509" t="str">
        <f>IF($D1509="","",IF($AD1509=0,0,IF(COUNTIFS($D$4:$D1509,$D1509,$B$4:$B1509,$B1509)&gt;1,0,IF($B1509&lt;'Guide &amp; Settings'!$C$50,0,IF(($B1509-$AD1509)/7-'Guide &amp; Settings'!$C$48&gt;=0,(INT(($B1509-$AD1509)/7-'Guide &amp; Settings'!$C$48)+1)*'Guide &amp; Settings'!$C$49,0)))))</f>
        <v/>
      </c>
      <c r="AD1509" s="142">
        <f t="shared" si="477"/>
        <v>0</v>
      </c>
      <c r="AE1509">
        <f t="shared" si="478"/>
        <v>0</v>
      </c>
      <c r="AF1509">
        <f t="shared" si="479"/>
        <v>0</v>
      </c>
    </row>
    <row r="1510" spans="1:32" x14ac:dyDescent="0.2">
      <c r="A1510" s="117"/>
      <c r="B1510" s="118"/>
      <c r="C1510" s="119"/>
      <c r="D1510" s="119"/>
      <c r="E1510" s="117"/>
      <c r="F1510" s="120">
        <f t="shared" si="460"/>
        <v>0</v>
      </c>
      <c r="G1510" s="121" t="str">
        <f t="shared" si="461"/>
        <v/>
      </c>
      <c r="H1510" s="122">
        <f>IF($D1510="",0,IFERROR(LOOKUP(2,1/(($D$3:D1509=$D1510)*($A$3:A1509&lt;$A1510)),$N$3:N1509),'Guide &amp; Settings'!$C$41))</f>
        <v>0</v>
      </c>
      <c r="I1510" s="123">
        <f t="shared" si="462"/>
        <v>0</v>
      </c>
      <c r="J1510" s="124">
        <f>IF($D1510="",0,IF($F1510&lt;2,0,IF($E1510="Win",('Guide &amp; Settings'!$C$42/(($F1510-1)*COUNTIFS($A$4:$A$1510,$A1510,$E$4:$E$1510,"Win")))*SUMIFS($X$4:$X$1510,$A$4:$A$1510,$A1510,$E$4:$E$1510,"Loss"),-('Guide &amp; Settings'!$C$42/($F1510-1))*$X1510)))</f>
        <v>0</v>
      </c>
      <c r="K1510" s="124">
        <f>IF($D1510="",0,'Guide &amp; Settings'!$C$43*(IF($E1510="Win",1,0)-$I1510))</f>
        <v>0</v>
      </c>
      <c r="L1510" s="125">
        <f>IF($D1510="",0,'Guide &amp; Settings'!$C$44*IF($F1510&gt;=3,$F1510,0))</f>
        <v>0</v>
      </c>
      <c r="M1510" s="124">
        <f t="shared" si="463"/>
        <v>0</v>
      </c>
      <c r="N1510" s="122">
        <f t="shared" si="464"/>
        <v>0</v>
      </c>
      <c r="O1510" s="121" t="str">
        <f t="shared" si="465"/>
        <v/>
      </c>
      <c r="P1510">
        <f t="shared" si="466"/>
        <v>0</v>
      </c>
      <c r="Q1510">
        <f t="shared" si="467"/>
        <v>0</v>
      </c>
      <c r="R1510">
        <f t="shared" si="468"/>
        <v>0</v>
      </c>
      <c r="S1510">
        <f t="shared" si="469"/>
        <v>0</v>
      </c>
      <c r="T1510" s="89">
        <f t="shared" si="470"/>
        <v>0</v>
      </c>
      <c r="U1510" s="126">
        <f>IF($D1510="",0,IFERROR(LOOKUP(2,1/(($D$3:D1509=$D1510)*($C$3:C1509=$C1510)*($A$3:A1509&lt;$A1510)),$AB$3:AB1509),1000))</f>
        <v>0</v>
      </c>
      <c r="V1510" s="126">
        <f t="shared" si="471"/>
        <v>0</v>
      </c>
      <c r="W1510">
        <f t="shared" si="472"/>
        <v>0</v>
      </c>
      <c r="X1510">
        <f t="shared" si="473"/>
        <v>0</v>
      </c>
      <c r="Y1510">
        <f t="shared" si="474"/>
        <v>0</v>
      </c>
      <c r="Z1510">
        <f t="shared" si="475"/>
        <v>0</v>
      </c>
      <c r="AA1510">
        <f>IF($D1510="",0,IF($F1510&lt;2,0,IF($E1510="Win",('Guide &amp; Settings'!$C$42/(($F1510-1)*COUNTIFS($A$4:$A$1510,$A1510,$E$4:$E$1510,"Win")))*SUMIFS($Z$4:$Z$1510,$A$4:$A$1510,$A1510,$E$4:$E$1510,"Loss"),-('Guide &amp; Settings'!$C$42/($F1510-1))*$Z1510)))</f>
        <v>0</v>
      </c>
      <c r="AB1510" s="126">
        <f t="shared" si="476"/>
        <v>0</v>
      </c>
      <c r="AC1510" t="str">
        <f>IF($D1510="","",IF($AD1510=0,0,IF(COUNTIFS($D$4:$D1510,$D1510,$B$4:$B1510,$B1510)&gt;1,0,IF($B1510&lt;'Guide &amp; Settings'!$C$50,0,IF(($B1510-$AD1510)/7-'Guide &amp; Settings'!$C$48&gt;=0,(INT(($B1510-$AD1510)/7-'Guide &amp; Settings'!$C$48)+1)*'Guide &amp; Settings'!$C$49,0)))))</f>
        <v/>
      </c>
      <c r="AD1510" s="142">
        <f t="shared" si="477"/>
        <v>0</v>
      </c>
      <c r="AE1510">
        <f t="shared" si="478"/>
        <v>0</v>
      </c>
      <c r="AF1510">
        <f t="shared" si="479"/>
        <v>0</v>
      </c>
    </row>
  </sheetData>
  <sheetProtection sheet="1" objects="1" scenarios="1"/>
  <mergeCells count="2">
    <mergeCell ref="A1:O1"/>
    <mergeCell ref="A2:O2"/>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1000000}">
          <x14:formula1>
            <xm:f>Lists!$A$2:$A$15</xm:f>
          </x14:formula1>
          <x14:formula2>
            <xm:f>0</xm:f>
          </x14:formula2>
          <xm:sqref>D4:D1510</xm:sqref>
        </x14:dataValidation>
        <x14:dataValidation type="list" allowBlank="1" showInputMessage="1" showErrorMessage="1" xr:uid="{00000000-0002-0000-0900-000002000000}">
          <x14:formula1>
            <xm:f>Lists!$E$2:$E$3</xm:f>
          </x14:formula1>
          <x14:formula2>
            <xm:f>0</xm:f>
          </x14:formula2>
          <xm:sqref>E4:E1510</xm:sqref>
        </x14:dataValidation>
        <x14:dataValidation type="list" allowBlank="1" showInputMessage="1" showErrorMessage="1" xr:uid="{00000000-0002-0000-0900-000000000000}">
          <x14:formula1>
            <xm:f>Lists!$C$2:$C$26</xm:f>
          </x14:formula1>
          <x14:formula2>
            <xm:f>0</xm:f>
          </x14:formula2>
          <xm:sqref>C4:C1510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F8F5B"/>
  </sheetPr>
  <dimension ref="A1:R55"/>
  <sheetViews>
    <sheetView showGridLines="0" zoomScale="158" zoomScaleNormal="158" workbookViewId="0">
      <pane ySplit="5" topLeftCell="A31" activePane="bottomLeft" state="frozen"/>
      <selection pane="bottomLeft" activeCell="P54" sqref="P54:R54"/>
    </sheetView>
  </sheetViews>
  <sheetFormatPr baseColWidth="10" defaultColWidth="8.83203125" defaultRowHeight="15" x14ac:dyDescent="0.2"/>
  <cols>
    <col min="1" max="1" width="22" customWidth="1"/>
    <col min="2" max="15" width="4.6640625" customWidth="1"/>
    <col min="16" max="17" width="9" customWidth="1"/>
    <col min="18" max="18" width="26" customWidth="1"/>
  </cols>
  <sheetData>
    <row r="1" spans="1:18" ht="21" customHeight="1" x14ac:dyDescent="0.25">
      <c r="A1" s="59" t="s">
        <v>372</v>
      </c>
    </row>
    <row r="2" spans="1:18" ht="15" customHeight="1" x14ac:dyDescent="0.2">
      <c r="A2" s="164" t="s">
        <v>373</v>
      </c>
      <c r="B2" s="146"/>
      <c r="C2" s="146"/>
      <c r="D2" s="146"/>
      <c r="E2" s="146"/>
      <c r="F2" s="146"/>
      <c r="G2" s="146"/>
      <c r="H2" s="146"/>
      <c r="I2" s="146"/>
      <c r="J2" s="146"/>
      <c r="K2" s="146"/>
      <c r="L2" s="146"/>
      <c r="M2" s="146"/>
      <c r="N2" s="146"/>
      <c r="O2" s="146"/>
      <c r="P2" s="146"/>
      <c r="Q2" s="146"/>
      <c r="R2" s="146"/>
    </row>
    <row r="3" spans="1:18" ht="15" customHeight="1" x14ac:dyDescent="0.2">
      <c r="A3" s="43" t="s">
        <v>374</v>
      </c>
      <c r="B3" s="127">
        <f>COUNTA($B$6:$O$6)</f>
        <v>14</v>
      </c>
      <c r="C3" s="43" t="s">
        <v>375</v>
      </c>
      <c r="D3" s="127">
        <f>INT($B$3/2)+1</f>
        <v>8</v>
      </c>
      <c r="E3" s="43" t="s">
        <v>376</v>
      </c>
      <c r="F3" s="127">
        <f>ROUNDUP($B$3/2,0)</f>
        <v>7</v>
      </c>
      <c r="H3" s="164" t="s">
        <v>377</v>
      </c>
      <c r="I3" s="146"/>
      <c r="J3" s="146"/>
      <c r="K3" s="146"/>
      <c r="L3" s="146"/>
      <c r="M3" s="146"/>
      <c r="N3" s="146"/>
      <c r="O3" s="146"/>
      <c r="P3" s="146"/>
      <c r="Q3" s="146"/>
      <c r="R3" s="146"/>
    </row>
    <row r="5" spans="1:18" ht="15" customHeight="1" x14ac:dyDescent="0.2">
      <c r="A5" s="162" t="s">
        <v>378</v>
      </c>
      <c r="B5" s="146"/>
      <c r="C5" s="146"/>
      <c r="D5" s="146"/>
      <c r="E5" s="146"/>
      <c r="F5" s="146"/>
      <c r="G5" s="146"/>
      <c r="H5" s="146"/>
      <c r="I5" s="146"/>
      <c r="J5" s="146"/>
      <c r="K5" s="146"/>
      <c r="L5" s="146"/>
      <c r="M5" s="146"/>
      <c r="N5" s="146"/>
      <c r="O5" s="146"/>
      <c r="P5" s="146"/>
      <c r="Q5" s="146"/>
      <c r="R5" s="146"/>
    </row>
    <row r="6" spans="1:18" ht="91.5" customHeight="1" x14ac:dyDescent="0.2">
      <c r="A6" s="80" t="s">
        <v>379</v>
      </c>
      <c r="B6" s="81" t="s">
        <v>15</v>
      </c>
      <c r="C6" s="81" t="s">
        <v>16</v>
      </c>
      <c r="D6" s="81" t="s">
        <v>17</v>
      </c>
      <c r="E6" s="81" t="s">
        <v>18</v>
      </c>
      <c r="F6" s="81" t="s">
        <v>19</v>
      </c>
      <c r="G6" s="81" t="s">
        <v>20</v>
      </c>
      <c r="H6" s="81" t="s">
        <v>21</v>
      </c>
      <c r="I6" s="81" t="s">
        <v>22</v>
      </c>
      <c r="J6" s="81" t="s">
        <v>23</v>
      </c>
      <c r="K6" s="81" t="s">
        <v>24</v>
      </c>
      <c r="L6" s="81" t="s">
        <v>25</v>
      </c>
      <c r="M6" s="81" t="s">
        <v>26</v>
      </c>
      <c r="N6" s="81" t="s">
        <v>27</v>
      </c>
      <c r="O6" s="81" t="s">
        <v>28</v>
      </c>
      <c r="P6" s="80" t="s">
        <v>380</v>
      </c>
      <c r="Q6" s="80" t="s">
        <v>381</v>
      </c>
      <c r="R6" s="80" t="s">
        <v>382</v>
      </c>
    </row>
    <row r="7" spans="1:18" ht="15" customHeight="1" x14ac:dyDescent="0.2">
      <c r="A7" s="128" t="s">
        <v>383</v>
      </c>
      <c r="B7" s="129">
        <v>1</v>
      </c>
      <c r="C7" s="129"/>
      <c r="D7" s="129"/>
      <c r="E7" s="129"/>
      <c r="F7" s="129"/>
      <c r="G7" s="129">
        <v>1</v>
      </c>
      <c r="H7" s="129"/>
      <c r="I7" s="129"/>
      <c r="J7" s="129"/>
      <c r="K7" s="129"/>
      <c r="L7" s="129"/>
      <c r="M7" s="129"/>
      <c r="N7" s="129"/>
      <c r="O7" s="129"/>
      <c r="P7" s="130">
        <f t="shared" ref="P7:P26" si="0">IF($A7="","",SUM($B7:$O7))</f>
        <v>2</v>
      </c>
      <c r="Q7" s="130">
        <f t="shared" ref="Q7:Q26" si="1">IF($A7="","",COUNT($B7:$O7))</f>
        <v>2</v>
      </c>
      <c r="R7" s="131" t="str">
        <f t="shared" ref="R7:R26" si="2">IF($A7="","",IF($P7&gt;=$D$3,"PASSED — add it",IF($Q7&lt;$F$3,"Awaiting votes ("&amp;$Q7&amp;" of "&amp;$B$3&amp;")",IF($P7+($B$3-$Q7)&lt;$D$3,"Rejected","Open ("&amp;$P7&amp;" in favour)"))))</f>
        <v>Awaiting votes (2 of 14)</v>
      </c>
    </row>
    <row r="8" spans="1:18" ht="15" customHeight="1" x14ac:dyDescent="0.2">
      <c r="A8" s="128" t="s">
        <v>384</v>
      </c>
      <c r="B8" s="129">
        <v>1</v>
      </c>
      <c r="C8" s="129"/>
      <c r="D8" s="129"/>
      <c r="E8" s="129"/>
      <c r="F8" s="129"/>
      <c r="G8" s="129">
        <v>1</v>
      </c>
      <c r="H8" s="129"/>
      <c r="I8" s="129"/>
      <c r="J8" s="129"/>
      <c r="K8" s="129"/>
      <c r="L8" s="129"/>
      <c r="M8" s="129"/>
      <c r="N8" s="129"/>
      <c r="O8" s="129"/>
      <c r="P8" s="130">
        <f t="shared" si="0"/>
        <v>2</v>
      </c>
      <c r="Q8" s="130">
        <f t="shared" si="1"/>
        <v>2</v>
      </c>
      <c r="R8" s="131" t="str">
        <f t="shared" si="2"/>
        <v>Awaiting votes (2 of 14)</v>
      </c>
    </row>
    <row r="9" spans="1:18" ht="15" customHeight="1" x14ac:dyDescent="0.2">
      <c r="A9" s="128" t="s">
        <v>385</v>
      </c>
      <c r="B9" s="129">
        <v>1</v>
      </c>
      <c r="C9" s="129"/>
      <c r="D9" s="129"/>
      <c r="E9" s="129"/>
      <c r="F9" s="129"/>
      <c r="G9" s="129">
        <v>1</v>
      </c>
      <c r="H9" s="129"/>
      <c r="I9" s="129"/>
      <c r="J9" s="129"/>
      <c r="K9" s="129"/>
      <c r="L9" s="129"/>
      <c r="M9" s="129"/>
      <c r="N9" s="129"/>
      <c r="O9" s="129"/>
      <c r="P9" s="130">
        <f t="shared" si="0"/>
        <v>2</v>
      </c>
      <c r="Q9" s="130">
        <f t="shared" si="1"/>
        <v>2</v>
      </c>
      <c r="R9" s="131" t="str">
        <f t="shared" si="2"/>
        <v>Awaiting votes (2 of 14)</v>
      </c>
    </row>
    <row r="10" spans="1:18" ht="15" customHeight="1" x14ac:dyDescent="0.2">
      <c r="A10" s="128" t="s">
        <v>386</v>
      </c>
      <c r="B10" s="129">
        <v>1</v>
      </c>
      <c r="C10" s="129"/>
      <c r="D10" s="129"/>
      <c r="E10" s="129"/>
      <c r="F10" s="129"/>
      <c r="G10" s="129">
        <v>1</v>
      </c>
      <c r="H10" s="129"/>
      <c r="I10" s="129"/>
      <c r="J10" s="129"/>
      <c r="K10" s="129"/>
      <c r="L10" s="129"/>
      <c r="M10" s="129"/>
      <c r="N10" s="129"/>
      <c r="O10" s="129"/>
      <c r="P10" s="130">
        <f t="shared" si="0"/>
        <v>2</v>
      </c>
      <c r="Q10" s="130">
        <f t="shared" si="1"/>
        <v>2</v>
      </c>
      <c r="R10" s="131" t="str">
        <f t="shared" si="2"/>
        <v>Awaiting votes (2 of 14)</v>
      </c>
    </row>
    <row r="11" spans="1:18" ht="15" customHeight="1" x14ac:dyDescent="0.2">
      <c r="A11" s="128"/>
      <c r="B11" s="129"/>
      <c r="C11" s="129"/>
      <c r="D11" s="129"/>
      <c r="E11" s="129"/>
      <c r="F11" s="129"/>
      <c r="G11" s="129"/>
      <c r="H11" s="129"/>
      <c r="I11" s="129"/>
      <c r="J11" s="129"/>
      <c r="K11" s="129"/>
      <c r="L11" s="129"/>
      <c r="M11" s="129"/>
      <c r="N11" s="129"/>
      <c r="O11" s="129"/>
      <c r="P11" s="130" t="str">
        <f t="shared" si="0"/>
        <v/>
      </c>
      <c r="Q11" s="130" t="str">
        <f t="shared" si="1"/>
        <v/>
      </c>
      <c r="R11" s="131" t="str">
        <f t="shared" si="2"/>
        <v/>
      </c>
    </row>
    <row r="12" spans="1:18" ht="15" customHeight="1" x14ac:dyDescent="0.2">
      <c r="A12" s="128"/>
      <c r="B12" s="129"/>
      <c r="C12" s="129"/>
      <c r="D12" s="129"/>
      <c r="E12" s="129"/>
      <c r="F12" s="129"/>
      <c r="G12" s="129"/>
      <c r="H12" s="129"/>
      <c r="I12" s="129"/>
      <c r="J12" s="129"/>
      <c r="K12" s="129"/>
      <c r="L12" s="129"/>
      <c r="M12" s="129"/>
      <c r="N12" s="129"/>
      <c r="O12" s="129"/>
      <c r="P12" s="130" t="str">
        <f t="shared" si="0"/>
        <v/>
      </c>
      <c r="Q12" s="130" t="str">
        <f t="shared" si="1"/>
        <v/>
      </c>
      <c r="R12" s="131" t="str">
        <f t="shared" si="2"/>
        <v/>
      </c>
    </row>
    <row r="13" spans="1:18" ht="15" customHeight="1" x14ac:dyDescent="0.2">
      <c r="A13" s="128"/>
      <c r="B13" s="129"/>
      <c r="C13" s="129"/>
      <c r="D13" s="129"/>
      <c r="E13" s="129"/>
      <c r="F13" s="129"/>
      <c r="G13" s="129"/>
      <c r="H13" s="129"/>
      <c r="I13" s="129"/>
      <c r="J13" s="129"/>
      <c r="K13" s="129"/>
      <c r="L13" s="129"/>
      <c r="M13" s="129"/>
      <c r="N13" s="129"/>
      <c r="O13" s="129"/>
      <c r="P13" s="130" t="str">
        <f t="shared" si="0"/>
        <v/>
      </c>
      <c r="Q13" s="130" t="str">
        <f t="shared" si="1"/>
        <v/>
      </c>
      <c r="R13" s="131" t="str">
        <f t="shared" si="2"/>
        <v/>
      </c>
    </row>
    <row r="14" spans="1:18" ht="15" customHeight="1" x14ac:dyDescent="0.2">
      <c r="A14" s="128"/>
      <c r="B14" s="129"/>
      <c r="C14" s="129"/>
      <c r="D14" s="129"/>
      <c r="E14" s="129"/>
      <c r="F14" s="129"/>
      <c r="G14" s="129"/>
      <c r="H14" s="129"/>
      <c r="I14" s="129"/>
      <c r="J14" s="129"/>
      <c r="K14" s="129"/>
      <c r="L14" s="129"/>
      <c r="M14" s="129"/>
      <c r="N14" s="129"/>
      <c r="O14" s="129"/>
      <c r="P14" s="130" t="str">
        <f t="shared" si="0"/>
        <v/>
      </c>
      <c r="Q14" s="130" t="str">
        <f t="shared" si="1"/>
        <v/>
      </c>
      <c r="R14" s="131" t="str">
        <f t="shared" si="2"/>
        <v/>
      </c>
    </row>
    <row r="15" spans="1:18" ht="15" customHeight="1" x14ac:dyDescent="0.2">
      <c r="A15" s="128"/>
      <c r="B15" s="129"/>
      <c r="C15" s="129"/>
      <c r="D15" s="129"/>
      <c r="E15" s="129"/>
      <c r="F15" s="129"/>
      <c r="G15" s="129"/>
      <c r="H15" s="129"/>
      <c r="I15" s="129"/>
      <c r="J15" s="129"/>
      <c r="K15" s="129"/>
      <c r="L15" s="129"/>
      <c r="M15" s="129"/>
      <c r="N15" s="129"/>
      <c r="O15" s="129"/>
      <c r="P15" s="130" t="str">
        <f t="shared" si="0"/>
        <v/>
      </c>
      <c r="Q15" s="130" t="str">
        <f t="shared" si="1"/>
        <v/>
      </c>
      <c r="R15" s="131" t="str">
        <f t="shared" si="2"/>
        <v/>
      </c>
    </row>
    <row r="16" spans="1:18" ht="15" customHeight="1" x14ac:dyDescent="0.2">
      <c r="A16" s="128"/>
      <c r="B16" s="129"/>
      <c r="C16" s="129"/>
      <c r="D16" s="129"/>
      <c r="E16" s="129"/>
      <c r="F16" s="129"/>
      <c r="G16" s="129"/>
      <c r="H16" s="129"/>
      <c r="I16" s="129"/>
      <c r="J16" s="129"/>
      <c r="K16" s="129"/>
      <c r="L16" s="129"/>
      <c r="M16" s="129"/>
      <c r="N16" s="129"/>
      <c r="O16" s="129"/>
      <c r="P16" s="130" t="str">
        <f t="shared" si="0"/>
        <v/>
      </c>
      <c r="Q16" s="130" t="str">
        <f t="shared" si="1"/>
        <v/>
      </c>
      <c r="R16" s="131" t="str">
        <f t="shared" si="2"/>
        <v/>
      </c>
    </row>
    <row r="17" spans="1:18" ht="15" customHeight="1" x14ac:dyDescent="0.2">
      <c r="A17" s="128"/>
      <c r="B17" s="129"/>
      <c r="C17" s="129"/>
      <c r="D17" s="129"/>
      <c r="E17" s="129"/>
      <c r="F17" s="129"/>
      <c r="G17" s="129"/>
      <c r="H17" s="129"/>
      <c r="I17" s="129"/>
      <c r="J17" s="129"/>
      <c r="K17" s="129"/>
      <c r="L17" s="129"/>
      <c r="M17" s="129"/>
      <c r="N17" s="129"/>
      <c r="O17" s="129"/>
      <c r="P17" s="130" t="str">
        <f t="shared" si="0"/>
        <v/>
      </c>
      <c r="Q17" s="130" t="str">
        <f t="shared" si="1"/>
        <v/>
      </c>
      <c r="R17" s="131" t="str">
        <f t="shared" si="2"/>
        <v/>
      </c>
    </row>
    <row r="18" spans="1:18" ht="15" customHeight="1" x14ac:dyDescent="0.2">
      <c r="A18" s="128"/>
      <c r="B18" s="129"/>
      <c r="C18" s="129"/>
      <c r="D18" s="129"/>
      <c r="E18" s="129"/>
      <c r="F18" s="129"/>
      <c r="G18" s="129"/>
      <c r="H18" s="129"/>
      <c r="I18" s="129"/>
      <c r="J18" s="129"/>
      <c r="K18" s="129"/>
      <c r="L18" s="129"/>
      <c r="M18" s="129"/>
      <c r="N18" s="129"/>
      <c r="O18" s="129"/>
      <c r="P18" s="130" t="str">
        <f t="shared" si="0"/>
        <v/>
      </c>
      <c r="Q18" s="130" t="str">
        <f t="shared" si="1"/>
        <v/>
      </c>
      <c r="R18" s="131" t="str">
        <f t="shared" si="2"/>
        <v/>
      </c>
    </row>
    <row r="19" spans="1:18" ht="15" customHeight="1" x14ac:dyDescent="0.2">
      <c r="A19" s="128"/>
      <c r="B19" s="129"/>
      <c r="C19" s="129"/>
      <c r="D19" s="129"/>
      <c r="E19" s="129"/>
      <c r="F19" s="129"/>
      <c r="G19" s="129"/>
      <c r="H19" s="129"/>
      <c r="I19" s="129"/>
      <c r="J19" s="129"/>
      <c r="K19" s="129"/>
      <c r="L19" s="129"/>
      <c r="M19" s="129"/>
      <c r="N19" s="129"/>
      <c r="O19" s="129"/>
      <c r="P19" s="130" t="str">
        <f t="shared" si="0"/>
        <v/>
      </c>
      <c r="Q19" s="130" t="str">
        <f t="shared" si="1"/>
        <v/>
      </c>
      <c r="R19" s="131" t="str">
        <f t="shared" si="2"/>
        <v/>
      </c>
    </row>
    <row r="20" spans="1:18" ht="15" customHeight="1" x14ac:dyDescent="0.2">
      <c r="A20" s="128"/>
      <c r="B20" s="129"/>
      <c r="C20" s="129"/>
      <c r="D20" s="129"/>
      <c r="E20" s="129"/>
      <c r="F20" s="129"/>
      <c r="G20" s="129"/>
      <c r="H20" s="129"/>
      <c r="I20" s="129"/>
      <c r="J20" s="129"/>
      <c r="K20" s="129"/>
      <c r="L20" s="129"/>
      <c r="M20" s="129"/>
      <c r="N20" s="129"/>
      <c r="O20" s="129"/>
      <c r="P20" s="130" t="str">
        <f t="shared" si="0"/>
        <v/>
      </c>
      <c r="Q20" s="130" t="str">
        <f t="shared" si="1"/>
        <v/>
      </c>
      <c r="R20" s="131" t="str">
        <f t="shared" si="2"/>
        <v/>
      </c>
    </row>
    <row r="21" spans="1:18" ht="15" customHeight="1" x14ac:dyDescent="0.2">
      <c r="A21" s="128"/>
      <c r="B21" s="129"/>
      <c r="C21" s="129"/>
      <c r="D21" s="129"/>
      <c r="E21" s="129"/>
      <c r="F21" s="129"/>
      <c r="G21" s="129"/>
      <c r="H21" s="129"/>
      <c r="I21" s="129"/>
      <c r="J21" s="129"/>
      <c r="K21" s="129"/>
      <c r="L21" s="129"/>
      <c r="M21" s="129"/>
      <c r="N21" s="129"/>
      <c r="O21" s="129"/>
      <c r="P21" s="130" t="str">
        <f t="shared" si="0"/>
        <v/>
      </c>
      <c r="Q21" s="130" t="str">
        <f t="shared" si="1"/>
        <v/>
      </c>
      <c r="R21" s="131" t="str">
        <f t="shared" si="2"/>
        <v/>
      </c>
    </row>
    <row r="22" spans="1:18" ht="15" customHeight="1" x14ac:dyDescent="0.2">
      <c r="A22" s="128"/>
      <c r="B22" s="129"/>
      <c r="C22" s="129"/>
      <c r="D22" s="129"/>
      <c r="E22" s="129"/>
      <c r="F22" s="129"/>
      <c r="G22" s="129"/>
      <c r="H22" s="129"/>
      <c r="I22" s="129"/>
      <c r="J22" s="129"/>
      <c r="K22" s="129"/>
      <c r="L22" s="129"/>
      <c r="M22" s="129"/>
      <c r="N22" s="129"/>
      <c r="O22" s="129"/>
      <c r="P22" s="130" t="str">
        <f t="shared" si="0"/>
        <v/>
      </c>
      <c r="Q22" s="130" t="str">
        <f t="shared" si="1"/>
        <v/>
      </c>
      <c r="R22" s="131" t="str">
        <f t="shared" si="2"/>
        <v/>
      </c>
    </row>
    <row r="23" spans="1:18" ht="15" customHeight="1" x14ac:dyDescent="0.2">
      <c r="A23" s="128"/>
      <c r="B23" s="129"/>
      <c r="C23" s="129"/>
      <c r="D23" s="129"/>
      <c r="E23" s="129"/>
      <c r="F23" s="129"/>
      <c r="G23" s="129"/>
      <c r="H23" s="129"/>
      <c r="I23" s="129"/>
      <c r="J23" s="129"/>
      <c r="K23" s="129"/>
      <c r="L23" s="129"/>
      <c r="M23" s="129"/>
      <c r="N23" s="129"/>
      <c r="O23" s="129"/>
      <c r="P23" s="130" t="str">
        <f t="shared" si="0"/>
        <v/>
      </c>
      <c r="Q23" s="130" t="str">
        <f t="shared" si="1"/>
        <v/>
      </c>
      <c r="R23" s="131" t="str">
        <f t="shared" si="2"/>
        <v/>
      </c>
    </row>
    <row r="24" spans="1:18" ht="15" customHeight="1" x14ac:dyDescent="0.2">
      <c r="A24" s="128"/>
      <c r="B24" s="129"/>
      <c r="C24" s="129"/>
      <c r="D24" s="129"/>
      <c r="E24" s="129"/>
      <c r="F24" s="129"/>
      <c r="G24" s="129"/>
      <c r="H24" s="129"/>
      <c r="I24" s="129"/>
      <c r="J24" s="129"/>
      <c r="K24" s="129"/>
      <c r="L24" s="129"/>
      <c r="M24" s="129"/>
      <c r="N24" s="129"/>
      <c r="O24" s="129"/>
      <c r="P24" s="130" t="str">
        <f t="shared" si="0"/>
        <v/>
      </c>
      <c r="Q24" s="130" t="str">
        <f t="shared" si="1"/>
        <v/>
      </c>
      <c r="R24" s="131" t="str">
        <f t="shared" si="2"/>
        <v/>
      </c>
    </row>
    <row r="25" spans="1:18" ht="15" customHeight="1" x14ac:dyDescent="0.2">
      <c r="A25" s="128"/>
      <c r="B25" s="129"/>
      <c r="C25" s="129"/>
      <c r="D25" s="129"/>
      <c r="E25" s="129"/>
      <c r="F25" s="129"/>
      <c r="G25" s="129"/>
      <c r="H25" s="129"/>
      <c r="I25" s="129"/>
      <c r="J25" s="129"/>
      <c r="K25" s="129"/>
      <c r="L25" s="129"/>
      <c r="M25" s="129"/>
      <c r="N25" s="129"/>
      <c r="O25" s="129"/>
      <c r="P25" s="130" t="str">
        <f t="shared" si="0"/>
        <v/>
      </c>
      <c r="Q25" s="130" t="str">
        <f t="shared" si="1"/>
        <v/>
      </c>
      <c r="R25" s="131" t="str">
        <f t="shared" si="2"/>
        <v/>
      </c>
    </row>
    <row r="26" spans="1:18" ht="15" customHeight="1" x14ac:dyDescent="0.2">
      <c r="A26" s="128"/>
      <c r="B26" s="129"/>
      <c r="C26" s="129"/>
      <c r="D26" s="129"/>
      <c r="E26" s="129"/>
      <c r="F26" s="129"/>
      <c r="G26" s="129"/>
      <c r="H26" s="129"/>
      <c r="I26" s="129"/>
      <c r="J26" s="129"/>
      <c r="K26" s="129"/>
      <c r="L26" s="129"/>
      <c r="M26" s="129"/>
      <c r="N26" s="129"/>
      <c r="O26" s="129"/>
      <c r="P26" s="130" t="str">
        <f t="shared" si="0"/>
        <v/>
      </c>
      <c r="Q26" s="130" t="str">
        <f t="shared" si="1"/>
        <v/>
      </c>
      <c r="R26" s="131" t="str">
        <f t="shared" si="2"/>
        <v/>
      </c>
    </row>
    <row r="29" spans="1:18" ht="15" customHeight="1" x14ac:dyDescent="0.2">
      <c r="A29" s="162" t="s">
        <v>387</v>
      </c>
      <c r="B29" s="146"/>
      <c r="C29" s="146"/>
      <c r="D29" s="146"/>
      <c r="E29" s="146"/>
      <c r="F29" s="146"/>
      <c r="G29" s="146"/>
      <c r="H29" s="146"/>
      <c r="I29" s="146"/>
      <c r="J29" s="146"/>
      <c r="K29" s="146"/>
      <c r="L29" s="146"/>
      <c r="M29" s="146"/>
      <c r="N29" s="146"/>
      <c r="O29" s="146"/>
      <c r="P29" s="146"/>
      <c r="Q29" s="146"/>
      <c r="R29" s="146"/>
    </row>
    <row r="30" spans="1:18" ht="91.5" customHeight="1" x14ac:dyDescent="0.2">
      <c r="A30" s="80" t="s">
        <v>388</v>
      </c>
      <c r="B30" s="81" t="s">
        <v>15</v>
      </c>
      <c r="C30" s="81" t="s">
        <v>16</v>
      </c>
      <c r="D30" s="81" t="s">
        <v>17</v>
      </c>
      <c r="E30" s="81" t="s">
        <v>18</v>
      </c>
      <c r="F30" s="81" t="s">
        <v>19</v>
      </c>
      <c r="G30" s="81" t="s">
        <v>20</v>
      </c>
      <c r="H30" s="81" t="s">
        <v>21</v>
      </c>
      <c r="I30" s="81" t="s">
        <v>22</v>
      </c>
      <c r="J30" s="81" t="s">
        <v>23</v>
      </c>
      <c r="K30" s="81" t="s">
        <v>24</v>
      </c>
      <c r="L30" s="81" t="s">
        <v>25</v>
      </c>
      <c r="M30" s="81" t="s">
        <v>26</v>
      </c>
      <c r="N30" s="81" t="s">
        <v>27</v>
      </c>
      <c r="O30" s="81" t="s">
        <v>28</v>
      </c>
      <c r="P30" s="80" t="s">
        <v>389</v>
      </c>
      <c r="Q30" s="80" t="s">
        <v>381</v>
      </c>
      <c r="R30" s="80" t="s">
        <v>382</v>
      </c>
    </row>
    <row r="31" spans="1:18" ht="15" customHeight="1" x14ac:dyDescent="0.2">
      <c r="A31" s="128" t="str">
        <f>IF(Lists!$C$2="","",Lists!$C$2)</f>
        <v>Chess</v>
      </c>
      <c r="B31" s="129">
        <v>0</v>
      </c>
      <c r="C31" s="129"/>
      <c r="D31" s="129"/>
      <c r="E31" s="129"/>
      <c r="F31" s="129"/>
      <c r="G31" s="129">
        <v>0</v>
      </c>
      <c r="H31" s="129"/>
      <c r="I31" s="129"/>
      <c r="J31" s="129"/>
      <c r="K31" s="129"/>
      <c r="L31" s="129"/>
      <c r="M31" s="129"/>
      <c r="N31" s="129"/>
      <c r="O31" s="129"/>
      <c r="P31" s="130">
        <f t="shared" ref="P31:P55" si="3">IF($A31="","",SUM($B31:$O31))</f>
        <v>0</v>
      </c>
      <c r="Q31" s="130">
        <f t="shared" ref="Q31:Q55" si="4">IF($A31="","",COUNT($B31:$O31))</f>
        <v>2</v>
      </c>
      <c r="R31" s="131" t="str">
        <f t="shared" ref="R31:R55" si="5">IF($A31="","",IF($P31&gt;=$D$3,"REMOVED — voted out",IF($Q31&lt;$F$3,"Awaiting votes ("&amp;$Q31&amp;" of "&amp;$B$3&amp;")",IF($P31+($B$3-$Q31)&lt;$D$3,"Stays","Open ("&amp;$P31&amp;" in favour)"))))</f>
        <v>Awaiting votes (2 of 14)</v>
      </c>
    </row>
    <row r="32" spans="1:18" ht="15" customHeight="1" x14ac:dyDescent="0.2">
      <c r="A32" s="128" t="str">
        <f>IF(Lists!$C$3="","",Lists!$C$3)</f>
        <v>Darts</v>
      </c>
      <c r="B32" s="129">
        <v>0</v>
      </c>
      <c r="C32" s="129"/>
      <c r="D32" s="129"/>
      <c r="E32" s="129"/>
      <c r="F32" s="129"/>
      <c r="G32" s="129">
        <v>0</v>
      </c>
      <c r="H32" s="129"/>
      <c r="I32" s="129"/>
      <c r="J32" s="129"/>
      <c r="K32" s="129"/>
      <c r="L32" s="129"/>
      <c r="M32" s="129"/>
      <c r="N32" s="129"/>
      <c r="O32" s="129"/>
      <c r="P32" s="130">
        <f t="shared" si="3"/>
        <v>0</v>
      </c>
      <c r="Q32" s="130">
        <f t="shared" si="4"/>
        <v>2</v>
      </c>
      <c r="R32" s="131" t="str">
        <f t="shared" si="5"/>
        <v>Awaiting votes (2 of 14)</v>
      </c>
    </row>
    <row r="33" spans="1:18" ht="15" customHeight="1" x14ac:dyDescent="0.2">
      <c r="A33" s="128" t="str">
        <f>IF(Lists!$C$4="","",Lists!$C$4)</f>
        <v>FIFA</v>
      </c>
      <c r="B33" s="129">
        <v>0</v>
      </c>
      <c r="C33" s="129"/>
      <c r="D33" s="129"/>
      <c r="E33" s="129"/>
      <c r="F33" s="129"/>
      <c r="G33" s="129">
        <v>0</v>
      </c>
      <c r="H33" s="129"/>
      <c r="I33" s="129"/>
      <c r="J33" s="129"/>
      <c r="K33" s="129"/>
      <c r="L33" s="129"/>
      <c r="M33" s="129"/>
      <c r="N33" s="129"/>
      <c r="O33" s="129"/>
      <c r="P33" s="130">
        <f t="shared" si="3"/>
        <v>0</v>
      </c>
      <c r="Q33" s="130">
        <f t="shared" si="4"/>
        <v>2</v>
      </c>
      <c r="R33" s="131" t="str">
        <f t="shared" si="5"/>
        <v>Awaiting votes (2 of 14)</v>
      </c>
    </row>
    <row r="34" spans="1:18" ht="15" customHeight="1" x14ac:dyDescent="0.2">
      <c r="A34" s="128" t="str">
        <f>IF(Lists!$C$5="","",Lists!$C$5)</f>
        <v>Golf</v>
      </c>
      <c r="B34" s="129">
        <v>0</v>
      </c>
      <c r="C34" s="129"/>
      <c r="D34" s="129"/>
      <c r="E34" s="129"/>
      <c r="F34" s="129"/>
      <c r="G34" s="129">
        <v>0</v>
      </c>
      <c r="H34" s="129"/>
      <c r="I34" s="129"/>
      <c r="J34" s="129"/>
      <c r="K34" s="129"/>
      <c r="L34" s="129"/>
      <c r="M34" s="129"/>
      <c r="N34" s="129"/>
      <c r="O34" s="129"/>
      <c r="P34" s="130">
        <f t="shared" si="3"/>
        <v>0</v>
      </c>
      <c r="Q34" s="130">
        <f t="shared" si="4"/>
        <v>2</v>
      </c>
      <c r="R34" s="131" t="str">
        <f t="shared" si="5"/>
        <v>Awaiting votes (2 of 14)</v>
      </c>
    </row>
    <row r="35" spans="1:18" ht="15" customHeight="1" x14ac:dyDescent="0.2">
      <c r="A35" s="128" t="str">
        <f>IF(Lists!$C$6="","",Lists!$C$6)</f>
        <v>Pool</v>
      </c>
      <c r="B35" s="129">
        <v>0</v>
      </c>
      <c r="C35" s="129"/>
      <c r="D35" s="129"/>
      <c r="E35" s="129"/>
      <c r="F35" s="129"/>
      <c r="G35" s="129">
        <v>0</v>
      </c>
      <c r="H35" s="129"/>
      <c r="I35" s="129"/>
      <c r="J35" s="129"/>
      <c r="K35" s="129"/>
      <c r="L35" s="129"/>
      <c r="M35" s="129"/>
      <c r="N35" s="129"/>
      <c r="O35" s="129"/>
      <c r="P35" s="130">
        <f t="shared" si="3"/>
        <v>0</v>
      </c>
      <c r="Q35" s="130">
        <f t="shared" si="4"/>
        <v>2</v>
      </c>
      <c r="R35" s="131" t="str">
        <f t="shared" si="5"/>
        <v>Awaiting votes (2 of 14)</v>
      </c>
    </row>
    <row r="36" spans="1:18" ht="15" customHeight="1" x14ac:dyDescent="0.2">
      <c r="A36" s="128" t="str">
        <f>IF(Lists!$C$7="","",Lists!$C$7)</f>
        <v>Kelly Pool</v>
      </c>
      <c r="B36" s="129">
        <v>0</v>
      </c>
      <c r="C36" s="129"/>
      <c r="D36" s="129"/>
      <c r="E36" s="129"/>
      <c r="F36" s="129"/>
      <c r="G36" s="129">
        <v>0</v>
      </c>
      <c r="H36" s="129"/>
      <c r="I36" s="129"/>
      <c r="J36" s="129"/>
      <c r="K36" s="129"/>
      <c r="L36" s="129"/>
      <c r="M36" s="129"/>
      <c r="N36" s="129"/>
      <c r="O36" s="129"/>
      <c r="P36" s="130">
        <f t="shared" si="3"/>
        <v>0</v>
      </c>
      <c r="Q36" s="130">
        <f t="shared" si="4"/>
        <v>2</v>
      </c>
      <c r="R36" s="131" t="str">
        <f t="shared" si="5"/>
        <v>Awaiting votes (2 of 14)</v>
      </c>
    </row>
    <row r="37" spans="1:18" ht="15" customHeight="1" x14ac:dyDescent="0.2">
      <c r="A37" s="128" t="str">
        <f>IF(Lists!$C$8="","",Lists!$C$8)</f>
        <v>Target</v>
      </c>
      <c r="B37" s="129">
        <v>0</v>
      </c>
      <c r="C37" s="129"/>
      <c r="D37" s="129"/>
      <c r="E37" s="129"/>
      <c r="F37" s="129"/>
      <c r="G37" s="129">
        <v>0</v>
      </c>
      <c r="H37" s="129"/>
      <c r="I37" s="129"/>
      <c r="J37" s="129"/>
      <c r="K37" s="129"/>
      <c r="L37" s="129"/>
      <c r="M37" s="129"/>
      <c r="N37" s="129"/>
      <c r="O37" s="129"/>
      <c r="P37" s="130">
        <f t="shared" si="3"/>
        <v>0</v>
      </c>
      <c r="Q37" s="130">
        <f t="shared" si="4"/>
        <v>2</v>
      </c>
      <c r="R37" s="131" t="str">
        <f t="shared" si="5"/>
        <v>Awaiting votes (2 of 14)</v>
      </c>
    </row>
    <row r="38" spans="1:18" ht="15" customHeight="1" x14ac:dyDescent="0.2">
      <c r="A38" s="128" t="str">
        <f>IF(Lists!$C$9="","",Lists!$C$9)</f>
        <v>Snooker</v>
      </c>
      <c r="B38" s="129">
        <v>0</v>
      </c>
      <c r="C38" s="129"/>
      <c r="D38" s="129"/>
      <c r="E38" s="129"/>
      <c r="F38" s="129"/>
      <c r="G38" s="129">
        <v>0</v>
      </c>
      <c r="H38" s="129"/>
      <c r="I38" s="129"/>
      <c r="J38" s="129"/>
      <c r="K38" s="129"/>
      <c r="L38" s="129"/>
      <c r="M38" s="129"/>
      <c r="N38" s="129"/>
      <c r="O38" s="129"/>
      <c r="P38" s="130">
        <f t="shared" si="3"/>
        <v>0</v>
      </c>
      <c r="Q38" s="130">
        <f t="shared" si="4"/>
        <v>2</v>
      </c>
      <c r="R38" s="131" t="str">
        <f t="shared" si="5"/>
        <v>Awaiting votes (2 of 14)</v>
      </c>
    </row>
    <row r="39" spans="1:18" ht="15" customHeight="1" x14ac:dyDescent="0.2">
      <c r="A39" s="128" t="str">
        <f>IF(Lists!$C$10="","",Lists!$C$10)</f>
        <v>Putt Putt</v>
      </c>
      <c r="B39" s="129">
        <v>0</v>
      </c>
      <c r="C39" s="129"/>
      <c r="D39" s="129"/>
      <c r="E39" s="129"/>
      <c r="F39" s="129"/>
      <c r="G39" s="129">
        <v>0</v>
      </c>
      <c r="H39" s="129"/>
      <c r="I39" s="129"/>
      <c r="J39" s="129"/>
      <c r="K39" s="129"/>
      <c r="L39" s="129"/>
      <c r="M39" s="129"/>
      <c r="N39" s="129"/>
      <c r="O39" s="129"/>
      <c r="P39" s="130">
        <f t="shared" si="3"/>
        <v>0</v>
      </c>
      <c r="Q39" s="130">
        <f t="shared" si="4"/>
        <v>2</v>
      </c>
      <c r="R39" s="131" t="str">
        <f t="shared" si="5"/>
        <v>Awaiting votes (2 of 14)</v>
      </c>
    </row>
    <row r="40" spans="1:18" ht="15" customHeight="1" x14ac:dyDescent="0.2">
      <c r="A40" s="128" t="str">
        <f>IF(Lists!$C$11="","",Lists!$C$11)</f>
        <v>Back Yard Putt Putt</v>
      </c>
      <c r="B40" s="129">
        <v>1</v>
      </c>
      <c r="C40" s="129"/>
      <c r="D40" s="129"/>
      <c r="E40" s="129"/>
      <c r="F40" s="129"/>
      <c r="G40" s="129">
        <v>1</v>
      </c>
      <c r="H40" s="129"/>
      <c r="I40" s="129"/>
      <c r="J40" s="129"/>
      <c r="K40" s="129"/>
      <c r="L40" s="129"/>
      <c r="M40" s="129"/>
      <c r="N40" s="129"/>
      <c r="O40" s="129"/>
      <c r="P40" s="130">
        <f t="shared" si="3"/>
        <v>2</v>
      </c>
      <c r="Q40" s="130">
        <f t="shared" si="4"/>
        <v>2</v>
      </c>
      <c r="R40" s="131" t="str">
        <f t="shared" si="5"/>
        <v>Awaiting votes (2 of 14)</v>
      </c>
    </row>
    <row r="41" spans="1:18" ht="15" customHeight="1" x14ac:dyDescent="0.2">
      <c r="A41" s="128" t="str">
        <f>IF(Lists!$C$12="","",Lists!$C$12)</f>
        <v>Sting Pong</v>
      </c>
      <c r="B41" s="129">
        <v>0</v>
      </c>
      <c r="C41" s="129"/>
      <c r="D41" s="129"/>
      <c r="E41" s="129"/>
      <c r="F41" s="129"/>
      <c r="G41" s="129">
        <v>0</v>
      </c>
      <c r="H41" s="129"/>
      <c r="I41" s="129"/>
      <c r="J41" s="129"/>
      <c r="K41" s="129"/>
      <c r="L41" s="129"/>
      <c r="M41" s="129"/>
      <c r="N41" s="129"/>
      <c r="O41" s="129"/>
      <c r="P41" s="130">
        <f t="shared" si="3"/>
        <v>0</v>
      </c>
      <c r="Q41" s="130">
        <f t="shared" si="4"/>
        <v>2</v>
      </c>
      <c r="R41" s="131" t="str">
        <f t="shared" si="5"/>
        <v>Awaiting votes (2 of 14)</v>
      </c>
    </row>
    <row r="42" spans="1:18" ht="15" customHeight="1" x14ac:dyDescent="0.2">
      <c r="A42" s="128" t="str">
        <f>IF(Lists!$C$13="","",Lists!$C$13)</f>
        <v>Table Tennis</v>
      </c>
      <c r="B42" s="129">
        <v>0</v>
      </c>
      <c r="C42" s="129"/>
      <c r="D42" s="129"/>
      <c r="E42" s="129"/>
      <c r="F42" s="129"/>
      <c r="G42" s="129">
        <v>0</v>
      </c>
      <c r="H42" s="129"/>
      <c r="I42" s="129"/>
      <c r="J42" s="129"/>
      <c r="K42" s="129"/>
      <c r="L42" s="129"/>
      <c r="M42" s="129"/>
      <c r="N42" s="129"/>
      <c r="O42" s="129"/>
      <c r="P42" s="130">
        <f t="shared" si="3"/>
        <v>0</v>
      </c>
      <c r="Q42" s="130">
        <f t="shared" si="4"/>
        <v>2</v>
      </c>
      <c r="R42" s="131" t="str">
        <f t="shared" si="5"/>
        <v>Awaiting votes (2 of 14)</v>
      </c>
    </row>
    <row r="43" spans="1:18" ht="15" customHeight="1" x14ac:dyDescent="0.2">
      <c r="A43" s="128" t="str">
        <f>IF(Lists!$C$14="","",Lists!$C$14)</f>
        <v>Mario Party</v>
      </c>
      <c r="B43" s="129">
        <v>0</v>
      </c>
      <c r="C43" s="129"/>
      <c r="D43" s="129"/>
      <c r="E43" s="129"/>
      <c r="F43" s="129"/>
      <c r="G43" s="129">
        <v>0</v>
      </c>
      <c r="H43" s="129"/>
      <c r="I43" s="129"/>
      <c r="J43" s="129"/>
      <c r="K43" s="129"/>
      <c r="L43" s="129"/>
      <c r="M43" s="129"/>
      <c r="N43" s="129"/>
      <c r="O43" s="129"/>
      <c r="P43" s="130">
        <f t="shared" si="3"/>
        <v>0</v>
      </c>
      <c r="Q43" s="130">
        <f t="shared" si="4"/>
        <v>2</v>
      </c>
      <c r="R43" s="131" t="str">
        <f t="shared" si="5"/>
        <v>Awaiting votes (2 of 14)</v>
      </c>
    </row>
    <row r="44" spans="1:18" ht="15" customHeight="1" x14ac:dyDescent="0.2">
      <c r="A44" s="128" t="str">
        <f>IF(Lists!$C$15="","",Lists!$C$15)</f>
        <v>Mario Kart</v>
      </c>
      <c r="B44" s="129">
        <v>0</v>
      </c>
      <c r="C44" s="129"/>
      <c r="D44" s="129"/>
      <c r="E44" s="129"/>
      <c r="F44" s="129"/>
      <c r="G44" s="129">
        <v>0</v>
      </c>
      <c r="H44" s="129"/>
      <c r="I44" s="129"/>
      <c r="J44" s="129"/>
      <c r="K44" s="129"/>
      <c r="L44" s="129"/>
      <c r="M44" s="129"/>
      <c r="N44" s="129"/>
      <c r="O44" s="129"/>
      <c r="P44" s="130">
        <f t="shared" si="3"/>
        <v>0</v>
      </c>
      <c r="Q44" s="130">
        <f t="shared" si="4"/>
        <v>2</v>
      </c>
      <c r="R44" s="131" t="str">
        <f t="shared" si="5"/>
        <v>Awaiting votes (2 of 14)</v>
      </c>
    </row>
    <row r="45" spans="1:18" ht="15" customHeight="1" x14ac:dyDescent="0.2">
      <c r="A45" s="128" t="str">
        <f>IF(Lists!$C$16="","",Lists!$C$16)</f>
        <v>Go Karting</v>
      </c>
      <c r="B45" s="129">
        <v>0</v>
      </c>
      <c r="C45" s="129"/>
      <c r="D45" s="129"/>
      <c r="E45" s="129"/>
      <c r="F45" s="129"/>
      <c r="G45" s="129">
        <v>0</v>
      </c>
      <c r="H45" s="129"/>
      <c r="I45" s="129"/>
      <c r="J45" s="129"/>
      <c r="K45" s="129"/>
      <c r="L45" s="129"/>
      <c r="M45" s="129"/>
      <c r="N45" s="129"/>
      <c r="O45" s="129"/>
      <c r="P45" s="130">
        <f t="shared" si="3"/>
        <v>0</v>
      </c>
      <c r="Q45" s="130">
        <f t="shared" si="4"/>
        <v>2</v>
      </c>
      <c r="R45" s="131" t="str">
        <f t="shared" si="5"/>
        <v>Awaiting votes (2 of 14)</v>
      </c>
    </row>
    <row r="46" spans="1:18" ht="15" customHeight="1" x14ac:dyDescent="0.2">
      <c r="A46" s="128" t="str">
        <f>IF(Lists!$C$17="","",Lists!$C$17)</f>
        <v>Call of Duty</v>
      </c>
      <c r="B46" s="129">
        <v>0</v>
      </c>
      <c r="C46" s="129"/>
      <c r="D46" s="129"/>
      <c r="E46" s="129"/>
      <c r="F46" s="129"/>
      <c r="G46" s="129">
        <v>1</v>
      </c>
      <c r="H46" s="129"/>
      <c r="I46" s="129"/>
      <c r="J46" s="129"/>
      <c r="K46" s="129"/>
      <c r="L46" s="129"/>
      <c r="M46" s="129"/>
      <c r="N46" s="129"/>
      <c r="O46" s="129"/>
      <c r="P46" s="130">
        <f t="shared" si="3"/>
        <v>1</v>
      </c>
      <c r="Q46" s="130">
        <f t="shared" si="4"/>
        <v>2</v>
      </c>
      <c r="R46" s="131" t="str">
        <f t="shared" si="5"/>
        <v>Awaiting votes (2 of 14)</v>
      </c>
    </row>
    <row r="47" spans="1:18" ht="15" customHeight="1" x14ac:dyDescent="0.2">
      <c r="A47" s="128" t="str">
        <f>IF(Lists!$C$18="","",Lists!$C$18)</f>
        <v>Poker</v>
      </c>
      <c r="B47" s="129">
        <v>0</v>
      </c>
      <c r="C47" s="129"/>
      <c r="D47" s="129"/>
      <c r="E47" s="129"/>
      <c r="F47" s="129"/>
      <c r="G47" s="129">
        <v>0</v>
      </c>
      <c r="H47" s="129"/>
      <c r="I47" s="129"/>
      <c r="J47" s="129"/>
      <c r="K47" s="129"/>
      <c r="L47" s="129"/>
      <c r="M47" s="129"/>
      <c r="N47" s="129"/>
      <c r="O47" s="129"/>
      <c r="P47" s="130">
        <f t="shared" si="3"/>
        <v>0</v>
      </c>
      <c r="Q47" s="130">
        <f t="shared" si="4"/>
        <v>2</v>
      </c>
      <c r="R47" s="131" t="str">
        <f t="shared" si="5"/>
        <v>Awaiting votes (2 of 14)</v>
      </c>
    </row>
    <row r="48" spans="1:18" ht="15" customHeight="1" x14ac:dyDescent="0.2">
      <c r="A48" s="128" t="str">
        <f>IF(Lists!$C$19="","",Lists!$C$19)</f>
        <v>ShuffleBoard</v>
      </c>
      <c r="B48" s="129">
        <v>0</v>
      </c>
      <c r="C48" s="129"/>
      <c r="D48" s="129"/>
      <c r="E48" s="129"/>
      <c r="F48" s="129"/>
      <c r="G48" s="129">
        <v>0</v>
      </c>
      <c r="H48" s="129"/>
      <c r="I48" s="129"/>
      <c r="J48" s="129"/>
      <c r="K48" s="129"/>
      <c r="L48" s="129"/>
      <c r="M48" s="129"/>
      <c r="N48" s="129"/>
      <c r="O48" s="129"/>
      <c r="P48" s="130">
        <f t="shared" si="3"/>
        <v>0</v>
      </c>
      <c r="Q48" s="130">
        <f t="shared" si="4"/>
        <v>2</v>
      </c>
      <c r="R48" s="131" t="str">
        <f t="shared" si="5"/>
        <v>Awaiting votes (2 of 14)</v>
      </c>
    </row>
    <row r="49" spans="1:18" ht="15" customHeight="1" x14ac:dyDescent="0.2">
      <c r="A49" s="128" t="str">
        <f>IF(Lists!$C$20="","",Lists!$C$20)</f>
        <v>Mario Golf</v>
      </c>
      <c r="B49" s="129">
        <v>0</v>
      </c>
      <c r="C49" s="129"/>
      <c r="D49" s="129"/>
      <c r="E49" s="129"/>
      <c r="F49" s="129"/>
      <c r="G49" s="129">
        <v>0</v>
      </c>
      <c r="H49" s="129"/>
      <c r="I49" s="129"/>
      <c r="J49" s="129"/>
      <c r="K49" s="129"/>
      <c r="L49" s="129"/>
      <c r="M49" s="129"/>
      <c r="N49" s="129"/>
      <c r="O49" s="129"/>
      <c r="P49" s="130">
        <f t="shared" si="3"/>
        <v>0</v>
      </c>
      <c r="Q49" s="130">
        <f t="shared" si="4"/>
        <v>2</v>
      </c>
      <c r="R49" s="131" t="str">
        <f t="shared" si="5"/>
        <v>Awaiting votes (2 of 14)</v>
      </c>
    </row>
    <row r="50" spans="1:18" x14ac:dyDescent="0.2">
      <c r="A50" s="128" t="str">
        <f>IF(Lists!$C$21="","",Lists!$C$21)</f>
        <v>HORSE - Basketball</v>
      </c>
      <c r="B50" s="129"/>
      <c r="C50" s="129"/>
      <c r="D50" s="129"/>
      <c r="E50" s="129"/>
      <c r="F50" s="129"/>
      <c r="G50" s="129"/>
      <c r="H50" s="129"/>
      <c r="I50" s="129"/>
      <c r="J50" s="129"/>
      <c r="K50" s="129"/>
      <c r="L50" s="129"/>
      <c r="M50" s="129"/>
      <c r="N50" s="129"/>
      <c r="O50" s="129"/>
      <c r="P50" s="130">
        <f t="shared" si="3"/>
        <v>0</v>
      </c>
      <c r="Q50" s="130">
        <f t="shared" si="4"/>
        <v>0</v>
      </c>
      <c r="R50" s="131" t="str">
        <f t="shared" si="5"/>
        <v>Awaiting votes (0 of 14)</v>
      </c>
    </row>
    <row r="51" spans="1:18" x14ac:dyDescent="0.2">
      <c r="A51" s="128" t="str">
        <f>IF(Lists!$C$22="","",Lists!$C$22)</f>
        <v>Car racing arcade</v>
      </c>
      <c r="P51" s="130">
        <f t="shared" si="3"/>
        <v>0</v>
      </c>
      <c r="Q51" s="130">
        <f t="shared" si="4"/>
        <v>0</v>
      </c>
      <c r="R51" s="131" t="str">
        <f t="shared" si="5"/>
        <v>Awaiting votes (0 of 14)</v>
      </c>
    </row>
    <row r="52" spans="1:18" x14ac:dyDescent="0.2">
      <c r="A52" s="128" t="str">
        <f>IF(Lists!$C$23="","",Lists!$C$23)</f>
        <v>Shooting game arcade</v>
      </c>
      <c r="P52" s="130">
        <f t="shared" si="3"/>
        <v>0</v>
      </c>
      <c r="Q52" s="130">
        <f t="shared" si="4"/>
        <v>0</v>
      </c>
      <c r="R52" s="131" t="str">
        <f t="shared" si="5"/>
        <v>Awaiting votes (0 of 14)</v>
      </c>
    </row>
    <row r="53" spans="1:18" x14ac:dyDescent="0.2">
      <c r="A53" s="128" t="str">
        <f>IF(Lists!$C$24="","",Lists!$C$24)</f>
        <v>Cards</v>
      </c>
      <c r="P53" s="130">
        <f t="shared" si="3"/>
        <v>0</v>
      </c>
      <c r="Q53" s="130">
        <f t="shared" si="4"/>
        <v>0</v>
      </c>
      <c r="R53" s="131" t="str">
        <f t="shared" si="5"/>
        <v>Awaiting votes (0 of 14)</v>
      </c>
    </row>
    <row r="54" spans="1:18" x14ac:dyDescent="0.2">
      <c r="A54" s="128" t="str">
        <f>IF(Lists!$C$25="","",Lists!$C$25)</f>
        <v>Air Hockey</v>
      </c>
      <c r="P54" s="130">
        <f t="shared" si="3"/>
        <v>0</v>
      </c>
      <c r="Q54" s="130">
        <f t="shared" si="4"/>
        <v>0</v>
      </c>
      <c r="R54" s="131" t="str">
        <f t="shared" si="5"/>
        <v>Awaiting votes (0 of 14)</v>
      </c>
    </row>
    <row r="55" spans="1:18" x14ac:dyDescent="0.2">
      <c r="A55" s="128" t="str">
        <f>IF(Lists!$C$26="","",Lists!$C$26)</f>
        <v>Basketball arcade</v>
      </c>
      <c r="P55" s="130">
        <f t="shared" si="3"/>
        <v>0</v>
      </c>
      <c r="Q55" s="130">
        <f t="shared" si="4"/>
        <v>0</v>
      </c>
      <c r="R55" s="131" t="str">
        <f t="shared" si="5"/>
        <v>Awaiting votes (0 of 14)</v>
      </c>
    </row>
  </sheetData>
  <mergeCells count="4">
    <mergeCell ref="A2:R2"/>
    <mergeCell ref="H3:R3"/>
    <mergeCell ref="A29:R29"/>
    <mergeCell ref="A5:R5"/>
  </mergeCells>
  <conditionalFormatting sqref="R7:R26">
    <cfRule type="expression" dxfId="5" priority="2">
      <formula>OR(ISNUMBER(SEARCH("PASSED",$R7)),ISNUMBER(SEARCH("voted out",$R7)))</formula>
    </cfRule>
    <cfRule type="expression" dxfId="4" priority="3">
      <formula>OR(ISNUMBER(SEARCH("Rejected",$R7)),ISNUMBER(SEARCH("Stays",$R7)))</formula>
    </cfRule>
    <cfRule type="expression" dxfId="3" priority="4">
      <formula>OR(ISNUMBER(SEARCH("Awaiting",$R7)),ISNUMBER(SEARCH("Open",$R7)))</formula>
    </cfRule>
  </conditionalFormatting>
  <conditionalFormatting sqref="R31:R55">
    <cfRule type="expression" dxfId="2" priority="5">
      <formula>OR(ISNUMBER(SEARCH("PASSED",$R31)),ISNUMBER(SEARCH("voted out",$R31)))</formula>
    </cfRule>
    <cfRule type="expression" dxfId="1" priority="6">
      <formula>OR(ISNUMBER(SEARCH("Rejected",$R31)),ISNUMBER(SEARCH("Stays",$R31)))</formula>
    </cfRule>
    <cfRule type="expression" dxfId="0" priority="7">
      <formula>OR(ISNUMBER(SEARCH("Awaiting",$R31)),ISNUMBER(SEARCH("Open",$R31)))</formula>
    </cfRule>
  </conditionalFormatting>
  <dataValidations count="1">
    <dataValidation type="list" allowBlank="1" showErrorMessage="1" errorTitle="Vote" error="Enter 1 (in favour) or 0 (against)" sqref="B7:O26 B31:O55" xr:uid="{00000000-0002-0000-0A00-000000000000}">
      <formula1>"0,1"</formula1>
      <formula2>0</formula2>
    </dataValidation>
  </dataValidations>
  <pageMargins left="0.75" right="0.75" top="1" bottom="1" header="0.511811023622047" footer="0.511811023622047"/>
  <pageSetup paperSize="9" orientation="portrait" horizontalDpi="300" verticalDpi="300"/>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137"/>
  <sheetViews>
    <sheetView zoomScale="147" zoomScaleNormal="147" workbookViewId="0">
      <pane ySplit="17" topLeftCell="A18" activePane="bottomLeft" state="frozen"/>
      <selection pane="bottomLeft" activeCell="A18" sqref="A18"/>
    </sheetView>
  </sheetViews>
  <sheetFormatPr baseColWidth="10" defaultColWidth="8.83203125" defaultRowHeight="15" x14ac:dyDescent="0.2"/>
  <cols>
    <col min="1" max="1" width="29.1640625" customWidth="1"/>
    <col min="2" max="2" width="12" customWidth="1"/>
    <col min="3" max="3" width="16" customWidth="1"/>
    <col min="4" max="12" width="11" customWidth="1"/>
    <col min="13" max="13" width="3" customWidth="1"/>
    <col min="14" max="14" width="16" customWidth="1"/>
    <col min="15" max="15" width="15" customWidth="1"/>
  </cols>
  <sheetData>
    <row r="1" spans="1:20" ht="20" customHeight="1" x14ac:dyDescent="0.25">
      <c r="A1" s="166" t="s">
        <v>390</v>
      </c>
      <c r="B1" s="146"/>
      <c r="C1" s="146"/>
    </row>
    <row r="2" spans="1:20" ht="40.5" customHeight="1" x14ac:dyDescent="0.2">
      <c r="A2" s="168" t="s">
        <v>391</v>
      </c>
      <c r="B2" s="146"/>
      <c r="C2" s="146"/>
      <c r="D2" s="146"/>
      <c r="E2" s="146"/>
      <c r="F2" s="146"/>
      <c r="G2" s="146"/>
      <c r="H2" s="146"/>
      <c r="I2" s="146"/>
      <c r="J2" s="146"/>
      <c r="K2" s="146"/>
      <c r="L2" s="132"/>
      <c r="M2" s="132"/>
      <c r="N2" s="132"/>
      <c r="O2" s="132"/>
      <c r="P2" s="132"/>
      <c r="Q2" s="132"/>
      <c r="R2" s="132"/>
      <c r="S2" s="132"/>
      <c r="T2" s="132"/>
    </row>
    <row r="3" spans="1:20" x14ac:dyDescent="0.2">
      <c r="A3" s="133" t="s">
        <v>392</v>
      </c>
      <c r="D3" s="167" t="s">
        <v>393</v>
      </c>
      <c r="E3" s="146"/>
      <c r="F3" s="146"/>
      <c r="G3" s="146"/>
      <c r="H3" s="146"/>
      <c r="I3" s="146"/>
      <c r="J3" s="146"/>
      <c r="K3" s="146"/>
    </row>
    <row r="4" spans="1:20" x14ac:dyDescent="0.2">
      <c r="A4" s="133" t="s">
        <v>394</v>
      </c>
      <c r="B4">
        <v>15</v>
      </c>
      <c r="D4" s="134" t="s">
        <v>395</v>
      </c>
      <c r="E4" s="134">
        <v>4</v>
      </c>
      <c r="F4" s="134">
        <v>5</v>
      </c>
      <c r="G4" s="134">
        <v>6</v>
      </c>
      <c r="H4" s="134">
        <v>7</v>
      </c>
      <c r="I4" s="134">
        <v>8</v>
      </c>
      <c r="J4" s="134">
        <v>9</v>
      </c>
      <c r="K4" s="134">
        <v>10</v>
      </c>
    </row>
    <row r="5" spans="1:20" x14ac:dyDescent="0.2">
      <c r="A5" s="133" t="s">
        <v>396</v>
      </c>
      <c r="B5">
        <v>1</v>
      </c>
      <c r="D5" s="134">
        <v>1</v>
      </c>
      <c r="E5">
        <v>38</v>
      </c>
      <c r="F5">
        <v>35</v>
      </c>
      <c r="G5">
        <v>32</v>
      </c>
      <c r="H5">
        <v>30</v>
      </c>
      <c r="I5">
        <v>29</v>
      </c>
      <c r="J5">
        <v>28</v>
      </c>
      <c r="K5">
        <v>26</v>
      </c>
    </row>
    <row r="6" spans="1:20" x14ac:dyDescent="0.2">
      <c r="A6" s="133" t="s">
        <v>397</v>
      </c>
      <c r="B6">
        <v>4</v>
      </c>
      <c r="D6" s="134">
        <v>2</v>
      </c>
      <c r="E6">
        <v>27</v>
      </c>
      <c r="F6">
        <v>25</v>
      </c>
      <c r="G6">
        <v>23</v>
      </c>
      <c r="H6">
        <v>22</v>
      </c>
      <c r="I6">
        <v>21</v>
      </c>
      <c r="J6">
        <v>20</v>
      </c>
      <c r="K6">
        <v>19</v>
      </c>
    </row>
    <row r="7" spans="1:20" x14ac:dyDescent="0.2">
      <c r="A7" s="133" t="s">
        <v>398</v>
      </c>
      <c r="B7">
        <v>10</v>
      </c>
      <c r="D7" s="134">
        <v>3</v>
      </c>
      <c r="E7">
        <v>20</v>
      </c>
      <c r="F7">
        <v>18</v>
      </c>
      <c r="G7">
        <v>17</v>
      </c>
      <c r="H7">
        <v>16</v>
      </c>
      <c r="I7">
        <v>15</v>
      </c>
      <c r="J7">
        <v>14</v>
      </c>
      <c r="K7">
        <v>14</v>
      </c>
    </row>
    <row r="8" spans="1:20" x14ac:dyDescent="0.2">
      <c r="D8" s="134">
        <v>4</v>
      </c>
      <c r="E8">
        <v>15</v>
      </c>
      <c r="F8">
        <v>13</v>
      </c>
      <c r="G8">
        <v>12</v>
      </c>
      <c r="H8">
        <v>12</v>
      </c>
      <c r="I8">
        <v>11</v>
      </c>
      <c r="J8">
        <v>10</v>
      </c>
      <c r="K8">
        <v>10</v>
      </c>
    </row>
    <row r="9" spans="1:20" x14ac:dyDescent="0.2">
      <c r="D9" s="134">
        <v>5</v>
      </c>
      <c r="F9">
        <v>9</v>
      </c>
      <c r="G9">
        <v>9</v>
      </c>
      <c r="H9">
        <v>9</v>
      </c>
      <c r="I9">
        <v>8</v>
      </c>
      <c r="J9">
        <v>8</v>
      </c>
      <c r="K9">
        <v>8</v>
      </c>
    </row>
    <row r="10" spans="1:20" x14ac:dyDescent="0.2">
      <c r="D10" s="134">
        <v>6</v>
      </c>
      <c r="G10">
        <v>7</v>
      </c>
      <c r="H10">
        <v>6</v>
      </c>
      <c r="I10">
        <v>7</v>
      </c>
      <c r="J10">
        <v>7</v>
      </c>
      <c r="K10">
        <v>7</v>
      </c>
    </row>
    <row r="11" spans="1:20" x14ac:dyDescent="0.2">
      <c r="D11" s="134">
        <v>7</v>
      </c>
      <c r="H11">
        <v>5</v>
      </c>
      <c r="I11">
        <v>5</v>
      </c>
      <c r="J11">
        <v>5</v>
      </c>
      <c r="K11">
        <v>6</v>
      </c>
    </row>
    <row r="12" spans="1:20" x14ac:dyDescent="0.2">
      <c r="D12" s="134">
        <v>8</v>
      </c>
      <c r="I12">
        <v>4</v>
      </c>
      <c r="J12">
        <v>4</v>
      </c>
      <c r="K12">
        <v>4</v>
      </c>
    </row>
    <row r="13" spans="1:20" x14ac:dyDescent="0.2">
      <c r="D13" s="134">
        <v>9</v>
      </c>
      <c r="J13">
        <v>4</v>
      </c>
      <c r="K13">
        <v>3</v>
      </c>
    </row>
    <row r="14" spans="1:20" x14ac:dyDescent="0.2">
      <c r="D14" s="134">
        <v>10</v>
      </c>
      <c r="K14">
        <v>3</v>
      </c>
    </row>
    <row r="16" spans="1:20" x14ac:dyDescent="0.2">
      <c r="A16" s="133" t="s">
        <v>399</v>
      </c>
      <c r="N16" s="133" t="s">
        <v>400</v>
      </c>
    </row>
    <row r="17" spans="1:15" x14ac:dyDescent="0.2">
      <c r="A17" s="135" t="s">
        <v>401</v>
      </c>
      <c r="B17" s="135" t="s">
        <v>319</v>
      </c>
      <c r="C17" s="135" t="s">
        <v>5</v>
      </c>
      <c r="D17" s="135" t="s">
        <v>402</v>
      </c>
      <c r="E17" s="135" t="s">
        <v>403</v>
      </c>
      <c r="F17" s="135" t="s">
        <v>404</v>
      </c>
      <c r="G17" s="135" t="s">
        <v>405</v>
      </c>
      <c r="H17" s="135" t="s">
        <v>406</v>
      </c>
      <c r="I17" s="135" t="s">
        <v>407</v>
      </c>
      <c r="J17" s="135" t="s">
        <v>408</v>
      </c>
      <c r="K17" s="135" t="s">
        <v>409</v>
      </c>
      <c r="L17" s="135" t="s">
        <v>355</v>
      </c>
      <c r="N17" s="135" t="s">
        <v>304</v>
      </c>
      <c r="O17" s="135" t="s">
        <v>410</v>
      </c>
    </row>
    <row r="18" spans="1:15" x14ac:dyDescent="0.2">
      <c r="A18" t="s">
        <v>411</v>
      </c>
      <c r="B18" s="118">
        <v>46229</v>
      </c>
      <c r="C18" t="s">
        <v>20</v>
      </c>
      <c r="D18">
        <v>2</v>
      </c>
      <c r="E18" t="s">
        <v>412</v>
      </c>
      <c r="F18">
        <f t="shared" ref="F18:F49" si="0">IF($A18="","",COUNTIF($A$18:$A$137,$A18))</f>
        <v>5</v>
      </c>
      <c r="G18">
        <f t="shared" ref="G18:G49" si="1">IF($A18="","",$B$4*(1+IF(UPPER($E18)="Y",1,0)))</f>
        <v>30</v>
      </c>
      <c r="H18">
        <f t="shared" ref="H18:H49" si="2">IF($A18="","",SUMIF($A$18:$A$137,$A18,$G$18:$G$137))</f>
        <v>105</v>
      </c>
      <c r="I18">
        <f t="shared" ref="I18:I49" si="3">IF($A18="","",IF($F18&lt;$B$6,0,IFERROR(INDEX($E$5:$K$14,$D18,$F18-3),0)))</f>
        <v>25</v>
      </c>
      <c r="J18" s="126">
        <f t="shared" ref="J18:J49" si="4">IF($A18="","",$H18*$I18/100)</f>
        <v>26.25</v>
      </c>
      <c r="K18" s="126">
        <f t="shared" ref="K18:K49" si="5">IF($A18="","",IF($F18&lt;$B$6,0,$J18-$G18))</f>
        <v>-3.75</v>
      </c>
      <c r="L18" t="str">
        <f t="shared" ref="L18:L49" si="6">IF($A18="","",IF($F18&lt;$B$6,"NEED 4+ PLAYERS",IF($F18&gt;$B$7,"MAX 10 PLAYERS",IF($D18="","ADD FINISH",IF(COUNTIFS($A$18:$A$137,$A18,$D$18:$D$137,$D18)&gt;1,"DUPLICATE FINISH",IF(OR($D18&lt;1,$D18&gt;$F18),"BAD FINISH",IF(ABS(SUMIF($A$18:$A$137,$A18,$K$18:$K$137))&gt;0.6,"POT LEAK","OK")))))))</f>
        <v>OK</v>
      </c>
      <c r="N18" t="str">
        <f>Lists!$A2</f>
        <v>Aaron</v>
      </c>
      <c r="O18" s="126">
        <f t="shared" ref="O18:O31" si="7">ROUND(SUMIF($C$18:$C$137,$N18,$K$18:$K$137),1)</f>
        <v>-11.1</v>
      </c>
    </row>
    <row r="19" spans="1:15" x14ac:dyDescent="0.2">
      <c r="A19" t="s">
        <v>411</v>
      </c>
      <c r="B19" s="118">
        <v>46229</v>
      </c>
      <c r="C19" t="s">
        <v>15</v>
      </c>
      <c r="D19">
        <v>3</v>
      </c>
      <c r="E19" t="s">
        <v>412</v>
      </c>
      <c r="F19">
        <f t="shared" si="0"/>
        <v>5</v>
      </c>
      <c r="G19">
        <f t="shared" si="1"/>
        <v>30</v>
      </c>
      <c r="H19">
        <f t="shared" si="2"/>
        <v>105</v>
      </c>
      <c r="I19">
        <f t="shared" si="3"/>
        <v>18</v>
      </c>
      <c r="J19" s="126">
        <f t="shared" si="4"/>
        <v>18.899999999999999</v>
      </c>
      <c r="K19" s="126">
        <f t="shared" si="5"/>
        <v>-11.100000000000001</v>
      </c>
      <c r="L19" t="str">
        <f t="shared" si="6"/>
        <v>OK</v>
      </c>
      <c r="N19" t="str">
        <f>Lists!$A3</f>
        <v>Beau</v>
      </c>
      <c r="O19" s="126">
        <f t="shared" si="7"/>
        <v>0</v>
      </c>
    </row>
    <row r="20" spans="1:15" x14ac:dyDescent="0.2">
      <c r="A20" t="s">
        <v>411</v>
      </c>
      <c r="B20" s="118">
        <v>46229</v>
      </c>
      <c r="C20" t="s">
        <v>22</v>
      </c>
      <c r="D20">
        <v>4</v>
      </c>
      <c r="E20" t="s">
        <v>413</v>
      </c>
      <c r="F20">
        <f t="shared" si="0"/>
        <v>5</v>
      </c>
      <c r="G20">
        <f t="shared" si="1"/>
        <v>15</v>
      </c>
      <c r="H20">
        <f t="shared" si="2"/>
        <v>105</v>
      </c>
      <c r="I20">
        <f t="shared" si="3"/>
        <v>13</v>
      </c>
      <c r="J20" s="126">
        <f t="shared" si="4"/>
        <v>13.65</v>
      </c>
      <c r="K20" s="126">
        <f t="shared" si="5"/>
        <v>-1.3499999999999996</v>
      </c>
      <c r="L20" t="str">
        <f t="shared" si="6"/>
        <v>OK</v>
      </c>
      <c r="N20" t="str">
        <f>Lists!$A4</f>
        <v>Chase</v>
      </c>
      <c r="O20" s="126">
        <f t="shared" si="7"/>
        <v>0</v>
      </c>
    </row>
    <row r="21" spans="1:15" x14ac:dyDescent="0.2">
      <c r="A21" t="s">
        <v>411</v>
      </c>
      <c r="B21" s="118">
        <v>46229</v>
      </c>
      <c r="C21" t="s">
        <v>21</v>
      </c>
      <c r="D21">
        <v>5</v>
      </c>
      <c r="E21" t="s">
        <v>413</v>
      </c>
      <c r="F21">
        <f t="shared" si="0"/>
        <v>5</v>
      </c>
      <c r="G21">
        <f t="shared" si="1"/>
        <v>15</v>
      </c>
      <c r="H21">
        <f t="shared" si="2"/>
        <v>105</v>
      </c>
      <c r="I21">
        <f t="shared" si="3"/>
        <v>9</v>
      </c>
      <c r="J21" s="126">
        <f t="shared" si="4"/>
        <v>9.4499999999999993</v>
      </c>
      <c r="K21" s="126">
        <f t="shared" si="5"/>
        <v>-5.5500000000000007</v>
      </c>
      <c r="L21" t="str">
        <f t="shared" si="6"/>
        <v>OK</v>
      </c>
      <c r="N21" t="str">
        <f>Lists!$A5</f>
        <v>David</v>
      </c>
      <c r="O21" s="126">
        <f t="shared" si="7"/>
        <v>0</v>
      </c>
    </row>
    <row r="22" spans="1:15" x14ac:dyDescent="0.2">
      <c r="A22" t="s">
        <v>411</v>
      </c>
      <c r="B22" s="118">
        <v>46229</v>
      </c>
      <c r="C22" t="s">
        <v>19</v>
      </c>
      <c r="D22">
        <v>1</v>
      </c>
      <c r="E22" t="s">
        <v>413</v>
      </c>
      <c r="F22">
        <f t="shared" si="0"/>
        <v>5</v>
      </c>
      <c r="G22">
        <f t="shared" si="1"/>
        <v>15</v>
      </c>
      <c r="H22">
        <f t="shared" si="2"/>
        <v>105</v>
      </c>
      <c r="I22">
        <f t="shared" si="3"/>
        <v>35</v>
      </c>
      <c r="J22" s="126">
        <f t="shared" si="4"/>
        <v>36.75</v>
      </c>
      <c r="K22" s="126">
        <f t="shared" si="5"/>
        <v>21.75</v>
      </c>
      <c r="L22" t="str">
        <f t="shared" si="6"/>
        <v>OK</v>
      </c>
      <c r="N22" t="str">
        <f>Lists!$A6</f>
        <v>Josh</v>
      </c>
      <c r="O22" s="126">
        <f t="shared" si="7"/>
        <v>21.8</v>
      </c>
    </row>
    <row r="23" spans="1:15" x14ac:dyDescent="0.2">
      <c r="B23" s="136"/>
      <c r="F23" t="str">
        <f t="shared" si="0"/>
        <v/>
      </c>
      <c r="G23" t="str">
        <f t="shared" si="1"/>
        <v/>
      </c>
      <c r="H23" t="str">
        <f t="shared" si="2"/>
        <v/>
      </c>
      <c r="I23" t="str">
        <f t="shared" si="3"/>
        <v/>
      </c>
      <c r="J23" s="126" t="str">
        <f t="shared" si="4"/>
        <v/>
      </c>
      <c r="K23" s="126" t="str">
        <f t="shared" si="5"/>
        <v/>
      </c>
      <c r="L23" t="str">
        <f t="shared" si="6"/>
        <v/>
      </c>
      <c r="N23" t="str">
        <f>Lists!$A7</f>
        <v>Shawn</v>
      </c>
      <c r="O23" s="126">
        <f t="shared" si="7"/>
        <v>-3.8</v>
      </c>
    </row>
    <row r="24" spans="1:15" x14ac:dyDescent="0.2">
      <c r="B24" s="136"/>
      <c r="F24" t="str">
        <f t="shared" si="0"/>
        <v/>
      </c>
      <c r="G24" t="str">
        <f t="shared" si="1"/>
        <v/>
      </c>
      <c r="H24" t="str">
        <f t="shared" si="2"/>
        <v/>
      </c>
      <c r="I24" t="str">
        <f t="shared" si="3"/>
        <v/>
      </c>
      <c r="J24" s="126" t="str">
        <f t="shared" si="4"/>
        <v/>
      </c>
      <c r="K24" s="126" t="str">
        <f t="shared" si="5"/>
        <v/>
      </c>
      <c r="L24" t="str">
        <f t="shared" si="6"/>
        <v/>
      </c>
      <c r="N24" t="str">
        <f>Lists!$A8</f>
        <v>Simon</v>
      </c>
      <c r="O24" s="126">
        <f t="shared" si="7"/>
        <v>-5.6</v>
      </c>
    </row>
    <row r="25" spans="1:15" x14ac:dyDescent="0.2">
      <c r="B25" s="136"/>
      <c r="F25" t="str">
        <f t="shared" si="0"/>
        <v/>
      </c>
      <c r="G25" t="str">
        <f t="shared" si="1"/>
        <v/>
      </c>
      <c r="H25" t="str">
        <f t="shared" si="2"/>
        <v/>
      </c>
      <c r="I25" t="str">
        <f t="shared" si="3"/>
        <v/>
      </c>
      <c r="J25" s="126" t="str">
        <f t="shared" si="4"/>
        <v/>
      </c>
      <c r="K25" s="126" t="str">
        <f t="shared" si="5"/>
        <v/>
      </c>
      <c r="L25" t="str">
        <f t="shared" si="6"/>
        <v/>
      </c>
      <c r="N25" t="str">
        <f>Lists!$A9</f>
        <v>Daniel (Ferret)</v>
      </c>
      <c r="O25" s="126">
        <f t="shared" si="7"/>
        <v>-1.4</v>
      </c>
    </row>
    <row r="26" spans="1:15" x14ac:dyDescent="0.2">
      <c r="B26" s="136"/>
      <c r="F26" t="str">
        <f t="shared" si="0"/>
        <v/>
      </c>
      <c r="G26" t="str">
        <f t="shared" si="1"/>
        <v/>
      </c>
      <c r="H26" t="str">
        <f t="shared" si="2"/>
        <v/>
      </c>
      <c r="I26" t="str">
        <f t="shared" si="3"/>
        <v/>
      </c>
      <c r="J26" s="126" t="str">
        <f t="shared" si="4"/>
        <v/>
      </c>
      <c r="K26" s="126" t="str">
        <f t="shared" si="5"/>
        <v/>
      </c>
      <c r="L26" t="str">
        <f t="shared" si="6"/>
        <v/>
      </c>
      <c r="N26" t="str">
        <f>Lists!$A10</f>
        <v>Dean B</v>
      </c>
      <c r="O26" s="126">
        <f t="shared" si="7"/>
        <v>0</v>
      </c>
    </row>
    <row r="27" spans="1:15" x14ac:dyDescent="0.2">
      <c r="B27" s="136"/>
      <c r="F27" t="str">
        <f t="shared" si="0"/>
        <v/>
      </c>
      <c r="G27" t="str">
        <f t="shared" si="1"/>
        <v/>
      </c>
      <c r="H27" t="str">
        <f t="shared" si="2"/>
        <v/>
      </c>
      <c r="I27" t="str">
        <f t="shared" si="3"/>
        <v/>
      </c>
      <c r="J27" s="126" t="str">
        <f t="shared" si="4"/>
        <v/>
      </c>
      <c r="K27" s="126" t="str">
        <f t="shared" si="5"/>
        <v/>
      </c>
      <c r="L27" t="str">
        <f t="shared" si="6"/>
        <v/>
      </c>
      <c r="N27" t="str">
        <f>Lists!$A11</f>
        <v>Cody</v>
      </c>
      <c r="O27" s="126">
        <f t="shared" si="7"/>
        <v>0</v>
      </c>
    </row>
    <row r="28" spans="1:15" x14ac:dyDescent="0.2">
      <c r="F28" t="str">
        <f t="shared" si="0"/>
        <v/>
      </c>
      <c r="G28" t="str">
        <f t="shared" si="1"/>
        <v/>
      </c>
      <c r="H28" t="str">
        <f t="shared" si="2"/>
        <v/>
      </c>
      <c r="I28" t="str">
        <f t="shared" si="3"/>
        <v/>
      </c>
      <c r="J28" s="126" t="str">
        <f t="shared" si="4"/>
        <v/>
      </c>
      <c r="K28" s="126" t="str">
        <f t="shared" si="5"/>
        <v/>
      </c>
      <c r="L28" t="str">
        <f t="shared" si="6"/>
        <v/>
      </c>
      <c r="N28" t="str">
        <f>Lists!$A12</f>
        <v>Oscar</v>
      </c>
      <c r="O28" s="126">
        <f t="shared" si="7"/>
        <v>0</v>
      </c>
    </row>
    <row r="29" spans="1:15" x14ac:dyDescent="0.2">
      <c r="F29" t="str">
        <f t="shared" si="0"/>
        <v/>
      </c>
      <c r="G29" t="str">
        <f t="shared" si="1"/>
        <v/>
      </c>
      <c r="H29" t="str">
        <f t="shared" si="2"/>
        <v/>
      </c>
      <c r="I29" t="str">
        <f t="shared" si="3"/>
        <v/>
      </c>
      <c r="J29" s="126" t="str">
        <f t="shared" si="4"/>
        <v/>
      </c>
      <c r="K29" s="126" t="str">
        <f t="shared" si="5"/>
        <v/>
      </c>
      <c r="L29" t="str">
        <f t="shared" si="6"/>
        <v/>
      </c>
      <c r="N29" t="str">
        <f>Lists!$A13</f>
        <v>Dean M</v>
      </c>
      <c r="O29" s="126">
        <f t="shared" si="7"/>
        <v>0</v>
      </c>
    </row>
    <row r="30" spans="1:15" x14ac:dyDescent="0.2">
      <c r="F30" t="str">
        <f t="shared" si="0"/>
        <v/>
      </c>
      <c r="G30" t="str">
        <f t="shared" si="1"/>
        <v/>
      </c>
      <c r="H30" t="str">
        <f t="shared" si="2"/>
        <v/>
      </c>
      <c r="I30" t="str">
        <f t="shared" si="3"/>
        <v/>
      </c>
      <c r="J30" s="126" t="str">
        <f t="shared" si="4"/>
        <v/>
      </c>
      <c r="K30" s="126" t="str">
        <f t="shared" si="5"/>
        <v/>
      </c>
      <c r="L30" t="str">
        <f t="shared" si="6"/>
        <v/>
      </c>
      <c r="N30" t="str">
        <f>Lists!$A14</f>
        <v>Dylan A</v>
      </c>
      <c r="O30" s="126">
        <f t="shared" si="7"/>
        <v>0</v>
      </c>
    </row>
    <row r="31" spans="1:15" x14ac:dyDescent="0.2">
      <c r="F31" t="str">
        <f t="shared" si="0"/>
        <v/>
      </c>
      <c r="G31" t="str">
        <f t="shared" si="1"/>
        <v/>
      </c>
      <c r="H31" t="str">
        <f t="shared" si="2"/>
        <v/>
      </c>
      <c r="I31" t="str">
        <f t="shared" si="3"/>
        <v/>
      </c>
      <c r="J31" s="126" t="str">
        <f t="shared" si="4"/>
        <v/>
      </c>
      <c r="K31" s="126" t="str">
        <f t="shared" si="5"/>
        <v/>
      </c>
      <c r="L31" t="str">
        <f t="shared" si="6"/>
        <v/>
      </c>
      <c r="N31" t="str">
        <f>Lists!$A15</f>
        <v>Dylan S</v>
      </c>
      <c r="O31" s="126">
        <f t="shared" si="7"/>
        <v>0</v>
      </c>
    </row>
    <row r="32" spans="1:15" x14ac:dyDescent="0.2">
      <c r="F32" t="str">
        <f t="shared" si="0"/>
        <v/>
      </c>
      <c r="G32" t="str">
        <f t="shared" si="1"/>
        <v/>
      </c>
      <c r="H32" t="str">
        <f t="shared" si="2"/>
        <v/>
      </c>
      <c r="I32" t="str">
        <f t="shared" si="3"/>
        <v/>
      </c>
      <c r="J32" s="126" t="str">
        <f t="shared" si="4"/>
        <v/>
      </c>
      <c r="K32" s="126" t="str">
        <f t="shared" si="5"/>
        <v/>
      </c>
      <c r="L32" t="str">
        <f t="shared" si="6"/>
        <v/>
      </c>
    </row>
    <row r="33" spans="6:12" x14ac:dyDescent="0.2">
      <c r="F33" t="str">
        <f t="shared" si="0"/>
        <v/>
      </c>
      <c r="G33" t="str">
        <f t="shared" si="1"/>
        <v/>
      </c>
      <c r="H33" t="str">
        <f t="shared" si="2"/>
        <v/>
      </c>
      <c r="I33" t="str">
        <f t="shared" si="3"/>
        <v/>
      </c>
      <c r="J33" s="126" t="str">
        <f t="shared" si="4"/>
        <v/>
      </c>
      <c r="K33" s="126" t="str">
        <f t="shared" si="5"/>
        <v/>
      </c>
      <c r="L33" t="str">
        <f t="shared" si="6"/>
        <v/>
      </c>
    </row>
    <row r="34" spans="6:12" x14ac:dyDescent="0.2">
      <c r="F34" t="str">
        <f t="shared" si="0"/>
        <v/>
      </c>
      <c r="G34" t="str">
        <f t="shared" si="1"/>
        <v/>
      </c>
      <c r="H34" t="str">
        <f t="shared" si="2"/>
        <v/>
      </c>
      <c r="I34" t="str">
        <f t="shared" si="3"/>
        <v/>
      </c>
      <c r="J34" s="126" t="str">
        <f t="shared" si="4"/>
        <v/>
      </c>
      <c r="K34" s="126" t="str">
        <f t="shared" si="5"/>
        <v/>
      </c>
      <c r="L34" t="str">
        <f t="shared" si="6"/>
        <v/>
      </c>
    </row>
    <row r="35" spans="6:12" x14ac:dyDescent="0.2">
      <c r="F35" t="str">
        <f t="shared" si="0"/>
        <v/>
      </c>
      <c r="G35" t="str">
        <f t="shared" si="1"/>
        <v/>
      </c>
      <c r="H35" t="str">
        <f t="shared" si="2"/>
        <v/>
      </c>
      <c r="I35" t="str">
        <f t="shared" si="3"/>
        <v/>
      </c>
      <c r="J35" s="126" t="str">
        <f t="shared" si="4"/>
        <v/>
      </c>
      <c r="K35" s="126" t="str">
        <f t="shared" si="5"/>
        <v/>
      </c>
      <c r="L35" t="str">
        <f t="shared" si="6"/>
        <v/>
      </c>
    </row>
    <row r="36" spans="6:12" x14ac:dyDescent="0.2">
      <c r="F36" t="str">
        <f t="shared" si="0"/>
        <v/>
      </c>
      <c r="G36" t="str">
        <f t="shared" si="1"/>
        <v/>
      </c>
      <c r="H36" t="str">
        <f t="shared" si="2"/>
        <v/>
      </c>
      <c r="I36" t="str">
        <f t="shared" si="3"/>
        <v/>
      </c>
      <c r="J36" s="126" t="str">
        <f t="shared" si="4"/>
        <v/>
      </c>
      <c r="K36" s="126" t="str">
        <f t="shared" si="5"/>
        <v/>
      </c>
      <c r="L36" t="str">
        <f t="shared" si="6"/>
        <v/>
      </c>
    </row>
    <row r="37" spans="6:12" x14ac:dyDescent="0.2">
      <c r="F37" t="str">
        <f t="shared" si="0"/>
        <v/>
      </c>
      <c r="G37" t="str">
        <f t="shared" si="1"/>
        <v/>
      </c>
      <c r="H37" t="str">
        <f t="shared" si="2"/>
        <v/>
      </c>
      <c r="I37" t="str">
        <f t="shared" si="3"/>
        <v/>
      </c>
      <c r="J37" s="126" t="str">
        <f t="shared" si="4"/>
        <v/>
      </c>
      <c r="K37" s="126" t="str">
        <f t="shared" si="5"/>
        <v/>
      </c>
      <c r="L37" t="str">
        <f t="shared" si="6"/>
        <v/>
      </c>
    </row>
    <row r="38" spans="6:12" x14ac:dyDescent="0.2">
      <c r="F38" t="str">
        <f t="shared" si="0"/>
        <v/>
      </c>
      <c r="G38" t="str">
        <f t="shared" si="1"/>
        <v/>
      </c>
      <c r="H38" t="str">
        <f t="shared" si="2"/>
        <v/>
      </c>
      <c r="I38" t="str">
        <f t="shared" si="3"/>
        <v/>
      </c>
      <c r="J38" s="126" t="str">
        <f t="shared" si="4"/>
        <v/>
      </c>
      <c r="K38" s="126" t="str">
        <f t="shared" si="5"/>
        <v/>
      </c>
      <c r="L38" t="str">
        <f t="shared" si="6"/>
        <v/>
      </c>
    </row>
    <row r="39" spans="6:12" x14ac:dyDescent="0.2">
      <c r="F39" t="str">
        <f t="shared" si="0"/>
        <v/>
      </c>
      <c r="G39" t="str">
        <f t="shared" si="1"/>
        <v/>
      </c>
      <c r="H39" t="str">
        <f t="shared" si="2"/>
        <v/>
      </c>
      <c r="I39" t="str">
        <f t="shared" si="3"/>
        <v/>
      </c>
      <c r="J39" s="126" t="str">
        <f t="shared" si="4"/>
        <v/>
      </c>
      <c r="K39" s="126" t="str">
        <f t="shared" si="5"/>
        <v/>
      </c>
      <c r="L39" t="str">
        <f t="shared" si="6"/>
        <v/>
      </c>
    </row>
    <row r="40" spans="6:12" x14ac:dyDescent="0.2">
      <c r="F40" t="str">
        <f t="shared" si="0"/>
        <v/>
      </c>
      <c r="G40" t="str">
        <f t="shared" si="1"/>
        <v/>
      </c>
      <c r="H40" t="str">
        <f t="shared" si="2"/>
        <v/>
      </c>
      <c r="I40" t="str">
        <f t="shared" si="3"/>
        <v/>
      </c>
      <c r="J40" s="126" t="str">
        <f t="shared" si="4"/>
        <v/>
      </c>
      <c r="K40" s="126" t="str">
        <f t="shared" si="5"/>
        <v/>
      </c>
      <c r="L40" t="str">
        <f t="shared" si="6"/>
        <v/>
      </c>
    </row>
    <row r="41" spans="6:12" x14ac:dyDescent="0.2">
      <c r="F41" t="str">
        <f t="shared" si="0"/>
        <v/>
      </c>
      <c r="G41" t="str">
        <f t="shared" si="1"/>
        <v/>
      </c>
      <c r="H41" t="str">
        <f t="shared" si="2"/>
        <v/>
      </c>
      <c r="I41" t="str">
        <f t="shared" si="3"/>
        <v/>
      </c>
      <c r="J41" s="126" t="str">
        <f t="shared" si="4"/>
        <v/>
      </c>
      <c r="K41" s="126" t="str">
        <f t="shared" si="5"/>
        <v/>
      </c>
      <c r="L41" t="str">
        <f t="shared" si="6"/>
        <v/>
      </c>
    </row>
    <row r="42" spans="6:12" x14ac:dyDescent="0.2">
      <c r="F42" t="str">
        <f t="shared" si="0"/>
        <v/>
      </c>
      <c r="G42" t="str">
        <f t="shared" si="1"/>
        <v/>
      </c>
      <c r="H42" t="str">
        <f t="shared" si="2"/>
        <v/>
      </c>
      <c r="I42" t="str">
        <f t="shared" si="3"/>
        <v/>
      </c>
      <c r="J42" s="126" t="str">
        <f t="shared" si="4"/>
        <v/>
      </c>
      <c r="K42" s="126" t="str">
        <f t="shared" si="5"/>
        <v/>
      </c>
      <c r="L42" t="str">
        <f t="shared" si="6"/>
        <v/>
      </c>
    </row>
    <row r="43" spans="6:12" x14ac:dyDescent="0.2">
      <c r="F43" t="str">
        <f t="shared" si="0"/>
        <v/>
      </c>
      <c r="G43" t="str">
        <f t="shared" si="1"/>
        <v/>
      </c>
      <c r="H43" t="str">
        <f t="shared" si="2"/>
        <v/>
      </c>
      <c r="I43" t="str">
        <f t="shared" si="3"/>
        <v/>
      </c>
      <c r="J43" s="126" t="str">
        <f t="shared" si="4"/>
        <v/>
      </c>
      <c r="K43" s="126" t="str">
        <f t="shared" si="5"/>
        <v/>
      </c>
      <c r="L43" t="str">
        <f t="shared" si="6"/>
        <v/>
      </c>
    </row>
    <row r="44" spans="6:12" x14ac:dyDescent="0.2">
      <c r="F44" t="str">
        <f t="shared" si="0"/>
        <v/>
      </c>
      <c r="G44" t="str">
        <f t="shared" si="1"/>
        <v/>
      </c>
      <c r="H44" t="str">
        <f t="shared" si="2"/>
        <v/>
      </c>
      <c r="I44" t="str">
        <f t="shared" si="3"/>
        <v/>
      </c>
      <c r="J44" s="126" t="str">
        <f t="shared" si="4"/>
        <v/>
      </c>
      <c r="K44" s="126" t="str">
        <f t="shared" si="5"/>
        <v/>
      </c>
      <c r="L44" t="str">
        <f t="shared" si="6"/>
        <v/>
      </c>
    </row>
    <row r="45" spans="6:12" x14ac:dyDescent="0.2">
      <c r="F45" t="str">
        <f t="shared" si="0"/>
        <v/>
      </c>
      <c r="G45" t="str">
        <f t="shared" si="1"/>
        <v/>
      </c>
      <c r="H45" t="str">
        <f t="shared" si="2"/>
        <v/>
      </c>
      <c r="I45" t="str">
        <f t="shared" si="3"/>
        <v/>
      </c>
      <c r="J45" s="126" t="str">
        <f t="shared" si="4"/>
        <v/>
      </c>
      <c r="K45" s="126" t="str">
        <f t="shared" si="5"/>
        <v/>
      </c>
      <c r="L45" t="str">
        <f t="shared" si="6"/>
        <v/>
      </c>
    </row>
    <row r="46" spans="6:12" x14ac:dyDescent="0.2">
      <c r="F46" t="str">
        <f t="shared" si="0"/>
        <v/>
      </c>
      <c r="G46" t="str">
        <f t="shared" si="1"/>
        <v/>
      </c>
      <c r="H46" t="str">
        <f t="shared" si="2"/>
        <v/>
      </c>
      <c r="I46" t="str">
        <f t="shared" si="3"/>
        <v/>
      </c>
      <c r="J46" s="126" t="str">
        <f t="shared" si="4"/>
        <v/>
      </c>
      <c r="K46" s="126" t="str">
        <f t="shared" si="5"/>
        <v/>
      </c>
      <c r="L46" t="str">
        <f t="shared" si="6"/>
        <v/>
      </c>
    </row>
    <row r="47" spans="6:12" x14ac:dyDescent="0.2">
      <c r="F47" t="str">
        <f t="shared" si="0"/>
        <v/>
      </c>
      <c r="G47" t="str">
        <f t="shared" si="1"/>
        <v/>
      </c>
      <c r="H47" t="str">
        <f t="shared" si="2"/>
        <v/>
      </c>
      <c r="I47" t="str">
        <f t="shared" si="3"/>
        <v/>
      </c>
      <c r="J47" s="126" t="str">
        <f t="shared" si="4"/>
        <v/>
      </c>
      <c r="K47" s="126" t="str">
        <f t="shared" si="5"/>
        <v/>
      </c>
      <c r="L47" t="str">
        <f t="shared" si="6"/>
        <v/>
      </c>
    </row>
    <row r="48" spans="6:12" x14ac:dyDescent="0.2">
      <c r="F48" t="str">
        <f t="shared" si="0"/>
        <v/>
      </c>
      <c r="G48" t="str">
        <f t="shared" si="1"/>
        <v/>
      </c>
      <c r="H48" t="str">
        <f t="shared" si="2"/>
        <v/>
      </c>
      <c r="I48" t="str">
        <f t="shared" si="3"/>
        <v/>
      </c>
      <c r="J48" s="126" t="str">
        <f t="shared" si="4"/>
        <v/>
      </c>
      <c r="K48" s="126" t="str">
        <f t="shared" si="5"/>
        <v/>
      </c>
      <c r="L48" t="str">
        <f t="shared" si="6"/>
        <v/>
      </c>
    </row>
    <row r="49" spans="6:12" x14ac:dyDescent="0.2">
      <c r="F49" t="str">
        <f t="shared" si="0"/>
        <v/>
      </c>
      <c r="G49" t="str">
        <f t="shared" si="1"/>
        <v/>
      </c>
      <c r="H49" t="str">
        <f t="shared" si="2"/>
        <v/>
      </c>
      <c r="I49" t="str">
        <f t="shared" si="3"/>
        <v/>
      </c>
      <c r="J49" s="126" t="str">
        <f t="shared" si="4"/>
        <v/>
      </c>
      <c r="K49" s="126" t="str">
        <f t="shared" si="5"/>
        <v/>
      </c>
      <c r="L49" t="str">
        <f t="shared" si="6"/>
        <v/>
      </c>
    </row>
    <row r="50" spans="6:12" x14ac:dyDescent="0.2">
      <c r="F50" t="str">
        <f t="shared" ref="F50:F81" si="8">IF($A50="","",COUNTIF($A$18:$A$137,$A50))</f>
        <v/>
      </c>
      <c r="G50" t="str">
        <f t="shared" ref="G50:G81" si="9">IF($A50="","",$B$4*(1+IF(UPPER($E50)="Y",1,0)))</f>
        <v/>
      </c>
      <c r="H50" t="str">
        <f t="shared" ref="H50:H81" si="10">IF($A50="","",SUMIF($A$18:$A$137,$A50,$G$18:$G$137))</f>
        <v/>
      </c>
      <c r="I50" t="str">
        <f t="shared" ref="I50:I81" si="11">IF($A50="","",IF($F50&lt;$B$6,0,IFERROR(INDEX($E$5:$K$14,$D50,$F50-3),0)))</f>
        <v/>
      </c>
      <c r="J50" s="126" t="str">
        <f t="shared" ref="J50:J81" si="12">IF($A50="","",$H50*$I50/100)</f>
        <v/>
      </c>
      <c r="K50" s="126" t="str">
        <f t="shared" ref="K50:K81" si="13">IF($A50="","",IF($F50&lt;$B$6,0,$J50-$G50))</f>
        <v/>
      </c>
      <c r="L50" t="str">
        <f t="shared" ref="L50:L81" si="14">IF($A50="","",IF($F50&lt;$B$6,"NEED 4+ PLAYERS",IF($F50&gt;$B$7,"MAX 10 PLAYERS",IF($D50="","ADD FINISH",IF(COUNTIFS($A$18:$A$137,$A50,$D$18:$D$137,$D50)&gt;1,"DUPLICATE FINISH",IF(OR($D50&lt;1,$D50&gt;$F50),"BAD FINISH",IF(ABS(SUMIF($A$18:$A$137,$A50,$K$18:$K$137))&gt;0.6,"POT LEAK","OK")))))))</f>
        <v/>
      </c>
    </row>
    <row r="51" spans="6:12" x14ac:dyDescent="0.2">
      <c r="F51" t="str">
        <f t="shared" si="8"/>
        <v/>
      </c>
      <c r="G51" t="str">
        <f t="shared" si="9"/>
        <v/>
      </c>
      <c r="H51" t="str">
        <f t="shared" si="10"/>
        <v/>
      </c>
      <c r="I51" t="str">
        <f t="shared" si="11"/>
        <v/>
      </c>
      <c r="J51" s="126" t="str">
        <f t="shared" si="12"/>
        <v/>
      </c>
      <c r="K51" s="126" t="str">
        <f t="shared" si="13"/>
        <v/>
      </c>
      <c r="L51" t="str">
        <f t="shared" si="14"/>
        <v/>
      </c>
    </row>
    <row r="52" spans="6:12" x14ac:dyDescent="0.2">
      <c r="F52" t="str">
        <f t="shared" si="8"/>
        <v/>
      </c>
      <c r="G52" t="str">
        <f t="shared" si="9"/>
        <v/>
      </c>
      <c r="H52" t="str">
        <f t="shared" si="10"/>
        <v/>
      </c>
      <c r="I52" t="str">
        <f t="shared" si="11"/>
        <v/>
      </c>
      <c r="J52" s="126" t="str">
        <f t="shared" si="12"/>
        <v/>
      </c>
      <c r="K52" s="126" t="str">
        <f t="shared" si="13"/>
        <v/>
      </c>
      <c r="L52" t="str">
        <f t="shared" si="14"/>
        <v/>
      </c>
    </row>
    <row r="53" spans="6:12" x14ac:dyDescent="0.2">
      <c r="F53" t="str">
        <f t="shared" si="8"/>
        <v/>
      </c>
      <c r="G53" t="str">
        <f t="shared" si="9"/>
        <v/>
      </c>
      <c r="H53" t="str">
        <f t="shared" si="10"/>
        <v/>
      </c>
      <c r="I53" t="str">
        <f t="shared" si="11"/>
        <v/>
      </c>
      <c r="J53" s="126" t="str">
        <f t="shared" si="12"/>
        <v/>
      </c>
      <c r="K53" s="126" t="str">
        <f t="shared" si="13"/>
        <v/>
      </c>
      <c r="L53" t="str">
        <f t="shared" si="14"/>
        <v/>
      </c>
    </row>
    <row r="54" spans="6:12" x14ac:dyDescent="0.2">
      <c r="F54" t="str">
        <f t="shared" si="8"/>
        <v/>
      </c>
      <c r="G54" t="str">
        <f t="shared" si="9"/>
        <v/>
      </c>
      <c r="H54" t="str">
        <f t="shared" si="10"/>
        <v/>
      </c>
      <c r="I54" t="str">
        <f t="shared" si="11"/>
        <v/>
      </c>
      <c r="J54" s="126" t="str">
        <f t="shared" si="12"/>
        <v/>
      </c>
      <c r="K54" s="126" t="str">
        <f t="shared" si="13"/>
        <v/>
      </c>
      <c r="L54" t="str">
        <f t="shared" si="14"/>
        <v/>
      </c>
    </row>
    <row r="55" spans="6:12" x14ac:dyDescent="0.2">
      <c r="F55" t="str">
        <f t="shared" si="8"/>
        <v/>
      </c>
      <c r="G55" t="str">
        <f t="shared" si="9"/>
        <v/>
      </c>
      <c r="H55" t="str">
        <f t="shared" si="10"/>
        <v/>
      </c>
      <c r="I55" t="str">
        <f t="shared" si="11"/>
        <v/>
      </c>
      <c r="J55" s="126" t="str">
        <f t="shared" si="12"/>
        <v/>
      </c>
      <c r="K55" s="126" t="str">
        <f t="shared" si="13"/>
        <v/>
      </c>
      <c r="L55" t="str">
        <f t="shared" si="14"/>
        <v/>
      </c>
    </row>
    <row r="56" spans="6:12" x14ac:dyDescent="0.2">
      <c r="F56" t="str">
        <f t="shared" si="8"/>
        <v/>
      </c>
      <c r="G56" t="str">
        <f t="shared" si="9"/>
        <v/>
      </c>
      <c r="H56" t="str">
        <f t="shared" si="10"/>
        <v/>
      </c>
      <c r="I56" t="str">
        <f t="shared" si="11"/>
        <v/>
      </c>
      <c r="J56" s="126" t="str">
        <f t="shared" si="12"/>
        <v/>
      </c>
      <c r="K56" s="126" t="str">
        <f t="shared" si="13"/>
        <v/>
      </c>
      <c r="L56" t="str">
        <f t="shared" si="14"/>
        <v/>
      </c>
    </row>
    <row r="57" spans="6:12" x14ac:dyDescent="0.2">
      <c r="F57" t="str">
        <f t="shared" si="8"/>
        <v/>
      </c>
      <c r="G57" t="str">
        <f t="shared" si="9"/>
        <v/>
      </c>
      <c r="H57" t="str">
        <f t="shared" si="10"/>
        <v/>
      </c>
      <c r="I57" t="str">
        <f t="shared" si="11"/>
        <v/>
      </c>
      <c r="J57" s="126" t="str">
        <f t="shared" si="12"/>
        <v/>
      </c>
      <c r="K57" s="126" t="str">
        <f t="shared" si="13"/>
        <v/>
      </c>
      <c r="L57" t="str">
        <f t="shared" si="14"/>
        <v/>
      </c>
    </row>
    <row r="58" spans="6:12" x14ac:dyDescent="0.2">
      <c r="F58" t="str">
        <f t="shared" si="8"/>
        <v/>
      </c>
      <c r="G58" t="str">
        <f t="shared" si="9"/>
        <v/>
      </c>
      <c r="H58" t="str">
        <f t="shared" si="10"/>
        <v/>
      </c>
      <c r="I58" t="str">
        <f t="shared" si="11"/>
        <v/>
      </c>
      <c r="J58" s="126" t="str">
        <f t="shared" si="12"/>
        <v/>
      </c>
      <c r="K58" s="126" t="str">
        <f t="shared" si="13"/>
        <v/>
      </c>
      <c r="L58" t="str">
        <f t="shared" si="14"/>
        <v/>
      </c>
    </row>
    <row r="59" spans="6:12" x14ac:dyDescent="0.2">
      <c r="F59" t="str">
        <f t="shared" si="8"/>
        <v/>
      </c>
      <c r="G59" t="str">
        <f t="shared" si="9"/>
        <v/>
      </c>
      <c r="H59" t="str">
        <f t="shared" si="10"/>
        <v/>
      </c>
      <c r="I59" t="str">
        <f t="shared" si="11"/>
        <v/>
      </c>
      <c r="J59" s="126" t="str">
        <f t="shared" si="12"/>
        <v/>
      </c>
      <c r="K59" s="126" t="str">
        <f t="shared" si="13"/>
        <v/>
      </c>
      <c r="L59" t="str">
        <f t="shared" si="14"/>
        <v/>
      </c>
    </row>
    <row r="60" spans="6:12" x14ac:dyDescent="0.2">
      <c r="F60" t="str">
        <f t="shared" si="8"/>
        <v/>
      </c>
      <c r="G60" t="str">
        <f t="shared" si="9"/>
        <v/>
      </c>
      <c r="H60" t="str">
        <f t="shared" si="10"/>
        <v/>
      </c>
      <c r="I60" t="str">
        <f t="shared" si="11"/>
        <v/>
      </c>
      <c r="J60" s="126" t="str">
        <f t="shared" si="12"/>
        <v/>
      </c>
      <c r="K60" s="126" t="str">
        <f t="shared" si="13"/>
        <v/>
      </c>
      <c r="L60" t="str">
        <f t="shared" si="14"/>
        <v/>
      </c>
    </row>
    <row r="61" spans="6:12" x14ac:dyDescent="0.2">
      <c r="F61" t="str">
        <f t="shared" si="8"/>
        <v/>
      </c>
      <c r="G61" t="str">
        <f t="shared" si="9"/>
        <v/>
      </c>
      <c r="H61" t="str">
        <f t="shared" si="10"/>
        <v/>
      </c>
      <c r="I61" t="str">
        <f t="shared" si="11"/>
        <v/>
      </c>
      <c r="J61" s="126" t="str">
        <f t="shared" si="12"/>
        <v/>
      </c>
      <c r="K61" s="126" t="str">
        <f t="shared" si="13"/>
        <v/>
      </c>
      <c r="L61" t="str">
        <f t="shared" si="14"/>
        <v/>
      </c>
    </row>
    <row r="62" spans="6:12" x14ac:dyDescent="0.2">
      <c r="F62" t="str">
        <f t="shared" si="8"/>
        <v/>
      </c>
      <c r="G62" t="str">
        <f t="shared" si="9"/>
        <v/>
      </c>
      <c r="H62" t="str">
        <f t="shared" si="10"/>
        <v/>
      </c>
      <c r="I62" t="str">
        <f t="shared" si="11"/>
        <v/>
      </c>
      <c r="J62" s="126" t="str">
        <f t="shared" si="12"/>
        <v/>
      </c>
      <c r="K62" s="126" t="str">
        <f t="shared" si="13"/>
        <v/>
      </c>
      <c r="L62" t="str">
        <f t="shared" si="14"/>
        <v/>
      </c>
    </row>
    <row r="63" spans="6:12" x14ac:dyDescent="0.2">
      <c r="F63" t="str">
        <f t="shared" si="8"/>
        <v/>
      </c>
      <c r="G63" t="str">
        <f t="shared" si="9"/>
        <v/>
      </c>
      <c r="H63" t="str">
        <f t="shared" si="10"/>
        <v/>
      </c>
      <c r="I63" t="str">
        <f t="shared" si="11"/>
        <v/>
      </c>
      <c r="J63" s="126" t="str">
        <f t="shared" si="12"/>
        <v/>
      </c>
      <c r="K63" s="126" t="str">
        <f t="shared" si="13"/>
        <v/>
      </c>
      <c r="L63" t="str">
        <f t="shared" si="14"/>
        <v/>
      </c>
    </row>
    <row r="64" spans="6:12" x14ac:dyDescent="0.2">
      <c r="F64" t="str">
        <f t="shared" si="8"/>
        <v/>
      </c>
      <c r="G64" t="str">
        <f t="shared" si="9"/>
        <v/>
      </c>
      <c r="H64" t="str">
        <f t="shared" si="10"/>
        <v/>
      </c>
      <c r="I64" t="str">
        <f t="shared" si="11"/>
        <v/>
      </c>
      <c r="J64" s="126" t="str">
        <f t="shared" si="12"/>
        <v/>
      </c>
      <c r="K64" s="126" t="str">
        <f t="shared" si="13"/>
        <v/>
      </c>
      <c r="L64" t="str">
        <f t="shared" si="14"/>
        <v/>
      </c>
    </row>
    <row r="65" spans="6:12" x14ac:dyDescent="0.2">
      <c r="F65" t="str">
        <f t="shared" si="8"/>
        <v/>
      </c>
      <c r="G65" t="str">
        <f t="shared" si="9"/>
        <v/>
      </c>
      <c r="H65" t="str">
        <f t="shared" si="10"/>
        <v/>
      </c>
      <c r="I65" t="str">
        <f t="shared" si="11"/>
        <v/>
      </c>
      <c r="J65" s="126" t="str">
        <f t="shared" si="12"/>
        <v/>
      </c>
      <c r="K65" s="126" t="str">
        <f t="shared" si="13"/>
        <v/>
      </c>
      <c r="L65" t="str">
        <f t="shared" si="14"/>
        <v/>
      </c>
    </row>
    <row r="66" spans="6:12" x14ac:dyDescent="0.2">
      <c r="F66" t="str">
        <f t="shared" si="8"/>
        <v/>
      </c>
      <c r="G66" t="str">
        <f t="shared" si="9"/>
        <v/>
      </c>
      <c r="H66" t="str">
        <f t="shared" si="10"/>
        <v/>
      </c>
      <c r="I66" t="str">
        <f t="shared" si="11"/>
        <v/>
      </c>
      <c r="J66" s="126" t="str">
        <f t="shared" si="12"/>
        <v/>
      </c>
      <c r="K66" s="126" t="str">
        <f t="shared" si="13"/>
        <v/>
      </c>
      <c r="L66" t="str">
        <f t="shared" si="14"/>
        <v/>
      </c>
    </row>
    <row r="67" spans="6:12" x14ac:dyDescent="0.2">
      <c r="F67" t="str">
        <f t="shared" si="8"/>
        <v/>
      </c>
      <c r="G67" t="str">
        <f t="shared" si="9"/>
        <v/>
      </c>
      <c r="H67" t="str">
        <f t="shared" si="10"/>
        <v/>
      </c>
      <c r="I67" t="str">
        <f t="shared" si="11"/>
        <v/>
      </c>
      <c r="J67" s="126" t="str">
        <f t="shared" si="12"/>
        <v/>
      </c>
      <c r="K67" s="126" t="str">
        <f t="shared" si="13"/>
        <v/>
      </c>
      <c r="L67" t="str">
        <f t="shared" si="14"/>
        <v/>
      </c>
    </row>
    <row r="68" spans="6:12" x14ac:dyDescent="0.2">
      <c r="F68" t="str">
        <f t="shared" si="8"/>
        <v/>
      </c>
      <c r="G68" t="str">
        <f t="shared" si="9"/>
        <v/>
      </c>
      <c r="H68" t="str">
        <f t="shared" si="10"/>
        <v/>
      </c>
      <c r="I68" t="str">
        <f t="shared" si="11"/>
        <v/>
      </c>
      <c r="J68" s="126" t="str">
        <f t="shared" si="12"/>
        <v/>
      </c>
      <c r="K68" s="126" t="str">
        <f t="shared" si="13"/>
        <v/>
      </c>
      <c r="L68" t="str">
        <f t="shared" si="14"/>
        <v/>
      </c>
    </row>
    <row r="69" spans="6:12" x14ac:dyDescent="0.2">
      <c r="F69" t="str">
        <f t="shared" si="8"/>
        <v/>
      </c>
      <c r="G69" t="str">
        <f t="shared" si="9"/>
        <v/>
      </c>
      <c r="H69" t="str">
        <f t="shared" si="10"/>
        <v/>
      </c>
      <c r="I69" t="str">
        <f t="shared" si="11"/>
        <v/>
      </c>
      <c r="J69" s="126" t="str">
        <f t="shared" si="12"/>
        <v/>
      </c>
      <c r="K69" s="126" t="str">
        <f t="shared" si="13"/>
        <v/>
      </c>
      <c r="L69" t="str">
        <f t="shared" si="14"/>
        <v/>
      </c>
    </row>
    <row r="70" spans="6:12" x14ac:dyDescent="0.2">
      <c r="F70" t="str">
        <f t="shared" si="8"/>
        <v/>
      </c>
      <c r="G70" t="str">
        <f t="shared" si="9"/>
        <v/>
      </c>
      <c r="H70" t="str">
        <f t="shared" si="10"/>
        <v/>
      </c>
      <c r="I70" t="str">
        <f t="shared" si="11"/>
        <v/>
      </c>
      <c r="J70" s="126" t="str">
        <f t="shared" si="12"/>
        <v/>
      </c>
      <c r="K70" s="126" t="str">
        <f t="shared" si="13"/>
        <v/>
      </c>
      <c r="L70" t="str">
        <f t="shared" si="14"/>
        <v/>
      </c>
    </row>
    <row r="71" spans="6:12" x14ac:dyDescent="0.2">
      <c r="F71" t="str">
        <f t="shared" si="8"/>
        <v/>
      </c>
      <c r="G71" t="str">
        <f t="shared" si="9"/>
        <v/>
      </c>
      <c r="H71" t="str">
        <f t="shared" si="10"/>
        <v/>
      </c>
      <c r="I71" t="str">
        <f t="shared" si="11"/>
        <v/>
      </c>
      <c r="J71" s="126" t="str">
        <f t="shared" si="12"/>
        <v/>
      </c>
      <c r="K71" s="126" t="str">
        <f t="shared" si="13"/>
        <v/>
      </c>
      <c r="L71" t="str">
        <f t="shared" si="14"/>
        <v/>
      </c>
    </row>
    <row r="72" spans="6:12" x14ac:dyDescent="0.2">
      <c r="F72" t="str">
        <f t="shared" si="8"/>
        <v/>
      </c>
      <c r="G72" t="str">
        <f t="shared" si="9"/>
        <v/>
      </c>
      <c r="H72" t="str">
        <f t="shared" si="10"/>
        <v/>
      </c>
      <c r="I72" t="str">
        <f t="shared" si="11"/>
        <v/>
      </c>
      <c r="J72" s="126" t="str">
        <f t="shared" si="12"/>
        <v/>
      </c>
      <c r="K72" s="126" t="str">
        <f t="shared" si="13"/>
        <v/>
      </c>
      <c r="L72" t="str">
        <f t="shared" si="14"/>
        <v/>
      </c>
    </row>
    <row r="73" spans="6:12" x14ac:dyDescent="0.2">
      <c r="F73" t="str">
        <f t="shared" si="8"/>
        <v/>
      </c>
      <c r="G73" t="str">
        <f t="shared" si="9"/>
        <v/>
      </c>
      <c r="H73" t="str">
        <f t="shared" si="10"/>
        <v/>
      </c>
      <c r="I73" t="str">
        <f t="shared" si="11"/>
        <v/>
      </c>
      <c r="J73" s="126" t="str">
        <f t="shared" si="12"/>
        <v/>
      </c>
      <c r="K73" s="126" t="str">
        <f t="shared" si="13"/>
        <v/>
      </c>
      <c r="L73" t="str">
        <f t="shared" si="14"/>
        <v/>
      </c>
    </row>
    <row r="74" spans="6:12" x14ac:dyDescent="0.2">
      <c r="F74" t="str">
        <f t="shared" si="8"/>
        <v/>
      </c>
      <c r="G74" t="str">
        <f t="shared" si="9"/>
        <v/>
      </c>
      <c r="H74" t="str">
        <f t="shared" si="10"/>
        <v/>
      </c>
      <c r="I74" t="str">
        <f t="shared" si="11"/>
        <v/>
      </c>
      <c r="J74" s="126" t="str">
        <f t="shared" si="12"/>
        <v/>
      </c>
      <c r="K74" s="126" t="str">
        <f t="shared" si="13"/>
        <v/>
      </c>
      <c r="L74" t="str">
        <f t="shared" si="14"/>
        <v/>
      </c>
    </row>
    <row r="75" spans="6:12" x14ac:dyDescent="0.2">
      <c r="F75" t="str">
        <f t="shared" si="8"/>
        <v/>
      </c>
      <c r="G75" t="str">
        <f t="shared" si="9"/>
        <v/>
      </c>
      <c r="H75" t="str">
        <f t="shared" si="10"/>
        <v/>
      </c>
      <c r="I75" t="str">
        <f t="shared" si="11"/>
        <v/>
      </c>
      <c r="J75" s="126" t="str">
        <f t="shared" si="12"/>
        <v/>
      </c>
      <c r="K75" s="126" t="str">
        <f t="shared" si="13"/>
        <v/>
      </c>
      <c r="L75" t="str">
        <f t="shared" si="14"/>
        <v/>
      </c>
    </row>
    <row r="76" spans="6:12" x14ac:dyDescent="0.2">
      <c r="F76" t="str">
        <f t="shared" si="8"/>
        <v/>
      </c>
      <c r="G76" t="str">
        <f t="shared" si="9"/>
        <v/>
      </c>
      <c r="H76" t="str">
        <f t="shared" si="10"/>
        <v/>
      </c>
      <c r="I76" t="str">
        <f t="shared" si="11"/>
        <v/>
      </c>
      <c r="J76" s="126" t="str">
        <f t="shared" si="12"/>
        <v/>
      </c>
      <c r="K76" s="126" t="str">
        <f t="shared" si="13"/>
        <v/>
      </c>
      <c r="L76" t="str">
        <f t="shared" si="14"/>
        <v/>
      </c>
    </row>
    <row r="77" spans="6:12" x14ac:dyDescent="0.2">
      <c r="F77" t="str">
        <f t="shared" si="8"/>
        <v/>
      </c>
      <c r="G77" t="str">
        <f t="shared" si="9"/>
        <v/>
      </c>
      <c r="H77" t="str">
        <f t="shared" si="10"/>
        <v/>
      </c>
      <c r="I77" t="str">
        <f t="shared" si="11"/>
        <v/>
      </c>
      <c r="J77" s="126" t="str">
        <f t="shared" si="12"/>
        <v/>
      </c>
      <c r="K77" s="126" t="str">
        <f t="shared" si="13"/>
        <v/>
      </c>
      <c r="L77" t="str">
        <f t="shared" si="14"/>
        <v/>
      </c>
    </row>
    <row r="78" spans="6:12" x14ac:dyDescent="0.2">
      <c r="F78" t="str">
        <f t="shared" si="8"/>
        <v/>
      </c>
      <c r="G78" t="str">
        <f t="shared" si="9"/>
        <v/>
      </c>
      <c r="H78" t="str">
        <f t="shared" si="10"/>
        <v/>
      </c>
      <c r="I78" t="str">
        <f t="shared" si="11"/>
        <v/>
      </c>
      <c r="J78" s="126" t="str">
        <f t="shared" si="12"/>
        <v/>
      </c>
      <c r="K78" s="126" t="str">
        <f t="shared" si="13"/>
        <v/>
      </c>
      <c r="L78" t="str">
        <f t="shared" si="14"/>
        <v/>
      </c>
    </row>
    <row r="79" spans="6:12" x14ac:dyDescent="0.2">
      <c r="F79" t="str">
        <f t="shared" si="8"/>
        <v/>
      </c>
      <c r="G79" t="str">
        <f t="shared" si="9"/>
        <v/>
      </c>
      <c r="H79" t="str">
        <f t="shared" si="10"/>
        <v/>
      </c>
      <c r="I79" t="str">
        <f t="shared" si="11"/>
        <v/>
      </c>
      <c r="J79" s="126" t="str">
        <f t="shared" si="12"/>
        <v/>
      </c>
      <c r="K79" s="126" t="str">
        <f t="shared" si="13"/>
        <v/>
      </c>
      <c r="L79" t="str">
        <f t="shared" si="14"/>
        <v/>
      </c>
    </row>
    <row r="80" spans="6:12" x14ac:dyDescent="0.2">
      <c r="F80" t="str">
        <f t="shared" si="8"/>
        <v/>
      </c>
      <c r="G80" t="str">
        <f t="shared" si="9"/>
        <v/>
      </c>
      <c r="H80" t="str">
        <f t="shared" si="10"/>
        <v/>
      </c>
      <c r="I80" t="str">
        <f t="shared" si="11"/>
        <v/>
      </c>
      <c r="J80" s="126" t="str">
        <f t="shared" si="12"/>
        <v/>
      </c>
      <c r="K80" s="126" t="str">
        <f t="shared" si="13"/>
        <v/>
      </c>
      <c r="L80" t="str">
        <f t="shared" si="14"/>
        <v/>
      </c>
    </row>
    <row r="81" spans="6:12" x14ac:dyDescent="0.2">
      <c r="F81" t="str">
        <f t="shared" si="8"/>
        <v/>
      </c>
      <c r="G81" t="str">
        <f t="shared" si="9"/>
        <v/>
      </c>
      <c r="H81" t="str">
        <f t="shared" si="10"/>
        <v/>
      </c>
      <c r="I81" t="str">
        <f t="shared" si="11"/>
        <v/>
      </c>
      <c r="J81" s="126" t="str">
        <f t="shared" si="12"/>
        <v/>
      </c>
      <c r="K81" s="126" t="str">
        <f t="shared" si="13"/>
        <v/>
      </c>
      <c r="L81" t="str">
        <f t="shared" si="14"/>
        <v/>
      </c>
    </row>
    <row r="82" spans="6:12" x14ac:dyDescent="0.2">
      <c r="F82" t="str">
        <f t="shared" ref="F82:F113" si="15">IF($A82="","",COUNTIF($A$18:$A$137,$A82))</f>
        <v/>
      </c>
      <c r="G82" t="str">
        <f t="shared" ref="G82:G113" si="16">IF($A82="","",$B$4*(1+IF(UPPER($E82)="Y",1,0)))</f>
        <v/>
      </c>
      <c r="H82" t="str">
        <f t="shared" ref="H82:H113" si="17">IF($A82="","",SUMIF($A$18:$A$137,$A82,$G$18:$G$137))</f>
        <v/>
      </c>
      <c r="I82" t="str">
        <f t="shared" ref="I82:I113" si="18">IF($A82="","",IF($F82&lt;$B$6,0,IFERROR(INDEX($E$5:$K$14,$D82,$F82-3),0)))</f>
        <v/>
      </c>
      <c r="J82" s="126" t="str">
        <f t="shared" ref="J82:J113" si="19">IF($A82="","",$H82*$I82/100)</f>
        <v/>
      </c>
      <c r="K82" s="126" t="str">
        <f t="shared" ref="K82:K113" si="20">IF($A82="","",IF($F82&lt;$B$6,0,$J82-$G82))</f>
        <v/>
      </c>
      <c r="L82" t="str">
        <f t="shared" ref="L82:L113" si="21">IF($A82="","",IF($F82&lt;$B$6,"NEED 4+ PLAYERS",IF($F82&gt;$B$7,"MAX 10 PLAYERS",IF($D82="","ADD FINISH",IF(COUNTIFS($A$18:$A$137,$A82,$D$18:$D$137,$D82)&gt;1,"DUPLICATE FINISH",IF(OR($D82&lt;1,$D82&gt;$F82),"BAD FINISH",IF(ABS(SUMIF($A$18:$A$137,$A82,$K$18:$K$137))&gt;0.6,"POT LEAK","OK")))))))</f>
        <v/>
      </c>
    </row>
    <row r="83" spans="6:12" x14ac:dyDescent="0.2">
      <c r="F83" t="str">
        <f t="shared" si="15"/>
        <v/>
      </c>
      <c r="G83" t="str">
        <f t="shared" si="16"/>
        <v/>
      </c>
      <c r="H83" t="str">
        <f t="shared" si="17"/>
        <v/>
      </c>
      <c r="I83" t="str">
        <f t="shared" si="18"/>
        <v/>
      </c>
      <c r="J83" s="126" t="str">
        <f t="shared" si="19"/>
        <v/>
      </c>
      <c r="K83" s="126" t="str">
        <f t="shared" si="20"/>
        <v/>
      </c>
      <c r="L83" t="str">
        <f t="shared" si="21"/>
        <v/>
      </c>
    </row>
    <row r="84" spans="6:12" x14ac:dyDescent="0.2">
      <c r="F84" t="str">
        <f t="shared" si="15"/>
        <v/>
      </c>
      <c r="G84" t="str">
        <f t="shared" si="16"/>
        <v/>
      </c>
      <c r="H84" t="str">
        <f t="shared" si="17"/>
        <v/>
      </c>
      <c r="I84" t="str">
        <f t="shared" si="18"/>
        <v/>
      </c>
      <c r="J84" s="126" t="str">
        <f t="shared" si="19"/>
        <v/>
      </c>
      <c r="K84" s="126" t="str">
        <f t="shared" si="20"/>
        <v/>
      </c>
      <c r="L84" t="str">
        <f t="shared" si="21"/>
        <v/>
      </c>
    </row>
    <row r="85" spans="6:12" x14ac:dyDescent="0.2">
      <c r="F85" t="str">
        <f t="shared" si="15"/>
        <v/>
      </c>
      <c r="G85" t="str">
        <f t="shared" si="16"/>
        <v/>
      </c>
      <c r="H85" t="str">
        <f t="shared" si="17"/>
        <v/>
      </c>
      <c r="I85" t="str">
        <f t="shared" si="18"/>
        <v/>
      </c>
      <c r="J85" s="126" t="str">
        <f t="shared" si="19"/>
        <v/>
      </c>
      <c r="K85" s="126" t="str">
        <f t="shared" si="20"/>
        <v/>
      </c>
      <c r="L85" t="str">
        <f t="shared" si="21"/>
        <v/>
      </c>
    </row>
    <row r="86" spans="6:12" x14ac:dyDescent="0.2">
      <c r="F86" t="str">
        <f t="shared" si="15"/>
        <v/>
      </c>
      <c r="G86" t="str">
        <f t="shared" si="16"/>
        <v/>
      </c>
      <c r="H86" t="str">
        <f t="shared" si="17"/>
        <v/>
      </c>
      <c r="I86" t="str">
        <f t="shared" si="18"/>
        <v/>
      </c>
      <c r="J86" s="126" t="str">
        <f t="shared" si="19"/>
        <v/>
      </c>
      <c r="K86" s="126" t="str">
        <f t="shared" si="20"/>
        <v/>
      </c>
      <c r="L86" t="str">
        <f t="shared" si="21"/>
        <v/>
      </c>
    </row>
    <row r="87" spans="6:12" x14ac:dyDescent="0.2">
      <c r="F87" t="str">
        <f t="shared" si="15"/>
        <v/>
      </c>
      <c r="G87" t="str">
        <f t="shared" si="16"/>
        <v/>
      </c>
      <c r="H87" t="str">
        <f t="shared" si="17"/>
        <v/>
      </c>
      <c r="I87" t="str">
        <f t="shared" si="18"/>
        <v/>
      </c>
      <c r="J87" s="126" t="str">
        <f t="shared" si="19"/>
        <v/>
      </c>
      <c r="K87" s="126" t="str">
        <f t="shared" si="20"/>
        <v/>
      </c>
      <c r="L87" t="str">
        <f t="shared" si="21"/>
        <v/>
      </c>
    </row>
    <row r="88" spans="6:12" x14ac:dyDescent="0.2">
      <c r="F88" t="str">
        <f t="shared" si="15"/>
        <v/>
      </c>
      <c r="G88" t="str">
        <f t="shared" si="16"/>
        <v/>
      </c>
      <c r="H88" t="str">
        <f t="shared" si="17"/>
        <v/>
      </c>
      <c r="I88" t="str">
        <f t="shared" si="18"/>
        <v/>
      </c>
      <c r="J88" s="126" t="str">
        <f t="shared" si="19"/>
        <v/>
      </c>
      <c r="K88" s="126" t="str">
        <f t="shared" si="20"/>
        <v/>
      </c>
      <c r="L88" t="str">
        <f t="shared" si="21"/>
        <v/>
      </c>
    </row>
    <row r="89" spans="6:12" x14ac:dyDescent="0.2">
      <c r="F89" t="str">
        <f t="shared" si="15"/>
        <v/>
      </c>
      <c r="G89" t="str">
        <f t="shared" si="16"/>
        <v/>
      </c>
      <c r="H89" t="str">
        <f t="shared" si="17"/>
        <v/>
      </c>
      <c r="I89" t="str">
        <f t="shared" si="18"/>
        <v/>
      </c>
      <c r="J89" s="126" t="str">
        <f t="shared" si="19"/>
        <v/>
      </c>
      <c r="K89" s="126" t="str">
        <f t="shared" si="20"/>
        <v/>
      </c>
      <c r="L89" t="str">
        <f t="shared" si="21"/>
        <v/>
      </c>
    </row>
    <row r="90" spans="6:12" x14ac:dyDescent="0.2">
      <c r="F90" t="str">
        <f t="shared" si="15"/>
        <v/>
      </c>
      <c r="G90" t="str">
        <f t="shared" si="16"/>
        <v/>
      </c>
      <c r="H90" t="str">
        <f t="shared" si="17"/>
        <v/>
      </c>
      <c r="I90" t="str">
        <f t="shared" si="18"/>
        <v/>
      </c>
      <c r="J90" s="126" t="str">
        <f t="shared" si="19"/>
        <v/>
      </c>
      <c r="K90" s="126" t="str">
        <f t="shared" si="20"/>
        <v/>
      </c>
      <c r="L90" t="str">
        <f t="shared" si="21"/>
        <v/>
      </c>
    </row>
    <row r="91" spans="6:12" x14ac:dyDescent="0.2">
      <c r="F91" t="str">
        <f t="shared" si="15"/>
        <v/>
      </c>
      <c r="G91" t="str">
        <f t="shared" si="16"/>
        <v/>
      </c>
      <c r="H91" t="str">
        <f t="shared" si="17"/>
        <v/>
      </c>
      <c r="I91" t="str">
        <f t="shared" si="18"/>
        <v/>
      </c>
      <c r="J91" s="126" t="str">
        <f t="shared" si="19"/>
        <v/>
      </c>
      <c r="K91" s="126" t="str">
        <f t="shared" si="20"/>
        <v/>
      </c>
      <c r="L91" t="str">
        <f t="shared" si="21"/>
        <v/>
      </c>
    </row>
    <row r="92" spans="6:12" x14ac:dyDescent="0.2">
      <c r="F92" t="str">
        <f t="shared" si="15"/>
        <v/>
      </c>
      <c r="G92" t="str">
        <f t="shared" si="16"/>
        <v/>
      </c>
      <c r="H92" t="str">
        <f t="shared" si="17"/>
        <v/>
      </c>
      <c r="I92" t="str">
        <f t="shared" si="18"/>
        <v/>
      </c>
      <c r="J92" s="126" t="str">
        <f t="shared" si="19"/>
        <v/>
      </c>
      <c r="K92" s="126" t="str">
        <f t="shared" si="20"/>
        <v/>
      </c>
      <c r="L92" t="str">
        <f t="shared" si="21"/>
        <v/>
      </c>
    </row>
    <row r="93" spans="6:12" x14ac:dyDescent="0.2">
      <c r="F93" t="str">
        <f t="shared" si="15"/>
        <v/>
      </c>
      <c r="G93" t="str">
        <f t="shared" si="16"/>
        <v/>
      </c>
      <c r="H93" t="str">
        <f t="shared" si="17"/>
        <v/>
      </c>
      <c r="I93" t="str">
        <f t="shared" si="18"/>
        <v/>
      </c>
      <c r="J93" s="126" t="str">
        <f t="shared" si="19"/>
        <v/>
      </c>
      <c r="K93" s="126" t="str">
        <f t="shared" si="20"/>
        <v/>
      </c>
      <c r="L93" t="str">
        <f t="shared" si="21"/>
        <v/>
      </c>
    </row>
    <row r="94" spans="6:12" x14ac:dyDescent="0.2">
      <c r="F94" t="str">
        <f t="shared" si="15"/>
        <v/>
      </c>
      <c r="G94" t="str">
        <f t="shared" si="16"/>
        <v/>
      </c>
      <c r="H94" t="str">
        <f t="shared" si="17"/>
        <v/>
      </c>
      <c r="I94" t="str">
        <f t="shared" si="18"/>
        <v/>
      </c>
      <c r="J94" s="126" t="str">
        <f t="shared" si="19"/>
        <v/>
      </c>
      <c r="K94" s="126" t="str">
        <f t="shared" si="20"/>
        <v/>
      </c>
      <c r="L94" t="str">
        <f t="shared" si="21"/>
        <v/>
      </c>
    </row>
    <row r="95" spans="6:12" x14ac:dyDescent="0.2">
      <c r="F95" t="str">
        <f t="shared" si="15"/>
        <v/>
      </c>
      <c r="G95" t="str">
        <f t="shared" si="16"/>
        <v/>
      </c>
      <c r="H95" t="str">
        <f t="shared" si="17"/>
        <v/>
      </c>
      <c r="I95" t="str">
        <f t="shared" si="18"/>
        <v/>
      </c>
      <c r="J95" s="126" t="str">
        <f t="shared" si="19"/>
        <v/>
      </c>
      <c r="K95" s="126" t="str">
        <f t="shared" si="20"/>
        <v/>
      </c>
      <c r="L95" t="str">
        <f t="shared" si="21"/>
        <v/>
      </c>
    </row>
    <row r="96" spans="6:12" x14ac:dyDescent="0.2">
      <c r="F96" t="str">
        <f t="shared" si="15"/>
        <v/>
      </c>
      <c r="G96" t="str">
        <f t="shared" si="16"/>
        <v/>
      </c>
      <c r="H96" t="str">
        <f t="shared" si="17"/>
        <v/>
      </c>
      <c r="I96" t="str">
        <f t="shared" si="18"/>
        <v/>
      </c>
      <c r="J96" s="126" t="str">
        <f t="shared" si="19"/>
        <v/>
      </c>
      <c r="K96" s="126" t="str">
        <f t="shared" si="20"/>
        <v/>
      </c>
      <c r="L96" t="str">
        <f t="shared" si="21"/>
        <v/>
      </c>
    </row>
    <row r="97" spans="6:12" x14ac:dyDescent="0.2">
      <c r="F97" t="str">
        <f t="shared" si="15"/>
        <v/>
      </c>
      <c r="G97" t="str">
        <f t="shared" si="16"/>
        <v/>
      </c>
      <c r="H97" t="str">
        <f t="shared" si="17"/>
        <v/>
      </c>
      <c r="I97" t="str">
        <f t="shared" si="18"/>
        <v/>
      </c>
      <c r="J97" s="126" t="str">
        <f t="shared" si="19"/>
        <v/>
      </c>
      <c r="K97" s="126" t="str">
        <f t="shared" si="20"/>
        <v/>
      </c>
      <c r="L97" t="str">
        <f t="shared" si="21"/>
        <v/>
      </c>
    </row>
    <row r="98" spans="6:12" x14ac:dyDescent="0.2">
      <c r="F98" t="str">
        <f t="shared" si="15"/>
        <v/>
      </c>
      <c r="G98" t="str">
        <f t="shared" si="16"/>
        <v/>
      </c>
      <c r="H98" t="str">
        <f t="shared" si="17"/>
        <v/>
      </c>
      <c r="I98" t="str">
        <f t="shared" si="18"/>
        <v/>
      </c>
      <c r="J98" s="126" t="str">
        <f t="shared" si="19"/>
        <v/>
      </c>
      <c r="K98" s="126" t="str">
        <f t="shared" si="20"/>
        <v/>
      </c>
      <c r="L98" t="str">
        <f t="shared" si="21"/>
        <v/>
      </c>
    </row>
    <row r="99" spans="6:12" x14ac:dyDescent="0.2">
      <c r="F99" t="str">
        <f t="shared" si="15"/>
        <v/>
      </c>
      <c r="G99" t="str">
        <f t="shared" si="16"/>
        <v/>
      </c>
      <c r="H99" t="str">
        <f t="shared" si="17"/>
        <v/>
      </c>
      <c r="I99" t="str">
        <f t="shared" si="18"/>
        <v/>
      </c>
      <c r="J99" s="126" t="str">
        <f t="shared" si="19"/>
        <v/>
      </c>
      <c r="K99" s="126" t="str">
        <f t="shared" si="20"/>
        <v/>
      </c>
      <c r="L99" t="str">
        <f t="shared" si="21"/>
        <v/>
      </c>
    </row>
    <row r="100" spans="6:12" x14ac:dyDescent="0.2">
      <c r="F100" t="str">
        <f t="shared" si="15"/>
        <v/>
      </c>
      <c r="G100" t="str">
        <f t="shared" si="16"/>
        <v/>
      </c>
      <c r="H100" t="str">
        <f t="shared" si="17"/>
        <v/>
      </c>
      <c r="I100" t="str">
        <f t="shared" si="18"/>
        <v/>
      </c>
      <c r="J100" s="126" t="str">
        <f t="shared" si="19"/>
        <v/>
      </c>
      <c r="K100" s="126" t="str">
        <f t="shared" si="20"/>
        <v/>
      </c>
      <c r="L100" t="str">
        <f t="shared" si="21"/>
        <v/>
      </c>
    </row>
    <row r="101" spans="6:12" x14ac:dyDescent="0.2">
      <c r="F101" t="str">
        <f t="shared" si="15"/>
        <v/>
      </c>
      <c r="G101" t="str">
        <f t="shared" si="16"/>
        <v/>
      </c>
      <c r="H101" t="str">
        <f t="shared" si="17"/>
        <v/>
      </c>
      <c r="I101" t="str">
        <f t="shared" si="18"/>
        <v/>
      </c>
      <c r="J101" s="126" t="str">
        <f t="shared" si="19"/>
        <v/>
      </c>
      <c r="K101" s="126" t="str">
        <f t="shared" si="20"/>
        <v/>
      </c>
      <c r="L101" t="str">
        <f t="shared" si="21"/>
        <v/>
      </c>
    </row>
    <row r="102" spans="6:12" x14ac:dyDescent="0.2">
      <c r="F102" t="str">
        <f t="shared" si="15"/>
        <v/>
      </c>
      <c r="G102" t="str">
        <f t="shared" si="16"/>
        <v/>
      </c>
      <c r="H102" t="str">
        <f t="shared" si="17"/>
        <v/>
      </c>
      <c r="I102" t="str">
        <f t="shared" si="18"/>
        <v/>
      </c>
      <c r="J102" s="126" t="str">
        <f t="shared" si="19"/>
        <v/>
      </c>
      <c r="K102" s="126" t="str">
        <f t="shared" si="20"/>
        <v/>
      </c>
      <c r="L102" t="str">
        <f t="shared" si="21"/>
        <v/>
      </c>
    </row>
    <row r="103" spans="6:12" x14ac:dyDescent="0.2">
      <c r="F103" t="str">
        <f t="shared" si="15"/>
        <v/>
      </c>
      <c r="G103" t="str">
        <f t="shared" si="16"/>
        <v/>
      </c>
      <c r="H103" t="str">
        <f t="shared" si="17"/>
        <v/>
      </c>
      <c r="I103" t="str">
        <f t="shared" si="18"/>
        <v/>
      </c>
      <c r="J103" s="126" t="str">
        <f t="shared" si="19"/>
        <v/>
      </c>
      <c r="K103" s="126" t="str">
        <f t="shared" si="20"/>
        <v/>
      </c>
      <c r="L103" t="str">
        <f t="shared" si="21"/>
        <v/>
      </c>
    </row>
    <row r="104" spans="6:12" x14ac:dyDescent="0.2">
      <c r="F104" t="str">
        <f t="shared" si="15"/>
        <v/>
      </c>
      <c r="G104" t="str">
        <f t="shared" si="16"/>
        <v/>
      </c>
      <c r="H104" t="str">
        <f t="shared" si="17"/>
        <v/>
      </c>
      <c r="I104" t="str">
        <f t="shared" si="18"/>
        <v/>
      </c>
      <c r="J104" s="126" t="str">
        <f t="shared" si="19"/>
        <v/>
      </c>
      <c r="K104" s="126" t="str">
        <f t="shared" si="20"/>
        <v/>
      </c>
      <c r="L104" t="str">
        <f t="shared" si="21"/>
        <v/>
      </c>
    </row>
    <row r="105" spans="6:12" x14ac:dyDescent="0.2">
      <c r="F105" t="str">
        <f t="shared" si="15"/>
        <v/>
      </c>
      <c r="G105" t="str">
        <f t="shared" si="16"/>
        <v/>
      </c>
      <c r="H105" t="str">
        <f t="shared" si="17"/>
        <v/>
      </c>
      <c r="I105" t="str">
        <f t="shared" si="18"/>
        <v/>
      </c>
      <c r="J105" s="126" t="str">
        <f t="shared" si="19"/>
        <v/>
      </c>
      <c r="K105" s="126" t="str">
        <f t="shared" si="20"/>
        <v/>
      </c>
      <c r="L105" t="str">
        <f t="shared" si="21"/>
        <v/>
      </c>
    </row>
    <row r="106" spans="6:12" x14ac:dyDescent="0.2">
      <c r="F106" t="str">
        <f t="shared" si="15"/>
        <v/>
      </c>
      <c r="G106" t="str">
        <f t="shared" si="16"/>
        <v/>
      </c>
      <c r="H106" t="str">
        <f t="shared" si="17"/>
        <v/>
      </c>
      <c r="I106" t="str">
        <f t="shared" si="18"/>
        <v/>
      </c>
      <c r="J106" s="126" t="str">
        <f t="shared" si="19"/>
        <v/>
      </c>
      <c r="K106" s="126" t="str">
        <f t="shared" si="20"/>
        <v/>
      </c>
      <c r="L106" t="str">
        <f t="shared" si="21"/>
        <v/>
      </c>
    </row>
    <row r="107" spans="6:12" x14ac:dyDescent="0.2">
      <c r="F107" t="str">
        <f t="shared" si="15"/>
        <v/>
      </c>
      <c r="G107" t="str">
        <f t="shared" si="16"/>
        <v/>
      </c>
      <c r="H107" t="str">
        <f t="shared" si="17"/>
        <v/>
      </c>
      <c r="I107" t="str">
        <f t="shared" si="18"/>
        <v/>
      </c>
      <c r="J107" s="126" t="str">
        <f t="shared" si="19"/>
        <v/>
      </c>
      <c r="K107" s="126" t="str">
        <f t="shared" si="20"/>
        <v/>
      </c>
      <c r="L107" t="str">
        <f t="shared" si="21"/>
        <v/>
      </c>
    </row>
    <row r="108" spans="6:12" x14ac:dyDescent="0.2">
      <c r="F108" t="str">
        <f t="shared" si="15"/>
        <v/>
      </c>
      <c r="G108" t="str">
        <f t="shared" si="16"/>
        <v/>
      </c>
      <c r="H108" t="str">
        <f t="shared" si="17"/>
        <v/>
      </c>
      <c r="I108" t="str">
        <f t="shared" si="18"/>
        <v/>
      </c>
      <c r="J108" s="126" t="str">
        <f t="shared" si="19"/>
        <v/>
      </c>
      <c r="K108" s="126" t="str">
        <f t="shared" si="20"/>
        <v/>
      </c>
      <c r="L108" t="str">
        <f t="shared" si="21"/>
        <v/>
      </c>
    </row>
    <row r="109" spans="6:12" x14ac:dyDescent="0.2">
      <c r="F109" t="str">
        <f t="shared" si="15"/>
        <v/>
      </c>
      <c r="G109" t="str">
        <f t="shared" si="16"/>
        <v/>
      </c>
      <c r="H109" t="str">
        <f t="shared" si="17"/>
        <v/>
      </c>
      <c r="I109" t="str">
        <f t="shared" si="18"/>
        <v/>
      </c>
      <c r="J109" s="126" t="str">
        <f t="shared" si="19"/>
        <v/>
      </c>
      <c r="K109" s="126" t="str">
        <f t="shared" si="20"/>
        <v/>
      </c>
      <c r="L109" t="str">
        <f t="shared" si="21"/>
        <v/>
      </c>
    </row>
    <row r="110" spans="6:12" x14ac:dyDescent="0.2">
      <c r="F110" t="str">
        <f t="shared" si="15"/>
        <v/>
      </c>
      <c r="G110" t="str">
        <f t="shared" si="16"/>
        <v/>
      </c>
      <c r="H110" t="str">
        <f t="shared" si="17"/>
        <v/>
      </c>
      <c r="I110" t="str">
        <f t="shared" si="18"/>
        <v/>
      </c>
      <c r="J110" s="126" t="str">
        <f t="shared" si="19"/>
        <v/>
      </c>
      <c r="K110" s="126" t="str">
        <f t="shared" si="20"/>
        <v/>
      </c>
      <c r="L110" t="str">
        <f t="shared" si="21"/>
        <v/>
      </c>
    </row>
    <row r="111" spans="6:12" x14ac:dyDescent="0.2">
      <c r="F111" t="str">
        <f t="shared" si="15"/>
        <v/>
      </c>
      <c r="G111" t="str">
        <f t="shared" si="16"/>
        <v/>
      </c>
      <c r="H111" t="str">
        <f t="shared" si="17"/>
        <v/>
      </c>
      <c r="I111" t="str">
        <f t="shared" si="18"/>
        <v/>
      </c>
      <c r="J111" s="126" t="str">
        <f t="shared" si="19"/>
        <v/>
      </c>
      <c r="K111" s="126" t="str">
        <f t="shared" si="20"/>
        <v/>
      </c>
      <c r="L111" t="str">
        <f t="shared" si="21"/>
        <v/>
      </c>
    </row>
    <row r="112" spans="6:12" x14ac:dyDescent="0.2">
      <c r="F112" t="str">
        <f t="shared" si="15"/>
        <v/>
      </c>
      <c r="G112" t="str">
        <f t="shared" si="16"/>
        <v/>
      </c>
      <c r="H112" t="str">
        <f t="shared" si="17"/>
        <v/>
      </c>
      <c r="I112" t="str">
        <f t="shared" si="18"/>
        <v/>
      </c>
      <c r="J112" s="126" t="str">
        <f t="shared" si="19"/>
        <v/>
      </c>
      <c r="K112" s="126" t="str">
        <f t="shared" si="20"/>
        <v/>
      </c>
      <c r="L112" t="str">
        <f t="shared" si="21"/>
        <v/>
      </c>
    </row>
    <row r="113" spans="6:12" x14ac:dyDescent="0.2">
      <c r="F113" t="str">
        <f t="shared" si="15"/>
        <v/>
      </c>
      <c r="G113" t="str">
        <f t="shared" si="16"/>
        <v/>
      </c>
      <c r="H113" t="str">
        <f t="shared" si="17"/>
        <v/>
      </c>
      <c r="I113" t="str">
        <f t="shared" si="18"/>
        <v/>
      </c>
      <c r="J113" s="126" t="str">
        <f t="shared" si="19"/>
        <v/>
      </c>
      <c r="K113" s="126" t="str">
        <f t="shared" si="20"/>
        <v/>
      </c>
      <c r="L113" t="str">
        <f t="shared" si="21"/>
        <v/>
      </c>
    </row>
    <row r="114" spans="6:12" x14ac:dyDescent="0.2">
      <c r="F114" t="str">
        <f t="shared" ref="F114:F137" si="22">IF($A114="","",COUNTIF($A$18:$A$137,$A114))</f>
        <v/>
      </c>
      <c r="G114" t="str">
        <f t="shared" ref="G114:G137" si="23">IF($A114="","",$B$4*(1+IF(UPPER($E114)="Y",1,0)))</f>
        <v/>
      </c>
      <c r="H114" t="str">
        <f t="shared" ref="H114:H137" si="24">IF($A114="","",SUMIF($A$18:$A$137,$A114,$G$18:$G$137))</f>
        <v/>
      </c>
      <c r="I114" t="str">
        <f t="shared" ref="I114:I137" si="25">IF($A114="","",IF($F114&lt;$B$6,0,IFERROR(INDEX($E$5:$K$14,$D114,$F114-3),0)))</f>
        <v/>
      </c>
      <c r="J114" s="126" t="str">
        <f t="shared" ref="J114:J137" si="26">IF($A114="","",$H114*$I114/100)</f>
        <v/>
      </c>
      <c r="K114" s="126" t="str">
        <f t="shared" ref="K114:K137" si="27">IF($A114="","",IF($F114&lt;$B$6,0,$J114-$G114))</f>
        <v/>
      </c>
      <c r="L114" t="str">
        <f t="shared" ref="L114:L137" si="28">IF($A114="","",IF($F114&lt;$B$6,"NEED 4+ PLAYERS",IF($F114&gt;$B$7,"MAX 10 PLAYERS",IF($D114="","ADD FINISH",IF(COUNTIFS($A$18:$A$137,$A114,$D$18:$D$137,$D114)&gt;1,"DUPLICATE FINISH",IF(OR($D114&lt;1,$D114&gt;$F114),"BAD FINISH",IF(ABS(SUMIF($A$18:$A$137,$A114,$K$18:$K$137))&gt;0.6,"POT LEAK","OK")))))))</f>
        <v/>
      </c>
    </row>
    <row r="115" spans="6:12" x14ac:dyDescent="0.2">
      <c r="F115" t="str">
        <f t="shared" si="22"/>
        <v/>
      </c>
      <c r="G115" t="str">
        <f t="shared" si="23"/>
        <v/>
      </c>
      <c r="H115" t="str">
        <f t="shared" si="24"/>
        <v/>
      </c>
      <c r="I115" t="str">
        <f t="shared" si="25"/>
        <v/>
      </c>
      <c r="J115" s="126" t="str">
        <f t="shared" si="26"/>
        <v/>
      </c>
      <c r="K115" s="126" t="str">
        <f t="shared" si="27"/>
        <v/>
      </c>
      <c r="L115" t="str">
        <f t="shared" si="28"/>
        <v/>
      </c>
    </row>
    <row r="116" spans="6:12" x14ac:dyDescent="0.2">
      <c r="F116" t="str">
        <f t="shared" si="22"/>
        <v/>
      </c>
      <c r="G116" t="str">
        <f t="shared" si="23"/>
        <v/>
      </c>
      <c r="H116" t="str">
        <f t="shared" si="24"/>
        <v/>
      </c>
      <c r="I116" t="str">
        <f t="shared" si="25"/>
        <v/>
      </c>
      <c r="J116" s="126" t="str">
        <f t="shared" si="26"/>
        <v/>
      </c>
      <c r="K116" s="126" t="str">
        <f t="shared" si="27"/>
        <v/>
      </c>
      <c r="L116" t="str">
        <f t="shared" si="28"/>
        <v/>
      </c>
    </row>
    <row r="117" spans="6:12" x14ac:dyDescent="0.2">
      <c r="F117" t="str">
        <f t="shared" si="22"/>
        <v/>
      </c>
      <c r="G117" t="str">
        <f t="shared" si="23"/>
        <v/>
      </c>
      <c r="H117" t="str">
        <f t="shared" si="24"/>
        <v/>
      </c>
      <c r="I117" t="str">
        <f t="shared" si="25"/>
        <v/>
      </c>
      <c r="J117" s="126" t="str">
        <f t="shared" si="26"/>
        <v/>
      </c>
      <c r="K117" s="126" t="str">
        <f t="shared" si="27"/>
        <v/>
      </c>
      <c r="L117" t="str">
        <f t="shared" si="28"/>
        <v/>
      </c>
    </row>
    <row r="118" spans="6:12" x14ac:dyDescent="0.2">
      <c r="F118" t="str">
        <f t="shared" si="22"/>
        <v/>
      </c>
      <c r="G118" t="str">
        <f t="shared" si="23"/>
        <v/>
      </c>
      <c r="H118" t="str">
        <f t="shared" si="24"/>
        <v/>
      </c>
      <c r="I118" t="str">
        <f t="shared" si="25"/>
        <v/>
      </c>
      <c r="J118" s="126" t="str">
        <f t="shared" si="26"/>
        <v/>
      </c>
      <c r="K118" s="126" t="str">
        <f t="shared" si="27"/>
        <v/>
      </c>
      <c r="L118" t="str">
        <f t="shared" si="28"/>
        <v/>
      </c>
    </row>
    <row r="119" spans="6:12" x14ac:dyDescent="0.2">
      <c r="F119" t="str">
        <f t="shared" si="22"/>
        <v/>
      </c>
      <c r="G119" t="str">
        <f t="shared" si="23"/>
        <v/>
      </c>
      <c r="H119" t="str">
        <f t="shared" si="24"/>
        <v/>
      </c>
      <c r="I119" t="str">
        <f t="shared" si="25"/>
        <v/>
      </c>
      <c r="J119" s="126" t="str">
        <f t="shared" si="26"/>
        <v/>
      </c>
      <c r="K119" s="126" t="str">
        <f t="shared" si="27"/>
        <v/>
      </c>
      <c r="L119" t="str">
        <f t="shared" si="28"/>
        <v/>
      </c>
    </row>
    <row r="120" spans="6:12" x14ac:dyDescent="0.2">
      <c r="F120" t="str">
        <f t="shared" si="22"/>
        <v/>
      </c>
      <c r="G120" t="str">
        <f t="shared" si="23"/>
        <v/>
      </c>
      <c r="H120" t="str">
        <f t="shared" si="24"/>
        <v/>
      </c>
      <c r="I120" t="str">
        <f t="shared" si="25"/>
        <v/>
      </c>
      <c r="J120" s="126" t="str">
        <f t="shared" si="26"/>
        <v/>
      </c>
      <c r="K120" s="126" t="str">
        <f t="shared" si="27"/>
        <v/>
      </c>
      <c r="L120" t="str">
        <f t="shared" si="28"/>
        <v/>
      </c>
    </row>
    <row r="121" spans="6:12" x14ac:dyDescent="0.2">
      <c r="F121" t="str">
        <f t="shared" si="22"/>
        <v/>
      </c>
      <c r="G121" t="str">
        <f t="shared" si="23"/>
        <v/>
      </c>
      <c r="H121" t="str">
        <f t="shared" si="24"/>
        <v/>
      </c>
      <c r="I121" t="str">
        <f t="shared" si="25"/>
        <v/>
      </c>
      <c r="J121" s="126" t="str">
        <f t="shared" si="26"/>
        <v/>
      </c>
      <c r="K121" s="126" t="str">
        <f t="shared" si="27"/>
        <v/>
      </c>
      <c r="L121" t="str">
        <f t="shared" si="28"/>
        <v/>
      </c>
    </row>
    <row r="122" spans="6:12" x14ac:dyDescent="0.2">
      <c r="F122" t="str">
        <f t="shared" si="22"/>
        <v/>
      </c>
      <c r="G122" t="str">
        <f t="shared" si="23"/>
        <v/>
      </c>
      <c r="H122" t="str">
        <f t="shared" si="24"/>
        <v/>
      </c>
      <c r="I122" t="str">
        <f t="shared" si="25"/>
        <v/>
      </c>
      <c r="J122" s="126" t="str">
        <f t="shared" si="26"/>
        <v/>
      </c>
      <c r="K122" s="126" t="str">
        <f t="shared" si="27"/>
        <v/>
      </c>
      <c r="L122" t="str">
        <f t="shared" si="28"/>
        <v/>
      </c>
    </row>
    <row r="123" spans="6:12" x14ac:dyDescent="0.2">
      <c r="F123" t="str">
        <f t="shared" si="22"/>
        <v/>
      </c>
      <c r="G123" t="str">
        <f t="shared" si="23"/>
        <v/>
      </c>
      <c r="H123" t="str">
        <f t="shared" si="24"/>
        <v/>
      </c>
      <c r="I123" t="str">
        <f t="shared" si="25"/>
        <v/>
      </c>
      <c r="J123" s="126" t="str">
        <f t="shared" si="26"/>
        <v/>
      </c>
      <c r="K123" s="126" t="str">
        <f t="shared" si="27"/>
        <v/>
      </c>
      <c r="L123" t="str">
        <f t="shared" si="28"/>
        <v/>
      </c>
    </row>
    <row r="124" spans="6:12" x14ac:dyDescent="0.2">
      <c r="F124" t="str">
        <f t="shared" si="22"/>
        <v/>
      </c>
      <c r="G124" t="str">
        <f t="shared" si="23"/>
        <v/>
      </c>
      <c r="H124" t="str">
        <f t="shared" si="24"/>
        <v/>
      </c>
      <c r="I124" t="str">
        <f t="shared" si="25"/>
        <v/>
      </c>
      <c r="J124" s="126" t="str">
        <f t="shared" si="26"/>
        <v/>
      </c>
      <c r="K124" s="126" t="str">
        <f t="shared" si="27"/>
        <v/>
      </c>
      <c r="L124" t="str">
        <f t="shared" si="28"/>
        <v/>
      </c>
    </row>
    <row r="125" spans="6:12" x14ac:dyDescent="0.2">
      <c r="F125" t="str">
        <f t="shared" si="22"/>
        <v/>
      </c>
      <c r="G125" t="str">
        <f t="shared" si="23"/>
        <v/>
      </c>
      <c r="H125" t="str">
        <f t="shared" si="24"/>
        <v/>
      </c>
      <c r="I125" t="str">
        <f t="shared" si="25"/>
        <v/>
      </c>
      <c r="J125" s="126" t="str">
        <f t="shared" si="26"/>
        <v/>
      </c>
      <c r="K125" s="126" t="str">
        <f t="shared" si="27"/>
        <v/>
      </c>
      <c r="L125" t="str">
        <f t="shared" si="28"/>
        <v/>
      </c>
    </row>
    <row r="126" spans="6:12" x14ac:dyDescent="0.2">
      <c r="F126" t="str">
        <f t="shared" si="22"/>
        <v/>
      </c>
      <c r="G126" t="str">
        <f t="shared" si="23"/>
        <v/>
      </c>
      <c r="H126" t="str">
        <f t="shared" si="24"/>
        <v/>
      </c>
      <c r="I126" t="str">
        <f t="shared" si="25"/>
        <v/>
      </c>
      <c r="J126" s="126" t="str">
        <f t="shared" si="26"/>
        <v/>
      </c>
      <c r="K126" s="126" t="str">
        <f t="shared" si="27"/>
        <v/>
      </c>
      <c r="L126" t="str">
        <f t="shared" si="28"/>
        <v/>
      </c>
    </row>
    <row r="127" spans="6:12" x14ac:dyDescent="0.2">
      <c r="F127" t="str">
        <f t="shared" si="22"/>
        <v/>
      </c>
      <c r="G127" t="str">
        <f t="shared" si="23"/>
        <v/>
      </c>
      <c r="H127" t="str">
        <f t="shared" si="24"/>
        <v/>
      </c>
      <c r="I127" t="str">
        <f t="shared" si="25"/>
        <v/>
      </c>
      <c r="J127" s="126" t="str">
        <f t="shared" si="26"/>
        <v/>
      </c>
      <c r="K127" s="126" t="str">
        <f t="shared" si="27"/>
        <v/>
      </c>
      <c r="L127" t="str">
        <f t="shared" si="28"/>
        <v/>
      </c>
    </row>
    <row r="128" spans="6:12" x14ac:dyDescent="0.2">
      <c r="F128" t="str">
        <f t="shared" si="22"/>
        <v/>
      </c>
      <c r="G128" t="str">
        <f t="shared" si="23"/>
        <v/>
      </c>
      <c r="H128" t="str">
        <f t="shared" si="24"/>
        <v/>
      </c>
      <c r="I128" t="str">
        <f t="shared" si="25"/>
        <v/>
      </c>
      <c r="J128" s="126" t="str">
        <f t="shared" si="26"/>
        <v/>
      </c>
      <c r="K128" s="126" t="str">
        <f t="shared" si="27"/>
        <v/>
      </c>
      <c r="L128" t="str">
        <f t="shared" si="28"/>
        <v/>
      </c>
    </row>
    <row r="129" spans="6:12" x14ac:dyDescent="0.2">
      <c r="F129" t="str">
        <f t="shared" si="22"/>
        <v/>
      </c>
      <c r="G129" t="str">
        <f t="shared" si="23"/>
        <v/>
      </c>
      <c r="H129" t="str">
        <f t="shared" si="24"/>
        <v/>
      </c>
      <c r="I129" t="str">
        <f t="shared" si="25"/>
        <v/>
      </c>
      <c r="J129" s="126" t="str">
        <f t="shared" si="26"/>
        <v/>
      </c>
      <c r="K129" s="126" t="str">
        <f t="shared" si="27"/>
        <v/>
      </c>
      <c r="L129" t="str">
        <f t="shared" si="28"/>
        <v/>
      </c>
    </row>
    <row r="130" spans="6:12" x14ac:dyDescent="0.2">
      <c r="F130" t="str">
        <f t="shared" si="22"/>
        <v/>
      </c>
      <c r="G130" t="str">
        <f t="shared" si="23"/>
        <v/>
      </c>
      <c r="H130" t="str">
        <f t="shared" si="24"/>
        <v/>
      </c>
      <c r="I130" t="str">
        <f t="shared" si="25"/>
        <v/>
      </c>
      <c r="J130" s="126" t="str">
        <f t="shared" si="26"/>
        <v/>
      </c>
      <c r="K130" s="126" t="str">
        <f t="shared" si="27"/>
        <v/>
      </c>
      <c r="L130" t="str">
        <f t="shared" si="28"/>
        <v/>
      </c>
    </row>
    <row r="131" spans="6:12" x14ac:dyDescent="0.2">
      <c r="F131" t="str">
        <f t="shared" si="22"/>
        <v/>
      </c>
      <c r="G131" t="str">
        <f t="shared" si="23"/>
        <v/>
      </c>
      <c r="H131" t="str">
        <f t="shared" si="24"/>
        <v/>
      </c>
      <c r="I131" t="str">
        <f t="shared" si="25"/>
        <v/>
      </c>
      <c r="J131" s="126" t="str">
        <f t="shared" si="26"/>
        <v/>
      </c>
      <c r="K131" s="126" t="str">
        <f t="shared" si="27"/>
        <v/>
      </c>
      <c r="L131" t="str">
        <f t="shared" si="28"/>
        <v/>
      </c>
    </row>
    <row r="132" spans="6:12" x14ac:dyDescent="0.2">
      <c r="F132" t="str">
        <f t="shared" si="22"/>
        <v/>
      </c>
      <c r="G132" t="str">
        <f t="shared" si="23"/>
        <v/>
      </c>
      <c r="H132" t="str">
        <f t="shared" si="24"/>
        <v/>
      </c>
      <c r="I132" t="str">
        <f t="shared" si="25"/>
        <v/>
      </c>
      <c r="J132" s="126" t="str">
        <f t="shared" si="26"/>
        <v/>
      </c>
      <c r="K132" s="126" t="str">
        <f t="shared" si="27"/>
        <v/>
      </c>
      <c r="L132" t="str">
        <f t="shared" si="28"/>
        <v/>
      </c>
    </row>
    <row r="133" spans="6:12" x14ac:dyDescent="0.2">
      <c r="F133" t="str">
        <f t="shared" si="22"/>
        <v/>
      </c>
      <c r="G133" t="str">
        <f t="shared" si="23"/>
        <v/>
      </c>
      <c r="H133" t="str">
        <f t="shared" si="24"/>
        <v/>
      </c>
      <c r="I133" t="str">
        <f t="shared" si="25"/>
        <v/>
      </c>
      <c r="J133" s="126" t="str">
        <f t="shared" si="26"/>
        <v/>
      </c>
      <c r="K133" s="126" t="str">
        <f t="shared" si="27"/>
        <v/>
      </c>
      <c r="L133" t="str">
        <f t="shared" si="28"/>
        <v/>
      </c>
    </row>
    <row r="134" spans="6:12" x14ac:dyDescent="0.2">
      <c r="F134" t="str">
        <f t="shared" si="22"/>
        <v/>
      </c>
      <c r="G134" t="str">
        <f t="shared" si="23"/>
        <v/>
      </c>
      <c r="H134" t="str">
        <f t="shared" si="24"/>
        <v/>
      </c>
      <c r="I134" t="str">
        <f t="shared" si="25"/>
        <v/>
      </c>
      <c r="J134" s="126" t="str">
        <f t="shared" si="26"/>
        <v/>
      </c>
      <c r="K134" s="126" t="str">
        <f t="shared" si="27"/>
        <v/>
      </c>
      <c r="L134" t="str">
        <f t="shared" si="28"/>
        <v/>
      </c>
    </row>
    <row r="135" spans="6:12" x14ac:dyDescent="0.2">
      <c r="F135" t="str">
        <f t="shared" si="22"/>
        <v/>
      </c>
      <c r="G135" t="str">
        <f t="shared" si="23"/>
        <v/>
      </c>
      <c r="H135" t="str">
        <f t="shared" si="24"/>
        <v/>
      </c>
      <c r="I135" t="str">
        <f t="shared" si="25"/>
        <v/>
      </c>
      <c r="J135" s="126" t="str">
        <f t="shared" si="26"/>
        <v/>
      </c>
      <c r="K135" s="126" t="str">
        <f t="shared" si="27"/>
        <v/>
      </c>
      <c r="L135" t="str">
        <f t="shared" si="28"/>
        <v/>
      </c>
    </row>
    <row r="136" spans="6:12" x14ac:dyDescent="0.2">
      <c r="F136" t="str">
        <f t="shared" si="22"/>
        <v/>
      </c>
      <c r="G136" t="str">
        <f t="shared" si="23"/>
        <v/>
      </c>
      <c r="H136" t="str">
        <f t="shared" si="24"/>
        <v/>
      </c>
      <c r="I136" t="str">
        <f t="shared" si="25"/>
        <v/>
      </c>
      <c r="J136" s="126" t="str">
        <f t="shared" si="26"/>
        <v/>
      </c>
      <c r="K136" s="126" t="str">
        <f t="shared" si="27"/>
        <v/>
      </c>
      <c r="L136" t="str">
        <f t="shared" si="28"/>
        <v/>
      </c>
    </row>
    <row r="137" spans="6:12" x14ac:dyDescent="0.2">
      <c r="F137" t="str">
        <f t="shared" si="22"/>
        <v/>
      </c>
      <c r="G137" t="str">
        <f t="shared" si="23"/>
        <v/>
      </c>
      <c r="H137" t="str">
        <f t="shared" si="24"/>
        <v/>
      </c>
      <c r="I137" t="str">
        <f t="shared" si="25"/>
        <v/>
      </c>
      <c r="J137" s="126" t="str">
        <f t="shared" si="26"/>
        <v/>
      </c>
      <c r="K137" s="126" t="str">
        <f t="shared" si="27"/>
        <v/>
      </c>
      <c r="L137" t="str">
        <f t="shared" si="28"/>
        <v/>
      </c>
    </row>
  </sheetData>
  <mergeCells count="3">
    <mergeCell ref="A1:C1"/>
    <mergeCell ref="D3:K3"/>
    <mergeCell ref="A2:K2"/>
  </mergeCells>
  <conditionalFormatting sqref="D18:D137">
    <cfRule type="colorScale" priority="2">
      <colorScale>
        <cfvo type="min"/>
        <cfvo type="percentile" val="50"/>
        <cfvo type="max"/>
        <color rgb="FF63BE7B"/>
        <color rgb="FFFFEB84"/>
        <color rgb="FFF8696B"/>
      </colorScale>
    </cfRule>
  </conditionalFormatting>
  <conditionalFormatting sqref="K18:K137">
    <cfRule type="colorScale" priority="3">
      <colorScale>
        <cfvo type="min"/>
        <cfvo type="percentile" val="50"/>
        <cfvo type="max"/>
        <color rgb="FFF8696B"/>
        <color rgb="FFFFEB84"/>
        <color rgb="FF63BE7B"/>
      </colorScale>
    </cfRule>
  </conditionalFormatting>
  <conditionalFormatting sqref="O18:O31">
    <cfRule type="colorScale" priority="4">
      <colorScale>
        <cfvo type="min"/>
        <cfvo type="percentile" val="50"/>
        <cfvo type="max"/>
        <color rgb="FFF8696B"/>
        <color rgb="FFFFEB84"/>
        <color rgb="FF63BE7B"/>
      </colorScale>
    </cfRule>
  </conditionalFormatting>
  <dataValidations count="2">
    <dataValidation type="list" allowBlank="1" showInputMessage="1" showErrorMessage="1" sqref="E18:E137" xr:uid="{00000000-0002-0000-0B00-000000000000}">
      <formula1>"Y,N"</formula1>
      <formula2>0</formula2>
    </dataValidation>
    <dataValidation type="whole" allowBlank="1" showInputMessage="1" showErrorMessage="1" sqref="D18:D137" xr:uid="{00000000-0002-0000-0B00-000001000000}">
      <formula1>1</formula1>
      <formula2>10</formula2>
    </dataValidation>
  </dataValidation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2000000}">
          <x14:formula1>
            <xm:f>Lists!$A$2:$A$15</xm:f>
          </x14:formula1>
          <x14:formula2>
            <xm:f>0</xm:f>
          </x14:formula2>
          <xm:sqref>C18:C137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O724"/>
  <sheetViews>
    <sheetView zoomScaleNormal="100" workbookViewId="0"/>
  </sheetViews>
  <sheetFormatPr baseColWidth="10" defaultColWidth="8.6640625" defaultRowHeight="15" x14ac:dyDescent="0.2"/>
  <sheetData>
    <row r="1" spans="1:41" ht="15" customHeight="1" x14ac:dyDescent="0.2">
      <c r="A1" t="s">
        <v>414</v>
      </c>
    </row>
    <row r="3" spans="1:41" ht="15" customHeight="1" x14ac:dyDescent="0.2">
      <c r="A3" t="s">
        <v>415</v>
      </c>
      <c r="B3" s="137">
        <f>MAX('Match Log'!$B$4:$B$1510)-7</f>
        <v>46312</v>
      </c>
    </row>
    <row r="4" spans="1:41" ht="15" customHeight="1" x14ac:dyDescent="0.2">
      <c r="A4" t="s">
        <v>416</v>
      </c>
      <c r="B4" s="138">
        <f>MAX('Match Log'!$B$4:$B$1510)</f>
        <v>46319</v>
      </c>
      <c r="C4" t="s">
        <v>417</v>
      </c>
      <c r="D4" s="138">
        <f ca="1">MAX($B$4,TODAY())</f>
        <v>46319</v>
      </c>
    </row>
    <row r="5" spans="1:41" x14ac:dyDescent="0.2">
      <c r="B5" s="137">
        <f ca="1">TODAY()-7</f>
        <v>46312</v>
      </c>
    </row>
    <row r="6" spans="1:41" ht="15" customHeight="1" x14ac:dyDescent="0.2">
      <c r="A6" t="s">
        <v>5</v>
      </c>
      <c r="B6" t="s">
        <v>6</v>
      </c>
      <c r="C6" t="s">
        <v>263</v>
      </c>
      <c r="D6" t="s">
        <v>14</v>
      </c>
      <c r="E6" t="s">
        <v>418</v>
      </c>
      <c r="F6" t="s">
        <v>419</v>
      </c>
      <c r="G6" t="s">
        <v>420</v>
      </c>
      <c r="H6" t="s">
        <v>150</v>
      </c>
      <c r="I6" t="s">
        <v>421</v>
      </c>
      <c r="J6" t="s">
        <v>449</v>
      </c>
      <c r="K6" t="s">
        <v>422</v>
      </c>
      <c r="L6" t="s">
        <v>266</v>
      </c>
      <c r="P6" t="s">
        <v>423</v>
      </c>
      <c r="Q6" t="s">
        <v>424</v>
      </c>
      <c r="R6" t="s">
        <v>425</v>
      </c>
      <c r="S6" t="s">
        <v>426</v>
      </c>
      <c r="T6" t="s">
        <v>156</v>
      </c>
      <c r="U6" t="s">
        <v>427</v>
      </c>
      <c r="V6" t="s">
        <v>428</v>
      </c>
      <c r="W6" t="s">
        <v>429</v>
      </c>
      <c r="X6" t="s">
        <v>430</v>
      </c>
      <c r="Y6" t="s">
        <v>431</v>
      </c>
      <c r="Z6" t="s">
        <v>432</v>
      </c>
      <c r="AA6" t="s">
        <v>433</v>
      </c>
      <c r="AB6" t="s">
        <v>434</v>
      </c>
      <c r="AC6" t="s">
        <v>435</v>
      </c>
      <c r="AD6" t="s">
        <v>436</v>
      </c>
      <c r="AE6" t="s">
        <v>437</v>
      </c>
      <c r="AF6" t="s">
        <v>158</v>
      </c>
      <c r="AK6" t="s">
        <v>450</v>
      </c>
      <c r="AL6" t="s">
        <v>451</v>
      </c>
      <c r="AM6" t="s">
        <v>452</v>
      </c>
      <c r="AN6" t="s">
        <v>453</v>
      </c>
      <c r="AO6" t="s">
        <v>454</v>
      </c>
    </row>
    <row r="7" spans="1:41" ht="15" customHeight="1" x14ac:dyDescent="0.2">
      <c r="A7" t="s">
        <v>15</v>
      </c>
      <c r="B7">
        <f>IFERROR(INDEX(Engine!$B$2:$B$15,MATCH($A7,Engine!$A$2:$A$15,0)),1000)</f>
        <v>1244.2911759451083</v>
      </c>
      <c r="C7">
        <f>IFERROR(INDEX(Engine!$C$2:$C$15,MATCH($A7,Engine!$A$2:$A$15,0)),"")</f>
        <v>1157.4221709300564</v>
      </c>
      <c r="D7">
        <f t="shared" ref="D7:D20" si="0">RANK($B7,$B$7:$B$20)</f>
        <v>2</v>
      </c>
      <c r="E7">
        <f t="shared" ref="E7:E20" si="1">MAX($B$7:$B$20)-$B7</f>
        <v>7.644661049557044</v>
      </c>
      <c r="F7" t="str">
        <f>IFERROR(LOOKUP(2,1/('Match Log'!$D$4:$D$1510=$A7),'Match Log'!$E$4:$E$1510),"")</f>
        <v>Win</v>
      </c>
      <c r="G7">
        <f>IF($F7="",0,SUMPRODUCT(('Match Log'!$D$4:$D$1510=$A7)*(ROW('Match Log'!$A$4:$A$1510)&gt;SUMPRODUCT(MAX(('Match Log'!$D$4:$D$1510=$A7)*('Match Log'!$E$4:$E$1510&lt;&gt;$F7)*ROW('Match Log'!$A$4:$A$1510))))))</f>
        <v>2</v>
      </c>
      <c r="H7" t="str">
        <f t="shared" ref="H7:H20" si="2">IF($G7=0,"",LEFT($F7,1)&amp;$G7)</f>
        <v>W2</v>
      </c>
      <c r="I7" t="str">
        <f>IFERROR(IF(INDEX('Match Log'!$E$1:$E$1510,_xlfn.AGGREGATE(14,6,ROW('Match Log'!$A$4:$A$1510)/('Match Log'!$D$4:$D$1510=$A7),5))="Win","W","L"),"")&amp;IFERROR(IF(INDEX('Match Log'!$E$1:$E$1510,_xlfn.AGGREGATE(14,6,ROW('Match Log'!$A$4:$A$1510)/('Match Log'!$D$4:$D$1510=$A7),4))="Win","W","L"),"")&amp;IFERROR(IF(INDEX('Match Log'!$E$1:$E$1510,_xlfn.AGGREGATE(14,6,ROW('Match Log'!$A$4:$A$1510)/('Match Log'!$D$4:$D$1510=$A7),3))="Win","W","L"),"")&amp;IFERROR(IF(INDEX('Match Log'!$E$1:$E$1510,_xlfn.AGGREGATE(14,6,ROW('Match Log'!$A$4:$A$1510)/('Match Log'!$D$4:$D$1510=$A7),2))="Win","W","L"),"")&amp;IFERROR(IF(INDEX('Match Log'!$E$1:$E$1510,_xlfn.AGGREGATE(14,6,ROW('Match Log'!$A$4:$A$1510)/('Match Log'!$D$4:$D$1510=$A7),1))="Win","W","L"),"")</f>
        <v>LLLWW</v>
      </c>
      <c r="J7">
        <f t="shared" ref="J7:J20" ca="1" si="3">$AL7-$AM7+$AN7-$AO7+ROW()/10000000</f>
        <v>1188.5766163390554</v>
      </c>
      <c r="K7">
        <f t="shared" ref="K7:K20" ca="1" si="4">RANK($J7,$J$7:$J$20)</f>
        <v>5</v>
      </c>
      <c r="L7">
        <f t="shared" ref="L7:L20" ca="1" si="5">$K7-RANK($AI7,$AI$7:$AI$20)</f>
        <v>2</v>
      </c>
      <c r="M7">
        <f t="shared" ref="M7:M20" si="6">SUMPRODUCT(($D$25:$D$724=$A7)*($G$25:$G$724&gt;0.25)*($D$25:$D$724&lt;&gt;""))</f>
        <v>9</v>
      </c>
      <c r="N7">
        <f t="shared" ref="N7:N20" si="7">LEN($I7)-LEN(SUBSTITUTE($I7,"W",""))</f>
        <v>2</v>
      </c>
      <c r="O7">
        <f t="shared" ref="O7:O20" si="8">IF($F7="Win",$G7,0)</f>
        <v>2</v>
      </c>
      <c r="P7">
        <f>IFERROR(SUMPRODUCT(MAX(('Match Log'!$D$4:$D$1510=$A7)*'Match Log'!$B$4:$B$1510)),0)</f>
        <v>46319</v>
      </c>
      <c r="Q7">
        <f t="shared" ref="Q7:Q20" ca="1" si="9">IF($P7=0,"",($D$4-$P7)/7)</f>
        <v>0</v>
      </c>
      <c r="R7">
        <f ca="1">IF($P7=0,0,IF($Q7&gt;='Guide &amp; Settings'!$C$48,(INT($Q7-'Guide &amp; Settings'!$C$48)+1)*'Guide &amp; Settings'!$C$49,0))</f>
        <v>0</v>
      </c>
      <c r="S7">
        <f ca="1">$B7-$R7-$U7+SUMIF('Poker Stake Ledger'!$C$18:$C$137,$A7,'Poker Stake Ledger'!$K$18:$K$137)</f>
        <v>1223.1911759451084</v>
      </c>
      <c r="T7" t="str">
        <f ca="1">IF($P7=0,"No games",IF($Q7&gt;='Guide &amp; Settings'!$C$48,"Inactive",IF($Q7&gt;='Guide &amp; Settings'!$C$47,"At risk","Active")))</f>
        <v>Active</v>
      </c>
      <c r="U7">
        <f>SUMIF('Match Log'!$D$4:$D$1510,$A7,'Match Log'!$AC$4:$AC$1510)</f>
        <v>10</v>
      </c>
      <c r="V7">
        <f t="shared" ref="V7:V20" si="10">IF($F7="Loss",$G7,0)</f>
        <v>0</v>
      </c>
      <c r="W7">
        <f t="shared" ref="W7:W20" ca="1" si="11">MAX(0,MIN(100,50+($S7-1000)/4))</f>
        <v>100</v>
      </c>
      <c r="X7">
        <f ca="1">IFERROR(INDEX(Dashboard!$G$5:$G$18,MATCH($A7,Dashboard!$B$5:$B$18,0))*100,0)</f>
        <v>46.808510638297875</v>
      </c>
      <c r="Y7">
        <f ca="1">MIN(100,IFERROR(INDEX(Dashboard!$K$5:$K$18,MATCH($A7,Dashboard!$B$5:$B$18,0)),0)/5*50+$AC7/4*50)</f>
        <v>100</v>
      </c>
      <c r="Z7">
        <f t="shared" ref="Z7:Z20" si="12">IFERROR($N7/LEN($I7)*100,0)</f>
        <v>40</v>
      </c>
      <c r="AA7">
        <f t="shared" ref="AA7:AA20" si="13">IF($C7="",0,MAX(0,MIN(100,50+($C7-1000)/4)))</f>
        <v>89.355542732514095</v>
      </c>
      <c r="AB7">
        <f t="shared" ref="AB7:AB20" ca="1" si="14">0.35*$W7+0.2*$X7+0.2*$Y7+0.15*$Z7+0.1*$AA7</f>
        <v>79.297256400910996</v>
      </c>
      <c r="AC7">
        <f>IFERROR(SUMPRODUCT((INDEX('Sport Records'!$B$8:$O$32,0,MATCH($A7,'Sport Records'!$B$7:$O$7,0))&gt;=2)*(INDEX('Sport Records'!$B$62:$O$86,0,MATCH($A7,'Sport Records'!$B$61:$O$61,0))&gt;=0.5)),0)</f>
        <v>4</v>
      </c>
      <c r="AD7">
        <f ca="1">IFERROR(INDEX(Dashboard!$D$5:$D$18,MATCH($A7,Dashboard!$B$5:$B$18,0)),0)</f>
        <v>94</v>
      </c>
      <c r="AE7">
        <f ca="1">IFERROR(INDEX(Dashboard!$K$5:$K$18,MATCH($A7,Dashboard!$B$5:$B$18,0)),0)</f>
        <v>14</v>
      </c>
      <c r="AF7" t="str">
        <f t="shared" ref="AF7:AF20" ca="1" si="15">IF($AD7=0,"No games",IF(OR($AD7&lt;5,$AE7&lt;2),"Unranked",IF($AB7&gt;=72,IF(AND($AD7&gt;=8,$AE7&gt;=3),"Elite","Mid"),IF($AB7&gt;=58,IF(AND($AD7&gt;=8,$AE7&gt;=3),"Strong","Mid"),IF($AB7&gt;=44,"Mid","Developing")))))</f>
        <v>Elite</v>
      </c>
      <c r="AG7">
        <f ca="1">COUNTIFS('Match Log'!$D$4:$D$1510,$A7,'Match Log'!$B$4:$B$1510,"&gt;="&amp;$B$5)</f>
        <v>3</v>
      </c>
      <c r="AH7">
        <f ca="1">COUNTIFS('Match Log'!$D$4:$D$1510,$A7,'Match Log'!$B$4:$B$1510,"&gt;="&amp;$B$5,'Match Log'!$E$4:$E$1510,"Win")</f>
        <v>2</v>
      </c>
      <c r="AI7">
        <f t="shared" ref="AI7:AI20" ca="1" si="16">IF(ISNUMBER($S7),$S7,-1000000)+ROW()/10000000</f>
        <v>1223.1911766451085</v>
      </c>
      <c r="AK7">
        <f ca="1">_xlfn.MAXIFS('Match Log'!$B$4:$B$1510,'Match Log'!$D$4:$D$1510,$A7,'Match Log'!$B$4:$B$1510,"&lt;="&amp;($D$4-7))</f>
        <v>46297</v>
      </c>
      <c r="AL7">
        <f ca="1">IFERROR(LOOKUP(2,1/(('Match Log'!$D$4:$D$1510=$A7)*('Match Log'!$B$4:$B$1510&lt;=$D$4-7)),'Match Log'!$N$4:$N$1510),1000)</f>
        <v>1209.6766156390552</v>
      </c>
      <c r="AM7">
        <f ca="1">SUMIFS('Match Log'!$AC$4:$AC$1510,'Match Log'!$D$4:$D$1510,$A7,'Match Log'!$B$4:$B$1510,"&lt;="&amp;($D$4-7))</f>
        <v>10</v>
      </c>
      <c r="AN7">
        <f ca="1">SUMIFS('Poker Stake Ledger'!$K$18:$K$137,'Poker Stake Ledger'!$C$18:$C$137,$A7,'Poker Stake Ledger'!$B$18:$B$137,"&lt;="&amp;($D$4-7))</f>
        <v>-11.100000000000001</v>
      </c>
      <c r="AO7">
        <f ca="1">IF($AK7=0,0,IF(($D$4-7-$AK7)/7&gt;='Guide &amp; Settings'!$C$48,(INT(($D$4-7-$AK7)/7-'Guide &amp; Settings'!$C$48)+1)*'Guide &amp; Settings'!$C$49,0))</f>
        <v>0</v>
      </c>
    </row>
    <row r="8" spans="1:41" ht="15" customHeight="1" x14ac:dyDescent="0.2">
      <c r="A8" t="s">
        <v>16</v>
      </c>
      <c r="B8">
        <f>IFERROR(INDEX(Engine!$B$2:$B$15,MATCH($A8,Engine!$A$2:$A$15,0)),1000)</f>
        <v>1029.5175965335138</v>
      </c>
      <c r="C8">
        <f>IFERROR(INDEX(Engine!$C$2:$C$15,MATCH($A8,Engine!$A$2:$A$15,0)),"")</f>
        <v>1098.1933664327885</v>
      </c>
      <c r="D8">
        <f t="shared" si="0"/>
        <v>9</v>
      </c>
      <c r="E8">
        <f t="shared" si="1"/>
        <v>222.41824046115153</v>
      </c>
      <c r="F8" t="str">
        <f>IFERROR(LOOKUP(2,1/('Match Log'!$D$4:$D$1510=$A8),'Match Log'!$E$4:$E$1510),"")</f>
        <v>Loss</v>
      </c>
      <c r="G8">
        <f>IF($F8="",0,SUMPRODUCT(('Match Log'!$D$4:$D$1510=$A8)*(ROW('Match Log'!$A$4:$A$1510)&gt;SUMPRODUCT(MAX(('Match Log'!$D$4:$D$1510=$A8)*('Match Log'!$E$4:$E$1510&lt;&gt;$F8)*ROW('Match Log'!$A$4:$A$1510))))))</f>
        <v>2</v>
      </c>
      <c r="H8" t="str">
        <f t="shared" si="2"/>
        <v>L2</v>
      </c>
      <c r="I8" t="str">
        <f>IFERROR(IF(INDEX('Match Log'!$E$1:$E$1510,_xlfn.AGGREGATE(14,6,ROW('Match Log'!$A$4:$A$1510)/('Match Log'!$D$4:$D$1510=$A8),5))="Win","W","L"),"")&amp;IFERROR(IF(INDEX('Match Log'!$E$1:$E$1510,_xlfn.AGGREGATE(14,6,ROW('Match Log'!$A$4:$A$1510)/('Match Log'!$D$4:$D$1510=$A8),4))="Win","W","L"),"")&amp;IFERROR(IF(INDEX('Match Log'!$E$1:$E$1510,_xlfn.AGGREGATE(14,6,ROW('Match Log'!$A$4:$A$1510)/('Match Log'!$D$4:$D$1510=$A8),3))="Win","W","L"),"")&amp;IFERROR(IF(INDEX('Match Log'!$E$1:$E$1510,_xlfn.AGGREGATE(14,6,ROW('Match Log'!$A$4:$A$1510)/('Match Log'!$D$4:$D$1510=$A8),2))="Win","W","L"),"")&amp;IFERROR(IF(INDEX('Match Log'!$E$1:$E$1510,_xlfn.AGGREGATE(14,6,ROW('Match Log'!$A$4:$A$1510)/('Match Log'!$D$4:$D$1510=$A8),1))="Win","W","L"),"")</f>
        <v>LWWLL</v>
      </c>
      <c r="J8">
        <f t="shared" ca="1" si="3"/>
        <v>889.51759733351378</v>
      </c>
      <c r="K8">
        <f t="shared" ca="1" si="4"/>
        <v>12</v>
      </c>
      <c r="L8">
        <f t="shared" ca="1" si="5"/>
        <v>0</v>
      </c>
      <c r="M8">
        <f t="shared" si="6"/>
        <v>0</v>
      </c>
      <c r="N8">
        <f t="shared" si="7"/>
        <v>2</v>
      </c>
      <c r="O8">
        <f t="shared" si="8"/>
        <v>0</v>
      </c>
      <c r="P8">
        <f>IFERROR(SUMPRODUCT(MAX(('Match Log'!$D$4:$D$1510=$A8)*'Match Log'!$B$4:$B$1510)),0)</f>
        <v>46188</v>
      </c>
      <c r="Q8">
        <f t="shared" ca="1" si="9"/>
        <v>18.714285714285715</v>
      </c>
      <c r="R8">
        <f ca="1">IF($P8=0,0,IF($Q8&gt;='Guide &amp; Settings'!$C$48,(INT($Q8-'Guide &amp; Settings'!$C$48)+1)*'Guide &amp; Settings'!$C$49,0))</f>
        <v>150</v>
      </c>
      <c r="S8">
        <f ca="1">$B8-$R8-$U8+SUMIF('Poker Stake Ledger'!$C$18:$C$137,$A8,'Poker Stake Ledger'!$K$18:$K$137)</f>
        <v>879.51759653351382</v>
      </c>
      <c r="T8" t="str">
        <f ca="1">IF($P8=0,"No games",IF($Q8&gt;='Guide &amp; Settings'!$C$48,"Inactive",IF($Q8&gt;='Guide &amp; Settings'!$C$47,"At risk","Active")))</f>
        <v>Inactive</v>
      </c>
      <c r="U8">
        <f>SUMIF('Match Log'!$D$4:$D$1510,$A8,'Match Log'!$AC$4:$AC$1510)</f>
        <v>0</v>
      </c>
      <c r="V8">
        <f t="shared" si="10"/>
        <v>2</v>
      </c>
      <c r="W8">
        <f t="shared" ca="1" si="11"/>
        <v>19.879399133378456</v>
      </c>
      <c r="X8">
        <f ca="1">IFERROR(INDEX(Dashboard!$G$5:$G$18,MATCH($A8,Dashboard!$B$5:$B$18,0))*100,0)</f>
        <v>50</v>
      </c>
      <c r="Y8">
        <f ca="1">MIN(100,IFERROR(INDEX(Dashboard!$K$5:$K$18,MATCH($A8,Dashboard!$B$5:$B$18,0)),0)/5*50+$AC8/4*50)</f>
        <v>42.5</v>
      </c>
      <c r="Z8">
        <f t="shared" si="12"/>
        <v>40</v>
      </c>
      <c r="AA8">
        <f t="shared" si="13"/>
        <v>74.54834160819712</v>
      </c>
      <c r="AB8">
        <f t="shared" ca="1" si="14"/>
        <v>38.912623857502176</v>
      </c>
      <c r="AC8">
        <f>IFERROR(SUMPRODUCT((INDEX('Sport Records'!$B$8:$O$32,0,MATCH($A8,'Sport Records'!$B$7:$O$7,0))&gt;=2)*(INDEX('Sport Records'!$B$62:$O$86,0,MATCH($A8,'Sport Records'!$B$61:$O$61,0))&gt;=0.5)),0)</f>
        <v>1</v>
      </c>
      <c r="AD8">
        <f ca="1">IFERROR(INDEX(Dashboard!$D$5:$D$18,MATCH($A8,Dashboard!$B$5:$B$18,0)),0)</f>
        <v>10</v>
      </c>
      <c r="AE8">
        <f ca="1">IFERROR(INDEX(Dashboard!$K$5:$K$18,MATCH($A8,Dashboard!$B$5:$B$18,0)),0)</f>
        <v>3</v>
      </c>
      <c r="AF8" t="str">
        <f t="shared" ca="1" si="15"/>
        <v>Developing</v>
      </c>
      <c r="AG8">
        <f ca="1">COUNTIFS('Match Log'!$D$4:$D$1510,$A8,'Match Log'!$B$4:$B$1510,"&gt;="&amp;$B$5)</f>
        <v>0</v>
      </c>
      <c r="AH8">
        <f ca="1">COUNTIFS('Match Log'!$D$4:$D$1510,$A8,'Match Log'!$B$4:$B$1510,"&gt;="&amp;$B$5,'Match Log'!$E$4:$E$1510,"Win")</f>
        <v>0</v>
      </c>
      <c r="AI8">
        <f t="shared" ca="1" si="16"/>
        <v>879.51759733351378</v>
      </c>
      <c r="AK8">
        <f ca="1">_xlfn.MAXIFS('Match Log'!$B$4:$B$1510,'Match Log'!$D$4:$D$1510,$A8,'Match Log'!$B$4:$B$1510,"&lt;="&amp;($D$4-7))</f>
        <v>46188</v>
      </c>
      <c r="AL8">
        <f ca="1">IFERROR(LOOKUP(2,1/(('Match Log'!$D$4:$D$1510=$A8)*('Match Log'!$B$4:$B$1510&lt;=$D$4-7)),'Match Log'!$N$4:$N$1510),1000)</f>
        <v>1029.5175965335138</v>
      </c>
      <c r="AM8">
        <f ca="1">SUMIFS('Match Log'!$AC$4:$AC$1510,'Match Log'!$D$4:$D$1510,$A8,'Match Log'!$B$4:$B$1510,"&lt;="&amp;($D$4-7))</f>
        <v>0</v>
      </c>
      <c r="AN8">
        <f ca="1">SUMIFS('Poker Stake Ledger'!$K$18:$K$137,'Poker Stake Ledger'!$C$18:$C$137,$A8,'Poker Stake Ledger'!$B$18:$B$137,"&lt;="&amp;($D$4-7))</f>
        <v>0</v>
      </c>
      <c r="AO8">
        <f ca="1">IF($AK8=0,0,IF(($D$4-7-$AK8)/7&gt;='Guide &amp; Settings'!$C$48,(INT(($D$4-7-$AK8)/7-'Guide &amp; Settings'!$C$48)+1)*'Guide &amp; Settings'!$C$49,0))</f>
        <v>140</v>
      </c>
    </row>
    <row r="9" spans="1:41" ht="15" customHeight="1" x14ac:dyDescent="0.2">
      <c r="A9" t="s">
        <v>17</v>
      </c>
      <c r="B9">
        <f>IFERROR(INDEX(Engine!$B$2:$B$15,MATCH($A9,Engine!$A$2:$A$15,0)),1000)</f>
        <v>1048.0761030598392</v>
      </c>
      <c r="C9">
        <f>IFERROR(INDEX(Engine!$C$2:$C$15,MATCH($A9,Engine!$A$2:$A$15,0)),"")</f>
        <v>1158.1953774680592</v>
      </c>
      <c r="D9">
        <f t="shared" si="0"/>
        <v>8</v>
      </c>
      <c r="E9">
        <f t="shared" si="1"/>
        <v>203.85973393482618</v>
      </c>
      <c r="F9" t="str">
        <f>IFERROR(LOOKUP(2,1/('Match Log'!$D$4:$D$1510=$A9),'Match Log'!$E$4:$E$1510),"")</f>
        <v>Loss</v>
      </c>
      <c r="G9">
        <f>IF($F9="",0,SUMPRODUCT(('Match Log'!$D$4:$D$1510=$A9)*(ROW('Match Log'!$A$4:$A$1510)&gt;SUMPRODUCT(MAX(('Match Log'!$D$4:$D$1510=$A9)*('Match Log'!$E$4:$E$1510&lt;&gt;$F9)*ROW('Match Log'!$A$4:$A$1510))))))</f>
        <v>4</v>
      </c>
      <c r="H9" t="str">
        <f t="shared" si="2"/>
        <v>L4</v>
      </c>
      <c r="I9" t="str">
        <f>IFERROR(IF(INDEX('Match Log'!$E$1:$E$1510,_xlfn.AGGREGATE(14,6,ROW('Match Log'!$A$4:$A$1510)/('Match Log'!$D$4:$D$1510=$A9),5))="Win","W","L"),"")&amp;IFERROR(IF(INDEX('Match Log'!$E$1:$E$1510,_xlfn.AGGREGATE(14,6,ROW('Match Log'!$A$4:$A$1510)/('Match Log'!$D$4:$D$1510=$A9),4))="Win","W","L"),"")&amp;IFERROR(IF(INDEX('Match Log'!$E$1:$E$1510,_xlfn.AGGREGATE(14,6,ROW('Match Log'!$A$4:$A$1510)/('Match Log'!$D$4:$D$1510=$A9),3))="Win","W","L"),"")&amp;IFERROR(IF(INDEX('Match Log'!$E$1:$E$1510,_xlfn.AGGREGATE(14,6,ROW('Match Log'!$A$4:$A$1510)/('Match Log'!$D$4:$D$1510=$A9),2))="Win","W","L"),"")&amp;IFERROR(IF(INDEX('Match Log'!$E$1:$E$1510,_xlfn.AGGREGATE(14,6,ROW('Match Log'!$A$4:$A$1510)/('Match Log'!$D$4:$D$1510=$A9),1))="Win","W","L"),"")</f>
        <v>WLLLL</v>
      </c>
      <c r="J9">
        <f t="shared" ca="1" si="3"/>
        <v>1028.0761039598392</v>
      </c>
      <c r="K9">
        <f t="shared" ca="1" si="4"/>
        <v>7</v>
      </c>
      <c r="L9">
        <f t="shared" ca="1" si="5"/>
        <v>0</v>
      </c>
      <c r="M9">
        <f t="shared" si="6"/>
        <v>0</v>
      </c>
      <c r="N9">
        <f t="shared" si="7"/>
        <v>1</v>
      </c>
      <c r="O9">
        <f t="shared" si="8"/>
        <v>0</v>
      </c>
      <c r="P9">
        <f>IFERROR(SUMPRODUCT(MAX(('Match Log'!$D$4:$D$1510=$A9)*'Match Log'!$B$4:$B$1510)),0)</f>
        <v>46297</v>
      </c>
      <c r="Q9">
        <f t="shared" ca="1" si="9"/>
        <v>3.1428571428571428</v>
      </c>
      <c r="R9">
        <f ca="1">IF($P9=0,0,IF($Q9&gt;='Guide &amp; Settings'!$C$48,(INT($Q9-'Guide &amp; Settings'!$C$48)+1)*'Guide &amp; Settings'!$C$49,0))</f>
        <v>0</v>
      </c>
      <c r="S9">
        <f ca="1">$B9-$R9-$U9+SUMIF('Poker Stake Ledger'!$C$18:$C$137,$A9,'Poker Stake Ledger'!$K$18:$K$137)</f>
        <v>1028.0761030598392</v>
      </c>
      <c r="T9" t="str">
        <f ca="1">IF($P9=0,"No games",IF($Q9&gt;='Guide &amp; Settings'!$C$48,"Inactive",IF($Q9&gt;='Guide &amp; Settings'!$C$47,"At risk","Active")))</f>
        <v>At risk</v>
      </c>
      <c r="U9">
        <f>SUMIF('Match Log'!$D$4:$D$1510,$A9,'Match Log'!$AC$4:$AC$1510)</f>
        <v>20</v>
      </c>
      <c r="V9">
        <f t="shared" si="10"/>
        <v>4</v>
      </c>
      <c r="W9">
        <f t="shared" ca="1" si="11"/>
        <v>57.019025764959792</v>
      </c>
      <c r="X9">
        <f ca="1">IFERROR(INDEX(Dashboard!$G$5:$G$18,MATCH($A9,Dashboard!$B$5:$B$18,0))*100,0)</f>
        <v>39.130434782608695</v>
      </c>
      <c r="Y9">
        <f ca="1">MIN(100,IFERROR(INDEX(Dashboard!$K$5:$K$18,MATCH($A9,Dashboard!$B$5:$B$18,0)),0)/5*50+$AC9/4*50)</f>
        <v>100</v>
      </c>
      <c r="Z9">
        <f t="shared" si="12"/>
        <v>20</v>
      </c>
      <c r="AA9">
        <f t="shared" si="13"/>
        <v>89.548844367014794</v>
      </c>
      <c r="AB9">
        <f t="shared" ca="1" si="14"/>
        <v>59.737630410959142</v>
      </c>
      <c r="AC9">
        <f>IFERROR(SUMPRODUCT((INDEX('Sport Records'!$B$8:$O$32,0,MATCH($A9,'Sport Records'!$B$7:$O$7,0))&gt;=2)*(INDEX('Sport Records'!$B$62:$O$86,0,MATCH($A9,'Sport Records'!$B$61:$O$61,0))&gt;=0.5)),0)</f>
        <v>1</v>
      </c>
      <c r="AD9">
        <f ca="1">IFERROR(INDEX(Dashboard!$D$5:$D$18,MATCH($A9,Dashboard!$B$5:$B$18,0)),0)</f>
        <v>23</v>
      </c>
      <c r="AE9">
        <f ca="1">IFERROR(INDEX(Dashboard!$K$5:$K$18,MATCH($A9,Dashboard!$B$5:$B$18,0)),0)</f>
        <v>10</v>
      </c>
      <c r="AF9" t="str">
        <f t="shared" ca="1" si="15"/>
        <v>Strong</v>
      </c>
      <c r="AG9">
        <f ca="1">COUNTIFS('Match Log'!$D$4:$D$1510,$A9,'Match Log'!$B$4:$B$1510,"&gt;="&amp;$B$5)</f>
        <v>0</v>
      </c>
      <c r="AH9">
        <f ca="1">COUNTIFS('Match Log'!$D$4:$D$1510,$A9,'Match Log'!$B$4:$B$1510,"&gt;="&amp;$B$5,'Match Log'!$E$4:$E$1510,"Win")</f>
        <v>0</v>
      </c>
      <c r="AI9">
        <f t="shared" ca="1" si="16"/>
        <v>1028.0761039598392</v>
      </c>
      <c r="AK9">
        <f ca="1">_xlfn.MAXIFS('Match Log'!$B$4:$B$1510,'Match Log'!$D$4:$D$1510,$A9,'Match Log'!$B$4:$B$1510,"&lt;="&amp;($D$4-7))</f>
        <v>46297</v>
      </c>
      <c r="AL9">
        <f ca="1">IFERROR(LOOKUP(2,1/(('Match Log'!$D$4:$D$1510=$A9)*('Match Log'!$B$4:$B$1510&lt;=$D$4-7)),'Match Log'!$N$4:$N$1510),1000)</f>
        <v>1048.0761030598392</v>
      </c>
      <c r="AM9">
        <f ca="1">SUMIFS('Match Log'!$AC$4:$AC$1510,'Match Log'!$D$4:$D$1510,$A9,'Match Log'!$B$4:$B$1510,"&lt;="&amp;($D$4-7))</f>
        <v>20</v>
      </c>
      <c r="AN9">
        <f ca="1">SUMIFS('Poker Stake Ledger'!$K$18:$K$137,'Poker Stake Ledger'!$C$18:$C$137,$A9,'Poker Stake Ledger'!$B$18:$B$137,"&lt;="&amp;($D$4-7))</f>
        <v>0</v>
      </c>
      <c r="AO9">
        <f ca="1">IF($AK9=0,0,IF(($D$4-7-$AK9)/7&gt;='Guide &amp; Settings'!$C$48,(INT(($D$4-7-$AK9)/7-'Guide &amp; Settings'!$C$48)+1)*'Guide &amp; Settings'!$C$49,0))</f>
        <v>0</v>
      </c>
    </row>
    <row r="10" spans="1:41" ht="15" customHeight="1" x14ac:dyDescent="0.2">
      <c r="A10" t="s">
        <v>18</v>
      </c>
      <c r="B10">
        <f>IFERROR(INDEX(Engine!$B$2:$B$15,MATCH($A10,Engine!$A$2:$A$15,0)),1000)</f>
        <v>907.03133644117429</v>
      </c>
      <c r="C10">
        <f>IFERROR(INDEX(Engine!$C$2:$C$15,MATCH($A10,Engine!$A$2:$A$15,0)),"")</f>
        <v>1171.1498602219347</v>
      </c>
      <c r="D10">
        <f t="shared" si="0"/>
        <v>13</v>
      </c>
      <c r="E10">
        <f t="shared" si="1"/>
        <v>344.90450055349106</v>
      </c>
      <c r="F10" t="str">
        <f>IFERROR(LOOKUP(2,1/('Match Log'!$D$4:$D$1510=$A10),'Match Log'!$E$4:$E$1510),"")</f>
        <v>Loss</v>
      </c>
      <c r="G10">
        <f>IF($F10="",0,SUMPRODUCT(('Match Log'!$D$4:$D$1510=$A10)*(ROW('Match Log'!$A$4:$A$1510)&gt;SUMPRODUCT(MAX(('Match Log'!$D$4:$D$1510=$A10)*('Match Log'!$E$4:$E$1510&lt;&gt;$F10)*ROW('Match Log'!$A$4:$A$1510))))))</f>
        <v>5</v>
      </c>
      <c r="H10" t="str">
        <f t="shared" si="2"/>
        <v>L5</v>
      </c>
      <c r="I10" t="str">
        <f>IFERROR(IF(INDEX('Match Log'!$E$1:$E$1510,_xlfn.AGGREGATE(14,6,ROW('Match Log'!$A$4:$A$1510)/('Match Log'!$D$4:$D$1510=$A10),5))="Win","W","L"),"")&amp;IFERROR(IF(INDEX('Match Log'!$E$1:$E$1510,_xlfn.AGGREGATE(14,6,ROW('Match Log'!$A$4:$A$1510)/('Match Log'!$D$4:$D$1510=$A10),4))="Win","W","L"),"")&amp;IFERROR(IF(INDEX('Match Log'!$E$1:$E$1510,_xlfn.AGGREGATE(14,6,ROW('Match Log'!$A$4:$A$1510)/('Match Log'!$D$4:$D$1510=$A10),3))="Win","W","L"),"")&amp;IFERROR(IF(INDEX('Match Log'!$E$1:$E$1510,_xlfn.AGGREGATE(14,6,ROW('Match Log'!$A$4:$A$1510)/('Match Log'!$D$4:$D$1510=$A10),2))="Win","W","L"),"")&amp;IFERROR(IF(INDEX('Match Log'!$E$1:$E$1510,_xlfn.AGGREGATE(14,6,ROW('Match Log'!$A$4:$A$1510)/('Match Log'!$D$4:$D$1510=$A10),1))="Win","W","L"),"")</f>
        <v>LLLLL</v>
      </c>
      <c r="J10">
        <f t="shared" ca="1" si="3"/>
        <v>837.03133744117429</v>
      </c>
      <c r="K10">
        <f t="shared" ca="1" si="4"/>
        <v>13</v>
      </c>
      <c r="L10">
        <f t="shared" ca="1" si="5"/>
        <v>0</v>
      </c>
      <c r="M10">
        <f t="shared" si="6"/>
        <v>0</v>
      </c>
      <c r="N10">
        <f t="shared" si="7"/>
        <v>0</v>
      </c>
      <c r="O10">
        <f t="shared" si="8"/>
        <v>0</v>
      </c>
      <c r="P10">
        <f>IFERROR(SUMPRODUCT(MAX(('Match Log'!$D$4:$D$1510=$A10)*'Match Log'!$B$4:$B$1510)),0)</f>
        <v>46256</v>
      </c>
      <c r="Q10">
        <f t="shared" ca="1" si="9"/>
        <v>9</v>
      </c>
      <c r="R10">
        <f ca="1">IF($P10=0,0,IF($Q10&gt;='Guide &amp; Settings'!$C$48,(INT($Q10-'Guide &amp; Settings'!$C$48)+1)*'Guide &amp; Settings'!$C$49,0))</f>
        <v>60</v>
      </c>
      <c r="S10">
        <f ca="1">$B10-$R10-$U10+SUMIF('Poker Stake Ledger'!$C$18:$C$137,$A10,'Poker Stake Ledger'!$K$18:$K$137)</f>
        <v>827.03133644117429</v>
      </c>
      <c r="T10" t="str">
        <f ca="1">IF($P10=0,"No games",IF($Q10&gt;='Guide &amp; Settings'!$C$48,"Inactive",IF($Q10&gt;='Guide &amp; Settings'!$C$47,"At risk","Active")))</f>
        <v>Inactive</v>
      </c>
      <c r="U10">
        <f>SUMIF('Match Log'!$D$4:$D$1510,$A10,'Match Log'!$AC$4:$AC$1510)</f>
        <v>20</v>
      </c>
      <c r="V10">
        <f t="shared" si="10"/>
        <v>5</v>
      </c>
      <c r="W10">
        <f t="shared" ca="1" si="11"/>
        <v>6.7578341102935724</v>
      </c>
      <c r="X10">
        <f ca="1">IFERROR(INDEX(Dashboard!$G$5:$G$18,MATCH($A10,Dashboard!$B$5:$B$18,0))*100,0)</f>
        <v>21.739130434782609</v>
      </c>
      <c r="Y10">
        <f ca="1">MIN(100,IFERROR(INDEX(Dashboard!$K$5:$K$18,MATCH($A10,Dashboard!$B$5:$B$18,0)),0)/5*50+$AC10/4*50)</f>
        <v>60</v>
      </c>
      <c r="Z10">
        <f t="shared" si="12"/>
        <v>0</v>
      </c>
      <c r="AA10">
        <f t="shared" si="13"/>
        <v>92.787465055483665</v>
      </c>
      <c r="AB10">
        <f t="shared" ca="1" si="14"/>
        <v>27.991814531107643</v>
      </c>
      <c r="AC10">
        <f>IFERROR(SUMPRODUCT((INDEX('Sport Records'!$B$8:$O$32,0,MATCH($A10,'Sport Records'!$B$7:$O$7,0))&gt;=2)*(INDEX('Sport Records'!$B$62:$O$86,0,MATCH($A10,'Sport Records'!$B$61:$O$61,0))&gt;=0.5)),0)</f>
        <v>0</v>
      </c>
      <c r="AD10">
        <f ca="1">IFERROR(INDEX(Dashboard!$D$5:$D$18,MATCH($A10,Dashboard!$B$5:$B$18,0)),0)</f>
        <v>23</v>
      </c>
      <c r="AE10">
        <f ca="1">IFERROR(INDEX(Dashboard!$K$5:$K$18,MATCH($A10,Dashboard!$B$5:$B$18,0)),0)</f>
        <v>6</v>
      </c>
      <c r="AF10" t="str">
        <f t="shared" ca="1" si="15"/>
        <v>Developing</v>
      </c>
      <c r="AG10">
        <f ca="1">COUNTIFS('Match Log'!$D$4:$D$1510,$A10,'Match Log'!$B$4:$B$1510,"&gt;="&amp;$B$5)</f>
        <v>0</v>
      </c>
      <c r="AH10">
        <f ca="1">COUNTIFS('Match Log'!$D$4:$D$1510,$A10,'Match Log'!$B$4:$B$1510,"&gt;="&amp;$B$5,'Match Log'!$E$4:$E$1510,"Win")</f>
        <v>0</v>
      </c>
      <c r="AI10">
        <f t="shared" ca="1" si="16"/>
        <v>827.03133744117429</v>
      </c>
      <c r="AK10">
        <f ca="1">_xlfn.MAXIFS('Match Log'!$B$4:$B$1510,'Match Log'!$D$4:$D$1510,$A10,'Match Log'!$B$4:$B$1510,"&lt;="&amp;($D$4-7))</f>
        <v>46256</v>
      </c>
      <c r="AL10">
        <f ca="1">IFERROR(LOOKUP(2,1/(('Match Log'!$D$4:$D$1510=$A10)*('Match Log'!$B$4:$B$1510&lt;=$D$4-7)),'Match Log'!$N$4:$N$1510),1000)</f>
        <v>907.03133644117429</v>
      </c>
      <c r="AM10">
        <f ca="1">SUMIFS('Match Log'!$AC$4:$AC$1510,'Match Log'!$D$4:$D$1510,$A10,'Match Log'!$B$4:$B$1510,"&lt;="&amp;($D$4-7))</f>
        <v>20</v>
      </c>
      <c r="AN10">
        <f ca="1">SUMIFS('Poker Stake Ledger'!$K$18:$K$137,'Poker Stake Ledger'!$C$18:$C$137,$A10,'Poker Stake Ledger'!$B$18:$B$137,"&lt;="&amp;($D$4-7))</f>
        <v>0</v>
      </c>
      <c r="AO10">
        <f ca="1">IF($AK10=0,0,IF(($D$4-7-$AK10)/7&gt;='Guide &amp; Settings'!$C$48,(INT(($D$4-7-$AK10)/7-'Guide &amp; Settings'!$C$48)+1)*'Guide &amp; Settings'!$C$49,0))</f>
        <v>50</v>
      </c>
    </row>
    <row r="11" spans="1:41" ht="15" customHeight="1" x14ac:dyDescent="0.2">
      <c r="A11" t="s">
        <v>19</v>
      </c>
      <c r="B11">
        <f>IFERROR(INDEX(Engine!$B$2:$B$15,MATCH($A11,Engine!$A$2:$A$15,0)),1000)</f>
        <v>1251.9358369946654</v>
      </c>
      <c r="C11">
        <f>IFERROR(INDEX(Engine!$C$2:$C$15,MATCH($A11,Engine!$A$2:$A$15,0)),"")</f>
        <v>1137.5369975573669</v>
      </c>
      <c r="D11">
        <f t="shared" si="0"/>
        <v>1</v>
      </c>
      <c r="E11">
        <f t="shared" si="1"/>
        <v>0</v>
      </c>
      <c r="F11" t="str">
        <f>IFERROR(LOOKUP(2,1/('Match Log'!$D$4:$D$1510=$A11),'Match Log'!$E$4:$E$1510),"")</f>
        <v>Win</v>
      </c>
      <c r="G11">
        <f>IF($F11="",0,SUMPRODUCT(('Match Log'!$D$4:$D$1510=$A11)*(ROW('Match Log'!$A$4:$A$1510)&gt;SUMPRODUCT(MAX(('Match Log'!$D$4:$D$1510=$A11)*('Match Log'!$E$4:$E$1510&lt;&gt;$F11)*ROW('Match Log'!$A$4:$A$1510))))))</f>
        <v>6</v>
      </c>
      <c r="H11" t="str">
        <f t="shared" si="2"/>
        <v>W6</v>
      </c>
      <c r="I11" t="str">
        <f>IFERROR(IF(INDEX('Match Log'!$E$1:$E$1510,_xlfn.AGGREGATE(14,6,ROW('Match Log'!$A$4:$A$1510)/('Match Log'!$D$4:$D$1510=$A11),5))="Win","W","L"),"")&amp;IFERROR(IF(INDEX('Match Log'!$E$1:$E$1510,_xlfn.AGGREGATE(14,6,ROW('Match Log'!$A$4:$A$1510)/('Match Log'!$D$4:$D$1510=$A11),4))="Win","W","L"),"")&amp;IFERROR(IF(INDEX('Match Log'!$E$1:$E$1510,_xlfn.AGGREGATE(14,6,ROW('Match Log'!$A$4:$A$1510)/('Match Log'!$D$4:$D$1510=$A11),3))="Win","W","L"),"")&amp;IFERROR(IF(INDEX('Match Log'!$E$1:$E$1510,_xlfn.AGGREGATE(14,6,ROW('Match Log'!$A$4:$A$1510)/('Match Log'!$D$4:$D$1510=$A11),2))="Win","W","L"),"")&amp;IFERROR(IF(INDEX('Match Log'!$E$1:$E$1510,_xlfn.AGGREGATE(14,6,ROW('Match Log'!$A$4:$A$1510)/('Match Log'!$D$4:$D$1510=$A11),1))="Win","W","L"),"")</f>
        <v>WWWWW</v>
      </c>
      <c r="J11">
        <f t="shared" ca="1" si="3"/>
        <v>1273.6858380946653</v>
      </c>
      <c r="K11">
        <f t="shared" ca="1" si="4"/>
        <v>1</v>
      </c>
      <c r="L11">
        <f t="shared" ca="1" si="5"/>
        <v>0</v>
      </c>
      <c r="M11">
        <f t="shared" si="6"/>
        <v>2</v>
      </c>
      <c r="N11">
        <f t="shared" si="7"/>
        <v>5</v>
      </c>
      <c r="O11">
        <f t="shared" si="8"/>
        <v>6</v>
      </c>
      <c r="P11">
        <f>IFERROR(SUMPRODUCT(MAX(('Match Log'!$D$4:$D$1510=$A11)*'Match Log'!$B$4:$B$1510)),0)</f>
        <v>46303</v>
      </c>
      <c r="Q11">
        <f t="shared" ca="1" si="9"/>
        <v>2.2857142857142856</v>
      </c>
      <c r="R11">
        <f ca="1">IF($P11=0,0,IF($Q11&gt;='Guide &amp; Settings'!$C$48,(INT($Q11-'Guide &amp; Settings'!$C$48)+1)*'Guide &amp; Settings'!$C$49,0))</f>
        <v>0</v>
      </c>
      <c r="S11">
        <f ca="1">$B11-$R11-$U11+SUMIF('Poker Stake Ledger'!$C$18:$C$137,$A11,'Poker Stake Ledger'!$K$18:$K$137)</f>
        <v>1273.6858369946654</v>
      </c>
      <c r="T11" t="str">
        <f ca="1">IF($P11=0,"No games",IF($Q11&gt;='Guide &amp; Settings'!$C$48,"Inactive",IF($Q11&gt;='Guide &amp; Settings'!$C$47,"At risk","Active")))</f>
        <v>At risk</v>
      </c>
      <c r="U11">
        <f>SUMIF('Match Log'!$D$4:$D$1510,$A11,'Match Log'!$AC$4:$AC$1510)</f>
        <v>0</v>
      </c>
      <c r="V11">
        <f t="shared" si="10"/>
        <v>0</v>
      </c>
      <c r="W11">
        <f t="shared" ca="1" si="11"/>
        <v>100</v>
      </c>
      <c r="X11">
        <f ca="1">IFERROR(INDEX(Dashboard!$G$5:$G$18,MATCH($A11,Dashboard!$B$5:$B$18,0))*100,0)</f>
        <v>61.53846153846154</v>
      </c>
      <c r="Y11">
        <f ca="1">MIN(100,IFERROR(INDEX(Dashboard!$K$5:$K$18,MATCH($A11,Dashboard!$B$5:$B$18,0)),0)/5*50+$AC11/4*50)</f>
        <v>100</v>
      </c>
      <c r="Z11">
        <f t="shared" si="12"/>
        <v>100</v>
      </c>
      <c r="AA11">
        <f t="shared" si="13"/>
        <v>84.384249389341733</v>
      </c>
      <c r="AB11">
        <f t="shared" ca="1" si="14"/>
        <v>90.746117246626483</v>
      </c>
      <c r="AC11">
        <f>IFERROR(SUMPRODUCT((INDEX('Sport Records'!$B$8:$O$32,0,MATCH($A11,'Sport Records'!$B$7:$O$7,0))&gt;=2)*(INDEX('Sport Records'!$B$62:$O$86,0,MATCH($A11,'Sport Records'!$B$61:$O$61,0))&gt;=0.5)),0)</f>
        <v>9</v>
      </c>
      <c r="AD11">
        <f ca="1">IFERROR(INDEX(Dashboard!$D$5:$D$18,MATCH($A11,Dashboard!$B$5:$B$18,0)),0)</f>
        <v>65</v>
      </c>
      <c r="AE11">
        <f ca="1">IFERROR(INDEX(Dashboard!$K$5:$K$18,MATCH($A11,Dashboard!$B$5:$B$18,0)),0)</f>
        <v>15</v>
      </c>
      <c r="AF11" t="str">
        <f t="shared" ca="1" si="15"/>
        <v>Elite</v>
      </c>
      <c r="AG11">
        <f ca="1">COUNTIFS('Match Log'!$D$4:$D$1510,$A11,'Match Log'!$B$4:$B$1510,"&gt;="&amp;$B$5)</f>
        <v>0</v>
      </c>
      <c r="AH11">
        <f ca="1">COUNTIFS('Match Log'!$D$4:$D$1510,$A11,'Match Log'!$B$4:$B$1510,"&gt;="&amp;$B$5,'Match Log'!$E$4:$E$1510,"Win")</f>
        <v>0</v>
      </c>
      <c r="AI11">
        <f t="shared" ca="1" si="16"/>
        <v>1273.6858380946653</v>
      </c>
      <c r="AK11">
        <f ca="1">_xlfn.MAXIFS('Match Log'!$B$4:$B$1510,'Match Log'!$D$4:$D$1510,$A11,'Match Log'!$B$4:$B$1510,"&lt;="&amp;($D$4-7))</f>
        <v>46303</v>
      </c>
      <c r="AL11">
        <f ca="1">IFERROR(LOOKUP(2,1/(('Match Log'!$D$4:$D$1510=$A11)*('Match Log'!$B$4:$B$1510&lt;=$D$4-7)),'Match Log'!$N$4:$N$1510),1000)</f>
        <v>1251.9358369946654</v>
      </c>
      <c r="AM11">
        <f ca="1">SUMIFS('Match Log'!$AC$4:$AC$1510,'Match Log'!$D$4:$D$1510,$A11,'Match Log'!$B$4:$B$1510,"&lt;="&amp;($D$4-7))</f>
        <v>0</v>
      </c>
      <c r="AN11">
        <f ca="1">SUMIFS('Poker Stake Ledger'!$K$18:$K$137,'Poker Stake Ledger'!$C$18:$C$137,$A11,'Poker Stake Ledger'!$B$18:$B$137,"&lt;="&amp;($D$4-7))</f>
        <v>21.75</v>
      </c>
      <c r="AO11">
        <f ca="1">IF($AK11=0,0,IF(($D$4-7-$AK11)/7&gt;='Guide &amp; Settings'!$C$48,(INT(($D$4-7-$AK11)/7-'Guide &amp; Settings'!$C$48)+1)*'Guide &amp; Settings'!$C$49,0))</f>
        <v>0</v>
      </c>
    </row>
    <row r="12" spans="1:41" ht="15" customHeight="1" x14ac:dyDescent="0.2">
      <c r="A12" t="s">
        <v>20</v>
      </c>
      <c r="B12">
        <f>IFERROR(INDEX(Engine!$B$2:$B$15,MATCH($A12,Engine!$A$2:$A$15,0)),1000)</f>
        <v>1231.9133292156973</v>
      </c>
      <c r="C12">
        <f>IFERROR(INDEX(Engine!$C$2:$C$15,MATCH($A12,Engine!$A$2:$A$15,0)),"")</f>
        <v>1142.2912336117965</v>
      </c>
      <c r="D12">
        <f t="shared" si="0"/>
        <v>3</v>
      </c>
      <c r="E12">
        <f t="shared" si="1"/>
        <v>20.02250777896802</v>
      </c>
      <c r="F12" t="str">
        <f>IFERROR(LOOKUP(2,1/('Match Log'!$D$4:$D$1510=$A12),'Match Log'!$E$4:$E$1510),"")</f>
        <v>Loss</v>
      </c>
      <c r="G12">
        <f>IF($F12="",0,SUMPRODUCT(('Match Log'!$D$4:$D$1510=$A12)*(ROW('Match Log'!$A$4:$A$1510)&gt;SUMPRODUCT(MAX(('Match Log'!$D$4:$D$1510=$A12)*('Match Log'!$E$4:$E$1510&lt;&gt;$F12)*ROW('Match Log'!$A$4:$A$1510))))))</f>
        <v>1</v>
      </c>
      <c r="H12" t="str">
        <f t="shared" si="2"/>
        <v>L1</v>
      </c>
      <c r="I12" t="str">
        <f>IFERROR(IF(INDEX('Match Log'!$E$1:$E$1510,_xlfn.AGGREGATE(14,6,ROW('Match Log'!$A$4:$A$1510)/('Match Log'!$D$4:$D$1510=$A12),5))="Win","W","L"),"")&amp;IFERROR(IF(INDEX('Match Log'!$E$1:$E$1510,_xlfn.AGGREGATE(14,6,ROW('Match Log'!$A$4:$A$1510)/('Match Log'!$D$4:$D$1510=$A12),4))="Win","W","L"),"")&amp;IFERROR(IF(INDEX('Match Log'!$E$1:$E$1510,_xlfn.AGGREGATE(14,6,ROW('Match Log'!$A$4:$A$1510)/('Match Log'!$D$4:$D$1510=$A12),3))="Win","W","L"),"")&amp;IFERROR(IF(INDEX('Match Log'!$E$1:$E$1510,_xlfn.AGGREGATE(14,6,ROW('Match Log'!$A$4:$A$1510)/('Match Log'!$D$4:$D$1510=$A12),2))="Win","W","L"),"")&amp;IFERROR(IF(INDEX('Match Log'!$E$1:$E$1510,_xlfn.AGGREGATE(14,6,ROW('Match Log'!$A$4:$A$1510)/('Match Log'!$D$4:$D$1510=$A12),1))="Win","W","L"),"")</f>
        <v>WWLWL</v>
      </c>
      <c r="J12">
        <f t="shared" ca="1" si="3"/>
        <v>1236.847271277964</v>
      </c>
      <c r="K12">
        <f t="shared" ca="1" si="4"/>
        <v>2</v>
      </c>
      <c r="L12">
        <f t="shared" ca="1" si="5"/>
        <v>0</v>
      </c>
      <c r="M12">
        <f t="shared" si="6"/>
        <v>7</v>
      </c>
      <c r="N12">
        <f t="shared" si="7"/>
        <v>3</v>
      </c>
      <c r="O12">
        <f t="shared" si="8"/>
        <v>0</v>
      </c>
      <c r="P12">
        <f>IFERROR(SUMPRODUCT(MAX(('Match Log'!$D$4:$D$1510=$A12)*'Match Log'!$B$4:$B$1510)),0)</f>
        <v>46319</v>
      </c>
      <c r="Q12">
        <f t="shared" ca="1" si="9"/>
        <v>0</v>
      </c>
      <c r="R12">
        <f ca="1">IF($P12=0,0,IF($Q12&gt;='Guide &amp; Settings'!$C$48,(INT($Q12-'Guide &amp; Settings'!$C$48)+1)*'Guide &amp; Settings'!$C$49,0))</f>
        <v>0</v>
      </c>
      <c r="S12">
        <f ca="1">$B12-$R12-$U12+SUMIF('Poker Stake Ledger'!$C$18:$C$137,$A12,'Poker Stake Ledger'!$K$18:$K$137)</f>
        <v>1228.1633292156973</v>
      </c>
      <c r="T12" t="str">
        <f ca="1">IF($P12=0,"No games",IF($Q12&gt;='Guide &amp; Settings'!$C$48,"Inactive",IF($Q12&gt;='Guide &amp; Settings'!$C$47,"At risk","Active")))</f>
        <v>Active</v>
      </c>
      <c r="U12">
        <f>SUMIF('Match Log'!$D$4:$D$1510,$A12,'Match Log'!$AC$4:$AC$1510)</f>
        <v>0</v>
      </c>
      <c r="V12">
        <f t="shared" si="10"/>
        <v>1</v>
      </c>
      <c r="W12">
        <f t="shared" ca="1" si="11"/>
        <v>100</v>
      </c>
      <c r="X12">
        <f ca="1">IFERROR(INDEX(Dashboard!$G$5:$G$18,MATCH($A12,Dashboard!$B$5:$B$18,0))*100,0)</f>
        <v>46.783625730994146</v>
      </c>
      <c r="Y12">
        <f ca="1">MIN(100,IFERROR(INDEX(Dashboard!$K$5:$K$18,MATCH($A12,Dashboard!$B$5:$B$18,0)),0)/5*50+$AC12/4*50)</f>
        <v>100</v>
      </c>
      <c r="Z12">
        <f t="shared" si="12"/>
        <v>60</v>
      </c>
      <c r="AA12">
        <f t="shared" si="13"/>
        <v>85.572808402949136</v>
      </c>
      <c r="AB12">
        <f t="shared" ca="1" si="14"/>
        <v>81.914005986493734</v>
      </c>
      <c r="AC12">
        <f>IFERROR(SUMPRODUCT((INDEX('Sport Records'!$B$8:$O$32,0,MATCH($A12,'Sport Records'!$B$7:$O$7,0))&gt;=2)*(INDEX('Sport Records'!$B$62:$O$86,0,MATCH($A12,'Sport Records'!$B$61:$O$61,0))&gt;=0.5)),0)</f>
        <v>5</v>
      </c>
      <c r="AD12">
        <f ca="1">IFERROR(INDEX(Dashboard!$D$5:$D$18,MATCH($A12,Dashboard!$B$5:$B$18,0)),0)</f>
        <v>171</v>
      </c>
      <c r="AE12">
        <f ca="1">IFERROR(INDEX(Dashboard!$K$5:$K$18,MATCH($A12,Dashboard!$B$5:$B$18,0)),0)</f>
        <v>19</v>
      </c>
      <c r="AF12" t="str">
        <f t="shared" ca="1" si="15"/>
        <v>Elite</v>
      </c>
      <c r="AG12">
        <f ca="1">COUNTIFS('Match Log'!$D$4:$D$1510,$A12,'Match Log'!$B$4:$B$1510,"&gt;="&amp;$B$5)</f>
        <v>1</v>
      </c>
      <c r="AH12">
        <f ca="1">COUNTIFS('Match Log'!$D$4:$D$1510,$A12,'Match Log'!$B$4:$B$1510,"&gt;="&amp;$B$5,'Match Log'!$E$4:$E$1510,"Win")</f>
        <v>0</v>
      </c>
      <c r="AI12">
        <f t="shared" ca="1" si="16"/>
        <v>1228.1633304156974</v>
      </c>
      <c r="AK12">
        <f ca="1">_xlfn.MAXIFS('Match Log'!$B$4:$B$1510,'Match Log'!$D$4:$D$1510,$A12,'Match Log'!$B$4:$B$1510,"&lt;="&amp;($D$4-7))</f>
        <v>46303</v>
      </c>
      <c r="AL12">
        <f ca="1">IFERROR(LOOKUP(2,1/(('Match Log'!$D$4:$D$1510=$A12)*('Match Log'!$B$4:$B$1510&lt;=$D$4-7)),'Match Log'!$N$4:$N$1510),1000)</f>
        <v>1240.5972700779639</v>
      </c>
      <c r="AM12">
        <f ca="1">SUMIFS('Match Log'!$AC$4:$AC$1510,'Match Log'!$D$4:$D$1510,$A12,'Match Log'!$B$4:$B$1510,"&lt;="&amp;($D$4-7))</f>
        <v>0</v>
      </c>
      <c r="AN12">
        <f ca="1">SUMIFS('Poker Stake Ledger'!$K$18:$K$137,'Poker Stake Ledger'!$C$18:$C$137,$A12,'Poker Stake Ledger'!$B$18:$B$137,"&lt;="&amp;($D$4-7))</f>
        <v>-3.75</v>
      </c>
      <c r="AO12">
        <f ca="1">IF($AK12=0,0,IF(($D$4-7-$AK12)/7&gt;='Guide &amp; Settings'!$C$48,(INT(($D$4-7-$AK12)/7-'Guide &amp; Settings'!$C$48)+1)*'Guide &amp; Settings'!$C$49,0))</f>
        <v>0</v>
      </c>
    </row>
    <row r="13" spans="1:41" ht="15" customHeight="1" x14ac:dyDescent="0.2">
      <c r="A13" t="s">
        <v>21</v>
      </c>
      <c r="B13">
        <f>IFERROR(INDEX(Engine!$B$2:$B$15,MATCH($A13,Engine!$A$2:$A$15,0)),1000)</f>
        <v>1210.5445492849278</v>
      </c>
      <c r="C13">
        <f>IFERROR(INDEX(Engine!$C$2:$C$15,MATCH($A13,Engine!$A$2:$A$15,0)),"")</f>
        <v>1088.4310099379754</v>
      </c>
      <c r="D13">
        <f t="shared" si="0"/>
        <v>5</v>
      </c>
      <c r="E13">
        <f t="shared" si="1"/>
        <v>41.391287709737526</v>
      </c>
      <c r="F13" t="str">
        <f>IFERROR(LOOKUP(2,1/('Match Log'!$D$4:$D$1510=$A13),'Match Log'!$E$4:$E$1510),"")</f>
        <v>Win</v>
      </c>
      <c r="G13">
        <f>IF($F13="",0,SUMPRODUCT(('Match Log'!$D$4:$D$1510=$A13)*(ROW('Match Log'!$A$4:$A$1510)&gt;SUMPRODUCT(MAX(('Match Log'!$D$4:$D$1510=$A13)*('Match Log'!$E$4:$E$1510&lt;&gt;$F13)*ROW('Match Log'!$A$4:$A$1510))))))</f>
        <v>1</v>
      </c>
      <c r="H13" t="str">
        <f t="shared" si="2"/>
        <v>W1</v>
      </c>
      <c r="I13" t="str">
        <f>IFERROR(IF(INDEX('Match Log'!$E$1:$E$1510,_xlfn.AGGREGATE(14,6,ROW('Match Log'!$A$4:$A$1510)/('Match Log'!$D$4:$D$1510=$A13),5))="Win","W","L"),"")&amp;IFERROR(IF(INDEX('Match Log'!$E$1:$E$1510,_xlfn.AGGREGATE(14,6,ROW('Match Log'!$A$4:$A$1510)/('Match Log'!$D$4:$D$1510=$A13),4))="Win","W","L"),"")&amp;IFERROR(IF(INDEX('Match Log'!$E$1:$E$1510,_xlfn.AGGREGATE(14,6,ROW('Match Log'!$A$4:$A$1510)/('Match Log'!$D$4:$D$1510=$A13),3))="Win","W","L"),"")&amp;IFERROR(IF(INDEX('Match Log'!$E$1:$E$1510,_xlfn.AGGREGATE(14,6,ROW('Match Log'!$A$4:$A$1510)/('Match Log'!$D$4:$D$1510=$A13),2))="Win","W","L"),"")&amp;IFERROR(IF(INDEX('Match Log'!$E$1:$E$1510,_xlfn.AGGREGATE(14,6,ROW('Match Log'!$A$4:$A$1510)/('Match Log'!$D$4:$D$1510=$A13),1))="Win","W","L"),"")</f>
        <v>WLWLW</v>
      </c>
      <c r="J13">
        <f t="shared" ca="1" si="3"/>
        <v>1190.4461829871429</v>
      </c>
      <c r="K13">
        <f t="shared" ca="1" si="4"/>
        <v>3</v>
      </c>
      <c r="L13">
        <f t="shared" ca="1" si="5"/>
        <v>-2</v>
      </c>
      <c r="M13">
        <f t="shared" si="6"/>
        <v>4</v>
      </c>
      <c r="N13">
        <f t="shared" si="7"/>
        <v>3</v>
      </c>
      <c r="O13">
        <f t="shared" si="8"/>
        <v>1</v>
      </c>
      <c r="P13">
        <f>IFERROR(SUMPRODUCT(MAX(('Match Log'!$D$4:$D$1510=$A13)*'Match Log'!$B$4:$B$1510)),0)</f>
        <v>46319</v>
      </c>
      <c r="Q13">
        <f t="shared" ca="1" si="9"/>
        <v>0</v>
      </c>
      <c r="R13">
        <f ca="1">IF($P13=0,0,IF($Q13&gt;='Guide &amp; Settings'!$C$48,(INT($Q13-'Guide &amp; Settings'!$C$48)+1)*'Guide &amp; Settings'!$C$49,0))</f>
        <v>0</v>
      </c>
      <c r="S13">
        <f ca="1">$B13-$R13-$U13+SUMIF('Poker Stake Ledger'!$C$18:$C$137,$A13,'Poker Stake Ledger'!$K$18:$K$137)</f>
        <v>1174.9945492849279</v>
      </c>
      <c r="T13" t="str">
        <f ca="1">IF($P13=0,"No games",IF($Q13&gt;='Guide &amp; Settings'!$C$48,"Inactive",IF($Q13&gt;='Guide &amp; Settings'!$C$47,"At risk","Active")))</f>
        <v>Active</v>
      </c>
      <c r="U13">
        <f>SUMIF('Match Log'!$D$4:$D$1510,$A13,'Match Log'!$AC$4:$AC$1510)</f>
        <v>30</v>
      </c>
      <c r="V13">
        <f t="shared" si="10"/>
        <v>0</v>
      </c>
      <c r="W13">
        <f t="shared" ca="1" si="11"/>
        <v>93.748637321231968</v>
      </c>
      <c r="X13">
        <f ca="1">IFERROR(INDEX(Dashboard!$G$5:$G$18,MATCH($A13,Dashboard!$B$5:$B$18,0))*100,0)</f>
        <v>52.272727272727273</v>
      </c>
      <c r="Y13">
        <f ca="1">MIN(100,IFERROR(INDEX(Dashboard!$K$5:$K$18,MATCH($A13,Dashboard!$B$5:$B$18,0)),0)/5*50+$AC13/4*50)</f>
        <v>100</v>
      </c>
      <c r="Z13">
        <f t="shared" si="12"/>
        <v>60</v>
      </c>
      <c r="AA13">
        <f t="shared" si="13"/>
        <v>72.107752484493858</v>
      </c>
      <c r="AB13">
        <f t="shared" ca="1" si="14"/>
        <v>79.477343765426014</v>
      </c>
      <c r="AC13">
        <f>IFERROR(SUMPRODUCT((INDEX('Sport Records'!$B$8:$O$32,0,MATCH($A13,'Sport Records'!$B$7:$O$7,0))&gt;=2)*(INDEX('Sport Records'!$B$62:$O$86,0,MATCH($A13,'Sport Records'!$B$61:$O$61,0))&gt;=0.5)),0)</f>
        <v>5</v>
      </c>
      <c r="AD13">
        <f ca="1">IFERROR(INDEX(Dashboard!$D$5:$D$18,MATCH($A13,Dashboard!$B$5:$B$18,0)),0)</f>
        <v>44</v>
      </c>
      <c r="AE13">
        <f ca="1">IFERROR(INDEX(Dashboard!$K$5:$K$18,MATCH($A13,Dashboard!$B$5:$B$18,0)),0)</f>
        <v>12</v>
      </c>
      <c r="AF13" t="str">
        <f t="shared" ca="1" si="15"/>
        <v>Elite</v>
      </c>
      <c r="AG13">
        <f ca="1">COUNTIFS('Match Log'!$D$4:$D$1510,$A13,'Match Log'!$B$4:$B$1510,"&gt;="&amp;$B$5)</f>
        <v>4</v>
      </c>
      <c r="AH13">
        <f ca="1">COUNTIFS('Match Log'!$D$4:$D$1510,$A13,'Match Log'!$B$4:$B$1510,"&gt;="&amp;$B$5,'Match Log'!$E$4:$E$1510,"Win")</f>
        <v>2</v>
      </c>
      <c r="AI13">
        <f t="shared" ca="1" si="16"/>
        <v>1174.9945505849278</v>
      </c>
      <c r="AK13">
        <f ca="1">_xlfn.MAXIFS('Match Log'!$B$4:$B$1510,'Match Log'!$D$4:$D$1510,$A13,'Match Log'!$B$4:$B$1510,"&lt;="&amp;($D$4-7))</f>
        <v>46271</v>
      </c>
      <c r="AL13">
        <f ca="1">IFERROR(LOOKUP(2,1/(('Match Log'!$D$4:$D$1510=$A13)*('Match Log'!$B$4:$B$1510&lt;=$D$4-7)),'Match Log'!$N$4:$N$1510),1000)</f>
        <v>1215.996181687143</v>
      </c>
      <c r="AM13">
        <f ca="1">SUMIFS('Match Log'!$AC$4:$AC$1510,'Match Log'!$D$4:$D$1510,$A13,'Match Log'!$B$4:$B$1510,"&lt;="&amp;($D$4-7))</f>
        <v>0</v>
      </c>
      <c r="AN13">
        <f ca="1">SUMIFS('Poker Stake Ledger'!$K$18:$K$137,'Poker Stake Ledger'!$C$18:$C$137,$A13,'Poker Stake Ledger'!$B$18:$B$137,"&lt;="&amp;($D$4-7))</f>
        <v>-5.5500000000000007</v>
      </c>
      <c r="AO13">
        <f ca="1">IF($AK13=0,0,IF(($D$4-7-$AK13)/7&gt;='Guide &amp; Settings'!$C$48,(INT(($D$4-7-$AK13)/7-'Guide &amp; Settings'!$C$48)+1)*'Guide &amp; Settings'!$C$49,0))</f>
        <v>20</v>
      </c>
    </row>
    <row r="14" spans="1:41" ht="15" customHeight="1" x14ac:dyDescent="0.2">
      <c r="A14" t="s">
        <v>22</v>
      </c>
      <c r="B14">
        <f>IFERROR(INDEX(Engine!$B$2:$B$15,MATCH($A14,Engine!$A$2:$A$15,0)),1000)</f>
        <v>1156.2993424480139</v>
      </c>
      <c r="C14">
        <f>IFERROR(INDEX(Engine!$C$2:$C$15,MATCH($A14,Engine!$A$2:$A$15,0)),"")</f>
        <v>1181.8190141493958</v>
      </c>
      <c r="D14">
        <f t="shared" si="0"/>
        <v>6</v>
      </c>
      <c r="E14">
        <f t="shared" si="1"/>
        <v>95.63649454665142</v>
      </c>
      <c r="F14" t="str">
        <f>IFERROR(LOOKUP(2,1/('Match Log'!$D$4:$D$1510=$A14),'Match Log'!$E$4:$E$1510),"")</f>
        <v>Loss</v>
      </c>
      <c r="G14">
        <f>IF($F14="",0,SUMPRODUCT(('Match Log'!$D$4:$D$1510=$A14)*(ROW('Match Log'!$A$4:$A$1510)&gt;SUMPRODUCT(MAX(('Match Log'!$D$4:$D$1510=$A14)*('Match Log'!$E$4:$E$1510&lt;&gt;$F14)*ROW('Match Log'!$A$4:$A$1510))))))</f>
        <v>2</v>
      </c>
      <c r="H14" t="str">
        <f t="shared" si="2"/>
        <v>L2</v>
      </c>
      <c r="I14" t="str">
        <f>IFERROR(IF(INDEX('Match Log'!$E$1:$E$1510,_xlfn.AGGREGATE(14,6,ROW('Match Log'!$A$4:$A$1510)/('Match Log'!$D$4:$D$1510=$A14),5))="Win","W","L"),"")&amp;IFERROR(IF(INDEX('Match Log'!$E$1:$E$1510,_xlfn.AGGREGATE(14,6,ROW('Match Log'!$A$4:$A$1510)/('Match Log'!$D$4:$D$1510=$A14),4))="Win","W","L"),"")&amp;IFERROR(IF(INDEX('Match Log'!$E$1:$E$1510,_xlfn.AGGREGATE(14,6,ROW('Match Log'!$A$4:$A$1510)/('Match Log'!$D$4:$D$1510=$A14),3))="Win","W","L"),"")&amp;IFERROR(IF(INDEX('Match Log'!$E$1:$E$1510,_xlfn.AGGREGATE(14,6,ROW('Match Log'!$A$4:$A$1510)/('Match Log'!$D$4:$D$1510=$A14),2))="Win","W","L"),"")&amp;IFERROR(IF(INDEX('Match Log'!$E$1:$E$1510,_xlfn.AGGREGATE(14,6,ROW('Match Log'!$A$4:$A$1510)/('Match Log'!$D$4:$D$1510=$A14),1))="Win","W","L"),"")</f>
        <v>LLWLL</v>
      </c>
      <c r="J14">
        <f t="shared" ca="1" si="3"/>
        <v>1189.5639041540671</v>
      </c>
      <c r="K14">
        <f t="shared" ca="1" si="4"/>
        <v>4</v>
      </c>
      <c r="L14">
        <f t="shared" ca="1" si="5"/>
        <v>-2</v>
      </c>
      <c r="M14">
        <f t="shared" si="6"/>
        <v>10</v>
      </c>
      <c r="N14">
        <f t="shared" si="7"/>
        <v>1</v>
      </c>
      <c r="O14">
        <f t="shared" si="8"/>
        <v>0</v>
      </c>
      <c r="P14">
        <f>IFERROR(SUMPRODUCT(MAX(('Match Log'!$D$4:$D$1510=$A14)*'Match Log'!$B$4:$B$1510)),0)</f>
        <v>46319</v>
      </c>
      <c r="Q14">
        <f t="shared" ca="1" si="9"/>
        <v>0</v>
      </c>
      <c r="R14">
        <f ca="1">IF($P14=0,0,IF($Q14&gt;='Guide &amp; Settings'!$C$48,(INT($Q14-'Guide &amp; Settings'!$C$48)+1)*'Guide &amp; Settings'!$C$49,0))</f>
        <v>0</v>
      </c>
      <c r="S14">
        <f ca="1">$B14-$R14-$U14+SUMIF('Poker Stake Ledger'!$C$18:$C$137,$A14,'Poker Stake Ledger'!$K$18:$K$137)</f>
        <v>1154.949342448014</v>
      </c>
      <c r="T14" t="str">
        <f ca="1">IF($P14=0,"No games",IF($Q14&gt;='Guide &amp; Settings'!$C$48,"Inactive",IF($Q14&gt;='Guide &amp; Settings'!$C$47,"At risk","Active")))</f>
        <v>Active</v>
      </c>
      <c r="U14">
        <f>SUMIF('Match Log'!$D$4:$D$1510,$A14,'Match Log'!$AC$4:$AC$1510)</f>
        <v>0</v>
      </c>
      <c r="V14">
        <f t="shared" si="10"/>
        <v>2</v>
      </c>
      <c r="W14">
        <f t="shared" ca="1" si="11"/>
        <v>88.737335612003506</v>
      </c>
      <c r="X14">
        <f ca="1">IFERROR(INDEX(Dashboard!$G$5:$G$18,MATCH($A14,Dashboard!$B$5:$B$18,0))*100,0)</f>
        <v>42.592592592592595</v>
      </c>
      <c r="Y14">
        <f ca="1">MIN(100,IFERROR(INDEX(Dashboard!$K$5:$K$18,MATCH($A14,Dashboard!$B$5:$B$18,0)),0)/5*50+$AC14/4*50)</f>
        <v>100</v>
      </c>
      <c r="Z14">
        <f t="shared" si="12"/>
        <v>20</v>
      </c>
      <c r="AA14">
        <f t="shared" si="13"/>
        <v>95.45475353734895</v>
      </c>
      <c r="AB14">
        <f t="shared" ca="1" si="14"/>
        <v>72.122061336454649</v>
      </c>
      <c r="AC14">
        <f>IFERROR(SUMPRODUCT((INDEX('Sport Records'!$B$8:$O$32,0,MATCH($A14,'Sport Records'!$B$7:$O$7,0))&gt;=2)*(INDEX('Sport Records'!$B$62:$O$86,0,MATCH($A14,'Sport Records'!$B$61:$O$61,0))&gt;=0.5)),0)</f>
        <v>5</v>
      </c>
      <c r="AD14">
        <f ca="1">IFERROR(INDEX(Dashboard!$D$5:$D$18,MATCH($A14,Dashboard!$B$5:$B$18,0)),0)</f>
        <v>162</v>
      </c>
      <c r="AE14">
        <f ca="1">IFERROR(INDEX(Dashboard!$K$5:$K$18,MATCH($A14,Dashboard!$B$5:$B$18,0)),0)</f>
        <v>20</v>
      </c>
      <c r="AF14" t="str">
        <f t="shared" ca="1" si="15"/>
        <v>Elite</v>
      </c>
      <c r="AG14">
        <f ca="1">COUNTIFS('Match Log'!$D$4:$D$1510,$A14,'Match Log'!$B$4:$B$1510,"&gt;="&amp;$B$5)</f>
        <v>3</v>
      </c>
      <c r="AH14">
        <f ca="1">COUNTIFS('Match Log'!$D$4:$D$1510,$A14,'Match Log'!$B$4:$B$1510,"&gt;="&amp;$B$5,'Match Log'!$E$4:$E$1510,"Win")</f>
        <v>1</v>
      </c>
      <c r="AI14">
        <f t="shared" ca="1" si="16"/>
        <v>1154.949343848014</v>
      </c>
      <c r="AK14">
        <f ca="1">_xlfn.MAXIFS('Match Log'!$B$4:$B$1510,'Match Log'!$D$4:$D$1510,$A14,'Match Log'!$B$4:$B$1510,"&lt;="&amp;($D$4-7))</f>
        <v>46303</v>
      </c>
      <c r="AL14">
        <f ca="1">IFERROR(LOOKUP(2,1/(('Match Log'!$D$4:$D$1510=$A14)*('Match Log'!$B$4:$B$1510&lt;=$D$4-7)),'Match Log'!$N$4:$N$1510),1000)</f>
        <v>1190.9139027540671</v>
      </c>
      <c r="AM14">
        <f ca="1">SUMIFS('Match Log'!$AC$4:$AC$1510,'Match Log'!$D$4:$D$1510,$A14,'Match Log'!$B$4:$B$1510,"&lt;="&amp;($D$4-7))</f>
        <v>0</v>
      </c>
      <c r="AN14">
        <f ca="1">SUMIFS('Poker Stake Ledger'!$K$18:$K$137,'Poker Stake Ledger'!$C$18:$C$137,$A14,'Poker Stake Ledger'!$B$18:$B$137,"&lt;="&amp;($D$4-7))</f>
        <v>-1.3499999999999996</v>
      </c>
      <c r="AO14">
        <f ca="1">IF($AK14=0,0,IF(($D$4-7-$AK14)/7&gt;='Guide &amp; Settings'!$C$48,(INT(($D$4-7-$AK14)/7-'Guide &amp; Settings'!$C$48)+1)*'Guide &amp; Settings'!$C$49,0))</f>
        <v>0</v>
      </c>
    </row>
    <row r="15" spans="1:41" ht="15" customHeight="1" x14ac:dyDescent="0.2">
      <c r="A15" t="s">
        <v>23</v>
      </c>
      <c r="B15">
        <f>IFERROR(INDEX(Engine!$B$2:$B$15,MATCH($A15,Engine!$A$2:$A$15,0)),1000)</f>
        <v>1217.9015417269482</v>
      </c>
      <c r="C15">
        <f>IFERROR(INDEX(Engine!$C$2:$C$15,MATCH($A15,Engine!$A$2:$A$15,0)),"")</f>
        <v>1134.8881196656466</v>
      </c>
      <c r="D15">
        <f t="shared" si="0"/>
        <v>4</v>
      </c>
      <c r="E15">
        <f t="shared" si="1"/>
        <v>34.034295267717198</v>
      </c>
      <c r="F15" t="str">
        <f>IFERROR(LOOKUP(2,1/('Match Log'!$D$4:$D$1510=$A15),'Match Log'!$E$4:$E$1510),"")</f>
        <v>Loss</v>
      </c>
      <c r="G15">
        <f>IF($F15="",0,SUMPRODUCT(('Match Log'!$D$4:$D$1510=$A15)*(ROW('Match Log'!$A$4:$A$1510)&gt;SUMPRODUCT(MAX(('Match Log'!$D$4:$D$1510=$A15)*('Match Log'!$E$4:$E$1510&lt;&gt;$F15)*ROW('Match Log'!$A$4:$A$1510))))))</f>
        <v>1</v>
      </c>
      <c r="H15" t="str">
        <f t="shared" si="2"/>
        <v>L1</v>
      </c>
      <c r="I15" t="str">
        <f>IFERROR(IF(INDEX('Match Log'!$E$1:$E$1510,_xlfn.AGGREGATE(14,6,ROW('Match Log'!$A$4:$A$1510)/('Match Log'!$D$4:$D$1510=$A15),5))="Win","W","L"),"")&amp;IFERROR(IF(INDEX('Match Log'!$E$1:$E$1510,_xlfn.AGGREGATE(14,6,ROW('Match Log'!$A$4:$A$1510)/('Match Log'!$D$4:$D$1510=$A15),4))="Win","W","L"),"")&amp;IFERROR(IF(INDEX('Match Log'!$E$1:$E$1510,_xlfn.AGGREGATE(14,6,ROW('Match Log'!$A$4:$A$1510)/('Match Log'!$D$4:$D$1510=$A15),3))="Win","W","L"),"")&amp;IFERROR(IF(INDEX('Match Log'!$E$1:$E$1510,_xlfn.AGGREGATE(14,6,ROW('Match Log'!$A$4:$A$1510)/('Match Log'!$D$4:$D$1510=$A15),2))="Win","W","L"),"")&amp;IFERROR(IF(INDEX('Match Log'!$E$1:$E$1510,_xlfn.AGGREGATE(14,6,ROW('Match Log'!$A$4:$A$1510)/('Match Log'!$D$4:$D$1510=$A15),1))="Win","W","L"),"")</f>
        <v>WWLWL</v>
      </c>
      <c r="J15">
        <f t="shared" ca="1" si="3"/>
        <v>1187.9015432269482</v>
      </c>
      <c r="K15">
        <f t="shared" ca="1" si="4"/>
        <v>6</v>
      </c>
      <c r="L15">
        <f t="shared" ca="1" si="5"/>
        <v>2</v>
      </c>
      <c r="M15">
        <f t="shared" si="6"/>
        <v>3</v>
      </c>
      <c r="N15">
        <f t="shared" si="7"/>
        <v>3</v>
      </c>
      <c r="O15">
        <f t="shared" si="8"/>
        <v>0</v>
      </c>
      <c r="P15">
        <f>IFERROR(SUMPRODUCT(MAX(('Match Log'!$D$4:$D$1510=$A15)*'Match Log'!$B$4:$B$1510)),0)</f>
        <v>46290</v>
      </c>
      <c r="Q15">
        <f t="shared" ca="1" si="9"/>
        <v>4.1428571428571432</v>
      </c>
      <c r="R15">
        <f ca="1">IF($P15=0,0,IF($Q15&gt;='Guide &amp; Settings'!$C$48,(INT($Q15-'Guide &amp; Settings'!$C$48)+1)*'Guide &amp; Settings'!$C$49,0))</f>
        <v>10</v>
      </c>
      <c r="S15">
        <f ca="1">$B15-$R15-$U15+SUMIF('Poker Stake Ledger'!$C$18:$C$137,$A15,'Poker Stake Ledger'!$K$18:$K$137)</f>
        <v>1177.9015417269482</v>
      </c>
      <c r="T15" t="str">
        <f ca="1">IF($P15=0,"No games",IF($Q15&gt;='Guide &amp; Settings'!$C$48,"Inactive",IF($Q15&gt;='Guide &amp; Settings'!$C$47,"At risk","Active")))</f>
        <v>Inactive</v>
      </c>
      <c r="U15">
        <f>SUMIF('Match Log'!$D$4:$D$1510,$A15,'Match Log'!$AC$4:$AC$1510)</f>
        <v>30</v>
      </c>
      <c r="V15">
        <f t="shared" si="10"/>
        <v>1</v>
      </c>
      <c r="W15">
        <f t="shared" ca="1" si="11"/>
        <v>94.475385431737038</v>
      </c>
      <c r="X15">
        <f ca="1">IFERROR(INDEX(Dashboard!$G$5:$G$18,MATCH($A15,Dashboard!$B$5:$B$18,0))*100,0)</f>
        <v>59.523809523809526</v>
      </c>
      <c r="Y15">
        <f ca="1">MIN(100,IFERROR(INDEX(Dashboard!$K$5:$K$18,MATCH($A15,Dashboard!$B$5:$B$18,0)),0)/5*50+$AC15/4*50)</f>
        <v>100</v>
      </c>
      <c r="Z15">
        <f t="shared" si="12"/>
        <v>60</v>
      </c>
      <c r="AA15">
        <f t="shared" si="13"/>
        <v>83.722029916411657</v>
      </c>
      <c r="AB15">
        <f t="shared" ca="1" si="14"/>
        <v>82.343349797511024</v>
      </c>
      <c r="AC15">
        <f>IFERROR(SUMPRODUCT((INDEX('Sport Records'!$B$8:$O$32,0,MATCH($A15,'Sport Records'!$B$7:$O$7,0))&gt;=2)*(INDEX('Sport Records'!$B$62:$O$86,0,MATCH($A15,'Sport Records'!$B$61:$O$61,0))&gt;=0.5)),0)</f>
        <v>4</v>
      </c>
      <c r="AD15">
        <f ca="1">IFERROR(INDEX(Dashboard!$D$5:$D$18,MATCH($A15,Dashboard!$B$5:$B$18,0)),0)</f>
        <v>42</v>
      </c>
      <c r="AE15">
        <f ca="1">IFERROR(INDEX(Dashboard!$K$5:$K$18,MATCH($A15,Dashboard!$B$5:$B$18,0)),0)</f>
        <v>7</v>
      </c>
      <c r="AF15" t="str">
        <f t="shared" ca="1" si="15"/>
        <v>Elite</v>
      </c>
      <c r="AG15">
        <f ca="1">COUNTIFS('Match Log'!$D$4:$D$1510,$A15,'Match Log'!$B$4:$B$1510,"&gt;="&amp;$B$5)</f>
        <v>0</v>
      </c>
      <c r="AH15">
        <f ca="1">COUNTIFS('Match Log'!$D$4:$D$1510,$A15,'Match Log'!$B$4:$B$1510,"&gt;="&amp;$B$5,'Match Log'!$E$4:$E$1510,"Win")</f>
        <v>0</v>
      </c>
      <c r="AI15">
        <f t="shared" ca="1" si="16"/>
        <v>1177.9015432269482</v>
      </c>
      <c r="AK15">
        <f ca="1">_xlfn.MAXIFS('Match Log'!$B$4:$B$1510,'Match Log'!$D$4:$D$1510,$A15,'Match Log'!$B$4:$B$1510,"&lt;="&amp;($D$4-7))</f>
        <v>46290</v>
      </c>
      <c r="AL15">
        <f ca="1">IFERROR(LOOKUP(2,1/(('Match Log'!$D$4:$D$1510=$A15)*('Match Log'!$B$4:$B$1510&lt;=$D$4-7)),'Match Log'!$N$4:$N$1510),1000)</f>
        <v>1217.9015417269482</v>
      </c>
      <c r="AM15">
        <f ca="1">SUMIFS('Match Log'!$AC$4:$AC$1510,'Match Log'!$D$4:$D$1510,$A15,'Match Log'!$B$4:$B$1510,"&lt;="&amp;($D$4-7))</f>
        <v>30</v>
      </c>
      <c r="AN15">
        <f ca="1">SUMIFS('Poker Stake Ledger'!$K$18:$K$137,'Poker Stake Ledger'!$C$18:$C$137,$A15,'Poker Stake Ledger'!$B$18:$B$137,"&lt;="&amp;($D$4-7))</f>
        <v>0</v>
      </c>
      <c r="AO15">
        <f ca="1">IF($AK15=0,0,IF(($D$4-7-$AK15)/7&gt;='Guide &amp; Settings'!$C$48,(INT(($D$4-7-$AK15)/7-'Guide &amp; Settings'!$C$48)+1)*'Guide &amp; Settings'!$C$49,0))</f>
        <v>0</v>
      </c>
    </row>
    <row r="16" spans="1:41" ht="15" customHeight="1" x14ac:dyDescent="0.2">
      <c r="A16" t="s">
        <v>24</v>
      </c>
      <c r="B16">
        <f>IFERROR(INDEX(Engine!$B$2:$B$15,MATCH($A16,Engine!$A$2:$A$15,0)),1000)</f>
        <v>862.22294373677494</v>
      </c>
      <c r="C16">
        <f>IFERROR(INDEX(Engine!$C$2:$C$15,MATCH($A16,Engine!$A$2:$A$15,0)),"")</f>
        <v>1128.8013960504716</v>
      </c>
      <c r="D16">
        <f t="shared" si="0"/>
        <v>14</v>
      </c>
      <c r="E16">
        <f t="shared" si="1"/>
        <v>389.71289325789041</v>
      </c>
      <c r="F16" t="str">
        <f>IFERROR(LOOKUP(2,1/('Match Log'!$D$4:$D$1510=$A16),'Match Log'!$E$4:$E$1510),"")</f>
        <v>Loss</v>
      </c>
      <c r="G16">
        <f>IF($F16="",0,SUMPRODUCT(('Match Log'!$D$4:$D$1510=$A16)*(ROW('Match Log'!$A$4:$A$1510)&gt;SUMPRODUCT(MAX(('Match Log'!$D$4:$D$1510=$A16)*('Match Log'!$E$4:$E$1510&lt;&gt;$F16)*ROW('Match Log'!$A$4:$A$1510))))))</f>
        <v>6</v>
      </c>
      <c r="H16" t="str">
        <f t="shared" si="2"/>
        <v>L6</v>
      </c>
      <c r="I16" t="str">
        <f>IFERROR(IF(INDEX('Match Log'!$E$1:$E$1510,_xlfn.AGGREGATE(14,6,ROW('Match Log'!$A$4:$A$1510)/('Match Log'!$D$4:$D$1510=$A16),5))="Win","W","L"),"")&amp;IFERROR(IF(INDEX('Match Log'!$E$1:$E$1510,_xlfn.AGGREGATE(14,6,ROW('Match Log'!$A$4:$A$1510)/('Match Log'!$D$4:$D$1510=$A16),4))="Win","W","L"),"")&amp;IFERROR(IF(INDEX('Match Log'!$E$1:$E$1510,_xlfn.AGGREGATE(14,6,ROW('Match Log'!$A$4:$A$1510)/('Match Log'!$D$4:$D$1510=$A16),3))="Win","W","L"),"")&amp;IFERROR(IF(INDEX('Match Log'!$E$1:$E$1510,_xlfn.AGGREGATE(14,6,ROW('Match Log'!$A$4:$A$1510)/('Match Log'!$D$4:$D$1510=$A16),2))="Win","W","L"),"")&amp;IFERROR(IF(INDEX('Match Log'!$E$1:$E$1510,_xlfn.AGGREGATE(14,6,ROW('Match Log'!$A$4:$A$1510)/('Match Log'!$D$4:$D$1510=$A16),1))="Win","W","L"),"")</f>
        <v>LLLLL</v>
      </c>
      <c r="J16">
        <f t="shared" ca="1" si="3"/>
        <v>762.22294533677496</v>
      </c>
      <c r="K16">
        <f t="shared" ca="1" si="4"/>
        <v>14</v>
      </c>
      <c r="L16">
        <f t="shared" ca="1" si="5"/>
        <v>0</v>
      </c>
      <c r="M16">
        <f t="shared" si="6"/>
        <v>1</v>
      </c>
      <c r="N16">
        <f t="shared" si="7"/>
        <v>0</v>
      </c>
      <c r="O16">
        <f t="shared" si="8"/>
        <v>0</v>
      </c>
      <c r="P16">
        <f>IFERROR(SUMPRODUCT(MAX(('Match Log'!$D$4:$D$1510=$A16)*'Match Log'!$B$4:$B$1510)),0)</f>
        <v>46222</v>
      </c>
      <c r="Q16">
        <f t="shared" ca="1" si="9"/>
        <v>13.857142857142858</v>
      </c>
      <c r="R16">
        <f ca="1">IF($P16=0,0,IF($Q16&gt;='Guide &amp; Settings'!$C$48,(INT($Q16-'Guide &amp; Settings'!$C$48)+1)*'Guide &amp; Settings'!$C$49,0))</f>
        <v>100</v>
      </c>
      <c r="S16">
        <f ca="1">$B16-$R16-$U16+SUMIF('Poker Stake Ledger'!$C$18:$C$137,$A16,'Poker Stake Ledger'!$K$18:$K$137)</f>
        <v>752.22294373677494</v>
      </c>
      <c r="T16" t="str">
        <f ca="1">IF($P16=0,"No games",IF($Q16&gt;='Guide &amp; Settings'!$C$48,"Inactive",IF($Q16&gt;='Guide &amp; Settings'!$C$47,"At risk","Active")))</f>
        <v>Inactive</v>
      </c>
      <c r="U16">
        <f>SUMIF('Match Log'!$D$4:$D$1510,$A16,'Match Log'!$AC$4:$AC$1510)</f>
        <v>10</v>
      </c>
      <c r="V16">
        <f t="shared" si="10"/>
        <v>6</v>
      </c>
      <c r="W16">
        <f t="shared" ca="1" si="11"/>
        <v>0</v>
      </c>
      <c r="X16">
        <f ca="1">IFERROR(INDEX(Dashboard!$G$5:$G$18,MATCH($A16,Dashboard!$B$5:$B$18,0))*100,0)</f>
        <v>13.333333333333334</v>
      </c>
      <c r="Y16">
        <f ca="1">MIN(100,IFERROR(INDEX(Dashboard!$K$5:$K$18,MATCH($A16,Dashboard!$B$5:$B$18,0)),0)/5*50+$AC16/4*50)</f>
        <v>30</v>
      </c>
      <c r="Z16">
        <f t="shared" si="12"/>
        <v>0</v>
      </c>
      <c r="AA16">
        <f t="shared" si="13"/>
        <v>82.200349012617892</v>
      </c>
      <c r="AB16">
        <f t="shared" ca="1" si="14"/>
        <v>16.886701567928455</v>
      </c>
      <c r="AC16">
        <f>IFERROR(SUMPRODUCT((INDEX('Sport Records'!$B$8:$O$32,0,MATCH($A16,'Sport Records'!$B$7:$O$7,0))&gt;=2)*(INDEX('Sport Records'!$B$62:$O$86,0,MATCH($A16,'Sport Records'!$B$61:$O$61,0))&gt;=0.5)),0)</f>
        <v>0</v>
      </c>
      <c r="AD16">
        <f ca="1">IFERROR(INDEX(Dashboard!$D$5:$D$18,MATCH($A16,Dashboard!$B$5:$B$18,0)),0)</f>
        <v>15</v>
      </c>
      <c r="AE16">
        <f ca="1">IFERROR(INDEX(Dashboard!$K$5:$K$18,MATCH($A16,Dashboard!$B$5:$B$18,0)),0)</f>
        <v>3</v>
      </c>
      <c r="AF16" t="str">
        <f t="shared" ca="1" si="15"/>
        <v>Developing</v>
      </c>
      <c r="AG16">
        <f ca="1">COUNTIFS('Match Log'!$D$4:$D$1510,$A16,'Match Log'!$B$4:$B$1510,"&gt;="&amp;$B$5)</f>
        <v>0</v>
      </c>
      <c r="AH16">
        <f ca="1">COUNTIFS('Match Log'!$D$4:$D$1510,$A16,'Match Log'!$B$4:$B$1510,"&gt;="&amp;$B$5,'Match Log'!$E$4:$E$1510,"Win")</f>
        <v>0</v>
      </c>
      <c r="AI16">
        <f t="shared" ca="1" si="16"/>
        <v>752.22294533677496</v>
      </c>
      <c r="AK16">
        <f ca="1">_xlfn.MAXIFS('Match Log'!$B$4:$B$1510,'Match Log'!$D$4:$D$1510,$A16,'Match Log'!$B$4:$B$1510,"&lt;="&amp;($D$4-7))</f>
        <v>46222</v>
      </c>
      <c r="AL16">
        <f ca="1">IFERROR(LOOKUP(2,1/(('Match Log'!$D$4:$D$1510=$A16)*('Match Log'!$B$4:$B$1510&lt;=$D$4-7)),'Match Log'!$N$4:$N$1510),1000)</f>
        <v>862.22294373677494</v>
      </c>
      <c r="AM16">
        <f ca="1">SUMIFS('Match Log'!$AC$4:$AC$1510,'Match Log'!$D$4:$D$1510,$A16,'Match Log'!$B$4:$B$1510,"&lt;="&amp;($D$4-7))</f>
        <v>10</v>
      </c>
      <c r="AN16">
        <f ca="1">SUMIFS('Poker Stake Ledger'!$K$18:$K$137,'Poker Stake Ledger'!$C$18:$C$137,$A16,'Poker Stake Ledger'!$B$18:$B$137,"&lt;="&amp;($D$4-7))</f>
        <v>0</v>
      </c>
      <c r="AO16">
        <f ca="1">IF($AK16=0,0,IF(($D$4-7-$AK16)/7&gt;='Guide &amp; Settings'!$C$48,(INT(($D$4-7-$AK16)/7-'Guide &amp; Settings'!$C$48)+1)*'Guide &amp; Settings'!$C$49,0))</f>
        <v>90</v>
      </c>
    </row>
    <row r="17" spans="1:41" ht="15" customHeight="1" x14ac:dyDescent="0.2">
      <c r="A17" t="s">
        <v>25</v>
      </c>
      <c r="B17">
        <f>IFERROR(INDEX(Engine!$B$2:$B$15,MATCH($A17,Engine!$A$2:$A$15,0)),1000)</f>
        <v>972.21010962469381</v>
      </c>
      <c r="C17">
        <f>IFERROR(INDEX(Engine!$C$2:$C$15,MATCH($A17,Engine!$A$2:$A$15,0)),"")</f>
        <v>1184.8266958157653</v>
      </c>
      <c r="D17">
        <f t="shared" si="0"/>
        <v>12</v>
      </c>
      <c r="E17">
        <f t="shared" si="1"/>
        <v>279.72572736997154</v>
      </c>
      <c r="F17" t="str">
        <f>IFERROR(LOOKUP(2,1/('Match Log'!$D$4:$D$1510=$A17),'Match Log'!$E$4:$E$1510),"")</f>
        <v>Loss</v>
      </c>
      <c r="G17">
        <f>IF($F17="",0,SUMPRODUCT(('Match Log'!$D$4:$D$1510=$A17)*(ROW('Match Log'!$A$4:$A$1510)&gt;SUMPRODUCT(MAX(('Match Log'!$D$4:$D$1510=$A17)*('Match Log'!$E$4:$E$1510&lt;&gt;$F17)*ROW('Match Log'!$A$4:$A$1510))))))</f>
        <v>1</v>
      </c>
      <c r="H17" t="str">
        <f t="shared" si="2"/>
        <v>L1</v>
      </c>
      <c r="I17" t="str">
        <f>IFERROR(IF(INDEX('Match Log'!$E$1:$E$1510,_xlfn.AGGREGATE(14,6,ROW('Match Log'!$A$4:$A$1510)/('Match Log'!$D$4:$D$1510=$A17),5))="Win","W","L"),"")&amp;IFERROR(IF(INDEX('Match Log'!$E$1:$E$1510,_xlfn.AGGREGATE(14,6,ROW('Match Log'!$A$4:$A$1510)/('Match Log'!$D$4:$D$1510=$A17),4))="Win","W","L"),"")&amp;IFERROR(IF(INDEX('Match Log'!$E$1:$E$1510,_xlfn.AGGREGATE(14,6,ROW('Match Log'!$A$4:$A$1510)/('Match Log'!$D$4:$D$1510=$A17),3))="Win","W","L"),"")&amp;IFERROR(IF(INDEX('Match Log'!$E$1:$E$1510,_xlfn.AGGREGATE(14,6,ROW('Match Log'!$A$4:$A$1510)/('Match Log'!$D$4:$D$1510=$A17),2))="Win","W","L"),"")&amp;IFERROR(IF(INDEX('Match Log'!$E$1:$E$1510,_xlfn.AGGREGATE(14,6,ROW('Match Log'!$A$4:$A$1510)/('Match Log'!$D$4:$D$1510=$A17),1))="Win","W","L"),"")</f>
        <v>LWLWL</v>
      </c>
      <c r="J17">
        <f t="shared" ca="1" si="3"/>
        <v>949.07453806021215</v>
      </c>
      <c r="K17">
        <f t="shared" ca="1" si="4"/>
        <v>11</v>
      </c>
      <c r="L17">
        <f t="shared" ca="1" si="5"/>
        <v>1</v>
      </c>
      <c r="M17">
        <f t="shared" si="6"/>
        <v>4</v>
      </c>
      <c r="N17">
        <f t="shared" si="7"/>
        <v>2</v>
      </c>
      <c r="O17">
        <f t="shared" si="8"/>
        <v>0</v>
      </c>
      <c r="P17">
        <f>IFERROR(SUMPRODUCT(MAX(('Match Log'!$D$4:$D$1510=$A17)*'Match Log'!$B$4:$B$1510)),0)</f>
        <v>46319</v>
      </c>
      <c r="Q17">
        <f t="shared" ca="1" si="9"/>
        <v>0</v>
      </c>
      <c r="R17">
        <f ca="1">IF($P17=0,0,IF($Q17&gt;='Guide &amp; Settings'!$C$48,(INT($Q17-'Guide &amp; Settings'!$C$48)+1)*'Guide &amp; Settings'!$C$49,0))</f>
        <v>0</v>
      </c>
      <c r="S17">
        <f ca="1">$B17-$R17-$U17+SUMIF('Poker Stake Ledger'!$C$18:$C$137,$A17,'Poker Stake Ledger'!$K$18:$K$137)</f>
        <v>972.21010962469381</v>
      </c>
      <c r="T17" t="str">
        <f ca="1">IF($P17=0,"No games",IF($Q17&gt;='Guide &amp; Settings'!$C$48,"Inactive",IF($Q17&gt;='Guide &amp; Settings'!$C$47,"At risk","Active")))</f>
        <v>Active</v>
      </c>
      <c r="U17">
        <f>SUMIF('Match Log'!$D$4:$D$1510,$A17,'Match Log'!$AC$4:$AC$1510)</f>
        <v>0</v>
      </c>
      <c r="V17">
        <f t="shared" si="10"/>
        <v>1</v>
      </c>
      <c r="W17">
        <f t="shared" ca="1" si="11"/>
        <v>43.052527406173454</v>
      </c>
      <c r="X17">
        <f ca="1">IFERROR(INDEX(Dashboard!$G$5:$G$18,MATCH($A17,Dashboard!$B$5:$B$18,0))*100,0)</f>
        <v>35.955056179775283</v>
      </c>
      <c r="Y17">
        <f ca="1">MIN(100,IFERROR(INDEX(Dashboard!$K$5:$K$18,MATCH($A17,Dashboard!$B$5:$B$18,0)),0)/5*50+$AC17/4*50)</f>
        <v>100</v>
      </c>
      <c r="Z17">
        <f t="shared" si="12"/>
        <v>40</v>
      </c>
      <c r="AA17">
        <f t="shared" si="13"/>
        <v>96.206673953941333</v>
      </c>
      <c r="AB17">
        <f t="shared" ca="1" si="14"/>
        <v>57.8800632235099</v>
      </c>
      <c r="AC17">
        <f>IFERROR(SUMPRODUCT((INDEX('Sport Records'!$B$8:$O$32,0,MATCH($A17,'Sport Records'!$B$7:$O$7,0))&gt;=2)*(INDEX('Sport Records'!$B$62:$O$86,0,MATCH($A17,'Sport Records'!$B$61:$O$61,0))&gt;=0.5)),0)</f>
        <v>3</v>
      </c>
      <c r="AD17">
        <f ca="1">IFERROR(INDEX(Dashboard!$D$5:$D$18,MATCH($A17,Dashboard!$B$5:$B$18,0)),0)</f>
        <v>89</v>
      </c>
      <c r="AE17">
        <f ca="1">IFERROR(INDEX(Dashboard!$K$5:$K$18,MATCH($A17,Dashboard!$B$5:$B$18,0)),0)</f>
        <v>14</v>
      </c>
      <c r="AF17" t="str">
        <f t="shared" ca="1" si="15"/>
        <v>Mid</v>
      </c>
      <c r="AG17">
        <f ca="1">COUNTIFS('Match Log'!$D$4:$D$1510,$A17,'Match Log'!$B$4:$B$1510,"&gt;="&amp;$B$5)</f>
        <v>4</v>
      </c>
      <c r="AH17">
        <f ca="1">COUNTIFS('Match Log'!$D$4:$D$1510,$A17,'Match Log'!$B$4:$B$1510,"&gt;="&amp;$B$5,'Match Log'!$E$4:$E$1510,"Win")</f>
        <v>2</v>
      </c>
      <c r="AI17">
        <f t="shared" ca="1" si="16"/>
        <v>972.2101113246938</v>
      </c>
      <c r="AK17">
        <f ca="1">_xlfn.MAXIFS('Match Log'!$B$4:$B$1510,'Match Log'!$D$4:$D$1510,$A17,'Match Log'!$B$4:$B$1510,"&lt;="&amp;($D$4-7))</f>
        <v>46303</v>
      </c>
      <c r="AL17">
        <f ca="1">IFERROR(LOOKUP(2,1/(('Match Log'!$D$4:$D$1510=$A17)*('Match Log'!$B$4:$B$1510&lt;=$D$4-7)),'Match Log'!$N$4:$N$1510),1000)</f>
        <v>949.07453636021216</v>
      </c>
      <c r="AM17">
        <f ca="1">SUMIFS('Match Log'!$AC$4:$AC$1510,'Match Log'!$D$4:$D$1510,$A17,'Match Log'!$B$4:$B$1510,"&lt;="&amp;($D$4-7))</f>
        <v>0</v>
      </c>
      <c r="AN17">
        <f ca="1">SUMIFS('Poker Stake Ledger'!$K$18:$K$137,'Poker Stake Ledger'!$C$18:$C$137,$A17,'Poker Stake Ledger'!$B$18:$B$137,"&lt;="&amp;($D$4-7))</f>
        <v>0</v>
      </c>
      <c r="AO17">
        <f ca="1">IF($AK17=0,0,IF(($D$4-7-$AK17)/7&gt;='Guide &amp; Settings'!$C$48,(INT(($D$4-7-$AK17)/7-'Guide &amp; Settings'!$C$48)+1)*'Guide &amp; Settings'!$C$49,0))</f>
        <v>0</v>
      </c>
    </row>
    <row r="18" spans="1:41" ht="15" customHeight="1" x14ac:dyDescent="0.2">
      <c r="A18" t="s">
        <v>26</v>
      </c>
      <c r="B18">
        <f>IFERROR(INDEX(Engine!$B$2:$B$15,MATCH($A18,Engine!$A$2:$A$15,0)),1000)</f>
        <v>1087.5488947064855</v>
      </c>
      <c r="C18">
        <f>IFERROR(INDEX(Engine!$C$2:$C$15,MATCH($A18,Engine!$A$2:$A$15,0)),"")</f>
        <v>1065.4085288890217</v>
      </c>
      <c r="D18">
        <f t="shared" si="0"/>
        <v>7</v>
      </c>
      <c r="E18">
        <f t="shared" si="1"/>
        <v>164.38694228817985</v>
      </c>
      <c r="F18" t="str">
        <f>IFERROR(LOOKUP(2,1/('Match Log'!$D$4:$D$1510=$A18),'Match Log'!$E$4:$E$1510),"")</f>
        <v>Win</v>
      </c>
      <c r="G18">
        <f>IF($F18="",0,SUMPRODUCT(('Match Log'!$D$4:$D$1510=$A18)*(ROW('Match Log'!$A$4:$A$1510)&gt;SUMPRODUCT(MAX(('Match Log'!$D$4:$D$1510=$A18)*('Match Log'!$E$4:$E$1510&lt;&gt;$F18)*ROW('Match Log'!$A$4:$A$1510))))))</f>
        <v>1</v>
      </c>
      <c r="H18" t="str">
        <f t="shared" si="2"/>
        <v>W1</v>
      </c>
      <c r="I18" t="str">
        <f>IFERROR(IF(INDEX('Match Log'!$E$1:$E$1510,_xlfn.AGGREGATE(14,6,ROW('Match Log'!$A$4:$A$1510)/('Match Log'!$D$4:$D$1510=$A18),5))="Win","W","L"),"")&amp;IFERROR(IF(INDEX('Match Log'!$E$1:$E$1510,_xlfn.AGGREGATE(14,6,ROW('Match Log'!$A$4:$A$1510)/('Match Log'!$D$4:$D$1510=$A18),4))="Win","W","L"),"")&amp;IFERROR(IF(INDEX('Match Log'!$E$1:$E$1510,_xlfn.AGGREGATE(14,6,ROW('Match Log'!$A$4:$A$1510)/('Match Log'!$D$4:$D$1510=$A18),3))="Win","W","L"),"")&amp;IFERROR(IF(INDEX('Match Log'!$E$1:$E$1510,_xlfn.AGGREGATE(14,6,ROW('Match Log'!$A$4:$A$1510)/('Match Log'!$D$4:$D$1510=$A18),2))="Win","W","L"),"")&amp;IFERROR(IF(INDEX('Match Log'!$E$1:$E$1510,_xlfn.AGGREGATE(14,6,ROW('Match Log'!$A$4:$A$1510)/('Match Log'!$D$4:$D$1510=$A18),1))="Win","W","L"),"")</f>
        <v>LWWLW</v>
      </c>
      <c r="J18">
        <f t="shared" ca="1" si="3"/>
        <v>1027.5488965064856</v>
      </c>
      <c r="K18">
        <f t="shared" ca="1" si="4"/>
        <v>8</v>
      </c>
      <c r="L18">
        <f t="shared" ca="1" si="5"/>
        <v>0</v>
      </c>
      <c r="M18">
        <f t="shared" si="6"/>
        <v>2</v>
      </c>
      <c r="N18">
        <f t="shared" si="7"/>
        <v>3</v>
      </c>
      <c r="O18">
        <f t="shared" si="8"/>
        <v>1</v>
      </c>
      <c r="P18">
        <f>IFERROR(SUMPRODUCT(MAX(('Match Log'!$D$4:$D$1510=$A18)*'Match Log'!$B$4:$B$1510)),0)</f>
        <v>46249</v>
      </c>
      <c r="Q18">
        <f t="shared" ca="1" si="9"/>
        <v>10</v>
      </c>
      <c r="R18">
        <f ca="1">IF($P18=0,0,IF($Q18&gt;='Guide &amp; Settings'!$C$48,(INT($Q18-'Guide &amp; Settings'!$C$48)+1)*'Guide &amp; Settings'!$C$49,0))</f>
        <v>70</v>
      </c>
      <c r="S18">
        <f ca="1">$B18-$R18-$U18+SUMIF('Poker Stake Ledger'!$C$18:$C$137,$A18,'Poker Stake Ledger'!$K$18:$K$137)</f>
        <v>1017.5488947064855</v>
      </c>
      <c r="T18" t="str">
        <f ca="1">IF($P18=0,"No games",IF($Q18&gt;='Guide &amp; Settings'!$C$48,"Inactive",IF($Q18&gt;='Guide &amp; Settings'!$C$47,"At risk","Active")))</f>
        <v>Inactive</v>
      </c>
      <c r="U18">
        <f>SUMIF('Match Log'!$D$4:$D$1510,$A18,'Match Log'!$AC$4:$AC$1510)</f>
        <v>0</v>
      </c>
      <c r="V18">
        <f t="shared" si="10"/>
        <v>0</v>
      </c>
      <c r="W18">
        <f t="shared" ca="1" si="11"/>
        <v>54.387223676621375</v>
      </c>
      <c r="X18">
        <f ca="1">IFERROR(INDEX(Dashboard!$G$5:$G$18,MATCH($A18,Dashboard!$B$5:$B$18,0))*100,0)</f>
        <v>46.666666666666664</v>
      </c>
      <c r="Y18">
        <f ca="1">MIN(100,IFERROR(INDEX(Dashboard!$K$5:$K$18,MATCH($A18,Dashboard!$B$5:$B$18,0)),0)/5*50+$AC18/4*50)</f>
        <v>65</v>
      </c>
      <c r="Z18">
        <f t="shared" si="12"/>
        <v>60</v>
      </c>
      <c r="AA18">
        <f t="shared" si="13"/>
        <v>66.35213222225542</v>
      </c>
      <c r="AB18">
        <f t="shared" ca="1" si="14"/>
        <v>57.004074842376362</v>
      </c>
      <c r="AC18">
        <f>IFERROR(SUMPRODUCT((INDEX('Sport Records'!$B$8:$O$32,0,MATCH($A18,'Sport Records'!$B$7:$O$7,0))&gt;=2)*(INDEX('Sport Records'!$B$62:$O$86,0,MATCH($A18,'Sport Records'!$B$61:$O$61,0))&gt;=0.5)),0)</f>
        <v>2</v>
      </c>
      <c r="AD18">
        <f ca="1">IFERROR(INDEX(Dashboard!$D$5:$D$18,MATCH($A18,Dashboard!$B$5:$B$18,0)),0)</f>
        <v>15</v>
      </c>
      <c r="AE18">
        <f ca="1">IFERROR(INDEX(Dashboard!$K$5:$K$18,MATCH($A18,Dashboard!$B$5:$B$18,0)),0)</f>
        <v>4</v>
      </c>
      <c r="AF18" t="str">
        <f t="shared" ca="1" si="15"/>
        <v>Mid</v>
      </c>
      <c r="AG18">
        <f ca="1">COUNTIFS('Match Log'!$D$4:$D$1510,$A18,'Match Log'!$B$4:$B$1510,"&gt;="&amp;$B$5)</f>
        <v>0</v>
      </c>
      <c r="AH18">
        <f ca="1">COUNTIFS('Match Log'!$D$4:$D$1510,$A18,'Match Log'!$B$4:$B$1510,"&gt;="&amp;$B$5,'Match Log'!$E$4:$E$1510,"Win")</f>
        <v>0</v>
      </c>
      <c r="AI18">
        <f t="shared" ca="1" si="16"/>
        <v>1017.5488965064854</v>
      </c>
      <c r="AK18">
        <f ca="1">_xlfn.MAXIFS('Match Log'!$B$4:$B$1510,'Match Log'!$D$4:$D$1510,$A18,'Match Log'!$B$4:$B$1510,"&lt;="&amp;($D$4-7))</f>
        <v>46249</v>
      </c>
      <c r="AL18">
        <f ca="1">IFERROR(LOOKUP(2,1/(('Match Log'!$D$4:$D$1510=$A18)*('Match Log'!$B$4:$B$1510&lt;=$D$4-7)),'Match Log'!$N$4:$N$1510),1000)</f>
        <v>1087.5488947064855</v>
      </c>
      <c r="AM18">
        <f ca="1">SUMIFS('Match Log'!$AC$4:$AC$1510,'Match Log'!$D$4:$D$1510,$A18,'Match Log'!$B$4:$B$1510,"&lt;="&amp;($D$4-7))</f>
        <v>0</v>
      </c>
      <c r="AN18">
        <f ca="1">SUMIFS('Poker Stake Ledger'!$K$18:$K$137,'Poker Stake Ledger'!$C$18:$C$137,$A18,'Poker Stake Ledger'!$B$18:$B$137,"&lt;="&amp;($D$4-7))</f>
        <v>0</v>
      </c>
      <c r="AO18">
        <f ca="1">IF($AK18=0,0,IF(($D$4-7-$AK18)/7&gt;='Guide &amp; Settings'!$C$48,(INT(($D$4-7-$AK18)/7-'Guide &amp; Settings'!$C$48)+1)*'Guide &amp; Settings'!$C$49,0))</f>
        <v>60</v>
      </c>
    </row>
    <row r="19" spans="1:41" ht="15" customHeight="1" x14ac:dyDescent="0.2">
      <c r="A19" t="s">
        <v>27</v>
      </c>
      <c r="B19">
        <f>IFERROR(INDEX(Engine!$B$2:$B$15,MATCH($A19,Engine!$A$2:$A$15,0)),1000)</f>
        <v>1010.5072402821568</v>
      </c>
      <c r="C19">
        <f>IFERROR(INDEX(Engine!$C$2:$C$15,MATCH($A19,Engine!$A$2:$A$15,0)),"")</f>
        <v>1115.8129421390397</v>
      </c>
      <c r="D19">
        <f t="shared" si="0"/>
        <v>10</v>
      </c>
      <c r="E19">
        <f t="shared" si="1"/>
        <v>241.42859671250858</v>
      </c>
      <c r="F19" t="str">
        <f>IFERROR(LOOKUP(2,1/('Match Log'!$D$4:$D$1510=$A19),'Match Log'!$E$4:$E$1510),"")</f>
        <v>Loss</v>
      </c>
      <c r="G19">
        <f>IF($F19="",0,SUMPRODUCT(('Match Log'!$D$4:$D$1510=$A19)*(ROW('Match Log'!$A$4:$A$1510)&gt;SUMPRODUCT(MAX(('Match Log'!$D$4:$D$1510=$A19)*('Match Log'!$E$4:$E$1510&lt;&gt;$F19)*ROW('Match Log'!$A$4:$A$1510))))))</f>
        <v>8</v>
      </c>
      <c r="H19" t="str">
        <f t="shared" si="2"/>
        <v>L8</v>
      </c>
      <c r="I19" t="str">
        <f>IFERROR(IF(INDEX('Match Log'!$E$1:$E$1510,_xlfn.AGGREGATE(14,6,ROW('Match Log'!$A$4:$A$1510)/('Match Log'!$D$4:$D$1510=$A19),5))="Win","W","L"),"")&amp;IFERROR(IF(INDEX('Match Log'!$E$1:$E$1510,_xlfn.AGGREGATE(14,6,ROW('Match Log'!$A$4:$A$1510)/('Match Log'!$D$4:$D$1510=$A19),4))="Win","W","L"),"")&amp;IFERROR(IF(INDEX('Match Log'!$E$1:$E$1510,_xlfn.AGGREGATE(14,6,ROW('Match Log'!$A$4:$A$1510)/('Match Log'!$D$4:$D$1510=$A19),3))="Win","W","L"),"")&amp;IFERROR(IF(INDEX('Match Log'!$E$1:$E$1510,_xlfn.AGGREGATE(14,6,ROW('Match Log'!$A$4:$A$1510)/('Match Log'!$D$4:$D$1510=$A19),2))="Win","W","L"),"")&amp;IFERROR(IF(INDEX('Match Log'!$E$1:$E$1510,_xlfn.AGGREGATE(14,6,ROW('Match Log'!$A$4:$A$1510)/('Match Log'!$D$4:$D$1510=$A19),1))="Win","W","L"),"")</f>
        <v>LLLLL</v>
      </c>
      <c r="J19">
        <f t="shared" ca="1" si="3"/>
        <v>970.5072421821568</v>
      </c>
      <c r="K19">
        <f t="shared" ca="1" si="4"/>
        <v>10</v>
      </c>
      <c r="L19">
        <f t="shared" ca="1" si="5"/>
        <v>-1</v>
      </c>
      <c r="M19">
        <f t="shared" si="6"/>
        <v>0</v>
      </c>
      <c r="N19">
        <f t="shared" si="7"/>
        <v>0</v>
      </c>
      <c r="O19">
        <f t="shared" si="8"/>
        <v>0</v>
      </c>
      <c r="P19">
        <f>IFERROR(SUMPRODUCT(MAX(('Match Log'!$D$4:$D$1510=$A19)*'Match Log'!$B$4:$B$1510)),0)</f>
        <v>46298</v>
      </c>
      <c r="Q19">
        <f t="shared" ca="1" si="9"/>
        <v>3</v>
      </c>
      <c r="R19">
        <f ca="1">IF($P19=0,0,IF($Q19&gt;='Guide &amp; Settings'!$C$48,(INT($Q19-'Guide &amp; Settings'!$C$48)+1)*'Guide &amp; Settings'!$C$49,0))</f>
        <v>0</v>
      </c>
      <c r="S19">
        <f ca="1">$B19-$R19-$U19+SUMIF('Poker Stake Ledger'!$C$18:$C$137,$A19,'Poker Stake Ledger'!$K$18:$K$137)</f>
        <v>970.50724028215677</v>
      </c>
      <c r="T19" t="str">
        <f ca="1">IF($P19=0,"No games",IF($Q19&gt;='Guide &amp; Settings'!$C$48,"Inactive",IF($Q19&gt;='Guide &amp; Settings'!$C$47,"At risk","Active")))</f>
        <v>At risk</v>
      </c>
      <c r="U19">
        <f>SUMIF('Match Log'!$D$4:$D$1510,$A19,'Match Log'!$AC$4:$AC$1510)</f>
        <v>40</v>
      </c>
      <c r="V19">
        <f t="shared" si="10"/>
        <v>8</v>
      </c>
      <c r="W19">
        <f t="shared" ca="1" si="11"/>
        <v>42.626810070539193</v>
      </c>
      <c r="X19">
        <f ca="1">IFERROR(INDEX(Dashboard!$G$5:$G$18,MATCH($A19,Dashboard!$B$5:$B$18,0))*100,0)</f>
        <v>35.294117647058826</v>
      </c>
      <c r="Y19">
        <f ca="1">MIN(100,IFERROR(INDEX(Dashboard!$K$5:$K$18,MATCH($A19,Dashboard!$B$5:$B$18,0)),0)/5*50+$AC19/4*50)</f>
        <v>75</v>
      </c>
      <c r="Z19">
        <f t="shared" si="12"/>
        <v>0</v>
      </c>
      <c r="AA19">
        <f t="shared" si="13"/>
        <v>78.953235534759926</v>
      </c>
      <c r="AB19">
        <f t="shared" ca="1" si="14"/>
        <v>44.87353060757647</v>
      </c>
      <c r="AC19">
        <f>IFERROR(SUMPRODUCT((INDEX('Sport Records'!$B$8:$O$32,0,MATCH($A19,'Sport Records'!$B$7:$O$7,0))&gt;=2)*(INDEX('Sport Records'!$B$62:$O$86,0,MATCH($A19,'Sport Records'!$B$61:$O$61,0))&gt;=0.5)),0)</f>
        <v>2</v>
      </c>
      <c r="AD19">
        <f ca="1">IFERROR(INDEX(Dashboard!$D$5:$D$18,MATCH($A19,Dashboard!$B$5:$B$18,0)),0)</f>
        <v>17</v>
      </c>
      <c r="AE19">
        <f ca="1">IFERROR(INDEX(Dashboard!$K$5:$K$18,MATCH($A19,Dashboard!$B$5:$B$18,0)),0)</f>
        <v>5</v>
      </c>
      <c r="AF19" t="str">
        <f t="shared" ca="1" si="15"/>
        <v>Mid</v>
      </c>
      <c r="AG19">
        <f ca="1">COUNTIFS('Match Log'!$D$4:$D$1510,$A19,'Match Log'!$B$4:$B$1510,"&gt;="&amp;$B$5)</f>
        <v>0</v>
      </c>
      <c r="AH19">
        <f ca="1">COUNTIFS('Match Log'!$D$4:$D$1510,$A19,'Match Log'!$B$4:$B$1510,"&gt;="&amp;$B$5,'Match Log'!$E$4:$E$1510,"Win")</f>
        <v>0</v>
      </c>
      <c r="AI19">
        <f t="shared" ca="1" si="16"/>
        <v>970.5072421821568</v>
      </c>
      <c r="AK19">
        <f ca="1">_xlfn.MAXIFS('Match Log'!$B$4:$B$1510,'Match Log'!$D$4:$D$1510,$A19,'Match Log'!$B$4:$B$1510,"&lt;="&amp;($D$4-7))</f>
        <v>46298</v>
      </c>
      <c r="AL19">
        <f ca="1">IFERROR(LOOKUP(2,1/(('Match Log'!$D$4:$D$1510=$A19)*('Match Log'!$B$4:$B$1510&lt;=$D$4-7)),'Match Log'!$N$4:$N$1510),1000)</f>
        <v>1010.5072402821568</v>
      </c>
      <c r="AM19">
        <f ca="1">SUMIFS('Match Log'!$AC$4:$AC$1510,'Match Log'!$D$4:$D$1510,$A19,'Match Log'!$B$4:$B$1510,"&lt;="&amp;($D$4-7))</f>
        <v>40</v>
      </c>
      <c r="AN19">
        <f ca="1">SUMIFS('Poker Stake Ledger'!$K$18:$K$137,'Poker Stake Ledger'!$C$18:$C$137,$A19,'Poker Stake Ledger'!$B$18:$B$137,"&lt;="&amp;($D$4-7))</f>
        <v>0</v>
      </c>
      <c r="AO19">
        <f ca="1">IF($AK19=0,0,IF(($D$4-7-$AK19)/7&gt;='Guide &amp; Settings'!$C$48,(INT(($D$4-7-$AK19)/7-'Guide &amp; Settings'!$C$48)+1)*'Guide &amp; Settings'!$C$49,0))</f>
        <v>0</v>
      </c>
    </row>
    <row r="20" spans="1:41" ht="15" customHeight="1" x14ac:dyDescent="0.2">
      <c r="A20" t="s">
        <v>28</v>
      </c>
      <c r="B20">
        <f>IFERROR(INDEX(Engine!$B$2:$B$15,MATCH($A20,Engine!$A$2:$A$15,0)),1000)</f>
        <v>1000</v>
      </c>
      <c r="C20" t="str">
        <f>IFERROR(INDEX(Engine!$C$2:$C$15,MATCH($A20,Engine!$A$2:$A$15,0)),"")</f>
        <v/>
      </c>
      <c r="D20">
        <f t="shared" si="0"/>
        <v>11</v>
      </c>
      <c r="E20">
        <f t="shared" si="1"/>
        <v>251.93583699466535</v>
      </c>
      <c r="F20" t="str">
        <f>IFERROR(LOOKUP(2,1/('Match Log'!$D$4:$D$1510=$A20),'Match Log'!$E$4:$E$1510),"")</f>
        <v/>
      </c>
      <c r="G20">
        <f>IF($F20="",0,SUMPRODUCT(('Match Log'!$D$4:$D$1510=$A20)*(ROW('Match Log'!$A$4:$A$1510)&gt;SUMPRODUCT(MAX(('Match Log'!$D$4:$D$1510=$A20)*('Match Log'!$E$4:$E$1510&lt;&gt;$F20)*ROW('Match Log'!$A$4:$A$1510))))))</f>
        <v>0</v>
      </c>
      <c r="H20" t="str">
        <f t="shared" si="2"/>
        <v/>
      </c>
      <c r="I20" t="str">
        <f>IFERROR(IF(INDEX('Match Log'!$E$1:$E$1510,_xlfn.AGGREGATE(14,6,ROW('Match Log'!$A$4:$A$1510)/('Match Log'!$D$4:$D$1510=$A20),5))="Win","W","L"),"")&amp;IFERROR(IF(INDEX('Match Log'!$E$1:$E$1510,_xlfn.AGGREGATE(14,6,ROW('Match Log'!$A$4:$A$1510)/('Match Log'!$D$4:$D$1510=$A20),4))="Win","W","L"),"")&amp;IFERROR(IF(INDEX('Match Log'!$E$1:$E$1510,_xlfn.AGGREGATE(14,6,ROW('Match Log'!$A$4:$A$1510)/('Match Log'!$D$4:$D$1510=$A20),3))="Win","W","L"),"")&amp;IFERROR(IF(INDEX('Match Log'!$E$1:$E$1510,_xlfn.AGGREGATE(14,6,ROW('Match Log'!$A$4:$A$1510)/('Match Log'!$D$4:$D$1510=$A20),2))="Win","W","L"),"")&amp;IFERROR(IF(INDEX('Match Log'!$E$1:$E$1510,_xlfn.AGGREGATE(14,6,ROW('Match Log'!$A$4:$A$1510)/('Match Log'!$D$4:$D$1510=$A20),1))="Win","W","L"),"")</f>
        <v/>
      </c>
      <c r="J20">
        <f t="shared" ca="1" si="3"/>
        <v>1000.000002</v>
      </c>
      <c r="K20">
        <f t="shared" ca="1" si="4"/>
        <v>9</v>
      </c>
      <c r="L20">
        <f t="shared" ca="1" si="5"/>
        <v>0</v>
      </c>
      <c r="M20">
        <f t="shared" si="6"/>
        <v>0</v>
      </c>
      <c r="N20">
        <f t="shared" si="7"/>
        <v>0</v>
      </c>
      <c r="O20">
        <f t="shared" si="8"/>
        <v>0</v>
      </c>
      <c r="P20">
        <f>IFERROR(SUMPRODUCT(MAX(('Match Log'!$D$4:$D$1510=$A20)*'Match Log'!$B$4:$B$1510)),0)</f>
        <v>0</v>
      </c>
      <c r="Q20" t="str">
        <f t="shared" si="9"/>
        <v/>
      </c>
      <c r="R20">
        <f>IF($P20=0,0,IF($Q20&gt;='Guide &amp; Settings'!$C$48,(INT($Q20-'Guide &amp; Settings'!$C$48)+1)*'Guide &amp; Settings'!$C$49,0))</f>
        <v>0</v>
      </c>
      <c r="S20">
        <f>$B20-$R20-$U20+SUMIF('Poker Stake Ledger'!$C$18:$C$137,$A20,'Poker Stake Ledger'!$K$18:$K$137)</f>
        <v>1000</v>
      </c>
      <c r="T20" t="str">
        <f>IF($P20=0,"No games",IF($Q20&gt;='Guide &amp; Settings'!$C$48,"Inactive",IF($Q20&gt;='Guide &amp; Settings'!$C$47,"At risk","Active")))</f>
        <v>No games</v>
      </c>
      <c r="U20">
        <f>SUMIF('Match Log'!$D$4:$D$1510,$A20,'Match Log'!$AC$4:$AC$1510)</f>
        <v>0</v>
      </c>
      <c r="V20">
        <f t="shared" si="10"/>
        <v>0</v>
      </c>
      <c r="W20">
        <f t="shared" si="11"/>
        <v>50</v>
      </c>
      <c r="X20">
        <f ca="1">IFERROR(INDEX(Dashboard!$G$5:$G$18,MATCH($A20,Dashboard!$B$5:$B$18,0))*100,0)</f>
        <v>0</v>
      </c>
      <c r="Y20">
        <f ca="1">MIN(100,IFERROR(INDEX(Dashboard!$K$5:$K$18,MATCH($A20,Dashboard!$B$5:$B$18,0)),0)/5*50+$AC20/4*50)</f>
        <v>0</v>
      </c>
      <c r="Z20">
        <f t="shared" si="12"/>
        <v>0</v>
      </c>
      <c r="AA20">
        <f t="shared" si="13"/>
        <v>0</v>
      </c>
      <c r="AB20">
        <f t="shared" ca="1" si="14"/>
        <v>17.5</v>
      </c>
      <c r="AC20">
        <f>IFERROR(SUMPRODUCT((INDEX('Sport Records'!$B$8:$O$32,0,MATCH($A20,'Sport Records'!$B$7:$O$7,0))&gt;=2)*(INDEX('Sport Records'!$B$62:$O$86,0,MATCH($A20,'Sport Records'!$B$61:$O$61,0))&gt;=0.5)),0)</f>
        <v>0</v>
      </c>
      <c r="AD20">
        <f ca="1">IFERROR(INDEX(Dashboard!$D$5:$D$18,MATCH($A20,Dashboard!$B$5:$B$18,0)),0)</f>
        <v>0</v>
      </c>
      <c r="AE20">
        <f ca="1">IFERROR(INDEX(Dashboard!$K$5:$K$18,MATCH($A20,Dashboard!$B$5:$B$18,0)),0)</f>
        <v>0</v>
      </c>
      <c r="AF20" t="str">
        <f t="shared" ca="1" si="15"/>
        <v>No games</v>
      </c>
      <c r="AG20">
        <f ca="1">COUNTIFS('Match Log'!$D$4:$D$1510,$A20,'Match Log'!$B$4:$B$1510,"&gt;="&amp;$B$5)</f>
        <v>0</v>
      </c>
      <c r="AH20">
        <f ca="1">COUNTIFS('Match Log'!$D$4:$D$1510,$A20,'Match Log'!$B$4:$B$1510,"&gt;="&amp;$B$5,'Match Log'!$E$4:$E$1510,"Win")</f>
        <v>0</v>
      </c>
      <c r="AI20">
        <f t="shared" si="16"/>
        <v>1000.000002</v>
      </c>
      <c r="AK20">
        <f ca="1">_xlfn.MAXIFS('Match Log'!$B$4:$B$1510,'Match Log'!$D$4:$D$1510,$A20,'Match Log'!$B$4:$B$1510,"&lt;="&amp;($D$4-7))</f>
        <v>0</v>
      </c>
      <c r="AL20">
        <f ca="1">IFERROR(LOOKUP(2,1/(('Match Log'!$D$4:$D$1510=$A20)*('Match Log'!$B$4:$B$1510&lt;=$D$4-7)),'Match Log'!$N$4:$N$1510),1000)</f>
        <v>1000</v>
      </c>
      <c r="AM20">
        <f ca="1">SUMIFS('Match Log'!$AC$4:$AC$1510,'Match Log'!$D$4:$D$1510,$A20,'Match Log'!$B$4:$B$1510,"&lt;="&amp;($D$4-7))</f>
        <v>0</v>
      </c>
      <c r="AN20">
        <f ca="1">SUMIFS('Poker Stake Ledger'!$K$18:$K$137,'Poker Stake Ledger'!$C$18:$C$137,$A20,'Poker Stake Ledger'!$B$18:$B$137,"&lt;="&amp;($D$4-7))</f>
        <v>0</v>
      </c>
      <c r="AO20">
        <f ca="1">IF($AK20=0,0,IF(($D$4-7-$AK20)/7&gt;='Guide &amp; Settings'!$C$48,(INT(($D$4-7-$AK20)/7-'Guide &amp; Settings'!$C$48)+1)*'Guide &amp; Settings'!$C$49,0))</f>
        <v>0</v>
      </c>
    </row>
    <row r="24" spans="1:41" ht="15" customHeight="1" x14ac:dyDescent="0.2">
      <c r="A24" t="s">
        <v>438</v>
      </c>
      <c r="B24" t="s">
        <v>319</v>
      </c>
      <c r="C24" t="s">
        <v>235</v>
      </c>
      <c r="D24" t="s">
        <v>439</v>
      </c>
      <c r="E24" t="s">
        <v>440</v>
      </c>
      <c r="F24" t="s">
        <v>441</v>
      </c>
      <c r="G24" t="s">
        <v>442</v>
      </c>
      <c r="H24" t="s">
        <v>443</v>
      </c>
      <c r="J24" t="s">
        <v>444</v>
      </c>
      <c r="K24" t="s">
        <v>15</v>
      </c>
      <c r="L24" t="s">
        <v>16</v>
      </c>
      <c r="M24" t="s">
        <v>17</v>
      </c>
      <c r="N24" t="s">
        <v>18</v>
      </c>
      <c r="O24" t="s">
        <v>19</v>
      </c>
      <c r="P24" t="s">
        <v>20</v>
      </c>
      <c r="Q24" t="s">
        <v>21</v>
      </c>
      <c r="R24" t="s">
        <v>22</v>
      </c>
      <c r="S24" t="s">
        <v>23</v>
      </c>
      <c r="T24" t="s">
        <v>24</v>
      </c>
      <c r="U24" t="s">
        <v>25</v>
      </c>
      <c r="V24" t="s">
        <v>26</v>
      </c>
      <c r="W24" t="s">
        <v>27</v>
      </c>
      <c r="X24" t="s">
        <v>28</v>
      </c>
    </row>
    <row r="25" spans="1:41" ht="15" customHeight="1" x14ac:dyDescent="0.2">
      <c r="A25">
        <v>1</v>
      </c>
      <c r="B25" s="138">
        <f>IFERROR(INDEX('Match Log'!$B$4:$B$1510,MATCH($A25,'Match Log'!$A$4:$A$1510,0)),"")</f>
        <v>46145</v>
      </c>
      <c r="C25" t="str">
        <f>IFERROR(INDEX('Match Log'!$C$4:$C$1510,MATCH($A25,'Match Log'!$A$4:$A$1510,0)),"")</f>
        <v>Putt Putt</v>
      </c>
      <c r="D25" t="str">
        <f t="array" ref="D25">IFERROR(_xlfn.TEXTJOIN(" + ",TRUE(),IF(('Match Log'!$A$4:$A$1510=$A25)*('Match Log'!$E$4:$E$1510="Win"),'Match Log'!$D$4:$D$1510,"")),IFERROR(LOOKUP(2,1/(('Match Log'!$A$4:$A$1510=$A25)*('Match Log'!$E$4:$E$1510="Win")),'Match Log'!$D$4:$D$1510),""))</f>
        <v>Josh</v>
      </c>
      <c r="E25" s="139">
        <f>IFERROR(INDEX('Match Log'!$F$4:$F$1510,MATCH($A25,'Match Log'!$A$4:$A$1510,0)),"")</f>
        <v>3</v>
      </c>
      <c r="F25">
        <f>IFERROR(SUMIFS('Match Log'!$I$4:$I$1510,'Match Log'!$A$4:$A$1510,$A25,'Match Log'!$E$4:$E$1510,"Win"),"")</f>
        <v>0.33333333333333331</v>
      </c>
      <c r="G25">
        <f t="shared" ref="G25:G88" si="17">IF($D25="","",1-$F25*$E25)</f>
        <v>0</v>
      </c>
      <c r="H25" t="str">
        <f t="array" ref="H25">IFERROR(IF(COUNTIFS('Match Log'!$A$4:$A$1510,$A25,'Match Log'!$E$4:$E$1510,"Win")&gt;1,_xlfn.TEXTJOIN(" + ",TRUE(),IF(('Match Log'!$A$4:$A$1510=$A25)*('Match Log'!$E$4:$E$1510="Loss"),'Match Log'!$D$4:$D$1510,"")),IF($E25=2,LOOKUP(2,1/(('Match Log'!$A$4:$A$1510=$A25)*('Match Log'!$E$4:$E$1510="Loss")),'Match Log'!$D$4:$D$1510),"the field")),"")</f>
        <v>the field</v>
      </c>
      <c r="I25">
        <f t="shared" ref="I25:I88" si="18">IF($G25="","",$G25-$A25/1000000)</f>
        <v>-9.9999999999999995E-7</v>
      </c>
      <c r="J25">
        <v>1</v>
      </c>
      <c r="K25" t="e">
        <f>IF($J25&gt;MAX('Match Log'!$A$4:$A$1510),NA(),IFERROR(LOOKUP(2,1/(('Match Log'!$D$4:$D$1510=$K$24)*('Match Log'!$A$4:$A$1510&lt;=$J25)),'Match Log'!$N$4:$N$1510),NA()))</f>
        <v>#N/A</v>
      </c>
      <c r="L25" t="e">
        <f>IF($J25&gt;MAX('Match Log'!$A$4:$A$1510),NA(),IFERROR(LOOKUP(2,1/(('Match Log'!$D$4:$D$1510=$L$24)*('Match Log'!$A$4:$A$1510&lt;=$J25)),'Match Log'!$N$4:$N$1510),NA()))</f>
        <v>#N/A</v>
      </c>
      <c r="M25" t="e">
        <f>IF($J25&gt;MAX('Match Log'!$A$4:$A$1510),NA(),IFERROR(LOOKUP(2,1/(('Match Log'!$D$4:$D$1510=$M$24)*('Match Log'!$A$4:$A$1510&lt;=$J25)),'Match Log'!$N$4:$N$1510),NA()))</f>
        <v>#N/A</v>
      </c>
      <c r="N25" t="e">
        <f>IF($J25&gt;MAX('Match Log'!$A$4:$A$1510),NA(),IFERROR(LOOKUP(2,1/(('Match Log'!$D$4:$D$1510=$N$24)*('Match Log'!$A$4:$A$1510&lt;=$J25)),'Match Log'!$N$4:$N$1510),NA()))</f>
        <v>#N/A</v>
      </c>
      <c r="O25">
        <f>IF($J25&gt;MAX('Match Log'!$A$4:$A$1510),NA(),IFERROR(LOOKUP(2,1/(('Match Log'!$D$4:$D$1510=$O$24)*('Match Log'!$A$4:$A$1510&lt;=$J25)),'Match Log'!$N$4:$N$1510),NA()))</f>
        <v>1027</v>
      </c>
      <c r="P25">
        <f>IF($J25&gt;MAX('Match Log'!$A$4:$A$1510),NA(),IFERROR(LOOKUP(2,1/(('Match Log'!$D$4:$D$1510=$P$24)*('Match Log'!$A$4:$A$1510&lt;=$J25)),'Match Log'!$N$4:$N$1510),NA()))</f>
        <v>991</v>
      </c>
      <c r="Q25" t="e">
        <f>IF($J25&gt;MAX('Match Log'!$A$4:$A$1510),NA(),IFERROR(LOOKUP(2,1/(('Match Log'!$D$4:$D$1510=$Q$24)*('Match Log'!$A$4:$A$1510&lt;=$J25)),'Match Log'!$N$4:$N$1510),NA()))</f>
        <v>#N/A</v>
      </c>
      <c r="R25" t="e">
        <f>IF($J25&gt;MAX('Match Log'!$A$4:$A$1510),NA(),IFERROR(LOOKUP(2,1/(('Match Log'!$D$4:$D$1510=$R$24)*('Match Log'!$A$4:$A$1510&lt;=$J25)),'Match Log'!$N$4:$N$1510),NA()))</f>
        <v>#N/A</v>
      </c>
      <c r="S25" t="e">
        <f>IF($J25&gt;MAX('Match Log'!$A$4:$A$1510),NA(),IFERROR(LOOKUP(2,1/(('Match Log'!$D$4:$D$1510=$S$24)*('Match Log'!$A$4:$A$1510&lt;=$J25)),'Match Log'!$N$4:$N$1510),NA()))</f>
        <v>#N/A</v>
      </c>
      <c r="T25" t="e">
        <f>IF($J25&gt;MAX('Match Log'!$A$4:$A$1510),NA(),IFERROR(LOOKUP(2,1/(('Match Log'!$D$4:$D$1510=$T$24)*('Match Log'!$A$4:$A$1510&lt;=$J25)),'Match Log'!$N$4:$N$1510),NA()))</f>
        <v>#N/A</v>
      </c>
      <c r="U25">
        <f>IF($J25&gt;MAX('Match Log'!$A$4:$A$1510),NA(),IFERROR(LOOKUP(2,1/(('Match Log'!$D$4:$D$1510=$U$24)*('Match Log'!$A$4:$A$1510&lt;=$J25)),'Match Log'!$N$4:$N$1510),NA()))</f>
        <v>991</v>
      </c>
      <c r="V25" t="e">
        <f>IF($J25&gt;MAX('Match Log'!$A$4:$A$1510),NA(),IFERROR(LOOKUP(2,1/(('Match Log'!$D$4:$D$1510=$V$24)*('Match Log'!$A$4:$A$1510&lt;=$J25)),'Match Log'!$N$4:$N$1510),NA()))</f>
        <v>#N/A</v>
      </c>
      <c r="W25" t="e">
        <f>IF($J25&gt;MAX('Match Log'!$A$4:$A$1510),NA(),IFERROR(LOOKUP(2,1/(('Match Log'!$D$4:$D$1510=$W$24)*('Match Log'!$A$4:$A$1510&lt;=$J25)),'Match Log'!$N$4:$N$1510),NA()))</f>
        <v>#N/A</v>
      </c>
      <c r="X25" t="e">
        <f>IF($J25&gt;MAX('Match Log'!$A$4:$A$1510),NA(),IFERROR(LOOKUP(2,1/(('Match Log'!$D$4:$D$1510=$X$24)*('Match Log'!$A$4:$A$1510&lt;=$J25)),'Match Log'!$N$4:$N$1510),NA()))</f>
        <v>#N/A</v>
      </c>
      <c r="Y25" t="str">
        <f t="shared" ref="Y25:Y88" ca="1" si="19">IF(AND($B25&lt;&gt;"",$B25&gt;=$B$5,$I25&lt;&gt;""),$I25,"")</f>
        <v/>
      </c>
    </row>
    <row r="26" spans="1:41" ht="15" customHeight="1" x14ac:dyDescent="0.2">
      <c r="A26">
        <v>2</v>
      </c>
      <c r="B26" s="138">
        <f>IFERROR(INDEX('Match Log'!$B$4:$B$1510,MATCH($A26,'Match Log'!$A$4:$A$1510,0)),"")</f>
        <v>46175</v>
      </c>
      <c r="C26" t="str">
        <f>IFERROR(INDEX('Match Log'!$C$4:$C$1510,MATCH($A26,'Match Log'!$A$4:$A$1510,0)),"")</f>
        <v>Kelly Pool</v>
      </c>
      <c r="D26" t="str">
        <f t="array" ref="D26">IFERROR(_xlfn.TEXTJOIN(" + ",TRUE(),IF(('Match Log'!$A$4:$A$1510=$A26)*('Match Log'!$E$4:$E$1510="Win"),'Match Log'!$D$4:$D$1510,"")),IFERROR(LOOKUP(2,1/(('Match Log'!$A$4:$A$1510=$A26)*('Match Log'!$E$4:$E$1510="Win")),'Match Log'!$D$4:$D$1510),""))</f>
        <v>Aaron</v>
      </c>
      <c r="E26" s="139">
        <f>IFERROR(INDEX('Match Log'!$F$4:$F$1510,MATCH($A26,'Match Log'!$A$4:$A$1510,0)),"")</f>
        <v>8</v>
      </c>
      <c r="F26">
        <f>IFERROR(SUMIFS('Match Log'!$I$4:$I$1510,'Match Log'!$A$4:$A$1510,$A26,'Match Log'!$E$4:$E$1510,"Win"),"")</f>
        <v>0.125</v>
      </c>
      <c r="G26">
        <f t="shared" si="17"/>
        <v>0</v>
      </c>
      <c r="H26" t="str">
        <f t="array" ref="H26">IFERROR(IF(COUNTIFS('Match Log'!$A$4:$A$1510,$A26,'Match Log'!$E$4:$E$1510,"Win")&gt;1,_xlfn.TEXTJOIN(" + ",TRUE(),IF(('Match Log'!$A$4:$A$1510=$A26)*('Match Log'!$E$4:$E$1510="Loss"),'Match Log'!$D$4:$D$1510,"")),IF($E26=2,LOOKUP(2,1/(('Match Log'!$A$4:$A$1510=$A26)*('Match Log'!$E$4:$E$1510="Loss")),'Match Log'!$D$4:$D$1510),"the field")),"")</f>
        <v>the field</v>
      </c>
      <c r="I26">
        <f t="shared" si="18"/>
        <v>-1.9999999999999999E-6</v>
      </c>
      <c r="J26">
        <v>2</v>
      </c>
      <c r="K26">
        <f>IF($J26&gt;MAX('Match Log'!$A$4:$A$1510),NA(),IFERROR(LOOKUP(2,1/(('Match Log'!$D$4:$D$1510=$K$24)*('Match Log'!$A$4:$A$1510&lt;=$J26)),'Match Log'!$N$4:$N$1510),NA()))</f>
        <v>1034.5588790960981</v>
      </c>
      <c r="L26" t="e">
        <f>IF($J26&gt;MAX('Match Log'!$A$4:$A$1510),NA(),IFERROR(LOOKUP(2,1/(('Match Log'!$D$4:$D$1510=$L$24)*('Match Log'!$A$4:$A$1510&lt;=$J26)),'Match Log'!$N$4:$N$1510),NA()))</f>
        <v>#N/A</v>
      </c>
      <c r="M26">
        <f>IF($J26&gt;MAX('Match Log'!$A$4:$A$1510),NA(),IFERROR(LOOKUP(2,1/(('Match Log'!$D$4:$D$1510=$M$24)*('Match Log'!$A$4:$A$1510&lt;=$J26)),'Match Log'!$N$4:$N$1510),NA()))</f>
        <v>1004.2142857142857</v>
      </c>
      <c r="N26">
        <f>IF($J26&gt;MAX('Match Log'!$A$4:$A$1510),NA(),IFERROR(LOOKUP(2,1/(('Match Log'!$D$4:$D$1510=$N$24)*('Match Log'!$A$4:$A$1510&lt;=$J26)),'Match Log'!$N$4:$N$1510),NA()))</f>
        <v>1004.2142857142857</v>
      </c>
      <c r="O26">
        <f>IF($J26&gt;MAX('Match Log'!$A$4:$A$1510),NA(),IFERROR(LOOKUP(2,1/(('Match Log'!$D$4:$D$1510=$O$24)*('Match Log'!$A$4:$A$1510&lt;=$J26)),'Match Log'!$N$4:$N$1510),NA()))</f>
        <v>1031.0370144363101</v>
      </c>
      <c r="P26">
        <f>IF($J26&gt;MAX('Match Log'!$A$4:$A$1510),NA(),IFERROR(LOOKUP(2,1/(('Match Log'!$D$4:$D$1510=$P$24)*('Match Log'!$A$4:$A$1510&lt;=$J26)),'Match Log'!$N$4:$N$1510),NA()))</f>
        <v>995.27348180522449</v>
      </c>
      <c r="Q26">
        <f>IF($J26&gt;MAX('Match Log'!$A$4:$A$1510),NA(),IFERROR(LOOKUP(2,1/(('Match Log'!$D$4:$D$1510=$Q$24)*('Match Log'!$A$4:$A$1510&lt;=$J26)),'Match Log'!$N$4:$N$1510),NA()))</f>
        <v>1004.2142857142857</v>
      </c>
      <c r="R26">
        <f>IF($J26&gt;MAX('Match Log'!$A$4:$A$1510),NA(),IFERROR(LOOKUP(2,1/(('Match Log'!$D$4:$D$1510=$R$24)*('Match Log'!$A$4:$A$1510&lt;=$J26)),'Match Log'!$N$4:$N$1510),NA()))</f>
        <v>1004.2142857142857</v>
      </c>
      <c r="S26" t="e">
        <f>IF($J26&gt;MAX('Match Log'!$A$4:$A$1510),NA(),IFERROR(LOOKUP(2,1/(('Match Log'!$D$4:$D$1510=$S$24)*('Match Log'!$A$4:$A$1510&lt;=$J26)),'Match Log'!$N$4:$N$1510),NA()))</f>
        <v>#N/A</v>
      </c>
      <c r="T26" t="e">
        <f>IF($J26&gt;MAX('Match Log'!$A$4:$A$1510),NA(),IFERROR(LOOKUP(2,1/(('Match Log'!$D$4:$D$1510=$T$24)*('Match Log'!$A$4:$A$1510&lt;=$J26)),'Match Log'!$N$4:$N$1510),NA()))</f>
        <v>#N/A</v>
      </c>
      <c r="U26">
        <f>IF($J26&gt;MAX('Match Log'!$A$4:$A$1510),NA(),IFERROR(LOOKUP(2,1/(('Match Log'!$D$4:$D$1510=$U$24)*('Match Log'!$A$4:$A$1510&lt;=$J26)),'Match Log'!$N$4:$N$1510),NA()))</f>
        <v>995.27348180522449</v>
      </c>
      <c r="V26" t="e">
        <f>IF($J26&gt;MAX('Match Log'!$A$4:$A$1510),NA(),IFERROR(LOOKUP(2,1/(('Match Log'!$D$4:$D$1510=$V$24)*('Match Log'!$A$4:$A$1510&lt;=$J26)),'Match Log'!$N$4:$N$1510),NA()))</f>
        <v>#N/A</v>
      </c>
      <c r="W26" t="e">
        <f>IF($J26&gt;MAX('Match Log'!$A$4:$A$1510),NA(),IFERROR(LOOKUP(2,1/(('Match Log'!$D$4:$D$1510=$W$24)*('Match Log'!$A$4:$A$1510&lt;=$J26)),'Match Log'!$N$4:$N$1510),NA()))</f>
        <v>#N/A</v>
      </c>
      <c r="X26" t="e">
        <f>IF($J26&gt;MAX('Match Log'!$A$4:$A$1510),NA(),IFERROR(LOOKUP(2,1/(('Match Log'!$D$4:$D$1510=$X$24)*('Match Log'!$A$4:$A$1510&lt;=$J26)),'Match Log'!$N$4:$N$1510),NA()))</f>
        <v>#N/A</v>
      </c>
      <c r="Y26" t="str">
        <f t="shared" ca="1" si="19"/>
        <v/>
      </c>
    </row>
    <row r="27" spans="1:41" ht="15" customHeight="1" x14ac:dyDescent="0.2">
      <c r="A27">
        <v>3</v>
      </c>
      <c r="B27" s="138">
        <f>IFERROR(INDEX('Match Log'!$B$4:$B$1510,MATCH($A27,'Match Log'!$A$4:$A$1510,0)),"")</f>
        <v>46172</v>
      </c>
      <c r="C27" t="str">
        <f>IFERROR(INDEX('Match Log'!$C$4:$C$1510,MATCH($A27,'Match Log'!$A$4:$A$1510,0)),"")</f>
        <v>FIFA</v>
      </c>
      <c r="D27" t="str">
        <f t="array" ref="D27">IFERROR(_xlfn.TEXTJOIN(" + ",TRUE(),IF(('Match Log'!$A$4:$A$1510=$A27)*('Match Log'!$E$4:$E$1510="Win"),'Match Log'!$D$4:$D$1510,"")),IFERROR(LOOKUP(2,1/(('Match Log'!$A$4:$A$1510=$A27)*('Match Log'!$E$4:$E$1510="Win")),'Match Log'!$D$4:$D$1510),""))</f>
        <v>Shawn</v>
      </c>
      <c r="E27" s="139">
        <f>IFERROR(INDEX('Match Log'!$F$4:$F$1510,MATCH($A27,'Match Log'!$A$4:$A$1510,0)),"")</f>
        <v>2</v>
      </c>
      <c r="F27">
        <f>IFERROR(SUMIFS('Match Log'!$I$4:$I$1510,'Match Log'!$A$4:$A$1510,$A27,'Match Log'!$E$4:$E$1510,"Win"),"")</f>
        <v>0.5</v>
      </c>
      <c r="G27">
        <f t="shared" si="17"/>
        <v>0</v>
      </c>
      <c r="H27" t="str">
        <f t="array" ref="H27">IFERROR(IF(COUNTIFS('Match Log'!$A$4:$A$1510,$A27,'Match Log'!$E$4:$E$1510,"Win")&gt;1,_xlfn.TEXTJOIN(" + ",TRUE(),IF(('Match Log'!$A$4:$A$1510=$A27)*('Match Log'!$E$4:$E$1510="Loss"),'Match Log'!$D$4:$D$1510,"")),IF($E27=2,LOOKUP(2,1/(('Match Log'!$A$4:$A$1510=$A27)*('Match Log'!$E$4:$E$1510="Loss")),'Match Log'!$D$4:$D$1510),"the field")),"")</f>
        <v>Daniel (Ferret)</v>
      </c>
      <c r="I27">
        <f t="shared" si="18"/>
        <v>-3.0000000000000001E-6</v>
      </c>
      <c r="J27">
        <v>3</v>
      </c>
      <c r="K27">
        <f>IF($J27&gt;MAX('Match Log'!$A$4:$A$1510),NA(),IFERROR(LOOKUP(2,1/(('Match Log'!$D$4:$D$1510=$K$24)*('Match Log'!$A$4:$A$1510&lt;=$J27)),'Match Log'!$N$4:$N$1510),NA()))</f>
        <v>1034.5588790960981</v>
      </c>
      <c r="L27" t="e">
        <f>IF($J27&gt;MAX('Match Log'!$A$4:$A$1510),NA(),IFERROR(LOOKUP(2,1/(('Match Log'!$D$4:$D$1510=$L$24)*('Match Log'!$A$4:$A$1510&lt;=$J27)),'Match Log'!$N$4:$N$1510),NA()))</f>
        <v>#N/A</v>
      </c>
      <c r="M27">
        <f>IF($J27&gt;MAX('Match Log'!$A$4:$A$1510),NA(),IFERROR(LOOKUP(2,1/(('Match Log'!$D$4:$D$1510=$M$24)*('Match Log'!$A$4:$A$1510&lt;=$J27)),'Match Log'!$N$4:$N$1510),NA()))</f>
        <v>1004.2142857142857</v>
      </c>
      <c r="N27">
        <f>IF($J27&gt;MAX('Match Log'!$A$4:$A$1510),NA(),IFERROR(LOOKUP(2,1/(('Match Log'!$D$4:$D$1510=$N$24)*('Match Log'!$A$4:$A$1510&lt;=$J27)),'Match Log'!$N$4:$N$1510),NA()))</f>
        <v>1004.2142857142857</v>
      </c>
      <c r="O27">
        <f>IF($J27&gt;MAX('Match Log'!$A$4:$A$1510),NA(),IFERROR(LOOKUP(2,1/(('Match Log'!$D$4:$D$1510=$O$24)*('Match Log'!$A$4:$A$1510&lt;=$J27)),'Match Log'!$N$4:$N$1510),NA()))</f>
        <v>1031.0370144363101</v>
      </c>
      <c r="P27">
        <f>IF($J27&gt;MAX('Match Log'!$A$4:$A$1510),NA(),IFERROR(LOOKUP(2,1/(('Match Log'!$D$4:$D$1510=$P$24)*('Match Log'!$A$4:$A$1510&lt;=$J27)),'Match Log'!$N$4:$N$1510),NA()))</f>
        <v>1017.685130177511</v>
      </c>
      <c r="Q27">
        <f>IF($J27&gt;MAX('Match Log'!$A$4:$A$1510),NA(),IFERROR(LOOKUP(2,1/(('Match Log'!$D$4:$D$1510=$Q$24)*('Match Log'!$A$4:$A$1510&lt;=$J27)),'Match Log'!$N$4:$N$1510),NA()))</f>
        <v>1004.2142857142857</v>
      </c>
      <c r="R27">
        <f>IF($J27&gt;MAX('Match Log'!$A$4:$A$1510),NA(),IFERROR(LOOKUP(2,1/(('Match Log'!$D$4:$D$1510=$R$24)*('Match Log'!$A$4:$A$1510&lt;=$J27)),'Match Log'!$N$4:$N$1510),NA()))</f>
        <v>981.80263734199912</v>
      </c>
      <c r="S27" t="e">
        <f>IF($J27&gt;MAX('Match Log'!$A$4:$A$1510),NA(),IFERROR(LOOKUP(2,1/(('Match Log'!$D$4:$D$1510=$S$24)*('Match Log'!$A$4:$A$1510&lt;=$J27)),'Match Log'!$N$4:$N$1510),NA()))</f>
        <v>#N/A</v>
      </c>
      <c r="T27" t="e">
        <f>IF($J27&gt;MAX('Match Log'!$A$4:$A$1510),NA(),IFERROR(LOOKUP(2,1/(('Match Log'!$D$4:$D$1510=$T$24)*('Match Log'!$A$4:$A$1510&lt;=$J27)),'Match Log'!$N$4:$N$1510),NA()))</f>
        <v>#N/A</v>
      </c>
      <c r="U27">
        <f>IF($J27&gt;MAX('Match Log'!$A$4:$A$1510),NA(),IFERROR(LOOKUP(2,1/(('Match Log'!$D$4:$D$1510=$U$24)*('Match Log'!$A$4:$A$1510&lt;=$J27)),'Match Log'!$N$4:$N$1510),NA()))</f>
        <v>995.27348180522449</v>
      </c>
      <c r="V27" t="e">
        <f>IF($J27&gt;MAX('Match Log'!$A$4:$A$1510),NA(),IFERROR(LOOKUP(2,1/(('Match Log'!$D$4:$D$1510=$V$24)*('Match Log'!$A$4:$A$1510&lt;=$J27)),'Match Log'!$N$4:$N$1510),NA()))</f>
        <v>#N/A</v>
      </c>
      <c r="W27" t="e">
        <f>IF($J27&gt;MAX('Match Log'!$A$4:$A$1510),NA(),IFERROR(LOOKUP(2,1/(('Match Log'!$D$4:$D$1510=$W$24)*('Match Log'!$A$4:$A$1510&lt;=$J27)),'Match Log'!$N$4:$N$1510),NA()))</f>
        <v>#N/A</v>
      </c>
      <c r="X27" t="e">
        <f>IF($J27&gt;MAX('Match Log'!$A$4:$A$1510),NA(),IFERROR(LOOKUP(2,1/(('Match Log'!$D$4:$D$1510=$X$24)*('Match Log'!$A$4:$A$1510&lt;=$J27)),'Match Log'!$N$4:$N$1510),NA()))</f>
        <v>#N/A</v>
      </c>
      <c r="Y27" t="str">
        <f t="shared" ca="1" si="19"/>
        <v/>
      </c>
    </row>
    <row r="28" spans="1:41" ht="15" customHeight="1" x14ac:dyDescent="0.2">
      <c r="A28">
        <v>4</v>
      </c>
      <c r="B28" s="138">
        <f>IFERROR(INDEX('Match Log'!$B$4:$B$1510,MATCH($A28,'Match Log'!$A$4:$A$1510,0)),"")</f>
        <v>46172</v>
      </c>
      <c r="C28" t="str">
        <f>IFERROR(INDEX('Match Log'!$C$4:$C$1510,MATCH($A28,'Match Log'!$A$4:$A$1510,0)),"")</f>
        <v>FIFA</v>
      </c>
      <c r="D28" t="str">
        <f t="array" ref="D28">IFERROR(_xlfn.TEXTJOIN(" + ",TRUE(),IF(('Match Log'!$A$4:$A$1510=$A28)*('Match Log'!$E$4:$E$1510="Win"),'Match Log'!$D$4:$D$1510,"")),IFERROR(LOOKUP(2,1/(('Match Log'!$A$4:$A$1510=$A28)*('Match Log'!$E$4:$E$1510="Win")),'Match Log'!$D$4:$D$1510),""))</f>
        <v>Shawn</v>
      </c>
      <c r="E28" s="139">
        <f>IFERROR(INDEX('Match Log'!$F$4:$F$1510,MATCH($A28,'Match Log'!$A$4:$A$1510,0)),"")</f>
        <v>2</v>
      </c>
      <c r="F28">
        <f>IFERROR(SUMIFS('Match Log'!$I$4:$I$1510,'Match Log'!$A$4:$A$1510,$A28,'Match Log'!$E$4:$E$1510,"Win"),"")</f>
        <v>0.66666666666666663</v>
      </c>
      <c r="G28">
        <f t="shared" si="17"/>
        <v>-0.33333333333333326</v>
      </c>
      <c r="H28" t="str">
        <f t="array" ref="H28">IFERROR(IF(COUNTIFS('Match Log'!$A$4:$A$1510,$A28,'Match Log'!$E$4:$E$1510,"Win")&gt;1,_xlfn.TEXTJOIN(" + ",TRUE(),IF(('Match Log'!$A$4:$A$1510=$A28)*('Match Log'!$E$4:$E$1510="Loss"),'Match Log'!$D$4:$D$1510,"")),IF($E28=2,LOOKUP(2,1/(('Match Log'!$A$4:$A$1510=$A28)*('Match Log'!$E$4:$E$1510="Loss")),'Match Log'!$D$4:$D$1510),"the field")),"")</f>
        <v>Daniel (Ferret)</v>
      </c>
      <c r="I28">
        <f t="shared" si="18"/>
        <v>-0.33333733333333326</v>
      </c>
      <c r="J28">
        <v>4</v>
      </c>
      <c r="K28">
        <f>IF($J28&gt;MAX('Match Log'!$A$4:$A$1510),NA(),IFERROR(LOOKUP(2,1/(('Match Log'!$D$4:$D$1510=$K$24)*('Match Log'!$A$4:$A$1510&lt;=$J28)),'Match Log'!$N$4:$N$1510),NA()))</f>
        <v>1034.5588790960981</v>
      </c>
      <c r="L28" t="e">
        <f>IF($J28&gt;MAX('Match Log'!$A$4:$A$1510),NA(),IFERROR(LOOKUP(2,1/(('Match Log'!$D$4:$D$1510=$L$24)*('Match Log'!$A$4:$A$1510&lt;=$J28)),'Match Log'!$N$4:$N$1510),NA()))</f>
        <v>#N/A</v>
      </c>
      <c r="M28">
        <f>IF($J28&gt;MAX('Match Log'!$A$4:$A$1510),NA(),IFERROR(LOOKUP(2,1/(('Match Log'!$D$4:$D$1510=$M$24)*('Match Log'!$A$4:$A$1510&lt;=$J28)),'Match Log'!$N$4:$N$1510),NA()))</f>
        <v>1004.2142857142857</v>
      </c>
      <c r="N28">
        <f>IF($J28&gt;MAX('Match Log'!$A$4:$A$1510),NA(),IFERROR(LOOKUP(2,1/(('Match Log'!$D$4:$D$1510=$N$24)*('Match Log'!$A$4:$A$1510&lt;=$J28)),'Match Log'!$N$4:$N$1510),NA()))</f>
        <v>1004.2142857142857</v>
      </c>
      <c r="O28">
        <f>IF($J28&gt;MAX('Match Log'!$A$4:$A$1510),NA(),IFERROR(LOOKUP(2,1/(('Match Log'!$D$4:$D$1510=$O$24)*('Match Log'!$A$4:$A$1510&lt;=$J28)),'Match Log'!$N$4:$N$1510),NA()))</f>
        <v>1031.0370144363101</v>
      </c>
      <c r="P28">
        <f>IF($J28&gt;MAX('Match Log'!$A$4:$A$1510),NA(),IFERROR(LOOKUP(2,1/(('Match Log'!$D$4:$D$1510=$P$24)*('Match Log'!$A$4:$A$1510&lt;=$J28)),'Match Log'!$N$4:$N$1510),NA()))</f>
        <v>1036.0680198186765</v>
      </c>
      <c r="Q28">
        <f>IF($J28&gt;MAX('Match Log'!$A$4:$A$1510),NA(),IFERROR(LOOKUP(2,1/(('Match Log'!$D$4:$D$1510=$Q$24)*('Match Log'!$A$4:$A$1510&lt;=$J28)),'Match Log'!$N$4:$N$1510),NA()))</f>
        <v>1004.2142857142857</v>
      </c>
      <c r="R28">
        <f>IF($J28&gt;MAX('Match Log'!$A$4:$A$1510),NA(),IFERROR(LOOKUP(2,1/(('Match Log'!$D$4:$D$1510=$R$24)*('Match Log'!$A$4:$A$1510&lt;=$J28)),'Match Log'!$N$4:$N$1510),NA()))</f>
        <v>963.4197477008338</v>
      </c>
      <c r="S28" t="e">
        <f>IF($J28&gt;MAX('Match Log'!$A$4:$A$1510),NA(),IFERROR(LOOKUP(2,1/(('Match Log'!$D$4:$D$1510=$S$24)*('Match Log'!$A$4:$A$1510&lt;=$J28)),'Match Log'!$N$4:$N$1510),NA()))</f>
        <v>#N/A</v>
      </c>
      <c r="T28" t="e">
        <f>IF($J28&gt;MAX('Match Log'!$A$4:$A$1510),NA(),IFERROR(LOOKUP(2,1/(('Match Log'!$D$4:$D$1510=$T$24)*('Match Log'!$A$4:$A$1510&lt;=$J28)),'Match Log'!$N$4:$N$1510),NA()))</f>
        <v>#N/A</v>
      </c>
      <c r="U28">
        <f>IF($J28&gt;MAX('Match Log'!$A$4:$A$1510),NA(),IFERROR(LOOKUP(2,1/(('Match Log'!$D$4:$D$1510=$U$24)*('Match Log'!$A$4:$A$1510&lt;=$J28)),'Match Log'!$N$4:$N$1510),NA()))</f>
        <v>995.27348180522449</v>
      </c>
      <c r="V28" t="e">
        <f>IF($J28&gt;MAX('Match Log'!$A$4:$A$1510),NA(),IFERROR(LOOKUP(2,1/(('Match Log'!$D$4:$D$1510=$V$24)*('Match Log'!$A$4:$A$1510&lt;=$J28)),'Match Log'!$N$4:$N$1510),NA()))</f>
        <v>#N/A</v>
      </c>
      <c r="W28" t="e">
        <f>IF($J28&gt;MAX('Match Log'!$A$4:$A$1510),NA(),IFERROR(LOOKUP(2,1/(('Match Log'!$D$4:$D$1510=$W$24)*('Match Log'!$A$4:$A$1510&lt;=$J28)),'Match Log'!$N$4:$N$1510),NA()))</f>
        <v>#N/A</v>
      </c>
      <c r="X28" t="e">
        <f>IF($J28&gt;MAX('Match Log'!$A$4:$A$1510),NA(),IFERROR(LOOKUP(2,1/(('Match Log'!$D$4:$D$1510=$X$24)*('Match Log'!$A$4:$A$1510&lt;=$J28)),'Match Log'!$N$4:$N$1510),NA()))</f>
        <v>#N/A</v>
      </c>
      <c r="Y28" t="str">
        <f t="shared" ca="1" si="19"/>
        <v/>
      </c>
    </row>
    <row r="29" spans="1:41" ht="15" customHeight="1" x14ac:dyDescent="0.2">
      <c r="A29">
        <v>5</v>
      </c>
      <c r="B29" s="138">
        <f>IFERROR(INDEX('Match Log'!$B$4:$B$1510,MATCH($A29,'Match Log'!$A$4:$A$1510,0)),"")</f>
        <v>46172</v>
      </c>
      <c r="C29" t="str">
        <f>IFERROR(INDEX('Match Log'!$C$4:$C$1510,MATCH($A29,'Match Log'!$A$4:$A$1510,0)),"")</f>
        <v>FIFA</v>
      </c>
      <c r="D29" t="str">
        <f t="array" ref="D29">IFERROR(_xlfn.TEXTJOIN(" + ",TRUE(),IF(('Match Log'!$A$4:$A$1510=$A29)*('Match Log'!$E$4:$E$1510="Win"),'Match Log'!$D$4:$D$1510,"")),IFERROR(LOOKUP(2,1/(('Match Log'!$A$4:$A$1510=$A29)*('Match Log'!$E$4:$E$1510="Win")),'Match Log'!$D$4:$D$1510),""))</f>
        <v>Shawn</v>
      </c>
      <c r="E29" s="139">
        <f>IFERROR(INDEX('Match Log'!$F$4:$F$1510,MATCH($A29,'Match Log'!$A$4:$A$1510,0)),"")</f>
        <v>2</v>
      </c>
      <c r="F29">
        <f>IFERROR(SUMIFS('Match Log'!$I$4:$I$1510,'Match Log'!$A$4:$A$1510,$A29,'Match Log'!$E$4:$E$1510,"Win"),"")</f>
        <v>0.75</v>
      </c>
      <c r="G29">
        <f t="shared" si="17"/>
        <v>-0.5</v>
      </c>
      <c r="H29" t="str">
        <f t="array" ref="H29">IFERROR(IF(COUNTIFS('Match Log'!$A$4:$A$1510,$A29,'Match Log'!$E$4:$E$1510,"Win")&gt;1,_xlfn.TEXTJOIN(" + ",TRUE(),IF(('Match Log'!$A$4:$A$1510=$A29)*('Match Log'!$E$4:$E$1510="Loss"),'Match Log'!$D$4:$D$1510,"")),IF($E29=2,LOOKUP(2,1/(('Match Log'!$A$4:$A$1510=$A29)*('Match Log'!$E$4:$E$1510="Loss")),'Match Log'!$D$4:$D$1510),"the field")),"")</f>
        <v>Daniel (Ferret)</v>
      </c>
      <c r="I29">
        <f t="shared" si="18"/>
        <v>-0.50000500000000003</v>
      </c>
      <c r="J29">
        <v>5</v>
      </c>
      <c r="K29">
        <f>IF($J29&gt;MAX('Match Log'!$A$4:$A$1510),NA(),IFERROR(LOOKUP(2,1/(('Match Log'!$D$4:$D$1510=$K$24)*('Match Log'!$A$4:$A$1510&lt;=$J29)),'Match Log'!$N$4:$N$1510),NA()))</f>
        <v>1034.5588790960981</v>
      </c>
      <c r="L29" t="e">
        <f>IF($J29&gt;MAX('Match Log'!$A$4:$A$1510),NA(),IFERROR(LOOKUP(2,1/(('Match Log'!$D$4:$D$1510=$L$24)*('Match Log'!$A$4:$A$1510&lt;=$J29)),'Match Log'!$N$4:$N$1510),NA()))</f>
        <v>#N/A</v>
      </c>
      <c r="M29">
        <f>IF($J29&gt;MAX('Match Log'!$A$4:$A$1510),NA(),IFERROR(LOOKUP(2,1/(('Match Log'!$D$4:$D$1510=$M$24)*('Match Log'!$A$4:$A$1510&lt;=$J29)),'Match Log'!$N$4:$N$1510),NA()))</f>
        <v>1004.2142857142857</v>
      </c>
      <c r="N29">
        <f>IF($J29&gt;MAX('Match Log'!$A$4:$A$1510),NA(),IFERROR(LOOKUP(2,1/(('Match Log'!$D$4:$D$1510=$N$24)*('Match Log'!$A$4:$A$1510&lt;=$J29)),'Match Log'!$N$4:$N$1510),NA()))</f>
        <v>1004.2142857142857</v>
      </c>
      <c r="O29">
        <f>IF($J29&gt;MAX('Match Log'!$A$4:$A$1510),NA(),IFERROR(LOOKUP(2,1/(('Match Log'!$D$4:$D$1510=$O$24)*('Match Log'!$A$4:$A$1510&lt;=$J29)),'Match Log'!$N$4:$N$1510),NA()))</f>
        <v>1031.0370144363101</v>
      </c>
      <c r="P29">
        <f>IF($J29&gt;MAX('Match Log'!$A$4:$A$1510),NA(),IFERROR(LOOKUP(2,1/(('Match Log'!$D$4:$D$1510=$P$24)*('Match Log'!$A$4:$A$1510&lt;=$J29)),'Match Log'!$N$4:$N$1510),NA()))</f>
        <v>1051.9166315578707</v>
      </c>
      <c r="Q29">
        <f>IF($J29&gt;MAX('Match Log'!$A$4:$A$1510),NA(),IFERROR(LOOKUP(2,1/(('Match Log'!$D$4:$D$1510=$Q$24)*('Match Log'!$A$4:$A$1510&lt;=$J29)),'Match Log'!$N$4:$N$1510),NA()))</f>
        <v>1004.2142857142857</v>
      </c>
      <c r="R29">
        <f>IF($J29&gt;MAX('Match Log'!$A$4:$A$1510),NA(),IFERROR(LOOKUP(2,1/(('Match Log'!$D$4:$D$1510=$R$24)*('Match Log'!$A$4:$A$1510&lt;=$J29)),'Match Log'!$N$4:$N$1510),NA()))</f>
        <v>947.57113596163947</v>
      </c>
      <c r="S29" t="e">
        <f>IF($J29&gt;MAX('Match Log'!$A$4:$A$1510),NA(),IFERROR(LOOKUP(2,1/(('Match Log'!$D$4:$D$1510=$S$24)*('Match Log'!$A$4:$A$1510&lt;=$J29)),'Match Log'!$N$4:$N$1510),NA()))</f>
        <v>#N/A</v>
      </c>
      <c r="T29" t="e">
        <f>IF($J29&gt;MAX('Match Log'!$A$4:$A$1510),NA(),IFERROR(LOOKUP(2,1/(('Match Log'!$D$4:$D$1510=$T$24)*('Match Log'!$A$4:$A$1510&lt;=$J29)),'Match Log'!$N$4:$N$1510),NA()))</f>
        <v>#N/A</v>
      </c>
      <c r="U29">
        <f>IF($J29&gt;MAX('Match Log'!$A$4:$A$1510),NA(),IFERROR(LOOKUP(2,1/(('Match Log'!$D$4:$D$1510=$U$24)*('Match Log'!$A$4:$A$1510&lt;=$J29)),'Match Log'!$N$4:$N$1510),NA()))</f>
        <v>995.27348180522449</v>
      </c>
      <c r="V29" t="e">
        <f>IF($J29&gt;MAX('Match Log'!$A$4:$A$1510),NA(),IFERROR(LOOKUP(2,1/(('Match Log'!$D$4:$D$1510=$V$24)*('Match Log'!$A$4:$A$1510&lt;=$J29)),'Match Log'!$N$4:$N$1510),NA()))</f>
        <v>#N/A</v>
      </c>
      <c r="W29" t="e">
        <f>IF($J29&gt;MAX('Match Log'!$A$4:$A$1510),NA(),IFERROR(LOOKUP(2,1/(('Match Log'!$D$4:$D$1510=$W$24)*('Match Log'!$A$4:$A$1510&lt;=$J29)),'Match Log'!$N$4:$N$1510),NA()))</f>
        <v>#N/A</v>
      </c>
      <c r="X29" t="e">
        <f>IF($J29&gt;MAX('Match Log'!$A$4:$A$1510),NA(),IFERROR(LOOKUP(2,1/(('Match Log'!$D$4:$D$1510=$X$24)*('Match Log'!$A$4:$A$1510&lt;=$J29)),'Match Log'!$N$4:$N$1510),NA()))</f>
        <v>#N/A</v>
      </c>
      <c r="Y29" t="str">
        <f t="shared" ca="1" si="19"/>
        <v/>
      </c>
    </row>
    <row r="30" spans="1:41" ht="15" customHeight="1" x14ac:dyDescent="0.2">
      <c r="A30">
        <v>6</v>
      </c>
      <c r="B30" s="138">
        <f>IFERROR(INDEX('Match Log'!$B$4:$B$1510,MATCH($A30,'Match Log'!$A$4:$A$1510,0)),"")</f>
        <v>46172</v>
      </c>
      <c r="C30" t="str">
        <f>IFERROR(INDEX('Match Log'!$C$4:$C$1510,MATCH($A30,'Match Log'!$A$4:$A$1510,0)),"")</f>
        <v>FIFA</v>
      </c>
      <c r="D30" t="str">
        <f t="array" ref="D30">IFERROR(_xlfn.TEXTJOIN(" + ",TRUE(),IF(('Match Log'!$A$4:$A$1510=$A30)*('Match Log'!$E$4:$E$1510="Win"),'Match Log'!$D$4:$D$1510,"")),IFERROR(LOOKUP(2,1/(('Match Log'!$A$4:$A$1510=$A30)*('Match Log'!$E$4:$E$1510="Win")),'Match Log'!$D$4:$D$1510),""))</f>
        <v>Daniel (Ferret)</v>
      </c>
      <c r="E30" s="139">
        <f>IFERROR(INDEX('Match Log'!$F$4:$F$1510,MATCH($A30,'Match Log'!$A$4:$A$1510,0)),"")</f>
        <v>2</v>
      </c>
      <c r="F30">
        <f>IFERROR(SUMIFS('Match Log'!$I$4:$I$1510,'Match Log'!$A$4:$A$1510,$A30,'Match Log'!$E$4:$E$1510,"Win"),"")</f>
        <v>0.2</v>
      </c>
      <c r="G30">
        <f t="shared" si="17"/>
        <v>0.6</v>
      </c>
      <c r="H30" t="str">
        <f t="array" ref="H30">IFERROR(IF(COUNTIFS('Match Log'!$A$4:$A$1510,$A30,'Match Log'!$E$4:$E$1510,"Win")&gt;1,_xlfn.TEXTJOIN(" + ",TRUE(),IF(('Match Log'!$A$4:$A$1510=$A30)*('Match Log'!$E$4:$E$1510="Loss"),'Match Log'!$D$4:$D$1510,"")),IF($E30=2,LOOKUP(2,1/(('Match Log'!$A$4:$A$1510=$A30)*('Match Log'!$E$4:$E$1510="Loss")),'Match Log'!$D$4:$D$1510),"the field")),"")</f>
        <v>Shawn</v>
      </c>
      <c r="I30">
        <f t="shared" si="18"/>
        <v>0.59999400000000003</v>
      </c>
      <c r="J30">
        <v>6</v>
      </c>
      <c r="K30">
        <f>IF($J30&gt;MAX('Match Log'!$A$4:$A$1510),NA(),IFERROR(LOOKUP(2,1/(('Match Log'!$D$4:$D$1510=$K$24)*('Match Log'!$A$4:$A$1510&lt;=$J30)),'Match Log'!$N$4:$N$1510),NA()))</f>
        <v>1034.5588790960981</v>
      </c>
      <c r="L30" t="e">
        <f>IF($J30&gt;MAX('Match Log'!$A$4:$A$1510),NA(),IFERROR(LOOKUP(2,1/(('Match Log'!$D$4:$D$1510=$L$24)*('Match Log'!$A$4:$A$1510&lt;=$J30)),'Match Log'!$N$4:$N$1510),NA()))</f>
        <v>#N/A</v>
      </c>
      <c r="M30">
        <f>IF($J30&gt;MAX('Match Log'!$A$4:$A$1510),NA(),IFERROR(LOOKUP(2,1/(('Match Log'!$D$4:$D$1510=$M$24)*('Match Log'!$A$4:$A$1510&lt;=$J30)),'Match Log'!$N$4:$N$1510),NA()))</f>
        <v>1004.2142857142857</v>
      </c>
      <c r="N30">
        <f>IF($J30&gt;MAX('Match Log'!$A$4:$A$1510),NA(),IFERROR(LOOKUP(2,1/(('Match Log'!$D$4:$D$1510=$N$24)*('Match Log'!$A$4:$A$1510&lt;=$J30)),'Match Log'!$N$4:$N$1510),NA()))</f>
        <v>1004.2142857142857</v>
      </c>
      <c r="O30">
        <f>IF($J30&gt;MAX('Match Log'!$A$4:$A$1510),NA(),IFERROR(LOOKUP(2,1/(('Match Log'!$D$4:$D$1510=$O$24)*('Match Log'!$A$4:$A$1510&lt;=$J30)),'Match Log'!$N$4:$N$1510),NA()))</f>
        <v>1031.0370144363101</v>
      </c>
      <c r="P30">
        <f>IF($J30&gt;MAX('Match Log'!$A$4:$A$1510),NA(),IFERROR(LOOKUP(2,1/(('Match Log'!$D$4:$D$1510=$P$24)*('Match Log'!$A$4:$A$1510&lt;=$J30)),'Match Log'!$N$4:$N$1510),NA()))</f>
        <v>1021.9184444772471</v>
      </c>
      <c r="Q30">
        <f>IF($J30&gt;MAX('Match Log'!$A$4:$A$1510),NA(),IFERROR(LOOKUP(2,1/(('Match Log'!$D$4:$D$1510=$Q$24)*('Match Log'!$A$4:$A$1510&lt;=$J30)),'Match Log'!$N$4:$N$1510),NA()))</f>
        <v>1004.2142857142857</v>
      </c>
      <c r="R30">
        <f>IF($J30&gt;MAX('Match Log'!$A$4:$A$1510),NA(),IFERROR(LOOKUP(2,1/(('Match Log'!$D$4:$D$1510=$R$24)*('Match Log'!$A$4:$A$1510&lt;=$J30)),'Match Log'!$N$4:$N$1510),NA()))</f>
        <v>977.56932304226302</v>
      </c>
      <c r="S30" t="e">
        <f>IF($J30&gt;MAX('Match Log'!$A$4:$A$1510),NA(),IFERROR(LOOKUP(2,1/(('Match Log'!$D$4:$D$1510=$S$24)*('Match Log'!$A$4:$A$1510&lt;=$J30)),'Match Log'!$N$4:$N$1510),NA()))</f>
        <v>#N/A</v>
      </c>
      <c r="T30" t="e">
        <f>IF($J30&gt;MAX('Match Log'!$A$4:$A$1510),NA(),IFERROR(LOOKUP(2,1/(('Match Log'!$D$4:$D$1510=$T$24)*('Match Log'!$A$4:$A$1510&lt;=$J30)),'Match Log'!$N$4:$N$1510),NA()))</f>
        <v>#N/A</v>
      </c>
      <c r="U30">
        <f>IF($J30&gt;MAX('Match Log'!$A$4:$A$1510),NA(),IFERROR(LOOKUP(2,1/(('Match Log'!$D$4:$D$1510=$U$24)*('Match Log'!$A$4:$A$1510&lt;=$J30)),'Match Log'!$N$4:$N$1510),NA()))</f>
        <v>995.27348180522449</v>
      </c>
      <c r="V30" t="e">
        <f>IF($J30&gt;MAX('Match Log'!$A$4:$A$1510),NA(),IFERROR(LOOKUP(2,1/(('Match Log'!$D$4:$D$1510=$V$24)*('Match Log'!$A$4:$A$1510&lt;=$J30)),'Match Log'!$N$4:$N$1510),NA()))</f>
        <v>#N/A</v>
      </c>
      <c r="W30" t="e">
        <f>IF($J30&gt;MAX('Match Log'!$A$4:$A$1510),NA(),IFERROR(LOOKUP(2,1/(('Match Log'!$D$4:$D$1510=$W$24)*('Match Log'!$A$4:$A$1510&lt;=$J30)),'Match Log'!$N$4:$N$1510),NA()))</f>
        <v>#N/A</v>
      </c>
      <c r="X30" t="e">
        <f>IF($J30&gt;MAX('Match Log'!$A$4:$A$1510),NA(),IFERROR(LOOKUP(2,1/(('Match Log'!$D$4:$D$1510=$X$24)*('Match Log'!$A$4:$A$1510&lt;=$J30)),'Match Log'!$N$4:$N$1510),NA()))</f>
        <v>#N/A</v>
      </c>
      <c r="Y30" t="str">
        <f t="shared" ca="1" si="19"/>
        <v/>
      </c>
    </row>
    <row r="31" spans="1:41" ht="15" customHeight="1" x14ac:dyDescent="0.2">
      <c r="A31">
        <v>7</v>
      </c>
      <c r="B31" s="138">
        <f>IFERROR(INDEX('Match Log'!$B$4:$B$1510,MATCH($A31,'Match Log'!$A$4:$A$1510,0)),"")</f>
        <v>46172</v>
      </c>
      <c r="C31" t="str">
        <f>IFERROR(INDEX('Match Log'!$C$4:$C$1510,MATCH($A31,'Match Log'!$A$4:$A$1510,0)),"")</f>
        <v>Table Tennis</v>
      </c>
      <c r="D31" t="str">
        <f t="array" ref="D31">IFERROR(_xlfn.TEXTJOIN(" + ",TRUE(),IF(('Match Log'!$A$4:$A$1510=$A31)*('Match Log'!$E$4:$E$1510="Win"),'Match Log'!$D$4:$D$1510,"")),IFERROR(LOOKUP(2,1/(('Match Log'!$A$4:$A$1510=$A31)*('Match Log'!$E$4:$E$1510="Win")),'Match Log'!$D$4:$D$1510),""))</f>
        <v>Shawn</v>
      </c>
      <c r="E31" s="139">
        <f>IFERROR(INDEX('Match Log'!$F$4:$F$1510,MATCH($A31,'Match Log'!$A$4:$A$1510,0)),"")</f>
        <v>2</v>
      </c>
      <c r="F31">
        <f>IFERROR(SUMIFS('Match Log'!$I$4:$I$1510,'Match Log'!$A$4:$A$1510,$A31,'Match Log'!$E$4:$E$1510,"Win"),"")</f>
        <v>0.5</v>
      </c>
      <c r="G31">
        <f t="shared" si="17"/>
        <v>0</v>
      </c>
      <c r="H31" t="str">
        <f t="array" ref="H31">IFERROR(IF(COUNTIFS('Match Log'!$A$4:$A$1510,$A31,'Match Log'!$E$4:$E$1510,"Win")&gt;1,_xlfn.TEXTJOIN(" + ",TRUE(),IF(('Match Log'!$A$4:$A$1510=$A31)*('Match Log'!$E$4:$E$1510="Loss"),'Match Log'!$D$4:$D$1510,"")),IF($E31=2,LOOKUP(2,1/(('Match Log'!$A$4:$A$1510=$A31)*('Match Log'!$E$4:$E$1510="Loss")),'Match Log'!$D$4:$D$1510),"the field")),"")</f>
        <v>Daniel (Ferret)</v>
      </c>
      <c r="I31">
        <f t="shared" si="18"/>
        <v>-6.9999999999999999E-6</v>
      </c>
      <c r="J31">
        <v>7</v>
      </c>
      <c r="K31">
        <f>IF($J31&gt;MAX('Match Log'!$A$4:$A$1510),NA(),IFERROR(LOOKUP(2,1/(('Match Log'!$D$4:$D$1510=$K$24)*('Match Log'!$A$4:$A$1510&lt;=$J31)),'Match Log'!$N$4:$N$1510),NA()))</f>
        <v>1034.5588790960981</v>
      </c>
      <c r="L31" t="e">
        <f>IF($J31&gt;MAX('Match Log'!$A$4:$A$1510),NA(),IFERROR(LOOKUP(2,1/(('Match Log'!$D$4:$D$1510=$L$24)*('Match Log'!$A$4:$A$1510&lt;=$J31)),'Match Log'!$N$4:$N$1510),NA()))</f>
        <v>#N/A</v>
      </c>
      <c r="M31">
        <f>IF($J31&gt;MAX('Match Log'!$A$4:$A$1510),NA(),IFERROR(LOOKUP(2,1/(('Match Log'!$D$4:$D$1510=$M$24)*('Match Log'!$A$4:$A$1510&lt;=$J31)),'Match Log'!$N$4:$N$1510),NA()))</f>
        <v>1004.2142857142857</v>
      </c>
      <c r="N31">
        <f>IF($J31&gt;MAX('Match Log'!$A$4:$A$1510),NA(),IFERROR(LOOKUP(2,1/(('Match Log'!$D$4:$D$1510=$N$24)*('Match Log'!$A$4:$A$1510&lt;=$J31)),'Match Log'!$N$4:$N$1510),NA()))</f>
        <v>1004.2142857142857</v>
      </c>
      <c r="O31">
        <f>IF($J31&gt;MAX('Match Log'!$A$4:$A$1510),NA(),IFERROR(LOOKUP(2,1/(('Match Log'!$D$4:$D$1510=$O$24)*('Match Log'!$A$4:$A$1510&lt;=$J31)),'Match Log'!$N$4:$N$1510),NA()))</f>
        <v>1031.0370144363101</v>
      </c>
      <c r="P31">
        <f>IF($J31&gt;MAX('Match Log'!$A$4:$A$1510),NA(),IFERROR(LOOKUP(2,1/(('Match Log'!$D$4:$D$1510=$P$24)*('Match Log'!$A$4:$A$1510&lt;=$J31)),'Match Log'!$N$4:$N$1510),NA()))</f>
        <v>1041.8871126744082</v>
      </c>
      <c r="Q31">
        <f>IF($J31&gt;MAX('Match Log'!$A$4:$A$1510),NA(),IFERROR(LOOKUP(2,1/(('Match Log'!$D$4:$D$1510=$Q$24)*('Match Log'!$A$4:$A$1510&lt;=$J31)),'Match Log'!$N$4:$N$1510),NA()))</f>
        <v>1004.2142857142857</v>
      </c>
      <c r="R31">
        <f>IF($J31&gt;MAX('Match Log'!$A$4:$A$1510),NA(),IFERROR(LOOKUP(2,1/(('Match Log'!$D$4:$D$1510=$R$24)*('Match Log'!$A$4:$A$1510&lt;=$J31)),'Match Log'!$N$4:$N$1510),NA()))</f>
        <v>957.60065484510199</v>
      </c>
      <c r="S31" t="e">
        <f>IF($J31&gt;MAX('Match Log'!$A$4:$A$1510),NA(),IFERROR(LOOKUP(2,1/(('Match Log'!$D$4:$D$1510=$S$24)*('Match Log'!$A$4:$A$1510&lt;=$J31)),'Match Log'!$N$4:$N$1510),NA()))</f>
        <v>#N/A</v>
      </c>
      <c r="T31" t="e">
        <f>IF($J31&gt;MAX('Match Log'!$A$4:$A$1510),NA(),IFERROR(LOOKUP(2,1/(('Match Log'!$D$4:$D$1510=$T$24)*('Match Log'!$A$4:$A$1510&lt;=$J31)),'Match Log'!$N$4:$N$1510),NA()))</f>
        <v>#N/A</v>
      </c>
      <c r="U31">
        <f>IF($J31&gt;MAX('Match Log'!$A$4:$A$1510),NA(),IFERROR(LOOKUP(2,1/(('Match Log'!$D$4:$D$1510=$U$24)*('Match Log'!$A$4:$A$1510&lt;=$J31)),'Match Log'!$N$4:$N$1510),NA()))</f>
        <v>995.27348180522449</v>
      </c>
      <c r="V31" t="e">
        <f>IF($J31&gt;MAX('Match Log'!$A$4:$A$1510),NA(),IFERROR(LOOKUP(2,1/(('Match Log'!$D$4:$D$1510=$V$24)*('Match Log'!$A$4:$A$1510&lt;=$J31)),'Match Log'!$N$4:$N$1510),NA()))</f>
        <v>#N/A</v>
      </c>
      <c r="W31" t="e">
        <f>IF($J31&gt;MAX('Match Log'!$A$4:$A$1510),NA(),IFERROR(LOOKUP(2,1/(('Match Log'!$D$4:$D$1510=$W$24)*('Match Log'!$A$4:$A$1510&lt;=$J31)),'Match Log'!$N$4:$N$1510),NA()))</f>
        <v>#N/A</v>
      </c>
      <c r="X31" t="e">
        <f>IF($J31&gt;MAX('Match Log'!$A$4:$A$1510),NA(),IFERROR(LOOKUP(2,1/(('Match Log'!$D$4:$D$1510=$X$24)*('Match Log'!$A$4:$A$1510&lt;=$J31)),'Match Log'!$N$4:$N$1510),NA()))</f>
        <v>#N/A</v>
      </c>
      <c r="Y31" t="str">
        <f t="shared" ca="1" si="19"/>
        <v/>
      </c>
    </row>
    <row r="32" spans="1:41" ht="15" customHeight="1" x14ac:dyDescent="0.2">
      <c r="A32">
        <v>8</v>
      </c>
      <c r="B32" s="138">
        <f>IFERROR(INDEX('Match Log'!$B$4:$B$1510,MATCH($A32,'Match Log'!$A$4:$A$1510,0)),"")</f>
        <v>46172</v>
      </c>
      <c r="C32" t="str">
        <f>IFERROR(INDEX('Match Log'!$C$4:$C$1510,MATCH($A32,'Match Log'!$A$4:$A$1510,0)),"")</f>
        <v>Table Tennis</v>
      </c>
      <c r="D32" t="str">
        <f t="array" ref="D32">IFERROR(_xlfn.TEXTJOIN(" + ",TRUE(),IF(('Match Log'!$A$4:$A$1510=$A32)*('Match Log'!$E$4:$E$1510="Win"),'Match Log'!$D$4:$D$1510,"")),IFERROR(LOOKUP(2,1/(('Match Log'!$A$4:$A$1510=$A32)*('Match Log'!$E$4:$E$1510="Win")),'Match Log'!$D$4:$D$1510),""))</f>
        <v>Shawn</v>
      </c>
      <c r="E32" s="139">
        <f>IFERROR(INDEX('Match Log'!$F$4:$F$1510,MATCH($A32,'Match Log'!$A$4:$A$1510,0)),"")</f>
        <v>2</v>
      </c>
      <c r="F32">
        <f>IFERROR(SUMIFS('Match Log'!$I$4:$I$1510,'Match Log'!$A$4:$A$1510,$A32,'Match Log'!$E$4:$E$1510,"Win"),"")</f>
        <v>0.66666666666666663</v>
      </c>
      <c r="G32">
        <f t="shared" si="17"/>
        <v>-0.33333333333333326</v>
      </c>
      <c r="H32" t="str">
        <f t="array" ref="H32">IFERROR(IF(COUNTIFS('Match Log'!$A$4:$A$1510,$A32,'Match Log'!$E$4:$E$1510,"Win")&gt;1,_xlfn.TEXTJOIN(" + ",TRUE(),IF(('Match Log'!$A$4:$A$1510=$A32)*('Match Log'!$E$4:$E$1510="Loss"),'Match Log'!$D$4:$D$1510,"")),IF($E32=2,LOOKUP(2,1/(('Match Log'!$A$4:$A$1510=$A32)*('Match Log'!$E$4:$E$1510="Loss")),'Match Log'!$D$4:$D$1510),"the field")),"")</f>
        <v>Daniel (Ferret)</v>
      </c>
      <c r="I32">
        <f t="shared" si="18"/>
        <v>-0.33334133333333327</v>
      </c>
      <c r="J32">
        <v>8</v>
      </c>
      <c r="K32">
        <f>IF($J32&gt;MAX('Match Log'!$A$4:$A$1510),NA(),IFERROR(LOOKUP(2,1/(('Match Log'!$D$4:$D$1510=$K$24)*('Match Log'!$A$4:$A$1510&lt;=$J32)),'Match Log'!$N$4:$N$1510),NA()))</f>
        <v>1034.5588790960981</v>
      </c>
      <c r="L32" t="e">
        <f>IF($J32&gt;MAX('Match Log'!$A$4:$A$1510),NA(),IFERROR(LOOKUP(2,1/(('Match Log'!$D$4:$D$1510=$L$24)*('Match Log'!$A$4:$A$1510&lt;=$J32)),'Match Log'!$N$4:$N$1510),NA()))</f>
        <v>#N/A</v>
      </c>
      <c r="M32">
        <f>IF($J32&gt;MAX('Match Log'!$A$4:$A$1510),NA(),IFERROR(LOOKUP(2,1/(('Match Log'!$D$4:$D$1510=$M$24)*('Match Log'!$A$4:$A$1510&lt;=$J32)),'Match Log'!$N$4:$N$1510),NA()))</f>
        <v>1004.2142857142857</v>
      </c>
      <c r="N32">
        <f>IF($J32&gt;MAX('Match Log'!$A$4:$A$1510),NA(),IFERROR(LOOKUP(2,1/(('Match Log'!$D$4:$D$1510=$N$24)*('Match Log'!$A$4:$A$1510&lt;=$J32)),'Match Log'!$N$4:$N$1510),NA()))</f>
        <v>1004.2142857142857</v>
      </c>
      <c r="O32">
        <f>IF($J32&gt;MAX('Match Log'!$A$4:$A$1510),NA(),IFERROR(LOOKUP(2,1/(('Match Log'!$D$4:$D$1510=$O$24)*('Match Log'!$A$4:$A$1510&lt;=$J32)),'Match Log'!$N$4:$N$1510),NA()))</f>
        <v>1031.0370144363101</v>
      </c>
      <c r="P32">
        <f>IF($J32&gt;MAX('Match Log'!$A$4:$A$1510),NA(),IFERROR(LOOKUP(2,1/(('Match Log'!$D$4:$D$1510=$P$24)*('Match Log'!$A$4:$A$1510&lt;=$J32)),'Match Log'!$N$4:$N$1510),NA()))</f>
        <v>1058.4607577779152</v>
      </c>
      <c r="Q32">
        <f>IF($J32&gt;MAX('Match Log'!$A$4:$A$1510),NA(),IFERROR(LOOKUP(2,1/(('Match Log'!$D$4:$D$1510=$Q$24)*('Match Log'!$A$4:$A$1510&lt;=$J32)),'Match Log'!$N$4:$N$1510),NA()))</f>
        <v>1004.2142857142857</v>
      </c>
      <c r="R32">
        <f>IF($J32&gt;MAX('Match Log'!$A$4:$A$1510),NA(),IFERROR(LOOKUP(2,1/(('Match Log'!$D$4:$D$1510=$R$24)*('Match Log'!$A$4:$A$1510&lt;=$J32)),'Match Log'!$N$4:$N$1510),NA()))</f>
        <v>941.02700974159495</v>
      </c>
      <c r="S32" t="e">
        <f>IF($J32&gt;MAX('Match Log'!$A$4:$A$1510),NA(),IFERROR(LOOKUP(2,1/(('Match Log'!$D$4:$D$1510=$S$24)*('Match Log'!$A$4:$A$1510&lt;=$J32)),'Match Log'!$N$4:$N$1510),NA()))</f>
        <v>#N/A</v>
      </c>
      <c r="T32" t="e">
        <f>IF($J32&gt;MAX('Match Log'!$A$4:$A$1510),NA(),IFERROR(LOOKUP(2,1/(('Match Log'!$D$4:$D$1510=$T$24)*('Match Log'!$A$4:$A$1510&lt;=$J32)),'Match Log'!$N$4:$N$1510),NA()))</f>
        <v>#N/A</v>
      </c>
      <c r="U32">
        <f>IF($J32&gt;MAX('Match Log'!$A$4:$A$1510),NA(),IFERROR(LOOKUP(2,1/(('Match Log'!$D$4:$D$1510=$U$24)*('Match Log'!$A$4:$A$1510&lt;=$J32)),'Match Log'!$N$4:$N$1510),NA()))</f>
        <v>995.27348180522449</v>
      </c>
      <c r="V32" t="e">
        <f>IF($J32&gt;MAX('Match Log'!$A$4:$A$1510),NA(),IFERROR(LOOKUP(2,1/(('Match Log'!$D$4:$D$1510=$V$24)*('Match Log'!$A$4:$A$1510&lt;=$J32)),'Match Log'!$N$4:$N$1510),NA()))</f>
        <v>#N/A</v>
      </c>
      <c r="W32" t="e">
        <f>IF($J32&gt;MAX('Match Log'!$A$4:$A$1510),NA(),IFERROR(LOOKUP(2,1/(('Match Log'!$D$4:$D$1510=$W$24)*('Match Log'!$A$4:$A$1510&lt;=$J32)),'Match Log'!$N$4:$N$1510),NA()))</f>
        <v>#N/A</v>
      </c>
      <c r="X32" t="e">
        <f>IF($J32&gt;MAX('Match Log'!$A$4:$A$1510),NA(),IFERROR(LOOKUP(2,1/(('Match Log'!$D$4:$D$1510=$X$24)*('Match Log'!$A$4:$A$1510&lt;=$J32)),'Match Log'!$N$4:$N$1510),NA()))</f>
        <v>#N/A</v>
      </c>
      <c r="Y32" t="str">
        <f t="shared" ca="1" si="19"/>
        <v/>
      </c>
    </row>
    <row r="33" spans="1:25" ht="15" customHeight="1" x14ac:dyDescent="0.2">
      <c r="A33">
        <v>9</v>
      </c>
      <c r="B33" s="138">
        <f>IFERROR(INDEX('Match Log'!$B$4:$B$1510,MATCH($A33,'Match Log'!$A$4:$A$1510,0)),"")</f>
        <v>46172</v>
      </c>
      <c r="C33" t="str">
        <f>IFERROR(INDEX('Match Log'!$C$4:$C$1510,MATCH($A33,'Match Log'!$A$4:$A$1510,0)),"")</f>
        <v>Table Tennis</v>
      </c>
      <c r="D33" t="str">
        <f t="array" ref="D33">IFERROR(_xlfn.TEXTJOIN(" + ",TRUE(),IF(('Match Log'!$A$4:$A$1510=$A33)*('Match Log'!$E$4:$E$1510="Win"),'Match Log'!$D$4:$D$1510,"")),IFERROR(LOOKUP(2,1/(('Match Log'!$A$4:$A$1510=$A33)*('Match Log'!$E$4:$E$1510="Win")),'Match Log'!$D$4:$D$1510),""))</f>
        <v>Shawn</v>
      </c>
      <c r="E33" s="139">
        <f>IFERROR(INDEX('Match Log'!$F$4:$F$1510,MATCH($A33,'Match Log'!$A$4:$A$1510,0)),"")</f>
        <v>2</v>
      </c>
      <c r="F33">
        <f>IFERROR(SUMIFS('Match Log'!$I$4:$I$1510,'Match Log'!$A$4:$A$1510,$A33,'Match Log'!$E$4:$E$1510,"Win"),"")</f>
        <v>0.75</v>
      </c>
      <c r="G33">
        <f t="shared" si="17"/>
        <v>-0.5</v>
      </c>
      <c r="H33" t="str">
        <f t="array" ref="H33">IFERROR(IF(COUNTIFS('Match Log'!$A$4:$A$1510,$A33,'Match Log'!$E$4:$E$1510,"Win")&gt;1,_xlfn.TEXTJOIN(" + ",TRUE(),IF(('Match Log'!$A$4:$A$1510=$A33)*('Match Log'!$E$4:$E$1510="Loss"),'Match Log'!$D$4:$D$1510,"")),IF($E33=2,LOOKUP(2,1/(('Match Log'!$A$4:$A$1510=$A33)*('Match Log'!$E$4:$E$1510="Loss")),'Match Log'!$D$4:$D$1510),"the field")),"")</f>
        <v>Daniel (Ferret)</v>
      </c>
      <c r="I33">
        <f t="shared" si="18"/>
        <v>-0.50000900000000004</v>
      </c>
      <c r="J33">
        <v>9</v>
      </c>
      <c r="K33">
        <f>IF($J33&gt;MAX('Match Log'!$A$4:$A$1510),NA(),IFERROR(LOOKUP(2,1/(('Match Log'!$D$4:$D$1510=$K$24)*('Match Log'!$A$4:$A$1510&lt;=$J33)),'Match Log'!$N$4:$N$1510),NA()))</f>
        <v>1034.5588790960981</v>
      </c>
      <c r="L33" t="e">
        <f>IF($J33&gt;MAX('Match Log'!$A$4:$A$1510),NA(),IFERROR(LOOKUP(2,1/(('Match Log'!$D$4:$D$1510=$L$24)*('Match Log'!$A$4:$A$1510&lt;=$J33)),'Match Log'!$N$4:$N$1510),NA()))</f>
        <v>#N/A</v>
      </c>
      <c r="M33">
        <f>IF($J33&gt;MAX('Match Log'!$A$4:$A$1510),NA(),IFERROR(LOOKUP(2,1/(('Match Log'!$D$4:$D$1510=$M$24)*('Match Log'!$A$4:$A$1510&lt;=$J33)),'Match Log'!$N$4:$N$1510),NA()))</f>
        <v>1004.2142857142857</v>
      </c>
      <c r="N33">
        <f>IF($J33&gt;MAX('Match Log'!$A$4:$A$1510),NA(),IFERROR(LOOKUP(2,1/(('Match Log'!$D$4:$D$1510=$N$24)*('Match Log'!$A$4:$A$1510&lt;=$J33)),'Match Log'!$N$4:$N$1510),NA()))</f>
        <v>1004.2142857142857</v>
      </c>
      <c r="O33">
        <f>IF($J33&gt;MAX('Match Log'!$A$4:$A$1510),NA(),IFERROR(LOOKUP(2,1/(('Match Log'!$D$4:$D$1510=$O$24)*('Match Log'!$A$4:$A$1510&lt;=$J33)),'Match Log'!$N$4:$N$1510),NA()))</f>
        <v>1031.0370144363101</v>
      </c>
      <c r="P33">
        <f>IF($J33&gt;MAX('Match Log'!$A$4:$A$1510),NA(),IFERROR(LOOKUP(2,1/(('Match Log'!$D$4:$D$1510=$P$24)*('Match Log'!$A$4:$A$1510&lt;=$J33)),'Match Log'!$N$4:$N$1510),NA()))</f>
        <v>1072.9224126693446</v>
      </c>
      <c r="Q33">
        <f>IF($J33&gt;MAX('Match Log'!$A$4:$A$1510),NA(),IFERROR(LOOKUP(2,1/(('Match Log'!$D$4:$D$1510=$Q$24)*('Match Log'!$A$4:$A$1510&lt;=$J33)),'Match Log'!$N$4:$N$1510),NA()))</f>
        <v>1004.2142857142857</v>
      </c>
      <c r="R33">
        <f>IF($J33&gt;MAX('Match Log'!$A$4:$A$1510),NA(),IFERROR(LOOKUP(2,1/(('Match Log'!$D$4:$D$1510=$R$24)*('Match Log'!$A$4:$A$1510&lt;=$J33)),'Match Log'!$N$4:$N$1510),NA()))</f>
        <v>926.56535485016559</v>
      </c>
      <c r="S33" t="e">
        <f>IF($J33&gt;MAX('Match Log'!$A$4:$A$1510),NA(),IFERROR(LOOKUP(2,1/(('Match Log'!$D$4:$D$1510=$S$24)*('Match Log'!$A$4:$A$1510&lt;=$J33)),'Match Log'!$N$4:$N$1510),NA()))</f>
        <v>#N/A</v>
      </c>
      <c r="T33" t="e">
        <f>IF($J33&gt;MAX('Match Log'!$A$4:$A$1510),NA(),IFERROR(LOOKUP(2,1/(('Match Log'!$D$4:$D$1510=$T$24)*('Match Log'!$A$4:$A$1510&lt;=$J33)),'Match Log'!$N$4:$N$1510),NA()))</f>
        <v>#N/A</v>
      </c>
      <c r="U33">
        <f>IF($J33&gt;MAX('Match Log'!$A$4:$A$1510),NA(),IFERROR(LOOKUP(2,1/(('Match Log'!$D$4:$D$1510=$U$24)*('Match Log'!$A$4:$A$1510&lt;=$J33)),'Match Log'!$N$4:$N$1510),NA()))</f>
        <v>995.27348180522449</v>
      </c>
      <c r="V33" t="e">
        <f>IF($J33&gt;MAX('Match Log'!$A$4:$A$1510),NA(),IFERROR(LOOKUP(2,1/(('Match Log'!$D$4:$D$1510=$V$24)*('Match Log'!$A$4:$A$1510&lt;=$J33)),'Match Log'!$N$4:$N$1510),NA()))</f>
        <v>#N/A</v>
      </c>
      <c r="W33" t="e">
        <f>IF($J33&gt;MAX('Match Log'!$A$4:$A$1510),NA(),IFERROR(LOOKUP(2,1/(('Match Log'!$D$4:$D$1510=$W$24)*('Match Log'!$A$4:$A$1510&lt;=$J33)),'Match Log'!$N$4:$N$1510),NA()))</f>
        <v>#N/A</v>
      </c>
      <c r="X33" t="e">
        <f>IF($J33&gt;MAX('Match Log'!$A$4:$A$1510),NA(),IFERROR(LOOKUP(2,1/(('Match Log'!$D$4:$D$1510=$X$24)*('Match Log'!$A$4:$A$1510&lt;=$J33)),'Match Log'!$N$4:$N$1510),NA()))</f>
        <v>#N/A</v>
      </c>
      <c r="Y33" t="str">
        <f t="shared" ca="1" si="19"/>
        <v/>
      </c>
    </row>
    <row r="34" spans="1:25" ht="15" customHeight="1" x14ac:dyDescent="0.2">
      <c r="A34">
        <v>10</v>
      </c>
      <c r="B34" s="138">
        <f>IFERROR(INDEX('Match Log'!$B$4:$B$1510,MATCH($A34,'Match Log'!$A$4:$A$1510,0)),"")</f>
        <v>46172</v>
      </c>
      <c r="C34" t="str">
        <f>IFERROR(INDEX('Match Log'!$C$4:$C$1510,MATCH($A34,'Match Log'!$A$4:$A$1510,0)),"")</f>
        <v>Table Tennis</v>
      </c>
      <c r="D34" t="str">
        <f t="array" ref="D34">IFERROR(_xlfn.TEXTJOIN(" + ",TRUE(),IF(('Match Log'!$A$4:$A$1510=$A34)*('Match Log'!$E$4:$E$1510="Win"),'Match Log'!$D$4:$D$1510,"")),IFERROR(LOOKUP(2,1/(('Match Log'!$A$4:$A$1510=$A34)*('Match Log'!$E$4:$E$1510="Win")),'Match Log'!$D$4:$D$1510),""))</f>
        <v>Josh</v>
      </c>
      <c r="E34" s="139">
        <f>IFERROR(INDEX('Match Log'!$F$4:$F$1510,MATCH($A34,'Match Log'!$A$4:$A$1510,0)),"")</f>
        <v>2</v>
      </c>
      <c r="F34">
        <f>IFERROR(SUMIFS('Match Log'!$I$4:$I$1510,'Match Log'!$A$4:$A$1510,$A34,'Match Log'!$E$4:$E$1510,"Win"),"")</f>
        <v>0.5</v>
      </c>
      <c r="G34">
        <f t="shared" si="17"/>
        <v>0</v>
      </c>
      <c r="H34" t="str">
        <f t="array" ref="H34">IFERROR(IF(COUNTIFS('Match Log'!$A$4:$A$1510,$A34,'Match Log'!$E$4:$E$1510,"Win")&gt;1,_xlfn.TEXTJOIN(" + ",TRUE(),IF(('Match Log'!$A$4:$A$1510=$A34)*('Match Log'!$E$4:$E$1510="Loss"),'Match Log'!$D$4:$D$1510,"")),IF($E34=2,LOOKUP(2,1/(('Match Log'!$A$4:$A$1510=$A34)*('Match Log'!$E$4:$E$1510="Loss")),'Match Log'!$D$4:$D$1510),"the field")),"")</f>
        <v>Cody</v>
      </c>
      <c r="I34">
        <f t="shared" si="18"/>
        <v>-1.0000000000000001E-5</v>
      </c>
      <c r="J34">
        <v>10</v>
      </c>
      <c r="K34">
        <f>IF($J34&gt;MAX('Match Log'!$A$4:$A$1510),NA(),IFERROR(LOOKUP(2,1/(('Match Log'!$D$4:$D$1510=$K$24)*('Match Log'!$A$4:$A$1510&lt;=$J34)),'Match Log'!$N$4:$N$1510),NA()))</f>
        <v>1034.5588790960981</v>
      </c>
      <c r="L34" t="e">
        <f>IF($J34&gt;MAX('Match Log'!$A$4:$A$1510),NA(),IFERROR(LOOKUP(2,1/(('Match Log'!$D$4:$D$1510=$L$24)*('Match Log'!$A$4:$A$1510&lt;=$J34)),'Match Log'!$N$4:$N$1510),NA()))</f>
        <v>#N/A</v>
      </c>
      <c r="M34">
        <f>IF($J34&gt;MAX('Match Log'!$A$4:$A$1510),NA(),IFERROR(LOOKUP(2,1/(('Match Log'!$D$4:$D$1510=$M$24)*('Match Log'!$A$4:$A$1510&lt;=$J34)),'Match Log'!$N$4:$N$1510),NA()))</f>
        <v>1004.2142857142857</v>
      </c>
      <c r="N34">
        <f>IF($J34&gt;MAX('Match Log'!$A$4:$A$1510),NA(),IFERROR(LOOKUP(2,1/(('Match Log'!$D$4:$D$1510=$N$24)*('Match Log'!$A$4:$A$1510&lt;=$J34)),'Match Log'!$N$4:$N$1510),NA()))</f>
        <v>1004.2142857142857</v>
      </c>
      <c r="O34">
        <f>IF($J34&gt;MAX('Match Log'!$A$4:$A$1510),NA(),IFERROR(LOOKUP(2,1/(('Match Log'!$D$4:$D$1510=$O$24)*('Match Log'!$A$4:$A$1510&lt;=$J34)),'Match Log'!$N$4:$N$1510),NA()))</f>
        <v>1051.6114970345745</v>
      </c>
      <c r="P34">
        <f>IF($J34&gt;MAX('Match Log'!$A$4:$A$1510),NA(),IFERROR(LOOKUP(2,1/(('Match Log'!$D$4:$D$1510=$P$24)*('Match Log'!$A$4:$A$1510&lt;=$J34)),'Match Log'!$N$4:$N$1510),NA()))</f>
        <v>1072.9224126693446</v>
      </c>
      <c r="Q34">
        <f>IF($J34&gt;MAX('Match Log'!$A$4:$A$1510),NA(),IFERROR(LOOKUP(2,1/(('Match Log'!$D$4:$D$1510=$Q$24)*('Match Log'!$A$4:$A$1510&lt;=$J34)),'Match Log'!$N$4:$N$1510),NA()))</f>
        <v>1004.2142857142857</v>
      </c>
      <c r="R34">
        <f>IF($J34&gt;MAX('Match Log'!$A$4:$A$1510),NA(),IFERROR(LOOKUP(2,1/(('Match Log'!$D$4:$D$1510=$R$24)*('Match Log'!$A$4:$A$1510&lt;=$J34)),'Match Log'!$N$4:$N$1510),NA()))</f>
        <v>926.56535485016559</v>
      </c>
      <c r="S34" t="e">
        <f>IF($J34&gt;MAX('Match Log'!$A$4:$A$1510),NA(),IFERROR(LOOKUP(2,1/(('Match Log'!$D$4:$D$1510=$S$24)*('Match Log'!$A$4:$A$1510&lt;=$J34)),'Match Log'!$N$4:$N$1510),NA()))</f>
        <v>#N/A</v>
      </c>
      <c r="T34">
        <f>IF($J34&gt;MAX('Match Log'!$A$4:$A$1510),NA(),IFERROR(LOOKUP(2,1/(('Match Log'!$D$4:$D$1510=$T$24)*('Match Log'!$A$4:$A$1510&lt;=$J34)),'Match Log'!$N$4:$N$1510),NA()))</f>
        <v>979.42551740173542</v>
      </c>
      <c r="U34">
        <f>IF($J34&gt;MAX('Match Log'!$A$4:$A$1510),NA(),IFERROR(LOOKUP(2,1/(('Match Log'!$D$4:$D$1510=$U$24)*('Match Log'!$A$4:$A$1510&lt;=$J34)),'Match Log'!$N$4:$N$1510),NA()))</f>
        <v>995.27348180522449</v>
      </c>
      <c r="V34" t="e">
        <f>IF($J34&gt;MAX('Match Log'!$A$4:$A$1510),NA(),IFERROR(LOOKUP(2,1/(('Match Log'!$D$4:$D$1510=$V$24)*('Match Log'!$A$4:$A$1510&lt;=$J34)),'Match Log'!$N$4:$N$1510),NA()))</f>
        <v>#N/A</v>
      </c>
      <c r="W34" t="e">
        <f>IF($J34&gt;MAX('Match Log'!$A$4:$A$1510),NA(),IFERROR(LOOKUP(2,1/(('Match Log'!$D$4:$D$1510=$W$24)*('Match Log'!$A$4:$A$1510&lt;=$J34)),'Match Log'!$N$4:$N$1510),NA()))</f>
        <v>#N/A</v>
      </c>
      <c r="X34" t="e">
        <f>IF($J34&gt;MAX('Match Log'!$A$4:$A$1510),NA(),IFERROR(LOOKUP(2,1/(('Match Log'!$D$4:$D$1510=$X$24)*('Match Log'!$A$4:$A$1510&lt;=$J34)),'Match Log'!$N$4:$N$1510),NA()))</f>
        <v>#N/A</v>
      </c>
      <c r="Y34" t="str">
        <f t="shared" ca="1" si="19"/>
        <v/>
      </c>
    </row>
    <row r="35" spans="1:25" ht="15" customHeight="1" x14ac:dyDescent="0.2">
      <c r="A35">
        <v>11</v>
      </c>
      <c r="B35" s="138">
        <f>IFERROR(INDEX('Match Log'!$B$4:$B$1510,MATCH($A35,'Match Log'!$A$4:$A$1510,0)),"")</f>
        <v>46172</v>
      </c>
      <c r="C35" t="str">
        <f>IFERROR(INDEX('Match Log'!$C$4:$C$1510,MATCH($A35,'Match Log'!$A$4:$A$1510,0)),"")</f>
        <v>Table Tennis</v>
      </c>
      <c r="D35" t="str">
        <f t="array" ref="D35">IFERROR(_xlfn.TEXTJOIN(" + ",TRUE(),IF(('Match Log'!$A$4:$A$1510=$A35)*('Match Log'!$E$4:$E$1510="Win"),'Match Log'!$D$4:$D$1510,"")),IFERROR(LOOKUP(2,1/(('Match Log'!$A$4:$A$1510=$A35)*('Match Log'!$E$4:$E$1510="Win")),'Match Log'!$D$4:$D$1510),""))</f>
        <v>Josh</v>
      </c>
      <c r="E35" s="139">
        <f>IFERROR(INDEX('Match Log'!$F$4:$F$1510,MATCH($A35,'Match Log'!$A$4:$A$1510,0)),"")</f>
        <v>2</v>
      </c>
      <c r="F35">
        <f>IFERROR(SUMIFS('Match Log'!$I$4:$I$1510,'Match Log'!$A$4:$A$1510,$A35,'Match Log'!$E$4:$E$1510,"Win"),"")</f>
        <v>0.66666666666666663</v>
      </c>
      <c r="G35">
        <f t="shared" si="17"/>
        <v>-0.33333333333333326</v>
      </c>
      <c r="H35" t="str">
        <f t="array" ref="H35">IFERROR(IF(COUNTIFS('Match Log'!$A$4:$A$1510,$A35,'Match Log'!$E$4:$E$1510,"Win")&gt;1,_xlfn.TEXTJOIN(" + ",TRUE(),IF(('Match Log'!$A$4:$A$1510=$A35)*('Match Log'!$E$4:$E$1510="Loss"),'Match Log'!$D$4:$D$1510,"")),IF($E35=2,LOOKUP(2,1/(('Match Log'!$A$4:$A$1510=$A35)*('Match Log'!$E$4:$E$1510="Loss")),'Match Log'!$D$4:$D$1510),"the field")),"")</f>
        <v>Cody</v>
      </c>
      <c r="I35">
        <f t="shared" si="18"/>
        <v>-0.33334433333333324</v>
      </c>
      <c r="J35">
        <v>11</v>
      </c>
      <c r="K35">
        <f>IF($J35&gt;MAX('Match Log'!$A$4:$A$1510),NA(),IFERROR(LOOKUP(2,1/(('Match Log'!$D$4:$D$1510=$K$24)*('Match Log'!$A$4:$A$1510&lt;=$J35)),'Match Log'!$N$4:$N$1510),NA()))</f>
        <v>1034.5588790960981</v>
      </c>
      <c r="L35" t="e">
        <f>IF($J35&gt;MAX('Match Log'!$A$4:$A$1510),NA(),IFERROR(LOOKUP(2,1/(('Match Log'!$D$4:$D$1510=$L$24)*('Match Log'!$A$4:$A$1510&lt;=$J35)),'Match Log'!$N$4:$N$1510),NA()))</f>
        <v>#N/A</v>
      </c>
      <c r="M35">
        <f>IF($J35&gt;MAX('Match Log'!$A$4:$A$1510),NA(),IFERROR(LOOKUP(2,1/(('Match Log'!$D$4:$D$1510=$M$24)*('Match Log'!$A$4:$A$1510&lt;=$J35)),'Match Log'!$N$4:$N$1510),NA()))</f>
        <v>1004.2142857142857</v>
      </c>
      <c r="N35">
        <f>IF($J35&gt;MAX('Match Log'!$A$4:$A$1510),NA(),IFERROR(LOOKUP(2,1/(('Match Log'!$D$4:$D$1510=$N$24)*('Match Log'!$A$4:$A$1510&lt;=$J35)),'Match Log'!$N$4:$N$1510),NA()))</f>
        <v>1004.2142857142857</v>
      </c>
      <c r="O35">
        <f>IF($J35&gt;MAX('Match Log'!$A$4:$A$1510),NA(),IFERROR(LOOKUP(2,1/(('Match Log'!$D$4:$D$1510=$O$24)*('Match Log'!$A$4:$A$1510&lt;=$J35)),'Match Log'!$N$4:$N$1510),NA()))</f>
        <v>1068.6308645974639</v>
      </c>
      <c r="P35">
        <f>IF($J35&gt;MAX('Match Log'!$A$4:$A$1510),NA(),IFERROR(LOOKUP(2,1/(('Match Log'!$D$4:$D$1510=$P$24)*('Match Log'!$A$4:$A$1510&lt;=$J35)),'Match Log'!$N$4:$N$1510),NA()))</f>
        <v>1072.9224126693446</v>
      </c>
      <c r="Q35">
        <f>IF($J35&gt;MAX('Match Log'!$A$4:$A$1510),NA(),IFERROR(LOOKUP(2,1/(('Match Log'!$D$4:$D$1510=$Q$24)*('Match Log'!$A$4:$A$1510&lt;=$J35)),'Match Log'!$N$4:$N$1510),NA()))</f>
        <v>1004.2142857142857</v>
      </c>
      <c r="R35">
        <f>IF($J35&gt;MAX('Match Log'!$A$4:$A$1510),NA(),IFERROR(LOOKUP(2,1/(('Match Log'!$D$4:$D$1510=$R$24)*('Match Log'!$A$4:$A$1510&lt;=$J35)),'Match Log'!$N$4:$N$1510),NA()))</f>
        <v>926.56535485016559</v>
      </c>
      <c r="S35" t="e">
        <f>IF($J35&gt;MAX('Match Log'!$A$4:$A$1510),NA(),IFERROR(LOOKUP(2,1/(('Match Log'!$D$4:$D$1510=$S$24)*('Match Log'!$A$4:$A$1510&lt;=$J35)),'Match Log'!$N$4:$N$1510),NA()))</f>
        <v>#N/A</v>
      </c>
      <c r="T35">
        <f>IF($J35&gt;MAX('Match Log'!$A$4:$A$1510),NA(),IFERROR(LOOKUP(2,1/(('Match Log'!$D$4:$D$1510=$T$24)*('Match Log'!$A$4:$A$1510&lt;=$J35)),'Match Log'!$N$4:$N$1510),NA()))</f>
        <v>962.4061498388462</v>
      </c>
      <c r="U35">
        <f>IF($J35&gt;MAX('Match Log'!$A$4:$A$1510),NA(),IFERROR(LOOKUP(2,1/(('Match Log'!$D$4:$D$1510=$U$24)*('Match Log'!$A$4:$A$1510&lt;=$J35)),'Match Log'!$N$4:$N$1510),NA()))</f>
        <v>995.27348180522449</v>
      </c>
      <c r="V35" t="e">
        <f>IF($J35&gt;MAX('Match Log'!$A$4:$A$1510),NA(),IFERROR(LOOKUP(2,1/(('Match Log'!$D$4:$D$1510=$V$24)*('Match Log'!$A$4:$A$1510&lt;=$J35)),'Match Log'!$N$4:$N$1510),NA()))</f>
        <v>#N/A</v>
      </c>
      <c r="W35" t="e">
        <f>IF($J35&gt;MAX('Match Log'!$A$4:$A$1510),NA(),IFERROR(LOOKUP(2,1/(('Match Log'!$D$4:$D$1510=$W$24)*('Match Log'!$A$4:$A$1510&lt;=$J35)),'Match Log'!$N$4:$N$1510),NA()))</f>
        <v>#N/A</v>
      </c>
      <c r="X35" t="e">
        <f>IF($J35&gt;MAX('Match Log'!$A$4:$A$1510),NA(),IFERROR(LOOKUP(2,1/(('Match Log'!$D$4:$D$1510=$X$24)*('Match Log'!$A$4:$A$1510&lt;=$J35)),'Match Log'!$N$4:$N$1510),NA()))</f>
        <v>#N/A</v>
      </c>
      <c r="Y35" t="str">
        <f t="shared" ca="1" si="19"/>
        <v/>
      </c>
    </row>
    <row r="36" spans="1:25" ht="15" customHeight="1" x14ac:dyDescent="0.2">
      <c r="A36">
        <v>12</v>
      </c>
      <c r="B36" s="138">
        <f>IFERROR(INDEX('Match Log'!$B$4:$B$1510,MATCH($A36,'Match Log'!$A$4:$A$1510,0)),"")</f>
        <v>46172</v>
      </c>
      <c r="C36" t="str">
        <f>IFERROR(INDEX('Match Log'!$C$4:$C$1510,MATCH($A36,'Match Log'!$A$4:$A$1510,0)),"")</f>
        <v>Table Tennis</v>
      </c>
      <c r="D36" t="str">
        <f t="array" ref="D36">IFERROR(_xlfn.TEXTJOIN(" + ",TRUE(),IF(('Match Log'!$A$4:$A$1510=$A36)*('Match Log'!$E$4:$E$1510="Win"),'Match Log'!$D$4:$D$1510,"")),IFERROR(LOOKUP(2,1/(('Match Log'!$A$4:$A$1510=$A36)*('Match Log'!$E$4:$E$1510="Win")),'Match Log'!$D$4:$D$1510),""))</f>
        <v>Josh</v>
      </c>
      <c r="E36" s="139">
        <f>IFERROR(INDEX('Match Log'!$F$4:$F$1510,MATCH($A36,'Match Log'!$A$4:$A$1510,0)),"")</f>
        <v>2</v>
      </c>
      <c r="F36">
        <f>IFERROR(SUMIFS('Match Log'!$I$4:$I$1510,'Match Log'!$A$4:$A$1510,$A36,'Match Log'!$E$4:$E$1510,"Win"),"")</f>
        <v>0.75</v>
      </c>
      <c r="G36">
        <f t="shared" si="17"/>
        <v>-0.5</v>
      </c>
      <c r="H36" t="str">
        <f t="array" ref="H36">IFERROR(IF(COUNTIFS('Match Log'!$A$4:$A$1510,$A36,'Match Log'!$E$4:$E$1510,"Win")&gt;1,_xlfn.TEXTJOIN(" + ",TRUE(),IF(('Match Log'!$A$4:$A$1510=$A36)*('Match Log'!$E$4:$E$1510="Loss"),'Match Log'!$D$4:$D$1510,"")),IF($E36=2,LOOKUP(2,1/(('Match Log'!$A$4:$A$1510=$A36)*('Match Log'!$E$4:$E$1510="Loss")),'Match Log'!$D$4:$D$1510),"the field")),"")</f>
        <v>Cody</v>
      </c>
      <c r="I36">
        <f t="shared" si="18"/>
        <v>-0.50001200000000001</v>
      </c>
      <c r="J36">
        <v>12</v>
      </c>
      <c r="K36">
        <f>IF($J36&gt;MAX('Match Log'!$A$4:$A$1510),NA(),IFERROR(LOOKUP(2,1/(('Match Log'!$D$4:$D$1510=$K$24)*('Match Log'!$A$4:$A$1510&lt;=$J36)),'Match Log'!$N$4:$N$1510),NA()))</f>
        <v>1034.5588790960981</v>
      </c>
      <c r="L36" t="e">
        <f>IF($J36&gt;MAX('Match Log'!$A$4:$A$1510),NA(),IFERROR(LOOKUP(2,1/(('Match Log'!$D$4:$D$1510=$L$24)*('Match Log'!$A$4:$A$1510&lt;=$J36)),'Match Log'!$N$4:$N$1510),NA()))</f>
        <v>#N/A</v>
      </c>
      <c r="M36">
        <f>IF($J36&gt;MAX('Match Log'!$A$4:$A$1510),NA(),IFERROR(LOOKUP(2,1/(('Match Log'!$D$4:$D$1510=$M$24)*('Match Log'!$A$4:$A$1510&lt;=$J36)),'Match Log'!$N$4:$N$1510),NA()))</f>
        <v>1004.2142857142857</v>
      </c>
      <c r="N36">
        <f>IF($J36&gt;MAX('Match Log'!$A$4:$A$1510),NA(),IFERROR(LOOKUP(2,1/(('Match Log'!$D$4:$D$1510=$N$24)*('Match Log'!$A$4:$A$1510&lt;=$J36)),'Match Log'!$N$4:$N$1510),NA()))</f>
        <v>1004.2142857142857</v>
      </c>
      <c r="O36">
        <f>IF($J36&gt;MAX('Match Log'!$A$4:$A$1510),NA(),IFERROR(LOOKUP(2,1/(('Match Log'!$D$4:$D$1510=$O$24)*('Match Log'!$A$4:$A$1510&lt;=$J36)),'Match Log'!$N$4:$N$1510),NA()))</f>
        <v>1083.4337354324246</v>
      </c>
      <c r="P36">
        <f>IF($J36&gt;MAX('Match Log'!$A$4:$A$1510),NA(),IFERROR(LOOKUP(2,1/(('Match Log'!$D$4:$D$1510=$P$24)*('Match Log'!$A$4:$A$1510&lt;=$J36)),'Match Log'!$N$4:$N$1510),NA()))</f>
        <v>1072.9224126693446</v>
      </c>
      <c r="Q36">
        <f>IF($J36&gt;MAX('Match Log'!$A$4:$A$1510),NA(),IFERROR(LOOKUP(2,1/(('Match Log'!$D$4:$D$1510=$Q$24)*('Match Log'!$A$4:$A$1510&lt;=$J36)),'Match Log'!$N$4:$N$1510),NA()))</f>
        <v>1004.2142857142857</v>
      </c>
      <c r="R36">
        <f>IF($J36&gt;MAX('Match Log'!$A$4:$A$1510),NA(),IFERROR(LOOKUP(2,1/(('Match Log'!$D$4:$D$1510=$R$24)*('Match Log'!$A$4:$A$1510&lt;=$J36)),'Match Log'!$N$4:$N$1510),NA()))</f>
        <v>926.56535485016559</v>
      </c>
      <c r="S36" t="e">
        <f>IF($J36&gt;MAX('Match Log'!$A$4:$A$1510),NA(),IFERROR(LOOKUP(2,1/(('Match Log'!$D$4:$D$1510=$S$24)*('Match Log'!$A$4:$A$1510&lt;=$J36)),'Match Log'!$N$4:$N$1510),NA()))</f>
        <v>#N/A</v>
      </c>
      <c r="T36">
        <f>IF($J36&gt;MAX('Match Log'!$A$4:$A$1510),NA(),IFERROR(LOOKUP(2,1/(('Match Log'!$D$4:$D$1510=$T$24)*('Match Log'!$A$4:$A$1510&lt;=$J36)),'Match Log'!$N$4:$N$1510),NA()))</f>
        <v>947.60327900388552</v>
      </c>
      <c r="U36">
        <f>IF($J36&gt;MAX('Match Log'!$A$4:$A$1510),NA(),IFERROR(LOOKUP(2,1/(('Match Log'!$D$4:$D$1510=$U$24)*('Match Log'!$A$4:$A$1510&lt;=$J36)),'Match Log'!$N$4:$N$1510),NA()))</f>
        <v>995.27348180522449</v>
      </c>
      <c r="V36" t="e">
        <f>IF($J36&gt;MAX('Match Log'!$A$4:$A$1510),NA(),IFERROR(LOOKUP(2,1/(('Match Log'!$D$4:$D$1510=$V$24)*('Match Log'!$A$4:$A$1510&lt;=$J36)),'Match Log'!$N$4:$N$1510),NA()))</f>
        <v>#N/A</v>
      </c>
      <c r="W36" t="e">
        <f>IF($J36&gt;MAX('Match Log'!$A$4:$A$1510),NA(),IFERROR(LOOKUP(2,1/(('Match Log'!$D$4:$D$1510=$W$24)*('Match Log'!$A$4:$A$1510&lt;=$J36)),'Match Log'!$N$4:$N$1510),NA()))</f>
        <v>#N/A</v>
      </c>
      <c r="X36" t="e">
        <f>IF($J36&gt;MAX('Match Log'!$A$4:$A$1510),NA(),IFERROR(LOOKUP(2,1/(('Match Log'!$D$4:$D$1510=$X$24)*('Match Log'!$A$4:$A$1510&lt;=$J36)),'Match Log'!$N$4:$N$1510),NA()))</f>
        <v>#N/A</v>
      </c>
      <c r="Y36" t="str">
        <f t="shared" ca="1" si="19"/>
        <v/>
      </c>
    </row>
    <row r="37" spans="1:25" ht="15" customHeight="1" x14ac:dyDescent="0.2">
      <c r="A37">
        <v>13</v>
      </c>
      <c r="B37" s="138">
        <f>IFERROR(INDEX('Match Log'!$B$4:$B$1510,MATCH($A37,'Match Log'!$A$4:$A$1510,0)),"")</f>
        <v>46173</v>
      </c>
      <c r="C37" t="str">
        <f>IFERROR(INDEX('Match Log'!$C$4:$C$1510,MATCH($A37,'Match Log'!$A$4:$A$1510,0)),"")</f>
        <v>FIFA</v>
      </c>
      <c r="D37" t="str">
        <f t="array" ref="D37">IFERROR(_xlfn.TEXTJOIN(" + ",TRUE(),IF(('Match Log'!$A$4:$A$1510=$A37)*('Match Log'!$E$4:$E$1510="Win"),'Match Log'!$D$4:$D$1510,"")),IFERROR(LOOKUP(2,1/(('Match Log'!$A$4:$A$1510=$A37)*('Match Log'!$E$4:$E$1510="Win")),'Match Log'!$D$4:$D$1510),""))</f>
        <v>Shawn</v>
      </c>
      <c r="E37" s="139">
        <f>IFERROR(INDEX('Match Log'!$F$4:$F$1510,MATCH($A37,'Match Log'!$A$4:$A$1510,0)),"")</f>
        <v>2</v>
      </c>
      <c r="F37">
        <f>IFERROR(SUMIFS('Match Log'!$I$4:$I$1510,'Match Log'!$A$4:$A$1510,$A37,'Match Log'!$E$4:$E$1510,"Win"),"")</f>
        <v>0.66666666666666663</v>
      </c>
      <c r="G37">
        <f t="shared" si="17"/>
        <v>-0.33333333333333326</v>
      </c>
      <c r="H37" t="str">
        <f t="array" ref="H37">IFERROR(IF(COUNTIFS('Match Log'!$A$4:$A$1510,$A37,'Match Log'!$E$4:$E$1510,"Win")&gt;1,_xlfn.TEXTJOIN(" + ",TRUE(),IF(('Match Log'!$A$4:$A$1510=$A37)*('Match Log'!$E$4:$E$1510="Loss"),'Match Log'!$D$4:$D$1510,"")),IF($E37=2,LOOKUP(2,1/(('Match Log'!$A$4:$A$1510=$A37)*('Match Log'!$E$4:$E$1510="Loss")),'Match Log'!$D$4:$D$1510),"the field")),"")</f>
        <v>Daniel (Ferret)</v>
      </c>
      <c r="I37">
        <f t="shared" si="18"/>
        <v>-0.33334633333333324</v>
      </c>
      <c r="J37">
        <v>13</v>
      </c>
      <c r="K37">
        <f>IF($J37&gt;MAX('Match Log'!$A$4:$A$1510),NA(),IFERROR(LOOKUP(2,1/(('Match Log'!$D$4:$D$1510=$K$24)*('Match Log'!$A$4:$A$1510&lt;=$J37)),'Match Log'!$N$4:$N$1510),NA()))</f>
        <v>1034.5588790960981</v>
      </c>
      <c r="L37" t="e">
        <f>IF($J37&gt;MAX('Match Log'!$A$4:$A$1510),NA(),IFERROR(LOOKUP(2,1/(('Match Log'!$D$4:$D$1510=$L$24)*('Match Log'!$A$4:$A$1510&lt;=$J37)),'Match Log'!$N$4:$N$1510),NA()))</f>
        <v>#N/A</v>
      </c>
      <c r="M37">
        <f>IF($J37&gt;MAX('Match Log'!$A$4:$A$1510),NA(),IFERROR(LOOKUP(2,1/(('Match Log'!$D$4:$D$1510=$M$24)*('Match Log'!$A$4:$A$1510&lt;=$J37)),'Match Log'!$N$4:$N$1510),NA()))</f>
        <v>1004.2142857142857</v>
      </c>
      <c r="N37">
        <f>IF($J37&gt;MAX('Match Log'!$A$4:$A$1510),NA(),IFERROR(LOOKUP(2,1/(('Match Log'!$D$4:$D$1510=$N$24)*('Match Log'!$A$4:$A$1510&lt;=$J37)),'Match Log'!$N$4:$N$1510),NA()))</f>
        <v>1004.2142857142857</v>
      </c>
      <c r="O37">
        <f>IF($J37&gt;MAX('Match Log'!$A$4:$A$1510),NA(),IFERROR(LOOKUP(2,1/(('Match Log'!$D$4:$D$1510=$O$24)*('Match Log'!$A$4:$A$1510&lt;=$J37)),'Match Log'!$N$4:$N$1510),NA()))</f>
        <v>1083.4337354324246</v>
      </c>
      <c r="P37">
        <f>IF($J37&gt;MAX('Match Log'!$A$4:$A$1510),NA(),IFERROR(LOOKUP(2,1/(('Match Log'!$D$4:$D$1510=$P$24)*('Match Log'!$A$4:$A$1510&lt;=$J37)),'Match Log'!$N$4:$N$1510),NA()))</f>
        <v>1088.3358957355647</v>
      </c>
      <c r="Q37">
        <f>IF($J37&gt;MAX('Match Log'!$A$4:$A$1510),NA(),IFERROR(LOOKUP(2,1/(('Match Log'!$D$4:$D$1510=$Q$24)*('Match Log'!$A$4:$A$1510&lt;=$J37)),'Match Log'!$N$4:$N$1510),NA()))</f>
        <v>1004.2142857142857</v>
      </c>
      <c r="R37">
        <f>IF($J37&gt;MAX('Match Log'!$A$4:$A$1510),NA(),IFERROR(LOOKUP(2,1/(('Match Log'!$D$4:$D$1510=$R$24)*('Match Log'!$A$4:$A$1510&lt;=$J37)),'Match Log'!$N$4:$N$1510),NA()))</f>
        <v>911.15187178394547</v>
      </c>
      <c r="S37" t="e">
        <f>IF($J37&gt;MAX('Match Log'!$A$4:$A$1510),NA(),IFERROR(LOOKUP(2,1/(('Match Log'!$D$4:$D$1510=$S$24)*('Match Log'!$A$4:$A$1510&lt;=$J37)),'Match Log'!$N$4:$N$1510),NA()))</f>
        <v>#N/A</v>
      </c>
      <c r="T37">
        <f>IF($J37&gt;MAX('Match Log'!$A$4:$A$1510),NA(),IFERROR(LOOKUP(2,1/(('Match Log'!$D$4:$D$1510=$T$24)*('Match Log'!$A$4:$A$1510&lt;=$J37)),'Match Log'!$N$4:$N$1510),NA()))</f>
        <v>947.60327900388552</v>
      </c>
      <c r="U37">
        <f>IF($J37&gt;MAX('Match Log'!$A$4:$A$1510),NA(),IFERROR(LOOKUP(2,1/(('Match Log'!$D$4:$D$1510=$U$24)*('Match Log'!$A$4:$A$1510&lt;=$J37)),'Match Log'!$N$4:$N$1510),NA()))</f>
        <v>995.27348180522449</v>
      </c>
      <c r="V37" t="e">
        <f>IF($J37&gt;MAX('Match Log'!$A$4:$A$1510),NA(),IFERROR(LOOKUP(2,1/(('Match Log'!$D$4:$D$1510=$V$24)*('Match Log'!$A$4:$A$1510&lt;=$J37)),'Match Log'!$N$4:$N$1510),NA()))</f>
        <v>#N/A</v>
      </c>
      <c r="W37" t="e">
        <f>IF($J37&gt;MAX('Match Log'!$A$4:$A$1510),NA(),IFERROR(LOOKUP(2,1/(('Match Log'!$D$4:$D$1510=$W$24)*('Match Log'!$A$4:$A$1510&lt;=$J37)),'Match Log'!$N$4:$N$1510),NA()))</f>
        <v>#N/A</v>
      </c>
      <c r="X37" t="e">
        <f>IF($J37&gt;MAX('Match Log'!$A$4:$A$1510),NA(),IFERROR(LOOKUP(2,1/(('Match Log'!$D$4:$D$1510=$X$24)*('Match Log'!$A$4:$A$1510&lt;=$J37)),'Match Log'!$N$4:$N$1510),NA()))</f>
        <v>#N/A</v>
      </c>
      <c r="Y37" t="str">
        <f t="shared" ca="1" si="19"/>
        <v/>
      </c>
    </row>
    <row r="38" spans="1:25" ht="15" customHeight="1" x14ac:dyDescent="0.2">
      <c r="A38">
        <v>14</v>
      </c>
      <c r="B38" s="138">
        <f>IFERROR(INDEX('Match Log'!$B$4:$B$1510,MATCH($A38,'Match Log'!$A$4:$A$1510,0)),"")</f>
        <v>46173</v>
      </c>
      <c r="C38" t="str">
        <f>IFERROR(INDEX('Match Log'!$C$4:$C$1510,MATCH($A38,'Match Log'!$A$4:$A$1510,0)),"")</f>
        <v>FIFA</v>
      </c>
      <c r="D38" t="str">
        <f t="array" ref="D38">IFERROR(_xlfn.TEXTJOIN(" + ",TRUE(),IF(('Match Log'!$A$4:$A$1510=$A38)*('Match Log'!$E$4:$E$1510="Win"),'Match Log'!$D$4:$D$1510,"")),IFERROR(LOOKUP(2,1/(('Match Log'!$A$4:$A$1510=$A38)*('Match Log'!$E$4:$E$1510="Win")),'Match Log'!$D$4:$D$1510),""))</f>
        <v>Daniel (Ferret)</v>
      </c>
      <c r="E38" s="139">
        <f>IFERROR(INDEX('Match Log'!$F$4:$F$1510,MATCH($A38,'Match Log'!$A$4:$A$1510,0)),"")</f>
        <v>2</v>
      </c>
      <c r="F38">
        <f>IFERROR(SUMIFS('Match Log'!$I$4:$I$1510,'Match Log'!$A$4:$A$1510,$A38,'Match Log'!$E$4:$E$1510,"Win"),"")</f>
        <v>0.2857142857142857</v>
      </c>
      <c r="G38">
        <f t="shared" si="17"/>
        <v>0.4285714285714286</v>
      </c>
      <c r="H38" t="str">
        <f t="array" ref="H38">IFERROR(IF(COUNTIFS('Match Log'!$A$4:$A$1510,$A38,'Match Log'!$E$4:$E$1510,"Win")&gt;1,_xlfn.TEXTJOIN(" + ",TRUE(),IF(('Match Log'!$A$4:$A$1510=$A38)*('Match Log'!$E$4:$E$1510="Loss"),'Match Log'!$D$4:$D$1510,"")),IF($E38=2,LOOKUP(2,1/(('Match Log'!$A$4:$A$1510=$A38)*('Match Log'!$E$4:$E$1510="Loss")),'Match Log'!$D$4:$D$1510),"the field")),"")</f>
        <v>Shawn</v>
      </c>
      <c r="I38">
        <f t="shared" si="18"/>
        <v>0.42855742857142859</v>
      </c>
      <c r="J38">
        <v>14</v>
      </c>
      <c r="K38">
        <f>IF($J38&gt;MAX('Match Log'!$A$4:$A$1510),NA(),IFERROR(LOOKUP(2,1/(('Match Log'!$D$4:$D$1510=$K$24)*('Match Log'!$A$4:$A$1510&lt;=$J38)),'Match Log'!$N$4:$N$1510),NA()))</f>
        <v>1034.5588790960981</v>
      </c>
      <c r="L38" t="e">
        <f>IF($J38&gt;MAX('Match Log'!$A$4:$A$1510),NA(),IFERROR(LOOKUP(2,1/(('Match Log'!$D$4:$D$1510=$L$24)*('Match Log'!$A$4:$A$1510&lt;=$J38)),'Match Log'!$N$4:$N$1510),NA()))</f>
        <v>#N/A</v>
      </c>
      <c r="M38">
        <f>IF($J38&gt;MAX('Match Log'!$A$4:$A$1510),NA(),IFERROR(LOOKUP(2,1/(('Match Log'!$D$4:$D$1510=$M$24)*('Match Log'!$A$4:$A$1510&lt;=$J38)),'Match Log'!$N$4:$N$1510),NA()))</f>
        <v>1004.2142857142857</v>
      </c>
      <c r="N38">
        <f>IF($J38&gt;MAX('Match Log'!$A$4:$A$1510),NA(),IFERROR(LOOKUP(2,1/(('Match Log'!$D$4:$D$1510=$N$24)*('Match Log'!$A$4:$A$1510&lt;=$J38)),'Match Log'!$N$4:$N$1510),NA()))</f>
        <v>1004.2142857142857</v>
      </c>
      <c r="O38">
        <f>IF($J38&gt;MAX('Match Log'!$A$4:$A$1510),NA(),IFERROR(LOOKUP(2,1/(('Match Log'!$D$4:$D$1510=$O$24)*('Match Log'!$A$4:$A$1510&lt;=$J38)),'Match Log'!$N$4:$N$1510),NA()))</f>
        <v>1083.4337354324246</v>
      </c>
      <c r="P38">
        <f>IF($J38&gt;MAX('Match Log'!$A$4:$A$1510),NA(),IFERROR(LOOKUP(2,1/(('Match Log'!$D$4:$D$1510=$P$24)*('Match Log'!$A$4:$A$1510&lt;=$J38)),'Match Log'!$N$4:$N$1510),NA()))</f>
        <v>1058.1949493150487</v>
      </c>
      <c r="Q38">
        <f>IF($J38&gt;MAX('Match Log'!$A$4:$A$1510),NA(),IFERROR(LOOKUP(2,1/(('Match Log'!$D$4:$D$1510=$Q$24)*('Match Log'!$A$4:$A$1510&lt;=$J38)),'Match Log'!$N$4:$N$1510),NA()))</f>
        <v>1004.2142857142857</v>
      </c>
      <c r="R38">
        <f>IF($J38&gt;MAX('Match Log'!$A$4:$A$1510),NA(),IFERROR(LOOKUP(2,1/(('Match Log'!$D$4:$D$1510=$R$24)*('Match Log'!$A$4:$A$1510&lt;=$J38)),'Match Log'!$N$4:$N$1510),NA()))</f>
        <v>941.29281820446158</v>
      </c>
      <c r="S38" t="e">
        <f>IF($J38&gt;MAX('Match Log'!$A$4:$A$1510),NA(),IFERROR(LOOKUP(2,1/(('Match Log'!$D$4:$D$1510=$S$24)*('Match Log'!$A$4:$A$1510&lt;=$J38)),'Match Log'!$N$4:$N$1510),NA()))</f>
        <v>#N/A</v>
      </c>
      <c r="T38">
        <f>IF($J38&gt;MAX('Match Log'!$A$4:$A$1510),NA(),IFERROR(LOOKUP(2,1/(('Match Log'!$D$4:$D$1510=$T$24)*('Match Log'!$A$4:$A$1510&lt;=$J38)),'Match Log'!$N$4:$N$1510),NA()))</f>
        <v>947.60327900388552</v>
      </c>
      <c r="U38">
        <f>IF($J38&gt;MAX('Match Log'!$A$4:$A$1510),NA(),IFERROR(LOOKUP(2,1/(('Match Log'!$D$4:$D$1510=$U$24)*('Match Log'!$A$4:$A$1510&lt;=$J38)),'Match Log'!$N$4:$N$1510),NA()))</f>
        <v>995.27348180522449</v>
      </c>
      <c r="V38" t="e">
        <f>IF($J38&gt;MAX('Match Log'!$A$4:$A$1510),NA(),IFERROR(LOOKUP(2,1/(('Match Log'!$D$4:$D$1510=$V$24)*('Match Log'!$A$4:$A$1510&lt;=$J38)),'Match Log'!$N$4:$N$1510),NA()))</f>
        <v>#N/A</v>
      </c>
      <c r="W38" t="e">
        <f>IF($J38&gt;MAX('Match Log'!$A$4:$A$1510),NA(),IFERROR(LOOKUP(2,1/(('Match Log'!$D$4:$D$1510=$W$24)*('Match Log'!$A$4:$A$1510&lt;=$J38)),'Match Log'!$N$4:$N$1510),NA()))</f>
        <v>#N/A</v>
      </c>
      <c r="X38" t="e">
        <f>IF($J38&gt;MAX('Match Log'!$A$4:$A$1510),NA(),IFERROR(LOOKUP(2,1/(('Match Log'!$D$4:$D$1510=$X$24)*('Match Log'!$A$4:$A$1510&lt;=$J38)),'Match Log'!$N$4:$N$1510),NA()))</f>
        <v>#N/A</v>
      </c>
      <c r="Y38" t="str">
        <f t="shared" ca="1" si="19"/>
        <v/>
      </c>
    </row>
    <row r="39" spans="1:25" ht="15" customHeight="1" x14ac:dyDescent="0.2">
      <c r="A39">
        <v>15</v>
      </c>
      <c r="B39" s="138">
        <f>IFERROR(INDEX('Match Log'!$B$4:$B$1510,MATCH($A39,'Match Log'!$A$4:$A$1510,0)),"")</f>
        <v>46173</v>
      </c>
      <c r="C39" t="str">
        <f>IFERROR(INDEX('Match Log'!$C$4:$C$1510,MATCH($A39,'Match Log'!$A$4:$A$1510,0)),"")</f>
        <v>FIFA</v>
      </c>
      <c r="D39" t="str">
        <f t="array" ref="D39">IFERROR(_xlfn.TEXTJOIN(" + ",TRUE(),IF(('Match Log'!$A$4:$A$1510=$A39)*('Match Log'!$E$4:$E$1510="Win"),'Match Log'!$D$4:$D$1510,"")),IFERROR(LOOKUP(2,1/(('Match Log'!$A$4:$A$1510=$A39)*('Match Log'!$E$4:$E$1510="Win")),'Match Log'!$D$4:$D$1510),""))</f>
        <v>Daniel (Ferret)</v>
      </c>
      <c r="E39" s="139">
        <f>IFERROR(INDEX('Match Log'!$F$4:$F$1510,MATCH($A39,'Match Log'!$A$4:$A$1510,0)),"")</f>
        <v>2</v>
      </c>
      <c r="F39">
        <f>IFERROR(SUMIFS('Match Log'!$I$4:$I$1510,'Match Log'!$A$4:$A$1510,$A39,'Match Log'!$E$4:$E$1510,"Win"),"")</f>
        <v>0.375</v>
      </c>
      <c r="G39">
        <f t="shared" si="17"/>
        <v>0.25</v>
      </c>
      <c r="H39" t="str">
        <f t="array" ref="H39">IFERROR(IF(COUNTIFS('Match Log'!$A$4:$A$1510,$A39,'Match Log'!$E$4:$E$1510,"Win")&gt;1,_xlfn.TEXTJOIN(" + ",TRUE(),IF(('Match Log'!$A$4:$A$1510=$A39)*('Match Log'!$E$4:$E$1510="Loss"),'Match Log'!$D$4:$D$1510,"")),IF($E39=2,LOOKUP(2,1/(('Match Log'!$A$4:$A$1510=$A39)*('Match Log'!$E$4:$E$1510="Loss")),'Match Log'!$D$4:$D$1510),"the field")),"")</f>
        <v>Shawn</v>
      </c>
      <c r="I39">
        <f t="shared" si="18"/>
        <v>0.24998500000000001</v>
      </c>
      <c r="J39">
        <v>15</v>
      </c>
      <c r="K39">
        <f>IF($J39&gt;MAX('Match Log'!$A$4:$A$1510),NA(),IFERROR(LOOKUP(2,1/(('Match Log'!$D$4:$D$1510=$K$24)*('Match Log'!$A$4:$A$1510&lt;=$J39)),'Match Log'!$N$4:$N$1510),NA()))</f>
        <v>1034.5588790960981</v>
      </c>
      <c r="L39" t="e">
        <f>IF($J39&gt;MAX('Match Log'!$A$4:$A$1510),NA(),IFERROR(LOOKUP(2,1/(('Match Log'!$D$4:$D$1510=$L$24)*('Match Log'!$A$4:$A$1510&lt;=$J39)),'Match Log'!$N$4:$N$1510),NA()))</f>
        <v>#N/A</v>
      </c>
      <c r="M39">
        <f>IF($J39&gt;MAX('Match Log'!$A$4:$A$1510),NA(),IFERROR(LOOKUP(2,1/(('Match Log'!$D$4:$D$1510=$M$24)*('Match Log'!$A$4:$A$1510&lt;=$J39)),'Match Log'!$N$4:$N$1510),NA()))</f>
        <v>1004.2142857142857</v>
      </c>
      <c r="N39">
        <f>IF($J39&gt;MAX('Match Log'!$A$4:$A$1510),NA(),IFERROR(LOOKUP(2,1/(('Match Log'!$D$4:$D$1510=$N$24)*('Match Log'!$A$4:$A$1510&lt;=$J39)),'Match Log'!$N$4:$N$1510),NA()))</f>
        <v>1004.2142857142857</v>
      </c>
      <c r="O39">
        <f>IF($J39&gt;MAX('Match Log'!$A$4:$A$1510),NA(),IFERROR(LOOKUP(2,1/(('Match Log'!$D$4:$D$1510=$O$24)*('Match Log'!$A$4:$A$1510&lt;=$J39)),'Match Log'!$N$4:$N$1510),NA()))</f>
        <v>1083.4337354324246</v>
      </c>
      <c r="P39">
        <f>IF($J39&gt;MAX('Match Log'!$A$4:$A$1510),NA(),IFERROR(LOOKUP(2,1/(('Match Log'!$D$4:$D$1510=$P$24)*('Match Log'!$A$4:$A$1510&lt;=$J39)),'Match Log'!$N$4:$N$1510),NA()))</f>
        <v>1031.3816433374927</v>
      </c>
      <c r="Q39">
        <f>IF($J39&gt;MAX('Match Log'!$A$4:$A$1510),NA(),IFERROR(LOOKUP(2,1/(('Match Log'!$D$4:$D$1510=$Q$24)*('Match Log'!$A$4:$A$1510&lt;=$J39)),'Match Log'!$N$4:$N$1510),NA()))</f>
        <v>1004.2142857142857</v>
      </c>
      <c r="R39">
        <f>IF($J39&gt;MAX('Match Log'!$A$4:$A$1510),NA(),IFERROR(LOOKUP(2,1/(('Match Log'!$D$4:$D$1510=$R$24)*('Match Log'!$A$4:$A$1510&lt;=$J39)),'Match Log'!$N$4:$N$1510),NA()))</f>
        <v>968.10612418201742</v>
      </c>
      <c r="S39" t="e">
        <f>IF($J39&gt;MAX('Match Log'!$A$4:$A$1510),NA(),IFERROR(LOOKUP(2,1/(('Match Log'!$D$4:$D$1510=$S$24)*('Match Log'!$A$4:$A$1510&lt;=$J39)),'Match Log'!$N$4:$N$1510),NA()))</f>
        <v>#N/A</v>
      </c>
      <c r="T39">
        <f>IF($J39&gt;MAX('Match Log'!$A$4:$A$1510),NA(),IFERROR(LOOKUP(2,1/(('Match Log'!$D$4:$D$1510=$T$24)*('Match Log'!$A$4:$A$1510&lt;=$J39)),'Match Log'!$N$4:$N$1510),NA()))</f>
        <v>947.60327900388552</v>
      </c>
      <c r="U39">
        <f>IF($J39&gt;MAX('Match Log'!$A$4:$A$1510),NA(),IFERROR(LOOKUP(2,1/(('Match Log'!$D$4:$D$1510=$U$24)*('Match Log'!$A$4:$A$1510&lt;=$J39)),'Match Log'!$N$4:$N$1510),NA()))</f>
        <v>995.27348180522449</v>
      </c>
      <c r="V39" t="e">
        <f>IF($J39&gt;MAX('Match Log'!$A$4:$A$1510),NA(),IFERROR(LOOKUP(2,1/(('Match Log'!$D$4:$D$1510=$V$24)*('Match Log'!$A$4:$A$1510&lt;=$J39)),'Match Log'!$N$4:$N$1510),NA()))</f>
        <v>#N/A</v>
      </c>
      <c r="W39" t="e">
        <f>IF($J39&gt;MAX('Match Log'!$A$4:$A$1510),NA(),IFERROR(LOOKUP(2,1/(('Match Log'!$D$4:$D$1510=$W$24)*('Match Log'!$A$4:$A$1510&lt;=$J39)),'Match Log'!$N$4:$N$1510),NA()))</f>
        <v>#N/A</v>
      </c>
      <c r="X39" t="e">
        <f>IF($J39&gt;MAX('Match Log'!$A$4:$A$1510),NA(),IFERROR(LOOKUP(2,1/(('Match Log'!$D$4:$D$1510=$X$24)*('Match Log'!$A$4:$A$1510&lt;=$J39)),'Match Log'!$N$4:$N$1510),NA()))</f>
        <v>#N/A</v>
      </c>
      <c r="Y39" t="str">
        <f t="shared" ca="1" si="19"/>
        <v/>
      </c>
    </row>
    <row r="40" spans="1:25" ht="15" customHeight="1" x14ac:dyDescent="0.2">
      <c r="A40">
        <v>16</v>
      </c>
      <c r="B40" s="138">
        <f>IFERROR(INDEX('Match Log'!$B$4:$B$1510,MATCH($A40,'Match Log'!$A$4:$A$1510,0)),"")</f>
        <v>46173</v>
      </c>
      <c r="C40" t="str">
        <f>IFERROR(INDEX('Match Log'!$C$4:$C$1510,MATCH($A40,'Match Log'!$A$4:$A$1510,0)),"")</f>
        <v>FIFA</v>
      </c>
      <c r="D40" t="str">
        <f t="array" ref="D40">IFERROR(_xlfn.TEXTJOIN(" + ",TRUE(),IF(('Match Log'!$A$4:$A$1510=$A40)*('Match Log'!$E$4:$E$1510="Win"),'Match Log'!$D$4:$D$1510,"")),IFERROR(LOOKUP(2,1/(('Match Log'!$A$4:$A$1510=$A40)*('Match Log'!$E$4:$E$1510="Win")),'Match Log'!$D$4:$D$1510),""))</f>
        <v>Daniel (Ferret)</v>
      </c>
      <c r="E40" s="139">
        <f>IFERROR(INDEX('Match Log'!$F$4:$F$1510,MATCH($A40,'Match Log'!$A$4:$A$1510,0)),"")</f>
        <v>2</v>
      </c>
      <c r="F40">
        <f>IFERROR(SUMIFS('Match Log'!$I$4:$I$1510,'Match Log'!$A$4:$A$1510,$A40,'Match Log'!$E$4:$E$1510,"Win"),"")</f>
        <v>0.44444444444444442</v>
      </c>
      <c r="G40">
        <f t="shared" si="17"/>
        <v>0.11111111111111116</v>
      </c>
      <c r="H40" t="str">
        <f t="array" ref="H40">IFERROR(IF(COUNTIFS('Match Log'!$A$4:$A$1510,$A40,'Match Log'!$E$4:$E$1510,"Win")&gt;1,_xlfn.TEXTJOIN(" + ",TRUE(),IF(('Match Log'!$A$4:$A$1510=$A40)*('Match Log'!$E$4:$E$1510="Loss"),'Match Log'!$D$4:$D$1510,"")),IF($E40=2,LOOKUP(2,1/(('Match Log'!$A$4:$A$1510=$A40)*('Match Log'!$E$4:$E$1510="Loss")),'Match Log'!$D$4:$D$1510),"the field")),"")</f>
        <v>Shawn</v>
      </c>
      <c r="I40">
        <f t="shared" si="18"/>
        <v>0.11109511111111116</v>
      </c>
      <c r="J40">
        <v>16</v>
      </c>
      <c r="K40">
        <f>IF($J40&gt;MAX('Match Log'!$A$4:$A$1510),NA(),IFERROR(LOOKUP(2,1/(('Match Log'!$D$4:$D$1510=$K$24)*('Match Log'!$A$4:$A$1510&lt;=$J40)),'Match Log'!$N$4:$N$1510),NA()))</f>
        <v>1034.5588790960981</v>
      </c>
      <c r="L40" t="e">
        <f>IF($J40&gt;MAX('Match Log'!$A$4:$A$1510),NA(),IFERROR(LOOKUP(2,1/(('Match Log'!$D$4:$D$1510=$L$24)*('Match Log'!$A$4:$A$1510&lt;=$J40)),'Match Log'!$N$4:$N$1510),NA()))</f>
        <v>#N/A</v>
      </c>
      <c r="M40">
        <f>IF($J40&gt;MAX('Match Log'!$A$4:$A$1510),NA(),IFERROR(LOOKUP(2,1/(('Match Log'!$D$4:$D$1510=$M$24)*('Match Log'!$A$4:$A$1510&lt;=$J40)),'Match Log'!$N$4:$N$1510),NA()))</f>
        <v>1004.2142857142857</v>
      </c>
      <c r="N40">
        <f>IF($J40&gt;MAX('Match Log'!$A$4:$A$1510),NA(),IFERROR(LOOKUP(2,1/(('Match Log'!$D$4:$D$1510=$N$24)*('Match Log'!$A$4:$A$1510&lt;=$J40)),'Match Log'!$N$4:$N$1510),NA()))</f>
        <v>1004.2142857142857</v>
      </c>
      <c r="O40">
        <f>IF($J40&gt;MAX('Match Log'!$A$4:$A$1510),NA(),IFERROR(LOOKUP(2,1/(('Match Log'!$D$4:$D$1510=$O$24)*('Match Log'!$A$4:$A$1510&lt;=$J40)),'Match Log'!$N$4:$N$1510),NA()))</f>
        <v>1083.4337354324246</v>
      </c>
      <c r="P40">
        <f>IF($J40&gt;MAX('Match Log'!$A$4:$A$1510),NA(),IFERROR(LOOKUP(2,1/(('Match Log'!$D$4:$D$1510=$P$24)*('Match Log'!$A$4:$A$1510&lt;=$J40)),'Match Log'!$N$4:$N$1510),NA()))</f>
        <v>1007.4743526549773</v>
      </c>
      <c r="Q40">
        <f>IF($J40&gt;MAX('Match Log'!$A$4:$A$1510),NA(),IFERROR(LOOKUP(2,1/(('Match Log'!$D$4:$D$1510=$Q$24)*('Match Log'!$A$4:$A$1510&lt;=$J40)),'Match Log'!$N$4:$N$1510),NA()))</f>
        <v>1004.2142857142857</v>
      </c>
      <c r="R40">
        <f>IF($J40&gt;MAX('Match Log'!$A$4:$A$1510),NA(),IFERROR(LOOKUP(2,1/(('Match Log'!$D$4:$D$1510=$R$24)*('Match Log'!$A$4:$A$1510&lt;=$J40)),'Match Log'!$N$4:$N$1510),NA()))</f>
        <v>992.01341486453282</v>
      </c>
      <c r="S40" t="e">
        <f>IF($J40&gt;MAX('Match Log'!$A$4:$A$1510),NA(),IFERROR(LOOKUP(2,1/(('Match Log'!$D$4:$D$1510=$S$24)*('Match Log'!$A$4:$A$1510&lt;=$J40)),'Match Log'!$N$4:$N$1510),NA()))</f>
        <v>#N/A</v>
      </c>
      <c r="T40">
        <f>IF($J40&gt;MAX('Match Log'!$A$4:$A$1510),NA(),IFERROR(LOOKUP(2,1/(('Match Log'!$D$4:$D$1510=$T$24)*('Match Log'!$A$4:$A$1510&lt;=$J40)),'Match Log'!$N$4:$N$1510),NA()))</f>
        <v>947.60327900388552</v>
      </c>
      <c r="U40">
        <f>IF($J40&gt;MAX('Match Log'!$A$4:$A$1510),NA(),IFERROR(LOOKUP(2,1/(('Match Log'!$D$4:$D$1510=$U$24)*('Match Log'!$A$4:$A$1510&lt;=$J40)),'Match Log'!$N$4:$N$1510),NA()))</f>
        <v>995.27348180522449</v>
      </c>
      <c r="V40" t="e">
        <f>IF($J40&gt;MAX('Match Log'!$A$4:$A$1510),NA(),IFERROR(LOOKUP(2,1/(('Match Log'!$D$4:$D$1510=$V$24)*('Match Log'!$A$4:$A$1510&lt;=$J40)),'Match Log'!$N$4:$N$1510),NA()))</f>
        <v>#N/A</v>
      </c>
      <c r="W40" t="e">
        <f>IF($J40&gt;MAX('Match Log'!$A$4:$A$1510),NA(),IFERROR(LOOKUP(2,1/(('Match Log'!$D$4:$D$1510=$W$24)*('Match Log'!$A$4:$A$1510&lt;=$J40)),'Match Log'!$N$4:$N$1510),NA()))</f>
        <v>#N/A</v>
      </c>
      <c r="X40" t="e">
        <f>IF($J40&gt;MAX('Match Log'!$A$4:$A$1510),NA(),IFERROR(LOOKUP(2,1/(('Match Log'!$D$4:$D$1510=$X$24)*('Match Log'!$A$4:$A$1510&lt;=$J40)),'Match Log'!$N$4:$N$1510),NA()))</f>
        <v>#N/A</v>
      </c>
      <c r="Y40" t="str">
        <f t="shared" ca="1" si="19"/>
        <v/>
      </c>
    </row>
    <row r="41" spans="1:25" ht="15" customHeight="1" x14ac:dyDescent="0.2">
      <c r="A41">
        <v>17</v>
      </c>
      <c r="B41" s="138">
        <f>IFERROR(INDEX('Match Log'!$B$4:$B$1510,MATCH($A41,'Match Log'!$A$4:$A$1510,0)),"")</f>
        <v>46175</v>
      </c>
      <c r="C41" t="str">
        <f>IFERROR(INDEX('Match Log'!$C$4:$C$1510,MATCH($A41,'Match Log'!$A$4:$A$1510,0)),"")</f>
        <v>FIFA</v>
      </c>
      <c r="D41" t="str">
        <f t="array" ref="D41">IFERROR(_xlfn.TEXTJOIN(" + ",TRUE(),IF(('Match Log'!$A$4:$A$1510=$A41)*('Match Log'!$E$4:$E$1510="Win"),'Match Log'!$D$4:$D$1510,"")),IFERROR(LOOKUP(2,1/(('Match Log'!$A$4:$A$1510=$A41)*('Match Log'!$E$4:$E$1510="Win")),'Match Log'!$D$4:$D$1510),""))</f>
        <v>Aaron</v>
      </c>
      <c r="E41" s="139">
        <f>IFERROR(INDEX('Match Log'!$F$4:$F$1510,MATCH($A41,'Match Log'!$A$4:$A$1510,0)),"")</f>
        <v>2</v>
      </c>
      <c r="F41">
        <f>IFERROR(SUMIFS('Match Log'!$I$4:$I$1510,'Match Log'!$A$4:$A$1510,$A41,'Match Log'!$E$4:$E$1510,"Win"),"")</f>
        <v>0.5</v>
      </c>
      <c r="G41">
        <f t="shared" si="17"/>
        <v>0</v>
      </c>
      <c r="H41" t="str">
        <f t="array" ref="H41">IFERROR(IF(COUNTIFS('Match Log'!$A$4:$A$1510,$A41,'Match Log'!$E$4:$E$1510,"Win")&gt;1,_xlfn.TEXTJOIN(" + ",TRUE(),IF(('Match Log'!$A$4:$A$1510=$A41)*('Match Log'!$E$4:$E$1510="Loss"),'Match Log'!$D$4:$D$1510,"")),IF($E41=2,LOOKUP(2,1/(('Match Log'!$A$4:$A$1510=$A41)*('Match Log'!$E$4:$E$1510="Loss")),'Match Log'!$D$4:$D$1510),"the field")),"")</f>
        <v>Josh</v>
      </c>
      <c r="I41">
        <f t="shared" si="18"/>
        <v>-1.7E-5</v>
      </c>
      <c r="J41">
        <v>17</v>
      </c>
      <c r="K41">
        <f>IF($J41&gt;MAX('Match Log'!$A$4:$A$1510),NA(),IFERROR(LOOKUP(2,1/(('Match Log'!$D$4:$D$1510=$K$24)*('Match Log'!$A$4:$A$1510&lt;=$J41)),'Match Log'!$N$4:$N$1510),NA()))</f>
        <v>1058.7949192140873</v>
      </c>
      <c r="L41" t="e">
        <f>IF($J41&gt;MAX('Match Log'!$A$4:$A$1510),NA(),IFERROR(LOOKUP(2,1/(('Match Log'!$D$4:$D$1510=$L$24)*('Match Log'!$A$4:$A$1510&lt;=$J41)),'Match Log'!$N$4:$N$1510),NA()))</f>
        <v>#N/A</v>
      </c>
      <c r="M41">
        <f>IF($J41&gt;MAX('Match Log'!$A$4:$A$1510),NA(),IFERROR(LOOKUP(2,1/(('Match Log'!$D$4:$D$1510=$M$24)*('Match Log'!$A$4:$A$1510&lt;=$J41)),'Match Log'!$N$4:$N$1510),NA()))</f>
        <v>1004.2142857142857</v>
      </c>
      <c r="N41">
        <f>IF($J41&gt;MAX('Match Log'!$A$4:$A$1510),NA(),IFERROR(LOOKUP(2,1/(('Match Log'!$D$4:$D$1510=$N$24)*('Match Log'!$A$4:$A$1510&lt;=$J41)),'Match Log'!$N$4:$N$1510),NA()))</f>
        <v>1004.2142857142857</v>
      </c>
      <c r="O41">
        <f>IF($J41&gt;MAX('Match Log'!$A$4:$A$1510),NA(),IFERROR(LOOKUP(2,1/(('Match Log'!$D$4:$D$1510=$O$24)*('Match Log'!$A$4:$A$1510&lt;=$J41)),'Match Log'!$N$4:$N$1510),NA()))</f>
        <v>1059.1976953144354</v>
      </c>
      <c r="P41">
        <f>IF($J41&gt;MAX('Match Log'!$A$4:$A$1510),NA(),IFERROR(LOOKUP(2,1/(('Match Log'!$D$4:$D$1510=$P$24)*('Match Log'!$A$4:$A$1510&lt;=$J41)),'Match Log'!$N$4:$N$1510),NA()))</f>
        <v>1007.4743526549773</v>
      </c>
      <c r="Q41">
        <f>IF($J41&gt;MAX('Match Log'!$A$4:$A$1510),NA(),IFERROR(LOOKUP(2,1/(('Match Log'!$D$4:$D$1510=$Q$24)*('Match Log'!$A$4:$A$1510&lt;=$J41)),'Match Log'!$N$4:$N$1510),NA()))</f>
        <v>1004.2142857142857</v>
      </c>
      <c r="R41">
        <f>IF($J41&gt;MAX('Match Log'!$A$4:$A$1510),NA(),IFERROR(LOOKUP(2,1/(('Match Log'!$D$4:$D$1510=$R$24)*('Match Log'!$A$4:$A$1510&lt;=$J41)),'Match Log'!$N$4:$N$1510),NA()))</f>
        <v>992.01341486453282</v>
      </c>
      <c r="S41" t="e">
        <f>IF($J41&gt;MAX('Match Log'!$A$4:$A$1510),NA(),IFERROR(LOOKUP(2,1/(('Match Log'!$D$4:$D$1510=$S$24)*('Match Log'!$A$4:$A$1510&lt;=$J41)),'Match Log'!$N$4:$N$1510),NA()))</f>
        <v>#N/A</v>
      </c>
      <c r="T41">
        <f>IF($J41&gt;MAX('Match Log'!$A$4:$A$1510),NA(),IFERROR(LOOKUP(2,1/(('Match Log'!$D$4:$D$1510=$T$24)*('Match Log'!$A$4:$A$1510&lt;=$J41)),'Match Log'!$N$4:$N$1510),NA()))</f>
        <v>947.60327900388552</v>
      </c>
      <c r="U41">
        <f>IF($J41&gt;MAX('Match Log'!$A$4:$A$1510),NA(),IFERROR(LOOKUP(2,1/(('Match Log'!$D$4:$D$1510=$U$24)*('Match Log'!$A$4:$A$1510&lt;=$J41)),'Match Log'!$N$4:$N$1510),NA()))</f>
        <v>995.27348180522449</v>
      </c>
      <c r="V41" t="e">
        <f>IF($J41&gt;MAX('Match Log'!$A$4:$A$1510),NA(),IFERROR(LOOKUP(2,1/(('Match Log'!$D$4:$D$1510=$V$24)*('Match Log'!$A$4:$A$1510&lt;=$J41)),'Match Log'!$N$4:$N$1510),NA()))</f>
        <v>#N/A</v>
      </c>
      <c r="W41" t="e">
        <f>IF($J41&gt;MAX('Match Log'!$A$4:$A$1510),NA(),IFERROR(LOOKUP(2,1/(('Match Log'!$D$4:$D$1510=$W$24)*('Match Log'!$A$4:$A$1510&lt;=$J41)),'Match Log'!$N$4:$N$1510),NA()))</f>
        <v>#N/A</v>
      </c>
      <c r="X41" t="e">
        <f>IF($J41&gt;MAX('Match Log'!$A$4:$A$1510),NA(),IFERROR(LOOKUP(2,1/(('Match Log'!$D$4:$D$1510=$X$24)*('Match Log'!$A$4:$A$1510&lt;=$J41)),'Match Log'!$N$4:$N$1510),NA()))</f>
        <v>#N/A</v>
      </c>
      <c r="Y41" t="str">
        <f t="shared" ca="1" si="19"/>
        <v/>
      </c>
    </row>
    <row r="42" spans="1:25" ht="15" customHeight="1" x14ac:dyDescent="0.2">
      <c r="A42">
        <v>18</v>
      </c>
      <c r="B42" s="138">
        <f>IFERROR(INDEX('Match Log'!$B$4:$B$1510,MATCH($A42,'Match Log'!$A$4:$A$1510,0)),"")</f>
        <v>46175</v>
      </c>
      <c r="C42" t="str">
        <f>IFERROR(INDEX('Match Log'!$C$4:$C$1510,MATCH($A42,'Match Log'!$A$4:$A$1510,0)),"")</f>
        <v>FIFA</v>
      </c>
      <c r="D42" t="str">
        <f t="array" ref="D42">IFERROR(_xlfn.TEXTJOIN(" + ",TRUE(),IF(('Match Log'!$A$4:$A$1510=$A42)*('Match Log'!$E$4:$E$1510="Win"),'Match Log'!$D$4:$D$1510,"")),IFERROR(LOOKUP(2,1/(('Match Log'!$A$4:$A$1510=$A42)*('Match Log'!$E$4:$E$1510="Win")),'Match Log'!$D$4:$D$1510),""))</f>
        <v>Aaron</v>
      </c>
      <c r="E42" s="139">
        <f>IFERROR(INDEX('Match Log'!$F$4:$F$1510,MATCH($A42,'Match Log'!$A$4:$A$1510,0)),"")</f>
        <v>2</v>
      </c>
      <c r="F42">
        <f>IFERROR(SUMIFS('Match Log'!$I$4:$I$1510,'Match Log'!$A$4:$A$1510,$A42,'Match Log'!$E$4:$E$1510,"Win"),"")</f>
        <v>0.57142857142857151</v>
      </c>
      <c r="G42">
        <f t="shared" si="17"/>
        <v>-0.14285714285714302</v>
      </c>
      <c r="H42" t="str">
        <f t="array" ref="H42">IFERROR(IF(COUNTIFS('Match Log'!$A$4:$A$1510,$A42,'Match Log'!$E$4:$E$1510,"Win")&gt;1,_xlfn.TEXTJOIN(" + ",TRUE(),IF(('Match Log'!$A$4:$A$1510=$A42)*('Match Log'!$E$4:$E$1510="Loss"),'Match Log'!$D$4:$D$1510,"")),IF($E42=2,LOOKUP(2,1/(('Match Log'!$A$4:$A$1510=$A42)*('Match Log'!$E$4:$E$1510="Loss")),'Match Log'!$D$4:$D$1510),"the field")),"")</f>
        <v>Chase</v>
      </c>
      <c r="I42">
        <f t="shared" si="18"/>
        <v>-0.14287514285714301</v>
      </c>
      <c r="J42">
        <v>18</v>
      </c>
      <c r="K42">
        <f>IF($J42&gt;MAX('Match Log'!$A$4:$A$1510),NA(),IFERROR(LOOKUP(2,1/(('Match Log'!$D$4:$D$1510=$K$24)*('Match Log'!$A$4:$A$1510&lt;=$J42)),'Match Log'!$N$4:$N$1510),NA()))</f>
        <v>1077.7661920432645</v>
      </c>
      <c r="L42" t="e">
        <f>IF($J42&gt;MAX('Match Log'!$A$4:$A$1510),NA(),IFERROR(LOOKUP(2,1/(('Match Log'!$D$4:$D$1510=$L$24)*('Match Log'!$A$4:$A$1510&lt;=$J42)),'Match Log'!$N$4:$N$1510),NA()))</f>
        <v>#N/A</v>
      </c>
      <c r="M42">
        <f>IF($J42&gt;MAX('Match Log'!$A$4:$A$1510),NA(),IFERROR(LOOKUP(2,1/(('Match Log'!$D$4:$D$1510=$M$24)*('Match Log'!$A$4:$A$1510&lt;=$J42)),'Match Log'!$N$4:$N$1510),NA()))</f>
        <v>985.24301288510833</v>
      </c>
      <c r="N42">
        <f>IF($J42&gt;MAX('Match Log'!$A$4:$A$1510),NA(),IFERROR(LOOKUP(2,1/(('Match Log'!$D$4:$D$1510=$N$24)*('Match Log'!$A$4:$A$1510&lt;=$J42)),'Match Log'!$N$4:$N$1510),NA()))</f>
        <v>1004.2142857142857</v>
      </c>
      <c r="O42">
        <f>IF($J42&gt;MAX('Match Log'!$A$4:$A$1510),NA(),IFERROR(LOOKUP(2,1/(('Match Log'!$D$4:$D$1510=$O$24)*('Match Log'!$A$4:$A$1510&lt;=$J42)),'Match Log'!$N$4:$N$1510),NA()))</f>
        <v>1059.1976953144354</v>
      </c>
      <c r="P42">
        <f>IF($J42&gt;MAX('Match Log'!$A$4:$A$1510),NA(),IFERROR(LOOKUP(2,1/(('Match Log'!$D$4:$D$1510=$P$24)*('Match Log'!$A$4:$A$1510&lt;=$J42)),'Match Log'!$N$4:$N$1510),NA()))</f>
        <v>1007.4743526549773</v>
      </c>
      <c r="Q42">
        <f>IF($J42&gt;MAX('Match Log'!$A$4:$A$1510),NA(),IFERROR(LOOKUP(2,1/(('Match Log'!$D$4:$D$1510=$Q$24)*('Match Log'!$A$4:$A$1510&lt;=$J42)),'Match Log'!$N$4:$N$1510),NA()))</f>
        <v>1004.2142857142857</v>
      </c>
      <c r="R42">
        <f>IF($J42&gt;MAX('Match Log'!$A$4:$A$1510),NA(),IFERROR(LOOKUP(2,1/(('Match Log'!$D$4:$D$1510=$R$24)*('Match Log'!$A$4:$A$1510&lt;=$J42)),'Match Log'!$N$4:$N$1510),NA()))</f>
        <v>992.01341486453282</v>
      </c>
      <c r="S42" t="e">
        <f>IF($J42&gt;MAX('Match Log'!$A$4:$A$1510),NA(),IFERROR(LOOKUP(2,1/(('Match Log'!$D$4:$D$1510=$S$24)*('Match Log'!$A$4:$A$1510&lt;=$J42)),'Match Log'!$N$4:$N$1510),NA()))</f>
        <v>#N/A</v>
      </c>
      <c r="T42">
        <f>IF($J42&gt;MAX('Match Log'!$A$4:$A$1510),NA(),IFERROR(LOOKUP(2,1/(('Match Log'!$D$4:$D$1510=$T$24)*('Match Log'!$A$4:$A$1510&lt;=$J42)),'Match Log'!$N$4:$N$1510),NA()))</f>
        <v>947.60327900388552</v>
      </c>
      <c r="U42">
        <f>IF($J42&gt;MAX('Match Log'!$A$4:$A$1510),NA(),IFERROR(LOOKUP(2,1/(('Match Log'!$D$4:$D$1510=$U$24)*('Match Log'!$A$4:$A$1510&lt;=$J42)),'Match Log'!$N$4:$N$1510),NA()))</f>
        <v>995.27348180522449</v>
      </c>
      <c r="V42" t="e">
        <f>IF($J42&gt;MAX('Match Log'!$A$4:$A$1510),NA(),IFERROR(LOOKUP(2,1/(('Match Log'!$D$4:$D$1510=$V$24)*('Match Log'!$A$4:$A$1510&lt;=$J42)),'Match Log'!$N$4:$N$1510),NA()))</f>
        <v>#N/A</v>
      </c>
      <c r="W42" t="e">
        <f>IF($J42&gt;MAX('Match Log'!$A$4:$A$1510),NA(),IFERROR(LOOKUP(2,1/(('Match Log'!$D$4:$D$1510=$W$24)*('Match Log'!$A$4:$A$1510&lt;=$J42)),'Match Log'!$N$4:$N$1510),NA()))</f>
        <v>#N/A</v>
      </c>
      <c r="X42" t="e">
        <f>IF($J42&gt;MAX('Match Log'!$A$4:$A$1510),NA(),IFERROR(LOOKUP(2,1/(('Match Log'!$D$4:$D$1510=$X$24)*('Match Log'!$A$4:$A$1510&lt;=$J42)),'Match Log'!$N$4:$N$1510),NA()))</f>
        <v>#N/A</v>
      </c>
      <c r="Y42" t="str">
        <f t="shared" ca="1" si="19"/>
        <v/>
      </c>
    </row>
    <row r="43" spans="1:25" ht="15" customHeight="1" x14ac:dyDescent="0.2">
      <c r="A43">
        <v>19</v>
      </c>
      <c r="B43" s="138">
        <f>IFERROR(INDEX('Match Log'!$B$4:$B$1510,MATCH($A43,'Match Log'!$A$4:$A$1510,0)),"")</f>
        <v>46175</v>
      </c>
      <c r="C43" t="str">
        <f>IFERROR(INDEX('Match Log'!$C$4:$C$1510,MATCH($A43,'Match Log'!$A$4:$A$1510,0)),"")</f>
        <v>FIFA</v>
      </c>
      <c r="D43" t="str">
        <f t="array" ref="D43">IFERROR(_xlfn.TEXTJOIN(" + ",TRUE(),IF(('Match Log'!$A$4:$A$1510=$A43)*('Match Log'!$E$4:$E$1510="Win"),'Match Log'!$D$4:$D$1510,"")),IFERROR(LOOKUP(2,1/(('Match Log'!$A$4:$A$1510=$A43)*('Match Log'!$E$4:$E$1510="Win")),'Match Log'!$D$4:$D$1510),""))</f>
        <v>Aaron</v>
      </c>
      <c r="E43" s="139">
        <f>IFERROR(INDEX('Match Log'!$F$4:$F$1510,MATCH($A43,'Match Log'!$A$4:$A$1510,0)),"")</f>
        <v>2</v>
      </c>
      <c r="F43">
        <f>IFERROR(SUMIFS('Match Log'!$I$4:$I$1510,'Match Log'!$A$4:$A$1510,$A43,'Match Log'!$E$4:$E$1510,"Win"),"")</f>
        <v>0.6</v>
      </c>
      <c r="G43">
        <f t="shared" si="17"/>
        <v>-0.19999999999999996</v>
      </c>
      <c r="H43" t="str">
        <f t="array" ref="H43">IFERROR(IF(COUNTIFS('Match Log'!$A$4:$A$1510,$A43,'Match Log'!$E$4:$E$1510,"Win")&gt;1,_xlfn.TEXTJOIN(" + ",TRUE(),IF(('Match Log'!$A$4:$A$1510=$A43)*('Match Log'!$E$4:$E$1510="Loss"),'Match Log'!$D$4:$D$1510,"")),IF($E43=2,LOOKUP(2,1/(('Match Log'!$A$4:$A$1510=$A43)*('Match Log'!$E$4:$E$1510="Loss")),'Match Log'!$D$4:$D$1510),"the field")),"")</f>
        <v>Daniel (Ferret)</v>
      </c>
      <c r="I43">
        <f t="shared" si="18"/>
        <v>-0.20001899999999995</v>
      </c>
      <c r="J43">
        <v>19</v>
      </c>
      <c r="K43">
        <f>IF($J43&gt;MAX('Match Log'!$A$4:$A$1510),NA(),IFERROR(LOOKUP(2,1/(('Match Log'!$D$4:$D$1510=$K$24)*('Match Log'!$A$4:$A$1510&lt;=$J43)),'Match Log'!$N$4:$N$1510),NA()))</f>
        <v>1095.9194321262312</v>
      </c>
      <c r="L43" t="e">
        <f>IF($J43&gt;MAX('Match Log'!$A$4:$A$1510),NA(),IFERROR(LOOKUP(2,1/(('Match Log'!$D$4:$D$1510=$L$24)*('Match Log'!$A$4:$A$1510&lt;=$J43)),'Match Log'!$N$4:$N$1510),NA()))</f>
        <v>#N/A</v>
      </c>
      <c r="M43">
        <f>IF($J43&gt;MAX('Match Log'!$A$4:$A$1510),NA(),IFERROR(LOOKUP(2,1/(('Match Log'!$D$4:$D$1510=$M$24)*('Match Log'!$A$4:$A$1510&lt;=$J43)),'Match Log'!$N$4:$N$1510),NA()))</f>
        <v>985.24301288510833</v>
      </c>
      <c r="N43">
        <f>IF($J43&gt;MAX('Match Log'!$A$4:$A$1510),NA(),IFERROR(LOOKUP(2,1/(('Match Log'!$D$4:$D$1510=$N$24)*('Match Log'!$A$4:$A$1510&lt;=$J43)),'Match Log'!$N$4:$N$1510),NA()))</f>
        <v>1004.2142857142857</v>
      </c>
      <c r="O43">
        <f>IF($J43&gt;MAX('Match Log'!$A$4:$A$1510),NA(),IFERROR(LOOKUP(2,1/(('Match Log'!$D$4:$D$1510=$O$24)*('Match Log'!$A$4:$A$1510&lt;=$J43)),'Match Log'!$N$4:$N$1510),NA()))</f>
        <v>1059.1976953144354</v>
      </c>
      <c r="P43">
        <f>IF($J43&gt;MAX('Match Log'!$A$4:$A$1510),NA(),IFERROR(LOOKUP(2,1/(('Match Log'!$D$4:$D$1510=$P$24)*('Match Log'!$A$4:$A$1510&lt;=$J43)),'Match Log'!$N$4:$N$1510),NA()))</f>
        <v>1007.4743526549773</v>
      </c>
      <c r="Q43">
        <f>IF($J43&gt;MAX('Match Log'!$A$4:$A$1510),NA(),IFERROR(LOOKUP(2,1/(('Match Log'!$D$4:$D$1510=$Q$24)*('Match Log'!$A$4:$A$1510&lt;=$J43)),'Match Log'!$N$4:$N$1510),NA()))</f>
        <v>1004.2142857142857</v>
      </c>
      <c r="R43">
        <f>IF($J43&gt;MAX('Match Log'!$A$4:$A$1510),NA(),IFERROR(LOOKUP(2,1/(('Match Log'!$D$4:$D$1510=$R$24)*('Match Log'!$A$4:$A$1510&lt;=$J43)),'Match Log'!$N$4:$N$1510),NA()))</f>
        <v>973.86017478156612</v>
      </c>
      <c r="S43" t="e">
        <f>IF($J43&gt;MAX('Match Log'!$A$4:$A$1510),NA(),IFERROR(LOOKUP(2,1/(('Match Log'!$D$4:$D$1510=$S$24)*('Match Log'!$A$4:$A$1510&lt;=$J43)),'Match Log'!$N$4:$N$1510),NA()))</f>
        <v>#N/A</v>
      </c>
      <c r="T43">
        <f>IF($J43&gt;MAX('Match Log'!$A$4:$A$1510),NA(),IFERROR(LOOKUP(2,1/(('Match Log'!$D$4:$D$1510=$T$24)*('Match Log'!$A$4:$A$1510&lt;=$J43)),'Match Log'!$N$4:$N$1510),NA()))</f>
        <v>947.60327900388552</v>
      </c>
      <c r="U43">
        <f>IF($J43&gt;MAX('Match Log'!$A$4:$A$1510),NA(),IFERROR(LOOKUP(2,1/(('Match Log'!$D$4:$D$1510=$U$24)*('Match Log'!$A$4:$A$1510&lt;=$J43)),'Match Log'!$N$4:$N$1510),NA()))</f>
        <v>995.27348180522449</v>
      </c>
      <c r="V43" t="e">
        <f>IF($J43&gt;MAX('Match Log'!$A$4:$A$1510),NA(),IFERROR(LOOKUP(2,1/(('Match Log'!$D$4:$D$1510=$V$24)*('Match Log'!$A$4:$A$1510&lt;=$J43)),'Match Log'!$N$4:$N$1510),NA()))</f>
        <v>#N/A</v>
      </c>
      <c r="W43" t="e">
        <f>IF($J43&gt;MAX('Match Log'!$A$4:$A$1510),NA(),IFERROR(LOOKUP(2,1/(('Match Log'!$D$4:$D$1510=$W$24)*('Match Log'!$A$4:$A$1510&lt;=$J43)),'Match Log'!$N$4:$N$1510),NA()))</f>
        <v>#N/A</v>
      </c>
      <c r="X43" t="e">
        <f>IF($J43&gt;MAX('Match Log'!$A$4:$A$1510),NA(),IFERROR(LOOKUP(2,1/(('Match Log'!$D$4:$D$1510=$X$24)*('Match Log'!$A$4:$A$1510&lt;=$J43)),'Match Log'!$N$4:$N$1510),NA()))</f>
        <v>#N/A</v>
      </c>
      <c r="Y43" t="str">
        <f t="shared" ca="1" si="19"/>
        <v/>
      </c>
    </row>
    <row r="44" spans="1:25" ht="15" customHeight="1" x14ac:dyDescent="0.2">
      <c r="A44">
        <v>20</v>
      </c>
      <c r="B44" s="138">
        <f>IFERROR(INDEX('Match Log'!$B$4:$B$1510,MATCH($A44,'Match Log'!$A$4:$A$1510,0)),"")</f>
        <v>46175</v>
      </c>
      <c r="C44" t="str">
        <f>IFERROR(INDEX('Match Log'!$C$4:$C$1510,MATCH($A44,'Match Log'!$A$4:$A$1510,0)),"")</f>
        <v>Mario Golf</v>
      </c>
      <c r="D44" t="str">
        <f t="array" ref="D44">IFERROR(_xlfn.TEXTJOIN(" + ",TRUE(),IF(('Match Log'!$A$4:$A$1510=$A44)*('Match Log'!$E$4:$E$1510="Win"),'Match Log'!$D$4:$D$1510,"")),IFERROR(LOOKUP(2,1/(('Match Log'!$A$4:$A$1510=$A44)*('Match Log'!$E$4:$E$1510="Win")),'Match Log'!$D$4:$D$1510),""))</f>
        <v>Chase</v>
      </c>
      <c r="E44" s="139">
        <f>IFERROR(INDEX('Match Log'!$F$4:$F$1510,MATCH($A44,'Match Log'!$A$4:$A$1510,0)),"")</f>
        <v>2</v>
      </c>
      <c r="F44">
        <f>IFERROR(SUMIFS('Match Log'!$I$4:$I$1510,'Match Log'!$A$4:$A$1510,$A44,'Match Log'!$E$4:$E$1510,"Win"),"")</f>
        <v>0.5</v>
      </c>
      <c r="G44">
        <f t="shared" si="17"/>
        <v>0</v>
      </c>
      <c r="H44" t="str">
        <f t="array" ref="H44">IFERROR(IF(COUNTIFS('Match Log'!$A$4:$A$1510,$A44,'Match Log'!$E$4:$E$1510,"Win")&gt;1,_xlfn.TEXTJOIN(" + ",TRUE(),IF(('Match Log'!$A$4:$A$1510=$A44)*('Match Log'!$E$4:$E$1510="Loss"),'Match Log'!$D$4:$D$1510,"")),IF($E44=2,LOOKUP(2,1/(('Match Log'!$A$4:$A$1510=$A44)*('Match Log'!$E$4:$E$1510="Loss")),'Match Log'!$D$4:$D$1510),"the field")),"")</f>
        <v>Daniel (Ferret)</v>
      </c>
      <c r="I44">
        <f t="shared" si="18"/>
        <v>-2.0000000000000002E-5</v>
      </c>
      <c r="J44">
        <v>20</v>
      </c>
      <c r="K44">
        <f>IF($J44&gt;MAX('Match Log'!$A$4:$A$1510),NA(),IFERROR(LOOKUP(2,1/(('Match Log'!$D$4:$D$1510=$K$24)*('Match Log'!$A$4:$A$1510&lt;=$J44)),'Match Log'!$N$4:$N$1510),NA()))</f>
        <v>1095.9194321262312</v>
      </c>
      <c r="L44" t="e">
        <f>IF($J44&gt;MAX('Match Log'!$A$4:$A$1510),NA(),IFERROR(LOOKUP(2,1/(('Match Log'!$D$4:$D$1510=$L$24)*('Match Log'!$A$4:$A$1510&lt;=$J44)),'Match Log'!$N$4:$N$1510),NA()))</f>
        <v>#N/A</v>
      </c>
      <c r="M44">
        <f>IF($J44&gt;MAX('Match Log'!$A$4:$A$1510),NA(),IFERROR(LOOKUP(2,1/(('Match Log'!$D$4:$D$1510=$M$24)*('Match Log'!$A$4:$A$1510&lt;=$J44)),'Match Log'!$N$4:$N$1510),NA()))</f>
        <v>1006.7190012924622</v>
      </c>
      <c r="N44">
        <f>IF($J44&gt;MAX('Match Log'!$A$4:$A$1510),NA(),IFERROR(LOOKUP(2,1/(('Match Log'!$D$4:$D$1510=$N$24)*('Match Log'!$A$4:$A$1510&lt;=$J44)),'Match Log'!$N$4:$N$1510),NA()))</f>
        <v>1004.2142857142857</v>
      </c>
      <c r="O44">
        <f>IF($J44&gt;MAX('Match Log'!$A$4:$A$1510),NA(),IFERROR(LOOKUP(2,1/(('Match Log'!$D$4:$D$1510=$O$24)*('Match Log'!$A$4:$A$1510&lt;=$J44)),'Match Log'!$N$4:$N$1510),NA()))</f>
        <v>1059.1976953144354</v>
      </c>
      <c r="P44">
        <f>IF($J44&gt;MAX('Match Log'!$A$4:$A$1510),NA(),IFERROR(LOOKUP(2,1/(('Match Log'!$D$4:$D$1510=$P$24)*('Match Log'!$A$4:$A$1510&lt;=$J44)),'Match Log'!$N$4:$N$1510),NA()))</f>
        <v>1007.4743526549773</v>
      </c>
      <c r="Q44">
        <f>IF($J44&gt;MAX('Match Log'!$A$4:$A$1510),NA(),IFERROR(LOOKUP(2,1/(('Match Log'!$D$4:$D$1510=$Q$24)*('Match Log'!$A$4:$A$1510&lt;=$J44)),'Match Log'!$N$4:$N$1510),NA()))</f>
        <v>1004.2142857142857</v>
      </c>
      <c r="R44">
        <f>IF($J44&gt;MAX('Match Log'!$A$4:$A$1510),NA(),IFERROR(LOOKUP(2,1/(('Match Log'!$D$4:$D$1510=$R$24)*('Match Log'!$A$4:$A$1510&lt;=$J44)),'Match Log'!$N$4:$N$1510),NA()))</f>
        <v>952.38418637421228</v>
      </c>
      <c r="S44" t="e">
        <f>IF($J44&gt;MAX('Match Log'!$A$4:$A$1510),NA(),IFERROR(LOOKUP(2,1/(('Match Log'!$D$4:$D$1510=$S$24)*('Match Log'!$A$4:$A$1510&lt;=$J44)),'Match Log'!$N$4:$N$1510),NA()))</f>
        <v>#N/A</v>
      </c>
      <c r="T44">
        <f>IF($J44&gt;MAX('Match Log'!$A$4:$A$1510),NA(),IFERROR(LOOKUP(2,1/(('Match Log'!$D$4:$D$1510=$T$24)*('Match Log'!$A$4:$A$1510&lt;=$J44)),'Match Log'!$N$4:$N$1510),NA()))</f>
        <v>947.60327900388552</v>
      </c>
      <c r="U44">
        <f>IF($J44&gt;MAX('Match Log'!$A$4:$A$1510),NA(),IFERROR(LOOKUP(2,1/(('Match Log'!$D$4:$D$1510=$U$24)*('Match Log'!$A$4:$A$1510&lt;=$J44)),'Match Log'!$N$4:$N$1510),NA()))</f>
        <v>995.27348180522449</v>
      </c>
      <c r="V44" t="e">
        <f>IF($J44&gt;MAX('Match Log'!$A$4:$A$1510),NA(),IFERROR(LOOKUP(2,1/(('Match Log'!$D$4:$D$1510=$V$24)*('Match Log'!$A$4:$A$1510&lt;=$J44)),'Match Log'!$N$4:$N$1510),NA()))</f>
        <v>#N/A</v>
      </c>
      <c r="W44" t="e">
        <f>IF($J44&gt;MAX('Match Log'!$A$4:$A$1510),NA(),IFERROR(LOOKUP(2,1/(('Match Log'!$D$4:$D$1510=$W$24)*('Match Log'!$A$4:$A$1510&lt;=$J44)),'Match Log'!$N$4:$N$1510),NA()))</f>
        <v>#N/A</v>
      </c>
      <c r="X44" t="e">
        <f>IF($J44&gt;MAX('Match Log'!$A$4:$A$1510),NA(),IFERROR(LOOKUP(2,1/(('Match Log'!$D$4:$D$1510=$X$24)*('Match Log'!$A$4:$A$1510&lt;=$J44)),'Match Log'!$N$4:$N$1510),NA()))</f>
        <v>#N/A</v>
      </c>
      <c r="Y44" t="str">
        <f t="shared" ca="1" si="19"/>
        <v/>
      </c>
    </row>
    <row r="45" spans="1:25" ht="15" customHeight="1" x14ac:dyDescent="0.2">
      <c r="A45">
        <v>21</v>
      </c>
      <c r="B45" s="138">
        <f>IFERROR(INDEX('Match Log'!$B$4:$B$1510,MATCH($A45,'Match Log'!$A$4:$A$1510,0)),"")</f>
        <v>46175</v>
      </c>
      <c r="C45" t="str">
        <f>IFERROR(INDEX('Match Log'!$C$4:$C$1510,MATCH($A45,'Match Log'!$A$4:$A$1510,0)),"")</f>
        <v>Mario Golf</v>
      </c>
      <c r="D45" t="str">
        <f t="array" ref="D45">IFERROR(_xlfn.TEXTJOIN(" + ",TRUE(),IF(('Match Log'!$A$4:$A$1510=$A45)*('Match Log'!$E$4:$E$1510="Win"),'Match Log'!$D$4:$D$1510,"")),IFERROR(LOOKUP(2,1/(('Match Log'!$A$4:$A$1510=$A45)*('Match Log'!$E$4:$E$1510="Win")),'Match Log'!$D$4:$D$1510),""))</f>
        <v>Chase</v>
      </c>
      <c r="E45" s="139">
        <f>IFERROR(INDEX('Match Log'!$F$4:$F$1510,MATCH($A45,'Match Log'!$A$4:$A$1510,0)),"")</f>
        <v>2</v>
      </c>
      <c r="F45">
        <f>IFERROR(SUMIFS('Match Log'!$I$4:$I$1510,'Match Log'!$A$4:$A$1510,$A45,'Match Log'!$E$4:$E$1510,"Win"),"")</f>
        <v>0.66666666666666663</v>
      </c>
      <c r="G45">
        <f t="shared" si="17"/>
        <v>-0.33333333333333326</v>
      </c>
      <c r="H45" t="str">
        <f t="array" ref="H45">IFERROR(IF(COUNTIFS('Match Log'!$A$4:$A$1510,$A45,'Match Log'!$E$4:$E$1510,"Win")&gt;1,_xlfn.TEXTJOIN(" + ",TRUE(),IF(('Match Log'!$A$4:$A$1510=$A45)*('Match Log'!$E$4:$E$1510="Loss"),'Match Log'!$D$4:$D$1510,"")),IF($E45=2,LOOKUP(2,1/(('Match Log'!$A$4:$A$1510=$A45)*('Match Log'!$E$4:$E$1510="Loss")),'Match Log'!$D$4:$D$1510),"the field")),"")</f>
        <v>Daniel (Ferret)</v>
      </c>
      <c r="I45">
        <f t="shared" si="18"/>
        <v>-0.33335433333333325</v>
      </c>
      <c r="J45">
        <v>21</v>
      </c>
      <c r="K45">
        <f>IF($J45&gt;MAX('Match Log'!$A$4:$A$1510),NA(),IFERROR(LOOKUP(2,1/(('Match Log'!$D$4:$D$1510=$K$24)*('Match Log'!$A$4:$A$1510&lt;=$J45)),'Match Log'!$N$4:$N$1510),NA()))</f>
        <v>1095.9194321262312</v>
      </c>
      <c r="L45" t="e">
        <f>IF($J45&gt;MAX('Match Log'!$A$4:$A$1510),NA(),IFERROR(LOOKUP(2,1/(('Match Log'!$D$4:$D$1510=$L$24)*('Match Log'!$A$4:$A$1510&lt;=$J45)),'Match Log'!$N$4:$N$1510),NA()))</f>
        <v>#N/A</v>
      </c>
      <c r="M45">
        <f>IF($J45&gt;MAX('Match Log'!$A$4:$A$1510),NA(),IFERROR(LOOKUP(2,1/(('Match Log'!$D$4:$D$1510=$M$24)*('Match Log'!$A$4:$A$1510&lt;=$J45)),'Match Log'!$N$4:$N$1510),NA()))</f>
        <v>1024.4045650142041</v>
      </c>
      <c r="N45">
        <f>IF($J45&gt;MAX('Match Log'!$A$4:$A$1510),NA(),IFERROR(LOOKUP(2,1/(('Match Log'!$D$4:$D$1510=$N$24)*('Match Log'!$A$4:$A$1510&lt;=$J45)),'Match Log'!$N$4:$N$1510),NA()))</f>
        <v>1004.2142857142857</v>
      </c>
      <c r="O45">
        <f>IF($J45&gt;MAX('Match Log'!$A$4:$A$1510),NA(),IFERROR(LOOKUP(2,1/(('Match Log'!$D$4:$D$1510=$O$24)*('Match Log'!$A$4:$A$1510&lt;=$J45)),'Match Log'!$N$4:$N$1510),NA()))</f>
        <v>1059.1976953144354</v>
      </c>
      <c r="P45">
        <f>IF($J45&gt;MAX('Match Log'!$A$4:$A$1510),NA(),IFERROR(LOOKUP(2,1/(('Match Log'!$D$4:$D$1510=$P$24)*('Match Log'!$A$4:$A$1510&lt;=$J45)),'Match Log'!$N$4:$N$1510),NA()))</f>
        <v>1007.4743526549773</v>
      </c>
      <c r="Q45">
        <f>IF($J45&gt;MAX('Match Log'!$A$4:$A$1510),NA(),IFERROR(LOOKUP(2,1/(('Match Log'!$D$4:$D$1510=$Q$24)*('Match Log'!$A$4:$A$1510&lt;=$J45)),'Match Log'!$N$4:$N$1510),NA()))</f>
        <v>1004.2142857142857</v>
      </c>
      <c r="R45">
        <f>IF($J45&gt;MAX('Match Log'!$A$4:$A$1510),NA(),IFERROR(LOOKUP(2,1/(('Match Log'!$D$4:$D$1510=$R$24)*('Match Log'!$A$4:$A$1510&lt;=$J45)),'Match Log'!$N$4:$N$1510),NA()))</f>
        <v>934.69862265247025</v>
      </c>
      <c r="S45" t="e">
        <f>IF($J45&gt;MAX('Match Log'!$A$4:$A$1510),NA(),IFERROR(LOOKUP(2,1/(('Match Log'!$D$4:$D$1510=$S$24)*('Match Log'!$A$4:$A$1510&lt;=$J45)),'Match Log'!$N$4:$N$1510),NA()))</f>
        <v>#N/A</v>
      </c>
      <c r="T45">
        <f>IF($J45&gt;MAX('Match Log'!$A$4:$A$1510),NA(),IFERROR(LOOKUP(2,1/(('Match Log'!$D$4:$D$1510=$T$24)*('Match Log'!$A$4:$A$1510&lt;=$J45)),'Match Log'!$N$4:$N$1510),NA()))</f>
        <v>947.60327900388552</v>
      </c>
      <c r="U45">
        <f>IF($J45&gt;MAX('Match Log'!$A$4:$A$1510),NA(),IFERROR(LOOKUP(2,1/(('Match Log'!$D$4:$D$1510=$U$24)*('Match Log'!$A$4:$A$1510&lt;=$J45)),'Match Log'!$N$4:$N$1510),NA()))</f>
        <v>995.27348180522449</v>
      </c>
      <c r="V45" t="e">
        <f>IF($J45&gt;MAX('Match Log'!$A$4:$A$1510),NA(),IFERROR(LOOKUP(2,1/(('Match Log'!$D$4:$D$1510=$V$24)*('Match Log'!$A$4:$A$1510&lt;=$J45)),'Match Log'!$N$4:$N$1510),NA()))</f>
        <v>#N/A</v>
      </c>
      <c r="W45" t="e">
        <f>IF($J45&gt;MAX('Match Log'!$A$4:$A$1510),NA(),IFERROR(LOOKUP(2,1/(('Match Log'!$D$4:$D$1510=$W$24)*('Match Log'!$A$4:$A$1510&lt;=$J45)),'Match Log'!$N$4:$N$1510),NA()))</f>
        <v>#N/A</v>
      </c>
      <c r="X45" t="e">
        <f>IF($J45&gt;MAX('Match Log'!$A$4:$A$1510),NA(),IFERROR(LOOKUP(2,1/(('Match Log'!$D$4:$D$1510=$X$24)*('Match Log'!$A$4:$A$1510&lt;=$J45)),'Match Log'!$N$4:$N$1510),NA()))</f>
        <v>#N/A</v>
      </c>
      <c r="Y45" t="str">
        <f t="shared" ca="1" si="19"/>
        <v/>
      </c>
    </row>
    <row r="46" spans="1:25" ht="15" customHeight="1" x14ac:dyDescent="0.2">
      <c r="A46">
        <v>22</v>
      </c>
      <c r="B46" s="138">
        <f>IFERROR(INDEX('Match Log'!$B$4:$B$1510,MATCH($A46,'Match Log'!$A$4:$A$1510,0)),"")</f>
        <v>46175</v>
      </c>
      <c r="C46" t="str">
        <f>IFERROR(INDEX('Match Log'!$C$4:$C$1510,MATCH($A46,'Match Log'!$A$4:$A$1510,0)),"")</f>
        <v>Mario Golf</v>
      </c>
      <c r="D46" t="str">
        <f t="array" ref="D46">IFERROR(_xlfn.TEXTJOIN(" + ",TRUE(),IF(('Match Log'!$A$4:$A$1510=$A46)*('Match Log'!$E$4:$E$1510="Win"),'Match Log'!$D$4:$D$1510,"")),IFERROR(LOOKUP(2,1/(('Match Log'!$A$4:$A$1510=$A46)*('Match Log'!$E$4:$E$1510="Win")),'Match Log'!$D$4:$D$1510),""))</f>
        <v>Chase</v>
      </c>
      <c r="E46" s="139">
        <f>IFERROR(INDEX('Match Log'!$F$4:$F$1510,MATCH($A46,'Match Log'!$A$4:$A$1510,0)),"")</f>
        <v>2</v>
      </c>
      <c r="F46">
        <f>IFERROR(SUMIFS('Match Log'!$I$4:$I$1510,'Match Log'!$A$4:$A$1510,$A46,'Match Log'!$E$4:$E$1510,"Win"),"")</f>
        <v>0.75</v>
      </c>
      <c r="G46">
        <f t="shared" si="17"/>
        <v>-0.5</v>
      </c>
      <c r="H46" t="str">
        <f t="array" ref="H46">IFERROR(IF(COUNTIFS('Match Log'!$A$4:$A$1510,$A46,'Match Log'!$E$4:$E$1510,"Win")&gt;1,_xlfn.TEXTJOIN(" + ",TRUE(),IF(('Match Log'!$A$4:$A$1510=$A46)*('Match Log'!$E$4:$E$1510="Loss"),'Match Log'!$D$4:$D$1510,"")),IF($E46=2,LOOKUP(2,1/(('Match Log'!$A$4:$A$1510=$A46)*('Match Log'!$E$4:$E$1510="Loss")),'Match Log'!$D$4:$D$1510),"the field")),"")</f>
        <v>Daniel (Ferret)</v>
      </c>
      <c r="I46">
        <f t="shared" si="18"/>
        <v>-0.50002199999999997</v>
      </c>
      <c r="J46">
        <v>22</v>
      </c>
      <c r="K46">
        <f>IF($J46&gt;MAX('Match Log'!$A$4:$A$1510),NA(),IFERROR(LOOKUP(2,1/(('Match Log'!$D$4:$D$1510=$K$24)*('Match Log'!$A$4:$A$1510&lt;=$J46)),'Match Log'!$N$4:$N$1510),NA()))</f>
        <v>1095.9194321262312</v>
      </c>
      <c r="L46" t="e">
        <f>IF($J46&gt;MAX('Match Log'!$A$4:$A$1510),NA(),IFERROR(LOOKUP(2,1/(('Match Log'!$D$4:$D$1510=$L$24)*('Match Log'!$A$4:$A$1510&lt;=$J46)),'Match Log'!$N$4:$N$1510),NA()))</f>
        <v>#N/A</v>
      </c>
      <c r="M46">
        <f>IF($J46&gt;MAX('Match Log'!$A$4:$A$1510),NA(),IFERROR(LOOKUP(2,1/(('Match Log'!$D$4:$D$1510=$M$24)*('Match Log'!$A$4:$A$1510&lt;=$J46)),'Match Log'!$N$4:$N$1510),NA()))</f>
        <v>1039.717765276112</v>
      </c>
      <c r="N46">
        <f>IF($J46&gt;MAX('Match Log'!$A$4:$A$1510),NA(),IFERROR(LOOKUP(2,1/(('Match Log'!$D$4:$D$1510=$N$24)*('Match Log'!$A$4:$A$1510&lt;=$J46)),'Match Log'!$N$4:$N$1510),NA()))</f>
        <v>1004.2142857142857</v>
      </c>
      <c r="O46">
        <f>IF($J46&gt;MAX('Match Log'!$A$4:$A$1510),NA(),IFERROR(LOOKUP(2,1/(('Match Log'!$D$4:$D$1510=$O$24)*('Match Log'!$A$4:$A$1510&lt;=$J46)),'Match Log'!$N$4:$N$1510),NA()))</f>
        <v>1059.1976953144354</v>
      </c>
      <c r="P46">
        <f>IF($J46&gt;MAX('Match Log'!$A$4:$A$1510),NA(),IFERROR(LOOKUP(2,1/(('Match Log'!$D$4:$D$1510=$P$24)*('Match Log'!$A$4:$A$1510&lt;=$J46)),'Match Log'!$N$4:$N$1510),NA()))</f>
        <v>1007.4743526549773</v>
      </c>
      <c r="Q46">
        <f>IF($J46&gt;MAX('Match Log'!$A$4:$A$1510),NA(),IFERROR(LOOKUP(2,1/(('Match Log'!$D$4:$D$1510=$Q$24)*('Match Log'!$A$4:$A$1510&lt;=$J46)),'Match Log'!$N$4:$N$1510),NA()))</f>
        <v>1004.2142857142857</v>
      </c>
      <c r="R46">
        <f>IF($J46&gt;MAX('Match Log'!$A$4:$A$1510),NA(),IFERROR(LOOKUP(2,1/(('Match Log'!$D$4:$D$1510=$R$24)*('Match Log'!$A$4:$A$1510&lt;=$J46)),'Match Log'!$N$4:$N$1510),NA()))</f>
        <v>919.38542239056233</v>
      </c>
      <c r="S46" t="e">
        <f>IF($J46&gt;MAX('Match Log'!$A$4:$A$1510),NA(),IFERROR(LOOKUP(2,1/(('Match Log'!$D$4:$D$1510=$S$24)*('Match Log'!$A$4:$A$1510&lt;=$J46)),'Match Log'!$N$4:$N$1510),NA()))</f>
        <v>#N/A</v>
      </c>
      <c r="T46">
        <f>IF($J46&gt;MAX('Match Log'!$A$4:$A$1510),NA(),IFERROR(LOOKUP(2,1/(('Match Log'!$D$4:$D$1510=$T$24)*('Match Log'!$A$4:$A$1510&lt;=$J46)),'Match Log'!$N$4:$N$1510),NA()))</f>
        <v>947.60327900388552</v>
      </c>
      <c r="U46">
        <f>IF($J46&gt;MAX('Match Log'!$A$4:$A$1510),NA(),IFERROR(LOOKUP(2,1/(('Match Log'!$D$4:$D$1510=$U$24)*('Match Log'!$A$4:$A$1510&lt;=$J46)),'Match Log'!$N$4:$N$1510),NA()))</f>
        <v>995.27348180522449</v>
      </c>
      <c r="V46" t="e">
        <f>IF($J46&gt;MAX('Match Log'!$A$4:$A$1510),NA(),IFERROR(LOOKUP(2,1/(('Match Log'!$D$4:$D$1510=$V$24)*('Match Log'!$A$4:$A$1510&lt;=$J46)),'Match Log'!$N$4:$N$1510),NA()))</f>
        <v>#N/A</v>
      </c>
      <c r="W46" t="e">
        <f>IF($J46&gt;MAX('Match Log'!$A$4:$A$1510),NA(),IFERROR(LOOKUP(2,1/(('Match Log'!$D$4:$D$1510=$W$24)*('Match Log'!$A$4:$A$1510&lt;=$J46)),'Match Log'!$N$4:$N$1510),NA()))</f>
        <v>#N/A</v>
      </c>
      <c r="X46" t="e">
        <f>IF($J46&gt;MAX('Match Log'!$A$4:$A$1510),NA(),IFERROR(LOOKUP(2,1/(('Match Log'!$D$4:$D$1510=$X$24)*('Match Log'!$A$4:$A$1510&lt;=$J46)),'Match Log'!$N$4:$N$1510),NA()))</f>
        <v>#N/A</v>
      </c>
      <c r="Y46" t="str">
        <f t="shared" ca="1" si="19"/>
        <v/>
      </c>
    </row>
    <row r="47" spans="1:25" ht="15" customHeight="1" x14ac:dyDescent="0.2">
      <c r="A47">
        <v>23</v>
      </c>
      <c r="B47" s="138">
        <f>IFERROR(INDEX('Match Log'!$B$4:$B$1510,MATCH($A47,'Match Log'!$A$4:$A$1510,0)),"")</f>
        <v>46175</v>
      </c>
      <c r="C47" t="str">
        <f>IFERROR(INDEX('Match Log'!$C$4:$C$1510,MATCH($A47,'Match Log'!$A$4:$A$1510,0)),"")</f>
        <v>Mario Golf</v>
      </c>
      <c r="D47" t="str">
        <f t="array" ref="D47">IFERROR(_xlfn.TEXTJOIN(" + ",TRUE(),IF(('Match Log'!$A$4:$A$1510=$A47)*('Match Log'!$E$4:$E$1510="Win"),'Match Log'!$D$4:$D$1510,"")),IFERROR(LOOKUP(2,1/(('Match Log'!$A$4:$A$1510=$A47)*('Match Log'!$E$4:$E$1510="Win")),'Match Log'!$D$4:$D$1510),""))</f>
        <v>Chase</v>
      </c>
      <c r="E47" s="139">
        <f>IFERROR(INDEX('Match Log'!$F$4:$F$1510,MATCH($A47,'Match Log'!$A$4:$A$1510,0)),"")</f>
        <v>2</v>
      </c>
      <c r="F47">
        <f>IFERROR(SUMIFS('Match Log'!$I$4:$I$1510,'Match Log'!$A$4:$A$1510,$A47,'Match Log'!$E$4:$E$1510,"Win"),"")</f>
        <v>0.8</v>
      </c>
      <c r="G47">
        <f t="shared" si="17"/>
        <v>-0.60000000000000009</v>
      </c>
      <c r="H47" t="str">
        <f t="array" ref="H47">IFERROR(IF(COUNTIFS('Match Log'!$A$4:$A$1510,$A47,'Match Log'!$E$4:$E$1510,"Win")&gt;1,_xlfn.TEXTJOIN(" + ",TRUE(),IF(('Match Log'!$A$4:$A$1510=$A47)*('Match Log'!$E$4:$E$1510="Loss"),'Match Log'!$D$4:$D$1510,"")),IF($E47=2,LOOKUP(2,1/(('Match Log'!$A$4:$A$1510=$A47)*('Match Log'!$E$4:$E$1510="Loss")),'Match Log'!$D$4:$D$1510),"the field")),"")</f>
        <v>Daniel (Ferret)</v>
      </c>
      <c r="I47">
        <f t="shared" si="18"/>
        <v>-0.60002300000000008</v>
      </c>
      <c r="J47">
        <v>23</v>
      </c>
      <c r="K47">
        <f>IF($J47&gt;MAX('Match Log'!$A$4:$A$1510),NA(),IFERROR(LOOKUP(2,1/(('Match Log'!$D$4:$D$1510=$K$24)*('Match Log'!$A$4:$A$1510&lt;=$J47)),'Match Log'!$N$4:$N$1510),NA()))</f>
        <v>1095.9194321262312</v>
      </c>
      <c r="L47" t="e">
        <f>IF($J47&gt;MAX('Match Log'!$A$4:$A$1510),NA(),IFERROR(LOOKUP(2,1/(('Match Log'!$D$4:$D$1510=$L$24)*('Match Log'!$A$4:$A$1510&lt;=$J47)),'Match Log'!$N$4:$N$1510),NA()))</f>
        <v>#N/A</v>
      </c>
      <c r="M47">
        <f>IF($J47&gt;MAX('Match Log'!$A$4:$A$1510),NA(),IFERROR(LOOKUP(2,1/(('Match Log'!$D$4:$D$1510=$M$24)*('Match Log'!$A$4:$A$1510&lt;=$J47)),'Match Log'!$N$4:$N$1510),NA()))</f>
        <v>1053.2976607677983</v>
      </c>
      <c r="N47">
        <f>IF($J47&gt;MAX('Match Log'!$A$4:$A$1510),NA(),IFERROR(LOOKUP(2,1/(('Match Log'!$D$4:$D$1510=$N$24)*('Match Log'!$A$4:$A$1510&lt;=$J47)),'Match Log'!$N$4:$N$1510),NA()))</f>
        <v>1004.2142857142857</v>
      </c>
      <c r="O47">
        <f>IF($J47&gt;MAX('Match Log'!$A$4:$A$1510),NA(),IFERROR(LOOKUP(2,1/(('Match Log'!$D$4:$D$1510=$O$24)*('Match Log'!$A$4:$A$1510&lt;=$J47)),'Match Log'!$N$4:$N$1510),NA()))</f>
        <v>1059.1976953144354</v>
      </c>
      <c r="P47">
        <f>IF($J47&gt;MAX('Match Log'!$A$4:$A$1510),NA(),IFERROR(LOOKUP(2,1/(('Match Log'!$D$4:$D$1510=$P$24)*('Match Log'!$A$4:$A$1510&lt;=$J47)),'Match Log'!$N$4:$N$1510),NA()))</f>
        <v>1007.4743526549773</v>
      </c>
      <c r="Q47">
        <f>IF($J47&gt;MAX('Match Log'!$A$4:$A$1510),NA(),IFERROR(LOOKUP(2,1/(('Match Log'!$D$4:$D$1510=$Q$24)*('Match Log'!$A$4:$A$1510&lt;=$J47)),'Match Log'!$N$4:$N$1510),NA()))</f>
        <v>1004.2142857142857</v>
      </c>
      <c r="R47">
        <f>IF($J47&gt;MAX('Match Log'!$A$4:$A$1510),NA(),IFERROR(LOOKUP(2,1/(('Match Log'!$D$4:$D$1510=$R$24)*('Match Log'!$A$4:$A$1510&lt;=$J47)),'Match Log'!$N$4:$N$1510),NA()))</f>
        <v>905.80552689887611</v>
      </c>
      <c r="S47" t="e">
        <f>IF($J47&gt;MAX('Match Log'!$A$4:$A$1510),NA(),IFERROR(LOOKUP(2,1/(('Match Log'!$D$4:$D$1510=$S$24)*('Match Log'!$A$4:$A$1510&lt;=$J47)),'Match Log'!$N$4:$N$1510),NA()))</f>
        <v>#N/A</v>
      </c>
      <c r="T47">
        <f>IF($J47&gt;MAX('Match Log'!$A$4:$A$1510),NA(),IFERROR(LOOKUP(2,1/(('Match Log'!$D$4:$D$1510=$T$24)*('Match Log'!$A$4:$A$1510&lt;=$J47)),'Match Log'!$N$4:$N$1510),NA()))</f>
        <v>947.60327900388552</v>
      </c>
      <c r="U47">
        <f>IF($J47&gt;MAX('Match Log'!$A$4:$A$1510),NA(),IFERROR(LOOKUP(2,1/(('Match Log'!$D$4:$D$1510=$U$24)*('Match Log'!$A$4:$A$1510&lt;=$J47)),'Match Log'!$N$4:$N$1510),NA()))</f>
        <v>995.27348180522449</v>
      </c>
      <c r="V47" t="e">
        <f>IF($J47&gt;MAX('Match Log'!$A$4:$A$1510),NA(),IFERROR(LOOKUP(2,1/(('Match Log'!$D$4:$D$1510=$V$24)*('Match Log'!$A$4:$A$1510&lt;=$J47)),'Match Log'!$N$4:$N$1510),NA()))</f>
        <v>#N/A</v>
      </c>
      <c r="W47" t="e">
        <f>IF($J47&gt;MAX('Match Log'!$A$4:$A$1510),NA(),IFERROR(LOOKUP(2,1/(('Match Log'!$D$4:$D$1510=$W$24)*('Match Log'!$A$4:$A$1510&lt;=$J47)),'Match Log'!$N$4:$N$1510),NA()))</f>
        <v>#N/A</v>
      </c>
      <c r="X47" t="e">
        <f>IF($J47&gt;MAX('Match Log'!$A$4:$A$1510),NA(),IFERROR(LOOKUP(2,1/(('Match Log'!$D$4:$D$1510=$X$24)*('Match Log'!$A$4:$A$1510&lt;=$J47)),'Match Log'!$N$4:$N$1510),NA()))</f>
        <v>#N/A</v>
      </c>
      <c r="Y47" t="str">
        <f t="shared" ca="1" si="19"/>
        <v/>
      </c>
    </row>
    <row r="48" spans="1:25" ht="15" customHeight="1" x14ac:dyDescent="0.2">
      <c r="A48">
        <v>24</v>
      </c>
      <c r="B48" s="138">
        <f>IFERROR(INDEX('Match Log'!$B$4:$B$1510,MATCH($A48,'Match Log'!$A$4:$A$1510,0)),"")</f>
        <v>46175</v>
      </c>
      <c r="C48" t="str">
        <f>IFERROR(INDEX('Match Log'!$C$4:$C$1510,MATCH($A48,'Match Log'!$A$4:$A$1510,0)),"")</f>
        <v>Table Tennis</v>
      </c>
      <c r="D48" t="str">
        <f t="array" ref="D48">IFERROR(_xlfn.TEXTJOIN(" + ",TRUE(),IF(('Match Log'!$A$4:$A$1510=$A48)*('Match Log'!$E$4:$E$1510="Win"),'Match Log'!$D$4:$D$1510,"")),IFERROR(LOOKUP(2,1/(('Match Log'!$A$4:$A$1510=$A48)*('Match Log'!$E$4:$E$1510="Win")),'Match Log'!$D$4:$D$1510),""))</f>
        <v>Josh</v>
      </c>
      <c r="E48" s="139">
        <f>IFERROR(INDEX('Match Log'!$F$4:$F$1510,MATCH($A48,'Match Log'!$A$4:$A$1510,0)),"")</f>
        <v>2</v>
      </c>
      <c r="F48">
        <f>IFERROR(SUMIFS('Match Log'!$I$4:$I$1510,'Match Log'!$A$4:$A$1510,$A48,'Match Log'!$E$4:$E$1510,"Win"),"")</f>
        <v>0.8</v>
      </c>
      <c r="G48">
        <f t="shared" si="17"/>
        <v>-0.60000000000000009</v>
      </c>
      <c r="H48" t="str">
        <f t="array" ref="H48">IFERROR(IF(COUNTIFS('Match Log'!$A$4:$A$1510,$A48,'Match Log'!$E$4:$E$1510,"Win")&gt;1,_xlfn.TEXTJOIN(" + ",TRUE(),IF(('Match Log'!$A$4:$A$1510=$A48)*('Match Log'!$E$4:$E$1510="Loss"),'Match Log'!$D$4:$D$1510,"")),IF($E48=2,LOOKUP(2,1/(('Match Log'!$A$4:$A$1510=$A48)*('Match Log'!$E$4:$E$1510="Loss")),'Match Log'!$D$4:$D$1510),"the field")),"")</f>
        <v>Daniel (Ferret)</v>
      </c>
      <c r="I48">
        <f t="shared" si="18"/>
        <v>-0.60002400000000011</v>
      </c>
      <c r="J48">
        <v>24</v>
      </c>
      <c r="K48">
        <f>IF($J48&gt;MAX('Match Log'!$A$4:$A$1510),NA(),IFERROR(LOOKUP(2,1/(('Match Log'!$D$4:$D$1510=$K$24)*('Match Log'!$A$4:$A$1510&lt;=$J48)),'Match Log'!$N$4:$N$1510),NA()))</f>
        <v>1095.9194321262312</v>
      </c>
      <c r="L48" t="e">
        <f>IF($J48&gt;MAX('Match Log'!$A$4:$A$1510),NA(),IFERROR(LOOKUP(2,1/(('Match Log'!$D$4:$D$1510=$L$24)*('Match Log'!$A$4:$A$1510&lt;=$J48)),'Match Log'!$N$4:$N$1510),NA()))</f>
        <v>#N/A</v>
      </c>
      <c r="M48">
        <f>IF($J48&gt;MAX('Match Log'!$A$4:$A$1510),NA(),IFERROR(LOOKUP(2,1/(('Match Log'!$D$4:$D$1510=$M$24)*('Match Log'!$A$4:$A$1510&lt;=$J48)),'Match Log'!$N$4:$N$1510),NA()))</f>
        <v>1053.2976607677983</v>
      </c>
      <c r="N48">
        <f>IF($J48&gt;MAX('Match Log'!$A$4:$A$1510),NA(),IFERROR(LOOKUP(2,1/(('Match Log'!$D$4:$D$1510=$N$24)*('Match Log'!$A$4:$A$1510&lt;=$J48)),'Match Log'!$N$4:$N$1510),NA()))</f>
        <v>1004.2142857142857</v>
      </c>
      <c r="O48">
        <f>IF($J48&gt;MAX('Match Log'!$A$4:$A$1510),NA(),IFERROR(LOOKUP(2,1/(('Match Log'!$D$4:$D$1510=$O$24)*('Match Log'!$A$4:$A$1510&lt;=$J48)),'Match Log'!$N$4:$N$1510),NA()))</f>
        <v>1071.9286207227112</v>
      </c>
      <c r="P48">
        <f>IF($J48&gt;MAX('Match Log'!$A$4:$A$1510),NA(),IFERROR(LOOKUP(2,1/(('Match Log'!$D$4:$D$1510=$P$24)*('Match Log'!$A$4:$A$1510&lt;=$J48)),'Match Log'!$N$4:$N$1510),NA()))</f>
        <v>1007.4743526549773</v>
      </c>
      <c r="Q48">
        <f>IF($J48&gt;MAX('Match Log'!$A$4:$A$1510),NA(),IFERROR(LOOKUP(2,1/(('Match Log'!$D$4:$D$1510=$Q$24)*('Match Log'!$A$4:$A$1510&lt;=$J48)),'Match Log'!$N$4:$N$1510),NA()))</f>
        <v>1004.2142857142857</v>
      </c>
      <c r="R48">
        <f>IF($J48&gt;MAX('Match Log'!$A$4:$A$1510),NA(),IFERROR(LOOKUP(2,1/(('Match Log'!$D$4:$D$1510=$R$24)*('Match Log'!$A$4:$A$1510&lt;=$J48)),'Match Log'!$N$4:$N$1510),NA()))</f>
        <v>893.07460149060034</v>
      </c>
      <c r="S48" t="e">
        <f>IF($J48&gt;MAX('Match Log'!$A$4:$A$1510),NA(),IFERROR(LOOKUP(2,1/(('Match Log'!$D$4:$D$1510=$S$24)*('Match Log'!$A$4:$A$1510&lt;=$J48)),'Match Log'!$N$4:$N$1510),NA()))</f>
        <v>#N/A</v>
      </c>
      <c r="T48">
        <f>IF($J48&gt;MAX('Match Log'!$A$4:$A$1510),NA(),IFERROR(LOOKUP(2,1/(('Match Log'!$D$4:$D$1510=$T$24)*('Match Log'!$A$4:$A$1510&lt;=$J48)),'Match Log'!$N$4:$N$1510),NA()))</f>
        <v>947.60327900388552</v>
      </c>
      <c r="U48">
        <f>IF($J48&gt;MAX('Match Log'!$A$4:$A$1510),NA(),IFERROR(LOOKUP(2,1/(('Match Log'!$D$4:$D$1510=$U$24)*('Match Log'!$A$4:$A$1510&lt;=$J48)),'Match Log'!$N$4:$N$1510),NA()))</f>
        <v>995.27348180522449</v>
      </c>
      <c r="V48" t="e">
        <f>IF($J48&gt;MAX('Match Log'!$A$4:$A$1510),NA(),IFERROR(LOOKUP(2,1/(('Match Log'!$D$4:$D$1510=$V$24)*('Match Log'!$A$4:$A$1510&lt;=$J48)),'Match Log'!$N$4:$N$1510),NA()))</f>
        <v>#N/A</v>
      </c>
      <c r="W48" t="e">
        <f>IF($J48&gt;MAX('Match Log'!$A$4:$A$1510),NA(),IFERROR(LOOKUP(2,1/(('Match Log'!$D$4:$D$1510=$W$24)*('Match Log'!$A$4:$A$1510&lt;=$J48)),'Match Log'!$N$4:$N$1510),NA()))</f>
        <v>#N/A</v>
      </c>
      <c r="X48" t="e">
        <f>IF($J48&gt;MAX('Match Log'!$A$4:$A$1510),NA(),IFERROR(LOOKUP(2,1/(('Match Log'!$D$4:$D$1510=$X$24)*('Match Log'!$A$4:$A$1510&lt;=$J48)),'Match Log'!$N$4:$N$1510),NA()))</f>
        <v>#N/A</v>
      </c>
      <c r="Y48" t="str">
        <f t="shared" ca="1" si="19"/>
        <v/>
      </c>
    </row>
    <row r="49" spans="1:25" ht="15" customHeight="1" x14ac:dyDescent="0.2">
      <c r="A49">
        <v>25</v>
      </c>
      <c r="B49" s="138">
        <f>IFERROR(INDEX('Match Log'!$B$4:$B$1510,MATCH($A49,'Match Log'!$A$4:$A$1510,0)),"")</f>
        <v>46175</v>
      </c>
      <c r="C49" t="str">
        <f>IFERROR(INDEX('Match Log'!$C$4:$C$1510,MATCH($A49,'Match Log'!$A$4:$A$1510,0)),"")</f>
        <v>Table Tennis</v>
      </c>
      <c r="D49" t="str">
        <f t="array" ref="D49">IFERROR(_xlfn.TEXTJOIN(" + ",TRUE(),IF(('Match Log'!$A$4:$A$1510=$A49)*('Match Log'!$E$4:$E$1510="Win"),'Match Log'!$D$4:$D$1510,"")),IFERROR(LOOKUP(2,1/(('Match Log'!$A$4:$A$1510=$A49)*('Match Log'!$E$4:$E$1510="Win")),'Match Log'!$D$4:$D$1510),""))</f>
        <v>Josh</v>
      </c>
      <c r="E49" s="139">
        <f>IFERROR(INDEX('Match Log'!$F$4:$F$1510,MATCH($A49,'Match Log'!$A$4:$A$1510,0)),"")</f>
        <v>2</v>
      </c>
      <c r="F49">
        <f>IFERROR(SUMIFS('Match Log'!$I$4:$I$1510,'Match Log'!$A$4:$A$1510,$A49,'Match Log'!$E$4:$E$1510,"Win"),"")</f>
        <v>0.625</v>
      </c>
      <c r="G49">
        <f t="shared" si="17"/>
        <v>-0.25</v>
      </c>
      <c r="H49" t="str">
        <f t="array" ref="H49">IFERROR(IF(COUNTIFS('Match Log'!$A$4:$A$1510,$A49,'Match Log'!$E$4:$E$1510,"Win")&gt;1,_xlfn.TEXTJOIN(" + ",TRUE(),IF(('Match Log'!$A$4:$A$1510=$A49)*('Match Log'!$E$4:$E$1510="Loss"),'Match Log'!$D$4:$D$1510,"")),IF($E49=2,LOOKUP(2,1/(('Match Log'!$A$4:$A$1510=$A49)*('Match Log'!$E$4:$E$1510="Loss")),'Match Log'!$D$4:$D$1510),"the field")),"")</f>
        <v>David</v>
      </c>
      <c r="I49">
        <f t="shared" si="18"/>
        <v>-0.250025</v>
      </c>
      <c r="J49">
        <v>25</v>
      </c>
      <c r="K49">
        <f>IF($J49&gt;MAX('Match Log'!$A$4:$A$1510),NA(),IFERROR(LOOKUP(2,1/(('Match Log'!$D$4:$D$1510=$K$24)*('Match Log'!$A$4:$A$1510&lt;=$J49)),'Match Log'!$N$4:$N$1510),NA()))</f>
        <v>1095.9194321262312</v>
      </c>
      <c r="L49" t="e">
        <f>IF($J49&gt;MAX('Match Log'!$A$4:$A$1510),NA(),IFERROR(LOOKUP(2,1/(('Match Log'!$D$4:$D$1510=$L$24)*('Match Log'!$A$4:$A$1510&lt;=$J49)),'Match Log'!$N$4:$N$1510),NA()))</f>
        <v>#N/A</v>
      </c>
      <c r="M49">
        <f>IF($J49&gt;MAX('Match Log'!$A$4:$A$1510),NA(),IFERROR(LOOKUP(2,1/(('Match Log'!$D$4:$D$1510=$M$24)*('Match Log'!$A$4:$A$1510&lt;=$J49)),'Match Log'!$N$4:$N$1510),NA()))</f>
        <v>1053.2976607677983</v>
      </c>
      <c r="N49">
        <f>IF($J49&gt;MAX('Match Log'!$A$4:$A$1510),NA(),IFERROR(LOOKUP(2,1/(('Match Log'!$D$4:$D$1510=$N$24)*('Match Log'!$A$4:$A$1510&lt;=$J49)),'Match Log'!$N$4:$N$1510),NA()))</f>
        <v>986.4746672246921</v>
      </c>
      <c r="O49">
        <f>IF($J49&gt;MAX('Match Log'!$A$4:$A$1510),NA(),IFERROR(LOOKUP(2,1/(('Match Log'!$D$4:$D$1510=$O$24)*('Match Log'!$A$4:$A$1510&lt;=$J49)),'Match Log'!$N$4:$N$1510),NA()))</f>
        <v>1089.6682392123048</v>
      </c>
      <c r="P49">
        <f>IF($J49&gt;MAX('Match Log'!$A$4:$A$1510),NA(),IFERROR(LOOKUP(2,1/(('Match Log'!$D$4:$D$1510=$P$24)*('Match Log'!$A$4:$A$1510&lt;=$J49)),'Match Log'!$N$4:$N$1510),NA()))</f>
        <v>1007.4743526549773</v>
      </c>
      <c r="Q49">
        <f>IF($J49&gt;MAX('Match Log'!$A$4:$A$1510),NA(),IFERROR(LOOKUP(2,1/(('Match Log'!$D$4:$D$1510=$Q$24)*('Match Log'!$A$4:$A$1510&lt;=$J49)),'Match Log'!$N$4:$N$1510),NA()))</f>
        <v>1004.2142857142857</v>
      </c>
      <c r="R49">
        <f>IF($J49&gt;MAX('Match Log'!$A$4:$A$1510),NA(),IFERROR(LOOKUP(2,1/(('Match Log'!$D$4:$D$1510=$R$24)*('Match Log'!$A$4:$A$1510&lt;=$J49)),'Match Log'!$N$4:$N$1510),NA()))</f>
        <v>893.07460149060034</v>
      </c>
      <c r="S49" t="e">
        <f>IF($J49&gt;MAX('Match Log'!$A$4:$A$1510),NA(),IFERROR(LOOKUP(2,1/(('Match Log'!$D$4:$D$1510=$S$24)*('Match Log'!$A$4:$A$1510&lt;=$J49)),'Match Log'!$N$4:$N$1510),NA()))</f>
        <v>#N/A</v>
      </c>
      <c r="T49">
        <f>IF($J49&gt;MAX('Match Log'!$A$4:$A$1510),NA(),IFERROR(LOOKUP(2,1/(('Match Log'!$D$4:$D$1510=$T$24)*('Match Log'!$A$4:$A$1510&lt;=$J49)),'Match Log'!$N$4:$N$1510),NA()))</f>
        <v>947.60327900388552</v>
      </c>
      <c r="U49">
        <f>IF($J49&gt;MAX('Match Log'!$A$4:$A$1510),NA(),IFERROR(LOOKUP(2,1/(('Match Log'!$D$4:$D$1510=$U$24)*('Match Log'!$A$4:$A$1510&lt;=$J49)),'Match Log'!$N$4:$N$1510),NA()))</f>
        <v>995.27348180522449</v>
      </c>
      <c r="V49" t="e">
        <f>IF($J49&gt;MAX('Match Log'!$A$4:$A$1510),NA(),IFERROR(LOOKUP(2,1/(('Match Log'!$D$4:$D$1510=$V$24)*('Match Log'!$A$4:$A$1510&lt;=$J49)),'Match Log'!$N$4:$N$1510),NA()))</f>
        <v>#N/A</v>
      </c>
      <c r="W49" t="e">
        <f>IF($J49&gt;MAX('Match Log'!$A$4:$A$1510),NA(),IFERROR(LOOKUP(2,1/(('Match Log'!$D$4:$D$1510=$W$24)*('Match Log'!$A$4:$A$1510&lt;=$J49)),'Match Log'!$N$4:$N$1510),NA()))</f>
        <v>#N/A</v>
      </c>
      <c r="X49" t="e">
        <f>IF($J49&gt;MAX('Match Log'!$A$4:$A$1510),NA(),IFERROR(LOOKUP(2,1/(('Match Log'!$D$4:$D$1510=$X$24)*('Match Log'!$A$4:$A$1510&lt;=$J49)),'Match Log'!$N$4:$N$1510),NA()))</f>
        <v>#N/A</v>
      </c>
      <c r="Y49" t="str">
        <f t="shared" ca="1" si="19"/>
        <v/>
      </c>
    </row>
    <row r="50" spans="1:25" ht="15" customHeight="1" x14ac:dyDescent="0.2">
      <c r="A50">
        <v>26</v>
      </c>
      <c r="B50" s="138">
        <f>IFERROR(INDEX('Match Log'!$B$4:$B$1510,MATCH($A50,'Match Log'!$A$4:$A$1510,0)),"")</f>
        <v>46175</v>
      </c>
      <c r="C50" t="str">
        <f>IFERROR(INDEX('Match Log'!$C$4:$C$1510,MATCH($A50,'Match Log'!$A$4:$A$1510,0)),"")</f>
        <v>Table Tennis</v>
      </c>
      <c r="D50" t="str">
        <f t="array" ref="D50">IFERROR(_xlfn.TEXTJOIN(" + ",TRUE(),IF(('Match Log'!$A$4:$A$1510=$A50)*('Match Log'!$E$4:$E$1510="Win"),'Match Log'!$D$4:$D$1510,"")),IFERROR(LOOKUP(2,1/(('Match Log'!$A$4:$A$1510=$A50)*('Match Log'!$E$4:$E$1510="Win")),'Match Log'!$D$4:$D$1510),""))</f>
        <v>Daniel (Ferret)</v>
      </c>
      <c r="E50" s="139">
        <f>IFERROR(INDEX('Match Log'!$F$4:$F$1510,MATCH($A50,'Match Log'!$A$4:$A$1510,0)),"")</f>
        <v>2</v>
      </c>
      <c r="F50">
        <f>IFERROR(SUMIFS('Match Log'!$I$4:$I$1510,'Match Log'!$A$4:$A$1510,$A50,'Match Log'!$E$4:$E$1510,"Win"),"")</f>
        <v>0.33333333333333331</v>
      </c>
      <c r="G50">
        <f t="shared" si="17"/>
        <v>0.33333333333333337</v>
      </c>
      <c r="H50" t="str">
        <f t="array" ref="H50">IFERROR(IF(COUNTIFS('Match Log'!$A$4:$A$1510,$A50,'Match Log'!$E$4:$E$1510,"Win")&gt;1,_xlfn.TEXTJOIN(" + ",TRUE(),IF(('Match Log'!$A$4:$A$1510=$A50)*('Match Log'!$E$4:$E$1510="Loss"),'Match Log'!$D$4:$D$1510,"")),IF($E50=2,LOOKUP(2,1/(('Match Log'!$A$4:$A$1510=$A50)*('Match Log'!$E$4:$E$1510="Loss")),'Match Log'!$D$4:$D$1510),"the field")),"")</f>
        <v>David</v>
      </c>
      <c r="I50">
        <f t="shared" si="18"/>
        <v>0.33330733333333334</v>
      </c>
      <c r="J50">
        <v>26</v>
      </c>
      <c r="K50">
        <f>IF($J50&gt;MAX('Match Log'!$A$4:$A$1510),NA(),IFERROR(LOOKUP(2,1/(('Match Log'!$D$4:$D$1510=$K$24)*('Match Log'!$A$4:$A$1510&lt;=$J50)),'Match Log'!$N$4:$N$1510),NA()))</f>
        <v>1095.9194321262312</v>
      </c>
      <c r="L50" t="e">
        <f>IF($J50&gt;MAX('Match Log'!$A$4:$A$1510),NA(),IFERROR(LOOKUP(2,1/(('Match Log'!$D$4:$D$1510=$L$24)*('Match Log'!$A$4:$A$1510&lt;=$J50)),'Match Log'!$N$4:$N$1510),NA()))</f>
        <v>#N/A</v>
      </c>
      <c r="M50">
        <f>IF($J50&gt;MAX('Match Log'!$A$4:$A$1510),NA(),IFERROR(LOOKUP(2,1/(('Match Log'!$D$4:$D$1510=$M$24)*('Match Log'!$A$4:$A$1510&lt;=$J50)),'Match Log'!$N$4:$N$1510),NA()))</f>
        <v>1053.2976607677983</v>
      </c>
      <c r="N50">
        <f>IF($J50&gt;MAX('Match Log'!$A$4:$A$1510),NA(),IFERROR(LOOKUP(2,1/(('Match Log'!$D$4:$D$1510=$N$24)*('Match Log'!$A$4:$A$1510&lt;=$J50)),'Match Log'!$N$4:$N$1510),NA()))</f>
        <v>959.26344933159396</v>
      </c>
      <c r="O50">
        <f>IF($J50&gt;MAX('Match Log'!$A$4:$A$1510),NA(),IFERROR(LOOKUP(2,1/(('Match Log'!$D$4:$D$1510=$O$24)*('Match Log'!$A$4:$A$1510&lt;=$J50)),'Match Log'!$N$4:$N$1510),NA()))</f>
        <v>1089.6682392123048</v>
      </c>
      <c r="P50">
        <f>IF($J50&gt;MAX('Match Log'!$A$4:$A$1510),NA(),IFERROR(LOOKUP(2,1/(('Match Log'!$D$4:$D$1510=$P$24)*('Match Log'!$A$4:$A$1510&lt;=$J50)),'Match Log'!$N$4:$N$1510),NA()))</f>
        <v>1007.4743526549773</v>
      </c>
      <c r="Q50">
        <f>IF($J50&gt;MAX('Match Log'!$A$4:$A$1510),NA(),IFERROR(LOOKUP(2,1/(('Match Log'!$D$4:$D$1510=$Q$24)*('Match Log'!$A$4:$A$1510&lt;=$J50)),'Match Log'!$N$4:$N$1510),NA()))</f>
        <v>1004.2142857142857</v>
      </c>
      <c r="R50">
        <f>IF($J50&gt;MAX('Match Log'!$A$4:$A$1510),NA(),IFERROR(LOOKUP(2,1/(('Match Log'!$D$4:$D$1510=$R$24)*('Match Log'!$A$4:$A$1510&lt;=$J50)),'Match Log'!$N$4:$N$1510),NA()))</f>
        <v>920.28581938369848</v>
      </c>
      <c r="S50" t="e">
        <f>IF($J50&gt;MAX('Match Log'!$A$4:$A$1510),NA(),IFERROR(LOOKUP(2,1/(('Match Log'!$D$4:$D$1510=$S$24)*('Match Log'!$A$4:$A$1510&lt;=$J50)),'Match Log'!$N$4:$N$1510),NA()))</f>
        <v>#N/A</v>
      </c>
      <c r="T50">
        <f>IF($J50&gt;MAX('Match Log'!$A$4:$A$1510),NA(),IFERROR(LOOKUP(2,1/(('Match Log'!$D$4:$D$1510=$T$24)*('Match Log'!$A$4:$A$1510&lt;=$J50)),'Match Log'!$N$4:$N$1510),NA()))</f>
        <v>947.60327900388552</v>
      </c>
      <c r="U50">
        <f>IF($J50&gt;MAX('Match Log'!$A$4:$A$1510),NA(),IFERROR(LOOKUP(2,1/(('Match Log'!$D$4:$D$1510=$U$24)*('Match Log'!$A$4:$A$1510&lt;=$J50)),'Match Log'!$N$4:$N$1510),NA()))</f>
        <v>995.27348180522449</v>
      </c>
      <c r="V50" t="e">
        <f>IF($J50&gt;MAX('Match Log'!$A$4:$A$1510),NA(),IFERROR(LOOKUP(2,1/(('Match Log'!$D$4:$D$1510=$V$24)*('Match Log'!$A$4:$A$1510&lt;=$J50)),'Match Log'!$N$4:$N$1510),NA()))</f>
        <v>#N/A</v>
      </c>
      <c r="W50" t="e">
        <f>IF($J50&gt;MAX('Match Log'!$A$4:$A$1510),NA(),IFERROR(LOOKUP(2,1/(('Match Log'!$D$4:$D$1510=$W$24)*('Match Log'!$A$4:$A$1510&lt;=$J50)),'Match Log'!$N$4:$N$1510),NA()))</f>
        <v>#N/A</v>
      </c>
      <c r="X50" t="e">
        <f>IF($J50&gt;MAX('Match Log'!$A$4:$A$1510),NA(),IFERROR(LOOKUP(2,1/(('Match Log'!$D$4:$D$1510=$X$24)*('Match Log'!$A$4:$A$1510&lt;=$J50)),'Match Log'!$N$4:$N$1510),NA()))</f>
        <v>#N/A</v>
      </c>
      <c r="Y50" t="str">
        <f t="shared" ca="1" si="19"/>
        <v/>
      </c>
    </row>
    <row r="51" spans="1:25" ht="15" customHeight="1" x14ac:dyDescent="0.2">
      <c r="A51">
        <v>27</v>
      </c>
      <c r="B51" s="138">
        <f>IFERROR(INDEX('Match Log'!$B$4:$B$1510,MATCH($A51,'Match Log'!$A$4:$A$1510,0)),"")</f>
        <v>46175</v>
      </c>
      <c r="C51" t="str">
        <f>IFERROR(INDEX('Match Log'!$C$4:$C$1510,MATCH($A51,'Match Log'!$A$4:$A$1510,0)),"")</f>
        <v>Table Tennis</v>
      </c>
      <c r="D51" t="str">
        <f t="array" ref="D51">IFERROR(_xlfn.TEXTJOIN(" + ",TRUE(),IF(('Match Log'!$A$4:$A$1510=$A51)*('Match Log'!$E$4:$E$1510="Win"),'Match Log'!$D$4:$D$1510,"")),IFERROR(LOOKUP(2,1/(('Match Log'!$A$4:$A$1510=$A51)*('Match Log'!$E$4:$E$1510="Win")),'Match Log'!$D$4:$D$1510),""))</f>
        <v>Josh</v>
      </c>
      <c r="E51" s="139">
        <f>IFERROR(INDEX('Match Log'!$F$4:$F$1510,MATCH($A51,'Match Log'!$A$4:$A$1510,0)),"")</f>
        <v>2</v>
      </c>
      <c r="F51">
        <f>IFERROR(SUMIFS('Match Log'!$I$4:$I$1510,'Match Log'!$A$4:$A$1510,$A51,'Match Log'!$E$4:$E$1510,"Win"),"")</f>
        <v>0.75</v>
      </c>
      <c r="G51">
        <f t="shared" si="17"/>
        <v>-0.5</v>
      </c>
      <c r="H51" t="str">
        <f t="array" ref="H51">IFERROR(IF(COUNTIFS('Match Log'!$A$4:$A$1510,$A51,'Match Log'!$E$4:$E$1510,"Win")&gt;1,_xlfn.TEXTJOIN(" + ",TRUE(),IF(('Match Log'!$A$4:$A$1510=$A51)*('Match Log'!$E$4:$E$1510="Loss"),'Match Log'!$D$4:$D$1510,"")),IF($E51=2,LOOKUP(2,1/(('Match Log'!$A$4:$A$1510=$A51)*('Match Log'!$E$4:$E$1510="Loss")),'Match Log'!$D$4:$D$1510),"the field")),"")</f>
        <v>Daniel (Ferret)</v>
      </c>
      <c r="I51">
        <f t="shared" si="18"/>
        <v>-0.500027</v>
      </c>
      <c r="J51">
        <v>27</v>
      </c>
      <c r="K51">
        <f>IF($J51&gt;MAX('Match Log'!$A$4:$A$1510),NA(),IFERROR(LOOKUP(2,1/(('Match Log'!$D$4:$D$1510=$K$24)*('Match Log'!$A$4:$A$1510&lt;=$J51)),'Match Log'!$N$4:$N$1510),NA()))</f>
        <v>1095.9194321262312</v>
      </c>
      <c r="L51" t="e">
        <f>IF($J51&gt;MAX('Match Log'!$A$4:$A$1510),NA(),IFERROR(LOOKUP(2,1/(('Match Log'!$D$4:$D$1510=$L$24)*('Match Log'!$A$4:$A$1510&lt;=$J51)),'Match Log'!$N$4:$N$1510),NA()))</f>
        <v>#N/A</v>
      </c>
      <c r="M51">
        <f>IF($J51&gt;MAX('Match Log'!$A$4:$A$1510),NA(),IFERROR(LOOKUP(2,1/(('Match Log'!$D$4:$D$1510=$M$24)*('Match Log'!$A$4:$A$1510&lt;=$J51)),'Match Log'!$N$4:$N$1510),NA()))</f>
        <v>1053.2976607677983</v>
      </c>
      <c r="N51">
        <f>IF($J51&gt;MAX('Match Log'!$A$4:$A$1510),NA(),IFERROR(LOOKUP(2,1/(('Match Log'!$D$4:$D$1510=$N$24)*('Match Log'!$A$4:$A$1510&lt;=$J51)),'Match Log'!$N$4:$N$1510),NA()))</f>
        <v>959.26344933159396</v>
      </c>
      <c r="O51">
        <f>IF($J51&gt;MAX('Match Log'!$A$4:$A$1510),NA(),IFERROR(LOOKUP(2,1/(('Match Log'!$D$4:$D$1510=$O$24)*('Match Log'!$A$4:$A$1510&lt;=$J51)),'Match Log'!$N$4:$N$1510),NA()))</f>
        <v>1102.6176984629064</v>
      </c>
      <c r="P51">
        <f>IF($J51&gt;MAX('Match Log'!$A$4:$A$1510),NA(),IFERROR(LOOKUP(2,1/(('Match Log'!$D$4:$D$1510=$P$24)*('Match Log'!$A$4:$A$1510&lt;=$J51)),'Match Log'!$N$4:$N$1510),NA()))</f>
        <v>1007.4743526549773</v>
      </c>
      <c r="Q51">
        <f>IF($J51&gt;MAX('Match Log'!$A$4:$A$1510),NA(),IFERROR(LOOKUP(2,1/(('Match Log'!$D$4:$D$1510=$Q$24)*('Match Log'!$A$4:$A$1510&lt;=$J51)),'Match Log'!$N$4:$N$1510),NA()))</f>
        <v>1004.2142857142857</v>
      </c>
      <c r="R51">
        <f>IF($J51&gt;MAX('Match Log'!$A$4:$A$1510),NA(),IFERROR(LOOKUP(2,1/(('Match Log'!$D$4:$D$1510=$R$24)*('Match Log'!$A$4:$A$1510&lt;=$J51)),'Match Log'!$N$4:$N$1510),NA()))</f>
        <v>907.33636013309672</v>
      </c>
      <c r="S51" t="e">
        <f>IF($J51&gt;MAX('Match Log'!$A$4:$A$1510),NA(),IFERROR(LOOKUP(2,1/(('Match Log'!$D$4:$D$1510=$S$24)*('Match Log'!$A$4:$A$1510&lt;=$J51)),'Match Log'!$N$4:$N$1510),NA()))</f>
        <v>#N/A</v>
      </c>
      <c r="T51">
        <f>IF($J51&gt;MAX('Match Log'!$A$4:$A$1510),NA(),IFERROR(LOOKUP(2,1/(('Match Log'!$D$4:$D$1510=$T$24)*('Match Log'!$A$4:$A$1510&lt;=$J51)),'Match Log'!$N$4:$N$1510),NA()))</f>
        <v>947.60327900388552</v>
      </c>
      <c r="U51">
        <f>IF($J51&gt;MAX('Match Log'!$A$4:$A$1510),NA(),IFERROR(LOOKUP(2,1/(('Match Log'!$D$4:$D$1510=$U$24)*('Match Log'!$A$4:$A$1510&lt;=$J51)),'Match Log'!$N$4:$N$1510),NA()))</f>
        <v>995.27348180522449</v>
      </c>
      <c r="V51" t="e">
        <f>IF($J51&gt;MAX('Match Log'!$A$4:$A$1510),NA(),IFERROR(LOOKUP(2,1/(('Match Log'!$D$4:$D$1510=$V$24)*('Match Log'!$A$4:$A$1510&lt;=$J51)),'Match Log'!$N$4:$N$1510),NA()))</f>
        <v>#N/A</v>
      </c>
      <c r="W51" t="e">
        <f>IF($J51&gt;MAX('Match Log'!$A$4:$A$1510),NA(),IFERROR(LOOKUP(2,1/(('Match Log'!$D$4:$D$1510=$W$24)*('Match Log'!$A$4:$A$1510&lt;=$J51)),'Match Log'!$N$4:$N$1510),NA()))</f>
        <v>#N/A</v>
      </c>
      <c r="X51" t="e">
        <f>IF($J51&gt;MAX('Match Log'!$A$4:$A$1510),NA(),IFERROR(LOOKUP(2,1/(('Match Log'!$D$4:$D$1510=$X$24)*('Match Log'!$A$4:$A$1510&lt;=$J51)),'Match Log'!$N$4:$N$1510),NA()))</f>
        <v>#N/A</v>
      </c>
      <c r="Y51" t="str">
        <f t="shared" ca="1" si="19"/>
        <v/>
      </c>
    </row>
    <row r="52" spans="1:25" ht="15" customHeight="1" x14ac:dyDescent="0.2">
      <c r="A52">
        <v>28</v>
      </c>
      <c r="B52" s="138">
        <f>IFERROR(INDEX('Match Log'!$B$4:$B$1510,MATCH($A52,'Match Log'!$A$4:$A$1510,0)),"")</f>
        <v>46175</v>
      </c>
      <c r="C52" t="str">
        <f>IFERROR(INDEX('Match Log'!$C$4:$C$1510,MATCH($A52,'Match Log'!$A$4:$A$1510,0)),"")</f>
        <v>Table Tennis</v>
      </c>
      <c r="D52" t="str">
        <f t="array" ref="D52">IFERROR(_xlfn.TEXTJOIN(" + ",TRUE(),IF(('Match Log'!$A$4:$A$1510=$A52)*('Match Log'!$E$4:$E$1510="Win"),'Match Log'!$D$4:$D$1510,"")),IFERROR(LOOKUP(2,1/(('Match Log'!$A$4:$A$1510=$A52)*('Match Log'!$E$4:$E$1510="Win")),'Match Log'!$D$4:$D$1510),""))</f>
        <v>Josh</v>
      </c>
      <c r="E52" s="139">
        <f>IFERROR(INDEX('Match Log'!$F$4:$F$1510,MATCH($A52,'Match Log'!$A$4:$A$1510,0)),"")</f>
        <v>2</v>
      </c>
      <c r="F52">
        <f>IFERROR(SUMIFS('Match Log'!$I$4:$I$1510,'Match Log'!$A$4:$A$1510,$A52,'Match Log'!$E$4:$E$1510,"Win"),"")</f>
        <v>0.77777777777777779</v>
      </c>
      <c r="G52">
        <f t="shared" si="17"/>
        <v>-0.55555555555555558</v>
      </c>
      <c r="H52" t="str">
        <f t="array" ref="H52">IFERROR(IF(COUNTIFS('Match Log'!$A$4:$A$1510,$A52,'Match Log'!$E$4:$E$1510,"Win")&gt;1,_xlfn.TEXTJOIN(" + ",TRUE(),IF(('Match Log'!$A$4:$A$1510=$A52)*('Match Log'!$E$4:$E$1510="Loss"),'Match Log'!$D$4:$D$1510,"")),IF($E52=2,LOOKUP(2,1/(('Match Log'!$A$4:$A$1510=$A52)*('Match Log'!$E$4:$E$1510="Loss")),'Match Log'!$D$4:$D$1510),"the field")),"")</f>
        <v>David</v>
      </c>
      <c r="I52">
        <f t="shared" si="18"/>
        <v>-0.55558355555555561</v>
      </c>
      <c r="J52">
        <v>28</v>
      </c>
      <c r="K52">
        <f>IF($J52&gt;MAX('Match Log'!$A$4:$A$1510),NA(),IFERROR(LOOKUP(2,1/(('Match Log'!$D$4:$D$1510=$K$24)*('Match Log'!$A$4:$A$1510&lt;=$J52)),'Match Log'!$N$4:$N$1510),NA()))</f>
        <v>1095.9194321262312</v>
      </c>
      <c r="L52" t="e">
        <f>IF($J52&gt;MAX('Match Log'!$A$4:$A$1510),NA(),IFERROR(LOOKUP(2,1/(('Match Log'!$D$4:$D$1510=$L$24)*('Match Log'!$A$4:$A$1510&lt;=$J52)),'Match Log'!$N$4:$N$1510),NA()))</f>
        <v>#N/A</v>
      </c>
      <c r="M52">
        <f>IF($J52&gt;MAX('Match Log'!$A$4:$A$1510),NA(),IFERROR(LOOKUP(2,1/(('Match Log'!$D$4:$D$1510=$M$24)*('Match Log'!$A$4:$A$1510&lt;=$J52)),'Match Log'!$N$4:$N$1510),NA()))</f>
        <v>1053.2976607677983</v>
      </c>
      <c r="N52">
        <f>IF($J52&gt;MAX('Match Log'!$A$4:$A$1510),NA(),IFERROR(LOOKUP(2,1/(('Match Log'!$D$4:$D$1510=$N$24)*('Match Log'!$A$4:$A$1510&lt;=$J52)),'Match Log'!$N$4:$N$1510),NA()))</f>
        <v>946.26279912436644</v>
      </c>
      <c r="O52">
        <f>IF($J52&gt;MAX('Match Log'!$A$4:$A$1510),NA(),IFERROR(LOOKUP(2,1/(('Match Log'!$D$4:$D$1510=$O$24)*('Match Log'!$A$4:$A$1510&lt;=$J52)),'Match Log'!$N$4:$N$1510),NA()))</f>
        <v>1115.6183486701341</v>
      </c>
      <c r="P52">
        <f>IF($J52&gt;MAX('Match Log'!$A$4:$A$1510),NA(),IFERROR(LOOKUP(2,1/(('Match Log'!$D$4:$D$1510=$P$24)*('Match Log'!$A$4:$A$1510&lt;=$J52)),'Match Log'!$N$4:$N$1510),NA()))</f>
        <v>1007.4743526549773</v>
      </c>
      <c r="Q52">
        <f>IF($J52&gt;MAX('Match Log'!$A$4:$A$1510),NA(),IFERROR(LOOKUP(2,1/(('Match Log'!$D$4:$D$1510=$Q$24)*('Match Log'!$A$4:$A$1510&lt;=$J52)),'Match Log'!$N$4:$N$1510),NA()))</f>
        <v>1004.2142857142857</v>
      </c>
      <c r="R52">
        <f>IF($J52&gt;MAX('Match Log'!$A$4:$A$1510),NA(),IFERROR(LOOKUP(2,1/(('Match Log'!$D$4:$D$1510=$R$24)*('Match Log'!$A$4:$A$1510&lt;=$J52)),'Match Log'!$N$4:$N$1510),NA()))</f>
        <v>907.33636013309672</v>
      </c>
      <c r="S52" t="e">
        <f>IF($J52&gt;MAX('Match Log'!$A$4:$A$1510),NA(),IFERROR(LOOKUP(2,1/(('Match Log'!$D$4:$D$1510=$S$24)*('Match Log'!$A$4:$A$1510&lt;=$J52)),'Match Log'!$N$4:$N$1510),NA()))</f>
        <v>#N/A</v>
      </c>
      <c r="T52">
        <f>IF($J52&gt;MAX('Match Log'!$A$4:$A$1510),NA(),IFERROR(LOOKUP(2,1/(('Match Log'!$D$4:$D$1510=$T$24)*('Match Log'!$A$4:$A$1510&lt;=$J52)),'Match Log'!$N$4:$N$1510),NA()))</f>
        <v>947.60327900388552</v>
      </c>
      <c r="U52">
        <f>IF($J52&gt;MAX('Match Log'!$A$4:$A$1510),NA(),IFERROR(LOOKUP(2,1/(('Match Log'!$D$4:$D$1510=$U$24)*('Match Log'!$A$4:$A$1510&lt;=$J52)),'Match Log'!$N$4:$N$1510),NA()))</f>
        <v>995.27348180522449</v>
      </c>
      <c r="V52" t="e">
        <f>IF($J52&gt;MAX('Match Log'!$A$4:$A$1510),NA(),IFERROR(LOOKUP(2,1/(('Match Log'!$D$4:$D$1510=$V$24)*('Match Log'!$A$4:$A$1510&lt;=$J52)),'Match Log'!$N$4:$N$1510),NA()))</f>
        <v>#N/A</v>
      </c>
      <c r="W52" t="e">
        <f>IF($J52&gt;MAX('Match Log'!$A$4:$A$1510),NA(),IFERROR(LOOKUP(2,1/(('Match Log'!$D$4:$D$1510=$W$24)*('Match Log'!$A$4:$A$1510&lt;=$J52)),'Match Log'!$N$4:$N$1510),NA()))</f>
        <v>#N/A</v>
      </c>
      <c r="X52" t="e">
        <f>IF($J52&gt;MAX('Match Log'!$A$4:$A$1510),NA(),IFERROR(LOOKUP(2,1/(('Match Log'!$D$4:$D$1510=$X$24)*('Match Log'!$A$4:$A$1510&lt;=$J52)),'Match Log'!$N$4:$N$1510),NA()))</f>
        <v>#N/A</v>
      </c>
      <c r="Y52" t="str">
        <f t="shared" ca="1" si="19"/>
        <v/>
      </c>
    </row>
    <row r="53" spans="1:25" ht="15" customHeight="1" x14ac:dyDescent="0.2">
      <c r="A53">
        <v>29</v>
      </c>
      <c r="B53" s="138">
        <f>IFERROR(INDEX('Match Log'!$B$4:$B$1510,MATCH($A53,'Match Log'!$A$4:$A$1510,0)),"")</f>
        <v>46175</v>
      </c>
      <c r="C53" t="str">
        <f>IFERROR(INDEX('Match Log'!$C$4:$C$1510,MATCH($A53,'Match Log'!$A$4:$A$1510,0)),"")</f>
        <v>Table Tennis</v>
      </c>
      <c r="D53" t="str">
        <f t="array" ref="D53">IFERROR(_xlfn.TEXTJOIN(" + ",TRUE(),IF(('Match Log'!$A$4:$A$1510=$A53)*('Match Log'!$E$4:$E$1510="Win"),'Match Log'!$D$4:$D$1510,"")),IFERROR(LOOKUP(2,1/(('Match Log'!$A$4:$A$1510=$A53)*('Match Log'!$E$4:$E$1510="Win")),'Match Log'!$D$4:$D$1510),""))</f>
        <v>Oscar</v>
      </c>
      <c r="E53" s="139">
        <f>IFERROR(INDEX('Match Log'!$F$4:$F$1510,MATCH($A53,'Match Log'!$A$4:$A$1510,0)),"")</f>
        <v>2</v>
      </c>
      <c r="F53">
        <f>IFERROR(SUMIFS('Match Log'!$I$4:$I$1510,'Match Log'!$A$4:$A$1510,$A53,'Match Log'!$E$4:$E$1510,"Win"),"")</f>
        <v>0.5</v>
      </c>
      <c r="G53">
        <f t="shared" si="17"/>
        <v>0</v>
      </c>
      <c r="H53" t="str">
        <f t="array" ref="H53">IFERROR(IF(COUNTIFS('Match Log'!$A$4:$A$1510,$A53,'Match Log'!$E$4:$E$1510,"Win")&gt;1,_xlfn.TEXTJOIN(" + ",TRUE(),IF(('Match Log'!$A$4:$A$1510=$A53)*('Match Log'!$E$4:$E$1510="Loss"),'Match Log'!$D$4:$D$1510,"")),IF($E53=2,LOOKUP(2,1/(('Match Log'!$A$4:$A$1510=$A53)*('Match Log'!$E$4:$E$1510="Loss")),'Match Log'!$D$4:$D$1510),"the field")),"")</f>
        <v>Aaron</v>
      </c>
      <c r="I53">
        <f t="shared" si="18"/>
        <v>-2.9E-5</v>
      </c>
      <c r="J53">
        <v>29</v>
      </c>
      <c r="K53">
        <f>IF($J53&gt;MAX('Match Log'!$A$4:$A$1510),NA(),IFERROR(LOOKUP(2,1/(('Match Log'!$D$4:$D$1510=$K$24)*('Match Log'!$A$4:$A$1510&lt;=$J53)),'Match Log'!$N$4:$N$1510),NA()))</f>
        <v>1069.4099536617093</v>
      </c>
      <c r="L53" t="e">
        <f>IF($J53&gt;MAX('Match Log'!$A$4:$A$1510),NA(),IFERROR(LOOKUP(2,1/(('Match Log'!$D$4:$D$1510=$L$24)*('Match Log'!$A$4:$A$1510&lt;=$J53)),'Match Log'!$N$4:$N$1510),NA()))</f>
        <v>#N/A</v>
      </c>
      <c r="M53">
        <f>IF($J53&gt;MAX('Match Log'!$A$4:$A$1510),NA(),IFERROR(LOOKUP(2,1/(('Match Log'!$D$4:$D$1510=$M$24)*('Match Log'!$A$4:$A$1510&lt;=$J53)),'Match Log'!$N$4:$N$1510),NA()))</f>
        <v>1053.2976607677983</v>
      </c>
      <c r="N53">
        <f>IF($J53&gt;MAX('Match Log'!$A$4:$A$1510),NA(),IFERROR(LOOKUP(2,1/(('Match Log'!$D$4:$D$1510=$N$24)*('Match Log'!$A$4:$A$1510&lt;=$J53)),'Match Log'!$N$4:$N$1510),NA()))</f>
        <v>946.26279912436644</v>
      </c>
      <c r="O53">
        <f>IF($J53&gt;MAX('Match Log'!$A$4:$A$1510),NA(),IFERROR(LOOKUP(2,1/(('Match Log'!$D$4:$D$1510=$O$24)*('Match Log'!$A$4:$A$1510&lt;=$J53)),'Match Log'!$N$4:$N$1510),NA()))</f>
        <v>1115.6183486701341</v>
      </c>
      <c r="P53">
        <f>IF($J53&gt;MAX('Match Log'!$A$4:$A$1510),NA(),IFERROR(LOOKUP(2,1/(('Match Log'!$D$4:$D$1510=$P$24)*('Match Log'!$A$4:$A$1510&lt;=$J53)),'Match Log'!$N$4:$N$1510),NA()))</f>
        <v>1007.4743526549773</v>
      </c>
      <c r="Q53">
        <f>IF($J53&gt;MAX('Match Log'!$A$4:$A$1510),NA(),IFERROR(LOOKUP(2,1/(('Match Log'!$D$4:$D$1510=$Q$24)*('Match Log'!$A$4:$A$1510&lt;=$J53)),'Match Log'!$N$4:$N$1510),NA()))</f>
        <v>1004.2142857142857</v>
      </c>
      <c r="R53">
        <f>IF($J53&gt;MAX('Match Log'!$A$4:$A$1510),NA(),IFERROR(LOOKUP(2,1/(('Match Log'!$D$4:$D$1510=$R$24)*('Match Log'!$A$4:$A$1510&lt;=$J53)),'Match Log'!$N$4:$N$1510),NA()))</f>
        <v>907.33636013309672</v>
      </c>
      <c r="S53" t="e">
        <f>IF($J53&gt;MAX('Match Log'!$A$4:$A$1510),NA(),IFERROR(LOOKUP(2,1/(('Match Log'!$D$4:$D$1510=$S$24)*('Match Log'!$A$4:$A$1510&lt;=$J53)),'Match Log'!$N$4:$N$1510),NA()))</f>
        <v>#N/A</v>
      </c>
      <c r="T53">
        <f>IF($J53&gt;MAX('Match Log'!$A$4:$A$1510),NA(),IFERROR(LOOKUP(2,1/(('Match Log'!$D$4:$D$1510=$T$24)*('Match Log'!$A$4:$A$1510&lt;=$J53)),'Match Log'!$N$4:$N$1510),NA()))</f>
        <v>947.60327900388552</v>
      </c>
      <c r="U53">
        <f>IF($J53&gt;MAX('Match Log'!$A$4:$A$1510),NA(),IFERROR(LOOKUP(2,1/(('Match Log'!$D$4:$D$1510=$U$24)*('Match Log'!$A$4:$A$1510&lt;=$J53)),'Match Log'!$N$4:$N$1510),NA()))</f>
        <v>1021.7829602697462</v>
      </c>
      <c r="V53" t="e">
        <f>IF($J53&gt;MAX('Match Log'!$A$4:$A$1510),NA(),IFERROR(LOOKUP(2,1/(('Match Log'!$D$4:$D$1510=$V$24)*('Match Log'!$A$4:$A$1510&lt;=$J53)),'Match Log'!$N$4:$N$1510),NA()))</f>
        <v>#N/A</v>
      </c>
      <c r="W53" t="e">
        <f>IF($J53&gt;MAX('Match Log'!$A$4:$A$1510),NA(),IFERROR(LOOKUP(2,1/(('Match Log'!$D$4:$D$1510=$W$24)*('Match Log'!$A$4:$A$1510&lt;=$J53)),'Match Log'!$N$4:$N$1510),NA()))</f>
        <v>#N/A</v>
      </c>
      <c r="X53" t="e">
        <f>IF($J53&gt;MAX('Match Log'!$A$4:$A$1510),NA(),IFERROR(LOOKUP(2,1/(('Match Log'!$D$4:$D$1510=$X$24)*('Match Log'!$A$4:$A$1510&lt;=$J53)),'Match Log'!$N$4:$N$1510),NA()))</f>
        <v>#N/A</v>
      </c>
      <c r="Y53" t="str">
        <f t="shared" ca="1" si="19"/>
        <v/>
      </c>
    </row>
    <row r="54" spans="1:25" ht="15" customHeight="1" x14ac:dyDescent="0.2">
      <c r="A54">
        <v>30</v>
      </c>
      <c r="B54" s="138">
        <f>IFERROR(INDEX('Match Log'!$B$4:$B$1510,MATCH($A54,'Match Log'!$A$4:$A$1510,0)),"")</f>
        <v>46175</v>
      </c>
      <c r="C54" t="str">
        <f>IFERROR(INDEX('Match Log'!$C$4:$C$1510,MATCH($A54,'Match Log'!$A$4:$A$1510,0)),"")</f>
        <v>Table Tennis</v>
      </c>
      <c r="D54" t="str">
        <f t="array" ref="D54">IFERROR(_xlfn.TEXTJOIN(" + ",TRUE(),IF(('Match Log'!$A$4:$A$1510=$A54)*('Match Log'!$E$4:$E$1510="Win"),'Match Log'!$D$4:$D$1510,"")),IFERROR(LOOKUP(2,1/(('Match Log'!$A$4:$A$1510=$A54)*('Match Log'!$E$4:$E$1510="Win")),'Match Log'!$D$4:$D$1510),""))</f>
        <v>Aaron</v>
      </c>
      <c r="E54" s="139">
        <f>IFERROR(INDEX('Match Log'!$F$4:$F$1510,MATCH($A54,'Match Log'!$A$4:$A$1510,0)),"")</f>
        <v>2</v>
      </c>
      <c r="F54">
        <f>IFERROR(SUMIFS('Match Log'!$I$4:$I$1510,'Match Log'!$A$4:$A$1510,$A54,'Match Log'!$E$4:$E$1510,"Win"),"")</f>
        <v>0.625</v>
      </c>
      <c r="G54">
        <f t="shared" si="17"/>
        <v>-0.25</v>
      </c>
      <c r="H54" t="str">
        <f t="array" ref="H54">IFERROR(IF(COUNTIFS('Match Log'!$A$4:$A$1510,$A54,'Match Log'!$E$4:$E$1510,"Win")&gt;1,_xlfn.TEXTJOIN(" + ",TRUE(),IF(('Match Log'!$A$4:$A$1510=$A54)*('Match Log'!$E$4:$E$1510="Loss"),'Match Log'!$D$4:$D$1510,"")),IF($E54=2,LOOKUP(2,1/(('Match Log'!$A$4:$A$1510=$A54)*('Match Log'!$E$4:$E$1510="Loss")),'Match Log'!$D$4:$D$1510),"the field")),"")</f>
        <v>David</v>
      </c>
      <c r="I54">
        <f t="shared" si="18"/>
        <v>-0.25002999999999997</v>
      </c>
      <c r="J54">
        <v>30</v>
      </c>
      <c r="K54">
        <f>IF($J54&gt;MAX('Match Log'!$A$4:$A$1510),NA(),IFERROR(LOOKUP(2,1/(('Match Log'!$D$4:$D$1510=$K$24)*('Match Log'!$A$4:$A$1510&lt;=$J54)),'Match Log'!$N$4:$N$1510),NA()))</f>
        <v>1085.2306426479727</v>
      </c>
      <c r="L54" t="e">
        <f>IF($J54&gt;MAX('Match Log'!$A$4:$A$1510),NA(),IFERROR(LOOKUP(2,1/(('Match Log'!$D$4:$D$1510=$L$24)*('Match Log'!$A$4:$A$1510&lt;=$J54)),'Match Log'!$N$4:$N$1510),NA()))</f>
        <v>#N/A</v>
      </c>
      <c r="M54">
        <f>IF($J54&gt;MAX('Match Log'!$A$4:$A$1510),NA(),IFERROR(LOOKUP(2,1/(('Match Log'!$D$4:$D$1510=$M$24)*('Match Log'!$A$4:$A$1510&lt;=$J54)),'Match Log'!$N$4:$N$1510),NA()))</f>
        <v>1053.2976607677983</v>
      </c>
      <c r="N54">
        <f>IF($J54&gt;MAX('Match Log'!$A$4:$A$1510),NA(),IFERROR(LOOKUP(2,1/(('Match Log'!$D$4:$D$1510=$N$24)*('Match Log'!$A$4:$A$1510&lt;=$J54)),'Match Log'!$N$4:$N$1510),NA()))</f>
        <v>930.4421101381032</v>
      </c>
      <c r="O54">
        <f>IF($J54&gt;MAX('Match Log'!$A$4:$A$1510),NA(),IFERROR(LOOKUP(2,1/(('Match Log'!$D$4:$D$1510=$O$24)*('Match Log'!$A$4:$A$1510&lt;=$J54)),'Match Log'!$N$4:$N$1510),NA()))</f>
        <v>1115.6183486701341</v>
      </c>
      <c r="P54">
        <f>IF($J54&gt;MAX('Match Log'!$A$4:$A$1510),NA(),IFERROR(LOOKUP(2,1/(('Match Log'!$D$4:$D$1510=$P$24)*('Match Log'!$A$4:$A$1510&lt;=$J54)),'Match Log'!$N$4:$N$1510),NA()))</f>
        <v>1007.4743526549773</v>
      </c>
      <c r="Q54">
        <f>IF($J54&gt;MAX('Match Log'!$A$4:$A$1510),NA(),IFERROR(LOOKUP(2,1/(('Match Log'!$D$4:$D$1510=$Q$24)*('Match Log'!$A$4:$A$1510&lt;=$J54)),'Match Log'!$N$4:$N$1510),NA()))</f>
        <v>1004.2142857142857</v>
      </c>
      <c r="R54">
        <f>IF($J54&gt;MAX('Match Log'!$A$4:$A$1510),NA(),IFERROR(LOOKUP(2,1/(('Match Log'!$D$4:$D$1510=$R$24)*('Match Log'!$A$4:$A$1510&lt;=$J54)),'Match Log'!$N$4:$N$1510),NA()))</f>
        <v>907.33636013309672</v>
      </c>
      <c r="S54" t="e">
        <f>IF($J54&gt;MAX('Match Log'!$A$4:$A$1510),NA(),IFERROR(LOOKUP(2,1/(('Match Log'!$D$4:$D$1510=$S$24)*('Match Log'!$A$4:$A$1510&lt;=$J54)),'Match Log'!$N$4:$N$1510),NA()))</f>
        <v>#N/A</v>
      </c>
      <c r="T54">
        <f>IF($J54&gt;MAX('Match Log'!$A$4:$A$1510),NA(),IFERROR(LOOKUP(2,1/(('Match Log'!$D$4:$D$1510=$T$24)*('Match Log'!$A$4:$A$1510&lt;=$J54)),'Match Log'!$N$4:$N$1510),NA()))</f>
        <v>947.60327900388552</v>
      </c>
      <c r="U54">
        <f>IF($J54&gt;MAX('Match Log'!$A$4:$A$1510),NA(),IFERROR(LOOKUP(2,1/(('Match Log'!$D$4:$D$1510=$U$24)*('Match Log'!$A$4:$A$1510&lt;=$J54)),'Match Log'!$N$4:$N$1510),NA()))</f>
        <v>1021.7829602697462</v>
      </c>
      <c r="V54" t="e">
        <f>IF($J54&gt;MAX('Match Log'!$A$4:$A$1510),NA(),IFERROR(LOOKUP(2,1/(('Match Log'!$D$4:$D$1510=$V$24)*('Match Log'!$A$4:$A$1510&lt;=$J54)),'Match Log'!$N$4:$N$1510),NA()))</f>
        <v>#N/A</v>
      </c>
      <c r="W54" t="e">
        <f>IF($J54&gt;MAX('Match Log'!$A$4:$A$1510),NA(),IFERROR(LOOKUP(2,1/(('Match Log'!$D$4:$D$1510=$W$24)*('Match Log'!$A$4:$A$1510&lt;=$J54)),'Match Log'!$N$4:$N$1510),NA()))</f>
        <v>#N/A</v>
      </c>
      <c r="X54" t="e">
        <f>IF($J54&gt;MAX('Match Log'!$A$4:$A$1510),NA(),IFERROR(LOOKUP(2,1/(('Match Log'!$D$4:$D$1510=$X$24)*('Match Log'!$A$4:$A$1510&lt;=$J54)),'Match Log'!$N$4:$N$1510),NA()))</f>
        <v>#N/A</v>
      </c>
      <c r="Y54" t="str">
        <f t="shared" ca="1" si="19"/>
        <v/>
      </c>
    </row>
    <row r="55" spans="1:25" ht="15" customHeight="1" x14ac:dyDescent="0.2">
      <c r="A55">
        <v>31</v>
      </c>
      <c r="B55" s="138">
        <f>IFERROR(INDEX('Match Log'!$B$4:$B$1510,MATCH($A55,'Match Log'!$A$4:$A$1510,0)),"")</f>
        <v>46175</v>
      </c>
      <c r="C55" t="str">
        <f>IFERROR(INDEX('Match Log'!$C$4:$C$1510,MATCH($A55,'Match Log'!$A$4:$A$1510,0)),"")</f>
        <v>Call of Duty</v>
      </c>
      <c r="D55" t="str">
        <f t="array" ref="D55">IFERROR(_xlfn.TEXTJOIN(" + ",TRUE(),IF(('Match Log'!$A$4:$A$1510=$A55)*('Match Log'!$E$4:$E$1510="Win"),'Match Log'!$D$4:$D$1510,"")),IFERROR(LOOKUP(2,1/(('Match Log'!$A$4:$A$1510=$A55)*('Match Log'!$E$4:$E$1510="Win")),'Match Log'!$D$4:$D$1510),""))</f>
        <v>Daniel (Ferret)</v>
      </c>
      <c r="E55" s="139">
        <f>IFERROR(INDEX('Match Log'!$F$4:$F$1510,MATCH($A55,'Match Log'!$A$4:$A$1510,0)),"")</f>
        <v>2</v>
      </c>
      <c r="F55">
        <f>IFERROR(SUMIFS('Match Log'!$I$4:$I$1510,'Match Log'!$A$4:$A$1510,$A55,'Match Log'!$E$4:$E$1510,"Win"),"")</f>
        <v>0.5</v>
      </c>
      <c r="G55">
        <f t="shared" si="17"/>
        <v>0</v>
      </c>
      <c r="H55" t="str">
        <f t="array" ref="H55">IFERROR(IF(COUNTIFS('Match Log'!$A$4:$A$1510,$A55,'Match Log'!$E$4:$E$1510,"Win")&gt;1,_xlfn.TEXTJOIN(" + ",TRUE(),IF(('Match Log'!$A$4:$A$1510=$A55)*('Match Log'!$E$4:$E$1510="Loss"),'Match Log'!$D$4:$D$1510,"")),IF($E55=2,LOOKUP(2,1/(('Match Log'!$A$4:$A$1510=$A55)*('Match Log'!$E$4:$E$1510="Loss")),'Match Log'!$D$4:$D$1510),"the field")),"")</f>
        <v>Aaron</v>
      </c>
      <c r="I55">
        <f t="shared" si="18"/>
        <v>-3.1000000000000001E-5</v>
      </c>
      <c r="J55">
        <v>31</v>
      </c>
      <c r="K55">
        <f>IF($J55&gt;MAX('Match Log'!$A$4:$A$1510),NA(),IFERROR(LOOKUP(2,1/(('Match Log'!$D$4:$D$1510=$K$24)*('Match Log'!$A$4:$A$1510&lt;=$J55)),'Match Log'!$N$4:$N$1510),NA()))</f>
        <v>1055.6863499590656</v>
      </c>
      <c r="L55" t="e">
        <f>IF($J55&gt;MAX('Match Log'!$A$4:$A$1510),NA(),IFERROR(LOOKUP(2,1/(('Match Log'!$D$4:$D$1510=$L$24)*('Match Log'!$A$4:$A$1510&lt;=$J55)),'Match Log'!$N$4:$N$1510),NA()))</f>
        <v>#N/A</v>
      </c>
      <c r="M55">
        <f>IF($J55&gt;MAX('Match Log'!$A$4:$A$1510),NA(),IFERROR(LOOKUP(2,1/(('Match Log'!$D$4:$D$1510=$M$24)*('Match Log'!$A$4:$A$1510&lt;=$J55)),'Match Log'!$N$4:$N$1510),NA()))</f>
        <v>1053.2976607677983</v>
      </c>
      <c r="N55">
        <f>IF($J55&gt;MAX('Match Log'!$A$4:$A$1510),NA(),IFERROR(LOOKUP(2,1/(('Match Log'!$D$4:$D$1510=$N$24)*('Match Log'!$A$4:$A$1510&lt;=$J55)),'Match Log'!$N$4:$N$1510),NA()))</f>
        <v>930.4421101381032</v>
      </c>
      <c r="O55">
        <f>IF($J55&gt;MAX('Match Log'!$A$4:$A$1510),NA(),IFERROR(LOOKUP(2,1/(('Match Log'!$D$4:$D$1510=$O$24)*('Match Log'!$A$4:$A$1510&lt;=$J55)),'Match Log'!$N$4:$N$1510),NA()))</f>
        <v>1115.6183486701341</v>
      </c>
      <c r="P55">
        <f>IF($J55&gt;MAX('Match Log'!$A$4:$A$1510),NA(),IFERROR(LOOKUP(2,1/(('Match Log'!$D$4:$D$1510=$P$24)*('Match Log'!$A$4:$A$1510&lt;=$J55)),'Match Log'!$N$4:$N$1510),NA()))</f>
        <v>1007.4743526549773</v>
      </c>
      <c r="Q55">
        <f>IF($J55&gt;MAX('Match Log'!$A$4:$A$1510),NA(),IFERROR(LOOKUP(2,1/(('Match Log'!$D$4:$D$1510=$Q$24)*('Match Log'!$A$4:$A$1510&lt;=$J55)),'Match Log'!$N$4:$N$1510),NA()))</f>
        <v>1004.2142857142857</v>
      </c>
      <c r="R55">
        <f>IF($J55&gt;MAX('Match Log'!$A$4:$A$1510),NA(),IFERROR(LOOKUP(2,1/(('Match Log'!$D$4:$D$1510=$R$24)*('Match Log'!$A$4:$A$1510&lt;=$J55)),'Match Log'!$N$4:$N$1510),NA()))</f>
        <v>936.88065282200364</v>
      </c>
      <c r="S55" t="e">
        <f>IF($J55&gt;MAX('Match Log'!$A$4:$A$1510),NA(),IFERROR(LOOKUP(2,1/(('Match Log'!$D$4:$D$1510=$S$24)*('Match Log'!$A$4:$A$1510&lt;=$J55)),'Match Log'!$N$4:$N$1510),NA()))</f>
        <v>#N/A</v>
      </c>
      <c r="T55">
        <f>IF($J55&gt;MAX('Match Log'!$A$4:$A$1510),NA(),IFERROR(LOOKUP(2,1/(('Match Log'!$D$4:$D$1510=$T$24)*('Match Log'!$A$4:$A$1510&lt;=$J55)),'Match Log'!$N$4:$N$1510),NA()))</f>
        <v>947.60327900388552</v>
      </c>
      <c r="U55">
        <f>IF($J55&gt;MAX('Match Log'!$A$4:$A$1510),NA(),IFERROR(LOOKUP(2,1/(('Match Log'!$D$4:$D$1510=$U$24)*('Match Log'!$A$4:$A$1510&lt;=$J55)),'Match Log'!$N$4:$N$1510),NA()))</f>
        <v>1021.7829602697462</v>
      </c>
      <c r="V55" t="e">
        <f>IF($J55&gt;MAX('Match Log'!$A$4:$A$1510),NA(),IFERROR(LOOKUP(2,1/(('Match Log'!$D$4:$D$1510=$V$24)*('Match Log'!$A$4:$A$1510&lt;=$J55)),'Match Log'!$N$4:$N$1510),NA()))</f>
        <v>#N/A</v>
      </c>
      <c r="W55" t="e">
        <f>IF($J55&gt;MAX('Match Log'!$A$4:$A$1510),NA(),IFERROR(LOOKUP(2,1/(('Match Log'!$D$4:$D$1510=$W$24)*('Match Log'!$A$4:$A$1510&lt;=$J55)),'Match Log'!$N$4:$N$1510),NA()))</f>
        <v>#N/A</v>
      </c>
      <c r="X55" t="e">
        <f>IF($J55&gt;MAX('Match Log'!$A$4:$A$1510),NA(),IFERROR(LOOKUP(2,1/(('Match Log'!$D$4:$D$1510=$X$24)*('Match Log'!$A$4:$A$1510&lt;=$J55)),'Match Log'!$N$4:$N$1510),NA()))</f>
        <v>#N/A</v>
      </c>
      <c r="Y55" t="str">
        <f t="shared" ca="1" si="19"/>
        <v/>
      </c>
    </row>
    <row r="56" spans="1:25" ht="15" customHeight="1" x14ac:dyDescent="0.2">
      <c r="A56">
        <v>32</v>
      </c>
      <c r="B56" s="138">
        <f>IFERROR(INDEX('Match Log'!$B$4:$B$1510,MATCH($A56,'Match Log'!$A$4:$A$1510,0)),"")</f>
        <v>46175</v>
      </c>
      <c r="C56" t="str">
        <f>IFERROR(INDEX('Match Log'!$C$4:$C$1510,MATCH($A56,'Match Log'!$A$4:$A$1510,0)),"")</f>
        <v>Call of Duty</v>
      </c>
      <c r="D56" t="str">
        <f t="array" ref="D56">IFERROR(_xlfn.TEXTJOIN(" + ",TRUE(),IF(('Match Log'!$A$4:$A$1510=$A56)*('Match Log'!$E$4:$E$1510="Win"),'Match Log'!$D$4:$D$1510,"")),IFERROR(LOOKUP(2,1/(('Match Log'!$A$4:$A$1510=$A56)*('Match Log'!$E$4:$E$1510="Win")),'Match Log'!$D$4:$D$1510),""))</f>
        <v>Daniel (Ferret)</v>
      </c>
      <c r="E56" s="139">
        <f>IFERROR(INDEX('Match Log'!$F$4:$F$1510,MATCH($A56,'Match Log'!$A$4:$A$1510,0)),"")</f>
        <v>2</v>
      </c>
      <c r="F56">
        <f>IFERROR(SUMIFS('Match Log'!$I$4:$I$1510,'Match Log'!$A$4:$A$1510,$A56,'Match Log'!$E$4:$E$1510,"Win"),"")</f>
        <v>0.57142857142857151</v>
      </c>
      <c r="G56">
        <f t="shared" si="17"/>
        <v>-0.14285714285714302</v>
      </c>
      <c r="H56" t="str">
        <f t="array" ref="H56">IFERROR(IF(COUNTIFS('Match Log'!$A$4:$A$1510,$A56,'Match Log'!$E$4:$E$1510,"Win")&gt;1,_xlfn.TEXTJOIN(" + ",TRUE(),IF(('Match Log'!$A$4:$A$1510=$A56)*('Match Log'!$E$4:$E$1510="Loss"),'Match Log'!$D$4:$D$1510,"")),IF($E56=2,LOOKUP(2,1/(('Match Log'!$A$4:$A$1510=$A56)*('Match Log'!$E$4:$E$1510="Loss")),'Match Log'!$D$4:$D$1510),"the field")),"")</f>
        <v>Chase</v>
      </c>
      <c r="I56">
        <f t="shared" si="18"/>
        <v>-0.14288914285714302</v>
      </c>
      <c r="J56">
        <v>32</v>
      </c>
      <c r="K56">
        <f>IF($J56&gt;MAX('Match Log'!$A$4:$A$1510),NA(),IFERROR(LOOKUP(2,1/(('Match Log'!$D$4:$D$1510=$K$24)*('Match Log'!$A$4:$A$1510&lt;=$J56)),'Match Log'!$N$4:$N$1510),NA()))</f>
        <v>1055.6863499590656</v>
      </c>
      <c r="L56" t="e">
        <f>IF($J56&gt;MAX('Match Log'!$A$4:$A$1510),NA(),IFERROR(LOOKUP(2,1/(('Match Log'!$D$4:$D$1510=$L$24)*('Match Log'!$A$4:$A$1510&lt;=$J56)),'Match Log'!$N$4:$N$1510),NA()))</f>
        <v>#N/A</v>
      </c>
      <c r="M56">
        <f>IF($J56&gt;MAX('Match Log'!$A$4:$A$1510),NA(),IFERROR(LOOKUP(2,1/(('Match Log'!$D$4:$D$1510=$M$24)*('Match Log'!$A$4:$A$1510&lt;=$J56)),'Match Log'!$N$4:$N$1510),NA()))</f>
        <v>1027.5359902116627</v>
      </c>
      <c r="N56">
        <f>IF($J56&gt;MAX('Match Log'!$A$4:$A$1510),NA(),IFERROR(LOOKUP(2,1/(('Match Log'!$D$4:$D$1510=$N$24)*('Match Log'!$A$4:$A$1510&lt;=$J56)),'Match Log'!$N$4:$N$1510),NA()))</f>
        <v>930.4421101381032</v>
      </c>
      <c r="O56">
        <f>IF($J56&gt;MAX('Match Log'!$A$4:$A$1510),NA(),IFERROR(LOOKUP(2,1/(('Match Log'!$D$4:$D$1510=$O$24)*('Match Log'!$A$4:$A$1510&lt;=$J56)),'Match Log'!$N$4:$N$1510),NA()))</f>
        <v>1115.6183486701341</v>
      </c>
      <c r="P56">
        <f>IF($J56&gt;MAX('Match Log'!$A$4:$A$1510),NA(),IFERROR(LOOKUP(2,1/(('Match Log'!$D$4:$D$1510=$P$24)*('Match Log'!$A$4:$A$1510&lt;=$J56)),'Match Log'!$N$4:$N$1510),NA()))</f>
        <v>1007.4743526549773</v>
      </c>
      <c r="Q56">
        <f>IF($J56&gt;MAX('Match Log'!$A$4:$A$1510),NA(),IFERROR(LOOKUP(2,1/(('Match Log'!$D$4:$D$1510=$Q$24)*('Match Log'!$A$4:$A$1510&lt;=$J56)),'Match Log'!$N$4:$N$1510),NA()))</f>
        <v>1004.2142857142857</v>
      </c>
      <c r="R56">
        <f>IF($J56&gt;MAX('Match Log'!$A$4:$A$1510),NA(),IFERROR(LOOKUP(2,1/(('Match Log'!$D$4:$D$1510=$R$24)*('Match Log'!$A$4:$A$1510&lt;=$J56)),'Match Log'!$N$4:$N$1510),NA()))</f>
        <v>962.64232337813939</v>
      </c>
      <c r="S56" t="e">
        <f>IF($J56&gt;MAX('Match Log'!$A$4:$A$1510),NA(),IFERROR(LOOKUP(2,1/(('Match Log'!$D$4:$D$1510=$S$24)*('Match Log'!$A$4:$A$1510&lt;=$J56)),'Match Log'!$N$4:$N$1510),NA()))</f>
        <v>#N/A</v>
      </c>
      <c r="T56">
        <f>IF($J56&gt;MAX('Match Log'!$A$4:$A$1510),NA(),IFERROR(LOOKUP(2,1/(('Match Log'!$D$4:$D$1510=$T$24)*('Match Log'!$A$4:$A$1510&lt;=$J56)),'Match Log'!$N$4:$N$1510),NA()))</f>
        <v>947.60327900388552</v>
      </c>
      <c r="U56">
        <f>IF($J56&gt;MAX('Match Log'!$A$4:$A$1510),NA(),IFERROR(LOOKUP(2,1/(('Match Log'!$D$4:$D$1510=$U$24)*('Match Log'!$A$4:$A$1510&lt;=$J56)),'Match Log'!$N$4:$N$1510),NA()))</f>
        <v>1021.7829602697462</v>
      </c>
      <c r="V56" t="e">
        <f>IF($J56&gt;MAX('Match Log'!$A$4:$A$1510),NA(),IFERROR(LOOKUP(2,1/(('Match Log'!$D$4:$D$1510=$V$24)*('Match Log'!$A$4:$A$1510&lt;=$J56)),'Match Log'!$N$4:$N$1510),NA()))</f>
        <v>#N/A</v>
      </c>
      <c r="W56" t="e">
        <f>IF($J56&gt;MAX('Match Log'!$A$4:$A$1510),NA(),IFERROR(LOOKUP(2,1/(('Match Log'!$D$4:$D$1510=$W$24)*('Match Log'!$A$4:$A$1510&lt;=$J56)),'Match Log'!$N$4:$N$1510),NA()))</f>
        <v>#N/A</v>
      </c>
      <c r="X56" t="e">
        <f>IF($J56&gt;MAX('Match Log'!$A$4:$A$1510),NA(),IFERROR(LOOKUP(2,1/(('Match Log'!$D$4:$D$1510=$X$24)*('Match Log'!$A$4:$A$1510&lt;=$J56)),'Match Log'!$N$4:$N$1510),NA()))</f>
        <v>#N/A</v>
      </c>
      <c r="Y56" t="str">
        <f t="shared" ca="1" si="19"/>
        <v/>
      </c>
    </row>
    <row r="57" spans="1:25" ht="15" customHeight="1" x14ac:dyDescent="0.2">
      <c r="A57">
        <v>33</v>
      </c>
      <c r="B57" s="138">
        <f>IFERROR(INDEX('Match Log'!$B$4:$B$1510,MATCH($A57,'Match Log'!$A$4:$A$1510,0)),"")</f>
        <v>46175</v>
      </c>
      <c r="C57" t="str">
        <f>IFERROR(INDEX('Match Log'!$C$4:$C$1510,MATCH($A57,'Match Log'!$A$4:$A$1510,0)),"")</f>
        <v>Call of Duty</v>
      </c>
      <c r="D57" t="str">
        <f t="array" ref="D57">IFERROR(_xlfn.TEXTJOIN(" + ",TRUE(),IF(('Match Log'!$A$4:$A$1510=$A57)*('Match Log'!$E$4:$E$1510="Win"),'Match Log'!$D$4:$D$1510,"")),IFERROR(LOOKUP(2,1/(('Match Log'!$A$4:$A$1510=$A57)*('Match Log'!$E$4:$E$1510="Win")),'Match Log'!$D$4:$D$1510),""))</f>
        <v>Aaron</v>
      </c>
      <c r="E57" s="139">
        <f>IFERROR(INDEX('Match Log'!$F$4:$F$1510,MATCH($A57,'Match Log'!$A$4:$A$1510,0)),"")</f>
        <v>2</v>
      </c>
      <c r="F57">
        <f>IFERROR(SUMIFS('Match Log'!$I$4:$I$1510,'Match Log'!$A$4:$A$1510,$A57,'Match Log'!$E$4:$E$1510,"Win"),"")</f>
        <v>0.5</v>
      </c>
      <c r="G57">
        <f t="shared" si="17"/>
        <v>0</v>
      </c>
      <c r="H57" t="str">
        <f t="array" ref="H57">IFERROR(IF(COUNTIFS('Match Log'!$A$4:$A$1510,$A57,'Match Log'!$E$4:$E$1510,"Win")&gt;1,_xlfn.TEXTJOIN(" + ",TRUE(),IF(('Match Log'!$A$4:$A$1510=$A57)*('Match Log'!$E$4:$E$1510="Loss"),'Match Log'!$D$4:$D$1510,"")),IF($E57=2,LOOKUP(2,1/(('Match Log'!$A$4:$A$1510=$A57)*('Match Log'!$E$4:$E$1510="Loss")),'Match Log'!$D$4:$D$1510),"the field")),"")</f>
        <v>Chase</v>
      </c>
      <c r="I57">
        <f t="shared" si="18"/>
        <v>-3.3000000000000003E-5</v>
      </c>
      <c r="J57">
        <v>33</v>
      </c>
      <c r="K57">
        <f>IF($J57&gt;MAX('Match Log'!$A$4:$A$1510),NA(),IFERROR(LOOKUP(2,1/(('Match Log'!$D$4:$D$1510=$K$24)*('Match Log'!$A$4:$A$1510&lt;=$J57)),'Match Log'!$N$4:$N$1510),NA()))</f>
        <v>1076.6133044665753</v>
      </c>
      <c r="L57" t="e">
        <f>IF($J57&gt;MAX('Match Log'!$A$4:$A$1510),NA(),IFERROR(LOOKUP(2,1/(('Match Log'!$D$4:$D$1510=$L$24)*('Match Log'!$A$4:$A$1510&lt;=$J57)),'Match Log'!$N$4:$N$1510),NA()))</f>
        <v>#N/A</v>
      </c>
      <c r="M57">
        <f>IF($J57&gt;MAX('Match Log'!$A$4:$A$1510),NA(),IFERROR(LOOKUP(2,1/(('Match Log'!$D$4:$D$1510=$M$24)*('Match Log'!$A$4:$A$1510&lt;=$J57)),'Match Log'!$N$4:$N$1510),NA()))</f>
        <v>1006.6090357041531</v>
      </c>
      <c r="N57">
        <f>IF($J57&gt;MAX('Match Log'!$A$4:$A$1510),NA(),IFERROR(LOOKUP(2,1/(('Match Log'!$D$4:$D$1510=$N$24)*('Match Log'!$A$4:$A$1510&lt;=$J57)),'Match Log'!$N$4:$N$1510),NA()))</f>
        <v>930.4421101381032</v>
      </c>
      <c r="O57">
        <f>IF($J57&gt;MAX('Match Log'!$A$4:$A$1510),NA(),IFERROR(LOOKUP(2,1/(('Match Log'!$D$4:$D$1510=$O$24)*('Match Log'!$A$4:$A$1510&lt;=$J57)),'Match Log'!$N$4:$N$1510),NA()))</f>
        <v>1115.6183486701341</v>
      </c>
      <c r="P57">
        <f>IF($J57&gt;MAX('Match Log'!$A$4:$A$1510),NA(),IFERROR(LOOKUP(2,1/(('Match Log'!$D$4:$D$1510=$P$24)*('Match Log'!$A$4:$A$1510&lt;=$J57)),'Match Log'!$N$4:$N$1510),NA()))</f>
        <v>1007.4743526549773</v>
      </c>
      <c r="Q57">
        <f>IF($J57&gt;MAX('Match Log'!$A$4:$A$1510),NA(),IFERROR(LOOKUP(2,1/(('Match Log'!$D$4:$D$1510=$Q$24)*('Match Log'!$A$4:$A$1510&lt;=$J57)),'Match Log'!$N$4:$N$1510),NA()))</f>
        <v>1004.2142857142857</v>
      </c>
      <c r="R57">
        <f>IF($J57&gt;MAX('Match Log'!$A$4:$A$1510),NA(),IFERROR(LOOKUP(2,1/(('Match Log'!$D$4:$D$1510=$R$24)*('Match Log'!$A$4:$A$1510&lt;=$J57)),'Match Log'!$N$4:$N$1510),NA()))</f>
        <v>962.64232337813939</v>
      </c>
      <c r="S57" t="e">
        <f>IF($J57&gt;MAX('Match Log'!$A$4:$A$1510),NA(),IFERROR(LOOKUP(2,1/(('Match Log'!$D$4:$D$1510=$S$24)*('Match Log'!$A$4:$A$1510&lt;=$J57)),'Match Log'!$N$4:$N$1510),NA()))</f>
        <v>#N/A</v>
      </c>
      <c r="T57">
        <f>IF($J57&gt;MAX('Match Log'!$A$4:$A$1510),NA(),IFERROR(LOOKUP(2,1/(('Match Log'!$D$4:$D$1510=$T$24)*('Match Log'!$A$4:$A$1510&lt;=$J57)),'Match Log'!$N$4:$N$1510),NA()))</f>
        <v>947.60327900388552</v>
      </c>
      <c r="U57">
        <f>IF($J57&gt;MAX('Match Log'!$A$4:$A$1510),NA(),IFERROR(LOOKUP(2,1/(('Match Log'!$D$4:$D$1510=$U$24)*('Match Log'!$A$4:$A$1510&lt;=$J57)),'Match Log'!$N$4:$N$1510),NA()))</f>
        <v>1021.7829602697462</v>
      </c>
      <c r="V57" t="e">
        <f>IF($J57&gt;MAX('Match Log'!$A$4:$A$1510),NA(),IFERROR(LOOKUP(2,1/(('Match Log'!$D$4:$D$1510=$V$24)*('Match Log'!$A$4:$A$1510&lt;=$J57)),'Match Log'!$N$4:$N$1510),NA()))</f>
        <v>#N/A</v>
      </c>
      <c r="W57" t="e">
        <f>IF($J57&gt;MAX('Match Log'!$A$4:$A$1510),NA(),IFERROR(LOOKUP(2,1/(('Match Log'!$D$4:$D$1510=$W$24)*('Match Log'!$A$4:$A$1510&lt;=$J57)),'Match Log'!$N$4:$N$1510),NA()))</f>
        <v>#N/A</v>
      </c>
      <c r="X57" t="e">
        <f>IF($J57&gt;MAX('Match Log'!$A$4:$A$1510),NA(),IFERROR(LOOKUP(2,1/(('Match Log'!$D$4:$D$1510=$X$24)*('Match Log'!$A$4:$A$1510&lt;=$J57)),'Match Log'!$N$4:$N$1510),NA()))</f>
        <v>#N/A</v>
      </c>
      <c r="Y57" t="str">
        <f t="shared" ca="1" si="19"/>
        <v/>
      </c>
    </row>
    <row r="58" spans="1:25" ht="15" customHeight="1" x14ac:dyDescent="0.2">
      <c r="A58">
        <v>34</v>
      </c>
      <c r="B58" s="138">
        <f>IFERROR(INDEX('Match Log'!$B$4:$B$1510,MATCH($A58,'Match Log'!$A$4:$A$1510,0)),"")</f>
        <v>46175</v>
      </c>
      <c r="C58" t="str">
        <f>IFERROR(INDEX('Match Log'!$C$4:$C$1510,MATCH($A58,'Match Log'!$A$4:$A$1510,0)),"")</f>
        <v>Poker</v>
      </c>
      <c r="D58" t="str">
        <f t="array" ref="D58">IFERROR(_xlfn.TEXTJOIN(" + ",TRUE(),IF(('Match Log'!$A$4:$A$1510=$A58)*('Match Log'!$E$4:$E$1510="Win"),'Match Log'!$D$4:$D$1510,"")),IFERROR(LOOKUP(2,1/(('Match Log'!$A$4:$A$1510=$A58)*('Match Log'!$E$4:$E$1510="Win")),'Match Log'!$D$4:$D$1510),""))</f>
        <v>Josh</v>
      </c>
      <c r="E58" s="139">
        <f>IFERROR(INDEX('Match Log'!$F$4:$F$1510,MATCH($A58,'Match Log'!$A$4:$A$1510,0)),"")</f>
        <v>3</v>
      </c>
      <c r="F58">
        <f>IFERROR(SUMIFS('Match Log'!$I$4:$I$1510,'Match Log'!$A$4:$A$1510,$A58,'Match Log'!$E$4:$E$1510,"Win"),"")</f>
        <v>0.33333333333333331</v>
      </c>
      <c r="G58">
        <f t="shared" si="17"/>
        <v>0</v>
      </c>
      <c r="H58" t="str">
        <f t="array" ref="H58">IFERROR(IF(COUNTIFS('Match Log'!$A$4:$A$1510,$A58,'Match Log'!$E$4:$E$1510,"Win")&gt;1,_xlfn.TEXTJOIN(" + ",TRUE(),IF(('Match Log'!$A$4:$A$1510=$A58)*('Match Log'!$E$4:$E$1510="Loss"),'Match Log'!$D$4:$D$1510,"")),IF($E58=2,LOOKUP(2,1/(('Match Log'!$A$4:$A$1510=$A58)*('Match Log'!$E$4:$E$1510="Loss")),'Match Log'!$D$4:$D$1510),"the field")),"")</f>
        <v>the field</v>
      </c>
      <c r="I58">
        <f t="shared" si="18"/>
        <v>-3.4E-5</v>
      </c>
      <c r="J58">
        <v>34</v>
      </c>
      <c r="K58">
        <f>IF($J58&gt;MAX('Match Log'!$A$4:$A$1510),NA(),IFERROR(LOOKUP(2,1/(('Match Log'!$D$4:$D$1510=$K$24)*('Match Log'!$A$4:$A$1510&lt;=$J58)),'Match Log'!$N$4:$N$1510),NA()))</f>
        <v>1076.6133044665753</v>
      </c>
      <c r="L58" t="e">
        <f>IF($J58&gt;MAX('Match Log'!$A$4:$A$1510),NA(),IFERROR(LOOKUP(2,1/(('Match Log'!$D$4:$D$1510=$L$24)*('Match Log'!$A$4:$A$1510&lt;=$J58)),'Match Log'!$N$4:$N$1510),NA()))</f>
        <v>#N/A</v>
      </c>
      <c r="M58">
        <f>IF($J58&gt;MAX('Match Log'!$A$4:$A$1510),NA(),IFERROR(LOOKUP(2,1/(('Match Log'!$D$4:$D$1510=$M$24)*('Match Log'!$A$4:$A$1510&lt;=$J58)),'Match Log'!$N$4:$N$1510),NA()))</f>
        <v>1000.0398229848671</v>
      </c>
      <c r="N58">
        <f>IF($J58&gt;MAX('Match Log'!$A$4:$A$1510),NA(),IFERROR(LOOKUP(2,1/(('Match Log'!$D$4:$D$1510=$N$24)*('Match Log'!$A$4:$A$1510&lt;=$J58)),'Match Log'!$N$4:$N$1510),NA()))</f>
        <v>930.4421101381032</v>
      </c>
      <c r="O58">
        <f>IF($J58&gt;MAX('Match Log'!$A$4:$A$1510),NA(),IFERROR(LOOKUP(2,1/(('Match Log'!$D$4:$D$1510=$O$24)*('Match Log'!$A$4:$A$1510&lt;=$J58)),'Match Log'!$N$4:$N$1510),NA()))</f>
        <v>1136.8764141290719</v>
      </c>
      <c r="P58">
        <f>IF($J58&gt;MAX('Match Log'!$A$4:$A$1510),NA(),IFERROR(LOOKUP(2,1/(('Match Log'!$D$4:$D$1510=$P$24)*('Match Log'!$A$4:$A$1510&lt;=$J58)),'Match Log'!$N$4:$N$1510),NA()))</f>
        <v>1007.4743526549773</v>
      </c>
      <c r="Q58">
        <f>IF($J58&gt;MAX('Match Log'!$A$4:$A$1510),NA(),IFERROR(LOOKUP(2,1/(('Match Log'!$D$4:$D$1510=$Q$24)*('Match Log'!$A$4:$A$1510&lt;=$J58)),'Match Log'!$N$4:$N$1510),NA()))</f>
        <v>1004.2142857142857</v>
      </c>
      <c r="R58">
        <f>IF($J58&gt;MAX('Match Log'!$A$4:$A$1510),NA(),IFERROR(LOOKUP(2,1/(('Match Log'!$D$4:$D$1510=$R$24)*('Match Log'!$A$4:$A$1510&lt;=$J58)),'Match Log'!$N$4:$N$1510),NA()))</f>
        <v>956.9534706384876</v>
      </c>
      <c r="S58" t="e">
        <f>IF($J58&gt;MAX('Match Log'!$A$4:$A$1510),NA(),IFERROR(LOOKUP(2,1/(('Match Log'!$D$4:$D$1510=$S$24)*('Match Log'!$A$4:$A$1510&lt;=$J58)),'Match Log'!$N$4:$N$1510),NA()))</f>
        <v>#N/A</v>
      </c>
      <c r="T58">
        <f>IF($J58&gt;MAX('Match Log'!$A$4:$A$1510),NA(),IFERROR(LOOKUP(2,1/(('Match Log'!$D$4:$D$1510=$T$24)*('Match Log'!$A$4:$A$1510&lt;=$J58)),'Match Log'!$N$4:$N$1510),NA()))</f>
        <v>947.60327900388552</v>
      </c>
      <c r="U58">
        <f>IF($J58&gt;MAX('Match Log'!$A$4:$A$1510),NA(),IFERROR(LOOKUP(2,1/(('Match Log'!$D$4:$D$1510=$U$24)*('Match Log'!$A$4:$A$1510&lt;=$J58)),'Match Log'!$N$4:$N$1510),NA()))</f>
        <v>1021.7829602697462</v>
      </c>
      <c r="V58" t="e">
        <f>IF($J58&gt;MAX('Match Log'!$A$4:$A$1510),NA(),IFERROR(LOOKUP(2,1/(('Match Log'!$D$4:$D$1510=$V$24)*('Match Log'!$A$4:$A$1510&lt;=$J58)),'Match Log'!$N$4:$N$1510),NA()))</f>
        <v>#N/A</v>
      </c>
      <c r="W58" t="e">
        <f>IF($J58&gt;MAX('Match Log'!$A$4:$A$1510),NA(),IFERROR(LOOKUP(2,1/(('Match Log'!$D$4:$D$1510=$W$24)*('Match Log'!$A$4:$A$1510&lt;=$J58)),'Match Log'!$N$4:$N$1510),NA()))</f>
        <v>#N/A</v>
      </c>
      <c r="X58" t="e">
        <f>IF($J58&gt;MAX('Match Log'!$A$4:$A$1510),NA(),IFERROR(LOOKUP(2,1/(('Match Log'!$D$4:$D$1510=$X$24)*('Match Log'!$A$4:$A$1510&lt;=$J58)),'Match Log'!$N$4:$N$1510),NA()))</f>
        <v>#N/A</v>
      </c>
      <c r="Y58" t="str">
        <f t="shared" ca="1" si="19"/>
        <v/>
      </c>
    </row>
    <row r="59" spans="1:25" ht="15" customHeight="1" x14ac:dyDescent="0.2">
      <c r="A59">
        <v>35</v>
      </c>
      <c r="B59" s="138">
        <f>IFERROR(INDEX('Match Log'!$B$4:$B$1510,MATCH($A59,'Match Log'!$A$4:$A$1510,0)),"")</f>
        <v>46175</v>
      </c>
      <c r="C59" t="str">
        <f>IFERROR(INDEX('Match Log'!$C$4:$C$1510,MATCH($A59,'Match Log'!$A$4:$A$1510,0)),"")</f>
        <v>Table Tennis</v>
      </c>
      <c r="D59" t="str">
        <f t="array" ref="D59">IFERROR(_xlfn.TEXTJOIN(" + ",TRUE(),IF(('Match Log'!$A$4:$A$1510=$A59)*('Match Log'!$E$4:$E$1510="Win"),'Match Log'!$D$4:$D$1510,"")),IFERROR(LOOKUP(2,1/(('Match Log'!$A$4:$A$1510=$A59)*('Match Log'!$E$4:$E$1510="Win")),'Match Log'!$D$4:$D$1510),""))</f>
        <v>David</v>
      </c>
      <c r="E59" s="139">
        <f>IFERROR(INDEX('Match Log'!$F$4:$F$1510,MATCH($A59,'Match Log'!$A$4:$A$1510,0)),"")</f>
        <v>2</v>
      </c>
      <c r="F59">
        <f>IFERROR(SUMIFS('Match Log'!$I$4:$I$1510,'Match Log'!$A$4:$A$1510,$A59,'Match Log'!$E$4:$E$1510,"Win"),"")</f>
        <v>0.45454545454545447</v>
      </c>
      <c r="G59">
        <f t="shared" si="17"/>
        <v>9.090909090909105E-2</v>
      </c>
      <c r="H59" t="str">
        <f t="array" ref="H59">IFERROR(IF(COUNTIFS('Match Log'!$A$4:$A$1510,$A59,'Match Log'!$E$4:$E$1510,"Win")&gt;1,_xlfn.TEXTJOIN(" + ",TRUE(),IF(('Match Log'!$A$4:$A$1510=$A59)*('Match Log'!$E$4:$E$1510="Loss"),'Match Log'!$D$4:$D$1510,"")),IF($E59=2,LOOKUP(2,1/(('Match Log'!$A$4:$A$1510=$A59)*('Match Log'!$E$4:$E$1510="Loss")),'Match Log'!$D$4:$D$1510),"the field")),"")</f>
        <v>Cody</v>
      </c>
      <c r="I59">
        <f t="shared" si="18"/>
        <v>9.0874090909091057E-2</v>
      </c>
      <c r="J59">
        <v>35</v>
      </c>
      <c r="K59">
        <f>IF($J59&gt;MAX('Match Log'!$A$4:$A$1510),NA(),IFERROR(LOOKUP(2,1/(('Match Log'!$D$4:$D$1510=$K$24)*('Match Log'!$A$4:$A$1510&lt;=$J59)),'Match Log'!$N$4:$N$1510),NA()))</f>
        <v>1076.6133044665753</v>
      </c>
      <c r="L59" t="e">
        <f>IF($J59&gt;MAX('Match Log'!$A$4:$A$1510),NA(),IFERROR(LOOKUP(2,1/(('Match Log'!$D$4:$D$1510=$L$24)*('Match Log'!$A$4:$A$1510&lt;=$J59)),'Match Log'!$N$4:$N$1510),NA()))</f>
        <v>#N/A</v>
      </c>
      <c r="M59">
        <f>IF($J59&gt;MAX('Match Log'!$A$4:$A$1510),NA(),IFERROR(LOOKUP(2,1/(('Match Log'!$D$4:$D$1510=$M$24)*('Match Log'!$A$4:$A$1510&lt;=$J59)),'Match Log'!$N$4:$N$1510),NA()))</f>
        <v>1000.0398229848671</v>
      </c>
      <c r="N59">
        <f>IF($J59&gt;MAX('Match Log'!$A$4:$A$1510),NA(),IFERROR(LOOKUP(2,1/(('Match Log'!$D$4:$D$1510=$N$24)*('Match Log'!$A$4:$A$1510&lt;=$J59)),'Match Log'!$N$4:$N$1510),NA()))</f>
        <v>953.67384644692447</v>
      </c>
      <c r="O59">
        <f>IF($J59&gt;MAX('Match Log'!$A$4:$A$1510),NA(),IFERROR(LOOKUP(2,1/(('Match Log'!$D$4:$D$1510=$O$24)*('Match Log'!$A$4:$A$1510&lt;=$J59)),'Match Log'!$N$4:$N$1510),NA()))</f>
        <v>1136.8764141290719</v>
      </c>
      <c r="P59">
        <f>IF($J59&gt;MAX('Match Log'!$A$4:$A$1510),NA(),IFERROR(LOOKUP(2,1/(('Match Log'!$D$4:$D$1510=$P$24)*('Match Log'!$A$4:$A$1510&lt;=$J59)),'Match Log'!$N$4:$N$1510),NA()))</f>
        <v>1007.4743526549773</v>
      </c>
      <c r="Q59">
        <f>IF($J59&gt;MAX('Match Log'!$A$4:$A$1510),NA(),IFERROR(LOOKUP(2,1/(('Match Log'!$D$4:$D$1510=$Q$24)*('Match Log'!$A$4:$A$1510&lt;=$J59)),'Match Log'!$N$4:$N$1510),NA()))</f>
        <v>1004.2142857142857</v>
      </c>
      <c r="R59">
        <f>IF($J59&gt;MAX('Match Log'!$A$4:$A$1510),NA(),IFERROR(LOOKUP(2,1/(('Match Log'!$D$4:$D$1510=$R$24)*('Match Log'!$A$4:$A$1510&lt;=$J59)),'Match Log'!$N$4:$N$1510),NA()))</f>
        <v>956.9534706384876</v>
      </c>
      <c r="S59" t="e">
        <f>IF($J59&gt;MAX('Match Log'!$A$4:$A$1510),NA(),IFERROR(LOOKUP(2,1/(('Match Log'!$D$4:$D$1510=$S$24)*('Match Log'!$A$4:$A$1510&lt;=$J59)),'Match Log'!$N$4:$N$1510),NA()))</f>
        <v>#N/A</v>
      </c>
      <c r="T59">
        <f>IF($J59&gt;MAX('Match Log'!$A$4:$A$1510),NA(),IFERROR(LOOKUP(2,1/(('Match Log'!$D$4:$D$1510=$T$24)*('Match Log'!$A$4:$A$1510&lt;=$J59)),'Match Log'!$N$4:$N$1510),NA()))</f>
        <v>924.37154269506425</v>
      </c>
      <c r="U59">
        <f>IF($J59&gt;MAX('Match Log'!$A$4:$A$1510),NA(),IFERROR(LOOKUP(2,1/(('Match Log'!$D$4:$D$1510=$U$24)*('Match Log'!$A$4:$A$1510&lt;=$J59)),'Match Log'!$N$4:$N$1510),NA()))</f>
        <v>1021.7829602697462</v>
      </c>
      <c r="V59" t="e">
        <f>IF($J59&gt;MAX('Match Log'!$A$4:$A$1510),NA(),IFERROR(LOOKUP(2,1/(('Match Log'!$D$4:$D$1510=$V$24)*('Match Log'!$A$4:$A$1510&lt;=$J59)),'Match Log'!$N$4:$N$1510),NA()))</f>
        <v>#N/A</v>
      </c>
      <c r="W59" t="e">
        <f>IF($J59&gt;MAX('Match Log'!$A$4:$A$1510),NA(),IFERROR(LOOKUP(2,1/(('Match Log'!$D$4:$D$1510=$W$24)*('Match Log'!$A$4:$A$1510&lt;=$J59)),'Match Log'!$N$4:$N$1510),NA()))</f>
        <v>#N/A</v>
      </c>
      <c r="X59" t="e">
        <f>IF($J59&gt;MAX('Match Log'!$A$4:$A$1510),NA(),IFERROR(LOOKUP(2,1/(('Match Log'!$D$4:$D$1510=$X$24)*('Match Log'!$A$4:$A$1510&lt;=$J59)),'Match Log'!$N$4:$N$1510),NA()))</f>
        <v>#N/A</v>
      </c>
      <c r="Y59" t="str">
        <f t="shared" ca="1" si="19"/>
        <v/>
      </c>
    </row>
    <row r="60" spans="1:25" ht="15" customHeight="1" x14ac:dyDescent="0.2">
      <c r="A60">
        <v>36</v>
      </c>
      <c r="B60" s="138">
        <f>IFERROR(INDEX('Match Log'!$B$4:$B$1510,MATCH($A60,'Match Log'!$A$4:$A$1510,0)),"")</f>
        <v>46175</v>
      </c>
      <c r="C60" t="str">
        <f>IFERROR(INDEX('Match Log'!$C$4:$C$1510,MATCH($A60,'Match Log'!$A$4:$A$1510,0)),"")</f>
        <v>Table Tennis</v>
      </c>
      <c r="D60" t="str">
        <f t="array" ref="D60">IFERROR(_xlfn.TEXTJOIN(" + ",TRUE(),IF(('Match Log'!$A$4:$A$1510=$A60)*('Match Log'!$E$4:$E$1510="Win"),'Match Log'!$D$4:$D$1510,"")),IFERROR(LOOKUP(2,1/(('Match Log'!$A$4:$A$1510=$A60)*('Match Log'!$E$4:$E$1510="Win")),'Match Log'!$D$4:$D$1510),""))</f>
        <v>Josh</v>
      </c>
      <c r="E60" s="139">
        <f>IFERROR(INDEX('Match Log'!$F$4:$F$1510,MATCH($A60,'Match Log'!$A$4:$A$1510,0)),"")</f>
        <v>2</v>
      </c>
      <c r="F60">
        <f>IFERROR(SUMIFS('Match Log'!$I$4:$I$1510,'Match Log'!$A$4:$A$1510,$A60,'Match Log'!$E$4:$E$1510,"Win"),"")</f>
        <v>0.7567567567567568</v>
      </c>
      <c r="G60">
        <f t="shared" si="17"/>
        <v>-0.5135135135135136</v>
      </c>
      <c r="H60" t="str">
        <f t="array" ref="H60">IFERROR(IF(COUNTIFS('Match Log'!$A$4:$A$1510,$A60,'Match Log'!$E$4:$E$1510,"Win")&gt;1,_xlfn.TEXTJOIN(" + ",TRUE(),IF(('Match Log'!$A$4:$A$1510=$A60)*('Match Log'!$E$4:$E$1510="Loss"),'Match Log'!$D$4:$D$1510,"")),IF($E60=2,LOOKUP(2,1/(('Match Log'!$A$4:$A$1510=$A60)*('Match Log'!$E$4:$E$1510="Loss")),'Match Log'!$D$4:$D$1510),"the field")),"")</f>
        <v>David</v>
      </c>
      <c r="I60">
        <f t="shared" si="18"/>
        <v>-0.51354951351351363</v>
      </c>
      <c r="J60">
        <v>36</v>
      </c>
      <c r="K60">
        <f>IF($J60&gt;MAX('Match Log'!$A$4:$A$1510),NA(),IFERROR(LOOKUP(2,1/(('Match Log'!$D$4:$D$1510=$K$24)*('Match Log'!$A$4:$A$1510&lt;=$J60)),'Match Log'!$N$4:$N$1510),NA()))</f>
        <v>1076.6133044665753</v>
      </c>
      <c r="L60" t="e">
        <f>IF($J60&gt;MAX('Match Log'!$A$4:$A$1510),NA(),IFERROR(LOOKUP(2,1/(('Match Log'!$D$4:$D$1510=$L$24)*('Match Log'!$A$4:$A$1510&lt;=$J60)),'Match Log'!$N$4:$N$1510),NA()))</f>
        <v>#N/A</v>
      </c>
      <c r="M60">
        <f>IF($J60&gt;MAX('Match Log'!$A$4:$A$1510),NA(),IFERROR(LOOKUP(2,1/(('Match Log'!$D$4:$D$1510=$M$24)*('Match Log'!$A$4:$A$1510&lt;=$J60)),'Match Log'!$N$4:$N$1510),NA()))</f>
        <v>1000.0398229848671</v>
      </c>
      <c r="N60">
        <f>IF($J60&gt;MAX('Match Log'!$A$4:$A$1510),NA(),IFERROR(LOOKUP(2,1/(('Match Log'!$D$4:$D$1510=$N$24)*('Match Log'!$A$4:$A$1510&lt;=$J60)),'Match Log'!$N$4:$N$1510),NA()))</f>
        <v>941.41068490146347</v>
      </c>
      <c r="O60">
        <f>IF($J60&gt;MAX('Match Log'!$A$4:$A$1510),NA(),IFERROR(LOOKUP(2,1/(('Match Log'!$D$4:$D$1510=$O$24)*('Match Log'!$A$4:$A$1510&lt;=$J60)),'Match Log'!$N$4:$N$1510),NA()))</f>
        <v>1149.139575674533</v>
      </c>
      <c r="P60">
        <f>IF($J60&gt;MAX('Match Log'!$A$4:$A$1510),NA(),IFERROR(LOOKUP(2,1/(('Match Log'!$D$4:$D$1510=$P$24)*('Match Log'!$A$4:$A$1510&lt;=$J60)),'Match Log'!$N$4:$N$1510),NA()))</f>
        <v>1007.4743526549773</v>
      </c>
      <c r="Q60">
        <f>IF($J60&gt;MAX('Match Log'!$A$4:$A$1510),NA(),IFERROR(LOOKUP(2,1/(('Match Log'!$D$4:$D$1510=$Q$24)*('Match Log'!$A$4:$A$1510&lt;=$J60)),'Match Log'!$N$4:$N$1510),NA()))</f>
        <v>1004.2142857142857</v>
      </c>
      <c r="R60">
        <f>IF($J60&gt;MAX('Match Log'!$A$4:$A$1510),NA(),IFERROR(LOOKUP(2,1/(('Match Log'!$D$4:$D$1510=$R$24)*('Match Log'!$A$4:$A$1510&lt;=$J60)),'Match Log'!$N$4:$N$1510),NA()))</f>
        <v>956.9534706384876</v>
      </c>
      <c r="S60" t="e">
        <f>IF($J60&gt;MAX('Match Log'!$A$4:$A$1510),NA(),IFERROR(LOOKUP(2,1/(('Match Log'!$D$4:$D$1510=$S$24)*('Match Log'!$A$4:$A$1510&lt;=$J60)),'Match Log'!$N$4:$N$1510),NA()))</f>
        <v>#N/A</v>
      </c>
      <c r="T60">
        <f>IF($J60&gt;MAX('Match Log'!$A$4:$A$1510),NA(),IFERROR(LOOKUP(2,1/(('Match Log'!$D$4:$D$1510=$T$24)*('Match Log'!$A$4:$A$1510&lt;=$J60)),'Match Log'!$N$4:$N$1510),NA()))</f>
        <v>924.37154269506425</v>
      </c>
      <c r="U60">
        <f>IF($J60&gt;MAX('Match Log'!$A$4:$A$1510),NA(),IFERROR(LOOKUP(2,1/(('Match Log'!$D$4:$D$1510=$U$24)*('Match Log'!$A$4:$A$1510&lt;=$J60)),'Match Log'!$N$4:$N$1510),NA()))</f>
        <v>1021.7829602697462</v>
      </c>
      <c r="V60" t="e">
        <f>IF($J60&gt;MAX('Match Log'!$A$4:$A$1510),NA(),IFERROR(LOOKUP(2,1/(('Match Log'!$D$4:$D$1510=$V$24)*('Match Log'!$A$4:$A$1510&lt;=$J60)),'Match Log'!$N$4:$N$1510),NA()))</f>
        <v>#N/A</v>
      </c>
      <c r="W60" t="e">
        <f>IF($J60&gt;MAX('Match Log'!$A$4:$A$1510),NA(),IFERROR(LOOKUP(2,1/(('Match Log'!$D$4:$D$1510=$W$24)*('Match Log'!$A$4:$A$1510&lt;=$J60)),'Match Log'!$N$4:$N$1510),NA()))</f>
        <v>#N/A</v>
      </c>
      <c r="X60" t="e">
        <f>IF($J60&gt;MAX('Match Log'!$A$4:$A$1510),NA(),IFERROR(LOOKUP(2,1/(('Match Log'!$D$4:$D$1510=$X$24)*('Match Log'!$A$4:$A$1510&lt;=$J60)),'Match Log'!$N$4:$N$1510),NA()))</f>
        <v>#N/A</v>
      </c>
      <c r="Y60" t="str">
        <f t="shared" ca="1" si="19"/>
        <v/>
      </c>
    </row>
    <row r="61" spans="1:25" ht="15" customHeight="1" x14ac:dyDescent="0.2">
      <c r="A61">
        <v>37</v>
      </c>
      <c r="B61" s="138">
        <f>IFERROR(INDEX('Match Log'!$B$4:$B$1510,MATCH($A61,'Match Log'!$A$4:$A$1510,0)),"")</f>
        <v>46175</v>
      </c>
      <c r="C61" t="str">
        <f>IFERROR(INDEX('Match Log'!$C$4:$C$1510,MATCH($A61,'Match Log'!$A$4:$A$1510,0)),"")</f>
        <v>Table Tennis</v>
      </c>
      <c r="D61" t="str">
        <f t="array" ref="D61">IFERROR(_xlfn.TEXTJOIN(" + ",TRUE(),IF(('Match Log'!$A$4:$A$1510=$A61)*('Match Log'!$E$4:$E$1510="Win"),'Match Log'!$D$4:$D$1510,"")),IFERROR(LOOKUP(2,1/(('Match Log'!$A$4:$A$1510=$A61)*('Match Log'!$E$4:$E$1510="Win")),'Match Log'!$D$4:$D$1510),""))</f>
        <v>Josh</v>
      </c>
      <c r="E61" s="139">
        <f>IFERROR(INDEX('Match Log'!$F$4:$F$1510,MATCH($A61,'Match Log'!$A$4:$A$1510,0)),"")</f>
        <v>2</v>
      </c>
      <c r="F61">
        <f>IFERROR(SUMIFS('Match Log'!$I$4:$I$1510,'Match Log'!$A$4:$A$1510,$A61,'Match Log'!$E$4:$E$1510,"Win"),"")</f>
        <v>0.84375</v>
      </c>
      <c r="G61">
        <f t="shared" si="17"/>
        <v>-0.6875</v>
      </c>
      <c r="H61" t="str">
        <f t="array" ref="H61">IFERROR(IF(COUNTIFS('Match Log'!$A$4:$A$1510,$A61,'Match Log'!$E$4:$E$1510,"Win")&gt;1,_xlfn.TEXTJOIN(" + ",TRUE(),IF(('Match Log'!$A$4:$A$1510=$A61)*('Match Log'!$E$4:$E$1510="Loss"),'Match Log'!$D$4:$D$1510,"")),IF($E61=2,LOOKUP(2,1/(('Match Log'!$A$4:$A$1510=$A61)*('Match Log'!$E$4:$E$1510="Loss")),'Match Log'!$D$4:$D$1510),"the field")),"")</f>
        <v>Cody</v>
      </c>
      <c r="I61">
        <f t="shared" si="18"/>
        <v>-0.68753699999999995</v>
      </c>
      <c r="J61">
        <v>37</v>
      </c>
      <c r="K61">
        <f>IF($J61&gt;MAX('Match Log'!$A$4:$A$1510),NA(),IFERROR(LOOKUP(2,1/(('Match Log'!$D$4:$D$1510=$K$24)*('Match Log'!$A$4:$A$1510&lt;=$J61)),'Match Log'!$N$4:$N$1510),NA()))</f>
        <v>1076.6133044665753</v>
      </c>
      <c r="L61" t="e">
        <f>IF($J61&gt;MAX('Match Log'!$A$4:$A$1510),NA(),IFERROR(LOOKUP(2,1/(('Match Log'!$D$4:$D$1510=$L$24)*('Match Log'!$A$4:$A$1510&lt;=$J61)),'Match Log'!$N$4:$N$1510),NA()))</f>
        <v>#N/A</v>
      </c>
      <c r="M61">
        <f>IF($J61&gt;MAX('Match Log'!$A$4:$A$1510),NA(),IFERROR(LOOKUP(2,1/(('Match Log'!$D$4:$D$1510=$M$24)*('Match Log'!$A$4:$A$1510&lt;=$J61)),'Match Log'!$N$4:$N$1510),NA()))</f>
        <v>1000.0398229848671</v>
      </c>
      <c r="N61">
        <f>IF($J61&gt;MAX('Match Log'!$A$4:$A$1510),NA(),IFERROR(LOOKUP(2,1/(('Match Log'!$D$4:$D$1510=$N$24)*('Match Log'!$A$4:$A$1510&lt;=$J61)),'Match Log'!$N$4:$N$1510),NA()))</f>
        <v>941.41068490146347</v>
      </c>
      <c r="O61">
        <f>IF($J61&gt;MAX('Match Log'!$A$4:$A$1510),NA(),IFERROR(LOOKUP(2,1/(('Match Log'!$D$4:$D$1510=$O$24)*('Match Log'!$A$4:$A$1510&lt;=$J61)),'Match Log'!$N$4:$N$1510),NA()))</f>
        <v>1159.0861564772949</v>
      </c>
      <c r="P61">
        <f>IF($J61&gt;MAX('Match Log'!$A$4:$A$1510),NA(),IFERROR(LOOKUP(2,1/(('Match Log'!$D$4:$D$1510=$P$24)*('Match Log'!$A$4:$A$1510&lt;=$J61)),'Match Log'!$N$4:$N$1510),NA()))</f>
        <v>1007.4743526549773</v>
      </c>
      <c r="Q61">
        <f>IF($J61&gt;MAX('Match Log'!$A$4:$A$1510),NA(),IFERROR(LOOKUP(2,1/(('Match Log'!$D$4:$D$1510=$Q$24)*('Match Log'!$A$4:$A$1510&lt;=$J61)),'Match Log'!$N$4:$N$1510),NA()))</f>
        <v>1004.2142857142857</v>
      </c>
      <c r="R61">
        <f>IF($J61&gt;MAX('Match Log'!$A$4:$A$1510),NA(),IFERROR(LOOKUP(2,1/(('Match Log'!$D$4:$D$1510=$R$24)*('Match Log'!$A$4:$A$1510&lt;=$J61)),'Match Log'!$N$4:$N$1510),NA()))</f>
        <v>956.9534706384876</v>
      </c>
      <c r="S61" t="e">
        <f>IF($J61&gt;MAX('Match Log'!$A$4:$A$1510),NA(),IFERROR(LOOKUP(2,1/(('Match Log'!$D$4:$D$1510=$S$24)*('Match Log'!$A$4:$A$1510&lt;=$J61)),'Match Log'!$N$4:$N$1510),NA()))</f>
        <v>#N/A</v>
      </c>
      <c r="T61">
        <f>IF($J61&gt;MAX('Match Log'!$A$4:$A$1510),NA(),IFERROR(LOOKUP(2,1/(('Match Log'!$D$4:$D$1510=$T$24)*('Match Log'!$A$4:$A$1510&lt;=$J61)),'Match Log'!$N$4:$N$1510),NA()))</f>
        <v>914.42496189230224</v>
      </c>
      <c r="U61">
        <f>IF($J61&gt;MAX('Match Log'!$A$4:$A$1510),NA(),IFERROR(LOOKUP(2,1/(('Match Log'!$D$4:$D$1510=$U$24)*('Match Log'!$A$4:$A$1510&lt;=$J61)),'Match Log'!$N$4:$N$1510),NA()))</f>
        <v>1021.7829602697462</v>
      </c>
      <c r="V61" t="e">
        <f>IF($J61&gt;MAX('Match Log'!$A$4:$A$1510),NA(),IFERROR(LOOKUP(2,1/(('Match Log'!$D$4:$D$1510=$V$24)*('Match Log'!$A$4:$A$1510&lt;=$J61)),'Match Log'!$N$4:$N$1510),NA()))</f>
        <v>#N/A</v>
      </c>
      <c r="W61" t="e">
        <f>IF($J61&gt;MAX('Match Log'!$A$4:$A$1510),NA(),IFERROR(LOOKUP(2,1/(('Match Log'!$D$4:$D$1510=$W$24)*('Match Log'!$A$4:$A$1510&lt;=$J61)),'Match Log'!$N$4:$N$1510),NA()))</f>
        <v>#N/A</v>
      </c>
      <c r="X61" t="e">
        <f>IF($J61&gt;MAX('Match Log'!$A$4:$A$1510),NA(),IFERROR(LOOKUP(2,1/(('Match Log'!$D$4:$D$1510=$X$24)*('Match Log'!$A$4:$A$1510&lt;=$J61)),'Match Log'!$N$4:$N$1510),NA()))</f>
        <v>#N/A</v>
      </c>
      <c r="Y61" t="str">
        <f t="shared" ca="1" si="19"/>
        <v/>
      </c>
    </row>
    <row r="62" spans="1:25" ht="15" customHeight="1" x14ac:dyDescent="0.2">
      <c r="A62">
        <v>38</v>
      </c>
      <c r="B62" s="138">
        <f>IFERROR(INDEX('Match Log'!$B$4:$B$1510,MATCH($A62,'Match Log'!$A$4:$A$1510,0)),"")</f>
        <v>46176</v>
      </c>
      <c r="C62" t="str">
        <f>IFERROR(INDEX('Match Log'!$C$4:$C$1510,MATCH($A62,'Match Log'!$A$4:$A$1510,0)),"")</f>
        <v>Pool</v>
      </c>
      <c r="D62" t="str">
        <f t="array" ref="D62">IFERROR(_xlfn.TEXTJOIN(" + ",TRUE(),IF(('Match Log'!$A$4:$A$1510=$A62)*('Match Log'!$E$4:$E$1510="Win"),'Match Log'!$D$4:$D$1510,"")),IFERROR(LOOKUP(2,1/(('Match Log'!$A$4:$A$1510=$A62)*('Match Log'!$E$4:$E$1510="Win")),'Match Log'!$D$4:$D$1510),""))</f>
        <v>Dean B</v>
      </c>
      <c r="E62" s="139">
        <f>IFERROR(INDEX('Match Log'!$F$4:$F$1510,MATCH($A62,'Match Log'!$A$4:$A$1510,0)),"")</f>
        <v>2</v>
      </c>
      <c r="F62">
        <f>IFERROR(SUMIFS('Match Log'!$I$4:$I$1510,'Match Log'!$A$4:$A$1510,$A62,'Match Log'!$E$4:$E$1510,"Win"),"")</f>
        <v>0.5</v>
      </c>
      <c r="G62">
        <f t="shared" si="17"/>
        <v>0</v>
      </c>
      <c r="H62" t="str">
        <f t="array" ref="H62">IFERROR(IF(COUNTIFS('Match Log'!$A$4:$A$1510,$A62,'Match Log'!$E$4:$E$1510,"Win")&gt;1,_xlfn.TEXTJOIN(" + ",TRUE(),IF(('Match Log'!$A$4:$A$1510=$A62)*('Match Log'!$E$4:$E$1510="Loss"),'Match Log'!$D$4:$D$1510,"")),IF($E62=2,LOOKUP(2,1/(('Match Log'!$A$4:$A$1510=$A62)*('Match Log'!$E$4:$E$1510="Loss")),'Match Log'!$D$4:$D$1510),"the field")),"")</f>
        <v>Oscar</v>
      </c>
      <c r="I62">
        <f t="shared" si="18"/>
        <v>-3.8000000000000002E-5</v>
      </c>
      <c r="J62">
        <v>38</v>
      </c>
      <c r="K62">
        <f>IF($J62&gt;MAX('Match Log'!$A$4:$A$1510),NA(),IFERROR(LOOKUP(2,1/(('Match Log'!$D$4:$D$1510=$K$24)*('Match Log'!$A$4:$A$1510&lt;=$J62)),'Match Log'!$N$4:$N$1510),NA()))</f>
        <v>1076.6133044665753</v>
      </c>
      <c r="L62" t="e">
        <f>IF($J62&gt;MAX('Match Log'!$A$4:$A$1510),NA(),IFERROR(LOOKUP(2,1/(('Match Log'!$D$4:$D$1510=$L$24)*('Match Log'!$A$4:$A$1510&lt;=$J62)),'Match Log'!$N$4:$N$1510),NA()))</f>
        <v>#N/A</v>
      </c>
      <c r="M62">
        <f>IF($J62&gt;MAX('Match Log'!$A$4:$A$1510),NA(),IFERROR(LOOKUP(2,1/(('Match Log'!$D$4:$D$1510=$M$24)*('Match Log'!$A$4:$A$1510&lt;=$J62)),'Match Log'!$N$4:$N$1510),NA()))</f>
        <v>1000.0398229848671</v>
      </c>
      <c r="N62">
        <f>IF($J62&gt;MAX('Match Log'!$A$4:$A$1510),NA(),IFERROR(LOOKUP(2,1/(('Match Log'!$D$4:$D$1510=$N$24)*('Match Log'!$A$4:$A$1510&lt;=$J62)),'Match Log'!$N$4:$N$1510),NA()))</f>
        <v>941.41068490146347</v>
      </c>
      <c r="O62">
        <f>IF($J62&gt;MAX('Match Log'!$A$4:$A$1510),NA(),IFERROR(LOOKUP(2,1/(('Match Log'!$D$4:$D$1510=$O$24)*('Match Log'!$A$4:$A$1510&lt;=$J62)),'Match Log'!$N$4:$N$1510),NA()))</f>
        <v>1159.0861564772949</v>
      </c>
      <c r="P62">
        <f>IF($J62&gt;MAX('Match Log'!$A$4:$A$1510),NA(),IFERROR(LOOKUP(2,1/(('Match Log'!$D$4:$D$1510=$P$24)*('Match Log'!$A$4:$A$1510&lt;=$J62)),'Match Log'!$N$4:$N$1510),NA()))</f>
        <v>1007.4743526549773</v>
      </c>
      <c r="Q62">
        <f>IF($J62&gt;MAX('Match Log'!$A$4:$A$1510),NA(),IFERROR(LOOKUP(2,1/(('Match Log'!$D$4:$D$1510=$Q$24)*('Match Log'!$A$4:$A$1510&lt;=$J62)),'Match Log'!$N$4:$N$1510),NA()))</f>
        <v>1004.2142857142857</v>
      </c>
      <c r="R62">
        <f>IF($J62&gt;MAX('Match Log'!$A$4:$A$1510),NA(),IFERROR(LOOKUP(2,1/(('Match Log'!$D$4:$D$1510=$R$24)*('Match Log'!$A$4:$A$1510&lt;=$J62)),'Match Log'!$N$4:$N$1510),NA()))</f>
        <v>956.9534706384876</v>
      </c>
      <c r="S62">
        <f>IF($J62&gt;MAX('Match Log'!$A$4:$A$1510),NA(),IFERROR(LOOKUP(2,1/(('Match Log'!$D$4:$D$1510=$S$24)*('Match Log'!$A$4:$A$1510&lt;=$J62)),'Match Log'!$N$4:$N$1510),NA()))</f>
        <v>1023.0018300584427</v>
      </c>
      <c r="T62">
        <f>IF($J62&gt;MAX('Match Log'!$A$4:$A$1510),NA(),IFERROR(LOOKUP(2,1/(('Match Log'!$D$4:$D$1510=$T$24)*('Match Log'!$A$4:$A$1510&lt;=$J62)),'Match Log'!$N$4:$N$1510),NA()))</f>
        <v>914.42496189230224</v>
      </c>
      <c r="U62">
        <f>IF($J62&gt;MAX('Match Log'!$A$4:$A$1510),NA(),IFERROR(LOOKUP(2,1/(('Match Log'!$D$4:$D$1510=$U$24)*('Match Log'!$A$4:$A$1510&lt;=$J62)),'Match Log'!$N$4:$N$1510),NA()))</f>
        <v>998.78113021130355</v>
      </c>
      <c r="V62" t="e">
        <f>IF($J62&gt;MAX('Match Log'!$A$4:$A$1510),NA(),IFERROR(LOOKUP(2,1/(('Match Log'!$D$4:$D$1510=$V$24)*('Match Log'!$A$4:$A$1510&lt;=$J62)),'Match Log'!$N$4:$N$1510),NA()))</f>
        <v>#N/A</v>
      </c>
      <c r="W62" t="e">
        <f>IF($J62&gt;MAX('Match Log'!$A$4:$A$1510),NA(),IFERROR(LOOKUP(2,1/(('Match Log'!$D$4:$D$1510=$W$24)*('Match Log'!$A$4:$A$1510&lt;=$J62)),'Match Log'!$N$4:$N$1510),NA()))</f>
        <v>#N/A</v>
      </c>
      <c r="X62" t="e">
        <f>IF($J62&gt;MAX('Match Log'!$A$4:$A$1510),NA(),IFERROR(LOOKUP(2,1/(('Match Log'!$D$4:$D$1510=$X$24)*('Match Log'!$A$4:$A$1510&lt;=$J62)),'Match Log'!$N$4:$N$1510),NA()))</f>
        <v>#N/A</v>
      </c>
      <c r="Y62" t="str">
        <f t="shared" ca="1" si="19"/>
        <v/>
      </c>
    </row>
    <row r="63" spans="1:25" ht="15" customHeight="1" x14ac:dyDescent="0.2">
      <c r="A63">
        <v>39</v>
      </c>
      <c r="B63" s="138">
        <f>IFERROR(INDEX('Match Log'!$B$4:$B$1510,MATCH($A63,'Match Log'!$A$4:$A$1510,0)),"")</f>
        <v>46176</v>
      </c>
      <c r="C63" t="str">
        <f>IFERROR(INDEX('Match Log'!$C$4:$C$1510,MATCH($A63,'Match Log'!$A$4:$A$1510,0)),"")</f>
        <v>Pool</v>
      </c>
      <c r="D63" t="str">
        <f t="array" ref="D63">IFERROR(_xlfn.TEXTJOIN(" + ",TRUE(),IF(('Match Log'!$A$4:$A$1510=$A63)*('Match Log'!$E$4:$E$1510="Win"),'Match Log'!$D$4:$D$1510,"")),IFERROR(LOOKUP(2,1/(('Match Log'!$A$4:$A$1510=$A63)*('Match Log'!$E$4:$E$1510="Win")),'Match Log'!$D$4:$D$1510),""))</f>
        <v>Dean B</v>
      </c>
      <c r="E63" s="139">
        <f>IFERROR(INDEX('Match Log'!$F$4:$F$1510,MATCH($A63,'Match Log'!$A$4:$A$1510,0)),"")</f>
        <v>2</v>
      </c>
      <c r="F63">
        <f>IFERROR(SUMIFS('Match Log'!$I$4:$I$1510,'Match Log'!$A$4:$A$1510,$A63,'Match Log'!$E$4:$E$1510,"Win"),"")</f>
        <v>0.66666666666666663</v>
      </c>
      <c r="G63">
        <f t="shared" si="17"/>
        <v>-0.33333333333333326</v>
      </c>
      <c r="H63" t="str">
        <f t="array" ref="H63">IFERROR(IF(COUNTIFS('Match Log'!$A$4:$A$1510,$A63,'Match Log'!$E$4:$E$1510,"Win")&gt;1,_xlfn.TEXTJOIN(" + ",TRUE(),IF(('Match Log'!$A$4:$A$1510=$A63)*('Match Log'!$E$4:$E$1510="Loss"),'Match Log'!$D$4:$D$1510,"")),IF($E63=2,LOOKUP(2,1/(('Match Log'!$A$4:$A$1510=$A63)*('Match Log'!$E$4:$E$1510="Loss")),'Match Log'!$D$4:$D$1510),"the field")),"")</f>
        <v>Oscar</v>
      </c>
      <c r="I63">
        <f t="shared" si="18"/>
        <v>-0.33337233333333327</v>
      </c>
      <c r="J63">
        <v>39</v>
      </c>
      <c r="K63">
        <f>IF($J63&gt;MAX('Match Log'!$A$4:$A$1510),NA(),IFERROR(LOOKUP(2,1/(('Match Log'!$D$4:$D$1510=$K$24)*('Match Log'!$A$4:$A$1510&lt;=$J63)),'Match Log'!$N$4:$N$1510),NA()))</f>
        <v>1076.6133044665753</v>
      </c>
      <c r="L63" t="e">
        <f>IF($J63&gt;MAX('Match Log'!$A$4:$A$1510),NA(),IFERROR(LOOKUP(2,1/(('Match Log'!$D$4:$D$1510=$L$24)*('Match Log'!$A$4:$A$1510&lt;=$J63)),'Match Log'!$N$4:$N$1510),NA()))</f>
        <v>#N/A</v>
      </c>
      <c r="M63">
        <f>IF($J63&gt;MAX('Match Log'!$A$4:$A$1510),NA(),IFERROR(LOOKUP(2,1/(('Match Log'!$D$4:$D$1510=$M$24)*('Match Log'!$A$4:$A$1510&lt;=$J63)),'Match Log'!$N$4:$N$1510),NA()))</f>
        <v>1000.0398229848671</v>
      </c>
      <c r="N63">
        <f>IF($J63&gt;MAX('Match Log'!$A$4:$A$1510),NA(),IFERROR(LOOKUP(2,1/(('Match Log'!$D$4:$D$1510=$N$24)*('Match Log'!$A$4:$A$1510&lt;=$J63)),'Match Log'!$N$4:$N$1510),NA()))</f>
        <v>941.41068490146347</v>
      </c>
      <c r="O63">
        <f>IF($J63&gt;MAX('Match Log'!$A$4:$A$1510),NA(),IFERROR(LOOKUP(2,1/(('Match Log'!$D$4:$D$1510=$O$24)*('Match Log'!$A$4:$A$1510&lt;=$J63)),'Match Log'!$N$4:$N$1510),NA()))</f>
        <v>1159.0861564772949</v>
      </c>
      <c r="P63">
        <f>IF($J63&gt;MAX('Match Log'!$A$4:$A$1510),NA(),IFERROR(LOOKUP(2,1/(('Match Log'!$D$4:$D$1510=$P$24)*('Match Log'!$A$4:$A$1510&lt;=$J63)),'Match Log'!$N$4:$N$1510),NA()))</f>
        <v>1007.4743526549773</v>
      </c>
      <c r="Q63">
        <f>IF($J63&gt;MAX('Match Log'!$A$4:$A$1510),NA(),IFERROR(LOOKUP(2,1/(('Match Log'!$D$4:$D$1510=$Q$24)*('Match Log'!$A$4:$A$1510&lt;=$J63)),'Match Log'!$N$4:$N$1510),NA()))</f>
        <v>1004.2142857142857</v>
      </c>
      <c r="R63">
        <f>IF($J63&gt;MAX('Match Log'!$A$4:$A$1510),NA(),IFERROR(LOOKUP(2,1/(('Match Log'!$D$4:$D$1510=$R$24)*('Match Log'!$A$4:$A$1510&lt;=$J63)),'Match Log'!$N$4:$N$1510),NA()))</f>
        <v>956.9534706384876</v>
      </c>
      <c r="S63">
        <f>IF($J63&gt;MAX('Match Log'!$A$4:$A$1510),NA(),IFERROR(LOOKUP(2,1/(('Match Log'!$D$4:$D$1510=$S$24)*('Match Log'!$A$4:$A$1510&lt;=$J63)),'Match Log'!$N$4:$N$1510),NA()))</f>
        <v>1041.8288256187427</v>
      </c>
      <c r="T63">
        <f>IF($J63&gt;MAX('Match Log'!$A$4:$A$1510),NA(),IFERROR(LOOKUP(2,1/(('Match Log'!$D$4:$D$1510=$T$24)*('Match Log'!$A$4:$A$1510&lt;=$J63)),'Match Log'!$N$4:$N$1510),NA()))</f>
        <v>914.42496189230224</v>
      </c>
      <c r="U63">
        <f>IF($J63&gt;MAX('Match Log'!$A$4:$A$1510),NA(),IFERROR(LOOKUP(2,1/(('Match Log'!$D$4:$D$1510=$U$24)*('Match Log'!$A$4:$A$1510&lt;=$J63)),'Match Log'!$N$4:$N$1510),NA()))</f>
        <v>979.95413465100341</v>
      </c>
      <c r="V63" t="e">
        <f>IF($J63&gt;MAX('Match Log'!$A$4:$A$1510),NA(),IFERROR(LOOKUP(2,1/(('Match Log'!$D$4:$D$1510=$V$24)*('Match Log'!$A$4:$A$1510&lt;=$J63)),'Match Log'!$N$4:$N$1510),NA()))</f>
        <v>#N/A</v>
      </c>
      <c r="W63" t="e">
        <f>IF($J63&gt;MAX('Match Log'!$A$4:$A$1510),NA(),IFERROR(LOOKUP(2,1/(('Match Log'!$D$4:$D$1510=$W$24)*('Match Log'!$A$4:$A$1510&lt;=$J63)),'Match Log'!$N$4:$N$1510),NA()))</f>
        <v>#N/A</v>
      </c>
      <c r="X63" t="e">
        <f>IF($J63&gt;MAX('Match Log'!$A$4:$A$1510),NA(),IFERROR(LOOKUP(2,1/(('Match Log'!$D$4:$D$1510=$X$24)*('Match Log'!$A$4:$A$1510&lt;=$J63)),'Match Log'!$N$4:$N$1510),NA()))</f>
        <v>#N/A</v>
      </c>
      <c r="Y63" t="str">
        <f t="shared" ca="1" si="19"/>
        <v/>
      </c>
    </row>
    <row r="64" spans="1:25" ht="15" customHeight="1" x14ac:dyDescent="0.2">
      <c r="A64">
        <v>40</v>
      </c>
      <c r="B64" s="138">
        <f>IFERROR(INDEX('Match Log'!$B$4:$B$1510,MATCH($A64,'Match Log'!$A$4:$A$1510,0)),"")</f>
        <v>46176</v>
      </c>
      <c r="C64" t="str">
        <f>IFERROR(INDEX('Match Log'!$C$4:$C$1510,MATCH($A64,'Match Log'!$A$4:$A$1510,0)),"")</f>
        <v>Pool</v>
      </c>
      <c r="D64" t="str">
        <f t="array" ref="D64">IFERROR(_xlfn.TEXTJOIN(" + ",TRUE(),IF(('Match Log'!$A$4:$A$1510=$A64)*('Match Log'!$E$4:$E$1510="Win"),'Match Log'!$D$4:$D$1510,"")),IFERROR(LOOKUP(2,1/(('Match Log'!$A$4:$A$1510=$A64)*('Match Log'!$E$4:$E$1510="Win")),'Match Log'!$D$4:$D$1510),""))</f>
        <v>Daniel (Ferret)</v>
      </c>
      <c r="E64" s="139">
        <f>IFERROR(INDEX('Match Log'!$F$4:$F$1510,MATCH($A64,'Match Log'!$A$4:$A$1510,0)),"")</f>
        <v>2</v>
      </c>
      <c r="F64">
        <f>IFERROR(SUMIFS('Match Log'!$I$4:$I$1510,'Match Log'!$A$4:$A$1510,$A64,'Match Log'!$E$4:$E$1510,"Win"),"")</f>
        <v>0.4</v>
      </c>
      <c r="G64">
        <f t="shared" si="17"/>
        <v>0.19999999999999996</v>
      </c>
      <c r="H64" t="str">
        <f t="array" ref="H64">IFERROR(IF(COUNTIFS('Match Log'!$A$4:$A$1510,$A64,'Match Log'!$E$4:$E$1510,"Win")&gt;1,_xlfn.TEXTJOIN(" + ",TRUE(),IF(('Match Log'!$A$4:$A$1510=$A64)*('Match Log'!$E$4:$E$1510="Loss"),'Match Log'!$D$4:$D$1510,"")),IF($E64=2,LOOKUP(2,1/(('Match Log'!$A$4:$A$1510=$A64)*('Match Log'!$E$4:$E$1510="Loss")),'Match Log'!$D$4:$D$1510),"the field")),"")</f>
        <v>Dean B</v>
      </c>
      <c r="I64">
        <f t="shared" si="18"/>
        <v>0.19995999999999994</v>
      </c>
      <c r="J64">
        <v>40</v>
      </c>
      <c r="K64">
        <f>IF($J64&gt;MAX('Match Log'!$A$4:$A$1510),NA(),IFERROR(LOOKUP(2,1/(('Match Log'!$D$4:$D$1510=$K$24)*('Match Log'!$A$4:$A$1510&lt;=$J64)),'Match Log'!$N$4:$N$1510),NA()))</f>
        <v>1076.6133044665753</v>
      </c>
      <c r="L64" t="e">
        <f>IF($J64&gt;MAX('Match Log'!$A$4:$A$1510),NA(),IFERROR(LOOKUP(2,1/(('Match Log'!$D$4:$D$1510=$L$24)*('Match Log'!$A$4:$A$1510&lt;=$J64)),'Match Log'!$N$4:$N$1510),NA()))</f>
        <v>#N/A</v>
      </c>
      <c r="M64">
        <f>IF($J64&gt;MAX('Match Log'!$A$4:$A$1510),NA(),IFERROR(LOOKUP(2,1/(('Match Log'!$D$4:$D$1510=$M$24)*('Match Log'!$A$4:$A$1510&lt;=$J64)),'Match Log'!$N$4:$N$1510),NA()))</f>
        <v>1000.0398229848671</v>
      </c>
      <c r="N64">
        <f>IF($J64&gt;MAX('Match Log'!$A$4:$A$1510),NA(),IFERROR(LOOKUP(2,1/(('Match Log'!$D$4:$D$1510=$N$24)*('Match Log'!$A$4:$A$1510&lt;=$J64)),'Match Log'!$N$4:$N$1510),NA()))</f>
        <v>941.41068490146347</v>
      </c>
      <c r="O64">
        <f>IF($J64&gt;MAX('Match Log'!$A$4:$A$1510),NA(),IFERROR(LOOKUP(2,1/(('Match Log'!$D$4:$D$1510=$O$24)*('Match Log'!$A$4:$A$1510&lt;=$J64)),'Match Log'!$N$4:$N$1510),NA()))</f>
        <v>1159.0861564772949</v>
      </c>
      <c r="P64">
        <f>IF($J64&gt;MAX('Match Log'!$A$4:$A$1510),NA(),IFERROR(LOOKUP(2,1/(('Match Log'!$D$4:$D$1510=$P$24)*('Match Log'!$A$4:$A$1510&lt;=$J64)),'Match Log'!$N$4:$N$1510),NA()))</f>
        <v>1007.4743526549773</v>
      </c>
      <c r="Q64">
        <f>IF($J64&gt;MAX('Match Log'!$A$4:$A$1510),NA(),IFERROR(LOOKUP(2,1/(('Match Log'!$D$4:$D$1510=$Q$24)*('Match Log'!$A$4:$A$1510&lt;=$J64)),'Match Log'!$N$4:$N$1510),NA()))</f>
        <v>1004.2142857142857</v>
      </c>
      <c r="R64">
        <f>IF($J64&gt;MAX('Match Log'!$A$4:$A$1510),NA(),IFERROR(LOOKUP(2,1/(('Match Log'!$D$4:$D$1510=$R$24)*('Match Log'!$A$4:$A$1510&lt;=$J64)),'Match Log'!$N$4:$N$1510),NA()))</f>
        <v>983.84574643562655</v>
      </c>
      <c r="S64">
        <f>IF($J64&gt;MAX('Match Log'!$A$4:$A$1510),NA(),IFERROR(LOOKUP(2,1/(('Match Log'!$D$4:$D$1510=$S$24)*('Match Log'!$A$4:$A$1510&lt;=$J64)),'Match Log'!$N$4:$N$1510),NA()))</f>
        <v>1014.9365498216038</v>
      </c>
      <c r="T64">
        <f>IF($J64&gt;MAX('Match Log'!$A$4:$A$1510),NA(),IFERROR(LOOKUP(2,1/(('Match Log'!$D$4:$D$1510=$T$24)*('Match Log'!$A$4:$A$1510&lt;=$J64)),'Match Log'!$N$4:$N$1510),NA()))</f>
        <v>914.42496189230224</v>
      </c>
      <c r="U64">
        <f>IF($J64&gt;MAX('Match Log'!$A$4:$A$1510),NA(),IFERROR(LOOKUP(2,1/(('Match Log'!$D$4:$D$1510=$U$24)*('Match Log'!$A$4:$A$1510&lt;=$J64)),'Match Log'!$N$4:$N$1510),NA()))</f>
        <v>979.95413465100341</v>
      </c>
      <c r="V64" t="e">
        <f>IF($J64&gt;MAX('Match Log'!$A$4:$A$1510),NA(),IFERROR(LOOKUP(2,1/(('Match Log'!$D$4:$D$1510=$V$24)*('Match Log'!$A$4:$A$1510&lt;=$J64)),'Match Log'!$N$4:$N$1510),NA()))</f>
        <v>#N/A</v>
      </c>
      <c r="W64" t="e">
        <f>IF($J64&gt;MAX('Match Log'!$A$4:$A$1510),NA(),IFERROR(LOOKUP(2,1/(('Match Log'!$D$4:$D$1510=$W$24)*('Match Log'!$A$4:$A$1510&lt;=$J64)),'Match Log'!$N$4:$N$1510),NA()))</f>
        <v>#N/A</v>
      </c>
      <c r="X64" t="e">
        <f>IF($J64&gt;MAX('Match Log'!$A$4:$A$1510),NA(),IFERROR(LOOKUP(2,1/(('Match Log'!$D$4:$D$1510=$X$24)*('Match Log'!$A$4:$A$1510&lt;=$J64)),'Match Log'!$N$4:$N$1510),NA()))</f>
        <v>#N/A</v>
      </c>
      <c r="Y64" t="str">
        <f t="shared" ca="1" si="19"/>
        <v/>
      </c>
    </row>
    <row r="65" spans="1:25" ht="15" customHeight="1" x14ac:dyDescent="0.2">
      <c r="A65">
        <v>41</v>
      </c>
      <c r="B65" s="138">
        <f>IFERROR(INDEX('Match Log'!$B$4:$B$1510,MATCH($A65,'Match Log'!$A$4:$A$1510,0)),"")</f>
        <v>46176</v>
      </c>
      <c r="C65" t="str">
        <f>IFERROR(INDEX('Match Log'!$C$4:$C$1510,MATCH($A65,'Match Log'!$A$4:$A$1510,0)),"")</f>
        <v>Table Tennis</v>
      </c>
      <c r="D65" t="str">
        <f t="array" ref="D65">IFERROR(_xlfn.TEXTJOIN(" + ",TRUE(),IF(('Match Log'!$A$4:$A$1510=$A65)*('Match Log'!$E$4:$E$1510="Win"),'Match Log'!$D$4:$D$1510,"")),IFERROR(LOOKUP(2,1/(('Match Log'!$A$4:$A$1510=$A65)*('Match Log'!$E$4:$E$1510="Win")),'Match Log'!$D$4:$D$1510),""))</f>
        <v>Josh</v>
      </c>
      <c r="E65" s="139">
        <f>IFERROR(INDEX('Match Log'!$F$4:$F$1510,MATCH($A65,'Match Log'!$A$4:$A$1510,0)),"")</f>
        <v>2</v>
      </c>
      <c r="F65">
        <f>IFERROR(SUMIFS('Match Log'!$I$4:$I$1510,'Match Log'!$A$4:$A$1510,$A65,'Match Log'!$E$4:$E$1510,"Win"),"")</f>
        <v>0.78431372549019596</v>
      </c>
      <c r="G65">
        <f t="shared" si="17"/>
        <v>-0.56862745098039191</v>
      </c>
      <c r="H65" t="str">
        <f t="array" ref="H65">IFERROR(IF(COUNTIFS('Match Log'!$A$4:$A$1510,$A65,'Match Log'!$E$4:$E$1510,"Win")&gt;1,_xlfn.TEXTJOIN(" + ",TRUE(),IF(('Match Log'!$A$4:$A$1510=$A65)*('Match Log'!$E$4:$E$1510="Loss"),'Match Log'!$D$4:$D$1510,"")),IF($E65=2,LOOKUP(2,1/(('Match Log'!$A$4:$A$1510=$A65)*('Match Log'!$E$4:$E$1510="Loss")),'Match Log'!$D$4:$D$1510),"the field")),"")</f>
        <v>Daniel (Ferret)</v>
      </c>
      <c r="I65">
        <f t="shared" si="18"/>
        <v>-0.56866845098039187</v>
      </c>
      <c r="J65">
        <v>41</v>
      </c>
      <c r="K65">
        <f>IF($J65&gt;MAX('Match Log'!$A$4:$A$1510),NA(),IFERROR(LOOKUP(2,1/(('Match Log'!$D$4:$D$1510=$K$24)*('Match Log'!$A$4:$A$1510&lt;=$J65)),'Match Log'!$N$4:$N$1510),NA()))</f>
        <v>1076.6133044665753</v>
      </c>
      <c r="L65" t="e">
        <f>IF($J65&gt;MAX('Match Log'!$A$4:$A$1510),NA(),IFERROR(LOOKUP(2,1/(('Match Log'!$D$4:$D$1510=$L$24)*('Match Log'!$A$4:$A$1510&lt;=$J65)),'Match Log'!$N$4:$N$1510),NA()))</f>
        <v>#N/A</v>
      </c>
      <c r="M65">
        <f>IF($J65&gt;MAX('Match Log'!$A$4:$A$1510),NA(),IFERROR(LOOKUP(2,1/(('Match Log'!$D$4:$D$1510=$M$24)*('Match Log'!$A$4:$A$1510&lt;=$J65)),'Match Log'!$N$4:$N$1510),NA()))</f>
        <v>1000.0398229848671</v>
      </c>
      <c r="N65">
        <f>IF($J65&gt;MAX('Match Log'!$A$4:$A$1510),NA(),IFERROR(LOOKUP(2,1/(('Match Log'!$D$4:$D$1510=$N$24)*('Match Log'!$A$4:$A$1510&lt;=$J65)),'Match Log'!$N$4:$N$1510),NA()))</f>
        <v>941.41068490146347</v>
      </c>
      <c r="O65">
        <f>IF($J65&gt;MAX('Match Log'!$A$4:$A$1510),NA(),IFERROR(LOOKUP(2,1/(('Match Log'!$D$4:$D$1510=$O$24)*('Match Log'!$A$4:$A$1510&lt;=$J65)),'Match Log'!$N$4:$N$1510),NA()))</f>
        <v>1170.7074781178401</v>
      </c>
      <c r="P65">
        <f>IF($J65&gt;MAX('Match Log'!$A$4:$A$1510),NA(),IFERROR(LOOKUP(2,1/(('Match Log'!$D$4:$D$1510=$P$24)*('Match Log'!$A$4:$A$1510&lt;=$J65)),'Match Log'!$N$4:$N$1510),NA()))</f>
        <v>1007.4743526549773</v>
      </c>
      <c r="Q65">
        <f>IF($J65&gt;MAX('Match Log'!$A$4:$A$1510),NA(),IFERROR(LOOKUP(2,1/(('Match Log'!$D$4:$D$1510=$Q$24)*('Match Log'!$A$4:$A$1510&lt;=$J65)),'Match Log'!$N$4:$N$1510),NA()))</f>
        <v>1004.2142857142857</v>
      </c>
      <c r="R65">
        <f>IF($J65&gt;MAX('Match Log'!$A$4:$A$1510),NA(),IFERROR(LOOKUP(2,1/(('Match Log'!$D$4:$D$1510=$R$24)*('Match Log'!$A$4:$A$1510&lt;=$J65)),'Match Log'!$N$4:$N$1510),NA()))</f>
        <v>972.22442479508152</v>
      </c>
      <c r="S65">
        <f>IF($J65&gt;MAX('Match Log'!$A$4:$A$1510),NA(),IFERROR(LOOKUP(2,1/(('Match Log'!$D$4:$D$1510=$S$24)*('Match Log'!$A$4:$A$1510&lt;=$J65)),'Match Log'!$N$4:$N$1510),NA()))</f>
        <v>1014.9365498216038</v>
      </c>
      <c r="T65">
        <f>IF($J65&gt;MAX('Match Log'!$A$4:$A$1510),NA(),IFERROR(LOOKUP(2,1/(('Match Log'!$D$4:$D$1510=$T$24)*('Match Log'!$A$4:$A$1510&lt;=$J65)),'Match Log'!$N$4:$N$1510),NA()))</f>
        <v>914.42496189230224</v>
      </c>
      <c r="U65">
        <f>IF($J65&gt;MAX('Match Log'!$A$4:$A$1510),NA(),IFERROR(LOOKUP(2,1/(('Match Log'!$D$4:$D$1510=$U$24)*('Match Log'!$A$4:$A$1510&lt;=$J65)),'Match Log'!$N$4:$N$1510),NA()))</f>
        <v>979.95413465100341</v>
      </c>
      <c r="V65" t="e">
        <f>IF($J65&gt;MAX('Match Log'!$A$4:$A$1510),NA(),IFERROR(LOOKUP(2,1/(('Match Log'!$D$4:$D$1510=$V$24)*('Match Log'!$A$4:$A$1510&lt;=$J65)),'Match Log'!$N$4:$N$1510),NA()))</f>
        <v>#N/A</v>
      </c>
      <c r="W65" t="e">
        <f>IF($J65&gt;MAX('Match Log'!$A$4:$A$1510),NA(),IFERROR(LOOKUP(2,1/(('Match Log'!$D$4:$D$1510=$W$24)*('Match Log'!$A$4:$A$1510&lt;=$J65)),'Match Log'!$N$4:$N$1510),NA()))</f>
        <v>#N/A</v>
      </c>
      <c r="X65" t="e">
        <f>IF($J65&gt;MAX('Match Log'!$A$4:$A$1510),NA(),IFERROR(LOOKUP(2,1/(('Match Log'!$D$4:$D$1510=$X$24)*('Match Log'!$A$4:$A$1510&lt;=$J65)),'Match Log'!$N$4:$N$1510),NA()))</f>
        <v>#N/A</v>
      </c>
      <c r="Y65" t="str">
        <f t="shared" ca="1" si="19"/>
        <v/>
      </c>
    </row>
    <row r="66" spans="1:25" ht="15" customHeight="1" x14ac:dyDescent="0.2">
      <c r="A66">
        <v>42</v>
      </c>
      <c r="B66" s="138">
        <f>IFERROR(INDEX('Match Log'!$B$4:$B$1510,MATCH($A66,'Match Log'!$A$4:$A$1510,0)),"")</f>
        <v>46176</v>
      </c>
      <c r="C66" t="str">
        <f>IFERROR(INDEX('Match Log'!$C$4:$C$1510,MATCH($A66,'Match Log'!$A$4:$A$1510,0)),"")</f>
        <v>Table Tennis</v>
      </c>
      <c r="D66" t="str">
        <f t="array" ref="D66">IFERROR(_xlfn.TEXTJOIN(" + ",TRUE(),IF(('Match Log'!$A$4:$A$1510=$A66)*('Match Log'!$E$4:$E$1510="Win"),'Match Log'!$D$4:$D$1510,"")),IFERROR(LOOKUP(2,1/(('Match Log'!$A$4:$A$1510=$A66)*('Match Log'!$E$4:$E$1510="Win")),'Match Log'!$D$4:$D$1510),""))</f>
        <v>Josh</v>
      </c>
      <c r="E66" s="139">
        <f>IFERROR(INDEX('Match Log'!$F$4:$F$1510,MATCH($A66,'Match Log'!$A$4:$A$1510,0)),"")</f>
        <v>2</v>
      </c>
      <c r="F66">
        <f>IFERROR(SUMIFS('Match Log'!$I$4:$I$1510,'Match Log'!$A$4:$A$1510,$A66,'Match Log'!$E$4:$E$1510,"Win"),"")</f>
        <v>0.6470588235294118</v>
      </c>
      <c r="G66">
        <f t="shared" si="17"/>
        <v>-0.29411764705882359</v>
      </c>
      <c r="H66" t="str">
        <f t="array" ref="H66">IFERROR(IF(COUNTIFS('Match Log'!$A$4:$A$1510,$A66,'Match Log'!$E$4:$E$1510,"Win")&gt;1,_xlfn.TEXTJOIN(" + ",TRUE(),IF(('Match Log'!$A$4:$A$1510=$A66)*('Match Log'!$E$4:$E$1510="Loss"),'Match Log'!$D$4:$D$1510,"")),IF($E66=2,LOOKUP(2,1/(('Match Log'!$A$4:$A$1510=$A66)*('Match Log'!$E$4:$E$1510="Loss")),'Match Log'!$D$4:$D$1510),"the field")),"")</f>
        <v>Dean B</v>
      </c>
      <c r="I66">
        <f t="shared" si="18"/>
        <v>-0.29415964705882358</v>
      </c>
      <c r="J66">
        <v>42</v>
      </c>
      <c r="K66">
        <f>IF($J66&gt;MAX('Match Log'!$A$4:$A$1510),NA(),IFERROR(LOOKUP(2,1/(('Match Log'!$D$4:$D$1510=$K$24)*('Match Log'!$A$4:$A$1510&lt;=$J66)),'Match Log'!$N$4:$N$1510),NA()))</f>
        <v>1076.6133044665753</v>
      </c>
      <c r="L66" t="e">
        <f>IF($J66&gt;MAX('Match Log'!$A$4:$A$1510),NA(),IFERROR(LOOKUP(2,1/(('Match Log'!$D$4:$D$1510=$L$24)*('Match Log'!$A$4:$A$1510&lt;=$J66)),'Match Log'!$N$4:$N$1510),NA()))</f>
        <v>#N/A</v>
      </c>
      <c r="M66">
        <f>IF($J66&gt;MAX('Match Log'!$A$4:$A$1510),NA(),IFERROR(LOOKUP(2,1/(('Match Log'!$D$4:$D$1510=$M$24)*('Match Log'!$A$4:$A$1510&lt;=$J66)),'Match Log'!$N$4:$N$1510),NA()))</f>
        <v>1000.0398229848671</v>
      </c>
      <c r="N66">
        <f>IF($J66&gt;MAX('Match Log'!$A$4:$A$1510),NA(),IFERROR(LOOKUP(2,1/(('Match Log'!$D$4:$D$1510=$N$24)*('Match Log'!$A$4:$A$1510&lt;=$J66)),'Match Log'!$N$4:$N$1510),NA()))</f>
        <v>941.41068490146347</v>
      </c>
      <c r="O66">
        <f>IF($J66&gt;MAX('Match Log'!$A$4:$A$1510),NA(),IFERROR(LOOKUP(2,1/(('Match Log'!$D$4:$D$1510=$O$24)*('Match Log'!$A$4:$A$1510&lt;=$J66)),'Match Log'!$N$4:$N$1510),NA()))</f>
        <v>1185.5502814689573</v>
      </c>
      <c r="P66">
        <f>IF($J66&gt;MAX('Match Log'!$A$4:$A$1510),NA(),IFERROR(LOOKUP(2,1/(('Match Log'!$D$4:$D$1510=$P$24)*('Match Log'!$A$4:$A$1510&lt;=$J66)),'Match Log'!$N$4:$N$1510),NA()))</f>
        <v>1007.4743526549773</v>
      </c>
      <c r="Q66">
        <f>IF($J66&gt;MAX('Match Log'!$A$4:$A$1510),NA(),IFERROR(LOOKUP(2,1/(('Match Log'!$D$4:$D$1510=$Q$24)*('Match Log'!$A$4:$A$1510&lt;=$J66)),'Match Log'!$N$4:$N$1510),NA()))</f>
        <v>1004.2142857142857</v>
      </c>
      <c r="R66">
        <f>IF($J66&gt;MAX('Match Log'!$A$4:$A$1510),NA(),IFERROR(LOOKUP(2,1/(('Match Log'!$D$4:$D$1510=$R$24)*('Match Log'!$A$4:$A$1510&lt;=$J66)),'Match Log'!$N$4:$N$1510),NA()))</f>
        <v>972.22442479508152</v>
      </c>
      <c r="S66">
        <f>IF($J66&gt;MAX('Match Log'!$A$4:$A$1510),NA(),IFERROR(LOOKUP(2,1/(('Match Log'!$D$4:$D$1510=$S$24)*('Match Log'!$A$4:$A$1510&lt;=$J66)),'Match Log'!$N$4:$N$1510),NA()))</f>
        <v>1000.0937464704864</v>
      </c>
      <c r="T66">
        <f>IF($J66&gt;MAX('Match Log'!$A$4:$A$1510),NA(),IFERROR(LOOKUP(2,1/(('Match Log'!$D$4:$D$1510=$T$24)*('Match Log'!$A$4:$A$1510&lt;=$J66)),'Match Log'!$N$4:$N$1510),NA()))</f>
        <v>914.42496189230224</v>
      </c>
      <c r="U66">
        <f>IF($J66&gt;MAX('Match Log'!$A$4:$A$1510),NA(),IFERROR(LOOKUP(2,1/(('Match Log'!$D$4:$D$1510=$U$24)*('Match Log'!$A$4:$A$1510&lt;=$J66)),'Match Log'!$N$4:$N$1510),NA()))</f>
        <v>979.95413465100341</v>
      </c>
      <c r="V66" t="e">
        <f>IF($J66&gt;MAX('Match Log'!$A$4:$A$1510),NA(),IFERROR(LOOKUP(2,1/(('Match Log'!$D$4:$D$1510=$V$24)*('Match Log'!$A$4:$A$1510&lt;=$J66)),'Match Log'!$N$4:$N$1510),NA()))</f>
        <v>#N/A</v>
      </c>
      <c r="W66" t="e">
        <f>IF($J66&gt;MAX('Match Log'!$A$4:$A$1510),NA(),IFERROR(LOOKUP(2,1/(('Match Log'!$D$4:$D$1510=$W$24)*('Match Log'!$A$4:$A$1510&lt;=$J66)),'Match Log'!$N$4:$N$1510),NA()))</f>
        <v>#N/A</v>
      </c>
      <c r="X66" t="e">
        <f>IF($J66&gt;MAX('Match Log'!$A$4:$A$1510),NA(),IFERROR(LOOKUP(2,1/(('Match Log'!$D$4:$D$1510=$X$24)*('Match Log'!$A$4:$A$1510&lt;=$J66)),'Match Log'!$N$4:$N$1510),NA()))</f>
        <v>#N/A</v>
      </c>
      <c r="Y66" t="str">
        <f t="shared" ca="1" si="19"/>
        <v/>
      </c>
    </row>
    <row r="67" spans="1:25" ht="15" customHeight="1" x14ac:dyDescent="0.2">
      <c r="A67">
        <v>43</v>
      </c>
      <c r="B67" s="138">
        <f>IFERROR(INDEX('Match Log'!$B$4:$B$1510,MATCH($A67,'Match Log'!$A$4:$A$1510,0)),"")</f>
        <v>46176</v>
      </c>
      <c r="C67" t="str">
        <f>IFERROR(INDEX('Match Log'!$C$4:$C$1510,MATCH($A67,'Match Log'!$A$4:$A$1510,0)),"")</f>
        <v>Table Tennis</v>
      </c>
      <c r="D67" t="str">
        <f t="array" ref="D67">IFERROR(_xlfn.TEXTJOIN(" + ",TRUE(),IF(('Match Log'!$A$4:$A$1510=$A67)*('Match Log'!$E$4:$E$1510="Win"),'Match Log'!$D$4:$D$1510,"")),IFERROR(LOOKUP(2,1/(('Match Log'!$A$4:$A$1510=$A67)*('Match Log'!$E$4:$E$1510="Win")),'Match Log'!$D$4:$D$1510),""))</f>
        <v>Dean B</v>
      </c>
      <c r="E67" s="139">
        <f>IFERROR(INDEX('Match Log'!$F$4:$F$1510,MATCH($A67,'Match Log'!$A$4:$A$1510,0)),"")</f>
        <v>2</v>
      </c>
      <c r="F67">
        <f>IFERROR(SUMIFS('Match Log'!$I$4:$I$1510,'Match Log'!$A$4:$A$1510,$A67,'Match Log'!$E$4:$E$1510,"Win"),"")</f>
        <v>0.26530612244897961</v>
      </c>
      <c r="G67">
        <f t="shared" si="17"/>
        <v>0.46938775510204078</v>
      </c>
      <c r="H67" t="str">
        <f t="array" ref="H67">IFERROR(IF(COUNTIFS('Match Log'!$A$4:$A$1510,$A67,'Match Log'!$E$4:$E$1510,"Win")&gt;1,_xlfn.TEXTJOIN(" + ",TRUE(),IF(('Match Log'!$A$4:$A$1510=$A67)*('Match Log'!$E$4:$E$1510="Loss"),'Match Log'!$D$4:$D$1510,"")),IF($E67=2,LOOKUP(2,1/(('Match Log'!$A$4:$A$1510=$A67)*('Match Log'!$E$4:$E$1510="Loss")),'Match Log'!$D$4:$D$1510),"the field")),"")</f>
        <v>Josh</v>
      </c>
      <c r="I67">
        <f t="shared" si="18"/>
        <v>0.46934475510204077</v>
      </c>
      <c r="J67">
        <v>43</v>
      </c>
      <c r="K67">
        <f>IF($J67&gt;MAX('Match Log'!$A$4:$A$1510),NA(),IFERROR(LOOKUP(2,1/(('Match Log'!$D$4:$D$1510=$K$24)*('Match Log'!$A$4:$A$1510&lt;=$J67)),'Match Log'!$N$4:$N$1510),NA()))</f>
        <v>1076.6133044665753</v>
      </c>
      <c r="L67" t="e">
        <f>IF($J67&gt;MAX('Match Log'!$A$4:$A$1510),NA(),IFERROR(LOOKUP(2,1/(('Match Log'!$D$4:$D$1510=$L$24)*('Match Log'!$A$4:$A$1510&lt;=$J67)),'Match Log'!$N$4:$N$1510),NA()))</f>
        <v>#N/A</v>
      </c>
      <c r="M67">
        <f>IF($J67&gt;MAX('Match Log'!$A$4:$A$1510),NA(),IFERROR(LOOKUP(2,1/(('Match Log'!$D$4:$D$1510=$M$24)*('Match Log'!$A$4:$A$1510&lt;=$J67)),'Match Log'!$N$4:$N$1510),NA()))</f>
        <v>1000.0398229848671</v>
      </c>
      <c r="N67">
        <f>IF($J67&gt;MAX('Match Log'!$A$4:$A$1510),NA(),IFERROR(LOOKUP(2,1/(('Match Log'!$D$4:$D$1510=$N$24)*('Match Log'!$A$4:$A$1510&lt;=$J67)),'Match Log'!$N$4:$N$1510),NA()))</f>
        <v>941.41068490146347</v>
      </c>
      <c r="O67">
        <f>IF($J67&gt;MAX('Match Log'!$A$4:$A$1510),NA(),IFERROR(LOOKUP(2,1/(('Match Log'!$D$4:$D$1510=$O$24)*('Match Log'!$A$4:$A$1510&lt;=$J67)),'Match Log'!$N$4:$N$1510),NA()))</f>
        <v>1154.2476571069622</v>
      </c>
      <c r="P67">
        <f>IF($J67&gt;MAX('Match Log'!$A$4:$A$1510),NA(),IFERROR(LOOKUP(2,1/(('Match Log'!$D$4:$D$1510=$P$24)*('Match Log'!$A$4:$A$1510&lt;=$J67)),'Match Log'!$N$4:$N$1510),NA()))</f>
        <v>1007.4743526549773</v>
      </c>
      <c r="Q67">
        <f>IF($J67&gt;MAX('Match Log'!$A$4:$A$1510),NA(),IFERROR(LOOKUP(2,1/(('Match Log'!$D$4:$D$1510=$Q$24)*('Match Log'!$A$4:$A$1510&lt;=$J67)),'Match Log'!$N$4:$N$1510),NA()))</f>
        <v>1004.2142857142857</v>
      </c>
      <c r="R67">
        <f>IF($J67&gt;MAX('Match Log'!$A$4:$A$1510),NA(),IFERROR(LOOKUP(2,1/(('Match Log'!$D$4:$D$1510=$R$24)*('Match Log'!$A$4:$A$1510&lt;=$J67)),'Match Log'!$N$4:$N$1510),NA()))</f>
        <v>972.22442479508152</v>
      </c>
      <c r="S67">
        <f>IF($J67&gt;MAX('Match Log'!$A$4:$A$1510),NA(),IFERROR(LOOKUP(2,1/(('Match Log'!$D$4:$D$1510=$S$24)*('Match Log'!$A$4:$A$1510&lt;=$J67)),'Match Log'!$N$4:$N$1510),NA()))</f>
        <v>1031.3963708324816</v>
      </c>
      <c r="T67">
        <f>IF($J67&gt;MAX('Match Log'!$A$4:$A$1510),NA(),IFERROR(LOOKUP(2,1/(('Match Log'!$D$4:$D$1510=$T$24)*('Match Log'!$A$4:$A$1510&lt;=$J67)),'Match Log'!$N$4:$N$1510),NA()))</f>
        <v>914.42496189230224</v>
      </c>
      <c r="U67">
        <f>IF($J67&gt;MAX('Match Log'!$A$4:$A$1510),NA(),IFERROR(LOOKUP(2,1/(('Match Log'!$D$4:$D$1510=$U$24)*('Match Log'!$A$4:$A$1510&lt;=$J67)),'Match Log'!$N$4:$N$1510),NA()))</f>
        <v>979.95413465100341</v>
      </c>
      <c r="V67" t="e">
        <f>IF($J67&gt;MAX('Match Log'!$A$4:$A$1510),NA(),IFERROR(LOOKUP(2,1/(('Match Log'!$D$4:$D$1510=$V$24)*('Match Log'!$A$4:$A$1510&lt;=$J67)),'Match Log'!$N$4:$N$1510),NA()))</f>
        <v>#N/A</v>
      </c>
      <c r="W67" t="e">
        <f>IF($J67&gt;MAX('Match Log'!$A$4:$A$1510),NA(),IFERROR(LOOKUP(2,1/(('Match Log'!$D$4:$D$1510=$W$24)*('Match Log'!$A$4:$A$1510&lt;=$J67)),'Match Log'!$N$4:$N$1510),NA()))</f>
        <v>#N/A</v>
      </c>
      <c r="X67" t="e">
        <f>IF($J67&gt;MAX('Match Log'!$A$4:$A$1510),NA(),IFERROR(LOOKUP(2,1/(('Match Log'!$D$4:$D$1510=$X$24)*('Match Log'!$A$4:$A$1510&lt;=$J67)),'Match Log'!$N$4:$N$1510),NA()))</f>
        <v>#N/A</v>
      </c>
      <c r="Y67" t="str">
        <f t="shared" ca="1" si="19"/>
        <v/>
      </c>
    </row>
    <row r="68" spans="1:25" ht="15" customHeight="1" x14ac:dyDescent="0.2">
      <c r="A68">
        <v>44</v>
      </c>
      <c r="B68" s="138">
        <f>IFERROR(INDEX('Match Log'!$B$4:$B$1510,MATCH($A68,'Match Log'!$A$4:$A$1510,0)),"")</f>
        <v>46176</v>
      </c>
      <c r="C68" t="str">
        <f>IFERROR(INDEX('Match Log'!$C$4:$C$1510,MATCH($A68,'Match Log'!$A$4:$A$1510,0)),"")</f>
        <v>Table Tennis</v>
      </c>
      <c r="D68" t="str">
        <f t="array" ref="D68">IFERROR(_xlfn.TEXTJOIN(" + ",TRUE(),IF(('Match Log'!$A$4:$A$1510=$A68)*('Match Log'!$E$4:$E$1510="Win"),'Match Log'!$D$4:$D$1510,"")),IFERROR(LOOKUP(2,1/(('Match Log'!$A$4:$A$1510=$A68)*('Match Log'!$E$4:$E$1510="Win")),'Match Log'!$D$4:$D$1510),""))</f>
        <v>Josh</v>
      </c>
      <c r="E68" s="139">
        <f>IFERROR(INDEX('Match Log'!$F$4:$F$1510,MATCH($A68,'Match Log'!$A$4:$A$1510,0)),"")</f>
        <v>2</v>
      </c>
      <c r="F68">
        <f>IFERROR(SUMIFS('Match Log'!$I$4:$I$1510,'Match Log'!$A$4:$A$1510,$A68,'Match Log'!$E$4:$E$1510,"Win"),"")</f>
        <v>0.5625</v>
      </c>
      <c r="G68">
        <f t="shared" si="17"/>
        <v>-0.125</v>
      </c>
      <c r="H68" t="str">
        <f t="array" ref="H68">IFERROR(IF(COUNTIFS('Match Log'!$A$4:$A$1510,$A68,'Match Log'!$E$4:$E$1510,"Win")&gt;1,_xlfn.TEXTJOIN(" + ",TRUE(),IF(('Match Log'!$A$4:$A$1510=$A68)*('Match Log'!$E$4:$E$1510="Loss"),'Match Log'!$D$4:$D$1510,"")),IF($E68=2,LOOKUP(2,1/(('Match Log'!$A$4:$A$1510=$A68)*('Match Log'!$E$4:$E$1510="Loss")),'Match Log'!$D$4:$D$1510),"the field")),"")</f>
        <v>Oscar</v>
      </c>
      <c r="I68">
        <f t="shared" si="18"/>
        <v>-0.12504399999999999</v>
      </c>
      <c r="J68">
        <v>44</v>
      </c>
      <c r="K68">
        <f>IF($J68&gt;MAX('Match Log'!$A$4:$A$1510),NA(),IFERROR(LOOKUP(2,1/(('Match Log'!$D$4:$D$1510=$K$24)*('Match Log'!$A$4:$A$1510&lt;=$J68)),'Match Log'!$N$4:$N$1510),NA()))</f>
        <v>1076.6133044665753</v>
      </c>
      <c r="L68" t="e">
        <f>IF($J68&gt;MAX('Match Log'!$A$4:$A$1510),NA(),IFERROR(LOOKUP(2,1/(('Match Log'!$D$4:$D$1510=$L$24)*('Match Log'!$A$4:$A$1510&lt;=$J68)),'Match Log'!$N$4:$N$1510),NA()))</f>
        <v>#N/A</v>
      </c>
      <c r="M68">
        <f>IF($J68&gt;MAX('Match Log'!$A$4:$A$1510),NA(),IFERROR(LOOKUP(2,1/(('Match Log'!$D$4:$D$1510=$M$24)*('Match Log'!$A$4:$A$1510&lt;=$J68)),'Match Log'!$N$4:$N$1510),NA()))</f>
        <v>1000.0398229848671</v>
      </c>
      <c r="N68">
        <f>IF($J68&gt;MAX('Match Log'!$A$4:$A$1510),NA(),IFERROR(LOOKUP(2,1/(('Match Log'!$D$4:$D$1510=$N$24)*('Match Log'!$A$4:$A$1510&lt;=$J68)),'Match Log'!$N$4:$N$1510),NA()))</f>
        <v>941.41068490146347</v>
      </c>
      <c r="O68">
        <f>IF($J68&gt;MAX('Match Log'!$A$4:$A$1510),NA(),IFERROR(LOOKUP(2,1/(('Match Log'!$D$4:$D$1510=$O$24)*('Match Log'!$A$4:$A$1510&lt;=$J68)),'Match Log'!$N$4:$N$1510),NA()))</f>
        <v>1169.5401600030823</v>
      </c>
      <c r="P68">
        <f>IF($J68&gt;MAX('Match Log'!$A$4:$A$1510),NA(),IFERROR(LOOKUP(2,1/(('Match Log'!$D$4:$D$1510=$P$24)*('Match Log'!$A$4:$A$1510&lt;=$J68)),'Match Log'!$N$4:$N$1510),NA()))</f>
        <v>1007.4743526549773</v>
      </c>
      <c r="Q68">
        <f>IF($J68&gt;MAX('Match Log'!$A$4:$A$1510),NA(),IFERROR(LOOKUP(2,1/(('Match Log'!$D$4:$D$1510=$Q$24)*('Match Log'!$A$4:$A$1510&lt;=$J68)),'Match Log'!$N$4:$N$1510),NA()))</f>
        <v>1004.2142857142857</v>
      </c>
      <c r="R68">
        <f>IF($J68&gt;MAX('Match Log'!$A$4:$A$1510),NA(),IFERROR(LOOKUP(2,1/(('Match Log'!$D$4:$D$1510=$R$24)*('Match Log'!$A$4:$A$1510&lt;=$J68)),'Match Log'!$N$4:$N$1510),NA()))</f>
        <v>972.22442479508152</v>
      </c>
      <c r="S68">
        <f>IF($J68&gt;MAX('Match Log'!$A$4:$A$1510),NA(),IFERROR(LOOKUP(2,1/(('Match Log'!$D$4:$D$1510=$S$24)*('Match Log'!$A$4:$A$1510&lt;=$J68)),'Match Log'!$N$4:$N$1510),NA()))</f>
        <v>1031.3963708324816</v>
      </c>
      <c r="T68">
        <f>IF($J68&gt;MAX('Match Log'!$A$4:$A$1510),NA(),IFERROR(LOOKUP(2,1/(('Match Log'!$D$4:$D$1510=$T$24)*('Match Log'!$A$4:$A$1510&lt;=$J68)),'Match Log'!$N$4:$N$1510),NA()))</f>
        <v>914.42496189230224</v>
      </c>
      <c r="U68">
        <f>IF($J68&gt;MAX('Match Log'!$A$4:$A$1510),NA(),IFERROR(LOOKUP(2,1/(('Match Log'!$D$4:$D$1510=$U$24)*('Match Log'!$A$4:$A$1510&lt;=$J68)),'Match Log'!$N$4:$N$1510),NA()))</f>
        <v>964.66163175488316</v>
      </c>
      <c r="V68" t="e">
        <f>IF($J68&gt;MAX('Match Log'!$A$4:$A$1510),NA(),IFERROR(LOOKUP(2,1/(('Match Log'!$D$4:$D$1510=$V$24)*('Match Log'!$A$4:$A$1510&lt;=$J68)),'Match Log'!$N$4:$N$1510),NA()))</f>
        <v>#N/A</v>
      </c>
      <c r="W68" t="e">
        <f>IF($J68&gt;MAX('Match Log'!$A$4:$A$1510),NA(),IFERROR(LOOKUP(2,1/(('Match Log'!$D$4:$D$1510=$W$24)*('Match Log'!$A$4:$A$1510&lt;=$J68)),'Match Log'!$N$4:$N$1510),NA()))</f>
        <v>#N/A</v>
      </c>
      <c r="X68" t="e">
        <f>IF($J68&gt;MAX('Match Log'!$A$4:$A$1510),NA(),IFERROR(LOOKUP(2,1/(('Match Log'!$D$4:$D$1510=$X$24)*('Match Log'!$A$4:$A$1510&lt;=$J68)),'Match Log'!$N$4:$N$1510),NA()))</f>
        <v>#N/A</v>
      </c>
      <c r="Y68" t="str">
        <f t="shared" ca="1" si="19"/>
        <v/>
      </c>
    </row>
    <row r="69" spans="1:25" ht="15" customHeight="1" x14ac:dyDescent="0.2">
      <c r="A69">
        <v>45</v>
      </c>
      <c r="B69" s="138">
        <f>IFERROR(INDEX('Match Log'!$B$4:$B$1510,MATCH($A69,'Match Log'!$A$4:$A$1510,0)),"")</f>
        <v>46176</v>
      </c>
      <c r="C69" t="str">
        <f>IFERROR(INDEX('Match Log'!$C$4:$C$1510,MATCH($A69,'Match Log'!$A$4:$A$1510,0)),"")</f>
        <v>Table Tennis</v>
      </c>
      <c r="D69" t="str">
        <f t="array" ref="D69">IFERROR(_xlfn.TEXTJOIN(" + ",TRUE(),IF(('Match Log'!$A$4:$A$1510=$A69)*('Match Log'!$E$4:$E$1510="Win"),'Match Log'!$D$4:$D$1510,"")),IFERROR(LOOKUP(2,1/(('Match Log'!$A$4:$A$1510=$A69)*('Match Log'!$E$4:$E$1510="Win")),'Match Log'!$D$4:$D$1510),""))</f>
        <v>Josh</v>
      </c>
      <c r="E69" s="139">
        <f>IFERROR(INDEX('Match Log'!$F$4:$F$1510,MATCH($A69,'Match Log'!$A$4:$A$1510,0)),"")</f>
        <v>2</v>
      </c>
      <c r="F69">
        <f>IFERROR(SUMIFS('Match Log'!$I$4:$I$1510,'Match Log'!$A$4:$A$1510,$A69,'Match Log'!$E$4:$E$1510,"Win"),"")</f>
        <v>0.63414634146341464</v>
      </c>
      <c r="G69">
        <f t="shared" si="17"/>
        <v>-0.26829268292682928</v>
      </c>
      <c r="H69" t="str">
        <f t="array" ref="H69">IFERROR(IF(COUNTIFS('Match Log'!$A$4:$A$1510,$A69,'Match Log'!$E$4:$E$1510,"Win")&gt;1,_xlfn.TEXTJOIN(" + ",TRUE(),IF(('Match Log'!$A$4:$A$1510=$A69)*('Match Log'!$E$4:$E$1510="Loss"),'Match Log'!$D$4:$D$1510,"")),IF($E69=2,LOOKUP(2,1/(('Match Log'!$A$4:$A$1510=$A69)*('Match Log'!$E$4:$E$1510="Loss")),'Match Log'!$D$4:$D$1510),"the field")),"")</f>
        <v>Oscar</v>
      </c>
      <c r="I69">
        <f t="shared" si="18"/>
        <v>-0.2683376829268293</v>
      </c>
      <c r="J69">
        <v>45</v>
      </c>
      <c r="K69">
        <f>IF($J69&gt;MAX('Match Log'!$A$4:$A$1510),NA(),IFERROR(LOOKUP(2,1/(('Match Log'!$D$4:$D$1510=$K$24)*('Match Log'!$A$4:$A$1510&lt;=$J69)),'Match Log'!$N$4:$N$1510),NA()))</f>
        <v>1076.6133044665753</v>
      </c>
      <c r="L69" t="e">
        <f>IF($J69&gt;MAX('Match Log'!$A$4:$A$1510),NA(),IFERROR(LOOKUP(2,1/(('Match Log'!$D$4:$D$1510=$L$24)*('Match Log'!$A$4:$A$1510&lt;=$J69)),'Match Log'!$N$4:$N$1510),NA()))</f>
        <v>#N/A</v>
      </c>
      <c r="M69">
        <f>IF($J69&gt;MAX('Match Log'!$A$4:$A$1510),NA(),IFERROR(LOOKUP(2,1/(('Match Log'!$D$4:$D$1510=$M$24)*('Match Log'!$A$4:$A$1510&lt;=$J69)),'Match Log'!$N$4:$N$1510),NA()))</f>
        <v>1000.0398229848671</v>
      </c>
      <c r="N69">
        <f>IF($J69&gt;MAX('Match Log'!$A$4:$A$1510),NA(),IFERROR(LOOKUP(2,1/(('Match Log'!$D$4:$D$1510=$N$24)*('Match Log'!$A$4:$A$1510&lt;=$J69)),'Match Log'!$N$4:$N$1510),NA()))</f>
        <v>941.41068490146347</v>
      </c>
      <c r="O69">
        <f>IF($J69&gt;MAX('Match Log'!$A$4:$A$1510),NA(),IFERROR(LOOKUP(2,1/(('Match Log'!$D$4:$D$1510=$O$24)*('Match Log'!$A$4:$A$1510&lt;=$J69)),'Match Log'!$N$4:$N$1510),NA()))</f>
        <v>1183.1188716755996</v>
      </c>
      <c r="P69">
        <f>IF($J69&gt;MAX('Match Log'!$A$4:$A$1510),NA(),IFERROR(LOOKUP(2,1/(('Match Log'!$D$4:$D$1510=$P$24)*('Match Log'!$A$4:$A$1510&lt;=$J69)),'Match Log'!$N$4:$N$1510),NA()))</f>
        <v>1007.4743526549773</v>
      </c>
      <c r="Q69">
        <f>IF($J69&gt;MAX('Match Log'!$A$4:$A$1510),NA(),IFERROR(LOOKUP(2,1/(('Match Log'!$D$4:$D$1510=$Q$24)*('Match Log'!$A$4:$A$1510&lt;=$J69)),'Match Log'!$N$4:$N$1510),NA()))</f>
        <v>1004.2142857142857</v>
      </c>
      <c r="R69">
        <f>IF($J69&gt;MAX('Match Log'!$A$4:$A$1510),NA(),IFERROR(LOOKUP(2,1/(('Match Log'!$D$4:$D$1510=$R$24)*('Match Log'!$A$4:$A$1510&lt;=$J69)),'Match Log'!$N$4:$N$1510),NA()))</f>
        <v>972.22442479508152</v>
      </c>
      <c r="S69">
        <f>IF($J69&gt;MAX('Match Log'!$A$4:$A$1510),NA(),IFERROR(LOOKUP(2,1/(('Match Log'!$D$4:$D$1510=$S$24)*('Match Log'!$A$4:$A$1510&lt;=$J69)),'Match Log'!$N$4:$N$1510),NA()))</f>
        <v>1031.3963708324816</v>
      </c>
      <c r="T69">
        <f>IF($J69&gt;MAX('Match Log'!$A$4:$A$1510),NA(),IFERROR(LOOKUP(2,1/(('Match Log'!$D$4:$D$1510=$T$24)*('Match Log'!$A$4:$A$1510&lt;=$J69)),'Match Log'!$N$4:$N$1510),NA()))</f>
        <v>914.42496189230224</v>
      </c>
      <c r="U69">
        <f>IF($J69&gt;MAX('Match Log'!$A$4:$A$1510),NA(),IFERROR(LOOKUP(2,1/(('Match Log'!$D$4:$D$1510=$U$24)*('Match Log'!$A$4:$A$1510&lt;=$J69)),'Match Log'!$N$4:$N$1510),NA()))</f>
        <v>951.08292008236583</v>
      </c>
      <c r="V69" t="e">
        <f>IF($J69&gt;MAX('Match Log'!$A$4:$A$1510),NA(),IFERROR(LOOKUP(2,1/(('Match Log'!$D$4:$D$1510=$V$24)*('Match Log'!$A$4:$A$1510&lt;=$J69)),'Match Log'!$N$4:$N$1510),NA()))</f>
        <v>#N/A</v>
      </c>
      <c r="W69" t="e">
        <f>IF($J69&gt;MAX('Match Log'!$A$4:$A$1510),NA(),IFERROR(LOOKUP(2,1/(('Match Log'!$D$4:$D$1510=$W$24)*('Match Log'!$A$4:$A$1510&lt;=$J69)),'Match Log'!$N$4:$N$1510),NA()))</f>
        <v>#N/A</v>
      </c>
      <c r="X69" t="e">
        <f>IF($J69&gt;MAX('Match Log'!$A$4:$A$1510),NA(),IFERROR(LOOKUP(2,1/(('Match Log'!$D$4:$D$1510=$X$24)*('Match Log'!$A$4:$A$1510&lt;=$J69)),'Match Log'!$N$4:$N$1510),NA()))</f>
        <v>#N/A</v>
      </c>
      <c r="Y69" t="str">
        <f t="shared" ca="1" si="19"/>
        <v/>
      </c>
    </row>
    <row r="70" spans="1:25" ht="15" customHeight="1" x14ac:dyDescent="0.2">
      <c r="A70">
        <v>46</v>
      </c>
      <c r="B70" s="138">
        <f>IFERROR(INDEX('Match Log'!$B$4:$B$1510,MATCH($A70,'Match Log'!$A$4:$A$1510,0)),"")</f>
        <v>46176</v>
      </c>
      <c r="C70" t="str">
        <f>IFERROR(INDEX('Match Log'!$C$4:$C$1510,MATCH($A70,'Match Log'!$A$4:$A$1510,0)),"")</f>
        <v>Table Tennis</v>
      </c>
      <c r="D70" t="str">
        <f t="array" ref="D70">IFERROR(_xlfn.TEXTJOIN(" + ",TRUE(),IF(('Match Log'!$A$4:$A$1510=$A70)*('Match Log'!$E$4:$E$1510="Win"),'Match Log'!$D$4:$D$1510,"")),IFERROR(LOOKUP(2,1/(('Match Log'!$A$4:$A$1510=$A70)*('Match Log'!$E$4:$E$1510="Win")),'Match Log'!$D$4:$D$1510),""))</f>
        <v>Oscar</v>
      </c>
      <c r="E70" s="139">
        <f>IFERROR(INDEX('Match Log'!$F$4:$F$1510,MATCH($A70,'Match Log'!$A$4:$A$1510,0)),"")</f>
        <v>2</v>
      </c>
      <c r="F70">
        <f>IFERROR(SUMIFS('Match Log'!$I$4:$I$1510,'Match Log'!$A$4:$A$1510,$A70,'Match Log'!$E$4:$E$1510,"Win"),"")</f>
        <v>0.31372549019607848</v>
      </c>
      <c r="G70">
        <f t="shared" si="17"/>
        <v>0.37254901960784303</v>
      </c>
      <c r="H70" t="str">
        <f t="array" ref="H70">IFERROR(IF(COUNTIFS('Match Log'!$A$4:$A$1510,$A70,'Match Log'!$E$4:$E$1510,"Win")&gt;1,_xlfn.TEXTJOIN(" + ",TRUE(),IF(('Match Log'!$A$4:$A$1510=$A70)*('Match Log'!$E$4:$E$1510="Loss"),'Match Log'!$D$4:$D$1510,"")),IF($E70=2,LOOKUP(2,1/(('Match Log'!$A$4:$A$1510=$A70)*('Match Log'!$E$4:$E$1510="Loss")),'Match Log'!$D$4:$D$1510),"the field")),"")</f>
        <v>Josh</v>
      </c>
      <c r="I70">
        <f t="shared" si="18"/>
        <v>0.37250301960784304</v>
      </c>
      <c r="J70">
        <v>46</v>
      </c>
      <c r="K70">
        <f>IF($J70&gt;MAX('Match Log'!$A$4:$A$1510),NA(),IFERROR(LOOKUP(2,1/(('Match Log'!$D$4:$D$1510=$K$24)*('Match Log'!$A$4:$A$1510&lt;=$J70)),'Match Log'!$N$4:$N$1510),NA()))</f>
        <v>1076.6133044665753</v>
      </c>
      <c r="L70" t="e">
        <f>IF($J70&gt;MAX('Match Log'!$A$4:$A$1510),NA(),IFERROR(LOOKUP(2,1/(('Match Log'!$D$4:$D$1510=$L$24)*('Match Log'!$A$4:$A$1510&lt;=$J70)),'Match Log'!$N$4:$N$1510),NA()))</f>
        <v>#N/A</v>
      </c>
      <c r="M70">
        <f>IF($J70&gt;MAX('Match Log'!$A$4:$A$1510),NA(),IFERROR(LOOKUP(2,1/(('Match Log'!$D$4:$D$1510=$M$24)*('Match Log'!$A$4:$A$1510&lt;=$J70)),'Match Log'!$N$4:$N$1510),NA()))</f>
        <v>1000.0398229848671</v>
      </c>
      <c r="N70">
        <f>IF($J70&gt;MAX('Match Log'!$A$4:$A$1510),NA(),IFERROR(LOOKUP(2,1/(('Match Log'!$D$4:$D$1510=$N$24)*('Match Log'!$A$4:$A$1510&lt;=$J70)),'Match Log'!$N$4:$N$1510),NA()))</f>
        <v>941.41068490146347</v>
      </c>
      <c r="O70">
        <f>IF($J70&gt;MAX('Match Log'!$A$4:$A$1510),NA(),IFERROR(LOOKUP(2,1/(('Match Log'!$D$4:$D$1510=$O$24)*('Match Log'!$A$4:$A$1510&lt;=$J70)),'Match Log'!$N$4:$N$1510),NA()))</f>
        <v>1151.3413713243715</v>
      </c>
      <c r="P70">
        <f>IF($J70&gt;MAX('Match Log'!$A$4:$A$1510),NA(),IFERROR(LOOKUP(2,1/(('Match Log'!$D$4:$D$1510=$P$24)*('Match Log'!$A$4:$A$1510&lt;=$J70)),'Match Log'!$N$4:$N$1510),NA()))</f>
        <v>1007.4743526549773</v>
      </c>
      <c r="Q70">
        <f>IF($J70&gt;MAX('Match Log'!$A$4:$A$1510),NA(),IFERROR(LOOKUP(2,1/(('Match Log'!$D$4:$D$1510=$Q$24)*('Match Log'!$A$4:$A$1510&lt;=$J70)),'Match Log'!$N$4:$N$1510),NA()))</f>
        <v>1004.2142857142857</v>
      </c>
      <c r="R70">
        <f>IF($J70&gt;MAX('Match Log'!$A$4:$A$1510),NA(),IFERROR(LOOKUP(2,1/(('Match Log'!$D$4:$D$1510=$R$24)*('Match Log'!$A$4:$A$1510&lt;=$J70)),'Match Log'!$N$4:$N$1510),NA()))</f>
        <v>972.22442479508152</v>
      </c>
      <c r="S70">
        <f>IF($J70&gt;MAX('Match Log'!$A$4:$A$1510),NA(),IFERROR(LOOKUP(2,1/(('Match Log'!$D$4:$D$1510=$S$24)*('Match Log'!$A$4:$A$1510&lt;=$J70)),'Match Log'!$N$4:$N$1510),NA()))</f>
        <v>1031.3963708324816</v>
      </c>
      <c r="T70">
        <f>IF($J70&gt;MAX('Match Log'!$A$4:$A$1510),NA(),IFERROR(LOOKUP(2,1/(('Match Log'!$D$4:$D$1510=$T$24)*('Match Log'!$A$4:$A$1510&lt;=$J70)),'Match Log'!$N$4:$N$1510),NA()))</f>
        <v>914.42496189230224</v>
      </c>
      <c r="U70">
        <f>IF($J70&gt;MAX('Match Log'!$A$4:$A$1510),NA(),IFERROR(LOOKUP(2,1/(('Match Log'!$D$4:$D$1510=$U$24)*('Match Log'!$A$4:$A$1510&lt;=$J70)),'Match Log'!$N$4:$N$1510),NA()))</f>
        <v>982.86042043359396</v>
      </c>
      <c r="V70" t="e">
        <f>IF($J70&gt;MAX('Match Log'!$A$4:$A$1510),NA(),IFERROR(LOOKUP(2,1/(('Match Log'!$D$4:$D$1510=$V$24)*('Match Log'!$A$4:$A$1510&lt;=$J70)),'Match Log'!$N$4:$N$1510),NA()))</f>
        <v>#N/A</v>
      </c>
      <c r="W70" t="e">
        <f>IF($J70&gt;MAX('Match Log'!$A$4:$A$1510),NA(),IFERROR(LOOKUP(2,1/(('Match Log'!$D$4:$D$1510=$W$24)*('Match Log'!$A$4:$A$1510&lt;=$J70)),'Match Log'!$N$4:$N$1510),NA()))</f>
        <v>#N/A</v>
      </c>
      <c r="X70" t="e">
        <f>IF($J70&gt;MAX('Match Log'!$A$4:$A$1510),NA(),IFERROR(LOOKUP(2,1/(('Match Log'!$D$4:$D$1510=$X$24)*('Match Log'!$A$4:$A$1510&lt;=$J70)),'Match Log'!$N$4:$N$1510),NA()))</f>
        <v>#N/A</v>
      </c>
      <c r="Y70" t="str">
        <f t="shared" ca="1" si="19"/>
        <v/>
      </c>
    </row>
    <row r="71" spans="1:25" ht="15" customHeight="1" x14ac:dyDescent="0.2">
      <c r="A71">
        <v>47</v>
      </c>
      <c r="B71" s="138">
        <f>IFERROR(INDEX('Match Log'!$B$4:$B$1510,MATCH($A71,'Match Log'!$A$4:$A$1510,0)),"")</f>
        <v>46176</v>
      </c>
      <c r="C71" t="str">
        <f>IFERROR(INDEX('Match Log'!$C$4:$C$1510,MATCH($A71,'Match Log'!$A$4:$A$1510,0)),"")</f>
        <v>Mario Kart</v>
      </c>
      <c r="D71" t="str">
        <f t="array" ref="D71">IFERROR(_xlfn.TEXTJOIN(" + ",TRUE(),IF(('Match Log'!$A$4:$A$1510=$A71)*('Match Log'!$E$4:$E$1510="Win"),'Match Log'!$D$4:$D$1510,"")),IFERROR(LOOKUP(2,1/(('Match Log'!$A$4:$A$1510=$A71)*('Match Log'!$E$4:$E$1510="Win")),'Match Log'!$D$4:$D$1510),""))</f>
        <v>Daniel (Ferret)</v>
      </c>
      <c r="E71" s="139">
        <f>IFERROR(INDEX('Match Log'!$F$4:$F$1510,MATCH($A71,'Match Log'!$A$4:$A$1510,0)),"")</f>
        <v>2</v>
      </c>
      <c r="F71">
        <f>IFERROR(SUMIFS('Match Log'!$I$4:$I$1510,'Match Log'!$A$4:$A$1510,$A71,'Match Log'!$E$4:$E$1510,"Win"),"")</f>
        <v>0.5</v>
      </c>
      <c r="G71">
        <f t="shared" si="17"/>
        <v>0</v>
      </c>
      <c r="H71" t="str">
        <f t="array" ref="H71">IFERROR(IF(COUNTIFS('Match Log'!$A$4:$A$1510,$A71,'Match Log'!$E$4:$E$1510,"Win")&gt;1,_xlfn.TEXTJOIN(" + ",TRUE(),IF(('Match Log'!$A$4:$A$1510=$A71)*('Match Log'!$E$4:$E$1510="Loss"),'Match Log'!$D$4:$D$1510,"")),IF($E71=2,LOOKUP(2,1/(('Match Log'!$A$4:$A$1510=$A71)*('Match Log'!$E$4:$E$1510="Loss")),'Match Log'!$D$4:$D$1510),"the field")),"")</f>
        <v>Oscar</v>
      </c>
      <c r="I71">
        <f t="shared" si="18"/>
        <v>-4.6999999999999997E-5</v>
      </c>
      <c r="J71">
        <v>47</v>
      </c>
      <c r="K71">
        <f>IF($J71&gt;MAX('Match Log'!$A$4:$A$1510),NA(),IFERROR(LOOKUP(2,1/(('Match Log'!$D$4:$D$1510=$K$24)*('Match Log'!$A$4:$A$1510&lt;=$J71)),'Match Log'!$N$4:$N$1510),NA()))</f>
        <v>1076.6133044665753</v>
      </c>
      <c r="L71" t="e">
        <f>IF($J71&gt;MAX('Match Log'!$A$4:$A$1510),NA(),IFERROR(LOOKUP(2,1/(('Match Log'!$D$4:$D$1510=$L$24)*('Match Log'!$A$4:$A$1510&lt;=$J71)),'Match Log'!$N$4:$N$1510),NA()))</f>
        <v>#N/A</v>
      </c>
      <c r="M71">
        <f>IF($J71&gt;MAX('Match Log'!$A$4:$A$1510),NA(),IFERROR(LOOKUP(2,1/(('Match Log'!$D$4:$D$1510=$M$24)*('Match Log'!$A$4:$A$1510&lt;=$J71)),'Match Log'!$N$4:$N$1510),NA()))</f>
        <v>1000.0398229848671</v>
      </c>
      <c r="N71">
        <f>IF($J71&gt;MAX('Match Log'!$A$4:$A$1510),NA(),IFERROR(LOOKUP(2,1/(('Match Log'!$D$4:$D$1510=$N$24)*('Match Log'!$A$4:$A$1510&lt;=$J71)),'Match Log'!$N$4:$N$1510),NA()))</f>
        <v>941.41068490146347</v>
      </c>
      <c r="O71">
        <f>IF($J71&gt;MAX('Match Log'!$A$4:$A$1510),NA(),IFERROR(LOOKUP(2,1/(('Match Log'!$D$4:$D$1510=$O$24)*('Match Log'!$A$4:$A$1510&lt;=$J71)),'Match Log'!$N$4:$N$1510),NA()))</f>
        <v>1151.3413713243715</v>
      </c>
      <c r="P71">
        <f>IF($J71&gt;MAX('Match Log'!$A$4:$A$1510),NA(),IFERROR(LOOKUP(2,1/(('Match Log'!$D$4:$D$1510=$P$24)*('Match Log'!$A$4:$A$1510&lt;=$J71)),'Match Log'!$N$4:$N$1510),NA()))</f>
        <v>1007.4743526549773</v>
      </c>
      <c r="Q71">
        <f>IF($J71&gt;MAX('Match Log'!$A$4:$A$1510),NA(),IFERROR(LOOKUP(2,1/(('Match Log'!$D$4:$D$1510=$Q$24)*('Match Log'!$A$4:$A$1510&lt;=$J71)),'Match Log'!$N$4:$N$1510),NA()))</f>
        <v>1004.2142857142857</v>
      </c>
      <c r="R71">
        <f>IF($J71&gt;MAX('Match Log'!$A$4:$A$1510),NA(),IFERROR(LOOKUP(2,1/(('Match Log'!$D$4:$D$1510=$R$24)*('Match Log'!$A$4:$A$1510&lt;=$J71)),'Match Log'!$N$4:$N$1510),NA()))</f>
        <v>994.71407754590109</v>
      </c>
      <c r="S71">
        <f>IF($J71&gt;MAX('Match Log'!$A$4:$A$1510),NA(),IFERROR(LOOKUP(2,1/(('Match Log'!$D$4:$D$1510=$S$24)*('Match Log'!$A$4:$A$1510&lt;=$J71)),'Match Log'!$N$4:$N$1510),NA()))</f>
        <v>1031.3963708324816</v>
      </c>
      <c r="T71">
        <f>IF($J71&gt;MAX('Match Log'!$A$4:$A$1510),NA(),IFERROR(LOOKUP(2,1/(('Match Log'!$D$4:$D$1510=$T$24)*('Match Log'!$A$4:$A$1510&lt;=$J71)),'Match Log'!$N$4:$N$1510),NA()))</f>
        <v>914.42496189230224</v>
      </c>
      <c r="U71">
        <f>IF($J71&gt;MAX('Match Log'!$A$4:$A$1510),NA(),IFERROR(LOOKUP(2,1/(('Match Log'!$D$4:$D$1510=$U$24)*('Match Log'!$A$4:$A$1510&lt;=$J71)),'Match Log'!$N$4:$N$1510),NA()))</f>
        <v>960.37076768277439</v>
      </c>
      <c r="V71" t="e">
        <f>IF($J71&gt;MAX('Match Log'!$A$4:$A$1510),NA(),IFERROR(LOOKUP(2,1/(('Match Log'!$D$4:$D$1510=$V$24)*('Match Log'!$A$4:$A$1510&lt;=$J71)),'Match Log'!$N$4:$N$1510),NA()))</f>
        <v>#N/A</v>
      </c>
      <c r="W71" t="e">
        <f>IF($J71&gt;MAX('Match Log'!$A$4:$A$1510),NA(),IFERROR(LOOKUP(2,1/(('Match Log'!$D$4:$D$1510=$W$24)*('Match Log'!$A$4:$A$1510&lt;=$J71)),'Match Log'!$N$4:$N$1510),NA()))</f>
        <v>#N/A</v>
      </c>
      <c r="X71" t="e">
        <f>IF($J71&gt;MAX('Match Log'!$A$4:$A$1510),NA(),IFERROR(LOOKUP(2,1/(('Match Log'!$D$4:$D$1510=$X$24)*('Match Log'!$A$4:$A$1510&lt;=$J71)),'Match Log'!$N$4:$N$1510),NA()))</f>
        <v>#N/A</v>
      </c>
      <c r="Y71" t="str">
        <f t="shared" ca="1" si="19"/>
        <v/>
      </c>
    </row>
    <row r="72" spans="1:25" ht="15" customHeight="1" x14ac:dyDescent="0.2">
      <c r="A72">
        <v>48</v>
      </c>
      <c r="B72" s="138">
        <f>IFERROR(INDEX('Match Log'!$B$4:$B$1510,MATCH($A72,'Match Log'!$A$4:$A$1510,0)),"")</f>
        <v>46176</v>
      </c>
      <c r="C72" t="str">
        <f>IFERROR(INDEX('Match Log'!$C$4:$C$1510,MATCH($A72,'Match Log'!$A$4:$A$1510,0)),"")</f>
        <v>Mario Kart</v>
      </c>
      <c r="D72" t="str">
        <f t="array" ref="D72">IFERROR(_xlfn.TEXTJOIN(" + ",TRUE(),IF(('Match Log'!$A$4:$A$1510=$A72)*('Match Log'!$E$4:$E$1510="Win"),'Match Log'!$D$4:$D$1510,"")),IFERROR(LOOKUP(2,1/(('Match Log'!$A$4:$A$1510=$A72)*('Match Log'!$E$4:$E$1510="Win")),'Match Log'!$D$4:$D$1510),""))</f>
        <v>Daniel (Ferret)</v>
      </c>
      <c r="E72" s="139">
        <f>IFERROR(INDEX('Match Log'!$F$4:$F$1510,MATCH($A72,'Match Log'!$A$4:$A$1510,0)),"")</f>
        <v>2</v>
      </c>
      <c r="F72">
        <f>IFERROR(SUMIFS('Match Log'!$I$4:$I$1510,'Match Log'!$A$4:$A$1510,$A72,'Match Log'!$E$4:$E$1510,"Win"),"")</f>
        <v>0.66666666666666663</v>
      </c>
      <c r="G72">
        <f t="shared" si="17"/>
        <v>-0.33333333333333326</v>
      </c>
      <c r="H72" t="str">
        <f t="array" ref="H72">IFERROR(IF(COUNTIFS('Match Log'!$A$4:$A$1510,$A72,'Match Log'!$E$4:$E$1510,"Win")&gt;1,_xlfn.TEXTJOIN(" + ",TRUE(),IF(('Match Log'!$A$4:$A$1510=$A72)*('Match Log'!$E$4:$E$1510="Loss"),'Match Log'!$D$4:$D$1510,"")),IF($E72=2,LOOKUP(2,1/(('Match Log'!$A$4:$A$1510=$A72)*('Match Log'!$E$4:$E$1510="Loss")),'Match Log'!$D$4:$D$1510),"the field")),"")</f>
        <v>Oscar</v>
      </c>
      <c r="I72">
        <f t="shared" si="18"/>
        <v>-0.33338133333333325</v>
      </c>
      <c r="J72">
        <v>48</v>
      </c>
      <c r="K72">
        <f>IF($J72&gt;MAX('Match Log'!$A$4:$A$1510),NA(),IFERROR(LOOKUP(2,1/(('Match Log'!$D$4:$D$1510=$K$24)*('Match Log'!$A$4:$A$1510&lt;=$J72)),'Match Log'!$N$4:$N$1510),NA()))</f>
        <v>1076.6133044665753</v>
      </c>
      <c r="L72" t="e">
        <f>IF($J72&gt;MAX('Match Log'!$A$4:$A$1510),NA(),IFERROR(LOOKUP(2,1/(('Match Log'!$D$4:$D$1510=$L$24)*('Match Log'!$A$4:$A$1510&lt;=$J72)),'Match Log'!$N$4:$N$1510),NA()))</f>
        <v>#N/A</v>
      </c>
      <c r="M72">
        <f>IF($J72&gt;MAX('Match Log'!$A$4:$A$1510),NA(),IFERROR(LOOKUP(2,1/(('Match Log'!$D$4:$D$1510=$M$24)*('Match Log'!$A$4:$A$1510&lt;=$J72)),'Match Log'!$N$4:$N$1510),NA()))</f>
        <v>1000.0398229848671</v>
      </c>
      <c r="N72">
        <f>IF($J72&gt;MAX('Match Log'!$A$4:$A$1510),NA(),IFERROR(LOOKUP(2,1/(('Match Log'!$D$4:$D$1510=$N$24)*('Match Log'!$A$4:$A$1510&lt;=$J72)),'Match Log'!$N$4:$N$1510),NA()))</f>
        <v>941.41068490146347</v>
      </c>
      <c r="O72">
        <f>IF($J72&gt;MAX('Match Log'!$A$4:$A$1510),NA(),IFERROR(LOOKUP(2,1/(('Match Log'!$D$4:$D$1510=$O$24)*('Match Log'!$A$4:$A$1510&lt;=$J72)),'Match Log'!$N$4:$N$1510),NA()))</f>
        <v>1151.3413713243715</v>
      </c>
      <c r="P72">
        <f>IF($J72&gt;MAX('Match Log'!$A$4:$A$1510),NA(),IFERROR(LOOKUP(2,1/(('Match Log'!$D$4:$D$1510=$P$24)*('Match Log'!$A$4:$A$1510&lt;=$J72)),'Match Log'!$N$4:$N$1510),NA()))</f>
        <v>1007.4743526549773</v>
      </c>
      <c r="Q72">
        <f>IF($J72&gt;MAX('Match Log'!$A$4:$A$1510),NA(),IFERROR(LOOKUP(2,1/(('Match Log'!$D$4:$D$1510=$Q$24)*('Match Log'!$A$4:$A$1510&lt;=$J72)),'Match Log'!$N$4:$N$1510),NA()))</f>
        <v>1004.2142857142857</v>
      </c>
      <c r="R72">
        <f>IF($J72&gt;MAX('Match Log'!$A$4:$A$1510),NA(),IFERROR(LOOKUP(2,1/(('Match Log'!$D$4:$D$1510=$R$24)*('Match Log'!$A$4:$A$1510&lt;=$J72)),'Match Log'!$N$4:$N$1510),NA()))</f>
        <v>1013.1554536892473</v>
      </c>
      <c r="S72">
        <f>IF($J72&gt;MAX('Match Log'!$A$4:$A$1510),NA(),IFERROR(LOOKUP(2,1/(('Match Log'!$D$4:$D$1510=$S$24)*('Match Log'!$A$4:$A$1510&lt;=$J72)),'Match Log'!$N$4:$N$1510),NA()))</f>
        <v>1031.3963708324816</v>
      </c>
      <c r="T72">
        <f>IF($J72&gt;MAX('Match Log'!$A$4:$A$1510),NA(),IFERROR(LOOKUP(2,1/(('Match Log'!$D$4:$D$1510=$T$24)*('Match Log'!$A$4:$A$1510&lt;=$J72)),'Match Log'!$N$4:$N$1510),NA()))</f>
        <v>914.42496189230224</v>
      </c>
      <c r="U72">
        <f>IF($J72&gt;MAX('Match Log'!$A$4:$A$1510),NA(),IFERROR(LOOKUP(2,1/(('Match Log'!$D$4:$D$1510=$U$24)*('Match Log'!$A$4:$A$1510&lt;=$J72)),'Match Log'!$N$4:$N$1510),NA()))</f>
        <v>941.92939153942814</v>
      </c>
      <c r="V72" t="e">
        <f>IF($J72&gt;MAX('Match Log'!$A$4:$A$1510),NA(),IFERROR(LOOKUP(2,1/(('Match Log'!$D$4:$D$1510=$V$24)*('Match Log'!$A$4:$A$1510&lt;=$J72)),'Match Log'!$N$4:$N$1510),NA()))</f>
        <v>#N/A</v>
      </c>
      <c r="W72" t="e">
        <f>IF($J72&gt;MAX('Match Log'!$A$4:$A$1510),NA(),IFERROR(LOOKUP(2,1/(('Match Log'!$D$4:$D$1510=$W$24)*('Match Log'!$A$4:$A$1510&lt;=$J72)),'Match Log'!$N$4:$N$1510),NA()))</f>
        <v>#N/A</v>
      </c>
      <c r="X72" t="e">
        <f>IF($J72&gt;MAX('Match Log'!$A$4:$A$1510),NA(),IFERROR(LOOKUP(2,1/(('Match Log'!$D$4:$D$1510=$X$24)*('Match Log'!$A$4:$A$1510&lt;=$J72)),'Match Log'!$N$4:$N$1510),NA()))</f>
        <v>#N/A</v>
      </c>
      <c r="Y72" t="str">
        <f t="shared" ca="1" si="19"/>
        <v/>
      </c>
    </row>
    <row r="73" spans="1:25" ht="15" customHeight="1" x14ac:dyDescent="0.2">
      <c r="A73">
        <v>49</v>
      </c>
      <c r="B73" s="138">
        <f>IFERROR(INDEX('Match Log'!$B$4:$B$1510,MATCH($A73,'Match Log'!$A$4:$A$1510,0)),"")</f>
        <v>46176</v>
      </c>
      <c r="C73" t="str">
        <f>IFERROR(INDEX('Match Log'!$C$4:$C$1510,MATCH($A73,'Match Log'!$A$4:$A$1510,0)),"")</f>
        <v>Mario Kart</v>
      </c>
      <c r="D73" t="str">
        <f t="array" ref="D73">IFERROR(_xlfn.TEXTJOIN(" + ",TRUE(),IF(('Match Log'!$A$4:$A$1510=$A73)*('Match Log'!$E$4:$E$1510="Win"),'Match Log'!$D$4:$D$1510,"")),IFERROR(LOOKUP(2,1/(('Match Log'!$A$4:$A$1510=$A73)*('Match Log'!$E$4:$E$1510="Win")),'Match Log'!$D$4:$D$1510),""))</f>
        <v>Oscar</v>
      </c>
      <c r="E73" s="139">
        <f>IFERROR(INDEX('Match Log'!$F$4:$F$1510,MATCH($A73,'Match Log'!$A$4:$A$1510,0)),"")</f>
        <v>2</v>
      </c>
      <c r="F73">
        <f>IFERROR(SUMIFS('Match Log'!$I$4:$I$1510,'Match Log'!$A$4:$A$1510,$A73,'Match Log'!$E$4:$E$1510,"Win"),"")</f>
        <v>0.25</v>
      </c>
      <c r="G73">
        <f t="shared" si="17"/>
        <v>0.5</v>
      </c>
      <c r="H73" t="str">
        <f t="array" ref="H73">IFERROR(IF(COUNTIFS('Match Log'!$A$4:$A$1510,$A73,'Match Log'!$E$4:$E$1510,"Win")&gt;1,_xlfn.TEXTJOIN(" + ",TRUE(),IF(('Match Log'!$A$4:$A$1510=$A73)*('Match Log'!$E$4:$E$1510="Loss"),'Match Log'!$D$4:$D$1510,"")),IF($E73=2,LOOKUP(2,1/(('Match Log'!$A$4:$A$1510=$A73)*('Match Log'!$E$4:$E$1510="Loss")),'Match Log'!$D$4:$D$1510),"the field")),"")</f>
        <v>Daniel (Ferret)</v>
      </c>
      <c r="I73">
        <f t="shared" si="18"/>
        <v>0.49995099999999998</v>
      </c>
      <c r="J73">
        <v>49</v>
      </c>
      <c r="K73">
        <f>IF($J73&gt;MAX('Match Log'!$A$4:$A$1510),NA(),IFERROR(LOOKUP(2,1/(('Match Log'!$D$4:$D$1510=$K$24)*('Match Log'!$A$4:$A$1510&lt;=$J73)),'Match Log'!$N$4:$N$1510),NA()))</f>
        <v>1076.6133044665753</v>
      </c>
      <c r="L73" t="e">
        <f>IF($J73&gt;MAX('Match Log'!$A$4:$A$1510),NA(),IFERROR(LOOKUP(2,1/(('Match Log'!$D$4:$D$1510=$L$24)*('Match Log'!$A$4:$A$1510&lt;=$J73)),'Match Log'!$N$4:$N$1510),NA()))</f>
        <v>#N/A</v>
      </c>
      <c r="M73">
        <f>IF($J73&gt;MAX('Match Log'!$A$4:$A$1510),NA(),IFERROR(LOOKUP(2,1/(('Match Log'!$D$4:$D$1510=$M$24)*('Match Log'!$A$4:$A$1510&lt;=$J73)),'Match Log'!$N$4:$N$1510),NA()))</f>
        <v>1000.0398229848671</v>
      </c>
      <c r="N73">
        <f>IF($J73&gt;MAX('Match Log'!$A$4:$A$1510),NA(),IFERROR(LOOKUP(2,1/(('Match Log'!$D$4:$D$1510=$N$24)*('Match Log'!$A$4:$A$1510&lt;=$J73)),'Match Log'!$N$4:$N$1510),NA()))</f>
        <v>941.41068490146347</v>
      </c>
      <c r="O73">
        <f>IF($J73&gt;MAX('Match Log'!$A$4:$A$1510),NA(),IFERROR(LOOKUP(2,1/(('Match Log'!$D$4:$D$1510=$O$24)*('Match Log'!$A$4:$A$1510&lt;=$J73)),'Match Log'!$N$4:$N$1510),NA()))</f>
        <v>1151.3413713243715</v>
      </c>
      <c r="P73">
        <f>IF($J73&gt;MAX('Match Log'!$A$4:$A$1510),NA(),IFERROR(LOOKUP(2,1/(('Match Log'!$D$4:$D$1510=$P$24)*('Match Log'!$A$4:$A$1510&lt;=$J73)),'Match Log'!$N$4:$N$1510),NA()))</f>
        <v>1007.4743526549773</v>
      </c>
      <c r="Q73">
        <f>IF($J73&gt;MAX('Match Log'!$A$4:$A$1510),NA(),IFERROR(LOOKUP(2,1/(('Match Log'!$D$4:$D$1510=$Q$24)*('Match Log'!$A$4:$A$1510&lt;=$J73)),'Match Log'!$N$4:$N$1510),NA()))</f>
        <v>1004.2142857142857</v>
      </c>
      <c r="R73">
        <f>IF($J73&gt;MAX('Match Log'!$A$4:$A$1510),NA(),IFERROR(LOOKUP(2,1/(('Match Log'!$D$4:$D$1510=$R$24)*('Match Log'!$A$4:$A$1510&lt;=$J73)),'Match Log'!$N$4:$N$1510),NA()))</f>
        <v>985.04905862097314</v>
      </c>
      <c r="S73">
        <f>IF($J73&gt;MAX('Match Log'!$A$4:$A$1510),NA(),IFERROR(LOOKUP(2,1/(('Match Log'!$D$4:$D$1510=$S$24)*('Match Log'!$A$4:$A$1510&lt;=$J73)),'Match Log'!$N$4:$N$1510),NA()))</f>
        <v>1031.3963708324816</v>
      </c>
      <c r="T73">
        <f>IF($J73&gt;MAX('Match Log'!$A$4:$A$1510),NA(),IFERROR(LOOKUP(2,1/(('Match Log'!$D$4:$D$1510=$T$24)*('Match Log'!$A$4:$A$1510&lt;=$J73)),'Match Log'!$N$4:$N$1510),NA()))</f>
        <v>914.42496189230224</v>
      </c>
      <c r="U73">
        <f>IF($J73&gt;MAX('Match Log'!$A$4:$A$1510),NA(),IFERROR(LOOKUP(2,1/(('Match Log'!$D$4:$D$1510=$U$24)*('Match Log'!$A$4:$A$1510&lt;=$J73)),'Match Log'!$N$4:$N$1510),NA()))</f>
        <v>970.03578660770233</v>
      </c>
      <c r="V73" t="e">
        <f>IF($J73&gt;MAX('Match Log'!$A$4:$A$1510),NA(),IFERROR(LOOKUP(2,1/(('Match Log'!$D$4:$D$1510=$V$24)*('Match Log'!$A$4:$A$1510&lt;=$J73)),'Match Log'!$N$4:$N$1510),NA()))</f>
        <v>#N/A</v>
      </c>
      <c r="W73" t="e">
        <f>IF($J73&gt;MAX('Match Log'!$A$4:$A$1510),NA(),IFERROR(LOOKUP(2,1/(('Match Log'!$D$4:$D$1510=$W$24)*('Match Log'!$A$4:$A$1510&lt;=$J73)),'Match Log'!$N$4:$N$1510),NA()))</f>
        <v>#N/A</v>
      </c>
      <c r="X73" t="e">
        <f>IF($J73&gt;MAX('Match Log'!$A$4:$A$1510),NA(),IFERROR(LOOKUP(2,1/(('Match Log'!$D$4:$D$1510=$X$24)*('Match Log'!$A$4:$A$1510&lt;=$J73)),'Match Log'!$N$4:$N$1510),NA()))</f>
        <v>#N/A</v>
      </c>
      <c r="Y73" t="str">
        <f t="shared" ca="1" si="19"/>
        <v/>
      </c>
    </row>
    <row r="74" spans="1:25" ht="15" customHeight="1" x14ac:dyDescent="0.2">
      <c r="A74">
        <v>50</v>
      </c>
      <c r="B74" s="138">
        <f>IFERROR(INDEX('Match Log'!$B$4:$B$1510,MATCH($A74,'Match Log'!$A$4:$A$1510,0)),"")</f>
        <v>46177</v>
      </c>
      <c r="C74" t="str">
        <f>IFERROR(INDEX('Match Log'!$C$4:$C$1510,MATCH($A74,'Match Log'!$A$4:$A$1510,0)),"")</f>
        <v>Table Tennis</v>
      </c>
      <c r="D74" t="str">
        <f t="array" ref="D74">IFERROR(_xlfn.TEXTJOIN(" + ",TRUE(),IF(('Match Log'!$A$4:$A$1510=$A74)*('Match Log'!$E$4:$E$1510="Win"),'Match Log'!$D$4:$D$1510,"")),IFERROR(LOOKUP(2,1/(('Match Log'!$A$4:$A$1510=$A74)*('Match Log'!$E$4:$E$1510="Win")),'Match Log'!$D$4:$D$1510),""))</f>
        <v>Dean B</v>
      </c>
      <c r="E74" s="139">
        <f>IFERROR(INDEX('Match Log'!$F$4:$F$1510,MATCH($A74,'Match Log'!$A$4:$A$1510,0)),"")</f>
        <v>2</v>
      </c>
      <c r="F74">
        <f>IFERROR(SUMIFS('Match Log'!$I$4:$I$1510,'Match Log'!$A$4:$A$1510,$A74,'Match Log'!$E$4:$E$1510,"Win"),"")</f>
        <v>0.5</v>
      </c>
      <c r="G74">
        <f t="shared" si="17"/>
        <v>0</v>
      </c>
      <c r="H74" t="str">
        <f t="array" ref="H74">IFERROR(IF(COUNTIFS('Match Log'!$A$4:$A$1510,$A74,'Match Log'!$E$4:$E$1510,"Win")&gt;1,_xlfn.TEXTJOIN(" + ",TRUE(),IF(('Match Log'!$A$4:$A$1510=$A74)*('Match Log'!$E$4:$E$1510="Loss"),'Match Log'!$D$4:$D$1510,"")),IF($E74=2,LOOKUP(2,1/(('Match Log'!$A$4:$A$1510=$A74)*('Match Log'!$E$4:$E$1510="Loss")),'Match Log'!$D$4:$D$1510),"the field")),"")</f>
        <v>Oscar</v>
      </c>
      <c r="I74">
        <f t="shared" si="18"/>
        <v>-5.0000000000000002E-5</v>
      </c>
      <c r="J74">
        <v>50</v>
      </c>
      <c r="K74">
        <f>IF($J74&gt;MAX('Match Log'!$A$4:$A$1510),NA(),IFERROR(LOOKUP(2,1/(('Match Log'!$D$4:$D$1510=$K$24)*('Match Log'!$A$4:$A$1510&lt;=$J74)),'Match Log'!$N$4:$N$1510),NA()))</f>
        <v>1076.6133044665753</v>
      </c>
      <c r="L74" t="e">
        <f>IF($J74&gt;MAX('Match Log'!$A$4:$A$1510),NA(),IFERROR(LOOKUP(2,1/(('Match Log'!$D$4:$D$1510=$L$24)*('Match Log'!$A$4:$A$1510&lt;=$J74)),'Match Log'!$N$4:$N$1510),NA()))</f>
        <v>#N/A</v>
      </c>
      <c r="M74">
        <f>IF($J74&gt;MAX('Match Log'!$A$4:$A$1510),NA(),IFERROR(LOOKUP(2,1/(('Match Log'!$D$4:$D$1510=$M$24)*('Match Log'!$A$4:$A$1510&lt;=$J74)),'Match Log'!$N$4:$N$1510),NA()))</f>
        <v>1000.0398229848671</v>
      </c>
      <c r="N74">
        <f>IF($J74&gt;MAX('Match Log'!$A$4:$A$1510),NA(),IFERROR(LOOKUP(2,1/(('Match Log'!$D$4:$D$1510=$N$24)*('Match Log'!$A$4:$A$1510&lt;=$J74)),'Match Log'!$N$4:$N$1510),NA()))</f>
        <v>941.41068490146347</v>
      </c>
      <c r="O74">
        <f>IF($J74&gt;MAX('Match Log'!$A$4:$A$1510),NA(),IFERROR(LOOKUP(2,1/(('Match Log'!$D$4:$D$1510=$O$24)*('Match Log'!$A$4:$A$1510&lt;=$J74)),'Match Log'!$N$4:$N$1510),NA()))</f>
        <v>1151.3413713243715</v>
      </c>
      <c r="P74">
        <f>IF($J74&gt;MAX('Match Log'!$A$4:$A$1510),NA(),IFERROR(LOOKUP(2,1/(('Match Log'!$D$4:$D$1510=$P$24)*('Match Log'!$A$4:$A$1510&lt;=$J74)),'Match Log'!$N$4:$N$1510),NA()))</f>
        <v>1007.4743526549773</v>
      </c>
      <c r="Q74">
        <f>IF($J74&gt;MAX('Match Log'!$A$4:$A$1510),NA(),IFERROR(LOOKUP(2,1/(('Match Log'!$D$4:$D$1510=$Q$24)*('Match Log'!$A$4:$A$1510&lt;=$J74)),'Match Log'!$N$4:$N$1510),NA()))</f>
        <v>1004.2142857142857</v>
      </c>
      <c r="R74">
        <f>IF($J74&gt;MAX('Match Log'!$A$4:$A$1510),NA(),IFERROR(LOOKUP(2,1/(('Match Log'!$D$4:$D$1510=$R$24)*('Match Log'!$A$4:$A$1510&lt;=$J74)),'Match Log'!$N$4:$N$1510),NA()))</f>
        <v>985.04905862097314</v>
      </c>
      <c r="S74">
        <f>IF($J74&gt;MAX('Match Log'!$A$4:$A$1510),NA(),IFERROR(LOOKUP(2,1/(('Match Log'!$D$4:$D$1510=$S$24)*('Match Log'!$A$4:$A$1510&lt;=$J74)),'Match Log'!$N$4:$N$1510),NA()))</f>
        <v>1051.765653921412</v>
      </c>
      <c r="T74">
        <f>IF($J74&gt;MAX('Match Log'!$A$4:$A$1510),NA(),IFERROR(LOOKUP(2,1/(('Match Log'!$D$4:$D$1510=$T$24)*('Match Log'!$A$4:$A$1510&lt;=$J74)),'Match Log'!$N$4:$N$1510),NA()))</f>
        <v>914.42496189230224</v>
      </c>
      <c r="U74">
        <f>IF($J74&gt;MAX('Match Log'!$A$4:$A$1510),NA(),IFERROR(LOOKUP(2,1/(('Match Log'!$D$4:$D$1510=$U$24)*('Match Log'!$A$4:$A$1510&lt;=$J74)),'Match Log'!$N$4:$N$1510),NA()))</f>
        <v>949.66650351877195</v>
      </c>
      <c r="V74" t="e">
        <f>IF($J74&gt;MAX('Match Log'!$A$4:$A$1510),NA(),IFERROR(LOOKUP(2,1/(('Match Log'!$D$4:$D$1510=$V$24)*('Match Log'!$A$4:$A$1510&lt;=$J74)),'Match Log'!$N$4:$N$1510),NA()))</f>
        <v>#N/A</v>
      </c>
      <c r="W74" t="e">
        <f>IF($J74&gt;MAX('Match Log'!$A$4:$A$1510),NA(),IFERROR(LOOKUP(2,1/(('Match Log'!$D$4:$D$1510=$W$24)*('Match Log'!$A$4:$A$1510&lt;=$J74)),'Match Log'!$N$4:$N$1510),NA()))</f>
        <v>#N/A</v>
      </c>
      <c r="X74" t="e">
        <f>IF($J74&gt;MAX('Match Log'!$A$4:$A$1510),NA(),IFERROR(LOOKUP(2,1/(('Match Log'!$D$4:$D$1510=$X$24)*('Match Log'!$A$4:$A$1510&lt;=$J74)),'Match Log'!$N$4:$N$1510),NA()))</f>
        <v>#N/A</v>
      </c>
      <c r="Y74" t="str">
        <f t="shared" ca="1" si="19"/>
        <v/>
      </c>
    </row>
    <row r="75" spans="1:25" ht="15" customHeight="1" x14ac:dyDescent="0.2">
      <c r="A75">
        <v>51</v>
      </c>
      <c r="B75" s="138">
        <f>IFERROR(INDEX('Match Log'!$B$4:$B$1510,MATCH($A75,'Match Log'!$A$4:$A$1510,0)),"")</f>
        <v>46177</v>
      </c>
      <c r="C75" t="str">
        <f>IFERROR(INDEX('Match Log'!$C$4:$C$1510,MATCH($A75,'Match Log'!$A$4:$A$1510,0)),"")</f>
        <v>Table Tennis</v>
      </c>
      <c r="D75" t="str">
        <f t="array" ref="D75">IFERROR(_xlfn.TEXTJOIN(" + ",TRUE(),IF(('Match Log'!$A$4:$A$1510=$A75)*('Match Log'!$E$4:$E$1510="Win"),'Match Log'!$D$4:$D$1510,"")),IFERROR(LOOKUP(2,1/(('Match Log'!$A$4:$A$1510=$A75)*('Match Log'!$E$4:$E$1510="Win")),'Match Log'!$D$4:$D$1510),""))</f>
        <v>Dean B</v>
      </c>
      <c r="E75" s="139">
        <f>IFERROR(INDEX('Match Log'!$F$4:$F$1510,MATCH($A75,'Match Log'!$A$4:$A$1510,0)),"")</f>
        <v>2</v>
      </c>
      <c r="F75">
        <f>IFERROR(SUMIFS('Match Log'!$I$4:$I$1510,'Match Log'!$A$4:$A$1510,$A75,'Match Log'!$E$4:$E$1510,"Win"),"")</f>
        <v>0.58333333333333337</v>
      </c>
      <c r="G75">
        <f t="shared" si="17"/>
        <v>-0.16666666666666674</v>
      </c>
      <c r="H75" t="str">
        <f t="array" ref="H75">IFERROR(IF(COUNTIFS('Match Log'!$A$4:$A$1510,$A75,'Match Log'!$E$4:$E$1510,"Win")&gt;1,_xlfn.TEXTJOIN(" + ",TRUE(),IF(('Match Log'!$A$4:$A$1510=$A75)*('Match Log'!$E$4:$E$1510="Loss"),'Match Log'!$D$4:$D$1510,"")),IF($E75=2,LOOKUP(2,1/(('Match Log'!$A$4:$A$1510=$A75)*('Match Log'!$E$4:$E$1510="Loss")),'Match Log'!$D$4:$D$1510),"the field")),"")</f>
        <v>Oscar</v>
      </c>
      <c r="I75">
        <f t="shared" si="18"/>
        <v>-0.16671766666666674</v>
      </c>
      <c r="J75">
        <v>51</v>
      </c>
      <c r="K75">
        <f>IF($J75&gt;MAX('Match Log'!$A$4:$A$1510),NA(),IFERROR(LOOKUP(2,1/(('Match Log'!$D$4:$D$1510=$K$24)*('Match Log'!$A$4:$A$1510&lt;=$J75)),'Match Log'!$N$4:$N$1510),NA()))</f>
        <v>1076.6133044665753</v>
      </c>
      <c r="L75" t="e">
        <f>IF($J75&gt;MAX('Match Log'!$A$4:$A$1510),NA(),IFERROR(LOOKUP(2,1/(('Match Log'!$D$4:$D$1510=$L$24)*('Match Log'!$A$4:$A$1510&lt;=$J75)),'Match Log'!$N$4:$N$1510),NA()))</f>
        <v>#N/A</v>
      </c>
      <c r="M75">
        <f>IF($J75&gt;MAX('Match Log'!$A$4:$A$1510),NA(),IFERROR(LOOKUP(2,1/(('Match Log'!$D$4:$D$1510=$M$24)*('Match Log'!$A$4:$A$1510&lt;=$J75)),'Match Log'!$N$4:$N$1510),NA()))</f>
        <v>1000.0398229848671</v>
      </c>
      <c r="N75">
        <f>IF($J75&gt;MAX('Match Log'!$A$4:$A$1510),NA(),IFERROR(LOOKUP(2,1/(('Match Log'!$D$4:$D$1510=$N$24)*('Match Log'!$A$4:$A$1510&lt;=$J75)),'Match Log'!$N$4:$N$1510),NA()))</f>
        <v>941.41068490146347</v>
      </c>
      <c r="O75">
        <f>IF($J75&gt;MAX('Match Log'!$A$4:$A$1510),NA(),IFERROR(LOOKUP(2,1/(('Match Log'!$D$4:$D$1510=$O$24)*('Match Log'!$A$4:$A$1510&lt;=$J75)),'Match Log'!$N$4:$N$1510),NA()))</f>
        <v>1151.3413713243715</v>
      </c>
      <c r="P75">
        <f>IF($J75&gt;MAX('Match Log'!$A$4:$A$1510),NA(),IFERROR(LOOKUP(2,1/(('Match Log'!$D$4:$D$1510=$P$24)*('Match Log'!$A$4:$A$1510&lt;=$J75)),'Match Log'!$N$4:$N$1510),NA()))</f>
        <v>1007.4743526549773</v>
      </c>
      <c r="Q75">
        <f>IF($J75&gt;MAX('Match Log'!$A$4:$A$1510),NA(),IFERROR(LOOKUP(2,1/(('Match Log'!$D$4:$D$1510=$Q$24)*('Match Log'!$A$4:$A$1510&lt;=$J75)),'Match Log'!$N$4:$N$1510),NA()))</f>
        <v>1004.2142857142857</v>
      </c>
      <c r="R75">
        <f>IF($J75&gt;MAX('Match Log'!$A$4:$A$1510),NA(),IFERROR(LOOKUP(2,1/(('Match Log'!$D$4:$D$1510=$R$24)*('Match Log'!$A$4:$A$1510&lt;=$J75)),'Match Log'!$N$4:$N$1510),NA()))</f>
        <v>985.04905862097314</v>
      </c>
      <c r="S75">
        <f>IF($J75&gt;MAX('Match Log'!$A$4:$A$1510),NA(),IFERROR(LOOKUP(2,1/(('Match Log'!$D$4:$D$1510=$S$24)*('Match Log'!$A$4:$A$1510&lt;=$J75)),'Match Log'!$N$4:$N$1510),NA()))</f>
        <v>1069.6597959596495</v>
      </c>
      <c r="T75">
        <f>IF($J75&gt;MAX('Match Log'!$A$4:$A$1510),NA(),IFERROR(LOOKUP(2,1/(('Match Log'!$D$4:$D$1510=$T$24)*('Match Log'!$A$4:$A$1510&lt;=$J75)),'Match Log'!$N$4:$N$1510),NA()))</f>
        <v>914.42496189230224</v>
      </c>
      <c r="U75">
        <f>IF($J75&gt;MAX('Match Log'!$A$4:$A$1510),NA(),IFERROR(LOOKUP(2,1/(('Match Log'!$D$4:$D$1510=$U$24)*('Match Log'!$A$4:$A$1510&lt;=$J75)),'Match Log'!$N$4:$N$1510),NA()))</f>
        <v>931.77236148053441</v>
      </c>
      <c r="V75" t="e">
        <f>IF($J75&gt;MAX('Match Log'!$A$4:$A$1510),NA(),IFERROR(LOOKUP(2,1/(('Match Log'!$D$4:$D$1510=$V$24)*('Match Log'!$A$4:$A$1510&lt;=$J75)),'Match Log'!$N$4:$N$1510),NA()))</f>
        <v>#N/A</v>
      </c>
      <c r="W75" t="e">
        <f>IF($J75&gt;MAX('Match Log'!$A$4:$A$1510),NA(),IFERROR(LOOKUP(2,1/(('Match Log'!$D$4:$D$1510=$W$24)*('Match Log'!$A$4:$A$1510&lt;=$J75)),'Match Log'!$N$4:$N$1510),NA()))</f>
        <v>#N/A</v>
      </c>
      <c r="X75" t="e">
        <f>IF($J75&gt;MAX('Match Log'!$A$4:$A$1510),NA(),IFERROR(LOOKUP(2,1/(('Match Log'!$D$4:$D$1510=$X$24)*('Match Log'!$A$4:$A$1510&lt;=$J75)),'Match Log'!$N$4:$N$1510),NA()))</f>
        <v>#N/A</v>
      </c>
      <c r="Y75" t="str">
        <f t="shared" ca="1" si="19"/>
        <v/>
      </c>
    </row>
    <row r="76" spans="1:25" ht="15" customHeight="1" x14ac:dyDescent="0.2">
      <c r="A76">
        <v>52</v>
      </c>
      <c r="B76" s="138">
        <f>IFERROR(INDEX('Match Log'!$B$4:$B$1510,MATCH($A76,'Match Log'!$A$4:$A$1510,0)),"")</f>
        <v>46177</v>
      </c>
      <c r="C76" t="str">
        <f>IFERROR(INDEX('Match Log'!$C$4:$C$1510,MATCH($A76,'Match Log'!$A$4:$A$1510,0)),"")</f>
        <v>Table Tennis</v>
      </c>
      <c r="D76" t="str">
        <f t="array" ref="D76">IFERROR(_xlfn.TEXTJOIN(" + ",TRUE(),IF(('Match Log'!$A$4:$A$1510=$A76)*('Match Log'!$E$4:$E$1510="Win"),'Match Log'!$D$4:$D$1510,"")),IFERROR(LOOKUP(2,1/(('Match Log'!$A$4:$A$1510=$A76)*('Match Log'!$E$4:$E$1510="Win")),'Match Log'!$D$4:$D$1510),""))</f>
        <v>Dean B</v>
      </c>
      <c r="E76" s="139">
        <f>IFERROR(INDEX('Match Log'!$F$4:$F$1510,MATCH($A76,'Match Log'!$A$4:$A$1510,0)),"")</f>
        <v>2</v>
      </c>
      <c r="F76">
        <f>IFERROR(SUMIFS('Match Log'!$I$4:$I$1510,'Match Log'!$A$4:$A$1510,$A76,'Match Log'!$E$4:$E$1510,"Win"),"")</f>
        <v>0.64</v>
      </c>
      <c r="G76">
        <f t="shared" si="17"/>
        <v>-0.28000000000000003</v>
      </c>
      <c r="H76" t="str">
        <f t="array" ref="H76">IFERROR(IF(COUNTIFS('Match Log'!$A$4:$A$1510,$A76,'Match Log'!$E$4:$E$1510,"Win")&gt;1,_xlfn.TEXTJOIN(" + ",TRUE(),IF(('Match Log'!$A$4:$A$1510=$A76)*('Match Log'!$E$4:$E$1510="Loss"),'Match Log'!$D$4:$D$1510,"")),IF($E76=2,LOOKUP(2,1/(('Match Log'!$A$4:$A$1510=$A76)*('Match Log'!$E$4:$E$1510="Loss")),'Match Log'!$D$4:$D$1510),"the field")),"")</f>
        <v>Oscar</v>
      </c>
      <c r="I76">
        <f t="shared" si="18"/>
        <v>-0.28005200000000002</v>
      </c>
      <c r="J76">
        <v>52</v>
      </c>
      <c r="K76">
        <f>IF($J76&gt;MAX('Match Log'!$A$4:$A$1510),NA(),IFERROR(LOOKUP(2,1/(('Match Log'!$D$4:$D$1510=$K$24)*('Match Log'!$A$4:$A$1510&lt;=$J76)),'Match Log'!$N$4:$N$1510),NA()))</f>
        <v>1076.6133044665753</v>
      </c>
      <c r="L76" t="e">
        <f>IF($J76&gt;MAX('Match Log'!$A$4:$A$1510),NA(),IFERROR(LOOKUP(2,1/(('Match Log'!$D$4:$D$1510=$L$24)*('Match Log'!$A$4:$A$1510&lt;=$J76)),'Match Log'!$N$4:$N$1510),NA()))</f>
        <v>#N/A</v>
      </c>
      <c r="M76">
        <f>IF($J76&gt;MAX('Match Log'!$A$4:$A$1510),NA(),IFERROR(LOOKUP(2,1/(('Match Log'!$D$4:$D$1510=$M$24)*('Match Log'!$A$4:$A$1510&lt;=$J76)),'Match Log'!$N$4:$N$1510),NA()))</f>
        <v>1000.0398229848671</v>
      </c>
      <c r="N76">
        <f>IF($J76&gt;MAX('Match Log'!$A$4:$A$1510),NA(),IFERROR(LOOKUP(2,1/(('Match Log'!$D$4:$D$1510=$N$24)*('Match Log'!$A$4:$A$1510&lt;=$J76)),'Match Log'!$N$4:$N$1510),NA()))</f>
        <v>941.41068490146347</v>
      </c>
      <c r="O76">
        <f>IF($J76&gt;MAX('Match Log'!$A$4:$A$1510),NA(),IFERROR(LOOKUP(2,1/(('Match Log'!$D$4:$D$1510=$O$24)*('Match Log'!$A$4:$A$1510&lt;=$J76)),'Match Log'!$N$4:$N$1510),NA()))</f>
        <v>1151.3413713243715</v>
      </c>
      <c r="P76">
        <f>IF($J76&gt;MAX('Match Log'!$A$4:$A$1510),NA(),IFERROR(LOOKUP(2,1/(('Match Log'!$D$4:$D$1510=$P$24)*('Match Log'!$A$4:$A$1510&lt;=$J76)),'Match Log'!$N$4:$N$1510),NA()))</f>
        <v>1007.4743526549773</v>
      </c>
      <c r="Q76">
        <f>IF($J76&gt;MAX('Match Log'!$A$4:$A$1510),NA(),IFERROR(LOOKUP(2,1/(('Match Log'!$D$4:$D$1510=$Q$24)*('Match Log'!$A$4:$A$1510&lt;=$J76)),'Match Log'!$N$4:$N$1510),NA()))</f>
        <v>1004.2142857142857</v>
      </c>
      <c r="R76">
        <f>IF($J76&gt;MAX('Match Log'!$A$4:$A$1510),NA(),IFERROR(LOOKUP(2,1/(('Match Log'!$D$4:$D$1510=$R$24)*('Match Log'!$A$4:$A$1510&lt;=$J76)),'Match Log'!$N$4:$N$1510),NA()))</f>
        <v>985.04905862097314</v>
      </c>
      <c r="S76">
        <f>IF($J76&gt;MAX('Match Log'!$A$4:$A$1510),NA(),IFERROR(LOOKUP(2,1/(('Match Log'!$D$4:$D$1510=$S$24)*('Match Log'!$A$4:$A$1510&lt;=$J76)),'Match Log'!$N$4:$N$1510),NA()))</f>
        <v>1085.6252166431486</v>
      </c>
      <c r="T76">
        <f>IF($J76&gt;MAX('Match Log'!$A$4:$A$1510),NA(),IFERROR(LOOKUP(2,1/(('Match Log'!$D$4:$D$1510=$T$24)*('Match Log'!$A$4:$A$1510&lt;=$J76)),'Match Log'!$N$4:$N$1510),NA()))</f>
        <v>914.42496189230224</v>
      </c>
      <c r="U76">
        <f>IF($J76&gt;MAX('Match Log'!$A$4:$A$1510),NA(),IFERROR(LOOKUP(2,1/(('Match Log'!$D$4:$D$1510=$U$24)*('Match Log'!$A$4:$A$1510&lt;=$J76)),'Match Log'!$N$4:$N$1510),NA()))</f>
        <v>915.80694079703517</v>
      </c>
      <c r="V76" t="e">
        <f>IF($J76&gt;MAX('Match Log'!$A$4:$A$1510),NA(),IFERROR(LOOKUP(2,1/(('Match Log'!$D$4:$D$1510=$V$24)*('Match Log'!$A$4:$A$1510&lt;=$J76)),'Match Log'!$N$4:$N$1510),NA()))</f>
        <v>#N/A</v>
      </c>
      <c r="W76" t="e">
        <f>IF($J76&gt;MAX('Match Log'!$A$4:$A$1510),NA(),IFERROR(LOOKUP(2,1/(('Match Log'!$D$4:$D$1510=$W$24)*('Match Log'!$A$4:$A$1510&lt;=$J76)),'Match Log'!$N$4:$N$1510),NA()))</f>
        <v>#N/A</v>
      </c>
      <c r="X76" t="e">
        <f>IF($J76&gt;MAX('Match Log'!$A$4:$A$1510),NA(),IFERROR(LOOKUP(2,1/(('Match Log'!$D$4:$D$1510=$X$24)*('Match Log'!$A$4:$A$1510&lt;=$J76)),'Match Log'!$N$4:$N$1510),NA()))</f>
        <v>#N/A</v>
      </c>
      <c r="Y76" t="str">
        <f t="shared" ca="1" si="19"/>
        <v/>
      </c>
    </row>
    <row r="77" spans="1:25" ht="15" customHeight="1" x14ac:dyDescent="0.2">
      <c r="A77">
        <v>53</v>
      </c>
      <c r="B77" s="138">
        <f>IFERROR(INDEX('Match Log'!$B$4:$B$1510,MATCH($A77,'Match Log'!$A$4:$A$1510,0)),"")</f>
        <v>46177</v>
      </c>
      <c r="C77" t="str">
        <f>IFERROR(INDEX('Match Log'!$C$4:$C$1510,MATCH($A77,'Match Log'!$A$4:$A$1510,0)),"")</f>
        <v>Pool</v>
      </c>
      <c r="D77" t="str">
        <f t="array" ref="D77">IFERROR(_xlfn.TEXTJOIN(" + ",TRUE(),IF(('Match Log'!$A$4:$A$1510=$A77)*('Match Log'!$E$4:$E$1510="Win"),'Match Log'!$D$4:$D$1510,"")),IFERROR(LOOKUP(2,1/(('Match Log'!$A$4:$A$1510=$A77)*('Match Log'!$E$4:$E$1510="Win")),'Match Log'!$D$4:$D$1510),""))</f>
        <v>Oscar</v>
      </c>
      <c r="E77" s="139">
        <f>IFERROR(INDEX('Match Log'!$F$4:$F$1510,MATCH($A77,'Match Log'!$A$4:$A$1510,0)),"")</f>
        <v>2</v>
      </c>
      <c r="F77">
        <f>IFERROR(SUMIFS('Match Log'!$I$4:$I$1510,'Match Log'!$A$4:$A$1510,$A77,'Match Log'!$E$4:$E$1510,"Win"),"")</f>
        <v>0.29411764705882354</v>
      </c>
      <c r="G77">
        <f t="shared" si="17"/>
        <v>0.41176470588235292</v>
      </c>
      <c r="H77" t="str">
        <f t="array" ref="H77">IFERROR(IF(COUNTIFS('Match Log'!$A$4:$A$1510,$A77,'Match Log'!$E$4:$E$1510,"Win")&gt;1,_xlfn.TEXTJOIN(" + ",TRUE(),IF(('Match Log'!$A$4:$A$1510=$A77)*('Match Log'!$E$4:$E$1510="Loss"),'Match Log'!$D$4:$D$1510,"")),IF($E77=2,LOOKUP(2,1/(('Match Log'!$A$4:$A$1510=$A77)*('Match Log'!$E$4:$E$1510="Loss")),'Match Log'!$D$4:$D$1510),"the field")),"")</f>
        <v>Dean B</v>
      </c>
      <c r="I77">
        <f t="shared" si="18"/>
        <v>0.4117117058823529</v>
      </c>
      <c r="J77">
        <v>53</v>
      </c>
      <c r="K77">
        <f>IF($J77&gt;MAX('Match Log'!$A$4:$A$1510),NA(),IFERROR(LOOKUP(2,1/(('Match Log'!$D$4:$D$1510=$K$24)*('Match Log'!$A$4:$A$1510&lt;=$J77)),'Match Log'!$N$4:$N$1510),NA()))</f>
        <v>1076.6133044665753</v>
      </c>
      <c r="L77" t="e">
        <f>IF($J77&gt;MAX('Match Log'!$A$4:$A$1510),NA(),IFERROR(LOOKUP(2,1/(('Match Log'!$D$4:$D$1510=$L$24)*('Match Log'!$A$4:$A$1510&lt;=$J77)),'Match Log'!$N$4:$N$1510),NA()))</f>
        <v>#N/A</v>
      </c>
      <c r="M77">
        <f>IF($J77&gt;MAX('Match Log'!$A$4:$A$1510),NA(),IFERROR(LOOKUP(2,1/(('Match Log'!$D$4:$D$1510=$M$24)*('Match Log'!$A$4:$A$1510&lt;=$J77)),'Match Log'!$N$4:$N$1510),NA()))</f>
        <v>1000.0398229848671</v>
      </c>
      <c r="N77">
        <f>IF($J77&gt;MAX('Match Log'!$A$4:$A$1510),NA(),IFERROR(LOOKUP(2,1/(('Match Log'!$D$4:$D$1510=$N$24)*('Match Log'!$A$4:$A$1510&lt;=$J77)),'Match Log'!$N$4:$N$1510),NA()))</f>
        <v>941.41068490146347</v>
      </c>
      <c r="O77">
        <f>IF($J77&gt;MAX('Match Log'!$A$4:$A$1510),NA(),IFERROR(LOOKUP(2,1/(('Match Log'!$D$4:$D$1510=$O$24)*('Match Log'!$A$4:$A$1510&lt;=$J77)),'Match Log'!$N$4:$N$1510),NA()))</f>
        <v>1151.3413713243715</v>
      </c>
      <c r="P77">
        <f>IF($J77&gt;MAX('Match Log'!$A$4:$A$1510),NA(),IFERROR(LOOKUP(2,1/(('Match Log'!$D$4:$D$1510=$P$24)*('Match Log'!$A$4:$A$1510&lt;=$J77)),'Match Log'!$N$4:$N$1510),NA()))</f>
        <v>1007.4743526549773</v>
      </c>
      <c r="Q77">
        <f>IF($J77&gt;MAX('Match Log'!$A$4:$A$1510),NA(),IFERROR(LOOKUP(2,1/(('Match Log'!$D$4:$D$1510=$Q$24)*('Match Log'!$A$4:$A$1510&lt;=$J77)),'Match Log'!$N$4:$N$1510),NA()))</f>
        <v>1004.2142857142857</v>
      </c>
      <c r="R77">
        <f>IF($J77&gt;MAX('Match Log'!$A$4:$A$1510),NA(),IFERROR(LOOKUP(2,1/(('Match Log'!$D$4:$D$1510=$R$24)*('Match Log'!$A$4:$A$1510&lt;=$J77)),'Match Log'!$N$4:$N$1510),NA()))</f>
        <v>985.04905862097314</v>
      </c>
      <c r="S77">
        <f>IF($J77&gt;MAX('Match Log'!$A$4:$A$1510),NA(),IFERROR(LOOKUP(2,1/(('Match Log'!$D$4:$D$1510=$S$24)*('Match Log'!$A$4:$A$1510&lt;=$J77)),'Match Log'!$N$4:$N$1510),NA()))</f>
        <v>1055.5412351724362</v>
      </c>
      <c r="T77">
        <f>IF($J77&gt;MAX('Match Log'!$A$4:$A$1510),NA(),IFERROR(LOOKUP(2,1/(('Match Log'!$D$4:$D$1510=$T$24)*('Match Log'!$A$4:$A$1510&lt;=$J77)),'Match Log'!$N$4:$N$1510),NA()))</f>
        <v>914.42496189230224</v>
      </c>
      <c r="U77">
        <f>IF($J77&gt;MAX('Match Log'!$A$4:$A$1510),NA(),IFERROR(LOOKUP(2,1/(('Match Log'!$D$4:$D$1510=$U$24)*('Match Log'!$A$4:$A$1510&lt;=$J77)),'Match Log'!$N$4:$N$1510),NA()))</f>
        <v>945.89092226774756</v>
      </c>
      <c r="V77" t="e">
        <f>IF($J77&gt;MAX('Match Log'!$A$4:$A$1510),NA(),IFERROR(LOOKUP(2,1/(('Match Log'!$D$4:$D$1510=$V$24)*('Match Log'!$A$4:$A$1510&lt;=$J77)),'Match Log'!$N$4:$N$1510),NA()))</f>
        <v>#N/A</v>
      </c>
      <c r="W77" t="e">
        <f>IF($J77&gt;MAX('Match Log'!$A$4:$A$1510),NA(),IFERROR(LOOKUP(2,1/(('Match Log'!$D$4:$D$1510=$W$24)*('Match Log'!$A$4:$A$1510&lt;=$J77)),'Match Log'!$N$4:$N$1510),NA()))</f>
        <v>#N/A</v>
      </c>
      <c r="X77" t="e">
        <f>IF($J77&gt;MAX('Match Log'!$A$4:$A$1510),NA(),IFERROR(LOOKUP(2,1/(('Match Log'!$D$4:$D$1510=$X$24)*('Match Log'!$A$4:$A$1510&lt;=$J77)),'Match Log'!$N$4:$N$1510),NA()))</f>
        <v>#N/A</v>
      </c>
      <c r="Y77" t="str">
        <f t="shared" ca="1" si="19"/>
        <v/>
      </c>
    </row>
    <row r="78" spans="1:25" ht="15" customHeight="1" x14ac:dyDescent="0.2">
      <c r="A78">
        <v>54</v>
      </c>
      <c r="B78" s="138">
        <f>IFERROR(INDEX('Match Log'!$B$4:$B$1510,MATCH($A78,'Match Log'!$A$4:$A$1510,0)),"")</f>
        <v>46177</v>
      </c>
      <c r="C78" t="str">
        <f>IFERROR(INDEX('Match Log'!$C$4:$C$1510,MATCH($A78,'Match Log'!$A$4:$A$1510,0)),"")</f>
        <v>Pool</v>
      </c>
      <c r="D78" t="str">
        <f t="array" ref="D78">IFERROR(_xlfn.TEXTJOIN(" + ",TRUE(),IF(('Match Log'!$A$4:$A$1510=$A78)*('Match Log'!$E$4:$E$1510="Win"),'Match Log'!$D$4:$D$1510,"")),IFERROR(LOOKUP(2,1/(('Match Log'!$A$4:$A$1510=$A78)*('Match Log'!$E$4:$E$1510="Win")),'Match Log'!$D$4:$D$1510),""))</f>
        <v>Oscar</v>
      </c>
      <c r="E78" s="139">
        <f>IFERROR(INDEX('Match Log'!$F$4:$F$1510,MATCH($A78,'Match Log'!$A$4:$A$1510,0)),"")</f>
        <v>2</v>
      </c>
      <c r="F78">
        <f>IFERROR(SUMIFS('Match Log'!$I$4:$I$1510,'Match Log'!$A$4:$A$1510,$A78,'Match Log'!$E$4:$E$1510,"Win"),"")</f>
        <v>0.44444444444444448</v>
      </c>
      <c r="G78">
        <f t="shared" si="17"/>
        <v>0.11111111111111105</v>
      </c>
      <c r="H78" t="str">
        <f t="array" ref="H78">IFERROR(IF(COUNTIFS('Match Log'!$A$4:$A$1510,$A78,'Match Log'!$E$4:$E$1510,"Win")&gt;1,_xlfn.TEXTJOIN(" + ",TRUE(),IF(('Match Log'!$A$4:$A$1510=$A78)*('Match Log'!$E$4:$E$1510="Loss"),'Match Log'!$D$4:$D$1510,"")),IF($E78=2,LOOKUP(2,1/(('Match Log'!$A$4:$A$1510=$A78)*('Match Log'!$E$4:$E$1510="Loss")),'Match Log'!$D$4:$D$1510),"the field")),"")</f>
        <v>Beau</v>
      </c>
      <c r="I78">
        <f t="shared" si="18"/>
        <v>0.11105711111111105</v>
      </c>
      <c r="J78">
        <v>54</v>
      </c>
      <c r="K78">
        <f>IF($J78&gt;MAX('Match Log'!$A$4:$A$1510),NA(),IFERROR(LOOKUP(2,1/(('Match Log'!$D$4:$D$1510=$K$24)*('Match Log'!$A$4:$A$1510&lt;=$J78)),'Match Log'!$N$4:$N$1510),NA()))</f>
        <v>1076.6133044665753</v>
      </c>
      <c r="L78">
        <f>IF($J78&gt;MAX('Match Log'!$A$4:$A$1510),NA(),IFERROR(LOOKUP(2,1/(('Match Log'!$D$4:$D$1510=$L$24)*('Match Log'!$A$4:$A$1510&lt;=$J78)),'Match Log'!$N$4:$N$1510),NA()))</f>
        <v>975.56678663796106</v>
      </c>
      <c r="M78">
        <f>IF($J78&gt;MAX('Match Log'!$A$4:$A$1510),NA(),IFERROR(LOOKUP(2,1/(('Match Log'!$D$4:$D$1510=$M$24)*('Match Log'!$A$4:$A$1510&lt;=$J78)),'Match Log'!$N$4:$N$1510),NA()))</f>
        <v>1000.0398229848671</v>
      </c>
      <c r="N78">
        <f>IF($J78&gt;MAX('Match Log'!$A$4:$A$1510),NA(),IFERROR(LOOKUP(2,1/(('Match Log'!$D$4:$D$1510=$N$24)*('Match Log'!$A$4:$A$1510&lt;=$J78)),'Match Log'!$N$4:$N$1510),NA()))</f>
        <v>941.41068490146347</v>
      </c>
      <c r="O78">
        <f>IF($J78&gt;MAX('Match Log'!$A$4:$A$1510),NA(),IFERROR(LOOKUP(2,1/(('Match Log'!$D$4:$D$1510=$O$24)*('Match Log'!$A$4:$A$1510&lt;=$J78)),'Match Log'!$N$4:$N$1510),NA()))</f>
        <v>1151.3413713243715</v>
      </c>
      <c r="P78">
        <f>IF($J78&gt;MAX('Match Log'!$A$4:$A$1510),NA(),IFERROR(LOOKUP(2,1/(('Match Log'!$D$4:$D$1510=$P$24)*('Match Log'!$A$4:$A$1510&lt;=$J78)),'Match Log'!$N$4:$N$1510),NA()))</f>
        <v>1007.4743526549773</v>
      </c>
      <c r="Q78">
        <f>IF($J78&gt;MAX('Match Log'!$A$4:$A$1510),NA(),IFERROR(LOOKUP(2,1/(('Match Log'!$D$4:$D$1510=$Q$24)*('Match Log'!$A$4:$A$1510&lt;=$J78)),'Match Log'!$N$4:$N$1510),NA()))</f>
        <v>1004.2142857142857</v>
      </c>
      <c r="R78">
        <f>IF($J78&gt;MAX('Match Log'!$A$4:$A$1510),NA(),IFERROR(LOOKUP(2,1/(('Match Log'!$D$4:$D$1510=$R$24)*('Match Log'!$A$4:$A$1510&lt;=$J78)),'Match Log'!$N$4:$N$1510),NA()))</f>
        <v>985.04905862097314</v>
      </c>
      <c r="S78">
        <f>IF($J78&gt;MAX('Match Log'!$A$4:$A$1510),NA(),IFERROR(LOOKUP(2,1/(('Match Log'!$D$4:$D$1510=$S$24)*('Match Log'!$A$4:$A$1510&lt;=$J78)),'Match Log'!$N$4:$N$1510),NA()))</f>
        <v>1055.5412351724362</v>
      </c>
      <c r="T78">
        <f>IF($J78&gt;MAX('Match Log'!$A$4:$A$1510),NA(),IFERROR(LOOKUP(2,1/(('Match Log'!$D$4:$D$1510=$T$24)*('Match Log'!$A$4:$A$1510&lt;=$J78)),'Match Log'!$N$4:$N$1510),NA()))</f>
        <v>914.42496189230224</v>
      </c>
      <c r="U78">
        <f>IF($J78&gt;MAX('Match Log'!$A$4:$A$1510),NA(),IFERROR(LOOKUP(2,1/(('Match Log'!$D$4:$D$1510=$U$24)*('Match Log'!$A$4:$A$1510&lt;=$J78)),'Match Log'!$N$4:$N$1510),NA()))</f>
        <v>970.3241356297865</v>
      </c>
      <c r="V78" t="e">
        <f>IF($J78&gt;MAX('Match Log'!$A$4:$A$1510),NA(),IFERROR(LOOKUP(2,1/(('Match Log'!$D$4:$D$1510=$V$24)*('Match Log'!$A$4:$A$1510&lt;=$J78)),'Match Log'!$N$4:$N$1510),NA()))</f>
        <v>#N/A</v>
      </c>
      <c r="W78" t="e">
        <f>IF($J78&gt;MAX('Match Log'!$A$4:$A$1510),NA(),IFERROR(LOOKUP(2,1/(('Match Log'!$D$4:$D$1510=$W$24)*('Match Log'!$A$4:$A$1510&lt;=$J78)),'Match Log'!$N$4:$N$1510),NA()))</f>
        <v>#N/A</v>
      </c>
      <c r="X78" t="e">
        <f>IF($J78&gt;MAX('Match Log'!$A$4:$A$1510),NA(),IFERROR(LOOKUP(2,1/(('Match Log'!$D$4:$D$1510=$X$24)*('Match Log'!$A$4:$A$1510&lt;=$J78)),'Match Log'!$N$4:$N$1510),NA()))</f>
        <v>#N/A</v>
      </c>
      <c r="Y78" t="str">
        <f t="shared" ca="1" si="19"/>
        <v/>
      </c>
    </row>
    <row r="79" spans="1:25" ht="15" customHeight="1" x14ac:dyDescent="0.2">
      <c r="A79">
        <v>55</v>
      </c>
      <c r="B79" s="138">
        <f>IFERROR(INDEX('Match Log'!$B$4:$B$1510,MATCH($A79,'Match Log'!$A$4:$A$1510,0)),"")</f>
        <v>46177</v>
      </c>
      <c r="C79" t="str">
        <f>IFERROR(INDEX('Match Log'!$C$4:$C$1510,MATCH($A79,'Match Log'!$A$4:$A$1510,0)),"")</f>
        <v>Mario Kart</v>
      </c>
      <c r="D79" t="str">
        <f t="array" ref="D79">IFERROR(_xlfn.TEXTJOIN(" + ",TRUE(),IF(('Match Log'!$A$4:$A$1510=$A79)*('Match Log'!$E$4:$E$1510="Win"),'Match Log'!$D$4:$D$1510,"")),IFERROR(LOOKUP(2,1/(('Match Log'!$A$4:$A$1510=$A79)*('Match Log'!$E$4:$E$1510="Win")),'Match Log'!$D$4:$D$1510),""))</f>
        <v>Oscar</v>
      </c>
      <c r="E79" s="139">
        <f>IFERROR(INDEX('Match Log'!$F$4:$F$1510,MATCH($A79,'Match Log'!$A$4:$A$1510,0)),"")</f>
        <v>2</v>
      </c>
      <c r="F79">
        <f>IFERROR(SUMIFS('Match Log'!$I$4:$I$1510,'Match Log'!$A$4:$A$1510,$A79,'Match Log'!$E$4:$E$1510,"Win"),"")</f>
        <v>0.44444444444444448</v>
      </c>
      <c r="G79">
        <f t="shared" si="17"/>
        <v>0.11111111111111105</v>
      </c>
      <c r="H79" t="str">
        <f t="array" ref="H79">IFERROR(IF(COUNTIFS('Match Log'!$A$4:$A$1510,$A79,'Match Log'!$E$4:$E$1510,"Win")&gt;1,_xlfn.TEXTJOIN(" + ",TRUE(),IF(('Match Log'!$A$4:$A$1510=$A79)*('Match Log'!$E$4:$E$1510="Loss"),'Match Log'!$D$4:$D$1510,"")),IF($E79=2,LOOKUP(2,1/(('Match Log'!$A$4:$A$1510=$A79)*('Match Log'!$E$4:$E$1510="Loss")),'Match Log'!$D$4:$D$1510),"the field")),"")</f>
        <v>Shawn</v>
      </c>
      <c r="I79">
        <f t="shared" si="18"/>
        <v>0.11105611111111105</v>
      </c>
      <c r="J79">
        <v>55</v>
      </c>
      <c r="K79">
        <f>IF($J79&gt;MAX('Match Log'!$A$4:$A$1510),NA(),IFERROR(LOOKUP(2,1/(('Match Log'!$D$4:$D$1510=$K$24)*('Match Log'!$A$4:$A$1510&lt;=$J79)),'Match Log'!$N$4:$N$1510),NA()))</f>
        <v>1076.6133044665753</v>
      </c>
      <c r="L79">
        <f>IF($J79&gt;MAX('Match Log'!$A$4:$A$1510),NA(),IFERROR(LOOKUP(2,1/(('Match Log'!$D$4:$D$1510=$L$24)*('Match Log'!$A$4:$A$1510&lt;=$J79)),'Match Log'!$N$4:$N$1510),NA()))</f>
        <v>975.56678663796106</v>
      </c>
      <c r="M79">
        <f>IF($J79&gt;MAX('Match Log'!$A$4:$A$1510),NA(),IFERROR(LOOKUP(2,1/(('Match Log'!$D$4:$D$1510=$M$24)*('Match Log'!$A$4:$A$1510&lt;=$J79)),'Match Log'!$N$4:$N$1510),NA()))</f>
        <v>1000.0398229848671</v>
      </c>
      <c r="N79">
        <f>IF($J79&gt;MAX('Match Log'!$A$4:$A$1510),NA(),IFERROR(LOOKUP(2,1/(('Match Log'!$D$4:$D$1510=$N$24)*('Match Log'!$A$4:$A$1510&lt;=$J79)),'Match Log'!$N$4:$N$1510),NA()))</f>
        <v>941.41068490146347</v>
      </c>
      <c r="O79">
        <f>IF($J79&gt;MAX('Match Log'!$A$4:$A$1510),NA(),IFERROR(LOOKUP(2,1/(('Match Log'!$D$4:$D$1510=$O$24)*('Match Log'!$A$4:$A$1510&lt;=$J79)),'Match Log'!$N$4:$N$1510),NA()))</f>
        <v>1151.3413713243715</v>
      </c>
      <c r="P79">
        <f>IF($J79&gt;MAX('Match Log'!$A$4:$A$1510),NA(),IFERROR(LOOKUP(2,1/(('Match Log'!$D$4:$D$1510=$P$24)*('Match Log'!$A$4:$A$1510&lt;=$J79)),'Match Log'!$N$4:$N$1510),NA()))</f>
        <v>983.41004473327087</v>
      </c>
      <c r="Q79">
        <f>IF($J79&gt;MAX('Match Log'!$A$4:$A$1510),NA(),IFERROR(LOOKUP(2,1/(('Match Log'!$D$4:$D$1510=$Q$24)*('Match Log'!$A$4:$A$1510&lt;=$J79)),'Match Log'!$N$4:$N$1510),NA()))</f>
        <v>1004.2142857142857</v>
      </c>
      <c r="R79">
        <f>IF($J79&gt;MAX('Match Log'!$A$4:$A$1510),NA(),IFERROR(LOOKUP(2,1/(('Match Log'!$D$4:$D$1510=$R$24)*('Match Log'!$A$4:$A$1510&lt;=$J79)),'Match Log'!$N$4:$N$1510),NA()))</f>
        <v>985.04905862097314</v>
      </c>
      <c r="S79">
        <f>IF($J79&gt;MAX('Match Log'!$A$4:$A$1510),NA(),IFERROR(LOOKUP(2,1/(('Match Log'!$D$4:$D$1510=$S$24)*('Match Log'!$A$4:$A$1510&lt;=$J79)),'Match Log'!$N$4:$N$1510),NA()))</f>
        <v>1055.5412351724362</v>
      </c>
      <c r="T79">
        <f>IF($J79&gt;MAX('Match Log'!$A$4:$A$1510),NA(),IFERROR(LOOKUP(2,1/(('Match Log'!$D$4:$D$1510=$T$24)*('Match Log'!$A$4:$A$1510&lt;=$J79)),'Match Log'!$N$4:$N$1510),NA()))</f>
        <v>914.42496189230224</v>
      </c>
      <c r="U79">
        <f>IF($J79&gt;MAX('Match Log'!$A$4:$A$1510),NA(),IFERROR(LOOKUP(2,1/(('Match Log'!$D$4:$D$1510=$U$24)*('Match Log'!$A$4:$A$1510&lt;=$J79)),'Match Log'!$N$4:$N$1510),NA()))</f>
        <v>994.38844355149297</v>
      </c>
      <c r="V79" t="e">
        <f>IF($J79&gt;MAX('Match Log'!$A$4:$A$1510),NA(),IFERROR(LOOKUP(2,1/(('Match Log'!$D$4:$D$1510=$V$24)*('Match Log'!$A$4:$A$1510&lt;=$J79)),'Match Log'!$N$4:$N$1510),NA()))</f>
        <v>#N/A</v>
      </c>
      <c r="W79" t="e">
        <f>IF($J79&gt;MAX('Match Log'!$A$4:$A$1510),NA(),IFERROR(LOOKUP(2,1/(('Match Log'!$D$4:$D$1510=$W$24)*('Match Log'!$A$4:$A$1510&lt;=$J79)),'Match Log'!$N$4:$N$1510),NA()))</f>
        <v>#N/A</v>
      </c>
      <c r="X79" t="e">
        <f>IF($J79&gt;MAX('Match Log'!$A$4:$A$1510),NA(),IFERROR(LOOKUP(2,1/(('Match Log'!$D$4:$D$1510=$X$24)*('Match Log'!$A$4:$A$1510&lt;=$J79)),'Match Log'!$N$4:$N$1510),NA()))</f>
        <v>#N/A</v>
      </c>
      <c r="Y79" t="str">
        <f t="shared" ca="1" si="19"/>
        <v/>
      </c>
    </row>
    <row r="80" spans="1:25" ht="15" customHeight="1" x14ac:dyDescent="0.2">
      <c r="A80">
        <v>56</v>
      </c>
      <c r="B80" s="138">
        <f>IFERROR(INDEX('Match Log'!$B$4:$B$1510,MATCH($A80,'Match Log'!$A$4:$A$1510,0)),"")</f>
        <v>46188</v>
      </c>
      <c r="C80" t="str">
        <f>IFERROR(INDEX('Match Log'!$C$4:$C$1510,MATCH($A80,'Match Log'!$A$4:$A$1510,0)),"")</f>
        <v>ShuffleBoard</v>
      </c>
      <c r="D80" t="str">
        <f t="array" ref="D80">IFERROR(_xlfn.TEXTJOIN(" + ",TRUE(),IF(('Match Log'!$A$4:$A$1510=$A80)*('Match Log'!$E$4:$E$1510="Win"),'Match Log'!$D$4:$D$1510,"")),IFERROR(LOOKUP(2,1/(('Match Log'!$A$4:$A$1510=$A80)*('Match Log'!$E$4:$E$1510="Win")),'Match Log'!$D$4:$D$1510),""))</f>
        <v>Shawn</v>
      </c>
      <c r="E80" s="139">
        <f>IFERROR(INDEX('Match Log'!$F$4:$F$1510,MATCH($A80,'Match Log'!$A$4:$A$1510,0)),"")</f>
        <v>2</v>
      </c>
      <c r="F80">
        <f>IFERROR(SUMIFS('Match Log'!$I$4:$I$1510,'Match Log'!$A$4:$A$1510,$A80,'Match Log'!$E$4:$E$1510,"Win"),"")</f>
        <v>0.5</v>
      </c>
      <c r="G80">
        <f t="shared" si="17"/>
        <v>0</v>
      </c>
      <c r="H80" t="str">
        <f t="array" ref="H80">IFERROR(IF(COUNTIFS('Match Log'!$A$4:$A$1510,$A80,'Match Log'!$E$4:$E$1510,"Win")&gt;1,_xlfn.TEXTJOIN(" + ",TRUE(),IF(('Match Log'!$A$4:$A$1510=$A80)*('Match Log'!$E$4:$E$1510="Loss"),'Match Log'!$D$4:$D$1510,"")),IF($E80=2,LOOKUP(2,1/(('Match Log'!$A$4:$A$1510=$A80)*('Match Log'!$E$4:$E$1510="Loss")),'Match Log'!$D$4:$D$1510),"the field")),"")</f>
        <v>Josh</v>
      </c>
      <c r="I80">
        <f t="shared" si="18"/>
        <v>-5.5999999999999999E-5</v>
      </c>
      <c r="J80">
        <v>56</v>
      </c>
      <c r="K80">
        <f>IF($J80&gt;MAX('Match Log'!$A$4:$A$1510),NA(),IFERROR(LOOKUP(2,1/(('Match Log'!$D$4:$D$1510=$K$24)*('Match Log'!$A$4:$A$1510&lt;=$J80)),'Match Log'!$N$4:$N$1510),NA()))</f>
        <v>1076.6133044665753</v>
      </c>
      <c r="L80">
        <f>IF($J80&gt;MAX('Match Log'!$A$4:$A$1510),NA(),IFERROR(LOOKUP(2,1/(('Match Log'!$D$4:$D$1510=$L$24)*('Match Log'!$A$4:$A$1510&lt;=$J80)),'Match Log'!$N$4:$N$1510),NA()))</f>
        <v>975.56678663796106</v>
      </c>
      <c r="M80">
        <f>IF($J80&gt;MAX('Match Log'!$A$4:$A$1510),NA(),IFERROR(LOOKUP(2,1/(('Match Log'!$D$4:$D$1510=$M$24)*('Match Log'!$A$4:$A$1510&lt;=$J80)),'Match Log'!$N$4:$N$1510),NA()))</f>
        <v>1000.0398229848671</v>
      </c>
      <c r="N80">
        <f>IF($J80&gt;MAX('Match Log'!$A$4:$A$1510),NA(),IFERROR(LOOKUP(2,1/(('Match Log'!$D$4:$D$1510=$N$24)*('Match Log'!$A$4:$A$1510&lt;=$J80)),'Match Log'!$N$4:$N$1510),NA()))</f>
        <v>941.41068490146347</v>
      </c>
      <c r="O80">
        <f>IF($J80&gt;MAX('Match Log'!$A$4:$A$1510),NA(),IFERROR(LOOKUP(2,1/(('Match Log'!$D$4:$D$1510=$O$24)*('Match Log'!$A$4:$A$1510&lt;=$J80)),'Match Log'!$N$4:$N$1510),NA()))</f>
        <v>1122.1586725189438</v>
      </c>
      <c r="P80">
        <f>IF($J80&gt;MAX('Match Log'!$A$4:$A$1510),NA(),IFERROR(LOOKUP(2,1/(('Match Log'!$D$4:$D$1510=$P$24)*('Match Log'!$A$4:$A$1510&lt;=$J80)),'Match Log'!$N$4:$N$1510),NA()))</f>
        <v>1012.5927435386984</v>
      </c>
      <c r="Q80">
        <f>IF($J80&gt;MAX('Match Log'!$A$4:$A$1510),NA(),IFERROR(LOOKUP(2,1/(('Match Log'!$D$4:$D$1510=$Q$24)*('Match Log'!$A$4:$A$1510&lt;=$J80)),'Match Log'!$N$4:$N$1510),NA()))</f>
        <v>1004.2142857142857</v>
      </c>
      <c r="R80">
        <f>IF($J80&gt;MAX('Match Log'!$A$4:$A$1510),NA(),IFERROR(LOOKUP(2,1/(('Match Log'!$D$4:$D$1510=$R$24)*('Match Log'!$A$4:$A$1510&lt;=$J80)),'Match Log'!$N$4:$N$1510),NA()))</f>
        <v>985.04905862097314</v>
      </c>
      <c r="S80">
        <f>IF($J80&gt;MAX('Match Log'!$A$4:$A$1510),NA(),IFERROR(LOOKUP(2,1/(('Match Log'!$D$4:$D$1510=$S$24)*('Match Log'!$A$4:$A$1510&lt;=$J80)),'Match Log'!$N$4:$N$1510),NA()))</f>
        <v>1055.5412351724362</v>
      </c>
      <c r="T80">
        <f>IF($J80&gt;MAX('Match Log'!$A$4:$A$1510),NA(),IFERROR(LOOKUP(2,1/(('Match Log'!$D$4:$D$1510=$T$24)*('Match Log'!$A$4:$A$1510&lt;=$J80)),'Match Log'!$N$4:$N$1510),NA()))</f>
        <v>914.42496189230224</v>
      </c>
      <c r="U80">
        <f>IF($J80&gt;MAX('Match Log'!$A$4:$A$1510),NA(),IFERROR(LOOKUP(2,1/(('Match Log'!$D$4:$D$1510=$U$24)*('Match Log'!$A$4:$A$1510&lt;=$J80)),'Match Log'!$N$4:$N$1510),NA()))</f>
        <v>994.38844355149297</v>
      </c>
      <c r="V80" t="e">
        <f>IF($J80&gt;MAX('Match Log'!$A$4:$A$1510),NA(),IFERROR(LOOKUP(2,1/(('Match Log'!$D$4:$D$1510=$V$24)*('Match Log'!$A$4:$A$1510&lt;=$J80)),'Match Log'!$N$4:$N$1510),NA()))</f>
        <v>#N/A</v>
      </c>
      <c r="W80" t="e">
        <f>IF($J80&gt;MAX('Match Log'!$A$4:$A$1510),NA(),IFERROR(LOOKUP(2,1/(('Match Log'!$D$4:$D$1510=$W$24)*('Match Log'!$A$4:$A$1510&lt;=$J80)),'Match Log'!$N$4:$N$1510),NA()))</f>
        <v>#N/A</v>
      </c>
      <c r="X80" t="e">
        <f>IF($J80&gt;MAX('Match Log'!$A$4:$A$1510),NA(),IFERROR(LOOKUP(2,1/(('Match Log'!$D$4:$D$1510=$X$24)*('Match Log'!$A$4:$A$1510&lt;=$J80)),'Match Log'!$N$4:$N$1510),NA()))</f>
        <v>#N/A</v>
      </c>
      <c r="Y80" t="str">
        <f t="shared" ca="1" si="19"/>
        <v/>
      </c>
    </row>
    <row r="81" spans="1:25" ht="15" customHeight="1" x14ac:dyDescent="0.2">
      <c r="A81">
        <v>57</v>
      </c>
      <c r="B81" s="138">
        <f>IFERROR(INDEX('Match Log'!$B$4:$B$1510,MATCH($A81,'Match Log'!$A$4:$A$1510,0)),"")</f>
        <v>46188</v>
      </c>
      <c r="C81" t="str">
        <f>IFERROR(INDEX('Match Log'!$C$4:$C$1510,MATCH($A81,'Match Log'!$A$4:$A$1510,0)),"")</f>
        <v>ShuffleBoard</v>
      </c>
      <c r="D81" t="str">
        <f t="array" ref="D81">IFERROR(_xlfn.TEXTJOIN(" + ",TRUE(),IF(('Match Log'!$A$4:$A$1510=$A81)*('Match Log'!$E$4:$E$1510="Win"),'Match Log'!$D$4:$D$1510,"")),IFERROR(LOOKUP(2,1/(('Match Log'!$A$4:$A$1510=$A81)*('Match Log'!$E$4:$E$1510="Win")),'Match Log'!$D$4:$D$1510),""))</f>
        <v>David</v>
      </c>
      <c r="E81" s="139">
        <f>IFERROR(INDEX('Match Log'!$F$4:$F$1510,MATCH($A81,'Match Log'!$A$4:$A$1510,0)),"")</f>
        <v>2</v>
      </c>
      <c r="F81">
        <f>IFERROR(SUMIFS('Match Log'!$I$4:$I$1510,'Match Log'!$A$4:$A$1510,$A81,'Match Log'!$E$4:$E$1510,"Win"),"")</f>
        <v>0.5</v>
      </c>
      <c r="G81">
        <f t="shared" si="17"/>
        <v>0</v>
      </c>
      <c r="H81" t="str">
        <f t="array" ref="H81">IFERROR(IF(COUNTIFS('Match Log'!$A$4:$A$1510,$A81,'Match Log'!$E$4:$E$1510,"Win")&gt;1,_xlfn.TEXTJOIN(" + ",TRUE(),IF(('Match Log'!$A$4:$A$1510=$A81)*('Match Log'!$E$4:$E$1510="Loss"),'Match Log'!$D$4:$D$1510,"")),IF($E81=2,LOOKUP(2,1/(('Match Log'!$A$4:$A$1510=$A81)*('Match Log'!$E$4:$E$1510="Loss")),'Match Log'!$D$4:$D$1510),"the field")),"")</f>
        <v>Aaron</v>
      </c>
      <c r="I81">
        <f t="shared" si="18"/>
        <v>-5.7000000000000003E-5</v>
      </c>
      <c r="J81">
        <v>57</v>
      </c>
      <c r="K81">
        <f>IF($J81&gt;MAX('Match Log'!$A$4:$A$1510),NA(),IFERROR(LOOKUP(2,1/(('Match Log'!$D$4:$D$1510=$K$24)*('Match Log'!$A$4:$A$1510&lt;=$J81)),'Match Log'!$N$4:$N$1510),NA()))</f>
        <v>1048.683345975604</v>
      </c>
      <c r="L81">
        <f>IF($J81&gt;MAX('Match Log'!$A$4:$A$1510),NA(),IFERROR(LOOKUP(2,1/(('Match Log'!$D$4:$D$1510=$L$24)*('Match Log'!$A$4:$A$1510&lt;=$J81)),'Match Log'!$N$4:$N$1510),NA()))</f>
        <v>975.56678663796106</v>
      </c>
      <c r="M81">
        <f>IF($J81&gt;MAX('Match Log'!$A$4:$A$1510),NA(),IFERROR(LOOKUP(2,1/(('Match Log'!$D$4:$D$1510=$M$24)*('Match Log'!$A$4:$A$1510&lt;=$J81)),'Match Log'!$N$4:$N$1510),NA()))</f>
        <v>1000.0398229848671</v>
      </c>
      <c r="N81">
        <f>IF($J81&gt;MAX('Match Log'!$A$4:$A$1510),NA(),IFERROR(LOOKUP(2,1/(('Match Log'!$D$4:$D$1510=$N$24)*('Match Log'!$A$4:$A$1510&lt;=$J81)),'Match Log'!$N$4:$N$1510),NA()))</f>
        <v>969.34064339243469</v>
      </c>
      <c r="O81">
        <f>IF($J81&gt;MAX('Match Log'!$A$4:$A$1510),NA(),IFERROR(LOOKUP(2,1/(('Match Log'!$D$4:$D$1510=$O$24)*('Match Log'!$A$4:$A$1510&lt;=$J81)),'Match Log'!$N$4:$N$1510),NA()))</f>
        <v>1122.1586725189438</v>
      </c>
      <c r="P81">
        <f>IF($J81&gt;MAX('Match Log'!$A$4:$A$1510),NA(),IFERROR(LOOKUP(2,1/(('Match Log'!$D$4:$D$1510=$P$24)*('Match Log'!$A$4:$A$1510&lt;=$J81)),'Match Log'!$N$4:$N$1510),NA()))</f>
        <v>1012.5927435386984</v>
      </c>
      <c r="Q81">
        <f>IF($J81&gt;MAX('Match Log'!$A$4:$A$1510),NA(),IFERROR(LOOKUP(2,1/(('Match Log'!$D$4:$D$1510=$Q$24)*('Match Log'!$A$4:$A$1510&lt;=$J81)),'Match Log'!$N$4:$N$1510),NA()))</f>
        <v>1004.2142857142857</v>
      </c>
      <c r="R81">
        <f>IF($J81&gt;MAX('Match Log'!$A$4:$A$1510),NA(),IFERROR(LOOKUP(2,1/(('Match Log'!$D$4:$D$1510=$R$24)*('Match Log'!$A$4:$A$1510&lt;=$J81)),'Match Log'!$N$4:$N$1510),NA()))</f>
        <v>985.04905862097314</v>
      </c>
      <c r="S81">
        <f>IF($J81&gt;MAX('Match Log'!$A$4:$A$1510),NA(),IFERROR(LOOKUP(2,1/(('Match Log'!$D$4:$D$1510=$S$24)*('Match Log'!$A$4:$A$1510&lt;=$J81)),'Match Log'!$N$4:$N$1510),NA()))</f>
        <v>1055.5412351724362</v>
      </c>
      <c r="T81">
        <f>IF($J81&gt;MAX('Match Log'!$A$4:$A$1510),NA(),IFERROR(LOOKUP(2,1/(('Match Log'!$D$4:$D$1510=$T$24)*('Match Log'!$A$4:$A$1510&lt;=$J81)),'Match Log'!$N$4:$N$1510),NA()))</f>
        <v>914.42496189230224</v>
      </c>
      <c r="U81">
        <f>IF($J81&gt;MAX('Match Log'!$A$4:$A$1510),NA(),IFERROR(LOOKUP(2,1/(('Match Log'!$D$4:$D$1510=$U$24)*('Match Log'!$A$4:$A$1510&lt;=$J81)),'Match Log'!$N$4:$N$1510),NA()))</f>
        <v>994.38844355149297</v>
      </c>
      <c r="V81" t="e">
        <f>IF($J81&gt;MAX('Match Log'!$A$4:$A$1510),NA(),IFERROR(LOOKUP(2,1/(('Match Log'!$D$4:$D$1510=$V$24)*('Match Log'!$A$4:$A$1510&lt;=$J81)),'Match Log'!$N$4:$N$1510),NA()))</f>
        <v>#N/A</v>
      </c>
      <c r="W81" t="e">
        <f>IF($J81&gt;MAX('Match Log'!$A$4:$A$1510),NA(),IFERROR(LOOKUP(2,1/(('Match Log'!$D$4:$D$1510=$W$24)*('Match Log'!$A$4:$A$1510&lt;=$J81)),'Match Log'!$N$4:$N$1510),NA()))</f>
        <v>#N/A</v>
      </c>
      <c r="X81" t="e">
        <f>IF($J81&gt;MAX('Match Log'!$A$4:$A$1510),NA(),IFERROR(LOOKUP(2,1/(('Match Log'!$D$4:$D$1510=$X$24)*('Match Log'!$A$4:$A$1510&lt;=$J81)),'Match Log'!$N$4:$N$1510),NA()))</f>
        <v>#N/A</v>
      </c>
      <c r="Y81" t="str">
        <f t="shared" ca="1" si="19"/>
        <v/>
      </c>
    </row>
    <row r="82" spans="1:25" ht="15" customHeight="1" x14ac:dyDescent="0.2">
      <c r="A82">
        <v>58</v>
      </c>
      <c r="B82" s="138">
        <f>IFERROR(INDEX('Match Log'!$B$4:$B$1510,MATCH($A82,'Match Log'!$A$4:$A$1510,0)),"")</f>
        <v>46188</v>
      </c>
      <c r="C82" t="str">
        <f>IFERROR(INDEX('Match Log'!$C$4:$C$1510,MATCH($A82,'Match Log'!$A$4:$A$1510,0)),"")</f>
        <v>ShuffleBoard</v>
      </c>
      <c r="D82" t="str">
        <f t="array" ref="D82">IFERROR(_xlfn.TEXTJOIN(" + ",TRUE(),IF(('Match Log'!$A$4:$A$1510=$A82)*('Match Log'!$E$4:$E$1510="Win"),'Match Log'!$D$4:$D$1510,"")),IFERROR(LOOKUP(2,1/(('Match Log'!$A$4:$A$1510=$A82)*('Match Log'!$E$4:$E$1510="Win")),'Match Log'!$D$4:$D$1510),""))</f>
        <v>Dean B</v>
      </c>
      <c r="E82" s="139">
        <f>IFERROR(INDEX('Match Log'!$F$4:$F$1510,MATCH($A82,'Match Log'!$A$4:$A$1510,0)),"")</f>
        <v>2</v>
      </c>
      <c r="F82">
        <f>IFERROR(SUMIFS('Match Log'!$I$4:$I$1510,'Match Log'!$A$4:$A$1510,$A82,'Match Log'!$E$4:$E$1510,"Win"),"")</f>
        <v>0.5</v>
      </c>
      <c r="G82">
        <f t="shared" si="17"/>
        <v>0</v>
      </c>
      <c r="H82" t="str">
        <f t="array" ref="H82">IFERROR(IF(COUNTIFS('Match Log'!$A$4:$A$1510,$A82,'Match Log'!$E$4:$E$1510,"Win")&gt;1,_xlfn.TEXTJOIN(" + ",TRUE(),IF(('Match Log'!$A$4:$A$1510=$A82)*('Match Log'!$E$4:$E$1510="Loss"),'Match Log'!$D$4:$D$1510,"")),IF($E82=2,LOOKUP(2,1/(('Match Log'!$A$4:$A$1510=$A82)*('Match Log'!$E$4:$E$1510="Loss")),'Match Log'!$D$4:$D$1510),"the field")),"")</f>
        <v>Daniel (Ferret)</v>
      </c>
      <c r="I82">
        <f t="shared" si="18"/>
        <v>-5.8E-5</v>
      </c>
      <c r="J82">
        <v>58</v>
      </c>
      <c r="K82">
        <f>IF($J82&gt;MAX('Match Log'!$A$4:$A$1510),NA(),IFERROR(LOOKUP(2,1/(('Match Log'!$D$4:$D$1510=$K$24)*('Match Log'!$A$4:$A$1510&lt;=$J82)),'Match Log'!$N$4:$N$1510),NA()))</f>
        <v>1048.683345975604</v>
      </c>
      <c r="L82">
        <f>IF($J82&gt;MAX('Match Log'!$A$4:$A$1510),NA(),IFERROR(LOOKUP(2,1/(('Match Log'!$D$4:$D$1510=$L$24)*('Match Log'!$A$4:$A$1510&lt;=$J82)),'Match Log'!$N$4:$N$1510),NA()))</f>
        <v>975.56678663796106</v>
      </c>
      <c r="M82">
        <f>IF($J82&gt;MAX('Match Log'!$A$4:$A$1510),NA(),IFERROR(LOOKUP(2,1/(('Match Log'!$D$4:$D$1510=$M$24)*('Match Log'!$A$4:$A$1510&lt;=$J82)),'Match Log'!$N$4:$N$1510),NA()))</f>
        <v>1000.0398229848671</v>
      </c>
      <c r="N82">
        <f>IF($J82&gt;MAX('Match Log'!$A$4:$A$1510),NA(),IFERROR(LOOKUP(2,1/(('Match Log'!$D$4:$D$1510=$N$24)*('Match Log'!$A$4:$A$1510&lt;=$J82)),'Match Log'!$N$4:$N$1510),NA()))</f>
        <v>969.34064339243469</v>
      </c>
      <c r="O82">
        <f>IF($J82&gt;MAX('Match Log'!$A$4:$A$1510),NA(),IFERROR(LOOKUP(2,1/(('Match Log'!$D$4:$D$1510=$O$24)*('Match Log'!$A$4:$A$1510&lt;=$J82)),'Match Log'!$N$4:$N$1510),NA()))</f>
        <v>1122.1586725189438</v>
      </c>
      <c r="P82">
        <f>IF($J82&gt;MAX('Match Log'!$A$4:$A$1510),NA(),IFERROR(LOOKUP(2,1/(('Match Log'!$D$4:$D$1510=$P$24)*('Match Log'!$A$4:$A$1510&lt;=$J82)),'Match Log'!$N$4:$N$1510),NA()))</f>
        <v>1012.5927435386984</v>
      </c>
      <c r="Q82">
        <f>IF($J82&gt;MAX('Match Log'!$A$4:$A$1510),NA(),IFERROR(LOOKUP(2,1/(('Match Log'!$D$4:$D$1510=$Q$24)*('Match Log'!$A$4:$A$1510&lt;=$J82)),'Match Log'!$N$4:$N$1510),NA()))</f>
        <v>1004.2142857142857</v>
      </c>
      <c r="R82">
        <f>IF($J82&gt;MAX('Match Log'!$A$4:$A$1510),NA(),IFERROR(LOOKUP(2,1/(('Match Log'!$D$4:$D$1510=$R$24)*('Match Log'!$A$4:$A$1510&lt;=$J82)),'Match Log'!$N$4:$N$1510),NA()))</f>
        <v>966.25151982188697</v>
      </c>
      <c r="S82">
        <f>IF($J82&gt;MAX('Match Log'!$A$4:$A$1510),NA(),IFERROR(LOOKUP(2,1/(('Match Log'!$D$4:$D$1510=$S$24)*('Match Log'!$A$4:$A$1510&lt;=$J82)),'Match Log'!$N$4:$N$1510),NA()))</f>
        <v>1074.3387739715224</v>
      </c>
      <c r="T82">
        <f>IF($J82&gt;MAX('Match Log'!$A$4:$A$1510),NA(),IFERROR(LOOKUP(2,1/(('Match Log'!$D$4:$D$1510=$T$24)*('Match Log'!$A$4:$A$1510&lt;=$J82)),'Match Log'!$N$4:$N$1510),NA()))</f>
        <v>914.42496189230224</v>
      </c>
      <c r="U82">
        <f>IF($J82&gt;MAX('Match Log'!$A$4:$A$1510),NA(),IFERROR(LOOKUP(2,1/(('Match Log'!$D$4:$D$1510=$U$24)*('Match Log'!$A$4:$A$1510&lt;=$J82)),'Match Log'!$N$4:$N$1510),NA()))</f>
        <v>994.38844355149297</v>
      </c>
      <c r="V82" t="e">
        <f>IF($J82&gt;MAX('Match Log'!$A$4:$A$1510),NA(),IFERROR(LOOKUP(2,1/(('Match Log'!$D$4:$D$1510=$V$24)*('Match Log'!$A$4:$A$1510&lt;=$J82)),'Match Log'!$N$4:$N$1510),NA()))</f>
        <v>#N/A</v>
      </c>
      <c r="W82" t="e">
        <f>IF($J82&gt;MAX('Match Log'!$A$4:$A$1510),NA(),IFERROR(LOOKUP(2,1/(('Match Log'!$D$4:$D$1510=$W$24)*('Match Log'!$A$4:$A$1510&lt;=$J82)),'Match Log'!$N$4:$N$1510),NA()))</f>
        <v>#N/A</v>
      </c>
      <c r="X82" t="e">
        <f>IF($J82&gt;MAX('Match Log'!$A$4:$A$1510),NA(),IFERROR(LOOKUP(2,1/(('Match Log'!$D$4:$D$1510=$X$24)*('Match Log'!$A$4:$A$1510&lt;=$J82)),'Match Log'!$N$4:$N$1510),NA()))</f>
        <v>#N/A</v>
      </c>
      <c r="Y82" t="str">
        <f t="shared" ca="1" si="19"/>
        <v/>
      </c>
    </row>
    <row r="83" spans="1:25" ht="15" customHeight="1" x14ac:dyDescent="0.2">
      <c r="A83">
        <v>59</v>
      </c>
      <c r="B83" s="138">
        <f>IFERROR(INDEX('Match Log'!$B$4:$B$1510,MATCH($A83,'Match Log'!$A$4:$A$1510,0)),"")</f>
        <v>46188</v>
      </c>
      <c r="C83" t="str">
        <f>IFERROR(INDEX('Match Log'!$C$4:$C$1510,MATCH($A83,'Match Log'!$A$4:$A$1510,0)),"")</f>
        <v>ShuffleBoard</v>
      </c>
      <c r="D83" t="str">
        <f t="array" ref="D83">IFERROR(_xlfn.TEXTJOIN(" + ",TRUE(),IF(('Match Log'!$A$4:$A$1510=$A83)*('Match Log'!$E$4:$E$1510="Win"),'Match Log'!$D$4:$D$1510,"")),IFERROR(LOOKUP(2,1/(('Match Log'!$A$4:$A$1510=$A83)*('Match Log'!$E$4:$E$1510="Win")),'Match Log'!$D$4:$D$1510),""))</f>
        <v>Simon</v>
      </c>
      <c r="E83" s="139">
        <f>IFERROR(INDEX('Match Log'!$F$4:$F$1510,MATCH($A83,'Match Log'!$A$4:$A$1510,0)),"")</f>
        <v>2</v>
      </c>
      <c r="F83">
        <f>IFERROR(SUMIFS('Match Log'!$I$4:$I$1510,'Match Log'!$A$4:$A$1510,$A83,'Match Log'!$E$4:$E$1510,"Win"),"")</f>
        <v>0.60000000000000009</v>
      </c>
      <c r="G83">
        <f t="shared" si="17"/>
        <v>-0.20000000000000018</v>
      </c>
      <c r="H83" t="str">
        <f t="array" ref="H83">IFERROR(IF(COUNTIFS('Match Log'!$A$4:$A$1510,$A83,'Match Log'!$E$4:$E$1510,"Win")&gt;1,_xlfn.TEXTJOIN(" + ",TRUE(),IF(('Match Log'!$A$4:$A$1510=$A83)*('Match Log'!$E$4:$E$1510="Loss"),'Match Log'!$D$4:$D$1510,"")),IF($E83=2,LOOKUP(2,1/(('Match Log'!$A$4:$A$1510=$A83)*('Match Log'!$E$4:$E$1510="Loss")),'Match Log'!$D$4:$D$1510),"the field")),"")</f>
        <v>Aaron</v>
      </c>
      <c r="I83">
        <f t="shared" si="18"/>
        <v>-0.20005900000000018</v>
      </c>
      <c r="J83">
        <v>59</v>
      </c>
      <c r="K83">
        <f>IF($J83&gt;MAX('Match Log'!$A$4:$A$1510),NA(),IFERROR(LOOKUP(2,1/(('Match Log'!$D$4:$D$1510=$K$24)*('Match Log'!$A$4:$A$1510&lt;=$J83)),'Match Log'!$N$4:$N$1510),NA()))</f>
        <v>1026.3367769492982</v>
      </c>
      <c r="L83">
        <f>IF($J83&gt;MAX('Match Log'!$A$4:$A$1510),NA(),IFERROR(LOOKUP(2,1/(('Match Log'!$D$4:$D$1510=$L$24)*('Match Log'!$A$4:$A$1510&lt;=$J83)),'Match Log'!$N$4:$N$1510),NA()))</f>
        <v>975.56678663796106</v>
      </c>
      <c r="M83">
        <f>IF($J83&gt;MAX('Match Log'!$A$4:$A$1510),NA(),IFERROR(LOOKUP(2,1/(('Match Log'!$D$4:$D$1510=$M$24)*('Match Log'!$A$4:$A$1510&lt;=$J83)),'Match Log'!$N$4:$N$1510),NA()))</f>
        <v>1000.0398229848671</v>
      </c>
      <c r="N83">
        <f>IF($J83&gt;MAX('Match Log'!$A$4:$A$1510),NA(),IFERROR(LOOKUP(2,1/(('Match Log'!$D$4:$D$1510=$N$24)*('Match Log'!$A$4:$A$1510&lt;=$J83)),'Match Log'!$N$4:$N$1510),NA()))</f>
        <v>969.34064339243469</v>
      </c>
      <c r="O83">
        <f>IF($J83&gt;MAX('Match Log'!$A$4:$A$1510),NA(),IFERROR(LOOKUP(2,1/(('Match Log'!$D$4:$D$1510=$O$24)*('Match Log'!$A$4:$A$1510&lt;=$J83)),'Match Log'!$N$4:$N$1510),NA()))</f>
        <v>1122.1586725189438</v>
      </c>
      <c r="P83">
        <f>IF($J83&gt;MAX('Match Log'!$A$4:$A$1510),NA(),IFERROR(LOOKUP(2,1/(('Match Log'!$D$4:$D$1510=$P$24)*('Match Log'!$A$4:$A$1510&lt;=$J83)),'Match Log'!$N$4:$N$1510),NA()))</f>
        <v>1012.5927435386984</v>
      </c>
      <c r="Q83">
        <f>IF($J83&gt;MAX('Match Log'!$A$4:$A$1510),NA(),IFERROR(LOOKUP(2,1/(('Match Log'!$D$4:$D$1510=$Q$24)*('Match Log'!$A$4:$A$1510&lt;=$J83)),'Match Log'!$N$4:$N$1510),NA()))</f>
        <v>1026.5608547405914</v>
      </c>
      <c r="R83">
        <f>IF($J83&gt;MAX('Match Log'!$A$4:$A$1510),NA(),IFERROR(LOOKUP(2,1/(('Match Log'!$D$4:$D$1510=$R$24)*('Match Log'!$A$4:$A$1510&lt;=$J83)),'Match Log'!$N$4:$N$1510),NA()))</f>
        <v>966.25151982188697</v>
      </c>
      <c r="S83">
        <f>IF($J83&gt;MAX('Match Log'!$A$4:$A$1510),NA(),IFERROR(LOOKUP(2,1/(('Match Log'!$D$4:$D$1510=$S$24)*('Match Log'!$A$4:$A$1510&lt;=$J83)),'Match Log'!$N$4:$N$1510),NA()))</f>
        <v>1074.3387739715224</v>
      </c>
      <c r="T83">
        <f>IF($J83&gt;MAX('Match Log'!$A$4:$A$1510),NA(),IFERROR(LOOKUP(2,1/(('Match Log'!$D$4:$D$1510=$T$24)*('Match Log'!$A$4:$A$1510&lt;=$J83)),'Match Log'!$N$4:$N$1510),NA()))</f>
        <v>914.42496189230224</v>
      </c>
      <c r="U83">
        <f>IF($J83&gt;MAX('Match Log'!$A$4:$A$1510),NA(),IFERROR(LOOKUP(2,1/(('Match Log'!$D$4:$D$1510=$U$24)*('Match Log'!$A$4:$A$1510&lt;=$J83)),'Match Log'!$N$4:$N$1510),NA()))</f>
        <v>994.38844355149297</v>
      </c>
      <c r="V83" t="e">
        <f>IF($J83&gt;MAX('Match Log'!$A$4:$A$1510),NA(),IFERROR(LOOKUP(2,1/(('Match Log'!$D$4:$D$1510=$V$24)*('Match Log'!$A$4:$A$1510&lt;=$J83)),'Match Log'!$N$4:$N$1510),NA()))</f>
        <v>#N/A</v>
      </c>
      <c r="W83" t="e">
        <f>IF($J83&gt;MAX('Match Log'!$A$4:$A$1510),NA(),IFERROR(LOOKUP(2,1/(('Match Log'!$D$4:$D$1510=$W$24)*('Match Log'!$A$4:$A$1510&lt;=$J83)),'Match Log'!$N$4:$N$1510),NA()))</f>
        <v>#N/A</v>
      </c>
      <c r="X83" t="e">
        <f>IF($J83&gt;MAX('Match Log'!$A$4:$A$1510),NA(),IFERROR(LOOKUP(2,1/(('Match Log'!$D$4:$D$1510=$X$24)*('Match Log'!$A$4:$A$1510&lt;=$J83)),'Match Log'!$N$4:$N$1510),NA()))</f>
        <v>#N/A</v>
      </c>
      <c r="Y83" t="str">
        <f t="shared" ca="1" si="19"/>
        <v/>
      </c>
    </row>
    <row r="84" spans="1:25" ht="15" customHeight="1" x14ac:dyDescent="0.2">
      <c r="A84">
        <v>60</v>
      </c>
      <c r="B84" s="138">
        <f>IFERROR(INDEX('Match Log'!$B$4:$B$1510,MATCH($A84,'Match Log'!$A$4:$A$1510,0)),"")</f>
        <v>46188</v>
      </c>
      <c r="C84" t="str">
        <f>IFERROR(INDEX('Match Log'!$C$4:$C$1510,MATCH($A84,'Match Log'!$A$4:$A$1510,0)),"")</f>
        <v>ShuffleBoard</v>
      </c>
      <c r="D84" t="str">
        <f t="array" ref="D84">IFERROR(_xlfn.TEXTJOIN(" + ",TRUE(),IF(('Match Log'!$A$4:$A$1510=$A84)*('Match Log'!$E$4:$E$1510="Win"),'Match Log'!$D$4:$D$1510,"")),IFERROR(LOOKUP(2,1/(('Match Log'!$A$4:$A$1510=$A84)*('Match Log'!$E$4:$E$1510="Win")),'Match Log'!$D$4:$D$1510),""))</f>
        <v>Beau</v>
      </c>
      <c r="E84" s="139">
        <f>IFERROR(INDEX('Match Log'!$F$4:$F$1510,MATCH($A84,'Match Log'!$A$4:$A$1510,0)),"")</f>
        <v>2</v>
      </c>
      <c r="F84">
        <f>IFERROR(SUMIFS('Match Log'!$I$4:$I$1510,'Match Log'!$A$4:$A$1510,$A84,'Match Log'!$E$4:$E$1510,"Win"),"")</f>
        <v>0.5</v>
      </c>
      <c r="G84">
        <f t="shared" si="17"/>
        <v>0</v>
      </c>
      <c r="H84" t="str">
        <f t="array" ref="H84">IFERROR(IF(COUNTIFS('Match Log'!$A$4:$A$1510,$A84,'Match Log'!$E$4:$E$1510,"Win")&gt;1,_xlfn.TEXTJOIN(" + ",TRUE(),IF(('Match Log'!$A$4:$A$1510=$A84)*('Match Log'!$E$4:$E$1510="Loss"),'Match Log'!$D$4:$D$1510,"")),IF($E84=2,LOOKUP(2,1/(('Match Log'!$A$4:$A$1510=$A84)*('Match Log'!$E$4:$E$1510="Loss")),'Match Log'!$D$4:$D$1510),"the field")),"")</f>
        <v>Cody</v>
      </c>
      <c r="I84">
        <f t="shared" si="18"/>
        <v>-6.0000000000000002E-5</v>
      </c>
      <c r="J84">
        <v>60</v>
      </c>
      <c r="K84">
        <f>IF($J84&gt;MAX('Match Log'!$A$4:$A$1510),NA(),IFERROR(LOOKUP(2,1/(('Match Log'!$D$4:$D$1510=$K$24)*('Match Log'!$A$4:$A$1510&lt;=$J84)),'Match Log'!$N$4:$N$1510),NA()))</f>
        <v>1026.3367769492982</v>
      </c>
      <c r="L84">
        <f>IF($J84&gt;MAX('Match Log'!$A$4:$A$1510),NA(),IFERROR(LOOKUP(2,1/(('Match Log'!$D$4:$D$1510=$L$24)*('Match Log'!$A$4:$A$1510&lt;=$J84)),'Match Log'!$N$4:$N$1510),NA()))</f>
        <v>994.77981233243941</v>
      </c>
      <c r="M84">
        <f>IF($J84&gt;MAX('Match Log'!$A$4:$A$1510),NA(),IFERROR(LOOKUP(2,1/(('Match Log'!$D$4:$D$1510=$M$24)*('Match Log'!$A$4:$A$1510&lt;=$J84)),'Match Log'!$N$4:$N$1510),NA()))</f>
        <v>1000.0398229848671</v>
      </c>
      <c r="N84">
        <f>IF($J84&gt;MAX('Match Log'!$A$4:$A$1510),NA(),IFERROR(LOOKUP(2,1/(('Match Log'!$D$4:$D$1510=$N$24)*('Match Log'!$A$4:$A$1510&lt;=$J84)),'Match Log'!$N$4:$N$1510),NA()))</f>
        <v>969.34064339243469</v>
      </c>
      <c r="O84">
        <f>IF($J84&gt;MAX('Match Log'!$A$4:$A$1510),NA(),IFERROR(LOOKUP(2,1/(('Match Log'!$D$4:$D$1510=$O$24)*('Match Log'!$A$4:$A$1510&lt;=$J84)),'Match Log'!$N$4:$N$1510),NA()))</f>
        <v>1122.1586725189438</v>
      </c>
      <c r="P84">
        <f>IF($J84&gt;MAX('Match Log'!$A$4:$A$1510),NA(),IFERROR(LOOKUP(2,1/(('Match Log'!$D$4:$D$1510=$P$24)*('Match Log'!$A$4:$A$1510&lt;=$J84)),'Match Log'!$N$4:$N$1510),NA()))</f>
        <v>1012.5927435386984</v>
      </c>
      <c r="Q84">
        <f>IF($J84&gt;MAX('Match Log'!$A$4:$A$1510),NA(),IFERROR(LOOKUP(2,1/(('Match Log'!$D$4:$D$1510=$Q$24)*('Match Log'!$A$4:$A$1510&lt;=$J84)),'Match Log'!$N$4:$N$1510),NA()))</f>
        <v>1026.5608547405914</v>
      </c>
      <c r="R84">
        <f>IF($J84&gt;MAX('Match Log'!$A$4:$A$1510),NA(),IFERROR(LOOKUP(2,1/(('Match Log'!$D$4:$D$1510=$R$24)*('Match Log'!$A$4:$A$1510&lt;=$J84)),'Match Log'!$N$4:$N$1510),NA()))</f>
        <v>966.25151982188697</v>
      </c>
      <c r="S84">
        <f>IF($J84&gt;MAX('Match Log'!$A$4:$A$1510),NA(),IFERROR(LOOKUP(2,1/(('Match Log'!$D$4:$D$1510=$S$24)*('Match Log'!$A$4:$A$1510&lt;=$J84)),'Match Log'!$N$4:$N$1510),NA()))</f>
        <v>1074.3387739715224</v>
      </c>
      <c r="T84">
        <f>IF($J84&gt;MAX('Match Log'!$A$4:$A$1510),NA(),IFERROR(LOOKUP(2,1/(('Match Log'!$D$4:$D$1510=$T$24)*('Match Log'!$A$4:$A$1510&lt;=$J84)),'Match Log'!$N$4:$N$1510),NA()))</f>
        <v>895.21193619782389</v>
      </c>
      <c r="U84">
        <f>IF($J84&gt;MAX('Match Log'!$A$4:$A$1510),NA(),IFERROR(LOOKUP(2,1/(('Match Log'!$D$4:$D$1510=$U$24)*('Match Log'!$A$4:$A$1510&lt;=$J84)),'Match Log'!$N$4:$N$1510),NA()))</f>
        <v>994.38844355149297</v>
      </c>
      <c r="V84" t="e">
        <f>IF($J84&gt;MAX('Match Log'!$A$4:$A$1510),NA(),IFERROR(LOOKUP(2,1/(('Match Log'!$D$4:$D$1510=$V$24)*('Match Log'!$A$4:$A$1510&lt;=$J84)),'Match Log'!$N$4:$N$1510),NA()))</f>
        <v>#N/A</v>
      </c>
      <c r="W84" t="e">
        <f>IF($J84&gt;MAX('Match Log'!$A$4:$A$1510),NA(),IFERROR(LOOKUP(2,1/(('Match Log'!$D$4:$D$1510=$W$24)*('Match Log'!$A$4:$A$1510&lt;=$J84)),'Match Log'!$N$4:$N$1510),NA()))</f>
        <v>#N/A</v>
      </c>
      <c r="X84" t="e">
        <f>IF($J84&gt;MAX('Match Log'!$A$4:$A$1510),NA(),IFERROR(LOOKUP(2,1/(('Match Log'!$D$4:$D$1510=$X$24)*('Match Log'!$A$4:$A$1510&lt;=$J84)),'Match Log'!$N$4:$N$1510),NA()))</f>
        <v>#N/A</v>
      </c>
      <c r="Y84" t="str">
        <f t="shared" ca="1" si="19"/>
        <v/>
      </c>
    </row>
    <row r="85" spans="1:25" ht="15" customHeight="1" x14ac:dyDescent="0.2">
      <c r="A85">
        <v>61</v>
      </c>
      <c r="B85" s="138">
        <f>IFERROR(INDEX('Match Log'!$B$4:$B$1510,MATCH($A85,'Match Log'!$A$4:$A$1510,0)),"")</f>
        <v>46188</v>
      </c>
      <c r="C85" t="str">
        <f>IFERROR(INDEX('Match Log'!$C$4:$C$1510,MATCH($A85,'Match Log'!$A$4:$A$1510,0)),"")</f>
        <v>ShuffleBoard</v>
      </c>
      <c r="D85" t="str">
        <f t="array" ref="D85">IFERROR(_xlfn.TEXTJOIN(" + ",TRUE(),IF(('Match Log'!$A$4:$A$1510=$A85)*('Match Log'!$E$4:$E$1510="Win"),'Match Log'!$D$4:$D$1510,"")),IFERROR(LOOKUP(2,1/(('Match Log'!$A$4:$A$1510=$A85)*('Match Log'!$E$4:$E$1510="Win")),'Match Log'!$D$4:$D$1510),""))</f>
        <v>Oscar</v>
      </c>
      <c r="E85" s="139">
        <f>IFERROR(INDEX('Match Log'!$F$4:$F$1510,MATCH($A85,'Match Log'!$A$4:$A$1510,0)),"")</f>
        <v>2</v>
      </c>
      <c r="F85">
        <f>IFERROR(SUMIFS('Match Log'!$I$4:$I$1510,'Match Log'!$A$4:$A$1510,$A85,'Match Log'!$E$4:$E$1510,"Win"),"")</f>
        <v>0.4285714285714286</v>
      </c>
      <c r="G85">
        <f t="shared" si="17"/>
        <v>0.14285714285714279</v>
      </c>
      <c r="H85" t="str">
        <f t="array" ref="H85">IFERROR(IF(COUNTIFS('Match Log'!$A$4:$A$1510,$A85,'Match Log'!$E$4:$E$1510,"Win")&gt;1,_xlfn.TEXTJOIN(" + ",TRUE(),IF(('Match Log'!$A$4:$A$1510=$A85)*('Match Log'!$E$4:$E$1510="Loss"),'Match Log'!$D$4:$D$1510,"")),IF($E85=2,LOOKUP(2,1/(('Match Log'!$A$4:$A$1510=$A85)*('Match Log'!$E$4:$E$1510="Loss")),'Match Log'!$D$4:$D$1510),"the field")),"")</f>
        <v>Shawn</v>
      </c>
      <c r="I85">
        <f t="shared" si="18"/>
        <v>0.14279614285714279</v>
      </c>
      <c r="J85">
        <v>61</v>
      </c>
      <c r="K85">
        <f>IF($J85&gt;MAX('Match Log'!$A$4:$A$1510),NA(),IFERROR(LOOKUP(2,1/(('Match Log'!$D$4:$D$1510=$K$24)*('Match Log'!$A$4:$A$1510&lt;=$J85)),'Match Log'!$N$4:$N$1510),NA()))</f>
        <v>1026.3367769492982</v>
      </c>
      <c r="L85">
        <f>IF($J85&gt;MAX('Match Log'!$A$4:$A$1510),NA(),IFERROR(LOOKUP(2,1/(('Match Log'!$D$4:$D$1510=$L$24)*('Match Log'!$A$4:$A$1510&lt;=$J85)),'Match Log'!$N$4:$N$1510),NA()))</f>
        <v>994.77981233243941</v>
      </c>
      <c r="M85">
        <f>IF($J85&gt;MAX('Match Log'!$A$4:$A$1510),NA(),IFERROR(LOOKUP(2,1/(('Match Log'!$D$4:$D$1510=$M$24)*('Match Log'!$A$4:$A$1510&lt;=$J85)),'Match Log'!$N$4:$N$1510),NA()))</f>
        <v>1000.0398229848671</v>
      </c>
      <c r="N85">
        <f>IF($J85&gt;MAX('Match Log'!$A$4:$A$1510),NA(),IFERROR(LOOKUP(2,1/(('Match Log'!$D$4:$D$1510=$N$24)*('Match Log'!$A$4:$A$1510&lt;=$J85)),'Match Log'!$N$4:$N$1510),NA()))</f>
        <v>969.34064339243469</v>
      </c>
      <c r="O85">
        <f>IF($J85&gt;MAX('Match Log'!$A$4:$A$1510),NA(),IFERROR(LOOKUP(2,1/(('Match Log'!$D$4:$D$1510=$O$24)*('Match Log'!$A$4:$A$1510&lt;=$J85)),'Match Log'!$N$4:$N$1510),NA()))</f>
        <v>1122.1586725189438</v>
      </c>
      <c r="P85">
        <f>IF($J85&gt;MAX('Match Log'!$A$4:$A$1510),NA(),IFERROR(LOOKUP(2,1/(('Match Log'!$D$4:$D$1510=$P$24)*('Match Log'!$A$4:$A$1510&lt;=$J85)),'Match Log'!$N$4:$N$1510),NA()))</f>
        <v>988.87195028457745</v>
      </c>
      <c r="Q85">
        <f>IF($J85&gt;MAX('Match Log'!$A$4:$A$1510),NA(),IFERROR(LOOKUP(2,1/(('Match Log'!$D$4:$D$1510=$Q$24)*('Match Log'!$A$4:$A$1510&lt;=$J85)),'Match Log'!$N$4:$N$1510),NA()))</f>
        <v>1026.5608547405914</v>
      </c>
      <c r="R85">
        <f>IF($J85&gt;MAX('Match Log'!$A$4:$A$1510),NA(),IFERROR(LOOKUP(2,1/(('Match Log'!$D$4:$D$1510=$R$24)*('Match Log'!$A$4:$A$1510&lt;=$J85)),'Match Log'!$N$4:$N$1510),NA()))</f>
        <v>966.25151982188697</v>
      </c>
      <c r="S85">
        <f>IF($J85&gt;MAX('Match Log'!$A$4:$A$1510),NA(),IFERROR(LOOKUP(2,1/(('Match Log'!$D$4:$D$1510=$S$24)*('Match Log'!$A$4:$A$1510&lt;=$J85)),'Match Log'!$N$4:$N$1510),NA()))</f>
        <v>1074.3387739715224</v>
      </c>
      <c r="T85">
        <f>IF($J85&gt;MAX('Match Log'!$A$4:$A$1510),NA(),IFERROR(LOOKUP(2,1/(('Match Log'!$D$4:$D$1510=$T$24)*('Match Log'!$A$4:$A$1510&lt;=$J85)),'Match Log'!$N$4:$N$1510),NA()))</f>
        <v>895.21193619782389</v>
      </c>
      <c r="U85">
        <f>IF($J85&gt;MAX('Match Log'!$A$4:$A$1510),NA(),IFERROR(LOOKUP(2,1/(('Match Log'!$D$4:$D$1510=$U$24)*('Match Log'!$A$4:$A$1510&lt;=$J85)),'Match Log'!$N$4:$N$1510),NA()))</f>
        <v>1018.1092368056139</v>
      </c>
      <c r="V85" t="e">
        <f>IF($J85&gt;MAX('Match Log'!$A$4:$A$1510),NA(),IFERROR(LOOKUP(2,1/(('Match Log'!$D$4:$D$1510=$V$24)*('Match Log'!$A$4:$A$1510&lt;=$J85)),'Match Log'!$N$4:$N$1510),NA()))</f>
        <v>#N/A</v>
      </c>
      <c r="W85" t="e">
        <f>IF($J85&gt;MAX('Match Log'!$A$4:$A$1510),NA(),IFERROR(LOOKUP(2,1/(('Match Log'!$D$4:$D$1510=$W$24)*('Match Log'!$A$4:$A$1510&lt;=$J85)),'Match Log'!$N$4:$N$1510),NA()))</f>
        <v>#N/A</v>
      </c>
      <c r="X85" t="e">
        <f>IF($J85&gt;MAX('Match Log'!$A$4:$A$1510),NA(),IFERROR(LOOKUP(2,1/(('Match Log'!$D$4:$D$1510=$X$24)*('Match Log'!$A$4:$A$1510&lt;=$J85)),'Match Log'!$N$4:$N$1510),NA()))</f>
        <v>#N/A</v>
      </c>
      <c r="Y85" t="str">
        <f t="shared" ca="1" si="19"/>
        <v/>
      </c>
    </row>
    <row r="86" spans="1:25" ht="15" customHeight="1" x14ac:dyDescent="0.2">
      <c r="A86">
        <v>62</v>
      </c>
      <c r="B86" s="138">
        <f>IFERROR(INDEX('Match Log'!$B$4:$B$1510,MATCH($A86,'Match Log'!$A$4:$A$1510,0)),"")</f>
        <v>46188</v>
      </c>
      <c r="C86" t="str">
        <f>IFERROR(INDEX('Match Log'!$C$4:$C$1510,MATCH($A86,'Match Log'!$A$4:$A$1510,0)),"")</f>
        <v>ShuffleBoard</v>
      </c>
      <c r="D86" t="str">
        <f t="array" ref="D86">IFERROR(_xlfn.TEXTJOIN(" + ",TRUE(),IF(('Match Log'!$A$4:$A$1510=$A86)*('Match Log'!$E$4:$E$1510="Win"),'Match Log'!$D$4:$D$1510,"")),IFERROR(LOOKUP(2,1/(('Match Log'!$A$4:$A$1510=$A86)*('Match Log'!$E$4:$E$1510="Win")),'Match Log'!$D$4:$D$1510),""))</f>
        <v>Dean B</v>
      </c>
      <c r="E86" s="139">
        <f>IFERROR(INDEX('Match Log'!$F$4:$F$1510,MATCH($A86,'Match Log'!$A$4:$A$1510,0)),"")</f>
        <v>2</v>
      </c>
      <c r="F86">
        <f>IFERROR(SUMIFS('Match Log'!$I$4:$I$1510,'Match Log'!$A$4:$A$1510,$A86,'Match Log'!$E$4:$E$1510,"Win"),"")</f>
        <v>0.5</v>
      </c>
      <c r="G86">
        <f t="shared" si="17"/>
        <v>0</v>
      </c>
      <c r="H86" t="str">
        <f t="array" ref="H86">IFERROR(IF(COUNTIFS('Match Log'!$A$4:$A$1510,$A86,'Match Log'!$E$4:$E$1510,"Win")&gt;1,_xlfn.TEXTJOIN(" + ",TRUE(),IF(('Match Log'!$A$4:$A$1510=$A86)*('Match Log'!$E$4:$E$1510="Loss"),'Match Log'!$D$4:$D$1510,"")),IF($E86=2,LOOKUP(2,1/(('Match Log'!$A$4:$A$1510=$A86)*('Match Log'!$E$4:$E$1510="Loss")),'Match Log'!$D$4:$D$1510),"the field")),"")</f>
        <v>David</v>
      </c>
      <c r="I86">
        <f t="shared" si="18"/>
        <v>-6.2000000000000003E-5</v>
      </c>
      <c r="J86">
        <v>62</v>
      </c>
      <c r="K86">
        <f>IF($J86&gt;MAX('Match Log'!$A$4:$A$1510),NA(),IFERROR(LOOKUP(2,1/(('Match Log'!$D$4:$D$1510=$K$24)*('Match Log'!$A$4:$A$1510&lt;=$J86)),'Match Log'!$N$4:$N$1510),NA()))</f>
        <v>1026.3367769492982</v>
      </c>
      <c r="L86">
        <f>IF($J86&gt;MAX('Match Log'!$A$4:$A$1510),NA(),IFERROR(LOOKUP(2,1/(('Match Log'!$D$4:$D$1510=$L$24)*('Match Log'!$A$4:$A$1510&lt;=$J86)),'Match Log'!$N$4:$N$1510),NA()))</f>
        <v>994.77981233243941</v>
      </c>
      <c r="M86">
        <f>IF($J86&gt;MAX('Match Log'!$A$4:$A$1510),NA(),IFERROR(LOOKUP(2,1/(('Match Log'!$D$4:$D$1510=$M$24)*('Match Log'!$A$4:$A$1510&lt;=$J86)),'Match Log'!$N$4:$N$1510),NA()))</f>
        <v>1000.0398229848671</v>
      </c>
      <c r="N86">
        <f>IF($J86&gt;MAX('Match Log'!$A$4:$A$1510),NA(),IFERROR(LOOKUP(2,1/(('Match Log'!$D$4:$D$1510=$N$24)*('Match Log'!$A$4:$A$1510&lt;=$J86)),'Match Log'!$N$4:$N$1510),NA()))</f>
        <v>951.28701496177575</v>
      </c>
      <c r="O86">
        <f>IF($J86&gt;MAX('Match Log'!$A$4:$A$1510),NA(),IFERROR(LOOKUP(2,1/(('Match Log'!$D$4:$D$1510=$O$24)*('Match Log'!$A$4:$A$1510&lt;=$J86)),'Match Log'!$N$4:$N$1510),NA()))</f>
        <v>1122.1586725189438</v>
      </c>
      <c r="P86">
        <f>IF($J86&gt;MAX('Match Log'!$A$4:$A$1510),NA(),IFERROR(LOOKUP(2,1/(('Match Log'!$D$4:$D$1510=$P$24)*('Match Log'!$A$4:$A$1510&lt;=$J86)),'Match Log'!$N$4:$N$1510),NA()))</f>
        <v>988.87195028457745</v>
      </c>
      <c r="Q86">
        <f>IF($J86&gt;MAX('Match Log'!$A$4:$A$1510),NA(),IFERROR(LOOKUP(2,1/(('Match Log'!$D$4:$D$1510=$Q$24)*('Match Log'!$A$4:$A$1510&lt;=$J86)),'Match Log'!$N$4:$N$1510),NA()))</f>
        <v>1026.5608547405914</v>
      </c>
      <c r="R86">
        <f>IF($J86&gt;MAX('Match Log'!$A$4:$A$1510),NA(),IFERROR(LOOKUP(2,1/(('Match Log'!$D$4:$D$1510=$R$24)*('Match Log'!$A$4:$A$1510&lt;=$J86)),'Match Log'!$N$4:$N$1510),NA()))</f>
        <v>966.25151982188697</v>
      </c>
      <c r="S86">
        <f>IF($J86&gt;MAX('Match Log'!$A$4:$A$1510),NA(),IFERROR(LOOKUP(2,1/(('Match Log'!$D$4:$D$1510=$S$24)*('Match Log'!$A$4:$A$1510&lt;=$J86)),'Match Log'!$N$4:$N$1510),NA()))</f>
        <v>1092.3924024021815</v>
      </c>
      <c r="T86">
        <f>IF($J86&gt;MAX('Match Log'!$A$4:$A$1510),NA(),IFERROR(LOOKUP(2,1/(('Match Log'!$D$4:$D$1510=$T$24)*('Match Log'!$A$4:$A$1510&lt;=$J86)),'Match Log'!$N$4:$N$1510),NA()))</f>
        <v>895.21193619782389</v>
      </c>
      <c r="U86">
        <f>IF($J86&gt;MAX('Match Log'!$A$4:$A$1510),NA(),IFERROR(LOOKUP(2,1/(('Match Log'!$D$4:$D$1510=$U$24)*('Match Log'!$A$4:$A$1510&lt;=$J86)),'Match Log'!$N$4:$N$1510),NA()))</f>
        <v>1018.1092368056139</v>
      </c>
      <c r="V86" t="e">
        <f>IF($J86&gt;MAX('Match Log'!$A$4:$A$1510),NA(),IFERROR(LOOKUP(2,1/(('Match Log'!$D$4:$D$1510=$V$24)*('Match Log'!$A$4:$A$1510&lt;=$J86)),'Match Log'!$N$4:$N$1510),NA()))</f>
        <v>#N/A</v>
      </c>
      <c r="W86" t="e">
        <f>IF($J86&gt;MAX('Match Log'!$A$4:$A$1510),NA(),IFERROR(LOOKUP(2,1/(('Match Log'!$D$4:$D$1510=$W$24)*('Match Log'!$A$4:$A$1510&lt;=$J86)),'Match Log'!$N$4:$N$1510),NA()))</f>
        <v>#N/A</v>
      </c>
      <c r="X86" t="e">
        <f>IF($J86&gt;MAX('Match Log'!$A$4:$A$1510),NA(),IFERROR(LOOKUP(2,1/(('Match Log'!$D$4:$D$1510=$X$24)*('Match Log'!$A$4:$A$1510&lt;=$J86)),'Match Log'!$N$4:$N$1510),NA()))</f>
        <v>#N/A</v>
      </c>
      <c r="Y86" t="str">
        <f t="shared" ca="1" si="19"/>
        <v/>
      </c>
    </row>
    <row r="87" spans="1:25" ht="15" customHeight="1" x14ac:dyDescent="0.2">
      <c r="A87">
        <v>63</v>
      </c>
      <c r="B87" s="138">
        <f>IFERROR(INDEX('Match Log'!$B$4:$B$1510,MATCH($A87,'Match Log'!$A$4:$A$1510,0)),"")</f>
        <v>46188</v>
      </c>
      <c r="C87" t="str">
        <f>IFERROR(INDEX('Match Log'!$C$4:$C$1510,MATCH($A87,'Match Log'!$A$4:$A$1510,0)),"")</f>
        <v>ShuffleBoard</v>
      </c>
      <c r="D87" t="str">
        <f t="array" ref="D87">IFERROR(_xlfn.TEXTJOIN(" + ",TRUE(),IF(('Match Log'!$A$4:$A$1510=$A87)*('Match Log'!$E$4:$E$1510="Win"),'Match Log'!$D$4:$D$1510,"")),IFERROR(LOOKUP(2,1/(('Match Log'!$A$4:$A$1510=$A87)*('Match Log'!$E$4:$E$1510="Win")),'Match Log'!$D$4:$D$1510),""))</f>
        <v>Simon</v>
      </c>
      <c r="E87" s="139">
        <f>IFERROR(INDEX('Match Log'!$F$4:$F$1510,MATCH($A87,'Match Log'!$A$4:$A$1510,0)),"")</f>
        <v>2</v>
      </c>
      <c r="F87">
        <f>IFERROR(SUMIFS('Match Log'!$I$4:$I$1510,'Match Log'!$A$4:$A$1510,$A87,'Match Log'!$E$4:$E$1510,"Win"),"")</f>
        <v>0.5</v>
      </c>
      <c r="G87">
        <f t="shared" si="17"/>
        <v>0</v>
      </c>
      <c r="H87" t="str">
        <f t="array" ref="H87">IFERROR(IF(COUNTIFS('Match Log'!$A$4:$A$1510,$A87,'Match Log'!$E$4:$E$1510,"Win")&gt;1,_xlfn.TEXTJOIN(" + ",TRUE(),IF(('Match Log'!$A$4:$A$1510=$A87)*('Match Log'!$E$4:$E$1510="Loss"),'Match Log'!$D$4:$D$1510,"")),IF($E87=2,LOOKUP(2,1/(('Match Log'!$A$4:$A$1510=$A87)*('Match Log'!$E$4:$E$1510="Loss")),'Match Log'!$D$4:$D$1510),"the field")),"")</f>
        <v>Oscar</v>
      </c>
      <c r="I87">
        <f t="shared" si="18"/>
        <v>-6.3E-5</v>
      </c>
      <c r="J87">
        <v>63</v>
      </c>
      <c r="K87">
        <f>IF($J87&gt;MAX('Match Log'!$A$4:$A$1510),NA(),IFERROR(LOOKUP(2,1/(('Match Log'!$D$4:$D$1510=$K$24)*('Match Log'!$A$4:$A$1510&lt;=$J87)),'Match Log'!$N$4:$N$1510),NA()))</f>
        <v>1026.3367769492982</v>
      </c>
      <c r="L87">
        <f>IF($J87&gt;MAX('Match Log'!$A$4:$A$1510),NA(),IFERROR(LOOKUP(2,1/(('Match Log'!$D$4:$D$1510=$L$24)*('Match Log'!$A$4:$A$1510&lt;=$J87)),'Match Log'!$N$4:$N$1510),NA()))</f>
        <v>994.77981233243941</v>
      </c>
      <c r="M87">
        <f>IF($J87&gt;MAX('Match Log'!$A$4:$A$1510),NA(),IFERROR(LOOKUP(2,1/(('Match Log'!$D$4:$D$1510=$M$24)*('Match Log'!$A$4:$A$1510&lt;=$J87)),'Match Log'!$N$4:$N$1510),NA()))</f>
        <v>1000.0398229848671</v>
      </c>
      <c r="N87">
        <f>IF($J87&gt;MAX('Match Log'!$A$4:$A$1510),NA(),IFERROR(LOOKUP(2,1/(('Match Log'!$D$4:$D$1510=$N$24)*('Match Log'!$A$4:$A$1510&lt;=$J87)),'Match Log'!$N$4:$N$1510),NA()))</f>
        <v>951.28701496177575</v>
      </c>
      <c r="O87">
        <f>IF($J87&gt;MAX('Match Log'!$A$4:$A$1510),NA(),IFERROR(LOOKUP(2,1/(('Match Log'!$D$4:$D$1510=$O$24)*('Match Log'!$A$4:$A$1510&lt;=$J87)),'Match Log'!$N$4:$N$1510),NA()))</f>
        <v>1122.1586725189438</v>
      </c>
      <c r="P87">
        <f>IF($J87&gt;MAX('Match Log'!$A$4:$A$1510),NA(),IFERROR(LOOKUP(2,1/(('Match Log'!$D$4:$D$1510=$P$24)*('Match Log'!$A$4:$A$1510&lt;=$J87)),'Match Log'!$N$4:$N$1510),NA()))</f>
        <v>988.87195028457745</v>
      </c>
      <c r="Q87">
        <f>IF($J87&gt;MAX('Match Log'!$A$4:$A$1510),NA(),IFERROR(LOOKUP(2,1/(('Match Log'!$D$4:$D$1510=$Q$24)*('Match Log'!$A$4:$A$1510&lt;=$J87)),'Match Log'!$N$4:$N$1510),NA()))</f>
        <v>1048.2478545797917</v>
      </c>
      <c r="R87">
        <f>IF($J87&gt;MAX('Match Log'!$A$4:$A$1510),NA(),IFERROR(LOOKUP(2,1/(('Match Log'!$D$4:$D$1510=$R$24)*('Match Log'!$A$4:$A$1510&lt;=$J87)),'Match Log'!$N$4:$N$1510),NA()))</f>
        <v>966.25151982188697</v>
      </c>
      <c r="S87">
        <f>IF($J87&gt;MAX('Match Log'!$A$4:$A$1510),NA(),IFERROR(LOOKUP(2,1/(('Match Log'!$D$4:$D$1510=$S$24)*('Match Log'!$A$4:$A$1510&lt;=$J87)),'Match Log'!$N$4:$N$1510),NA()))</f>
        <v>1092.3924024021815</v>
      </c>
      <c r="T87">
        <f>IF($J87&gt;MAX('Match Log'!$A$4:$A$1510),NA(),IFERROR(LOOKUP(2,1/(('Match Log'!$D$4:$D$1510=$T$24)*('Match Log'!$A$4:$A$1510&lt;=$J87)),'Match Log'!$N$4:$N$1510),NA()))</f>
        <v>895.21193619782389</v>
      </c>
      <c r="U87">
        <f>IF($J87&gt;MAX('Match Log'!$A$4:$A$1510),NA(),IFERROR(LOOKUP(2,1/(('Match Log'!$D$4:$D$1510=$U$24)*('Match Log'!$A$4:$A$1510&lt;=$J87)),'Match Log'!$N$4:$N$1510),NA()))</f>
        <v>996.42223696641361</v>
      </c>
      <c r="V87" t="e">
        <f>IF($J87&gt;MAX('Match Log'!$A$4:$A$1510),NA(),IFERROR(LOOKUP(2,1/(('Match Log'!$D$4:$D$1510=$V$24)*('Match Log'!$A$4:$A$1510&lt;=$J87)),'Match Log'!$N$4:$N$1510),NA()))</f>
        <v>#N/A</v>
      </c>
      <c r="W87" t="e">
        <f>IF($J87&gt;MAX('Match Log'!$A$4:$A$1510),NA(),IFERROR(LOOKUP(2,1/(('Match Log'!$D$4:$D$1510=$W$24)*('Match Log'!$A$4:$A$1510&lt;=$J87)),'Match Log'!$N$4:$N$1510),NA()))</f>
        <v>#N/A</v>
      </c>
      <c r="X87" t="e">
        <f>IF($J87&gt;MAX('Match Log'!$A$4:$A$1510),NA(),IFERROR(LOOKUP(2,1/(('Match Log'!$D$4:$D$1510=$X$24)*('Match Log'!$A$4:$A$1510&lt;=$J87)),'Match Log'!$N$4:$N$1510),NA()))</f>
        <v>#N/A</v>
      </c>
      <c r="Y87" t="str">
        <f t="shared" ca="1" si="19"/>
        <v/>
      </c>
    </row>
    <row r="88" spans="1:25" ht="15" customHeight="1" x14ac:dyDescent="0.2">
      <c r="A88">
        <v>64</v>
      </c>
      <c r="B88" s="138">
        <f>IFERROR(INDEX('Match Log'!$B$4:$B$1510,MATCH($A88,'Match Log'!$A$4:$A$1510,0)),"")</f>
        <v>46188</v>
      </c>
      <c r="C88" t="str">
        <f>IFERROR(INDEX('Match Log'!$C$4:$C$1510,MATCH($A88,'Match Log'!$A$4:$A$1510,0)),"")</f>
        <v>ShuffleBoard</v>
      </c>
      <c r="D88" t="str">
        <f t="array" ref="D88">IFERROR(_xlfn.TEXTJOIN(" + ",TRUE(),IF(('Match Log'!$A$4:$A$1510=$A88)*('Match Log'!$E$4:$E$1510="Win"),'Match Log'!$D$4:$D$1510,"")),IFERROR(LOOKUP(2,1/(('Match Log'!$A$4:$A$1510=$A88)*('Match Log'!$E$4:$E$1510="Win")),'Match Log'!$D$4:$D$1510),""))</f>
        <v>Chase</v>
      </c>
      <c r="E88" s="139">
        <f>IFERROR(INDEX('Match Log'!$F$4:$F$1510,MATCH($A88,'Match Log'!$A$4:$A$1510,0)),"")</f>
        <v>2</v>
      </c>
      <c r="F88">
        <f>IFERROR(SUMIFS('Match Log'!$I$4:$I$1510,'Match Log'!$A$4:$A$1510,$A88,'Match Log'!$E$4:$E$1510,"Win"),"")</f>
        <v>0.60000000000000009</v>
      </c>
      <c r="G88">
        <f t="shared" si="17"/>
        <v>-0.20000000000000018</v>
      </c>
      <c r="H88" t="str">
        <f t="array" ref="H88">IFERROR(IF(COUNTIFS('Match Log'!$A$4:$A$1510,$A88,'Match Log'!$E$4:$E$1510,"Win")&gt;1,_xlfn.TEXTJOIN(" + ",TRUE(),IF(('Match Log'!$A$4:$A$1510=$A88)*('Match Log'!$E$4:$E$1510="Loss"),'Match Log'!$D$4:$D$1510,"")),IF($E88=2,LOOKUP(2,1/(('Match Log'!$A$4:$A$1510=$A88)*('Match Log'!$E$4:$E$1510="Loss")),'Match Log'!$D$4:$D$1510),"the field")),"")</f>
        <v>Cody</v>
      </c>
      <c r="I88">
        <f t="shared" si="18"/>
        <v>-0.20006400000000019</v>
      </c>
      <c r="J88">
        <v>64</v>
      </c>
      <c r="K88">
        <f>IF($J88&gt;MAX('Match Log'!$A$4:$A$1510),NA(),IFERROR(LOOKUP(2,1/(('Match Log'!$D$4:$D$1510=$K$24)*('Match Log'!$A$4:$A$1510&lt;=$J88)),'Match Log'!$N$4:$N$1510),NA()))</f>
        <v>1026.3367769492982</v>
      </c>
      <c r="L88">
        <f>IF($J88&gt;MAX('Match Log'!$A$4:$A$1510),NA(),IFERROR(LOOKUP(2,1/(('Match Log'!$D$4:$D$1510=$L$24)*('Match Log'!$A$4:$A$1510&lt;=$J88)),'Match Log'!$N$4:$N$1510),NA()))</f>
        <v>994.77981233243941</v>
      </c>
      <c r="M88">
        <f>IF($J88&gt;MAX('Match Log'!$A$4:$A$1510),NA(),IFERROR(LOOKUP(2,1/(('Match Log'!$D$4:$D$1510=$M$24)*('Match Log'!$A$4:$A$1510&lt;=$J88)),'Match Log'!$N$4:$N$1510),NA()))</f>
        <v>1016.7841648959289</v>
      </c>
      <c r="N88">
        <f>IF($J88&gt;MAX('Match Log'!$A$4:$A$1510),NA(),IFERROR(LOOKUP(2,1/(('Match Log'!$D$4:$D$1510=$N$24)*('Match Log'!$A$4:$A$1510&lt;=$J88)),'Match Log'!$N$4:$N$1510),NA()))</f>
        <v>951.28701496177575</v>
      </c>
      <c r="O88">
        <f>IF($J88&gt;MAX('Match Log'!$A$4:$A$1510),NA(),IFERROR(LOOKUP(2,1/(('Match Log'!$D$4:$D$1510=$O$24)*('Match Log'!$A$4:$A$1510&lt;=$J88)),'Match Log'!$N$4:$N$1510),NA()))</f>
        <v>1122.1586725189438</v>
      </c>
      <c r="P88">
        <f>IF($J88&gt;MAX('Match Log'!$A$4:$A$1510),NA(),IFERROR(LOOKUP(2,1/(('Match Log'!$D$4:$D$1510=$P$24)*('Match Log'!$A$4:$A$1510&lt;=$J88)),'Match Log'!$N$4:$N$1510),NA()))</f>
        <v>988.87195028457745</v>
      </c>
      <c r="Q88">
        <f>IF($J88&gt;MAX('Match Log'!$A$4:$A$1510),NA(),IFERROR(LOOKUP(2,1/(('Match Log'!$D$4:$D$1510=$Q$24)*('Match Log'!$A$4:$A$1510&lt;=$J88)),'Match Log'!$N$4:$N$1510),NA()))</f>
        <v>1048.2478545797917</v>
      </c>
      <c r="R88">
        <f>IF($J88&gt;MAX('Match Log'!$A$4:$A$1510),NA(),IFERROR(LOOKUP(2,1/(('Match Log'!$D$4:$D$1510=$R$24)*('Match Log'!$A$4:$A$1510&lt;=$J88)),'Match Log'!$N$4:$N$1510),NA()))</f>
        <v>966.25151982188697</v>
      </c>
      <c r="S88">
        <f>IF($J88&gt;MAX('Match Log'!$A$4:$A$1510),NA(),IFERROR(LOOKUP(2,1/(('Match Log'!$D$4:$D$1510=$S$24)*('Match Log'!$A$4:$A$1510&lt;=$J88)),'Match Log'!$N$4:$N$1510),NA()))</f>
        <v>1092.3924024021815</v>
      </c>
      <c r="T88">
        <f>IF($J88&gt;MAX('Match Log'!$A$4:$A$1510),NA(),IFERROR(LOOKUP(2,1/(('Match Log'!$D$4:$D$1510=$T$24)*('Match Log'!$A$4:$A$1510&lt;=$J88)),'Match Log'!$N$4:$N$1510),NA()))</f>
        <v>878.46759428676205</v>
      </c>
      <c r="U88">
        <f>IF($J88&gt;MAX('Match Log'!$A$4:$A$1510),NA(),IFERROR(LOOKUP(2,1/(('Match Log'!$D$4:$D$1510=$U$24)*('Match Log'!$A$4:$A$1510&lt;=$J88)),'Match Log'!$N$4:$N$1510),NA()))</f>
        <v>996.42223696641361</v>
      </c>
      <c r="V88" t="e">
        <f>IF($J88&gt;MAX('Match Log'!$A$4:$A$1510),NA(),IFERROR(LOOKUP(2,1/(('Match Log'!$D$4:$D$1510=$V$24)*('Match Log'!$A$4:$A$1510&lt;=$J88)),'Match Log'!$N$4:$N$1510),NA()))</f>
        <v>#N/A</v>
      </c>
      <c r="W88" t="e">
        <f>IF($J88&gt;MAX('Match Log'!$A$4:$A$1510),NA(),IFERROR(LOOKUP(2,1/(('Match Log'!$D$4:$D$1510=$W$24)*('Match Log'!$A$4:$A$1510&lt;=$J88)),'Match Log'!$N$4:$N$1510),NA()))</f>
        <v>#N/A</v>
      </c>
      <c r="X88" t="e">
        <f>IF($J88&gt;MAX('Match Log'!$A$4:$A$1510),NA(),IFERROR(LOOKUP(2,1/(('Match Log'!$D$4:$D$1510=$X$24)*('Match Log'!$A$4:$A$1510&lt;=$J88)),'Match Log'!$N$4:$N$1510),NA()))</f>
        <v>#N/A</v>
      </c>
      <c r="Y88" t="str">
        <f t="shared" ca="1" si="19"/>
        <v/>
      </c>
    </row>
    <row r="89" spans="1:25" ht="15" customHeight="1" x14ac:dyDescent="0.2">
      <c r="A89">
        <v>65</v>
      </c>
      <c r="B89" s="138">
        <f>IFERROR(INDEX('Match Log'!$B$4:$B$1510,MATCH($A89,'Match Log'!$A$4:$A$1510,0)),"")</f>
        <v>46188</v>
      </c>
      <c r="C89" t="str">
        <f>IFERROR(INDEX('Match Log'!$C$4:$C$1510,MATCH($A89,'Match Log'!$A$4:$A$1510,0)),"")</f>
        <v>ShuffleBoard</v>
      </c>
      <c r="D89" t="str">
        <f t="array" ref="D89">IFERROR(_xlfn.TEXTJOIN(" + ",TRUE(),IF(('Match Log'!$A$4:$A$1510=$A89)*('Match Log'!$E$4:$E$1510="Win"),'Match Log'!$D$4:$D$1510,"")),IFERROR(LOOKUP(2,1/(('Match Log'!$A$4:$A$1510=$A89)*('Match Log'!$E$4:$E$1510="Win")),'Match Log'!$D$4:$D$1510),""))</f>
        <v>Cody</v>
      </c>
      <c r="E89" s="139">
        <f>IFERROR(INDEX('Match Log'!$F$4:$F$1510,MATCH($A89,'Match Log'!$A$4:$A$1510,0)),"")</f>
        <v>2</v>
      </c>
      <c r="F89">
        <f>IFERROR(SUMIFS('Match Log'!$I$4:$I$1510,'Match Log'!$A$4:$A$1510,$A89,'Match Log'!$E$4:$E$1510,"Win"),"")</f>
        <v>0.33333333333333331</v>
      </c>
      <c r="G89">
        <f t="shared" ref="G89:G152" si="20">IF($D89="","",1-$F89*$E89)</f>
        <v>0.33333333333333337</v>
      </c>
      <c r="H89" t="str">
        <f t="array" ref="H89">IFERROR(IF(COUNTIFS('Match Log'!$A$4:$A$1510,$A89,'Match Log'!$E$4:$E$1510,"Win")&gt;1,_xlfn.TEXTJOIN(" + ",TRUE(),IF(('Match Log'!$A$4:$A$1510=$A89)*('Match Log'!$E$4:$E$1510="Loss"),'Match Log'!$D$4:$D$1510,"")),IF($E89=2,LOOKUP(2,1/(('Match Log'!$A$4:$A$1510=$A89)*('Match Log'!$E$4:$E$1510="Loss")),'Match Log'!$D$4:$D$1510),"the field")),"")</f>
        <v>Oscar</v>
      </c>
      <c r="I89">
        <f t="shared" ref="I89:I152" si="21">IF($G89="","",$G89-$A89/1000000)</f>
        <v>0.33326833333333339</v>
      </c>
      <c r="J89">
        <v>65</v>
      </c>
      <c r="K89">
        <f>IF($J89&gt;MAX('Match Log'!$A$4:$A$1510),NA(),IFERROR(LOOKUP(2,1/(('Match Log'!$D$4:$D$1510=$K$24)*('Match Log'!$A$4:$A$1510&lt;=$J89)),'Match Log'!$N$4:$N$1510),NA()))</f>
        <v>1026.3367769492982</v>
      </c>
      <c r="L89">
        <f>IF($J89&gt;MAX('Match Log'!$A$4:$A$1510),NA(),IFERROR(LOOKUP(2,1/(('Match Log'!$D$4:$D$1510=$L$24)*('Match Log'!$A$4:$A$1510&lt;=$J89)),'Match Log'!$N$4:$N$1510),NA()))</f>
        <v>994.77981233243941</v>
      </c>
      <c r="M89">
        <f>IF($J89&gt;MAX('Match Log'!$A$4:$A$1510),NA(),IFERROR(LOOKUP(2,1/(('Match Log'!$D$4:$D$1510=$M$24)*('Match Log'!$A$4:$A$1510&lt;=$J89)),'Match Log'!$N$4:$N$1510),NA()))</f>
        <v>1016.7841648959289</v>
      </c>
      <c r="N89">
        <f>IF($J89&gt;MAX('Match Log'!$A$4:$A$1510),NA(),IFERROR(LOOKUP(2,1/(('Match Log'!$D$4:$D$1510=$N$24)*('Match Log'!$A$4:$A$1510&lt;=$J89)),'Match Log'!$N$4:$N$1510),NA()))</f>
        <v>951.28701496177575</v>
      </c>
      <c r="O89">
        <f>IF($J89&gt;MAX('Match Log'!$A$4:$A$1510),NA(),IFERROR(LOOKUP(2,1/(('Match Log'!$D$4:$D$1510=$O$24)*('Match Log'!$A$4:$A$1510&lt;=$J89)),'Match Log'!$N$4:$N$1510),NA()))</f>
        <v>1122.1586725189438</v>
      </c>
      <c r="P89">
        <f>IF($J89&gt;MAX('Match Log'!$A$4:$A$1510),NA(),IFERROR(LOOKUP(2,1/(('Match Log'!$D$4:$D$1510=$P$24)*('Match Log'!$A$4:$A$1510&lt;=$J89)),'Match Log'!$N$4:$N$1510),NA()))</f>
        <v>988.87195028457745</v>
      </c>
      <c r="Q89">
        <f>IF($J89&gt;MAX('Match Log'!$A$4:$A$1510),NA(),IFERROR(LOOKUP(2,1/(('Match Log'!$D$4:$D$1510=$Q$24)*('Match Log'!$A$4:$A$1510&lt;=$J89)),'Match Log'!$N$4:$N$1510),NA()))</f>
        <v>1048.2478545797917</v>
      </c>
      <c r="R89">
        <f>IF($J89&gt;MAX('Match Log'!$A$4:$A$1510),NA(),IFERROR(LOOKUP(2,1/(('Match Log'!$D$4:$D$1510=$R$24)*('Match Log'!$A$4:$A$1510&lt;=$J89)),'Match Log'!$N$4:$N$1510),NA()))</f>
        <v>966.25151982188697</v>
      </c>
      <c r="S89">
        <f>IF($J89&gt;MAX('Match Log'!$A$4:$A$1510),NA(),IFERROR(LOOKUP(2,1/(('Match Log'!$D$4:$D$1510=$S$24)*('Match Log'!$A$4:$A$1510&lt;=$J89)),'Match Log'!$N$4:$N$1510),NA()))</f>
        <v>1092.3924024021815</v>
      </c>
      <c r="T89">
        <f>IF($J89&gt;MAX('Match Log'!$A$4:$A$1510),NA(),IFERROR(LOOKUP(2,1/(('Match Log'!$D$4:$D$1510=$T$24)*('Match Log'!$A$4:$A$1510&lt;=$J89)),'Match Log'!$N$4:$N$1510),NA()))</f>
        <v>906.66712487098789</v>
      </c>
      <c r="U89">
        <f>IF($J89&gt;MAX('Match Log'!$A$4:$A$1510),NA(),IFERROR(LOOKUP(2,1/(('Match Log'!$D$4:$D$1510=$U$24)*('Match Log'!$A$4:$A$1510&lt;=$J89)),'Match Log'!$N$4:$N$1510),NA()))</f>
        <v>968.22270638218777</v>
      </c>
      <c r="V89" t="e">
        <f>IF($J89&gt;MAX('Match Log'!$A$4:$A$1510),NA(),IFERROR(LOOKUP(2,1/(('Match Log'!$D$4:$D$1510=$V$24)*('Match Log'!$A$4:$A$1510&lt;=$J89)),'Match Log'!$N$4:$N$1510),NA()))</f>
        <v>#N/A</v>
      </c>
      <c r="W89" t="e">
        <f>IF($J89&gt;MAX('Match Log'!$A$4:$A$1510),NA(),IFERROR(LOOKUP(2,1/(('Match Log'!$D$4:$D$1510=$W$24)*('Match Log'!$A$4:$A$1510&lt;=$J89)),'Match Log'!$N$4:$N$1510),NA()))</f>
        <v>#N/A</v>
      </c>
      <c r="X89" t="e">
        <f>IF($J89&gt;MAX('Match Log'!$A$4:$A$1510),NA(),IFERROR(LOOKUP(2,1/(('Match Log'!$D$4:$D$1510=$X$24)*('Match Log'!$A$4:$A$1510&lt;=$J89)),'Match Log'!$N$4:$N$1510),NA()))</f>
        <v>#N/A</v>
      </c>
      <c r="Y89" t="str">
        <f t="shared" ref="Y89:Y152" ca="1" si="22">IF(AND($B89&lt;&gt;"",$B89&gt;=$B$5,$I89&lt;&gt;""),$I89,"")</f>
        <v/>
      </c>
    </row>
    <row r="90" spans="1:25" ht="15" customHeight="1" x14ac:dyDescent="0.2">
      <c r="A90">
        <v>66</v>
      </c>
      <c r="B90" s="138">
        <f>IFERROR(INDEX('Match Log'!$B$4:$B$1510,MATCH($A90,'Match Log'!$A$4:$A$1510,0)),"")</f>
        <v>46188</v>
      </c>
      <c r="C90" t="str">
        <f>IFERROR(INDEX('Match Log'!$C$4:$C$1510,MATCH($A90,'Match Log'!$A$4:$A$1510,0)),"")</f>
        <v>ShuffleBoard</v>
      </c>
      <c r="D90" t="str">
        <f t="array" ref="D90">IFERROR(_xlfn.TEXTJOIN(" + ",TRUE(),IF(('Match Log'!$A$4:$A$1510=$A90)*('Match Log'!$E$4:$E$1510="Win"),'Match Log'!$D$4:$D$1510,"")),IFERROR(LOOKUP(2,1/(('Match Log'!$A$4:$A$1510=$A90)*('Match Log'!$E$4:$E$1510="Win")),'Match Log'!$D$4:$D$1510),""))</f>
        <v>Simon</v>
      </c>
      <c r="E90" s="139">
        <f>IFERROR(INDEX('Match Log'!$F$4:$F$1510,MATCH($A90,'Match Log'!$A$4:$A$1510,0)),"")</f>
        <v>2</v>
      </c>
      <c r="F90">
        <f>IFERROR(SUMIFS('Match Log'!$I$4:$I$1510,'Match Log'!$A$4:$A$1510,$A90,'Match Log'!$E$4:$E$1510,"Win"),"")</f>
        <v>0.65217391304347827</v>
      </c>
      <c r="G90">
        <f t="shared" si="20"/>
        <v>-0.30434782608695654</v>
      </c>
      <c r="H90" t="str">
        <f t="array" ref="H90">IFERROR(IF(COUNTIFS('Match Log'!$A$4:$A$1510,$A90,'Match Log'!$E$4:$E$1510,"Win")&gt;1,_xlfn.TEXTJOIN(" + ",TRUE(),IF(('Match Log'!$A$4:$A$1510=$A90)*('Match Log'!$E$4:$E$1510="Loss"),'Match Log'!$D$4:$D$1510,"")),IF($E90=2,LOOKUP(2,1/(('Match Log'!$A$4:$A$1510=$A90)*('Match Log'!$E$4:$E$1510="Loss")),'Match Log'!$D$4:$D$1510),"the field")),"")</f>
        <v>Oscar</v>
      </c>
      <c r="I90">
        <f t="shared" si="21"/>
        <v>-0.30441382608695655</v>
      </c>
      <c r="J90">
        <v>66</v>
      </c>
      <c r="K90">
        <f>IF($J90&gt;MAX('Match Log'!$A$4:$A$1510),NA(),IFERROR(LOOKUP(2,1/(('Match Log'!$D$4:$D$1510=$K$24)*('Match Log'!$A$4:$A$1510&lt;=$J90)),'Match Log'!$N$4:$N$1510),NA()))</f>
        <v>1026.3367769492982</v>
      </c>
      <c r="L90">
        <f>IF($J90&gt;MAX('Match Log'!$A$4:$A$1510),NA(),IFERROR(LOOKUP(2,1/(('Match Log'!$D$4:$D$1510=$L$24)*('Match Log'!$A$4:$A$1510&lt;=$J90)),'Match Log'!$N$4:$N$1510),NA()))</f>
        <v>994.77981233243941</v>
      </c>
      <c r="M90">
        <f>IF($J90&gt;MAX('Match Log'!$A$4:$A$1510),NA(),IFERROR(LOOKUP(2,1/(('Match Log'!$D$4:$D$1510=$M$24)*('Match Log'!$A$4:$A$1510&lt;=$J90)),'Match Log'!$N$4:$N$1510),NA()))</f>
        <v>1016.7841648959289</v>
      </c>
      <c r="N90">
        <f>IF($J90&gt;MAX('Match Log'!$A$4:$A$1510),NA(),IFERROR(LOOKUP(2,1/(('Match Log'!$D$4:$D$1510=$N$24)*('Match Log'!$A$4:$A$1510&lt;=$J90)),'Match Log'!$N$4:$N$1510),NA()))</f>
        <v>951.28701496177575</v>
      </c>
      <c r="O90">
        <f>IF($J90&gt;MAX('Match Log'!$A$4:$A$1510),NA(),IFERROR(LOOKUP(2,1/(('Match Log'!$D$4:$D$1510=$O$24)*('Match Log'!$A$4:$A$1510&lt;=$J90)),'Match Log'!$N$4:$N$1510),NA()))</f>
        <v>1122.1586725189438</v>
      </c>
      <c r="P90">
        <f>IF($J90&gt;MAX('Match Log'!$A$4:$A$1510),NA(),IFERROR(LOOKUP(2,1/(('Match Log'!$D$4:$D$1510=$P$24)*('Match Log'!$A$4:$A$1510&lt;=$J90)),'Match Log'!$N$4:$N$1510),NA()))</f>
        <v>988.87195028457745</v>
      </c>
      <c r="Q90">
        <f>IF($J90&gt;MAX('Match Log'!$A$4:$A$1510),NA(),IFERROR(LOOKUP(2,1/(('Match Log'!$D$4:$D$1510=$Q$24)*('Match Log'!$A$4:$A$1510&lt;=$J90)),'Match Log'!$N$4:$N$1510),NA()))</f>
        <v>1065.2598891656514</v>
      </c>
      <c r="R90">
        <f>IF($J90&gt;MAX('Match Log'!$A$4:$A$1510),NA(),IFERROR(LOOKUP(2,1/(('Match Log'!$D$4:$D$1510=$R$24)*('Match Log'!$A$4:$A$1510&lt;=$J90)),'Match Log'!$N$4:$N$1510),NA()))</f>
        <v>966.25151982188697</v>
      </c>
      <c r="S90">
        <f>IF($J90&gt;MAX('Match Log'!$A$4:$A$1510),NA(),IFERROR(LOOKUP(2,1/(('Match Log'!$D$4:$D$1510=$S$24)*('Match Log'!$A$4:$A$1510&lt;=$J90)),'Match Log'!$N$4:$N$1510),NA()))</f>
        <v>1092.3924024021815</v>
      </c>
      <c r="T90">
        <f>IF($J90&gt;MAX('Match Log'!$A$4:$A$1510),NA(),IFERROR(LOOKUP(2,1/(('Match Log'!$D$4:$D$1510=$T$24)*('Match Log'!$A$4:$A$1510&lt;=$J90)),'Match Log'!$N$4:$N$1510),NA()))</f>
        <v>906.66712487098789</v>
      </c>
      <c r="U90">
        <f>IF($J90&gt;MAX('Match Log'!$A$4:$A$1510),NA(),IFERROR(LOOKUP(2,1/(('Match Log'!$D$4:$D$1510=$U$24)*('Match Log'!$A$4:$A$1510&lt;=$J90)),'Match Log'!$N$4:$N$1510),NA()))</f>
        <v>951.21067179632792</v>
      </c>
      <c r="V90" t="e">
        <f>IF($J90&gt;MAX('Match Log'!$A$4:$A$1510),NA(),IFERROR(LOOKUP(2,1/(('Match Log'!$D$4:$D$1510=$V$24)*('Match Log'!$A$4:$A$1510&lt;=$J90)),'Match Log'!$N$4:$N$1510),NA()))</f>
        <v>#N/A</v>
      </c>
      <c r="W90" t="e">
        <f>IF($J90&gt;MAX('Match Log'!$A$4:$A$1510),NA(),IFERROR(LOOKUP(2,1/(('Match Log'!$D$4:$D$1510=$W$24)*('Match Log'!$A$4:$A$1510&lt;=$J90)),'Match Log'!$N$4:$N$1510),NA()))</f>
        <v>#N/A</v>
      </c>
      <c r="X90" t="e">
        <f>IF($J90&gt;MAX('Match Log'!$A$4:$A$1510),NA(),IFERROR(LOOKUP(2,1/(('Match Log'!$D$4:$D$1510=$X$24)*('Match Log'!$A$4:$A$1510&lt;=$J90)),'Match Log'!$N$4:$N$1510),NA()))</f>
        <v>#N/A</v>
      </c>
      <c r="Y90" t="str">
        <f t="shared" ca="1" si="22"/>
        <v/>
      </c>
    </row>
    <row r="91" spans="1:25" ht="15" customHeight="1" x14ac:dyDescent="0.2">
      <c r="A91">
        <v>67</v>
      </c>
      <c r="B91" s="138">
        <f>IFERROR(INDEX('Match Log'!$B$4:$B$1510,MATCH($A91,'Match Log'!$A$4:$A$1510,0)),"")</f>
        <v>46188</v>
      </c>
      <c r="C91" t="str">
        <f>IFERROR(INDEX('Match Log'!$C$4:$C$1510,MATCH($A91,'Match Log'!$A$4:$A$1510,0)),"")</f>
        <v>ShuffleBoard</v>
      </c>
      <c r="D91" t="str">
        <f t="array" ref="D91">IFERROR(_xlfn.TEXTJOIN(" + ",TRUE(),IF(('Match Log'!$A$4:$A$1510=$A91)*('Match Log'!$E$4:$E$1510="Win"),'Match Log'!$D$4:$D$1510,"")),IFERROR(LOOKUP(2,1/(('Match Log'!$A$4:$A$1510=$A91)*('Match Log'!$E$4:$E$1510="Win")),'Match Log'!$D$4:$D$1510),""))</f>
        <v>Cody</v>
      </c>
      <c r="E91" s="139">
        <f>IFERROR(INDEX('Match Log'!$F$4:$F$1510,MATCH($A91,'Match Log'!$A$4:$A$1510,0)),"")</f>
        <v>2</v>
      </c>
      <c r="F91">
        <f>IFERROR(SUMIFS('Match Log'!$I$4:$I$1510,'Match Log'!$A$4:$A$1510,$A91,'Match Log'!$E$4:$E$1510,"Win"),"")</f>
        <v>0.54545454545454541</v>
      </c>
      <c r="G91">
        <f t="shared" si="20"/>
        <v>-9.0909090909090828E-2</v>
      </c>
      <c r="H91" t="str">
        <f t="array" ref="H91">IFERROR(IF(COUNTIFS('Match Log'!$A$4:$A$1510,$A91,'Match Log'!$E$4:$E$1510,"Win")&gt;1,_xlfn.TEXTJOIN(" + ",TRUE(),IF(('Match Log'!$A$4:$A$1510=$A91)*('Match Log'!$E$4:$E$1510="Loss"),'Match Log'!$D$4:$D$1510,"")),IF($E91=2,LOOKUP(2,1/(('Match Log'!$A$4:$A$1510=$A91)*('Match Log'!$E$4:$E$1510="Loss")),'Match Log'!$D$4:$D$1510),"the field")),"")</f>
        <v>Oscar</v>
      </c>
      <c r="I91">
        <f t="shared" si="21"/>
        <v>-9.0976090909090826E-2</v>
      </c>
      <c r="J91">
        <v>67</v>
      </c>
      <c r="K91">
        <f>IF($J91&gt;MAX('Match Log'!$A$4:$A$1510),NA(),IFERROR(LOOKUP(2,1/(('Match Log'!$D$4:$D$1510=$K$24)*('Match Log'!$A$4:$A$1510&lt;=$J91)),'Match Log'!$N$4:$N$1510),NA()))</f>
        <v>1026.3367769492982</v>
      </c>
      <c r="L91">
        <f>IF($J91&gt;MAX('Match Log'!$A$4:$A$1510),NA(),IFERROR(LOOKUP(2,1/(('Match Log'!$D$4:$D$1510=$L$24)*('Match Log'!$A$4:$A$1510&lt;=$J91)),'Match Log'!$N$4:$N$1510),NA()))</f>
        <v>994.77981233243941</v>
      </c>
      <c r="M91">
        <f>IF($J91&gt;MAX('Match Log'!$A$4:$A$1510),NA(),IFERROR(LOOKUP(2,1/(('Match Log'!$D$4:$D$1510=$M$24)*('Match Log'!$A$4:$A$1510&lt;=$J91)),'Match Log'!$N$4:$N$1510),NA()))</f>
        <v>1016.7841648959289</v>
      </c>
      <c r="N91">
        <f>IF($J91&gt;MAX('Match Log'!$A$4:$A$1510),NA(),IFERROR(LOOKUP(2,1/(('Match Log'!$D$4:$D$1510=$N$24)*('Match Log'!$A$4:$A$1510&lt;=$J91)),'Match Log'!$N$4:$N$1510),NA()))</f>
        <v>951.28701496177575</v>
      </c>
      <c r="O91">
        <f>IF($J91&gt;MAX('Match Log'!$A$4:$A$1510),NA(),IFERROR(LOOKUP(2,1/(('Match Log'!$D$4:$D$1510=$O$24)*('Match Log'!$A$4:$A$1510&lt;=$J91)),'Match Log'!$N$4:$N$1510),NA()))</f>
        <v>1122.1586725189438</v>
      </c>
      <c r="P91">
        <f>IF($J91&gt;MAX('Match Log'!$A$4:$A$1510),NA(),IFERROR(LOOKUP(2,1/(('Match Log'!$D$4:$D$1510=$P$24)*('Match Log'!$A$4:$A$1510&lt;=$J91)),'Match Log'!$N$4:$N$1510),NA()))</f>
        <v>988.87195028457745</v>
      </c>
      <c r="Q91">
        <f>IF($J91&gt;MAX('Match Log'!$A$4:$A$1510),NA(),IFERROR(LOOKUP(2,1/(('Match Log'!$D$4:$D$1510=$Q$24)*('Match Log'!$A$4:$A$1510&lt;=$J91)),'Match Log'!$N$4:$N$1510),NA()))</f>
        <v>1065.2598891656514</v>
      </c>
      <c r="R91">
        <f>IF($J91&gt;MAX('Match Log'!$A$4:$A$1510),NA(),IFERROR(LOOKUP(2,1/(('Match Log'!$D$4:$D$1510=$R$24)*('Match Log'!$A$4:$A$1510&lt;=$J91)),'Match Log'!$N$4:$N$1510),NA()))</f>
        <v>966.25151982188697</v>
      </c>
      <c r="S91">
        <f>IF($J91&gt;MAX('Match Log'!$A$4:$A$1510),NA(),IFERROR(LOOKUP(2,1/(('Match Log'!$D$4:$D$1510=$S$24)*('Match Log'!$A$4:$A$1510&lt;=$J91)),'Match Log'!$N$4:$N$1510),NA()))</f>
        <v>1092.3924024021815</v>
      </c>
      <c r="T91">
        <f>IF($J91&gt;MAX('Match Log'!$A$4:$A$1510),NA(),IFERROR(LOOKUP(2,1/(('Match Log'!$D$4:$D$1510=$T$24)*('Match Log'!$A$4:$A$1510&lt;=$J91)),'Match Log'!$N$4:$N$1510),NA()))</f>
        <v>929.17032006932709</v>
      </c>
      <c r="U91">
        <f>IF($J91&gt;MAX('Match Log'!$A$4:$A$1510),NA(),IFERROR(LOOKUP(2,1/(('Match Log'!$D$4:$D$1510=$U$24)*('Match Log'!$A$4:$A$1510&lt;=$J91)),'Match Log'!$N$4:$N$1510),NA()))</f>
        <v>928.70747659798872</v>
      </c>
      <c r="V91" t="e">
        <f>IF($J91&gt;MAX('Match Log'!$A$4:$A$1510),NA(),IFERROR(LOOKUP(2,1/(('Match Log'!$D$4:$D$1510=$V$24)*('Match Log'!$A$4:$A$1510&lt;=$J91)),'Match Log'!$N$4:$N$1510),NA()))</f>
        <v>#N/A</v>
      </c>
      <c r="W91" t="e">
        <f>IF($J91&gt;MAX('Match Log'!$A$4:$A$1510),NA(),IFERROR(LOOKUP(2,1/(('Match Log'!$D$4:$D$1510=$W$24)*('Match Log'!$A$4:$A$1510&lt;=$J91)),'Match Log'!$N$4:$N$1510),NA()))</f>
        <v>#N/A</v>
      </c>
      <c r="X91" t="e">
        <f>IF($J91&gt;MAX('Match Log'!$A$4:$A$1510),NA(),IFERROR(LOOKUP(2,1/(('Match Log'!$D$4:$D$1510=$X$24)*('Match Log'!$A$4:$A$1510&lt;=$J91)),'Match Log'!$N$4:$N$1510),NA()))</f>
        <v>#N/A</v>
      </c>
      <c r="Y91" t="str">
        <f t="shared" ca="1" si="22"/>
        <v/>
      </c>
    </row>
    <row r="92" spans="1:25" ht="15" customHeight="1" x14ac:dyDescent="0.2">
      <c r="A92">
        <v>68</v>
      </c>
      <c r="B92" s="138">
        <f>IFERROR(INDEX('Match Log'!$B$4:$B$1510,MATCH($A92,'Match Log'!$A$4:$A$1510,0)),"")</f>
        <v>46188</v>
      </c>
      <c r="C92" t="str">
        <f>IFERROR(INDEX('Match Log'!$C$4:$C$1510,MATCH($A92,'Match Log'!$A$4:$A$1510,0)),"")</f>
        <v>ShuffleBoard</v>
      </c>
      <c r="D92" t="str">
        <f t="array" ref="D92">IFERROR(_xlfn.TEXTJOIN(" + ",TRUE(),IF(('Match Log'!$A$4:$A$1510=$A92)*('Match Log'!$E$4:$E$1510="Win"),'Match Log'!$D$4:$D$1510,"")),IFERROR(LOOKUP(2,1/(('Match Log'!$A$4:$A$1510=$A92)*('Match Log'!$E$4:$E$1510="Win")),'Match Log'!$D$4:$D$1510),""))</f>
        <v>Simon</v>
      </c>
      <c r="E92" s="139">
        <f>IFERROR(INDEX('Match Log'!$F$4:$F$1510,MATCH($A92,'Match Log'!$A$4:$A$1510,0)),"")</f>
        <v>2</v>
      </c>
      <c r="F92">
        <f>IFERROR(SUMIFS('Match Log'!$I$4:$I$1510,'Match Log'!$A$4:$A$1510,$A92,'Match Log'!$E$4:$E$1510,"Win"),"")</f>
        <v>0.61538461538461542</v>
      </c>
      <c r="G92">
        <f t="shared" si="20"/>
        <v>-0.23076923076923084</v>
      </c>
      <c r="H92" t="str">
        <f t="array" ref="H92">IFERROR(IF(COUNTIFS('Match Log'!$A$4:$A$1510,$A92,'Match Log'!$E$4:$E$1510,"Win")&gt;1,_xlfn.TEXTJOIN(" + ",TRUE(),IF(('Match Log'!$A$4:$A$1510=$A92)*('Match Log'!$E$4:$E$1510="Loss"),'Match Log'!$D$4:$D$1510,"")),IF($E92=2,LOOKUP(2,1/(('Match Log'!$A$4:$A$1510=$A92)*('Match Log'!$E$4:$E$1510="Loss")),'Match Log'!$D$4:$D$1510),"the field")),"")</f>
        <v>Cody</v>
      </c>
      <c r="I92">
        <f t="shared" si="21"/>
        <v>-0.23083723076923085</v>
      </c>
      <c r="J92">
        <v>68</v>
      </c>
      <c r="K92">
        <f>IF($J92&gt;MAX('Match Log'!$A$4:$A$1510),NA(),IFERROR(LOOKUP(2,1/(('Match Log'!$D$4:$D$1510=$K$24)*('Match Log'!$A$4:$A$1510&lt;=$J92)),'Match Log'!$N$4:$N$1510),NA()))</f>
        <v>1026.3367769492982</v>
      </c>
      <c r="L92">
        <f>IF($J92&gt;MAX('Match Log'!$A$4:$A$1510),NA(),IFERROR(LOOKUP(2,1/(('Match Log'!$D$4:$D$1510=$L$24)*('Match Log'!$A$4:$A$1510&lt;=$J92)),'Match Log'!$N$4:$N$1510),NA()))</f>
        <v>994.77981233243941</v>
      </c>
      <c r="M92">
        <f>IF($J92&gt;MAX('Match Log'!$A$4:$A$1510),NA(),IFERROR(LOOKUP(2,1/(('Match Log'!$D$4:$D$1510=$M$24)*('Match Log'!$A$4:$A$1510&lt;=$J92)),'Match Log'!$N$4:$N$1510),NA()))</f>
        <v>1016.7841648959289</v>
      </c>
      <c r="N92">
        <f>IF($J92&gt;MAX('Match Log'!$A$4:$A$1510),NA(),IFERROR(LOOKUP(2,1/(('Match Log'!$D$4:$D$1510=$N$24)*('Match Log'!$A$4:$A$1510&lt;=$J92)),'Match Log'!$N$4:$N$1510),NA()))</f>
        <v>951.28701496177575</v>
      </c>
      <c r="O92">
        <f>IF($J92&gt;MAX('Match Log'!$A$4:$A$1510),NA(),IFERROR(LOOKUP(2,1/(('Match Log'!$D$4:$D$1510=$O$24)*('Match Log'!$A$4:$A$1510&lt;=$J92)),'Match Log'!$N$4:$N$1510),NA()))</f>
        <v>1122.1586725189438</v>
      </c>
      <c r="P92">
        <f>IF($J92&gt;MAX('Match Log'!$A$4:$A$1510),NA(),IFERROR(LOOKUP(2,1/(('Match Log'!$D$4:$D$1510=$P$24)*('Match Log'!$A$4:$A$1510&lt;=$J92)),'Match Log'!$N$4:$N$1510),NA()))</f>
        <v>988.87195028457745</v>
      </c>
      <c r="Q92">
        <f>IF($J92&gt;MAX('Match Log'!$A$4:$A$1510),NA(),IFERROR(LOOKUP(2,1/(('Match Log'!$D$4:$D$1510=$Q$24)*('Match Log'!$A$4:$A$1510&lt;=$J92)),'Match Log'!$N$4:$N$1510),NA()))</f>
        <v>1081.5453319667185</v>
      </c>
      <c r="R92">
        <f>IF($J92&gt;MAX('Match Log'!$A$4:$A$1510),NA(),IFERROR(LOOKUP(2,1/(('Match Log'!$D$4:$D$1510=$R$24)*('Match Log'!$A$4:$A$1510&lt;=$J92)),'Match Log'!$N$4:$N$1510),NA()))</f>
        <v>966.25151982188697</v>
      </c>
      <c r="S92">
        <f>IF($J92&gt;MAX('Match Log'!$A$4:$A$1510),NA(),IFERROR(LOOKUP(2,1/(('Match Log'!$D$4:$D$1510=$S$24)*('Match Log'!$A$4:$A$1510&lt;=$J92)),'Match Log'!$N$4:$N$1510),NA()))</f>
        <v>1092.3924024021815</v>
      </c>
      <c r="T92">
        <f>IF($J92&gt;MAX('Match Log'!$A$4:$A$1510),NA(),IFERROR(LOOKUP(2,1/(('Match Log'!$D$4:$D$1510=$T$24)*('Match Log'!$A$4:$A$1510&lt;=$J92)),'Match Log'!$N$4:$N$1510),NA()))</f>
        <v>912.88487726825997</v>
      </c>
      <c r="U92">
        <f>IF($J92&gt;MAX('Match Log'!$A$4:$A$1510),NA(),IFERROR(LOOKUP(2,1/(('Match Log'!$D$4:$D$1510=$U$24)*('Match Log'!$A$4:$A$1510&lt;=$J92)),'Match Log'!$N$4:$N$1510),NA()))</f>
        <v>928.70747659798872</v>
      </c>
      <c r="V92" t="e">
        <f>IF($J92&gt;MAX('Match Log'!$A$4:$A$1510),NA(),IFERROR(LOOKUP(2,1/(('Match Log'!$D$4:$D$1510=$V$24)*('Match Log'!$A$4:$A$1510&lt;=$J92)),'Match Log'!$N$4:$N$1510),NA()))</f>
        <v>#N/A</v>
      </c>
      <c r="W92" t="e">
        <f>IF($J92&gt;MAX('Match Log'!$A$4:$A$1510),NA(),IFERROR(LOOKUP(2,1/(('Match Log'!$D$4:$D$1510=$W$24)*('Match Log'!$A$4:$A$1510&lt;=$J92)),'Match Log'!$N$4:$N$1510),NA()))</f>
        <v>#N/A</v>
      </c>
      <c r="X92" t="e">
        <f>IF($J92&gt;MAX('Match Log'!$A$4:$A$1510),NA(),IFERROR(LOOKUP(2,1/(('Match Log'!$D$4:$D$1510=$X$24)*('Match Log'!$A$4:$A$1510&lt;=$J92)),'Match Log'!$N$4:$N$1510),NA()))</f>
        <v>#N/A</v>
      </c>
      <c r="Y92" t="str">
        <f t="shared" ca="1" si="22"/>
        <v/>
      </c>
    </row>
    <row r="93" spans="1:25" ht="15" customHeight="1" x14ac:dyDescent="0.2">
      <c r="A93">
        <v>69</v>
      </c>
      <c r="B93" s="138">
        <f>IFERROR(INDEX('Match Log'!$B$4:$B$1510,MATCH($A93,'Match Log'!$A$4:$A$1510,0)),"")</f>
        <v>46188</v>
      </c>
      <c r="C93" t="str">
        <f>IFERROR(INDEX('Match Log'!$C$4:$C$1510,MATCH($A93,'Match Log'!$A$4:$A$1510,0)),"")</f>
        <v>ShuffleBoard</v>
      </c>
      <c r="D93" t="str">
        <f t="array" ref="D93">IFERROR(_xlfn.TEXTJOIN(" + ",TRUE(),IF(('Match Log'!$A$4:$A$1510=$A93)*('Match Log'!$E$4:$E$1510="Win"),'Match Log'!$D$4:$D$1510,"")),IFERROR(LOOKUP(2,1/(('Match Log'!$A$4:$A$1510=$A93)*('Match Log'!$E$4:$E$1510="Win")),'Match Log'!$D$4:$D$1510),""))</f>
        <v>Shawn + Josh</v>
      </c>
      <c r="E93" s="139">
        <f>IFERROR(INDEX('Match Log'!$F$4:$F$1510,MATCH($A93,'Match Log'!$A$4:$A$1510,0)),"")</f>
        <v>4</v>
      </c>
      <c r="F93">
        <f>IFERROR(SUMIFS('Match Log'!$I$4:$I$1510,'Match Log'!$A$4:$A$1510,$A93,'Match Log'!$E$4:$E$1510,"Win"),"")</f>
        <v>0.43478260869565216</v>
      </c>
      <c r="G93">
        <f t="shared" si="20"/>
        <v>-0.73913043478260865</v>
      </c>
      <c r="H93" t="str">
        <f t="array" ref="H93">IFERROR(IF(COUNTIFS('Match Log'!$A$4:$A$1510,$A93,'Match Log'!$E$4:$E$1510,"Win")&gt;1,_xlfn.TEXTJOIN(" + ",TRUE(),IF(('Match Log'!$A$4:$A$1510=$A93)*('Match Log'!$E$4:$E$1510="Loss"),'Match Log'!$D$4:$D$1510,"")),IF($E93=2,LOOKUP(2,1/(('Match Log'!$A$4:$A$1510=$A93)*('Match Log'!$E$4:$E$1510="Loss")),'Match Log'!$D$4:$D$1510),"the field")),"")</f>
        <v>Dean B + Daniel (Ferret)</v>
      </c>
      <c r="I93">
        <f t="shared" si="21"/>
        <v>-0.73919943478260863</v>
      </c>
      <c r="J93">
        <v>69</v>
      </c>
      <c r="K93">
        <f>IF($J93&gt;MAX('Match Log'!$A$4:$A$1510),NA(),IFERROR(LOOKUP(2,1/(('Match Log'!$D$4:$D$1510=$K$24)*('Match Log'!$A$4:$A$1510&lt;=$J93)),'Match Log'!$N$4:$N$1510),NA()))</f>
        <v>1026.3367769492982</v>
      </c>
      <c r="L93">
        <f>IF($J93&gt;MAX('Match Log'!$A$4:$A$1510),NA(),IFERROR(LOOKUP(2,1/(('Match Log'!$D$4:$D$1510=$L$24)*('Match Log'!$A$4:$A$1510&lt;=$J93)),'Match Log'!$N$4:$N$1510),NA()))</f>
        <v>994.77981233243941</v>
      </c>
      <c r="M93">
        <f>IF($J93&gt;MAX('Match Log'!$A$4:$A$1510),NA(),IFERROR(LOOKUP(2,1/(('Match Log'!$D$4:$D$1510=$M$24)*('Match Log'!$A$4:$A$1510&lt;=$J93)),'Match Log'!$N$4:$N$1510),NA()))</f>
        <v>1016.7841648959289</v>
      </c>
      <c r="N93">
        <f>IF($J93&gt;MAX('Match Log'!$A$4:$A$1510),NA(),IFERROR(LOOKUP(2,1/(('Match Log'!$D$4:$D$1510=$N$24)*('Match Log'!$A$4:$A$1510&lt;=$J93)),'Match Log'!$N$4:$N$1510),NA()))</f>
        <v>951.28701496177575</v>
      </c>
      <c r="O93">
        <f>IF($J93&gt;MAX('Match Log'!$A$4:$A$1510),NA(),IFERROR(LOOKUP(2,1/(('Match Log'!$D$4:$D$1510=$O$24)*('Match Log'!$A$4:$A$1510&lt;=$J93)),'Match Log'!$N$4:$N$1510),NA()))</f>
        <v>1141.0558571383285</v>
      </c>
      <c r="P93">
        <f>IF($J93&gt;MAX('Match Log'!$A$4:$A$1510),NA(),IFERROR(LOOKUP(2,1/(('Match Log'!$D$4:$D$1510=$P$24)*('Match Log'!$A$4:$A$1510&lt;=$J93)),'Match Log'!$N$4:$N$1510),NA()))</f>
        <v>1006.7256566430926</v>
      </c>
      <c r="Q93">
        <f>IF($J93&gt;MAX('Match Log'!$A$4:$A$1510),NA(),IFERROR(LOOKUP(2,1/(('Match Log'!$D$4:$D$1510=$Q$24)*('Match Log'!$A$4:$A$1510&lt;=$J93)),'Match Log'!$N$4:$N$1510),NA()))</f>
        <v>1081.5453319667185</v>
      </c>
      <c r="R93">
        <f>IF($J93&gt;MAX('Match Log'!$A$4:$A$1510),NA(),IFERROR(LOOKUP(2,1/(('Match Log'!$D$4:$D$1510=$R$24)*('Match Log'!$A$4:$A$1510&lt;=$J93)),'Match Log'!$N$4:$N$1510),NA()))</f>
        <v>963.98366926257279</v>
      </c>
      <c r="S93">
        <f>IF($J93&gt;MAX('Match Log'!$A$4:$A$1510),NA(),IFERROR(LOOKUP(2,1/(('Match Log'!$D$4:$D$1510=$S$24)*('Match Log'!$A$4:$A$1510&lt;=$J93)),'Match Log'!$N$4:$N$1510),NA()))</f>
        <v>1085.9093619835958</v>
      </c>
      <c r="T93">
        <f>IF($J93&gt;MAX('Match Log'!$A$4:$A$1510),NA(),IFERROR(LOOKUP(2,1/(('Match Log'!$D$4:$D$1510=$T$24)*('Match Log'!$A$4:$A$1510&lt;=$J93)),'Match Log'!$N$4:$N$1510),NA()))</f>
        <v>912.88487726825997</v>
      </c>
      <c r="U93">
        <f>IF($J93&gt;MAX('Match Log'!$A$4:$A$1510),NA(),IFERROR(LOOKUP(2,1/(('Match Log'!$D$4:$D$1510=$U$24)*('Match Log'!$A$4:$A$1510&lt;=$J93)),'Match Log'!$N$4:$N$1510),NA()))</f>
        <v>928.70747659798872</v>
      </c>
      <c r="V93" t="e">
        <f>IF($J93&gt;MAX('Match Log'!$A$4:$A$1510),NA(),IFERROR(LOOKUP(2,1/(('Match Log'!$D$4:$D$1510=$V$24)*('Match Log'!$A$4:$A$1510&lt;=$J93)),'Match Log'!$N$4:$N$1510),NA()))</f>
        <v>#N/A</v>
      </c>
      <c r="W93" t="e">
        <f>IF($J93&gt;MAX('Match Log'!$A$4:$A$1510),NA(),IFERROR(LOOKUP(2,1/(('Match Log'!$D$4:$D$1510=$W$24)*('Match Log'!$A$4:$A$1510&lt;=$J93)),'Match Log'!$N$4:$N$1510),NA()))</f>
        <v>#N/A</v>
      </c>
      <c r="X93" t="e">
        <f>IF($J93&gt;MAX('Match Log'!$A$4:$A$1510),NA(),IFERROR(LOOKUP(2,1/(('Match Log'!$D$4:$D$1510=$X$24)*('Match Log'!$A$4:$A$1510&lt;=$J93)),'Match Log'!$N$4:$N$1510),NA()))</f>
        <v>#N/A</v>
      </c>
      <c r="Y93" t="str">
        <f t="shared" ca="1" si="22"/>
        <v/>
      </c>
    </row>
    <row r="94" spans="1:25" ht="15" customHeight="1" x14ac:dyDescent="0.2">
      <c r="A94">
        <v>70</v>
      </c>
      <c r="B94" s="138">
        <f>IFERROR(INDEX('Match Log'!$B$4:$B$1510,MATCH($A94,'Match Log'!$A$4:$A$1510,0)),"")</f>
        <v>46188</v>
      </c>
      <c r="C94" t="str">
        <f>IFERROR(INDEX('Match Log'!$C$4:$C$1510,MATCH($A94,'Match Log'!$A$4:$A$1510,0)),"")</f>
        <v>ShuffleBoard</v>
      </c>
      <c r="D94" t="str">
        <f t="array" ref="D94">IFERROR(_xlfn.TEXTJOIN(" + ",TRUE(),IF(('Match Log'!$A$4:$A$1510=$A94)*('Match Log'!$E$4:$E$1510="Win"),'Match Log'!$D$4:$D$1510,"")),IFERROR(LOOKUP(2,1/(('Match Log'!$A$4:$A$1510=$A94)*('Match Log'!$E$4:$E$1510="Win")),'Match Log'!$D$4:$D$1510),""))</f>
        <v>Oscar + Simon</v>
      </c>
      <c r="E94" s="139">
        <f>IFERROR(INDEX('Match Log'!$F$4:$F$1510,MATCH($A94,'Match Log'!$A$4:$A$1510,0)),"")</f>
        <v>4</v>
      </c>
      <c r="F94">
        <f>IFERROR(SUMIFS('Match Log'!$I$4:$I$1510,'Match Log'!$A$4:$A$1510,$A94,'Match Log'!$E$4:$E$1510,"Win"),"")</f>
        <v>0.50429184549356221</v>
      </c>
      <c r="G94">
        <f t="shared" si="20"/>
        <v>-1.0171673819742488</v>
      </c>
      <c r="H94" t="str">
        <f t="array" ref="H94">IFERROR(IF(COUNTIFS('Match Log'!$A$4:$A$1510,$A94,'Match Log'!$E$4:$E$1510,"Win")&gt;1,_xlfn.TEXTJOIN(" + ",TRUE(),IF(('Match Log'!$A$4:$A$1510=$A94)*('Match Log'!$E$4:$E$1510="Loss"),'Match Log'!$D$4:$D$1510,"")),IF($E94=2,LOOKUP(2,1/(('Match Log'!$A$4:$A$1510=$A94)*('Match Log'!$E$4:$E$1510="Loss")),'Match Log'!$D$4:$D$1510),"the field")),"")</f>
        <v>Shawn + Josh</v>
      </c>
      <c r="I94">
        <f t="shared" si="21"/>
        <v>-1.0172373819742488</v>
      </c>
      <c r="J94">
        <v>70</v>
      </c>
      <c r="K94">
        <f>IF($J94&gt;MAX('Match Log'!$A$4:$A$1510),NA(),IFERROR(LOOKUP(2,1/(('Match Log'!$D$4:$D$1510=$K$24)*('Match Log'!$A$4:$A$1510&lt;=$J94)),'Match Log'!$N$4:$N$1510),NA()))</f>
        <v>1026.3367769492982</v>
      </c>
      <c r="L94">
        <f>IF($J94&gt;MAX('Match Log'!$A$4:$A$1510),NA(),IFERROR(LOOKUP(2,1/(('Match Log'!$D$4:$D$1510=$L$24)*('Match Log'!$A$4:$A$1510&lt;=$J94)),'Match Log'!$N$4:$N$1510),NA()))</f>
        <v>994.77981233243941</v>
      </c>
      <c r="M94">
        <f>IF($J94&gt;MAX('Match Log'!$A$4:$A$1510),NA(),IFERROR(LOOKUP(2,1/(('Match Log'!$D$4:$D$1510=$M$24)*('Match Log'!$A$4:$A$1510&lt;=$J94)),'Match Log'!$N$4:$N$1510),NA()))</f>
        <v>1016.7841648959289</v>
      </c>
      <c r="N94">
        <f>IF($J94&gt;MAX('Match Log'!$A$4:$A$1510),NA(),IFERROR(LOOKUP(2,1/(('Match Log'!$D$4:$D$1510=$N$24)*('Match Log'!$A$4:$A$1510&lt;=$J94)),'Match Log'!$N$4:$N$1510),NA()))</f>
        <v>951.28701496177575</v>
      </c>
      <c r="O94">
        <f>IF($J94&gt;MAX('Match Log'!$A$4:$A$1510),NA(),IFERROR(LOOKUP(2,1/(('Match Log'!$D$4:$D$1510=$O$24)*('Match Log'!$A$4:$A$1510&lt;=$J94)),'Match Log'!$N$4:$N$1510),NA()))</f>
        <v>1135.6490371824466</v>
      </c>
      <c r="P94">
        <f>IF($J94&gt;MAX('Match Log'!$A$4:$A$1510),NA(),IFERROR(LOOKUP(2,1/(('Match Log'!$D$4:$D$1510=$P$24)*('Match Log'!$A$4:$A$1510&lt;=$J94)),'Match Log'!$N$4:$N$1510),NA()))</f>
        <v>1002.1552248362885</v>
      </c>
      <c r="Q94">
        <f>IF($J94&gt;MAX('Match Log'!$A$4:$A$1510),NA(),IFERROR(LOOKUP(2,1/(('Match Log'!$D$4:$D$1510=$Q$24)*('Match Log'!$A$4:$A$1510&lt;=$J94)),'Match Log'!$N$4:$N$1510),NA()))</f>
        <v>1099.0532711527826</v>
      </c>
      <c r="R94">
        <f>IF($J94&gt;MAX('Match Log'!$A$4:$A$1510),NA(),IFERROR(LOOKUP(2,1/(('Match Log'!$D$4:$D$1510=$R$24)*('Match Log'!$A$4:$A$1510&lt;=$J94)),'Match Log'!$N$4:$N$1510),NA()))</f>
        <v>963.98366926257279</v>
      </c>
      <c r="S94">
        <f>IF($J94&gt;MAX('Match Log'!$A$4:$A$1510),NA(),IFERROR(LOOKUP(2,1/(('Match Log'!$D$4:$D$1510=$S$24)*('Match Log'!$A$4:$A$1510&lt;=$J94)),'Match Log'!$N$4:$N$1510),NA()))</f>
        <v>1085.9093619835958</v>
      </c>
      <c r="T94">
        <f>IF($J94&gt;MAX('Match Log'!$A$4:$A$1510),NA(),IFERROR(LOOKUP(2,1/(('Match Log'!$D$4:$D$1510=$T$24)*('Match Log'!$A$4:$A$1510&lt;=$J94)),'Match Log'!$N$4:$N$1510),NA()))</f>
        <v>912.88487726825997</v>
      </c>
      <c r="U94">
        <f>IF($J94&gt;MAX('Match Log'!$A$4:$A$1510),NA(),IFERROR(LOOKUP(2,1/(('Match Log'!$D$4:$D$1510=$U$24)*('Match Log'!$A$4:$A$1510&lt;=$J94)),'Match Log'!$N$4:$N$1510),NA()))</f>
        <v>949.1767891746108</v>
      </c>
      <c r="V94" t="e">
        <f>IF($J94&gt;MAX('Match Log'!$A$4:$A$1510),NA(),IFERROR(LOOKUP(2,1/(('Match Log'!$D$4:$D$1510=$V$24)*('Match Log'!$A$4:$A$1510&lt;=$J94)),'Match Log'!$N$4:$N$1510),NA()))</f>
        <v>#N/A</v>
      </c>
      <c r="W94" t="e">
        <f>IF($J94&gt;MAX('Match Log'!$A$4:$A$1510),NA(),IFERROR(LOOKUP(2,1/(('Match Log'!$D$4:$D$1510=$W$24)*('Match Log'!$A$4:$A$1510&lt;=$J94)),'Match Log'!$N$4:$N$1510),NA()))</f>
        <v>#N/A</v>
      </c>
      <c r="X94" t="e">
        <f>IF($J94&gt;MAX('Match Log'!$A$4:$A$1510),NA(),IFERROR(LOOKUP(2,1/(('Match Log'!$D$4:$D$1510=$X$24)*('Match Log'!$A$4:$A$1510&lt;=$J94)),'Match Log'!$N$4:$N$1510),NA()))</f>
        <v>#N/A</v>
      </c>
      <c r="Y94" t="str">
        <f t="shared" ca="1" si="22"/>
        <v/>
      </c>
    </row>
    <row r="95" spans="1:25" ht="15" customHeight="1" x14ac:dyDescent="0.2">
      <c r="A95">
        <v>71</v>
      </c>
      <c r="B95" s="138">
        <f>IFERROR(INDEX('Match Log'!$B$4:$B$1510,MATCH($A95,'Match Log'!$A$4:$A$1510,0)),"")</f>
        <v>46188</v>
      </c>
      <c r="C95" t="str">
        <f>IFERROR(INDEX('Match Log'!$C$4:$C$1510,MATCH($A95,'Match Log'!$A$4:$A$1510,0)),"")</f>
        <v>ShuffleBoard</v>
      </c>
      <c r="D95" t="str">
        <f t="array" ref="D95">IFERROR(_xlfn.TEXTJOIN(" + ",TRUE(),IF(('Match Log'!$A$4:$A$1510=$A95)*('Match Log'!$E$4:$E$1510="Win"),'Match Log'!$D$4:$D$1510,"")),IFERROR(LOOKUP(2,1/(('Match Log'!$A$4:$A$1510=$A95)*('Match Log'!$E$4:$E$1510="Win")),'Match Log'!$D$4:$D$1510),""))</f>
        <v>Simon + Oscar</v>
      </c>
      <c r="E95" s="139">
        <f>IFERROR(INDEX('Match Log'!$F$4:$F$1510,MATCH($A95,'Match Log'!$A$4:$A$1510,0)),"")</f>
        <v>4</v>
      </c>
      <c r="F95">
        <f>IFERROR(SUMIFS('Match Log'!$I$4:$I$1510,'Match Log'!$A$4:$A$1510,$A95,'Match Log'!$E$4:$E$1510,"Win"),"")</f>
        <v>0.55199999999999994</v>
      </c>
      <c r="G95">
        <f t="shared" si="20"/>
        <v>-1.2079999999999997</v>
      </c>
      <c r="H95" t="str">
        <f t="array" ref="H95">IFERROR(IF(COUNTIFS('Match Log'!$A$4:$A$1510,$A95,'Match Log'!$E$4:$E$1510,"Win")&gt;1,_xlfn.TEXTJOIN(" + ",TRUE(),IF(('Match Log'!$A$4:$A$1510=$A95)*('Match Log'!$E$4:$E$1510="Loss"),'Match Log'!$D$4:$D$1510,"")),IF($E95=2,LOOKUP(2,1/(('Match Log'!$A$4:$A$1510=$A95)*('Match Log'!$E$4:$E$1510="Loss")),'Match Log'!$D$4:$D$1510),"the field")),"")</f>
        <v>David + Dean M</v>
      </c>
      <c r="I95">
        <f t="shared" si="21"/>
        <v>-1.2080709999999997</v>
      </c>
      <c r="J95">
        <v>71</v>
      </c>
      <c r="K95">
        <f>IF($J95&gt;MAX('Match Log'!$A$4:$A$1510),NA(),IFERROR(LOOKUP(2,1/(('Match Log'!$D$4:$D$1510=$K$24)*('Match Log'!$A$4:$A$1510&lt;=$J95)),'Match Log'!$N$4:$N$1510),NA()))</f>
        <v>1026.3367769492982</v>
      </c>
      <c r="L95">
        <f>IF($J95&gt;MAX('Match Log'!$A$4:$A$1510),NA(),IFERROR(LOOKUP(2,1/(('Match Log'!$D$4:$D$1510=$L$24)*('Match Log'!$A$4:$A$1510&lt;=$J95)),'Match Log'!$N$4:$N$1510),NA()))</f>
        <v>994.77981233243941</v>
      </c>
      <c r="M95">
        <f>IF($J95&gt;MAX('Match Log'!$A$4:$A$1510),NA(),IFERROR(LOOKUP(2,1/(('Match Log'!$D$4:$D$1510=$M$24)*('Match Log'!$A$4:$A$1510&lt;=$J95)),'Match Log'!$N$4:$N$1510),NA()))</f>
        <v>1016.7841648959289</v>
      </c>
      <c r="N95">
        <f>IF($J95&gt;MAX('Match Log'!$A$4:$A$1510),NA(),IFERROR(LOOKUP(2,1/(('Match Log'!$D$4:$D$1510=$N$24)*('Match Log'!$A$4:$A$1510&lt;=$J95)),'Match Log'!$N$4:$N$1510),NA()))</f>
        <v>948.07307716748062</v>
      </c>
      <c r="O95">
        <f>IF($J95&gt;MAX('Match Log'!$A$4:$A$1510),NA(),IFERROR(LOOKUP(2,1/(('Match Log'!$D$4:$D$1510=$O$24)*('Match Log'!$A$4:$A$1510&lt;=$J95)),'Match Log'!$N$4:$N$1510),NA()))</f>
        <v>1135.6490371824466</v>
      </c>
      <c r="P95">
        <f>IF($J95&gt;MAX('Match Log'!$A$4:$A$1510),NA(),IFERROR(LOOKUP(2,1/(('Match Log'!$D$4:$D$1510=$P$24)*('Match Log'!$A$4:$A$1510&lt;=$J95)),'Match Log'!$N$4:$N$1510),NA()))</f>
        <v>1002.1552248362885</v>
      </c>
      <c r="Q95">
        <f>IF($J95&gt;MAX('Match Log'!$A$4:$A$1510),NA(),IFERROR(LOOKUP(2,1/(('Match Log'!$D$4:$D$1510=$Q$24)*('Match Log'!$A$4:$A$1510&lt;=$J95)),'Match Log'!$N$4:$N$1510),NA()))</f>
        <v>1115.2352711079943</v>
      </c>
      <c r="R95">
        <f>IF($J95&gt;MAX('Match Log'!$A$4:$A$1510),NA(),IFERROR(LOOKUP(2,1/(('Match Log'!$D$4:$D$1510=$R$24)*('Match Log'!$A$4:$A$1510&lt;=$J95)),'Match Log'!$N$4:$N$1510),NA()))</f>
        <v>963.98366926257279</v>
      </c>
      <c r="S95">
        <f>IF($J95&gt;MAX('Match Log'!$A$4:$A$1510),NA(),IFERROR(LOOKUP(2,1/(('Match Log'!$D$4:$D$1510=$S$24)*('Match Log'!$A$4:$A$1510&lt;=$J95)),'Match Log'!$N$4:$N$1510),NA()))</f>
        <v>1085.9093619835958</v>
      </c>
      <c r="T95">
        <f>IF($J95&gt;MAX('Match Log'!$A$4:$A$1510),NA(),IFERROR(LOOKUP(2,1/(('Match Log'!$D$4:$D$1510=$T$24)*('Match Log'!$A$4:$A$1510&lt;=$J95)),'Match Log'!$N$4:$N$1510),NA()))</f>
        <v>912.88487726825997</v>
      </c>
      <c r="U95">
        <f>IF($J95&gt;MAX('Match Log'!$A$4:$A$1510),NA(),IFERROR(LOOKUP(2,1/(('Match Log'!$D$4:$D$1510=$U$24)*('Match Log'!$A$4:$A$1510&lt;=$J95)),'Match Log'!$N$4:$N$1510),NA()))</f>
        <v>967.95078912982262</v>
      </c>
      <c r="V95">
        <f>IF($J95&gt;MAX('Match Log'!$A$4:$A$1510),NA(),IFERROR(LOOKUP(2,1/(('Match Log'!$D$4:$D$1510=$V$24)*('Match Log'!$A$4:$A$1510&lt;=$J95)),'Match Log'!$N$4:$N$1510),NA()))</f>
        <v>996.25793788387159</v>
      </c>
      <c r="W95" t="e">
        <f>IF($J95&gt;MAX('Match Log'!$A$4:$A$1510),NA(),IFERROR(LOOKUP(2,1/(('Match Log'!$D$4:$D$1510=$W$24)*('Match Log'!$A$4:$A$1510&lt;=$J95)),'Match Log'!$N$4:$N$1510),NA()))</f>
        <v>#N/A</v>
      </c>
      <c r="X95" t="e">
        <f>IF($J95&gt;MAX('Match Log'!$A$4:$A$1510),NA(),IFERROR(LOOKUP(2,1/(('Match Log'!$D$4:$D$1510=$X$24)*('Match Log'!$A$4:$A$1510&lt;=$J95)),'Match Log'!$N$4:$N$1510),NA()))</f>
        <v>#N/A</v>
      </c>
      <c r="Y95" t="str">
        <f t="shared" ca="1" si="22"/>
        <v/>
      </c>
    </row>
    <row r="96" spans="1:25" ht="15" customHeight="1" x14ac:dyDescent="0.2">
      <c r="A96">
        <v>72</v>
      </c>
      <c r="B96" s="138">
        <f>IFERROR(INDEX('Match Log'!$B$4:$B$1510,MATCH($A96,'Match Log'!$A$4:$A$1510,0)),"")</f>
        <v>46188</v>
      </c>
      <c r="C96" t="str">
        <f>IFERROR(INDEX('Match Log'!$C$4:$C$1510,MATCH($A96,'Match Log'!$A$4:$A$1510,0)),"")</f>
        <v>ShuffleBoard</v>
      </c>
      <c r="D96" t="str">
        <f t="array" ref="D96">IFERROR(_xlfn.TEXTJOIN(" + ",TRUE(),IF(('Match Log'!$A$4:$A$1510=$A96)*('Match Log'!$E$4:$E$1510="Win"),'Match Log'!$D$4:$D$1510,"")),IFERROR(LOOKUP(2,1/(('Match Log'!$A$4:$A$1510=$A96)*('Match Log'!$E$4:$E$1510="Win")),'Match Log'!$D$4:$D$1510),""))</f>
        <v>Simon + Oscar</v>
      </c>
      <c r="E96" s="139">
        <f>IFERROR(INDEX('Match Log'!$F$4:$F$1510,MATCH($A96,'Match Log'!$A$4:$A$1510,0)),"")</f>
        <v>4</v>
      </c>
      <c r="F96">
        <f>IFERROR(SUMIFS('Match Log'!$I$4:$I$1510,'Match Log'!$A$4:$A$1510,$A96,'Match Log'!$E$4:$E$1510,"Win"),"")</f>
        <v>0.660377358490566</v>
      </c>
      <c r="G96">
        <f t="shared" si="20"/>
        <v>-1.641509433962264</v>
      </c>
      <c r="H96" t="str">
        <f t="array" ref="H96">IFERROR(IF(COUNTIFS('Match Log'!$A$4:$A$1510,$A96,'Match Log'!$E$4:$E$1510,"Win")&gt;1,_xlfn.TEXTJOIN(" + ",TRUE(),IF(('Match Log'!$A$4:$A$1510=$A96)*('Match Log'!$E$4:$E$1510="Loss"),'Match Log'!$D$4:$D$1510,"")),IF($E96=2,LOOKUP(2,1/(('Match Log'!$A$4:$A$1510=$A96)*('Match Log'!$E$4:$E$1510="Loss")),'Match Log'!$D$4:$D$1510),"the field")),"")</f>
        <v>Cody + Aaron</v>
      </c>
      <c r="I96">
        <f t="shared" si="21"/>
        <v>-1.6415814339622641</v>
      </c>
      <c r="J96">
        <v>72</v>
      </c>
      <c r="K96">
        <f>IF($J96&gt;MAX('Match Log'!$A$4:$A$1510),NA(),IFERROR(LOOKUP(2,1/(('Match Log'!$D$4:$D$1510=$K$24)*('Match Log'!$A$4:$A$1510&lt;=$J96)),'Match Log'!$N$4:$N$1510),NA()))</f>
        <v>1023.7815394123053</v>
      </c>
      <c r="L96">
        <f>IF($J96&gt;MAX('Match Log'!$A$4:$A$1510),NA(),IFERROR(LOOKUP(2,1/(('Match Log'!$D$4:$D$1510=$L$24)*('Match Log'!$A$4:$A$1510&lt;=$J96)),'Match Log'!$N$4:$N$1510),NA()))</f>
        <v>994.77981233243941</v>
      </c>
      <c r="M96">
        <f>IF($J96&gt;MAX('Match Log'!$A$4:$A$1510),NA(),IFERROR(LOOKUP(2,1/(('Match Log'!$D$4:$D$1510=$M$24)*('Match Log'!$A$4:$A$1510&lt;=$J96)),'Match Log'!$N$4:$N$1510),NA()))</f>
        <v>1016.7841648959289</v>
      </c>
      <c r="N96">
        <f>IF($J96&gt;MAX('Match Log'!$A$4:$A$1510),NA(),IFERROR(LOOKUP(2,1/(('Match Log'!$D$4:$D$1510=$N$24)*('Match Log'!$A$4:$A$1510&lt;=$J96)),'Match Log'!$N$4:$N$1510),NA()))</f>
        <v>948.07307716748062</v>
      </c>
      <c r="O96">
        <f>IF($J96&gt;MAX('Match Log'!$A$4:$A$1510),NA(),IFERROR(LOOKUP(2,1/(('Match Log'!$D$4:$D$1510=$O$24)*('Match Log'!$A$4:$A$1510&lt;=$J96)),'Match Log'!$N$4:$N$1510),NA()))</f>
        <v>1135.6490371824466</v>
      </c>
      <c r="P96">
        <f>IF($J96&gt;MAX('Match Log'!$A$4:$A$1510),NA(),IFERROR(LOOKUP(2,1/(('Match Log'!$D$4:$D$1510=$P$24)*('Match Log'!$A$4:$A$1510&lt;=$J96)),'Match Log'!$N$4:$N$1510),NA()))</f>
        <v>1002.1552248362885</v>
      </c>
      <c r="Q96">
        <f>IF($J96&gt;MAX('Match Log'!$A$4:$A$1510),NA(),IFERROR(LOOKUP(2,1/(('Match Log'!$D$4:$D$1510=$Q$24)*('Match Log'!$A$4:$A$1510&lt;=$J96)),'Match Log'!$N$4:$N$1510),NA()))</f>
        <v>1130.5851407322468</v>
      </c>
      <c r="R96">
        <f>IF($J96&gt;MAX('Match Log'!$A$4:$A$1510),NA(),IFERROR(LOOKUP(2,1/(('Match Log'!$D$4:$D$1510=$R$24)*('Match Log'!$A$4:$A$1510&lt;=$J96)),'Match Log'!$N$4:$N$1510),NA()))</f>
        <v>963.98366926257279</v>
      </c>
      <c r="S96">
        <f>IF($J96&gt;MAX('Match Log'!$A$4:$A$1510),NA(),IFERROR(LOOKUP(2,1/(('Match Log'!$D$4:$D$1510=$S$24)*('Match Log'!$A$4:$A$1510&lt;=$J96)),'Match Log'!$N$4:$N$1510),NA()))</f>
        <v>1085.9093619835958</v>
      </c>
      <c r="T96">
        <f>IF($J96&gt;MAX('Match Log'!$A$4:$A$1510),NA(),IFERROR(LOOKUP(2,1/(('Match Log'!$D$4:$D$1510=$T$24)*('Match Log'!$A$4:$A$1510&lt;=$J96)),'Match Log'!$N$4:$N$1510),NA()))</f>
        <v>910.15447684771107</v>
      </c>
      <c r="U96">
        <f>IF($J96&gt;MAX('Match Log'!$A$4:$A$1510),NA(),IFERROR(LOOKUP(2,1/(('Match Log'!$D$4:$D$1510=$U$24)*('Match Log'!$A$4:$A$1510&lt;=$J96)),'Match Log'!$N$4:$N$1510),NA()))</f>
        <v>985.8865574631119</v>
      </c>
      <c r="V96">
        <f>IF($J96&gt;MAX('Match Log'!$A$4:$A$1510),NA(),IFERROR(LOOKUP(2,1/(('Match Log'!$D$4:$D$1510=$V$24)*('Match Log'!$A$4:$A$1510&lt;=$J96)),'Match Log'!$N$4:$N$1510),NA()))</f>
        <v>996.25793788387159</v>
      </c>
      <c r="W96" t="e">
        <f>IF($J96&gt;MAX('Match Log'!$A$4:$A$1510),NA(),IFERROR(LOOKUP(2,1/(('Match Log'!$D$4:$D$1510=$W$24)*('Match Log'!$A$4:$A$1510&lt;=$J96)),'Match Log'!$N$4:$N$1510),NA()))</f>
        <v>#N/A</v>
      </c>
      <c r="X96" t="e">
        <f>IF($J96&gt;MAX('Match Log'!$A$4:$A$1510),NA(),IFERROR(LOOKUP(2,1/(('Match Log'!$D$4:$D$1510=$X$24)*('Match Log'!$A$4:$A$1510&lt;=$J96)),'Match Log'!$N$4:$N$1510),NA()))</f>
        <v>#N/A</v>
      </c>
      <c r="Y96" t="str">
        <f t="shared" ca="1" si="22"/>
        <v/>
      </c>
    </row>
    <row r="97" spans="1:25" ht="15" customHeight="1" x14ac:dyDescent="0.2">
      <c r="A97">
        <v>73</v>
      </c>
      <c r="B97" s="138">
        <f>IFERROR(INDEX('Match Log'!$B$4:$B$1510,MATCH($A97,'Match Log'!$A$4:$A$1510,0)),"")</f>
        <v>46188</v>
      </c>
      <c r="C97" t="str">
        <f>IFERROR(INDEX('Match Log'!$C$4:$C$1510,MATCH($A97,'Match Log'!$A$4:$A$1510,0)),"")</f>
        <v>ShuffleBoard</v>
      </c>
      <c r="D97" t="str">
        <f t="array" ref="D97">IFERROR(_xlfn.TEXTJOIN(" + ",TRUE(),IF(('Match Log'!$A$4:$A$1510=$A97)*('Match Log'!$E$4:$E$1510="Win"),'Match Log'!$D$4:$D$1510,"")),IFERROR(LOOKUP(2,1/(('Match Log'!$A$4:$A$1510=$A97)*('Match Log'!$E$4:$E$1510="Win")),'Match Log'!$D$4:$D$1510),""))</f>
        <v>Beau + Dylan A</v>
      </c>
      <c r="E97" s="139">
        <f>IFERROR(INDEX('Match Log'!$F$4:$F$1510,MATCH($A97,'Match Log'!$A$4:$A$1510,0)),"")</f>
        <v>4</v>
      </c>
      <c r="F97">
        <f>IFERROR(SUMIFS('Match Log'!$I$4:$I$1510,'Match Log'!$A$4:$A$1510,$A97,'Match Log'!$E$4:$E$1510,"Win"),"")</f>
        <v>0.45652173913043481</v>
      </c>
      <c r="G97">
        <f t="shared" si="20"/>
        <v>-0.82608695652173925</v>
      </c>
      <c r="H97" t="str">
        <f t="array" ref="H97">IFERROR(IF(COUNTIFS('Match Log'!$A$4:$A$1510,$A97,'Match Log'!$E$4:$E$1510,"Win")&gt;1,_xlfn.TEXTJOIN(" + ",TRUE(),IF(('Match Log'!$A$4:$A$1510=$A97)*('Match Log'!$E$4:$E$1510="Loss"),'Match Log'!$D$4:$D$1510,"")),IF($E97=2,LOOKUP(2,1/(('Match Log'!$A$4:$A$1510=$A97)*('Match Log'!$E$4:$E$1510="Loss")),'Match Log'!$D$4:$D$1510),"the field")),"")</f>
        <v>Oscar + Simon</v>
      </c>
      <c r="I97">
        <f t="shared" si="21"/>
        <v>-0.82615995652173924</v>
      </c>
      <c r="J97">
        <v>73</v>
      </c>
      <c r="K97">
        <f>IF($J97&gt;MAX('Match Log'!$A$4:$A$1510),NA(),IFERROR(LOOKUP(2,1/(('Match Log'!$D$4:$D$1510=$K$24)*('Match Log'!$A$4:$A$1510&lt;=$J97)),'Match Log'!$N$4:$N$1510),NA()))</f>
        <v>1023.7815394123053</v>
      </c>
      <c r="L97">
        <f>IF($J97&gt;MAX('Match Log'!$A$4:$A$1510),NA(),IFERROR(LOOKUP(2,1/(('Match Log'!$D$4:$D$1510=$L$24)*('Match Log'!$A$4:$A$1510&lt;=$J97)),'Match Log'!$N$4:$N$1510),NA()))</f>
        <v>1013.5392440016333</v>
      </c>
      <c r="M97">
        <f>IF($J97&gt;MAX('Match Log'!$A$4:$A$1510),NA(),IFERROR(LOOKUP(2,1/(('Match Log'!$D$4:$D$1510=$M$24)*('Match Log'!$A$4:$A$1510&lt;=$J97)),'Match Log'!$N$4:$N$1510),NA()))</f>
        <v>1016.7841648959289</v>
      </c>
      <c r="N97">
        <f>IF($J97&gt;MAX('Match Log'!$A$4:$A$1510),NA(),IFERROR(LOOKUP(2,1/(('Match Log'!$D$4:$D$1510=$N$24)*('Match Log'!$A$4:$A$1510&lt;=$J97)),'Match Log'!$N$4:$N$1510),NA()))</f>
        <v>948.07307716748062</v>
      </c>
      <c r="O97">
        <f>IF($J97&gt;MAX('Match Log'!$A$4:$A$1510),NA(),IFERROR(LOOKUP(2,1/(('Match Log'!$D$4:$D$1510=$O$24)*('Match Log'!$A$4:$A$1510&lt;=$J97)),'Match Log'!$N$4:$N$1510),NA()))</f>
        <v>1135.6490371824466</v>
      </c>
      <c r="P97">
        <f>IF($J97&gt;MAX('Match Log'!$A$4:$A$1510),NA(),IFERROR(LOOKUP(2,1/(('Match Log'!$D$4:$D$1510=$P$24)*('Match Log'!$A$4:$A$1510&lt;=$J97)),'Match Log'!$N$4:$N$1510),NA()))</f>
        <v>1002.1552248362885</v>
      </c>
      <c r="Q97">
        <f>IF($J97&gt;MAX('Match Log'!$A$4:$A$1510),NA(),IFERROR(LOOKUP(2,1/(('Match Log'!$D$4:$D$1510=$Q$24)*('Match Log'!$A$4:$A$1510&lt;=$J97)),'Match Log'!$N$4:$N$1510),NA()))</f>
        <v>1123.6045548508635</v>
      </c>
      <c r="R97">
        <f>IF($J97&gt;MAX('Match Log'!$A$4:$A$1510),NA(),IFERROR(LOOKUP(2,1/(('Match Log'!$D$4:$D$1510=$R$24)*('Match Log'!$A$4:$A$1510&lt;=$J97)),'Match Log'!$N$4:$N$1510),NA()))</f>
        <v>963.98366926257279</v>
      </c>
      <c r="S97">
        <f>IF($J97&gt;MAX('Match Log'!$A$4:$A$1510),NA(),IFERROR(LOOKUP(2,1/(('Match Log'!$D$4:$D$1510=$S$24)*('Match Log'!$A$4:$A$1510&lt;=$J97)),'Match Log'!$N$4:$N$1510),NA()))</f>
        <v>1085.9093619835958</v>
      </c>
      <c r="T97">
        <f>IF($J97&gt;MAX('Match Log'!$A$4:$A$1510),NA(),IFERROR(LOOKUP(2,1/(('Match Log'!$D$4:$D$1510=$T$24)*('Match Log'!$A$4:$A$1510&lt;=$J97)),'Match Log'!$N$4:$N$1510),NA()))</f>
        <v>910.15447684771107</v>
      </c>
      <c r="U97">
        <f>IF($J97&gt;MAX('Match Log'!$A$4:$A$1510),NA(),IFERROR(LOOKUP(2,1/(('Match Log'!$D$4:$D$1510=$U$24)*('Match Log'!$A$4:$A$1510&lt;=$J97)),'Match Log'!$N$4:$N$1510),NA()))</f>
        <v>982.56567131045529</v>
      </c>
      <c r="V97">
        <f>IF($J97&gt;MAX('Match Log'!$A$4:$A$1510),NA(),IFERROR(LOOKUP(2,1/(('Match Log'!$D$4:$D$1510=$V$24)*('Match Log'!$A$4:$A$1510&lt;=$J97)),'Match Log'!$N$4:$N$1510),NA()))</f>
        <v>996.25793788387159</v>
      </c>
      <c r="W97">
        <f>IF($J97&gt;MAX('Match Log'!$A$4:$A$1510),NA(),IFERROR(LOOKUP(2,1/(('Match Log'!$D$4:$D$1510=$W$24)*('Match Log'!$A$4:$A$1510&lt;=$J97)),'Match Log'!$N$4:$N$1510),NA()))</f>
        <v>1019.542040364846</v>
      </c>
      <c r="X97" t="e">
        <f>IF($J97&gt;MAX('Match Log'!$A$4:$A$1510),NA(),IFERROR(LOOKUP(2,1/(('Match Log'!$D$4:$D$1510=$X$24)*('Match Log'!$A$4:$A$1510&lt;=$J97)),'Match Log'!$N$4:$N$1510),NA()))</f>
        <v>#N/A</v>
      </c>
      <c r="Y97" t="str">
        <f t="shared" ca="1" si="22"/>
        <v/>
      </c>
    </row>
    <row r="98" spans="1:25" ht="15" customHeight="1" x14ac:dyDescent="0.2">
      <c r="A98">
        <v>74</v>
      </c>
      <c r="B98" s="138">
        <f>IFERROR(INDEX('Match Log'!$B$4:$B$1510,MATCH($A98,'Match Log'!$A$4:$A$1510,0)),"")</f>
        <v>46188</v>
      </c>
      <c r="C98" t="str">
        <f>IFERROR(INDEX('Match Log'!$C$4:$C$1510,MATCH($A98,'Match Log'!$A$4:$A$1510,0)),"")</f>
        <v>ShuffleBoard</v>
      </c>
      <c r="D98" t="str">
        <f t="array" ref="D98">IFERROR(_xlfn.TEXTJOIN(" + ",TRUE(),IF(('Match Log'!$A$4:$A$1510=$A98)*('Match Log'!$E$4:$E$1510="Win"),'Match Log'!$D$4:$D$1510,"")),IFERROR(LOOKUP(2,1/(('Match Log'!$A$4:$A$1510=$A98)*('Match Log'!$E$4:$E$1510="Win")),'Match Log'!$D$4:$D$1510),""))</f>
        <v>Josh + Shawn</v>
      </c>
      <c r="E98" s="139">
        <f>IFERROR(INDEX('Match Log'!$F$4:$F$1510,MATCH($A98,'Match Log'!$A$4:$A$1510,0)),"")</f>
        <v>4</v>
      </c>
      <c r="F98">
        <f>IFERROR(SUMIFS('Match Log'!$I$4:$I$1510,'Match Log'!$A$4:$A$1510,$A98,'Match Log'!$E$4:$E$1510,"Win"),"")</f>
        <v>0.38848920863309355</v>
      </c>
      <c r="G98">
        <f t="shared" si="20"/>
        <v>-0.55395683453237421</v>
      </c>
      <c r="H98" t="str">
        <f t="array" ref="H98">IFERROR(IF(COUNTIFS('Match Log'!$A$4:$A$1510,$A98,'Match Log'!$E$4:$E$1510,"Win")&gt;1,_xlfn.TEXTJOIN(" + ",TRUE(),IF(('Match Log'!$A$4:$A$1510=$A98)*('Match Log'!$E$4:$E$1510="Loss"),'Match Log'!$D$4:$D$1510,"")),IF($E98=2,LOOKUP(2,1/(('Match Log'!$A$4:$A$1510=$A98)*('Match Log'!$E$4:$E$1510="Loss")),'Match Log'!$D$4:$D$1510),"the field")),"")</f>
        <v>Dylan A + Beau</v>
      </c>
      <c r="I98">
        <f t="shared" si="21"/>
        <v>-0.55403083453237423</v>
      </c>
      <c r="J98">
        <v>74</v>
      </c>
      <c r="K98">
        <f>IF($J98&gt;MAX('Match Log'!$A$4:$A$1510),NA(),IFERROR(LOOKUP(2,1/(('Match Log'!$D$4:$D$1510=$K$24)*('Match Log'!$A$4:$A$1510&lt;=$J98)),'Match Log'!$N$4:$N$1510),NA()))</f>
        <v>1023.7815394123053</v>
      </c>
      <c r="L98">
        <f>IF($J98&gt;MAX('Match Log'!$A$4:$A$1510),NA(),IFERROR(LOOKUP(2,1/(('Match Log'!$D$4:$D$1510=$L$24)*('Match Log'!$A$4:$A$1510&lt;=$J98)),'Match Log'!$N$4:$N$1510),NA()))</f>
        <v>1008.6912616384085</v>
      </c>
      <c r="M98">
        <f>IF($J98&gt;MAX('Match Log'!$A$4:$A$1510),NA(),IFERROR(LOOKUP(2,1/(('Match Log'!$D$4:$D$1510=$M$24)*('Match Log'!$A$4:$A$1510&lt;=$J98)),'Match Log'!$N$4:$N$1510),NA()))</f>
        <v>1016.7841648959289</v>
      </c>
      <c r="N98">
        <f>IF($J98&gt;MAX('Match Log'!$A$4:$A$1510),NA(),IFERROR(LOOKUP(2,1/(('Match Log'!$D$4:$D$1510=$N$24)*('Match Log'!$A$4:$A$1510&lt;=$J98)),'Match Log'!$N$4:$N$1510),NA()))</f>
        <v>948.07307716748062</v>
      </c>
      <c r="O98">
        <f>IF($J98&gt;MAX('Match Log'!$A$4:$A$1510),NA(),IFERROR(LOOKUP(2,1/(('Match Log'!$D$4:$D$1510=$O$24)*('Match Log'!$A$4:$A$1510&lt;=$J98)),'Match Log'!$N$4:$N$1510),NA()))</f>
        <v>1154.5507537631611</v>
      </c>
      <c r="P98">
        <f>IF($J98&gt;MAX('Match Log'!$A$4:$A$1510),NA(),IFERROR(LOOKUP(2,1/(('Match Log'!$D$4:$D$1510=$P$24)*('Match Log'!$A$4:$A$1510&lt;=$J98)),'Match Log'!$N$4:$N$1510),NA()))</f>
        <v>1020.5389558054924</v>
      </c>
      <c r="Q98">
        <f>IF($J98&gt;MAX('Match Log'!$A$4:$A$1510),NA(),IFERROR(LOOKUP(2,1/(('Match Log'!$D$4:$D$1510=$Q$24)*('Match Log'!$A$4:$A$1510&lt;=$J98)),'Match Log'!$N$4:$N$1510),NA()))</f>
        <v>1123.6045548508635</v>
      </c>
      <c r="R98">
        <f>IF($J98&gt;MAX('Match Log'!$A$4:$A$1510),NA(),IFERROR(LOOKUP(2,1/(('Match Log'!$D$4:$D$1510=$R$24)*('Match Log'!$A$4:$A$1510&lt;=$J98)),'Match Log'!$N$4:$N$1510),NA()))</f>
        <v>963.98366926257279</v>
      </c>
      <c r="S98">
        <f>IF($J98&gt;MAX('Match Log'!$A$4:$A$1510),NA(),IFERROR(LOOKUP(2,1/(('Match Log'!$D$4:$D$1510=$S$24)*('Match Log'!$A$4:$A$1510&lt;=$J98)),'Match Log'!$N$4:$N$1510),NA()))</f>
        <v>1085.9093619835958</v>
      </c>
      <c r="T98">
        <f>IF($J98&gt;MAX('Match Log'!$A$4:$A$1510),NA(),IFERROR(LOOKUP(2,1/(('Match Log'!$D$4:$D$1510=$T$24)*('Match Log'!$A$4:$A$1510&lt;=$J98)),'Match Log'!$N$4:$N$1510),NA()))</f>
        <v>910.15447684771107</v>
      </c>
      <c r="U98">
        <f>IF($J98&gt;MAX('Match Log'!$A$4:$A$1510),NA(),IFERROR(LOOKUP(2,1/(('Match Log'!$D$4:$D$1510=$U$24)*('Match Log'!$A$4:$A$1510&lt;=$J98)),'Match Log'!$N$4:$N$1510),NA()))</f>
        <v>982.56567131045529</v>
      </c>
      <c r="V98">
        <f>IF($J98&gt;MAX('Match Log'!$A$4:$A$1510),NA(),IFERROR(LOOKUP(2,1/(('Match Log'!$D$4:$D$1510=$V$24)*('Match Log'!$A$4:$A$1510&lt;=$J98)),'Match Log'!$N$4:$N$1510),NA()))</f>
        <v>996.25793788387159</v>
      </c>
      <c r="W98">
        <f>IF($J98&gt;MAX('Match Log'!$A$4:$A$1510),NA(),IFERROR(LOOKUP(2,1/(('Match Log'!$D$4:$D$1510=$W$24)*('Match Log'!$A$4:$A$1510&lt;=$J98)),'Match Log'!$N$4:$N$1510),NA()))</f>
        <v>1015.1045751781523</v>
      </c>
      <c r="X98" t="e">
        <f>IF($J98&gt;MAX('Match Log'!$A$4:$A$1510),NA(),IFERROR(LOOKUP(2,1/(('Match Log'!$D$4:$D$1510=$X$24)*('Match Log'!$A$4:$A$1510&lt;=$J98)),'Match Log'!$N$4:$N$1510),NA()))</f>
        <v>#N/A</v>
      </c>
      <c r="Y98" t="str">
        <f t="shared" ca="1" si="22"/>
        <v/>
      </c>
    </row>
    <row r="99" spans="1:25" ht="15" customHeight="1" x14ac:dyDescent="0.2">
      <c r="A99">
        <v>75</v>
      </c>
      <c r="B99" s="138">
        <f>IFERROR(INDEX('Match Log'!$B$4:$B$1510,MATCH($A99,'Match Log'!$A$4:$A$1510,0)),"")</f>
        <v>46188</v>
      </c>
      <c r="C99" t="str">
        <f>IFERROR(INDEX('Match Log'!$C$4:$C$1510,MATCH($A99,'Match Log'!$A$4:$A$1510,0)),"")</f>
        <v>ShuffleBoard</v>
      </c>
      <c r="D99" t="str">
        <f t="array" ref="D99">IFERROR(_xlfn.TEXTJOIN(" + ",TRUE(),IF(('Match Log'!$A$4:$A$1510=$A99)*('Match Log'!$E$4:$E$1510="Win"),'Match Log'!$D$4:$D$1510,"")),IFERROR(LOOKUP(2,1/(('Match Log'!$A$4:$A$1510=$A99)*('Match Log'!$E$4:$E$1510="Win")),'Match Log'!$D$4:$D$1510),""))</f>
        <v>Dean B + Daniel (Ferret)</v>
      </c>
      <c r="E99" s="139">
        <f>IFERROR(INDEX('Match Log'!$F$4:$F$1510,MATCH($A99,'Match Log'!$A$4:$A$1510,0)),"")</f>
        <v>4</v>
      </c>
      <c r="F99">
        <f>IFERROR(SUMIFS('Match Log'!$I$4:$I$1510,'Match Log'!$A$4:$A$1510,$A99,'Match Log'!$E$4:$E$1510,"Win"),"")</f>
        <v>0.44237918215613381</v>
      </c>
      <c r="G99">
        <f t="shared" si="20"/>
        <v>-0.76951672862453524</v>
      </c>
      <c r="H99" t="str">
        <f t="array" ref="H99">IFERROR(IF(COUNTIFS('Match Log'!$A$4:$A$1510,$A99,'Match Log'!$E$4:$E$1510,"Win")&gt;1,_xlfn.TEXTJOIN(" + ",TRUE(),IF(('Match Log'!$A$4:$A$1510=$A99)*('Match Log'!$E$4:$E$1510="Loss"),'Match Log'!$D$4:$D$1510,"")),IF($E99=2,LOOKUP(2,1/(('Match Log'!$A$4:$A$1510=$A99)*('Match Log'!$E$4:$E$1510="Loss")),'Match Log'!$D$4:$D$1510),"the field")),"")</f>
        <v>Josh + Shawn</v>
      </c>
      <c r="I99">
        <f t="shared" si="21"/>
        <v>-0.76959172862453529</v>
      </c>
      <c r="J99">
        <v>75</v>
      </c>
      <c r="K99">
        <f>IF($J99&gt;MAX('Match Log'!$A$4:$A$1510),NA(),IFERROR(LOOKUP(2,1/(('Match Log'!$D$4:$D$1510=$K$24)*('Match Log'!$A$4:$A$1510&lt;=$J99)),'Match Log'!$N$4:$N$1510),NA()))</f>
        <v>1023.7815394123053</v>
      </c>
      <c r="L99">
        <f>IF($J99&gt;MAX('Match Log'!$A$4:$A$1510),NA(),IFERROR(LOOKUP(2,1/(('Match Log'!$D$4:$D$1510=$L$24)*('Match Log'!$A$4:$A$1510&lt;=$J99)),'Match Log'!$N$4:$N$1510),NA()))</f>
        <v>1008.6912616384085</v>
      </c>
      <c r="M99">
        <f>IF($J99&gt;MAX('Match Log'!$A$4:$A$1510),NA(),IFERROR(LOOKUP(2,1/(('Match Log'!$D$4:$D$1510=$M$24)*('Match Log'!$A$4:$A$1510&lt;=$J99)),'Match Log'!$N$4:$N$1510),NA()))</f>
        <v>1016.7841648959289</v>
      </c>
      <c r="N99">
        <f>IF($J99&gt;MAX('Match Log'!$A$4:$A$1510),NA(),IFERROR(LOOKUP(2,1/(('Match Log'!$D$4:$D$1510=$N$24)*('Match Log'!$A$4:$A$1510&lt;=$J99)),'Match Log'!$N$4:$N$1510),NA()))</f>
        <v>948.07307716748062</v>
      </c>
      <c r="O99">
        <f>IF($J99&gt;MAX('Match Log'!$A$4:$A$1510),NA(),IFERROR(LOOKUP(2,1/(('Match Log'!$D$4:$D$1510=$O$24)*('Match Log'!$A$4:$A$1510&lt;=$J99)),'Match Log'!$N$4:$N$1510),NA()))</f>
        <v>1149.0986919838699</v>
      </c>
      <c r="P99">
        <f>IF($J99&gt;MAX('Match Log'!$A$4:$A$1510),NA(),IFERROR(LOOKUP(2,1/(('Match Log'!$D$4:$D$1510=$P$24)*('Match Log'!$A$4:$A$1510&lt;=$J99)),'Match Log'!$N$4:$N$1510),NA()))</f>
        <v>1015.682370808878</v>
      </c>
      <c r="Q99">
        <f>IF($J99&gt;MAX('Match Log'!$A$4:$A$1510),NA(),IFERROR(LOOKUP(2,1/(('Match Log'!$D$4:$D$1510=$Q$24)*('Match Log'!$A$4:$A$1510&lt;=$J99)),'Match Log'!$N$4:$N$1510),NA()))</f>
        <v>1123.6045548508635</v>
      </c>
      <c r="R99">
        <f>IF($J99&gt;MAX('Match Log'!$A$4:$A$1510),NA(),IFERROR(LOOKUP(2,1/(('Match Log'!$D$4:$D$1510=$R$24)*('Match Log'!$A$4:$A$1510&lt;=$J99)),'Match Log'!$N$4:$N$1510),NA()))</f>
        <v>984.23092945349958</v>
      </c>
      <c r="S99">
        <f>IF($J99&gt;MAX('Match Log'!$A$4:$A$1510),NA(),IFERROR(LOOKUP(2,1/(('Match Log'!$D$4:$D$1510=$S$24)*('Match Log'!$A$4:$A$1510&lt;=$J99)),'Match Log'!$N$4:$N$1510),NA()))</f>
        <v>1103.9707485685747</v>
      </c>
      <c r="T99">
        <f>IF($J99&gt;MAX('Match Log'!$A$4:$A$1510),NA(),IFERROR(LOOKUP(2,1/(('Match Log'!$D$4:$D$1510=$T$24)*('Match Log'!$A$4:$A$1510&lt;=$J99)),'Match Log'!$N$4:$N$1510),NA()))</f>
        <v>910.15447684771107</v>
      </c>
      <c r="U99">
        <f>IF($J99&gt;MAX('Match Log'!$A$4:$A$1510),NA(),IFERROR(LOOKUP(2,1/(('Match Log'!$D$4:$D$1510=$U$24)*('Match Log'!$A$4:$A$1510&lt;=$J99)),'Match Log'!$N$4:$N$1510),NA()))</f>
        <v>982.56567131045529</v>
      </c>
      <c r="V99">
        <f>IF($J99&gt;MAX('Match Log'!$A$4:$A$1510),NA(),IFERROR(LOOKUP(2,1/(('Match Log'!$D$4:$D$1510=$V$24)*('Match Log'!$A$4:$A$1510&lt;=$J99)),'Match Log'!$N$4:$N$1510),NA()))</f>
        <v>996.25793788387159</v>
      </c>
      <c r="W99">
        <f>IF($J99&gt;MAX('Match Log'!$A$4:$A$1510),NA(),IFERROR(LOOKUP(2,1/(('Match Log'!$D$4:$D$1510=$W$24)*('Match Log'!$A$4:$A$1510&lt;=$J99)),'Match Log'!$N$4:$N$1510),NA()))</f>
        <v>1015.1045751781523</v>
      </c>
      <c r="X99" t="e">
        <f>IF($J99&gt;MAX('Match Log'!$A$4:$A$1510),NA(),IFERROR(LOOKUP(2,1/(('Match Log'!$D$4:$D$1510=$X$24)*('Match Log'!$A$4:$A$1510&lt;=$J99)),'Match Log'!$N$4:$N$1510),NA()))</f>
        <v>#N/A</v>
      </c>
      <c r="Y99" t="str">
        <f t="shared" ca="1" si="22"/>
        <v/>
      </c>
    </row>
    <row r="100" spans="1:25" ht="15" customHeight="1" x14ac:dyDescent="0.2">
      <c r="A100">
        <v>76</v>
      </c>
      <c r="B100" s="138">
        <f>IFERROR(INDEX('Match Log'!$B$4:$B$1510,MATCH($A100,'Match Log'!$A$4:$A$1510,0)),"")</f>
        <v>46188</v>
      </c>
      <c r="C100" t="str">
        <f>IFERROR(INDEX('Match Log'!$C$4:$C$1510,MATCH($A100,'Match Log'!$A$4:$A$1510,0)),"")</f>
        <v>ShuffleBoard</v>
      </c>
      <c r="D100" t="str">
        <f t="array" ref="D100">IFERROR(_xlfn.TEXTJOIN(" + ",TRUE(),IF(('Match Log'!$A$4:$A$1510=$A100)*('Match Log'!$E$4:$E$1510="Win"),'Match Log'!$D$4:$D$1510,"")),IFERROR(LOOKUP(2,1/(('Match Log'!$A$4:$A$1510=$A100)*('Match Log'!$E$4:$E$1510="Win")),'Match Log'!$D$4:$D$1510),""))</f>
        <v>Dean B + Daniel (Ferret)</v>
      </c>
      <c r="E100" s="139">
        <f>IFERROR(INDEX('Match Log'!$F$4:$F$1510,MATCH($A100,'Match Log'!$A$4:$A$1510,0)),"")</f>
        <v>4</v>
      </c>
      <c r="F100">
        <f>IFERROR(SUMIFS('Match Log'!$I$4:$I$1510,'Match Log'!$A$4:$A$1510,$A100,'Match Log'!$E$4:$E$1510,"Win"),"")</f>
        <v>0.59259259259259256</v>
      </c>
      <c r="G100">
        <f t="shared" si="20"/>
        <v>-1.3703703703703702</v>
      </c>
      <c r="H100" t="str">
        <f t="array" ref="H100">IFERROR(IF(COUNTIFS('Match Log'!$A$4:$A$1510,$A100,'Match Log'!$E$4:$E$1510,"Win")&gt;1,_xlfn.TEXTJOIN(" + ",TRUE(),IF(('Match Log'!$A$4:$A$1510=$A100)*('Match Log'!$E$4:$E$1510="Loss"),'Match Log'!$D$4:$D$1510,"")),IF($E100=2,LOOKUP(2,1/(('Match Log'!$A$4:$A$1510=$A100)*('Match Log'!$E$4:$E$1510="Loss")),'Match Log'!$D$4:$D$1510),"the field")),"")</f>
        <v>David + Dean M</v>
      </c>
      <c r="I100">
        <f t="shared" si="21"/>
        <v>-1.3704463703703702</v>
      </c>
      <c r="J100">
        <v>76</v>
      </c>
      <c r="K100">
        <f>IF($J100&gt;MAX('Match Log'!$A$4:$A$1510),NA(),IFERROR(LOOKUP(2,1/(('Match Log'!$D$4:$D$1510=$K$24)*('Match Log'!$A$4:$A$1510&lt;=$J100)),'Match Log'!$N$4:$N$1510),NA()))</f>
        <v>1023.7815394123053</v>
      </c>
      <c r="L100">
        <f>IF($J100&gt;MAX('Match Log'!$A$4:$A$1510),NA(),IFERROR(LOOKUP(2,1/(('Match Log'!$D$4:$D$1510=$L$24)*('Match Log'!$A$4:$A$1510&lt;=$J100)),'Match Log'!$N$4:$N$1510),NA()))</f>
        <v>1008.6912616384085</v>
      </c>
      <c r="M100">
        <f>IF($J100&gt;MAX('Match Log'!$A$4:$A$1510),NA(),IFERROR(LOOKUP(2,1/(('Match Log'!$D$4:$D$1510=$M$24)*('Match Log'!$A$4:$A$1510&lt;=$J100)),'Match Log'!$N$4:$N$1510),NA()))</f>
        <v>1016.7841648959289</v>
      </c>
      <c r="N100">
        <f>IF($J100&gt;MAX('Match Log'!$A$4:$A$1510),NA(),IFERROR(LOOKUP(2,1/(('Match Log'!$D$4:$D$1510=$N$24)*('Match Log'!$A$4:$A$1510&lt;=$J100)),'Match Log'!$N$4:$N$1510),NA()))</f>
        <v>945.01937787735187</v>
      </c>
      <c r="O100">
        <f>IF($J100&gt;MAX('Match Log'!$A$4:$A$1510),NA(),IFERROR(LOOKUP(2,1/(('Match Log'!$D$4:$D$1510=$O$24)*('Match Log'!$A$4:$A$1510&lt;=$J100)),'Match Log'!$N$4:$N$1510),NA()))</f>
        <v>1149.0986919838699</v>
      </c>
      <c r="P100">
        <f>IF($J100&gt;MAX('Match Log'!$A$4:$A$1510),NA(),IFERROR(LOOKUP(2,1/(('Match Log'!$D$4:$D$1510=$P$24)*('Match Log'!$A$4:$A$1510&lt;=$J100)),'Match Log'!$N$4:$N$1510),NA()))</f>
        <v>1015.682370808878</v>
      </c>
      <c r="Q100">
        <f>IF($J100&gt;MAX('Match Log'!$A$4:$A$1510),NA(),IFERROR(LOOKUP(2,1/(('Match Log'!$D$4:$D$1510=$Q$24)*('Match Log'!$A$4:$A$1510&lt;=$J100)),'Match Log'!$N$4:$N$1510),NA()))</f>
        <v>1123.6045548508635</v>
      </c>
      <c r="R100">
        <f>IF($J100&gt;MAX('Match Log'!$A$4:$A$1510),NA(),IFERROR(LOOKUP(2,1/(('Match Log'!$D$4:$D$1510=$R$24)*('Match Log'!$A$4:$A$1510&lt;=$J100)),'Match Log'!$N$4:$N$1510),NA()))</f>
        <v>1002.1803189253561</v>
      </c>
      <c r="S100">
        <f>IF($J100&gt;MAX('Match Log'!$A$4:$A$1510),NA(),IFERROR(LOOKUP(2,1/(('Match Log'!$D$4:$D$1510=$S$24)*('Match Log'!$A$4:$A$1510&lt;=$J100)),'Match Log'!$N$4:$N$1510),NA()))</f>
        <v>1120.1423602626535</v>
      </c>
      <c r="T100">
        <f>IF($J100&gt;MAX('Match Log'!$A$4:$A$1510),NA(),IFERROR(LOOKUP(2,1/(('Match Log'!$D$4:$D$1510=$T$24)*('Match Log'!$A$4:$A$1510&lt;=$J100)),'Match Log'!$N$4:$N$1510),NA()))</f>
        <v>910.15447684771107</v>
      </c>
      <c r="U100">
        <f>IF($J100&gt;MAX('Match Log'!$A$4:$A$1510),NA(),IFERROR(LOOKUP(2,1/(('Match Log'!$D$4:$D$1510=$U$24)*('Match Log'!$A$4:$A$1510&lt;=$J100)),'Match Log'!$N$4:$N$1510),NA()))</f>
        <v>982.56567131045529</v>
      </c>
      <c r="V100">
        <f>IF($J100&gt;MAX('Match Log'!$A$4:$A$1510),NA(),IFERROR(LOOKUP(2,1/(('Match Log'!$D$4:$D$1510=$V$24)*('Match Log'!$A$4:$A$1510&lt;=$J100)),'Match Log'!$N$4:$N$1510),NA()))</f>
        <v>993.19063600806498</v>
      </c>
      <c r="W100">
        <f>IF($J100&gt;MAX('Match Log'!$A$4:$A$1510),NA(),IFERROR(LOOKUP(2,1/(('Match Log'!$D$4:$D$1510=$W$24)*('Match Log'!$A$4:$A$1510&lt;=$J100)),'Match Log'!$N$4:$N$1510),NA()))</f>
        <v>1015.1045751781523</v>
      </c>
      <c r="X100" t="e">
        <f>IF($J100&gt;MAX('Match Log'!$A$4:$A$1510),NA(),IFERROR(LOOKUP(2,1/(('Match Log'!$D$4:$D$1510=$X$24)*('Match Log'!$A$4:$A$1510&lt;=$J100)),'Match Log'!$N$4:$N$1510),NA()))</f>
        <v>#N/A</v>
      </c>
      <c r="Y100" t="str">
        <f t="shared" ca="1" si="22"/>
        <v/>
      </c>
    </row>
    <row r="101" spans="1:25" ht="15" customHeight="1" x14ac:dyDescent="0.2">
      <c r="A101">
        <v>77</v>
      </c>
      <c r="B101" s="138">
        <f>IFERROR(INDEX('Match Log'!$B$4:$B$1510,MATCH($A101,'Match Log'!$A$4:$A$1510,0)),"")</f>
        <v>46188</v>
      </c>
      <c r="C101" t="str">
        <f>IFERROR(INDEX('Match Log'!$C$4:$C$1510,MATCH($A101,'Match Log'!$A$4:$A$1510,0)),"")</f>
        <v>ShuffleBoard</v>
      </c>
      <c r="D101" t="str">
        <f t="array" ref="D101">IFERROR(_xlfn.TEXTJOIN(" + ",TRUE(),IF(('Match Log'!$A$4:$A$1510=$A101)*('Match Log'!$E$4:$E$1510="Win"),'Match Log'!$D$4:$D$1510,"")),IFERROR(LOOKUP(2,1/(('Match Log'!$A$4:$A$1510=$A101)*('Match Log'!$E$4:$E$1510="Win")),'Match Log'!$D$4:$D$1510),""))</f>
        <v>Dean B + Daniel (Ferret)</v>
      </c>
      <c r="E101" s="139">
        <f>IFERROR(INDEX('Match Log'!$F$4:$F$1510,MATCH($A101,'Match Log'!$A$4:$A$1510,0)),"")</f>
        <v>4</v>
      </c>
      <c r="F101">
        <f>IFERROR(SUMIFS('Match Log'!$I$4:$I$1510,'Match Log'!$A$4:$A$1510,$A101,'Match Log'!$E$4:$E$1510,"Win"),"")</f>
        <v>0.67864271457085823</v>
      </c>
      <c r="G101">
        <f t="shared" si="20"/>
        <v>-1.7145708582834329</v>
      </c>
      <c r="H101" t="str">
        <f t="array" ref="H101">IFERROR(IF(COUNTIFS('Match Log'!$A$4:$A$1510,$A101,'Match Log'!$E$4:$E$1510,"Win")&gt;1,_xlfn.TEXTJOIN(" + ",TRUE(),IF(('Match Log'!$A$4:$A$1510=$A101)*('Match Log'!$E$4:$E$1510="Loss"),'Match Log'!$D$4:$D$1510,"")),IF($E101=2,LOOKUP(2,1/(('Match Log'!$A$4:$A$1510=$A101)*('Match Log'!$E$4:$E$1510="Loss")),'Match Log'!$D$4:$D$1510),"the field")),"")</f>
        <v>Cody + Aaron</v>
      </c>
      <c r="I101">
        <f t="shared" si="21"/>
        <v>-1.714647858283433</v>
      </c>
      <c r="J101">
        <v>77</v>
      </c>
      <c r="K101">
        <f>IF($J101&gt;MAX('Match Log'!$A$4:$A$1510),NA(),IFERROR(LOOKUP(2,1/(('Match Log'!$D$4:$D$1510=$K$24)*('Match Log'!$A$4:$A$1510&lt;=$J101)),'Match Log'!$N$4:$N$1510),NA()))</f>
        <v>1021.6565254856358</v>
      </c>
      <c r="L101">
        <f>IF($J101&gt;MAX('Match Log'!$A$4:$A$1510),NA(),IFERROR(LOOKUP(2,1/(('Match Log'!$D$4:$D$1510=$L$24)*('Match Log'!$A$4:$A$1510&lt;=$J101)),'Match Log'!$N$4:$N$1510),NA()))</f>
        <v>1008.6912616384085</v>
      </c>
      <c r="M101">
        <f>IF($J101&gt;MAX('Match Log'!$A$4:$A$1510),NA(),IFERROR(LOOKUP(2,1/(('Match Log'!$D$4:$D$1510=$M$24)*('Match Log'!$A$4:$A$1510&lt;=$J101)),'Match Log'!$N$4:$N$1510),NA()))</f>
        <v>1016.7841648959289</v>
      </c>
      <c r="N101">
        <f>IF($J101&gt;MAX('Match Log'!$A$4:$A$1510),NA(),IFERROR(LOOKUP(2,1/(('Match Log'!$D$4:$D$1510=$N$24)*('Match Log'!$A$4:$A$1510&lt;=$J101)),'Match Log'!$N$4:$N$1510),NA()))</f>
        <v>945.01937787735187</v>
      </c>
      <c r="O101">
        <f>IF($J101&gt;MAX('Match Log'!$A$4:$A$1510),NA(),IFERROR(LOOKUP(2,1/(('Match Log'!$D$4:$D$1510=$O$24)*('Match Log'!$A$4:$A$1510&lt;=$J101)),'Match Log'!$N$4:$N$1510),NA()))</f>
        <v>1149.0986919838699</v>
      </c>
      <c r="P101">
        <f>IF($J101&gt;MAX('Match Log'!$A$4:$A$1510),NA(),IFERROR(LOOKUP(2,1/(('Match Log'!$D$4:$D$1510=$P$24)*('Match Log'!$A$4:$A$1510&lt;=$J101)),'Match Log'!$N$4:$N$1510),NA()))</f>
        <v>1015.682370808878</v>
      </c>
      <c r="Q101">
        <f>IF($J101&gt;MAX('Match Log'!$A$4:$A$1510),NA(),IFERROR(LOOKUP(2,1/(('Match Log'!$D$4:$D$1510=$Q$24)*('Match Log'!$A$4:$A$1510&lt;=$J101)),'Match Log'!$N$4:$N$1510),NA()))</f>
        <v>1123.6045548508635</v>
      </c>
      <c r="R101">
        <f>IF($J101&gt;MAX('Match Log'!$A$4:$A$1510),NA(),IFERROR(LOOKUP(2,1/(('Match Log'!$D$4:$D$1510=$R$24)*('Match Log'!$A$4:$A$1510&lt;=$J101)),'Match Log'!$N$4:$N$1510),NA()))</f>
        <v>1019.2263207856954</v>
      </c>
      <c r="S101">
        <f>IF($J101&gt;MAX('Match Log'!$A$4:$A$1510),NA(),IFERROR(LOOKUP(2,1/(('Match Log'!$D$4:$D$1510=$S$24)*('Match Log'!$A$4:$A$1510&lt;=$J101)),'Match Log'!$N$4:$N$1510),NA()))</f>
        <v>1135.7512363744897</v>
      </c>
      <c r="T101">
        <f>IF($J101&gt;MAX('Match Log'!$A$4:$A$1510),NA(),IFERROR(LOOKUP(2,1/(('Match Log'!$D$4:$D$1510=$T$24)*('Match Log'!$A$4:$A$1510&lt;=$J101)),'Match Log'!$N$4:$N$1510),NA()))</f>
        <v>907.62461280220498</v>
      </c>
      <c r="U101">
        <f>IF($J101&gt;MAX('Match Log'!$A$4:$A$1510),NA(),IFERROR(LOOKUP(2,1/(('Match Log'!$D$4:$D$1510=$U$24)*('Match Log'!$A$4:$A$1510&lt;=$J101)),'Match Log'!$N$4:$N$1510),NA()))</f>
        <v>982.56567131045529</v>
      </c>
      <c r="V101">
        <f>IF($J101&gt;MAX('Match Log'!$A$4:$A$1510),NA(),IFERROR(LOOKUP(2,1/(('Match Log'!$D$4:$D$1510=$V$24)*('Match Log'!$A$4:$A$1510&lt;=$J101)),'Match Log'!$N$4:$N$1510),NA()))</f>
        <v>993.19063600806498</v>
      </c>
      <c r="W101">
        <f>IF($J101&gt;MAX('Match Log'!$A$4:$A$1510),NA(),IFERROR(LOOKUP(2,1/(('Match Log'!$D$4:$D$1510=$W$24)*('Match Log'!$A$4:$A$1510&lt;=$J101)),'Match Log'!$N$4:$N$1510),NA()))</f>
        <v>1015.1045751781523</v>
      </c>
      <c r="X101" t="e">
        <f>IF($J101&gt;MAX('Match Log'!$A$4:$A$1510),NA(),IFERROR(LOOKUP(2,1/(('Match Log'!$D$4:$D$1510=$X$24)*('Match Log'!$A$4:$A$1510&lt;=$J101)),'Match Log'!$N$4:$N$1510),NA()))</f>
        <v>#N/A</v>
      </c>
      <c r="Y101" t="str">
        <f t="shared" ca="1" si="22"/>
        <v/>
      </c>
    </row>
    <row r="102" spans="1:25" ht="15" customHeight="1" x14ac:dyDescent="0.2">
      <c r="A102">
        <v>78</v>
      </c>
      <c r="B102" s="138">
        <f>IFERROR(INDEX('Match Log'!$B$4:$B$1510,MATCH($A102,'Match Log'!$A$4:$A$1510,0)),"")</f>
        <v>46188</v>
      </c>
      <c r="C102" t="str">
        <f>IFERROR(INDEX('Match Log'!$C$4:$C$1510,MATCH($A102,'Match Log'!$A$4:$A$1510,0)),"")</f>
        <v>ShuffleBoard</v>
      </c>
      <c r="D102" t="str">
        <f t="array" ref="D102">IFERROR(_xlfn.TEXTJOIN(" + ",TRUE(),IF(('Match Log'!$A$4:$A$1510=$A102)*('Match Log'!$E$4:$E$1510="Win"),'Match Log'!$D$4:$D$1510,"")),IFERROR(LOOKUP(2,1/(('Match Log'!$A$4:$A$1510=$A102)*('Match Log'!$E$4:$E$1510="Win")),'Match Log'!$D$4:$D$1510),""))</f>
        <v>Beau + Dylan A</v>
      </c>
      <c r="E102" s="139">
        <f>IFERROR(INDEX('Match Log'!$F$4:$F$1510,MATCH($A102,'Match Log'!$A$4:$A$1510,0)),"")</f>
        <v>4</v>
      </c>
      <c r="F102">
        <f>IFERROR(SUMIFS('Match Log'!$I$4:$I$1510,'Match Log'!$A$4:$A$1510,$A102,'Match Log'!$E$4:$E$1510,"Win"),"")</f>
        <v>0.45427728613569318</v>
      </c>
      <c r="G102">
        <f t="shared" si="20"/>
        <v>-0.81710914454277273</v>
      </c>
      <c r="H102" t="str">
        <f t="array" ref="H102">IFERROR(IF(COUNTIFS('Match Log'!$A$4:$A$1510,$A102,'Match Log'!$E$4:$E$1510,"Win")&gt;1,_xlfn.TEXTJOIN(" + ",TRUE(),IF(('Match Log'!$A$4:$A$1510=$A102)*('Match Log'!$E$4:$E$1510="Loss"),'Match Log'!$D$4:$D$1510,"")),IF($E102=2,LOOKUP(2,1/(('Match Log'!$A$4:$A$1510=$A102)*('Match Log'!$E$4:$E$1510="Loss")),'Match Log'!$D$4:$D$1510),"the field")),"")</f>
        <v>Dean B + Daniel (Ferret)</v>
      </c>
      <c r="I102">
        <f t="shared" si="21"/>
        <v>-0.81718714454277275</v>
      </c>
      <c r="J102">
        <v>78</v>
      </c>
      <c r="K102">
        <f>IF($J102&gt;MAX('Match Log'!$A$4:$A$1510),NA(),IFERROR(LOOKUP(2,1/(('Match Log'!$D$4:$D$1510=$K$24)*('Match Log'!$A$4:$A$1510&lt;=$J102)),'Match Log'!$N$4:$N$1510),NA()))</f>
        <v>1021.6565254856358</v>
      </c>
      <c r="L102">
        <f>IF($J102&gt;MAX('Match Log'!$A$4:$A$1510),NA(),IFERROR(LOOKUP(2,1/(('Match Log'!$D$4:$D$1510=$L$24)*('Match Log'!$A$4:$A$1510&lt;=$J102)),'Match Log'!$N$4:$N$1510),NA()))</f>
        <v>1027.5695817506742</v>
      </c>
      <c r="M102">
        <f>IF($J102&gt;MAX('Match Log'!$A$4:$A$1510),NA(),IFERROR(LOOKUP(2,1/(('Match Log'!$D$4:$D$1510=$M$24)*('Match Log'!$A$4:$A$1510&lt;=$J102)),'Match Log'!$N$4:$N$1510),NA()))</f>
        <v>1016.7841648959289</v>
      </c>
      <c r="N102">
        <f>IF($J102&gt;MAX('Match Log'!$A$4:$A$1510),NA(),IFERROR(LOOKUP(2,1/(('Match Log'!$D$4:$D$1510=$N$24)*('Match Log'!$A$4:$A$1510&lt;=$J102)),'Match Log'!$N$4:$N$1510),NA()))</f>
        <v>945.01937787735187</v>
      </c>
      <c r="O102">
        <f>IF($J102&gt;MAX('Match Log'!$A$4:$A$1510),NA(),IFERROR(LOOKUP(2,1/(('Match Log'!$D$4:$D$1510=$O$24)*('Match Log'!$A$4:$A$1510&lt;=$J102)),'Match Log'!$N$4:$N$1510),NA()))</f>
        <v>1149.0986919838699</v>
      </c>
      <c r="P102">
        <f>IF($J102&gt;MAX('Match Log'!$A$4:$A$1510),NA(),IFERROR(LOOKUP(2,1/(('Match Log'!$D$4:$D$1510=$P$24)*('Match Log'!$A$4:$A$1510&lt;=$J102)),'Match Log'!$N$4:$N$1510),NA()))</f>
        <v>1015.682370808878</v>
      </c>
      <c r="Q102">
        <f>IF($J102&gt;MAX('Match Log'!$A$4:$A$1510),NA(),IFERROR(LOOKUP(2,1/(('Match Log'!$D$4:$D$1510=$Q$24)*('Match Log'!$A$4:$A$1510&lt;=$J102)),'Match Log'!$N$4:$N$1510),NA()))</f>
        <v>1123.6045548508635</v>
      </c>
      <c r="R102">
        <f>IF($J102&gt;MAX('Match Log'!$A$4:$A$1510),NA(),IFERROR(LOOKUP(2,1/(('Match Log'!$D$4:$D$1510=$R$24)*('Match Log'!$A$4:$A$1510&lt;=$J102)),'Match Log'!$N$4:$N$1510),NA()))</f>
        <v>1015.1301297807206</v>
      </c>
      <c r="S102">
        <f>IF($J102&gt;MAX('Match Log'!$A$4:$A$1510),NA(),IFERROR(LOOKUP(2,1/(('Match Log'!$D$4:$D$1510=$S$24)*('Match Log'!$A$4:$A$1510&lt;=$J102)),'Match Log'!$N$4:$N$1510),NA()))</f>
        <v>1129.5952119336941</v>
      </c>
      <c r="T102">
        <f>IF($J102&gt;MAX('Match Log'!$A$4:$A$1510),NA(),IFERROR(LOOKUP(2,1/(('Match Log'!$D$4:$D$1510=$T$24)*('Match Log'!$A$4:$A$1510&lt;=$J102)),'Match Log'!$N$4:$N$1510),NA()))</f>
        <v>907.62461280220498</v>
      </c>
      <c r="U102">
        <f>IF($J102&gt;MAX('Match Log'!$A$4:$A$1510),NA(),IFERROR(LOOKUP(2,1/(('Match Log'!$D$4:$D$1510=$U$24)*('Match Log'!$A$4:$A$1510&lt;=$J102)),'Match Log'!$N$4:$N$1510),NA()))</f>
        <v>982.56567131045529</v>
      </c>
      <c r="V102">
        <f>IF($J102&gt;MAX('Match Log'!$A$4:$A$1510),NA(),IFERROR(LOOKUP(2,1/(('Match Log'!$D$4:$D$1510=$V$24)*('Match Log'!$A$4:$A$1510&lt;=$J102)),'Match Log'!$N$4:$N$1510),NA()))</f>
        <v>993.19063600806498</v>
      </c>
      <c r="W102">
        <f>IF($J102&gt;MAX('Match Log'!$A$4:$A$1510),NA(),IFERROR(LOOKUP(2,1/(('Match Log'!$D$4:$D$1510=$W$24)*('Match Log'!$A$4:$A$1510&lt;=$J102)),'Match Log'!$N$4:$N$1510),NA()))</f>
        <v>1034.478470511657</v>
      </c>
      <c r="X102" t="e">
        <f>IF($J102&gt;MAX('Match Log'!$A$4:$A$1510),NA(),IFERROR(LOOKUP(2,1/(('Match Log'!$D$4:$D$1510=$X$24)*('Match Log'!$A$4:$A$1510&lt;=$J102)),'Match Log'!$N$4:$N$1510),NA()))</f>
        <v>#N/A</v>
      </c>
      <c r="Y102" t="str">
        <f t="shared" ca="1" si="22"/>
        <v/>
      </c>
    </row>
    <row r="103" spans="1:25" ht="15" customHeight="1" x14ac:dyDescent="0.2">
      <c r="A103">
        <v>79</v>
      </c>
      <c r="B103" s="138">
        <f>IFERROR(INDEX('Match Log'!$B$4:$B$1510,MATCH($A103,'Match Log'!$A$4:$A$1510,0)),"")</f>
        <v>46188</v>
      </c>
      <c r="C103" t="str">
        <f>IFERROR(INDEX('Match Log'!$C$4:$C$1510,MATCH($A103,'Match Log'!$A$4:$A$1510,0)),"")</f>
        <v>ShuffleBoard</v>
      </c>
      <c r="D103" t="str">
        <f t="array" ref="D103">IFERROR(_xlfn.TEXTJOIN(" + ",TRUE(),IF(('Match Log'!$A$4:$A$1510=$A103)*('Match Log'!$E$4:$E$1510="Win"),'Match Log'!$D$4:$D$1510,"")),IFERROR(LOOKUP(2,1/(('Match Log'!$A$4:$A$1510=$A103)*('Match Log'!$E$4:$E$1510="Win")),'Match Log'!$D$4:$D$1510),""))</f>
        <v>Oscar + Simon</v>
      </c>
      <c r="E103" s="139">
        <f>IFERROR(INDEX('Match Log'!$F$4:$F$1510,MATCH($A103,'Match Log'!$A$4:$A$1510,0)),"")</f>
        <v>4</v>
      </c>
      <c r="F103">
        <f>IFERROR(SUMIFS('Match Log'!$I$4:$I$1510,'Match Log'!$A$4:$A$1510,$A103,'Match Log'!$E$4:$E$1510,"Win"),"")</f>
        <v>0.4975961538461538</v>
      </c>
      <c r="G103">
        <f t="shared" si="20"/>
        <v>-0.9903846153846152</v>
      </c>
      <c r="H103" t="str">
        <f t="array" ref="H103">IFERROR(IF(COUNTIFS('Match Log'!$A$4:$A$1510,$A103,'Match Log'!$E$4:$E$1510,"Win")&gt;1,_xlfn.TEXTJOIN(" + ",TRUE(),IF(('Match Log'!$A$4:$A$1510=$A103)*('Match Log'!$E$4:$E$1510="Loss"),'Match Log'!$D$4:$D$1510,"")),IF($E103=2,LOOKUP(2,1/(('Match Log'!$A$4:$A$1510=$A103)*('Match Log'!$E$4:$E$1510="Loss")),'Match Log'!$D$4:$D$1510),"the field")),"")</f>
        <v>Beau + Dylan A</v>
      </c>
      <c r="I103">
        <f t="shared" si="21"/>
        <v>-0.99046361538461525</v>
      </c>
      <c r="J103">
        <v>79</v>
      </c>
      <c r="K103">
        <f>IF($J103&gt;MAX('Match Log'!$A$4:$A$1510),NA(),IFERROR(LOOKUP(2,1/(('Match Log'!$D$4:$D$1510=$K$24)*('Match Log'!$A$4:$A$1510&lt;=$J103)),'Match Log'!$N$4:$N$1510),NA()))</f>
        <v>1021.6565254856358</v>
      </c>
      <c r="L103">
        <f>IF($J103&gt;MAX('Match Log'!$A$4:$A$1510),NA(),IFERROR(LOOKUP(2,1/(('Match Log'!$D$4:$D$1510=$L$24)*('Match Log'!$A$4:$A$1510&lt;=$J103)),'Match Log'!$N$4:$N$1510),NA()))</f>
        <v>1023.1457455368679</v>
      </c>
      <c r="M103">
        <f>IF($J103&gt;MAX('Match Log'!$A$4:$A$1510),NA(),IFERROR(LOOKUP(2,1/(('Match Log'!$D$4:$D$1510=$M$24)*('Match Log'!$A$4:$A$1510&lt;=$J103)),'Match Log'!$N$4:$N$1510),NA()))</f>
        <v>1016.7841648959289</v>
      </c>
      <c r="N103">
        <f>IF($J103&gt;MAX('Match Log'!$A$4:$A$1510),NA(),IFERROR(LOOKUP(2,1/(('Match Log'!$D$4:$D$1510=$N$24)*('Match Log'!$A$4:$A$1510&lt;=$J103)),'Match Log'!$N$4:$N$1510),NA()))</f>
        <v>945.01937787735187</v>
      </c>
      <c r="O103">
        <f>IF($J103&gt;MAX('Match Log'!$A$4:$A$1510),NA(),IFERROR(LOOKUP(2,1/(('Match Log'!$D$4:$D$1510=$O$24)*('Match Log'!$A$4:$A$1510&lt;=$J103)),'Match Log'!$N$4:$N$1510),NA()))</f>
        <v>1149.0986919838699</v>
      </c>
      <c r="P103">
        <f>IF($J103&gt;MAX('Match Log'!$A$4:$A$1510),NA(),IFERROR(LOOKUP(2,1/(('Match Log'!$D$4:$D$1510=$P$24)*('Match Log'!$A$4:$A$1510&lt;=$J103)),'Match Log'!$N$4:$N$1510),NA()))</f>
        <v>1015.682370808878</v>
      </c>
      <c r="Q103">
        <f>IF($J103&gt;MAX('Match Log'!$A$4:$A$1510),NA(),IFERROR(LOOKUP(2,1/(('Match Log'!$D$4:$D$1510=$Q$24)*('Match Log'!$A$4:$A$1510&lt;=$J103)),'Match Log'!$N$4:$N$1510),NA()))</f>
        <v>1141.0387954836556</v>
      </c>
      <c r="R103">
        <f>IF($J103&gt;MAX('Match Log'!$A$4:$A$1510),NA(),IFERROR(LOOKUP(2,1/(('Match Log'!$D$4:$D$1510=$R$24)*('Match Log'!$A$4:$A$1510&lt;=$J103)),'Match Log'!$N$4:$N$1510),NA()))</f>
        <v>1015.1301297807206</v>
      </c>
      <c r="S103">
        <f>IF($J103&gt;MAX('Match Log'!$A$4:$A$1510),NA(),IFERROR(LOOKUP(2,1/(('Match Log'!$D$4:$D$1510=$S$24)*('Match Log'!$A$4:$A$1510&lt;=$J103)),'Match Log'!$N$4:$N$1510),NA()))</f>
        <v>1129.5952119336941</v>
      </c>
      <c r="T103">
        <f>IF($J103&gt;MAX('Match Log'!$A$4:$A$1510),NA(),IFERROR(LOOKUP(2,1/(('Match Log'!$D$4:$D$1510=$T$24)*('Match Log'!$A$4:$A$1510&lt;=$J103)),'Match Log'!$N$4:$N$1510),NA()))</f>
        <v>907.62461280220498</v>
      </c>
      <c r="U103">
        <f>IF($J103&gt;MAX('Match Log'!$A$4:$A$1510),NA(),IFERROR(LOOKUP(2,1/(('Match Log'!$D$4:$D$1510=$U$24)*('Match Log'!$A$4:$A$1510&lt;=$J103)),'Match Log'!$N$4:$N$1510),NA()))</f>
        <v>1001.6441427124781</v>
      </c>
      <c r="V103">
        <f>IF($J103&gt;MAX('Match Log'!$A$4:$A$1510),NA(),IFERROR(LOOKUP(2,1/(('Match Log'!$D$4:$D$1510=$V$24)*('Match Log'!$A$4:$A$1510&lt;=$J103)),'Match Log'!$N$4:$N$1510),NA()))</f>
        <v>993.19063600806498</v>
      </c>
      <c r="W103">
        <f>IF($J103&gt;MAX('Match Log'!$A$4:$A$1510),NA(),IFERROR(LOOKUP(2,1/(('Match Log'!$D$4:$D$1510=$W$24)*('Match Log'!$A$4:$A$1510&lt;=$J103)),'Match Log'!$N$4:$N$1510),NA()))</f>
        <v>1030.3895946906482</v>
      </c>
      <c r="X103" t="e">
        <f>IF($J103&gt;MAX('Match Log'!$A$4:$A$1510),NA(),IFERROR(LOOKUP(2,1/(('Match Log'!$D$4:$D$1510=$X$24)*('Match Log'!$A$4:$A$1510&lt;=$J103)),'Match Log'!$N$4:$N$1510),NA()))</f>
        <v>#N/A</v>
      </c>
      <c r="Y103" t="str">
        <f t="shared" ca="1" si="22"/>
        <v/>
      </c>
    </row>
    <row r="104" spans="1:25" ht="15" customHeight="1" x14ac:dyDescent="0.2">
      <c r="A104">
        <v>80</v>
      </c>
      <c r="B104" s="138">
        <f>IFERROR(INDEX('Match Log'!$B$4:$B$1510,MATCH($A104,'Match Log'!$A$4:$A$1510,0)),"")</f>
        <v>46188</v>
      </c>
      <c r="C104" t="str">
        <f>IFERROR(INDEX('Match Log'!$C$4:$C$1510,MATCH($A104,'Match Log'!$A$4:$A$1510,0)),"")</f>
        <v>ShuffleBoard</v>
      </c>
      <c r="D104" t="str">
        <f t="array" ref="D104">IFERROR(_xlfn.TEXTJOIN(" + ",TRUE(),IF(('Match Log'!$A$4:$A$1510=$A104)*('Match Log'!$E$4:$E$1510="Win"),'Match Log'!$D$4:$D$1510,"")),IFERROR(LOOKUP(2,1/(('Match Log'!$A$4:$A$1510=$A104)*('Match Log'!$E$4:$E$1510="Win")),'Match Log'!$D$4:$D$1510),""))</f>
        <v>Josh + Shawn</v>
      </c>
      <c r="E104" s="139">
        <f>IFERROR(INDEX('Match Log'!$F$4:$F$1510,MATCH($A104,'Match Log'!$A$4:$A$1510,0)),"")</f>
        <v>4</v>
      </c>
      <c r="F104">
        <f>IFERROR(SUMIFS('Match Log'!$I$4:$I$1510,'Match Log'!$A$4:$A$1510,$A104,'Match Log'!$E$4:$E$1510,"Win"),"")</f>
        <v>0.41329479768786126</v>
      </c>
      <c r="G104">
        <f t="shared" si="20"/>
        <v>-0.65317919075144504</v>
      </c>
      <c r="H104" t="str">
        <f t="array" ref="H104">IFERROR(IF(COUNTIFS('Match Log'!$A$4:$A$1510,$A104,'Match Log'!$E$4:$E$1510,"Win")&gt;1,_xlfn.TEXTJOIN(" + ",TRUE(),IF(('Match Log'!$A$4:$A$1510=$A104)*('Match Log'!$E$4:$E$1510="Loss"),'Match Log'!$D$4:$D$1510,"")),IF($E104=2,LOOKUP(2,1/(('Match Log'!$A$4:$A$1510=$A104)*('Match Log'!$E$4:$E$1510="Loss")),'Match Log'!$D$4:$D$1510),"the field")),"")</f>
        <v>Simon + Oscar</v>
      </c>
      <c r="I104">
        <f t="shared" si="21"/>
        <v>-0.65325919075144501</v>
      </c>
      <c r="J104">
        <v>80</v>
      </c>
      <c r="K104">
        <f>IF($J104&gt;MAX('Match Log'!$A$4:$A$1510),NA(),IFERROR(LOOKUP(2,1/(('Match Log'!$D$4:$D$1510=$K$24)*('Match Log'!$A$4:$A$1510&lt;=$J104)),'Match Log'!$N$4:$N$1510),NA()))</f>
        <v>1021.6565254856358</v>
      </c>
      <c r="L104">
        <f>IF($J104&gt;MAX('Match Log'!$A$4:$A$1510),NA(),IFERROR(LOOKUP(2,1/(('Match Log'!$D$4:$D$1510=$L$24)*('Match Log'!$A$4:$A$1510&lt;=$J104)),'Match Log'!$N$4:$N$1510),NA()))</f>
        <v>1023.1457455368679</v>
      </c>
      <c r="M104">
        <f>IF($J104&gt;MAX('Match Log'!$A$4:$A$1510),NA(),IFERROR(LOOKUP(2,1/(('Match Log'!$D$4:$D$1510=$M$24)*('Match Log'!$A$4:$A$1510&lt;=$J104)),'Match Log'!$N$4:$N$1510),NA()))</f>
        <v>1016.7841648959289</v>
      </c>
      <c r="N104">
        <f>IF($J104&gt;MAX('Match Log'!$A$4:$A$1510),NA(),IFERROR(LOOKUP(2,1/(('Match Log'!$D$4:$D$1510=$N$24)*('Match Log'!$A$4:$A$1510&lt;=$J104)),'Match Log'!$N$4:$N$1510),NA()))</f>
        <v>945.01937787735187</v>
      </c>
      <c r="O104">
        <f>IF($J104&gt;MAX('Match Log'!$A$4:$A$1510),NA(),IFERROR(LOOKUP(2,1/(('Match Log'!$D$4:$D$1510=$O$24)*('Match Log'!$A$4:$A$1510&lt;=$J104)),'Match Log'!$N$4:$N$1510),NA()))</f>
        <v>1168.170776111107</v>
      </c>
      <c r="P104">
        <f>IF($J104&gt;MAX('Match Log'!$A$4:$A$1510),NA(),IFERROR(LOOKUP(2,1/(('Match Log'!$D$4:$D$1510=$P$24)*('Match Log'!$A$4:$A$1510&lt;=$J104)),'Match Log'!$N$4:$N$1510),NA()))</f>
        <v>1034.3729520459417</v>
      </c>
      <c r="Q104">
        <f>IF($J104&gt;MAX('Match Log'!$A$4:$A$1510),NA(),IFERROR(LOOKUP(2,1/(('Match Log'!$D$4:$D$1510=$Q$24)*('Match Log'!$A$4:$A$1510&lt;=$J104)),'Match Log'!$N$4:$N$1510),NA()))</f>
        <v>1134.4182842305047</v>
      </c>
      <c r="R104">
        <f>IF($J104&gt;MAX('Match Log'!$A$4:$A$1510),NA(),IFERROR(LOOKUP(2,1/(('Match Log'!$D$4:$D$1510=$R$24)*('Match Log'!$A$4:$A$1510&lt;=$J104)),'Match Log'!$N$4:$N$1510),NA()))</f>
        <v>1015.1301297807206</v>
      </c>
      <c r="S104">
        <f>IF($J104&gt;MAX('Match Log'!$A$4:$A$1510),NA(),IFERROR(LOOKUP(2,1/(('Match Log'!$D$4:$D$1510=$S$24)*('Match Log'!$A$4:$A$1510&lt;=$J104)),'Match Log'!$N$4:$N$1510),NA()))</f>
        <v>1129.5952119336941</v>
      </c>
      <c r="T104">
        <f>IF($J104&gt;MAX('Match Log'!$A$4:$A$1510),NA(),IFERROR(LOOKUP(2,1/(('Match Log'!$D$4:$D$1510=$T$24)*('Match Log'!$A$4:$A$1510&lt;=$J104)),'Match Log'!$N$4:$N$1510),NA()))</f>
        <v>907.62461280220498</v>
      </c>
      <c r="U104">
        <f>IF($J104&gt;MAX('Match Log'!$A$4:$A$1510),NA(),IFERROR(LOOKUP(2,1/(('Match Log'!$D$4:$D$1510=$U$24)*('Match Log'!$A$4:$A$1510&lt;=$J104)),'Match Log'!$N$4:$N$1510),NA()))</f>
        <v>998.50198860132832</v>
      </c>
      <c r="V104">
        <f>IF($J104&gt;MAX('Match Log'!$A$4:$A$1510),NA(),IFERROR(LOOKUP(2,1/(('Match Log'!$D$4:$D$1510=$V$24)*('Match Log'!$A$4:$A$1510&lt;=$J104)),'Match Log'!$N$4:$N$1510),NA()))</f>
        <v>993.19063600806498</v>
      </c>
      <c r="W104">
        <f>IF($J104&gt;MAX('Match Log'!$A$4:$A$1510),NA(),IFERROR(LOOKUP(2,1/(('Match Log'!$D$4:$D$1510=$W$24)*('Match Log'!$A$4:$A$1510&lt;=$J104)),'Match Log'!$N$4:$N$1510),NA()))</f>
        <v>1030.3895946906482</v>
      </c>
      <c r="X104" t="e">
        <f>IF($J104&gt;MAX('Match Log'!$A$4:$A$1510),NA(),IFERROR(LOOKUP(2,1/(('Match Log'!$D$4:$D$1510=$X$24)*('Match Log'!$A$4:$A$1510&lt;=$J104)),'Match Log'!$N$4:$N$1510),NA()))</f>
        <v>#N/A</v>
      </c>
      <c r="Y104" t="str">
        <f t="shared" ca="1" si="22"/>
        <v/>
      </c>
    </row>
    <row r="105" spans="1:25" ht="15" customHeight="1" x14ac:dyDescent="0.2">
      <c r="A105">
        <v>81</v>
      </c>
      <c r="B105" s="138">
        <f>IFERROR(INDEX('Match Log'!$B$4:$B$1510,MATCH($A105,'Match Log'!$A$4:$A$1510,0)),"")</f>
        <v>46188</v>
      </c>
      <c r="C105" t="str">
        <f>IFERROR(INDEX('Match Log'!$C$4:$C$1510,MATCH($A105,'Match Log'!$A$4:$A$1510,0)),"")</f>
        <v>ShuffleBoard</v>
      </c>
      <c r="D105" t="str">
        <f t="array" ref="D105">IFERROR(_xlfn.TEXTJOIN(" + ",TRUE(),IF(('Match Log'!$A$4:$A$1510=$A105)*('Match Log'!$E$4:$E$1510="Win"),'Match Log'!$D$4:$D$1510,"")),IFERROR(LOOKUP(2,1/(('Match Log'!$A$4:$A$1510=$A105)*('Match Log'!$E$4:$E$1510="Win")),'Match Log'!$D$4:$D$1510),""))</f>
        <v>Dean B + Daniel (Ferret)</v>
      </c>
      <c r="E105" s="139">
        <f>IFERROR(INDEX('Match Log'!$F$4:$F$1510,MATCH($A105,'Match Log'!$A$4:$A$1510,0)),"")</f>
        <v>4</v>
      </c>
      <c r="F105">
        <f>IFERROR(SUMIFS('Match Log'!$I$4:$I$1510,'Match Log'!$A$4:$A$1510,$A105,'Match Log'!$E$4:$E$1510,"Win"),"")</f>
        <v>0.52499999999999991</v>
      </c>
      <c r="G105">
        <f t="shared" si="20"/>
        <v>-1.0999999999999996</v>
      </c>
      <c r="H105" t="str">
        <f t="array" ref="H105">IFERROR(IF(COUNTIFS('Match Log'!$A$4:$A$1510,$A105,'Match Log'!$E$4:$E$1510,"Win")&gt;1,_xlfn.TEXTJOIN(" + ",TRUE(),IF(('Match Log'!$A$4:$A$1510=$A105)*('Match Log'!$E$4:$E$1510="Loss"),'Match Log'!$D$4:$D$1510,"")),IF($E105=2,LOOKUP(2,1/(('Match Log'!$A$4:$A$1510=$A105)*('Match Log'!$E$4:$E$1510="Loss")),'Match Log'!$D$4:$D$1510),"the field")),"")</f>
        <v>Josh + Shawn</v>
      </c>
      <c r="I105">
        <f t="shared" si="21"/>
        <v>-1.1000809999999996</v>
      </c>
      <c r="J105">
        <v>81</v>
      </c>
      <c r="K105">
        <f>IF($J105&gt;MAX('Match Log'!$A$4:$A$1510),NA(),IFERROR(LOOKUP(2,1/(('Match Log'!$D$4:$D$1510=$K$24)*('Match Log'!$A$4:$A$1510&lt;=$J105)),'Match Log'!$N$4:$N$1510),NA()))</f>
        <v>1021.6565254856358</v>
      </c>
      <c r="L105">
        <f>IF($J105&gt;MAX('Match Log'!$A$4:$A$1510),NA(),IFERROR(LOOKUP(2,1/(('Match Log'!$D$4:$D$1510=$L$24)*('Match Log'!$A$4:$A$1510&lt;=$J105)),'Match Log'!$N$4:$N$1510),NA()))</f>
        <v>1023.1457455368679</v>
      </c>
      <c r="M105">
        <f>IF($J105&gt;MAX('Match Log'!$A$4:$A$1510),NA(),IFERROR(LOOKUP(2,1/(('Match Log'!$D$4:$D$1510=$M$24)*('Match Log'!$A$4:$A$1510&lt;=$J105)),'Match Log'!$N$4:$N$1510),NA()))</f>
        <v>1016.7841648959289</v>
      </c>
      <c r="N105">
        <f>IF($J105&gt;MAX('Match Log'!$A$4:$A$1510),NA(),IFERROR(LOOKUP(2,1/(('Match Log'!$D$4:$D$1510=$N$24)*('Match Log'!$A$4:$A$1510&lt;=$J105)),'Match Log'!$N$4:$N$1510),NA()))</f>
        <v>945.01937787735187</v>
      </c>
      <c r="O105">
        <f>IF($J105&gt;MAX('Match Log'!$A$4:$A$1510),NA(),IFERROR(LOOKUP(2,1/(('Match Log'!$D$4:$D$1510=$O$24)*('Match Log'!$A$4:$A$1510&lt;=$J105)),'Match Log'!$N$4:$N$1510),NA()))</f>
        <v>1163.6212140890921</v>
      </c>
      <c r="P105">
        <f>IF($J105&gt;MAX('Match Log'!$A$4:$A$1510),NA(),IFERROR(LOOKUP(2,1/(('Match Log'!$D$4:$D$1510=$P$24)*('Match Log'!$A$4:$A$1510&lt;=$J105)),'Match Log'!$N$4:$N$1510),NA()))</f>
        <v>1030.3478233323813</v>
      </c>
      <c r="Q105">
        <f>IF($J105&gt;MAX('Match Log'!$A$4:$A$1510),NA(),IFERROR(LOOKUP(2,1/(('Match Log'!$D$4:$D$1510=$Q$24)*('Match Log'!$A$4:$A$1510&lt;=$J105)),'Match Log'!$N$4:$N$1510),NA()))</f>
        <v>1134.4182842305047</v>
      </c>
      <c r="R105">
        <f>IF($J105&gt;MAX('Match Log'!$A$4:$A$1510),NA(),IFERROR(LOOKUP(2,1/(('Match Log'!$D$4:$D$1510=$R$24)*('Match Log'!$A$4:$A$1510&lt;=$J105)),'Match Log'!$N$4:$N$1510),NA()))</f>
        <v>1033.8674751485082</v>
      </c>
      <c r="S105">
        <f>IF($J105&gt;MAX('Match Log'!$A$4:$A$1510),NA(),IFERROR(LOOKUP(2,1/(('Match Log'!$D$4:$D$1510=$S$24)*('Match Log'!$A$4:$A$1510&lt;=$J105)),'Match Log'!$N$4:$N$1510),NA()))</f>
        <v>1147.4325573014819</v>
      </c>
      <c r="T105">
        <f>IF($J105&gt;MAX('Match Log'!$A$4:$A$1510),NA(),IFERROR(LOOKUP(2,1/(('Match Log'!$D$4:$D$1510=$T$24)*('Match Log'!$A$4:$A$1510&lt;=$J105)),'Match Log'!$N$4:$N$1510),NA()))</f>
        <v>907.62461280220498</v>
      </c>
      <c r="U105">
        <f>IF($J105&gt;MAX('Match Log'!$A$4:$A$1510),NA(),IFERROR(LOOKUP(2,1/(('Match Log'!$D$4:$D$1510=$U$24)*('Match Log'!$A$4:$A$1510&lt;=$J105)),'Match Log'!$N$4:$N$1510),NA()))</f>
        <v>998.50198860132832</v>
      </c>
      <c r="V105">
        <f>IF($J105&gt;MAX('Match Log'!$A$4:$A$1510),NA(),IFERROR(LOOKUP(2,1/(('Match Log'!$D$4:$D$1510=$V$24)*('Match Log'!$A$4:$A$1510&lt;=$J105)),'Match Log'!$N$4:$N$1510),NA()))</f>
        <v>993.19063600806498</v>
      </c>
      <c r="W105">
        <f>IF($J105&gt;MAX('Match Log'!$A$4:$A$1510),NA(),IFERROR(LOOKUP(2,1/(('Match Log'!$D$4:$D$1510=$W$24)*('Match Log'!$A$4:$A$1510&lt;=$J105)),'Match Log'!$N$4:$N$1510),NA()))</f>
        <v>1030.3895946906482</v>
      </c>
      <c r="X105" t="e">
        <f>IF($J105&gt;MAX('Match Log'!$A$4:$A$1510),NA(),IFERROR(LOOKUP(2,1/(('Match Log'!$D$4:$D$1510=$X$24)*('Match Log'!$A$4:$A$1510&lt;=$J105)),'Match Log'!$N$4:$N$1510),NA()))</f>
        <v>#N/A</v>
      </c>
      <c r="Y105" t="str">
        <f t="shared" ca="1" si="22"/>
        <v/>
      </c>
    </row>
    <row r="106" spans="1:25" ht="15" customHeight="1" x14ac:dyDescent="0.2">
      <c r="A106">
        <v>82</v>
      </c>
      <c r="B106" s="138">
        <f>IFERROR(INDEX('Match Log'!$B$4:$B$1510,MATCH($A106,'Match Log'!$A$4:$A$1510,0)),"")</f>
        <v>46188</v>
      </c>
      <c r="C106" t="str">
        <f>IFERROR(INDEX('Match Log'!$C$4:$C$1510,MATCH($A106,'Match Log'!$A$4:$A$1510,0)),"")</f>
        <v>ShuffleBoard</v>
      </c>
      <c r="D106" t="str">
        <f t="array" ref="D106">IFERROR(_xlfn.TEXTJOIN(" + ",TRUE(),IF(('Match Log'!$A$4:$A$1510=$A106)*('Match Log'!$E$4:$E$1510="Win"),'Match Log'!$D$4:$D$1510,"")),IFERROR(LOOKUP(2,1/(('Match Log'!$A$4:$A$1510=$A106)*('Match Log'!$E$4:$E$1510="Win")),'Match Log'!$D$4:$D$1510),""))</f>
        <v>Dean B + Daniel (Ferret)</v>
      </c>
      <c r="E106" s="139">
        <f>IFERROR(INDEX('Match Log'!$F$4:$F$1510,MATCH($A106,'Match Log'!$A$4:$A$1510,0)),"")</f>
        <v>4</v>
      </c>
      <c r="F106">
        <f>IFERROR(SUMIFS('Match Log'!$I$4:$I$1510,'Match Log'!$A$4:$A$1510,$A106,'Match Log'!$E$4:$E$1510,"Win"),"")</f>
        <v>0.68277945619335356</v>
      </c>
      <c r="G106">
        <f t="shared" si="20"/>
        <v>-1.7311178247734142</v>
      </c>
      <c r="H106" t="str">
        <f t="array" ref="H106">IFERROR(IF(COUNTIFS('Match Log'!$A$4:$A$1510,$A106,'Match Log'!$E$4:$E$1510,"Win")&gt;1,_xlfn.TEXTJOIN(" + ",TRUE(),IF(('Match Log'!$A$4:$A$1510=$A106)*('Match Log'!$E$4:$E$1510="Loss"),'Match Log'!$D$4:$D$1510,"")),IF($E106=2,LOOKUP(2,1/(('Match Log'!$A$4:$A$1510=$A106)*('Match Log'!$E$4:$E$1510="Loss")),'Match Log'!$D$4:$D$1510),"the field")),"")</f>
        <v>David + Dean M</v>
      </c>
      <c r="I106">
        <f t="shared" si="21"/>
        <v>-1.7311998247734142</v>
      </c>
      <c r="J106">
        <v>82</v>
      </c>
      <c r="K106">
        <f>IF($J106&gt;MAX('Match Log'!$A$4:$A$1510),NA(),IFERROR(LOOKUP(2,1/(('Match Log'!$D$4:$D$1510=$K$24)*('Match Log'!$A$4:$A$1510&lt;=$J106)),'Match Log'!$N$4:$N$1510),NA()))</f>
        <v>1021.6565254856358</v>
      </c>
      <c r="L106">
        <f>IF($J106&gt;MAX('Match Log'!$A$4:$A$1510),NA(),IFERROR(LOOKUP(2,1/(('Match Log'!$D$4:$D$1510=$L$24)*('Match Log'!$A$4:$A$1510&lt;=$J106)),'Match Log'!$N$4:$N$1510),NA()))</f>
        <v>1023.1457455368679</v>
      </c>
      <c r="M106">
        <f>IF($J106&gt;MAX('Match Log'!$A$4:$A$1510),NA(),IFERROR(LOOKUP(2,1/(('Match Log'!$D$4:$D$1510=$M$24)*('Match Log'!$A$4:$A$1510&lt;=$J106)),'Match Log'!$N$4:$N$1510),NA()))</f>
        <v>1016.7841648959289</v>
      </c>
      <c r="N106">
        <f>IF($J106&gt;MAX('Match Log'!$A$4:$A$1510),NA(),IFERROR(LOOKUP(2,1/(('Match Log'!$D$4:$D$1510=$N$24)*('Match Log'!$A$4:$A$1510&lt;=$J106)),'Match Log'!$N$4:$N$1510),NA()))</f>
        <v>942.73504361181142</v>
      </c>
      <c r="O106">
        <f>IF($J106&gt;MAX('Match Log'!$A$4:$A$1510),NA(),IFERROR(LOOKUP(2,1/(('Match Log'!$D$4:$D$1510=$O$24)*('Match Log'!$A$4:$A$1510&lt;=$J106)),'Match Log'!$N$4:$N$1510),NA()))</f>
        <v>1163.6212140890921</v>
      </c>
      <c r="P106">
        <f>IF($J106&gt;MAX('Match Log'!$A$4:$A$1510),NA(),IFERROR(LOOKUP(2,1/(('Match Log'!$D$4:$D$1510=$P$24)*('Match Log'!$A$4:$A$1510&lt;=$J106)),'Match Log'!$N$4:$N$1510),NA()))</f>
        <v>1030.3478233323813</v>
      </c>
      <c r="Q106">
        <f>IF($J106&gt;MAX('Match Log'!$A$4:$A$1510),NA(),IFERROR(LOOKUP(2,1/(('Match Log'!$D$4:$D$1510=$Q$24)*('Match Log'!$A$4:$A$1510&lt;=$J106)),'Match Log'!$N$4:$N$1510),NA()))</f>
        <v>1134.4182842305047</v>
      </c>
      <c r="R106">
        <f>IF($J106&gt;MAX('Match Log'!$A$4:$A$1510),NA(),IFERROR(LOOKUP(2,1/(('Match Log'!$D$4:$D$1510=$R$24)*('Match Log'!$A$4:$A$1510&lt;=$J106)),'Match Log'!$N$4:$N$1510),NA()))</f>
        <v>1050.5530282585637</v>
      </c>
      <c r="S106">
        <f>IF($J106&gt;MAX('Match Log'!$A$4:$A$1510),NA(),IFERROR(LOOKUP(2,1/(('Match Log'!$D$4:$D$1510=$S$24)*('Match Log'!$A$4:$A$1510&lt;=$J106)),'Match Log'!$N$4:$N$1510),NA()))</f>
        <v>1163.1755122242262</v>
      </c>
      <c r="T106">
        <f>IF($J106&gt;MAX('Match Log'!$A$4:$A$1510),NA(),IFERROR(LOOKUP(2,1/(('Match Log'!$D$4:$D$1510=$T$24)*('Match Log'!$A$4:$A$1510&lt;=$J106)),'Match Log'!$N$4:$N$1510),NA()))</f>
        <v>907.62461280220498</v>
      </c>
      <c r="U106">
        <f>IF($J106&gt;MAX('Match Log'!$A$4:$A$1510),NA(),IFERROR(LOOKUP(2,1/(('Match Log'!$D$4:$D$1510=$U$24)*('Match Log'!$A$4:$A$1510&lt;=$J106)),'Match Log'!$N$4:$N$1510),NA()))</f>
        <v>998.50198860132832</v>
      </c>
      <c r="V106">
        <f>IF($J106&gt;MAX('Match Log'!$A$4:$A$1510),NA(),IFERROR(LOOKUP(2,1/(('Match Log'!$D$4:$D$1510=$V$24)*('Match Log'!$A$4:$A$1510&lt;=$J106)),'Match Log'!$N$4:$N$1510),NA()))</f>
        <v>991.04646224080557</v>
      </c>
      <c r="W106">
        <f>IF($J106&gt;MAX('Match Log'!$A$4:$A$1510),NA(),IFERROR(LOOKUP(2,1/(('Match Log'!$D$4:$D$1510=$W$24)*('Match Log'!$A$4:$A$1510&lt;=$J106)),'Match Log'!$N$4:$N$1510),NA()))</f>
        <v>1030.3895946906482</v>
      </c>
      <c r="X106" t="e">
        <f>IF($J106&gt;MAX('Match Log'!$A$4:$A$1510),NA(),IFERROR(LOOKUP(2,1/(('Match Log'!$D$4:$D$1510=$X$24)*('Match Log'!$A$4:$A$1510&lt;=$J106)),'Match Log'!$N$4:$N$1510),NA()))</f>
        <v>#N/A</v>
      </c>
      <c r="Y106" t="str">
        <f t="shared" ca="1" si="22"/>
        <v/>
      </c>
    </row>
    <row r="107" spans="1:25" ht="15" customHeight="1" x14ac:dyDescent="0.2">
      <c r="A107">
        <v>83</v>
      </c>
      <c r="B107" s="138">
        <f>IFERROR(INDEX('Match Log'!$B$4:$B$1510,MATCH($A107,'Match Log'!$A$4:$A$1510,0)),"")</f>
        <v>46188</v>
      </c>
      <c r="C107" t="str">
        <f>IFERROR(INDEX('Match Log'!$C$4:$C$1510,MATCH($A107,'Match Log'!$A$4:$A$1510,0)),"")</f>
        <v>ShuffleBoard</v>
      </c>
      <c r="D107" t="str">
        <f t="array" ref="D107">IFERROR(_xlfn.TEXTJOIN(" + ",TRUE(),IF(('Match Log'!$A$4:$A$1510=$A107)*('Match Log'!$E$4:$E$1510="Win"),'Match Log'!$D$4:$D$1510,"")),IFERROR(LOOKUP(2,1/(('Match Log'!$A$4:$A$1510=$A107)*('Match Log'!$E$4:$E$1510="Win")),'Match Log'!$D$4:$D$1510),""))</f>
        <v>Aaron + Beau</v>
      </c>
      <c r="E107" s="139">
        <f>IFERROR(INDEX('Match Log'!$F$4:$F$1510,MATCH($A107,'Match Log'!$A$4:$A$1510,0)),"")</f>
        <v>4</v>
      </c>
      <c r="F107">
        <f>IFERROR(SUMIFS('Match Log'!$I$4:$I$1510,'Match Log'!$A$4:$A$1510,$A107,'Match Log'!$E$4:$E$1510,"Win"),"")</f>
        <v>0.35736742821211487</v>
      </c>
      <c r="G107">
        <f t="shared" si="20"/>
        <v>-0.42946971284845947</v>
      </c>
      <c r="H107" t="str">
        <f t="array" ref="H107">IFERROR(IF(COUNTIFS('Match Log'!$A$4:$A$1510,$A107,'Match Log'!$E$4:$E$1510,"Win")&gt;1,_xlfn.TEXTJOIN(" + ",TRUE(),IF(('Match Log'!$A$4:$A$1510=$A107)*('Match Log'!$E$4:$E$1510="Loss"),'Match Log'!$D$4:$D$1510,"")),IF($E107=2,LOOKUP(2,1/(('Match Log'!$A$4:$A$1510=$A107)*('Match Log'!$E$4:$E$1510="Loss")),'Match Log'!$D$4:$D$1510),"the field")),"")</f>
        <v>Dean B + Daniel (Ferret)</v>
      </c>
      <c r="I107">
        <f t="shared" si="21"/>
        <v>-0.42955271284845947</v>
      </c>
      <c r="J107">
        <v>83</v>
      </c>
      <c r="K107">
        <f>IF($J107&gt;MAX('Match Log'!$A$4:$A$1510),NA(),IFERROR(LOOKUP(2,1/(('Match Log'!$D$4:$D$1510=$K$24)*('Match Log'!$A$4:$A$1510&lt;=$J107)),'Match Log'!$N$4:$N$1510),NA()))</f>
        <v>1042.7215023329356</v>
      </c>
      <c r="L107">
        <f>IF($J107&gt;MAX('Match Log'!$A$4:$A$1510),NA(),IFERROR(LOOKUP(2,1/(('Match Log'!$D$4:$D$1510=$L$24)*('Match Log'!$A$4:$A$1510&lt;=$J107)),'Match Log'!$N$4:$N$1510),NA()))</f>
        <v>1041.859014146901</v>
      </c>
      <c r="M107">
        <f>IF($J107&gt;MAX('Match Log'!$A$4:$A$1510),NA(),IFERROR(LOOKUP(2,1/(('Match Log'!$D$4:$D$1510=$M$24)*('Match Log'!$A$4:$A$1510&lt;=$J107)),'Match Log'!$N$4:$N$1510),NA()))</f>
        <v>1016.7841648959289</v>
      </c>
      <c r="N107">
        <f>IF($J107&gt;MAX('Match Log'!$A$4:$A$1510),NA(),IFERROR(LOOKUP(2,1/(('Match Log'!$D$4:$D$1510=$N$24)*('Match Log'!$A$4:$A$1510&lt;=$J107)),'Match Log'!$N$4:$N$1510),NA()))</f>
        <v>942.73504361181142</v>
      </c>
      <c r="O107">
        <f>IF($J107&gt;MAX('Match Log'!$A$4:$A$1510),NA(),IFERROR(LOOKUP(2,1/(('Match Log'!$D$4:$D$1510=$O$24)*('Match Log'!$A$4:$A$1510&lt;=$J107)),'Match Log'!$N$4:$N$1510),NA()))</f>
        <v>1163.6212140890921</v>
      </c>
      <c r="P107">
        <f>IF($J107&gt;MAX('Match Log'!$A$4:$A$1510),NA(),IFERROR(LOOKUP(2,1/(('Match Log'!$D$4:$D$1510=$P$24)*('Match Log'!$A$4:$A$1510&lt;=$J107)),'Match Log'!$N$4:$N$1510),NA()))</f>
        <v>1030.3478233323813</v>
      </c>
      <c r="Q107">
        <f>IF($J107&gt;MAX('Match Log'!$A$4:$A$1510),NA(),IFERROR(LOOKUP(2,1/(('Match Log'!$D$4:$D$1510=$Q$24)*('Match Log'!$A$4:$A$1510&lt;=$J107)),'Match Log'!$N$4:$N$1510),NA()))</f>
        <v>1134.4182842305047</v>
      </c>
      <c r="R107">
        <f>IF($J107&gt;MAX('Match Log'!$A$4:$A$1510),NA(),IFERROR(LOOKUP(2,1/(('Match Log'!$D$4:$D$1510=$R$24)*('Match Log'!$A$4:$A$1510&lt;=$J107)),'Match Log'!$N$4:$N$1510),NA()))</f>
        <v>1045.5502368060577</v>
      </c>
      <c r="S107">
        <f>IF($J107&gt;MAX('Match Log'!$A$4:$A$1510),NA(),IFERROR(LOOKUP(2,1/(('Match Log'!$D$4:$D$1510=$S$24)*('Match Log'!$A$4:$A$1510&lt;=$J107)),'Match Log'!$N$4:$N$1510),NA()))</f>
        <v>1156.4000582193994</v>
      </c>
      <c r="T107">
        <f>IF($J107&gt;MAX('Match Log'!$A$4:$A$1510),NA(),IFERROR(LOOKUP(2,1/(('Match Log'!$D$4:$D$1510=$T$24)*('Match Log'!$A$4:$A$1510&lt;=$J107)),'Match Log'!$N$4:$N$1510),NA()))</f>
        <v>907.62461280220498</v>
      </c>
      <c r="U107">
        <f>IF($J107&gt;MAX('Match Log'!$A$4:$A$1510),NA(),IFERROR(LOOKUP(2,1/(('Match Log'!$D$4:$D$1510=$U$24)*('Match Log'!$A$4:$A$1510&lt;=$J107)),'Match Log'!$N$4:$N$1510),NA()))</f>
        <v>998.50198860132832</v>
      </c>
      <c r="V107">
        <f>IF($J107&gt;MAX('Match Log'!$A$4:$A$1510),NA(),IFERROR(LOOKUP(2,1/(('Match Log'!$D$4:$D$1510=$V$24)*('Match Log'!$A$4:$A$1510&lt;=$J107)),'Match Log'!$N$4:$N$1510),NA()))</f>
        <v>991.04646224080557</v>
      </c>
      <c r="W107">
        <f>IF($J107&gt;MAX('Match Log'!$A$4:$A$1510),NA(),IFERROR(LOOKUP(2,1/(('Match Log'!$D$4:$D$1510=$W$24)*('Match Log'!$A$4:$A$1510&lt;=$J107)),'Match Log'!$N$4:$N$1510),NA()))</f>
        <v>1030.3895946906482</v>
      </c>
      <c r="X107" t="e">
        <f>IF($J107&gt;MAX('Match Log'!$A$4:$A$1510),NA(),IFERROR(LOOKUP(2,1/(('Match Log'!$D$4:$D$1510=$X$24)*('Match Log'!$A$4:$A$1510&lt;=$J107)),'Match Log'!$N$4:$N$1510),NA()))</f>
        <v>#N/A</v>
      </c>
      <c r="Y107" t="str">
        <f t="shared" ca="1" si="22"/>
        <v/>
      </c>
    </row>
    <row r="108" spans="1:25" ht="15" customHeight="1" x14ac:dyDescent="0.2">
      <c r="A108">
        <v>84</v>
      </c>
      <c r="B108" s="138">
        <f>IFERROR(INDEX('Match Log'!$B$4:$B$1510,MATCH($A108,'Match Log'!$A$4:$A$1510,0)),"")</f>
        <v>46188</v>
      </c>
      <c r="C108" t="str">
        <f>IFERROR(INDEX('Match Log'!$C$4:$C$1510,MATCH($A108,'Match Log'!$A$4:$A$1510,0)),"")</f>
        <v>ShuffleBoard</v>
      </c>
      <c r="D108" t="str">
        <f t="array" ref="D108">IFERROR(_xlfn.TEXTJOIN(" + ",TRUE(),IF(('Match Log'!$A$4:$A$1510=$A108)*('Match Log'!$E$4:$E$1510="Win"),'Match Log'!$D$4:$D$1510,"")),IFERROR(LOOKUP(2,1/(('Match Log'!$A$4:$A$1510=$A108)*('Match Log'!$E$4:$E$1510="Win")),'Match Log'!$D$4:$D$1510),""))</f>
        <v>Aaron + Beau</v>
      </c>
      <c r="E108" s="139">
        <f>IFERROR(INDEX('Match Log'!$F$4:$F$1510,MATCH($A108,'Match Log'!$A$4:$A$1510,0)),"")</f>
        <v>4</v>
      </c>
      <c r="F108">
        <f>IFERROR(SUMIFS('Match Log'!$I$4:$I$1510,'Match Log'!$A$4:$A$1510,$A108,'Match Log'!$E$4:$E$1510,"Win"),"")</f>
        <v>0.42912621359223302</v>
      </c>
      <c r="G108">
        <f t="shared" si="20"/>
        <v>-0.71650485436893208</v>
      </c>
      <c r="H108" t="str">
        <f t="array" ref="H108">IFERROR(IF(COUNTIFS('Match Log'!$A$4:$A$1510,$A108,'Match Log'!$E$4:$E$1510,"Win")&gt;1,_xlfn.TEXTJOIN(" + ",TRUE(),IF(('Match Log'!$A$4:$A$1510=$A108)*('Match Log'!$E$4:$E$1510="Loss"),'Match Log'!$D$4:$D$1510,"")),IF($E108=2,LOOKUP(2,1/(('Match Log'!$A$4:$A$1510=$A108)*('Match Log'!$E$4:$E$1510="Loss")),'Match Log'!$D$4:$D$1510),"the field")),"")</f>
        <v>Simon + Oscar</v>
      </c>
      <c r="I108">
        <f t="shared" si="21"/>
        <v>-0.71658885436893205</v>
      </c>
      <c r="J108">
        <v>84</v>
      </c>
      <c r="K108">
        <f>IF($J108&gt;MAX('Match Log'!$A$4:$A$1510),NA(),IFERROR(LOOKUP(2,1/(('Match Log'!$D$4:$D$1510=$K$24)*('Match Log'!$A$4:$A$1510&lt;=$J108)),'Match Log'!$N$4:$N$1510),NA()))</f>
        <v>1062.6606687297008</v>
      </c>
      <c r="L108">
        <f>IF($J108&gt;MAX('Match Log'!$A$4:$A$1510),NA(),IFERROR(LOOKUP(2,1/(('Match Log'!$D$4:$D$1510=$L$24)*('Match Log'!$A$4:$A$1510&lt;=$J108)),'Match Log'!$N$4:$N$1510),NA()))</f>
        <v>1059.8797339417242</v>
      </c>
      <c r="M108">
        <f>IF($J108&gt;MAX('Match Log'!$A$4:$A$1510),NA(),IFERROR(LOOKUP(2,1/(('Match Log'!$D$4:$D$1510=$M$24)*('Match Log'!$A$4:$A$1510&lt;=$J108)),'Match Log'!$N$4:$N$1510),NA()))</f>
        <v>1016.7841648959289</v>
      </c>
      <c r="N108">
        <f>IF($J108&gt;MAX('Match Log'!$A$4:$A$1510),NA(),IFERROR(LOOKUP(2,1/(('Match Log'!$D$4:$D$1510=$N$24)*('Match Log'!$A$4:$A$1510&lt;=$J108)),'Match Log'!$N$4:$N$1510),NA()))</f>
        <v>942.73504361181142</v>
      </c>
      <c r="O108">
        <f>IF($J108&gt;MAX('Match Log'!$A$4:$A$1510),NA(),IFERROR(LOOKUP(2,1/(('Match Log'!$D$4:$D$1510=$O$24)*('Match Log'!$A$4:$A$1510&lt;=$J108)),'Match Log'!$N$4:$N$1510),NA()))</f>
        <v>1163.6212140890921</v>
      </c>
      <c r="P108">
        <f>IF($J108&gt;MAX('Match Log'!$A$4:$A$1510),NA(),IFERROR(LOOKUP(2,1/(('Match Log'!$D$4:$D$1510=$P$24)*('Match Log'!$A$4:$A$1510&lt;=$J108)),'Match Log'!$N$4:$N$1510),NA()))</f>
        <v>1030.3478233323813</v>
      </c>
      <c r="Q108">
        <f>IF($J108&gt;MAX('Match Log'!$A$4:$A$1510),NA(),IFERROR(LOOKUP(2,1/(('Match Log'!$D$4:$D$1510=$Q$24)*('Match Log'!$A$4:$A$1510&lt;=$J108)),'Match Log'!$N$4:$N$1510),NA()))</f>
        <v>1127.7581209868999</v>
      </c>
      <c r="R108">
        <f>IF($J108&gt;MAX('Match Log'!$A$4:$A$1510),NA(),IFERROR(LOOKUP(2,1/(('Match Log'!$D$4:$D$1510=$R$24)*('Match Log'!$A$4:$A$1510&lt;=$J108)),'Match Log'!$N$4:$N$1510),NA()))</f>
        <v>1045.5502368060577</v>
      </c>
      <c r="S108">
        <f>IF($J108&gt;MAX('Match Log'!$A$4:$A$1510),NA(),IFERROR(LOOKUP(2,1/(('Match Log'!$D$4:$D$1510=$S$24)*('Match Log'!$A$4:$A$1510&lt;=$J108)),'Match Log'!$N$4:$N$1510),NA()))</f>
        <v>1156.4000582193994</v>
      </c>
      <c r="T108">
        <f>IF($J108&gt;MAX('Match Log'!$A$4:$A$1510),NA(),IFERROR(LOOKUP(2,1/(('Match Log'!$D$4:$D$1510=$T$24)*('Match Log'!$A$4:$A$1510&lt;=$J108)),'Match Log'!$N$4:$N$1510),NA()))</f>
        <v>907.62461280220498</v>
      </c>
      <c r="U108">
        <f>IF($J108&gt;MAX('Match Log'!$A$4:$A$1510),NA(),IFERROR(LOOKUP(2,1/(('Match Log'!$D$4:$D$1510=$U$24)*('Match Log'!$A$4:$A$1510&lt;=$J108)),'Match Log'!$N$4:$N$1510),NA()))</f>
        <v>995.20226565334463</v>
      </c>
      <c r="V108">
        <f>IF($J108&gt;MAX('Match Log'!$A$4:$A$1510),NA(),IFERROR(LOOKUP(2,1/(('Match Log'!$D$4:$D$1510=$V$24)*('Match Log'!$A$4:$A$1510&lt;=$J108)),'Match Log'!$N$4:$N$1510),NA()))</f>
        <v>991.04646224080557</v>
      </c>
      <c r="W108">
        <f>IF($J108&gt;MAX('Match Log'!$A$4:$A$1510),NA(),IFERROR(LOOKUP(2,1/(('Match Log'!$D$4:$D$1510=$W$24)*('Match Log'!$A$4:$A$1510&lt;=$J108)),'Match Log'!$N$4:$N$1510),NA()))</f>
        <v>1030.3895946906482</v>
      </c>
      <c r="X108" t="e">
        <f>IF($J108&gt;MAX('Match Log'!$A$4:$A$1510),NA(),IFERROR(LOOKUP(2,1/(('Match Log'!$D$4:$D$1510=$X$24)*('Match Log'!$A$4:$A$1510&lt;=$J108)),'Match Log'!$N$4:$N$1510),NA()))</f>
        <v>#N/A</v>
      </c>
      <c r="Y108" t="str">
        <f t="shared" ca="1" si="22"/>
        <v/>
      </c>
    </row>
    <row r="109" spans="1:25" ht="15" customHeight="1" x14ac:dyDescent="0.2">
      <c r="A109">
        <v>85</v>
      </c>
      <c r="B109" s="138">
        <f>IFERROR(INDEX('Match Log'!$B$4:$B$1510,MATCH($A109,'Match Log'!$A$4:$A$1510,0)),"")</f>
        <v>46188</v>
      </c>
      <c r="C109" t="str">
        <f>IFERROR(INDEX('Match Log'!$C$4:$C$1510,MATCH($A109,'Match Log'!$A$4:$A$1510,0)),"")</f>
        <v>ShuffleBoard</v>
      </c>
      <c r="D109" t="str">
        <f t="array" ref="D109">IFERROR(_xlfn.TEXTJOIN(" + ",TRUE(),IF(('Match Log'!$A$4:$A$1510=$A109)*('Match Log'!$E$4:$E$1510="Win"),'Match Log'!$D$4:$D$1510,"")),IFERROR(LOOKUP(2,1/(('Match Log'!$A$4:$A$1510=$A109)*('Match Log'!$E$4:$E$1510="Win")),'Match Log'!$D$4:$D$1510),""))</f>
        <v>Dean M + David</v>
      </c>
      <c r="E109" s="139">
        <f>IFERROR(INDEX('Match Log'!$F$4:$F$1510,MATCH($A109,'Match Log'!$A$4:$A$1510,0)),"")</f>
        <v>4</v>
      </c>
      <c r="F109">
        <f>IFERROR(SUMIFS('Match Log'!$I$4:$I$1510,'Match Log'!$A$4:$A$1510,$A109,'Match Log'!$E$4:$E$1510,"Win"),"")</f>
        <v>0.31800467653936093</v>
      </c>
      <c r="G109">
        <f t="shared" si="20"/>
        <v>-0.27201870615744372</v>
      </c>
      <c r="H109" t="str">
        <f t="array" ref="H109">IFERROR(IF(COUNTIFS('Match Log'!$A$4:$A$1510,$A109,'Match Log'!$E$4:$E$1510,"Win")&gt;1,_xlfn.TEXTJOIN(" + ",TRUE(),IF(('Match Log'!$A$4:$A$1510=$A109)*('Match Log'!$E$4:$E$1510="Loss"),'Match Log'!$D$4:$D$1510,"")),IF($E109=2,LOOKUP(2,1/(('Match Log'!$A$4:$A$1510=$A109)*('Match Log'!$E$4:$E$1510="Loss")),'Match Log'!$D$4:$D$1510),"the field")),"")</f>
        <v>Aaron + Beau</v>
      </c>
      <c r="I109">
        <f t="shared" si="21"/>
        <v>-0.27210370615744373</v>
      </c>
      <c r="J109">
        <v>85</v>
      </c>
      <c r="K109">
        <f>IF($J109&gt;MAX('Match Log'!$A$4:$A$1510),NA(),IFERROR(LOOKUP(2,1/(('Match Log'!$D$4:$D$1510=$K$24)*('Match Log'!$A$4:$A$1510&lt;=$J109)),'Match Log'!$N$4:$N$1510),NA()))</f>
        <v>1057.8233661943223</v>
      </c>
      <c r="L109">
        <f>IF($J109&gt;MAX('Match Log'!$A$4:$A$1510),NA(),IFERROR(LOOKUP(2,1/(('Match Log'!$D$4:$D$1510=$L$24)*('Match Log'!$A$4:$A$1510&lt;=$J109)),'Match Log'!$N$4:$N$1510),NA()))</f>
        <v>1052.3273037957808</v>
      </c>
      <c r="M109">
        <f>IF($J109&gt;MAX('Match Log'!$A$4:$A$1510),NA(),IFERROR(LOOKUP(2,1/(('Match Log'!$D$4:$D$1510=$M$24)*('Match Log'!$A$4:$A$1510&lt;=$J109)),'Match Log'!$N$4:$N$1510),NA()))</f>
        <v>1016.7841648959289</v>
      </c>
      <c r="N109">
        <f>IF($J109&gt;MAX('Match Log'!$A$4:$A$1510),NA(),IFERROR(LOOKUP(2,1/(('Match Log'!$D$4:$D$1510=$N$24)*('Match Log'!$A$4:$A$1510&lt;=$J109)),'Match Log'!$N$4:$N$1510),NA()))</f>
        <v>962.59319911848957</v>
      </c>
      <c r="O109">
        <f>IF($J109&gt;MAX('Match Log'!$A$4:$A$1510),NA(),IFERROR(LOOKUP(2,1/(('Match Log'!$D$4:$D$1510=$O$24)*('Match Log'!$A$4:$A$1510&lt;=$J109)),'Match Log'!$N$4:$N$1510),NA()))</f>
        <v>1163.6212140890921</v>
      </c>
      <c r="P109">
        <f>IF($J109&gt;MAX('Match Log'!$A$4:$A$1510),NA(),IFERROR(LOOKUP(2,1/(('Match Log'!$D$4:$D$1510=$P$24)*('Match Log'!$A$4:$A$1510&lt;=$J109)),'Match Log'!$N$4:$N$1510),NA()))</f>
        <v>1030.3478233323813</v>
      </c>
      <c r="Q109">
        <f>IF($J109&gt;MAX('Match Log'!$A$4:$A$1510),NA(),IFERROR(LOOKUP(2,1/(('Match Log'!$D$4:$D$1510=$Q$24)*('Match Log'!$A$4:$A$1510&lt;=$J109)),'Match Log'!$N$4:$N$1510),NA()))</f>
        <v>1127.7581209868999</v>
      </c>
      <c r="R109">
        <f>IF($J109&gt;MAX('Match Log'!$A$4:$A$1510),NA(),IFERROR(LOOKUP(2,1/(('Match Log'!$D$4:$D$1510=$R$24)*('Match Log'!$A$4:$A$1510&lt;=$J109)),'Match Log'!$N$4:$N$1510),NA()))</f>
        <v>1045.5502368060577</v>
      </c>
      <c r="S109">
        <f>IF($J109&gt;MAX('Match Log'!$A$4:$A$1510),NA(),IFERROR(LOOKUP(2,1/(('Match Log'!$D$4:$D$1510=$S$24)*('Match Log'!$A$4:$A$1510&lt;=$J109)),'Match Log'!$N$4:$N$1510),NA()))</f>
        <v>1156.4000582193994</v>
      </c>
      <c r="T109">
        <f>IF($J109&gt;MAX('Match Log'!$A$4:$A$1510),NA(),IFERROR(LOOKUP(2,1/(('Match Log'!$D$4:$D$1510=$T$24)*('Match Log'!$A$4:$A$1510&lt;=$J109)),'Match Log'!$N$4:$N$1510),NA()))</f>
        <v>907.62461280220498</v>
      </c>
      <c r="U109">
        <f>IF($J109&gt;MAX('Match Log'!$A$4:$A$1510),NA(),IFERROR(LOOKUP(2,1/(('Match Log'!$D$4:$D$1510=$U$24)*('Match Log'!$A$4:$A$1510&lt;=$J109)),'Match Log'!$N$4:$N$1510),NA()))</f>
        <v>995.20226565334463</v>
      </c>
      <c r="V109">
        <f>IF($J109&gt;MAX('Match Log'!$A$4:$A$1510),NA(),IFERROR(LOOKUP(2,1/(('Match Log'!$D$4:$D$1510=$V$24)*('Match Log'!$A$4:$A$1510&lt;=$J109)),'Match Log'!$N$4:$N$1510),NA()))</f>
        <v>1011.5780394154493</v>
      </c>
      <c r="W109">
        <f>IF($J109&gt;MAX('Match Log'!$A$4:$A$1510),NA(),IFERROR(LOOKUP(2,1/(('Match Log'!$D$4:$D$1510=$W$24)*('Match Log'!$A$4:$A$1510&lt;=$J109)),'Match Log'!$N$4:$N$1510),NA()))</f>
        <v>1030.3895946906482</v>
      </c>
      <c r="X109" t="e">
        <f>IF($J109&gt;MAX('Match Log'!$A$4:$A$1510),NA(),IFERROR(LOOKUP(2,1/(('Match Log'!$D$4:$D$1510=$X$24)*('Match Log'!$A$4:$A$1510&lt;=$J109)),'Match Log'!$N$4:$N$1510),NA()))</f>
        <v>#N/A</v>
      </c>
      <c r="Y109" t="str">
        <f t="shared" ca="1" si="22"/>
        <v/>
      </c>
    </row>
    <row r="110" spans="1:25" ht="15" customHeight="1" x14ac:dyDescent="0.2">
      <c r="A110">
        <v>86</v>
      </c>
      <c r="B110" s="138">
        <f>IFERROR(INDEX('Match Log'!$B$4:$B$1510,MATCH($A110,'Match Log'!$A$4:$A$1510,0)),"")</f>
        <v>46188</v>
      </c>
      <c r="C110" t="str">
        <f>IFERROR(INDEX('Match Log'!$C$4:$C$1510,MATCH($A110,'Match Log'!$A$4:$A$1510,0)),"")</f>
        <v>ShuffleBoard</v>
      </c>
      <c r="D110" t="str">
        <f t="array" ref="D110">IFERROR(_xlfn.TEXTJOIN(" + ",TRUE(),IF(('Match Log'!$A$4:$A$1510=$A110)*('Match Log'!$E$4:$E$1510="Win"),'Match Log'!$D$4:$D$1510,"")),IFERROR(LOOKUP(2,1/(('Match Log'!$A$4:$A$1510=$A110)*('Match Log'!$E$4:$E$1510="Win")),'Match Log'!$D$4:$D$1510),""))</f>
        <v>Dean M + David</v>
      </c>
      <c r="E110" s="139">
        <f>IFERROR(INDEX('Match Log'!$F$4:$F$1510,MATCH($A110,'Match Log'!$A$4:$A$1510,0)),"")</f>
        <v>4</v>
      </c>
      <c r="F110">
        <f>IFERROR(SUMIFS('Match Log'!$I$4:$I$1510,'Match Log'!$A$4:$A$1510,$A110,'Match Log'!$E$4:$E$1510,"Win"),"")</f>
        <v>0.4285714285714286</v>
      </c>
      <c r="G110">
        <f t="shared" si="20"/>
        <v>-0.71428571428571441</v>
      </c>
      <c r="H110" t="str">
        <f t="array" ref="H110">IFERROR(IF(COUNTIFS('Match Log'!$A$4:$A$1510,$A110,'Match Log'!$E$4:$E$1510,"Win")&gt;1,_xlfn.TEXTJOIN(" + ",TRUE(),IF(('Match Log'!$A$4:$A$1510=$A110)*('Match Log'!$E$4:$E$1510="Loss"),'Match Log'!$D$4:$D$1510,"")),IF($E110=2,LOOKUP(2,1/(('Match Log'!$A$4:$A$1510=$A110)*('Match Log'!$E$4:$E$1510="Loss")),'Match Log'!$D$4:$D$1510),"the field")),"")</f>
        <v>Shawn + Josh</v>
      </c>
      <c r="I110">
        <f t="shared" si="21"/>
        <v>-0.71437171428571444</v>
      </c>
      <c r="J110">
        <v>86</v>
      </c>
      <c r="K110">
        <f>IF($J110&gt;MAX('Match Log'!$A$4:$A$1510),NA(),IFERROR(LOOKUP(2,1/(('Match Log'!$D$4:$D$1510=$K$24)*('Match Log'!$A$4:$A$1510&lt;=$J110)),'Match Log'!$N$4:$N$1510),NA()))</f>
        <v>1057.8233661943223</v>
      </c>
      <c r="L110">
        <f>IF($J110&gt;MAX('Match Log'!$A$4:$A$1510),NA(),IFERROR(LOOKUP(2,1/(('Match Log'!$D$4:$D$1510=$L$24)*('Match Log'!$A$4:$A$1510&lt;=$J110)),'Match Log'!$N$4:$N$1510),NA()))</f>
        <v>1052.3273037957808</v>
      </c>
      <c r="M110">
        <f>IF($J110&gt;MAX('Match Log'!$A$4:$A$1510),NA(),IFERROR(LOOKUP(2,1/(('Match Log'!$D$4:$D$1510=$M$24)*('Match Log'!$A$4:$A$1510&lt;=$J110)),'Match Log'!$N$4:$N$1510),NA()))</f>
        <v>1016.7841648959289</v>
      </c>
      <c r="N110">
        <f>IF($J110&gt;MAX('Match Log'!$A$4:$A$1510),NA(),IFERROR(LOOKUP(2,1/(('Match Log'!$D$4:$D$1510=$N$24)*('Match Log'!$A$4:$A$1510&lt;=$J110)),'Match Log'!$N$4:$N$1510),NA()))</f>
        <v>981.90186446660846</v>
      </c>
      <c r="O110">
        <f>IF($J110&gt;MAX('Match Log'!$A$4:$A$1510),NA(),IFERROR(LOOKUP(2,1/(('Match Log'!$D$4:$D$1510=$O$24)*('Match Log'!$A$4:$A$1510&lt;=$J110)),'Match Log'!$N$4:$N$1510),NA()))</f>
        <v>1158.0015364689252</v>
      </c>
      <c r="P110">
        <f>IF($J110&gt;MAX('Match Log'!$A$4:$A$1510),NA(),IFERROR(LOOKUP(2,1/(('Match Log'!$D$4:$D$1510=$P$24)*('Match Log'!$A$4:$A$1510&lt;=$J110)),'Match Log'!$N$4:$N$1510),NA()))</f>
        <v>1025.047649247907</v>
      </c>
      <c r="Q110">
        <f>IF($J110&gt;MAX('Match Log'!$A$4:$A$1510),NA(),IFERROR(LOOKUP(2,1/(('Match Log'!$D$4:$D$1510=$Q$24)*('Match Log'!$A$4:$A$1510&lt;=$J110)),'Match Log'!$N$4:$N$1510),NA()))</f>
        <v>1127.7581209868999</v>
      </c>
      <c r="R110">
        <f>IF($J110&gt;MAX('Match Log'!$A$4:$A$1510),NA(),IFERROR(LOOKUP(2,1/(('Match Log'!$D$4:$D$1510=$R$24)*('Match Log'!$A$4:$A$1510&lt;=$J110)),'Match Log'!$N$4:$N$1510),NA()))</f>
        <v>1045.5502368060577</v>
      </c>
      <c r="S110">
        <f>IF($J110&gt;MAX('Match Log'!$A$4:$A$1510),NA(),IFERROR(LOOKUP(2,1/(('Match Log'!$D$4:$D$1510=$S$24)*('Match Log'!$A$4:$A$1510&lt;=$J110)),'Match Log'!$N$4:$N$1510),NA()))</f>
        <v>1156.4000582193994</v>
      </c>
      <c r="T110">
        <f>IF($J110&gt;MAX('Match Log'!$A$4:$A$1510),NA(),IFERROR(LOOKUP(2,1/(('Match Log'!$D$4:$D$1510=$T$24)*('Match Log'!$A$4:$A$1510&lt;=$J110)),'Match Log'!$N$4:$N$1510),NA()))</f>
        <v>907.62461280220498</v>
      </c>
      <c r="U110">
        <f>IF($J110&gt;MAX('Match Log'!$A$4:$A$1510),NA(),IFERROR(LOOKUP(2,1/(('Match Log'!$D$4:$D$1510=$U$24)*('Match Log'!$A$4:$A$1510&lt;=$J110)),'Match Log'!$N$4:$N$1510),NA()))</f>
        <v>995.20226565334463</v>
      </c>
      <c r="V110">
        <f>IF($J110&gt;MAX('Match Log'!$A$4:$A$1510),NA(),IFERROR(LOOKUP(2,1/(('Match Log'!$D$4:$D$1510=$V$24)*('Match Log'!$A$4:$A$1510&lt;=$J110)),'Match Log'!$N$4:$N$1510),NA()))</f>
        <v>1031.1892257719715</v>
      </c>
      <c r="W110">
        <f>IF($J110&gt;MAX('Match Log'!$A$4:$A$1510),NA(),IFERROR(LOOKUP(2,1/(('Match Log'!$D$4:$D$1510=$W$24)*('Match Log'!$A$4:$A$1510&lt;=$J110)),'Match Log'!$N$4:$N$1510),NA()))</f>
        <v>1030.3895946906482</v>
      </c>
      <c r="X110" t="e">
        <f>IF($J110&gt;MAX('Match Log'!$A$4:$A$1510),NA(),IFERROR(LOOKUP(2,1/(('Match Log'!$D$4:$D$1510=$X$24)*('Match Log'!$A$4:$A$1510&lt;=$J110)),'Match Log'!$N$4:$N$1510),NA()))</f>
        <v>#N/A</v>
      </c>
      <c r="Y110" t="str">
        <f t="shared" ca="1" si="22"/>
        <v/>
      </c>
    </row>
    <row r="111" spans="1:25" ht="15" customHeight="1" x14ac:dyDescent="0.2">
      <c r="A111">
        <v>87</v>
      </c>
      <c r="B111" s="138">
        <f>IFERROR(INDEX('Match Log'!$B$4:$B$1510,MATCH($A111,'Match Log'!$A$4:$A$1510,0)),"")</f>
        <v>46188</v>
      </c>
      <c r="C111" t="str">
        <f>IFERROR(INDEX('Match Log'!$C$4:$C$1510,MATCH($A111,'Match Log'!$A$4:$A$1510,0)),"")</f>
        <v>Pool</v>
      </c>
      <c r="D111" t="str">
        <f t="array" ref="D111">IFERROR(_xlfn.TEXTJOIN(" + ",TRUE(),IF(('Match Log'!$A$4:$A$1510=$A111)*('Match Log'!$E$4:$E$1510="Win"),'Match Log'!$D$4:$D$1510,"")),IFERROR(LOOKUP(2,1/(('Match Log'!$A$4:$A$1510=$A111)*('Match Log'!$E$4:$E$1510="Win")),'Match Log'!$D$4:$D$1510),""))</f>
        <v>Simon</v>
      </c>
      <c r="E111" s="139">
        <f>IFERROR(INDEX('Match Log'!$F$4:$F$1510,MATCH($A111,'Match Log'!$A$4:$A$1510,0)),"")</f>
        <v>2</v>
      </c>
      <c r="F111">
        <f>IFERROR(SUMIFS('Match Log'!$I$4:$I$1510,'Match Log'!$A$4:$A$1510,$A111,'Match Log'!$E$4:$E$1510,"Win"),"")</f>
        <v>0.5</v>
      </c>
      <c r="G111">
        <f t="shared" si="20"/>
        <v>0</v>
      </c>
      <c r="H111" t="str">
        <f t="array" ref="H111">IFERROR(IF(COUNTIFS('Match Log'!$A$4:$A$1510,$A111,'Match Log'!$E$4:$E$1510,"Win")&gt;1,_xlfn.TEXTJOIN(" + ",TRUE(),IF(('Match Log'!$A$4:$A$1510=$A111)*('Match Log'!$E$4:$E$1510="Loss"),'Match Log'!$D$4:$D$1510,"")),IF($E111=2,LOOKUP(2,1/(('Match Log'!$A$4:$A$1510=$A111)*('Match Log'!$E$4:$E$1510="Loss")),'Match Log'!$D$4:$D$1510),"the field")),"")</f>
        <v>Dean B</v>
      </c>
      <c r="I111">
        <f t="shared" si="21"/>
        <v>-8.7000000000000001E-5</v>
      </c>
      <c r="J111">
        <v>87</v>
      </c>
      <c r="K111">
        <f>IF($J111&gt;MAX('Match Log'!$A$4:$A$1510),NA(),IFERROR(LOOKUP(2,1/(('Match Log'!$D$4:$D$1510=$K$24)*('Match Log'!$A$4:$A$1510&lt;=$J111)),'Match Log'!$N$4:$N$1510),NA()))</f>
        <v>1057.8233661943223</v>
      </c>
      <c r="L111">
        <f>IF($J111&gt;MAX('Match Log'!$A$4:$A$1510),NA(),IFERROR(LOOKUP(2,1/(('Match Log'!$D$4:$D$1510=$L$24)*('Match Log'!$A$4:$A$1510&lt;=$J111)),'Match Log'!$N$4:$N$1510),NA()))</f>
        <v>1052.3273037957808</v>
      </c>
      <c r="M111">
        <f>IF($J111&gt;MAX('Match Log'!$A$4:$A$1510),NA(),IFERROR(LOOKUP(2,1/(('Match Log'!$D$4:$D$1510=$M$24)*('Match Log'!$A$4:$A$1510&lt;=$J111)),'Match Log'!$N$4:$N$1510),NA()))</f>
        <v>1016.7841648959289</v>
      </c>
      <c r="N111">
        <f>IF($J111&gt;MAX('Match Log'!$A$4:$A$1510),NA(),IFERROR(LOOKUP(2,1/(('Match Log'!$D$4:$D$1510=$N$24)*('Match Log'!$A$4:$A$1510&lt;=$J111)),'Match Log'!$N$4:$N$1510),NA()))</f>
        <v>981.90186446660846</v>
      </c>
      <c r="O111">
        <f>IF($J111&gt;MAX('Match Log'!$A$4:$A$1510),NA(),IFERROR(LOOKUP(2,1/(('Match Log'!$D$4:$D$1510=$O$24)*('Match Log'!$A$4:$A$1510&lt;=$J111)),'Match Log'!$N$4:$N$1510),NA()))</f>
        <v>1158.0015364689252</v>
      </c>
      <c r="P111">
        <f>IF($J111&gt;MAX('Match Log'!$A$4:$A$1510),NA(),IFERROR(LOOKUP(2,1/(('Match Log'!$D$4:$D$1510=$P$24)*('Match Log'!$A$4:$A$1510&lt;=$J111)),'Match Log'!$N$4:$N$1510),NA()))</f>
        <v>1025.047649247907</v>
      </c>
      <c r="Q111">
        <f>IF($J111&gt;MAX('Match Log'!$A$4:$A$1510),NA(),IFERROR(LOOKUP(2,1/(('Match Log'!$D$4:$D$1510=$Q$24)*('Match Log'!$A$4:$A$1510&lt;=$J111)),'Match Log'!$N$4:$N$1510),NA()))</f>
        <v>1147.7863825169738</v>
      </c>
      <c r="R111">
        <f>IF($J111&gt;MAX('Match Log'!$A$4:$A$1510),NA(),IFERROR(LOOKUP(2,1/(('Match Log'!$D$4:$D$1510=$R$24)*('Match Log'!$A$4:$A$1510&lt;=$J111)),'Match Log'!$N$4:$N$1510),NA()))</f>
        <v>1045.5502368060577</v>
      </c>
      <c r="S111">
        <f>IF($J111&gt;MAX('Match Log'!$A$4:$A$1510),NA(),IFERROR(LOOKUP(2,1/(('Match Log'!$D$4:$D$1510=$S$24)*('Match Log'!$A$4:$A$1510&lt;=$J111)),'Match Log'!$N$4:$N$1510),NA()))</f>
        <v>1136.3717966893255</v>
      </c>
      <c r="T111">
        <f>IF($J111&gt;MAX('Match Log'!$A$4:$A$1510),NA(),IFERROR(LOOKUP(2,1/(('Match Log'!$D$4:$D$1510=$T$24)*('Match Log'!$A$4:$A$1510&lt;=$J111)),'Match Log'!$N$4:$N$1510),NA()))</f>
        <v>907.62461280220498</v>
      </c>
      <c r="U111">
        <f>IF($J111&gt;MAX('Match Log'!$A$4:$A$1510),NA(),IFERROR(LOOKUP(2,1/(('Match Log'!$D$4:$D$1510=$U$24)*('Match Log'!$A$4:$A$1510&lt;=$J111)),'Match Log'!$N$4:$N$1510),NA()))</f>
        <v>995.20226565334463</v>
      </c>
      <c r="V111">
        <f>IF($J111&gt;MAX('Match Log'!$A$4:$A$1510),NA(),IFERROR(LOOKUP(2,1/(('Match Log'!$D$4:$D$1510=$V$24)*('Match Log'!$A$4:$A$1510&lt;=$J111)),'Match Log'!$N$4:$N$1510),NA()))</f>
        <v>1031.1892257719715</v>
      </c>
      <c r="W111">
        <f>IF($J111&gt;MAX('Match Log'!$A$4:$A$1510),NA(),IFERROR(LOOKUP(2,1/(('Match Log'!$D$4:$D$1510=$W$24)*('Match Log'!$A$4:$A$1510&lt;=$J111)),'Match Log'!$N$4:$N$1510),NA()))</f>
        <v>1030.3895946906482</v>
      </c>
      <c r="X111" t="e">
        <f>IF($J111&gt;MAX('Match Log'!$A$4:$A$1510),NA(),IFERROR(LOOKUP(2,1/(('Match Log'!$D$4:$D$1510=$X$24)*('Match Log'!$A$4:$A$1510&lt;=$J111)),'Match Log'!$N$4:$N$1510),NA()))</f>
        <v>#N/A</v>
      </c>
      <c r="Y111" t="str">
        <f t="shared" ca="1" si="22"/>
        <v/>
      </c>
    </row>
    <row r="112" spans="1:25" ht="15" customHeight="1" x14ac:dyDescent="0.2">
      <c r="A112">
        <v>88</v>
      </c>
      <c r="B112" s="138">
        <f>IFERROR(INDEX('Match Log'!$B$4:$B$1510,MATCH($A112,'Match Log'!$A$4:$A$1510,0)),"")</f>
        <v>46188</v>
      </c>
      <c r="C112" t="str">
        <f>IFERROR(INDEX('Match Log'!$C$4:$C$1510,MATCH($A112,'Match Log'!$A$4:$A$1510,0)),"")</f>
        <v>Pool</v>
      </c>
      <c r="D112" t="str">
        <f t="array" ref="D112">IFERROR(_xlfn.TEXTJOIN(" + ",TRUE(),IF(('Match Log'!$A$4:$A$1510=$A112)*('Match Log'!$E$4:$E$1510="Win"),'Match Log'!$D$4:$D$1510,"")),IFERROR(LOOKUP(2,1/(('Match Log'!$A$4:$A$1510=$A112)*('Match Log'!$E$4:$E$1510="Win")),'Match Log'!$D$4:$D$1510),""))</f>
        <v>Simon</v>
      </c>
      <c r="E112" s="139">
        <f>IFERROR(INDEX('Match Log'!$F$4:$F$1510,MATCH($A112,'Match Log'!$A$4:$A$1510,0)),"")</f>
        <v>2</v>
      </c>
      <c r="F112">
        <f>IFERROR(SUMIFS('Match Log'!$I$4:$I$1510,'Match Log'!$A$4:$A$1510,$A112,'Match Log'!$E$4:$E$1510,"Win"),"")</f>
        <v>0.60869565217391308</v>
      </c>
      <c r="G112">
        <f t="shared" si="20"/>
        <v>-0.21739130434782616</v>
      </c>
      <c r="H112" t="str">
        <f t="array" ref="H112">IFERROR(IF(COUNTIFS('Match Log'!$A$4:$A$1510,$A112,'Match Log'!$E$4:$E$1510,"Win")&gt;1,_xlfn.TEXTJOIN(" + ",TRUE(),IF(('Match Log'!$A$4:$A$1510=$A112)*('Match Log'!$E$4:$E$1510="Loss"),'Match Log'!$D$4:$D$1510,"")),IF($E112=2,LOOKUP(2,1/(('Match Log'!$A$4:$A$1510=$A112)*('Match Log'!$E$4:$E$1510="Loss")),'Match Log'!$D$4:$D$1510),"the field")),"")</f>
        <v>Dean B</v>
      </c>
      <c r="I112">
        <f t="shared" si="21"/>
        <v>-0.21747930434782617</v>
      </c>
      <c r="J112">
        <v>88</v>
      </c>
      <c r="K112">
        <f>IF($J112&gt;MAX('Match Log'!$A$4:$A$1510),NA(),IFERROR(LOOKUP(2,1/(('Match Log'!$D$4:$D$1510=$K$24)*('Match Log'!$A$4:$A$1510&lt;=$J112)),'Match Log'!$N$4:$N$1510),NA()))</f>
        <v>1057.8233661943223</v>
      </c>
      <c r="L112">
        <f>IF($J112&gt;MAX('Match Log'!$A$4:$A$1510),NA(),IFERROR(LOOKUP(2,1/(('Match Log'!$D$4:$D$1510=$L$24)*('Match Log'!$A$4:$A$1510&lt;=$J112)),'Match Log'!$N$4:$N$1510),NA()))</f>
        <v>1052.3273037957808</v>
      </c>
      <c r="M112">
        <f>IF($J112&gt;MAX('Match Log'!$A$4:$A$1510),NA(),IFERROR(LOOKUP(2,1/(('Match Log'!$D$4:$D$1510=$M$24)*('Match Log'!$A$4:$A$1510&lt;=$J112)),'Match Log'!$N$4:$N$1510),NA()))</f>
        <v>1016.7841648959289</v>
      </c>
      <c r="N112">
        <f>IF($J112&gt;MAX('Match Log'!$A$4:$A$1510),NA(),IFERROR(LOOKUP(2,1/(('Match Log'!$D$4:$D$1510=$N$24)*('Match Log'!$A$4:$A$1510&lt;=$J112)),'Match Log'!$N$4:$N$1510),NA()))</f>
        <v>981.90186446660846</v>
      </c>
      <c r="O112">
        <f>IF($J112&gt;MAX('Match Log'!$A$4:$A$1510),NA(),IFERROR(LOOKUP(2,1/(('Match Log'!$D$4:$D$1510=$O$24)*('Match Log'!$A$4:$A$1510&lt;=$J112)),'Match Log'!$N$4:$N$1510),NA()))</f>
        <v>1158.0015364689252</v>
      </c>
      <c r="P112">
        <f>IF($J112&gt;MAX('Match Log'!$A$4:$A$1510),NA(),IFERROR(LOOKUP(2,1/(('Match Log'!$D$4:$D$1510=$P$24)*('Match Log'!$A$4:$A$1510&lt;=$J112)),'Match Log'!$N$4:$N$1510),NA()))</f>
        <v>1025.047649247907</v>
      </c>
      <c r="Q112">
        <f>IF($J112&gt;MAX('Match Log'!$A$4:$A$1510),NA(),IFERROR(LOOKUP(2,1/(('Match Log'!$D$4:$D$1510=$Q$24)*('Match Log'!$A$4:$A$1510&lt;=$J112)),'Match Log'!$N$4:$N$1510),NA()))</f>
        <v>1165.3933378817053</v>
      </c>
      <c r="R112">
        <f>IF($J112&gt;MAX('Match Log'!$A$4:$A$1510),NA(),IFERROR(LOOKUP(2,1/(('Match Log'!$D$4:$D$1510=$R$24)*('Match Log'!$A$4:$A$1510&lt;=$J112)),'Match Log'!$N$4:$N$1510),NA()))</f>
        <v>1045.5502368060577</v>
      </c>
      <c r="S112">
        <f>IF($J112&gt;MAX('Match Log'!$A$4:$A$1510),NA(),IFERROR(LOOKUP(2,1/(('Match Log'!$D$4:$D$1510=$S$24)*('Match Log'!$A$4:$A$1510&lt;=$J112)),'Match Log'!$N$4:$N$1510),NA()))</f>
        <v>1118.764841324594</v>
      </c>
      <c r="T112">
        <f>IF($J112&gt;MAX('Match Log'!$A$4:$A$1510),NA(),IFERROR(LOOKUP(2,1/(('Match Log'!$D$4:$D$1510=$T$24)*('Match Log'!$A$4:$A$1510&lt;=$J112)),'Match Log'!$N$4:$N$1510),NA()))</f>
        <v>907.62461280220498</v>
      </c>
      <c r="U112">
        <f>IF($J112&gt;MAX('Match Log'!$A$4:$A$1510),NA(),IFERROR(LOOKUP(2,1/(('Match Log'!$D$4:$D$1510=$U$24)*('Match Log'!$A$4:$A$1510&lt;=$J112)),'Match Log'!$N$4:$N$1510),NA()))</f>
        <v>995.20226565334463</v>
      </c>
      <c r="V112">
        <f>IF($J112&gt;MAX('Match Log'!$A$4:$A$1510),NA(),IFERROR(LOOKUP(2,1/(('Match Log'!$D$4:$D$1510=$V$24)*('Match Log'!$A$4:$A$1510&lt;=$J112)),'Match Log'!$N$4:$N$1510),NA()))</f>
        <v>1031.1892257719715</v>
      </c>
      <c r="W112">
        <f>IF($J112&gt;MAX('Match Log'!$A$4:$A$1510),NA(),IFERROR(LOOKUP(2,1/(('Match Log'!$D$4:$D$1510=$W$24)*('Match Log'!$A$4:$A$1510&lt;=$J112)),'Match Log'!$N$4:$N$1510),NA()))</f>
        <v>1030.3895946906482</v>
      </c>
      <c r="X112" t="e">
        <f>IF($J112&gt;MAX('Match Log'!$A$4:$A$1510),NA(),IFERROR(LOOKUP(2,1/(('Match Log'!$D$4:$D$1510=$X$24)*('Match Log'!$A$4:$A$1510&lt;=$J112)),'Match Log'!$N$4:$N$1510),NA()))</f>
        <v>#N/A</v>
      </c>
      <c r="Y112" t="str">
        <f t="shared" ca="1" si="22"/>
        <v/>
      </c>
    </row>
    <row r="113" spans="1:25" ht="15" customHeight="1" x14ac:dyDescent="0.2">
      <c r="A113">
        <v>89</v>
      </c>
      <c r="B113" s="138">
        <f>IFERROR(INDEX('Match Log'!$B$4:$B$1510,MATCH($A113,'Match Log'!$A$4:$A$1510,0)),"")</f>
        <v>46188</v>
      </c>
      <c r="C113" t="str">
        <f>IFERROR(INDEX('Match Log'!$C$4:$C$1510,MATCH($A113,'Match Log'!$A$4:$A$1510,0)),"")</f>
        <v>Mario Party</v>
      </c>
      <c r="D113" t="str">
        <f t="array" ref="D113">IFERROR(_xlfn.TEXTJOIN(" + ",TRUE(),IF(('Match Log'!$A$4:$A$1510=$A113)*('Match Log'!$E$4:$E$1510="Win"),'Match Log'!$D$4:$D$1510,"")),IFERROR(LOOKUP(2,1/(('Match Log'!$A$4:$A$1510=$A113)*('Match Log'!$E$4:$E$1510="Win")),'Match Log'!$D$4:$D$1510),""))</f>
        <v>Daniel (Ferret)</v>
      </c>
      <c r="E113" s="139">
        <f>IFERROR(INDEX('Match Log'!$F$4:$F$1510,MATCH($A113,'Match Log'!$A$4:$A$1510,0)),"")</f>
        <v>3</v>
      </c>
      <c r="F113">
        <f>IFERROR(SUMIFS('Match Log'!$I$4:$I$1510,'Match Log'!$A$4:$A$1510,$A113,'Match Log'!$E$4:$E$1510,"Win"),"")</f>
        <v>0.33333333333333331</v>
      </c>
      <c r="G113">
        <f t="shared" si="20"/>
        <v>0</v>
      </c>
      <c r="H113" t="str">
        <f t="array" ref="H113">IFERROR(IF(COUNTIFS('Match Log'!$A$4:$A$1510,$A113,'Match Log'!$E$4:$E$1510,"Win")&gt;1,_xlfn.TEXTJOIN(" + ",TRUE(),IF(('Match Log'!$A$4:$A$1510=$A113)*('Match Log'!$E$4:$E$1510="Loss"),'Match Log'!$D$4:$D$1510,"")),IF($E113=2,LOOKUP(2,1/(('Match Log'!$A$4:$A$1510=$A113)*('Match Log'!$E$4:$E$1510="Loss")),'Match Log'!$D$4:$D$1510),"the field")),"")</f>
        <v>the field</v>
      </c>
      <c r="I113">
        <f t="shared" si="21"/>
        <v>-8.8999999999999995E-5</v>
      </c>
      <c r="J113">
        <v>89</v>
      </c>
      <c r="K113">
        <f>IF($J113&gt;MAX('Match Log'!$A$4:$A$1510),NA(),IFERROR(LOOKUP(2,1/(('Match Log'!$D$4:$D$1510=$K$24)*('Match Log'!$A$4:$A$1510&lt;=$J113)),'Match Log'!$N$4:$N$1510),NA()))</f>
        <v>1057.8233661943223</v>
      </c>
      <c r="L113">
        <f>IF($J113&gt;MAX('Match Log'!$A$4:$A$1510),NA(),IFERROR(LOOKUP(2,1/(('Match Log'!$D$4:$D$1510=$L$24)*('Match Log'!$A$4:$A$1510&lt;=$J113)),'Match Log'!$N$4:$N$1510),NA()))</f>
        <v>1052.3273037957808</v>
      </c>
      <c r="M113">
        <f>IF($J113&gt;MAX('Match Log'!$A$4:$A$1510),NA(),IFERROR(LOOKUP(2,1/(('Match Log'!$D$4:$D$1510=$M$24)*('Match Log'!$A$4:$A$1510&lt;=$J113)),'Match Log'!$N$4:$N$1510),NA()))</f>
        <v>1016.7841648959289</v>
      </c>
      <c r="N113">
        <f>IF($J113&gt;MAX('Match Log'!$A$4:$A$1510),NA(),IFERROR(LOOKUP(2,1/(('Match Log'!$D$4:$D$1510=$N$24)*('Match Log'!$A$4:$A$1510&lt;=$J113)),'Match Log'!$N$4:$N$1510),NA()))</f>
        <v>981.90186446660846</v>
      </c>
      <c r="O113">
        <f>IF($J113&gt;MAX('Match Log'!$A$4:$A$1510),NA(),IFERROR(LOOKUP(2,1/(('Match Log'!$D$4:$D$1510=$O$24)*('Match Log'!$A$4:$A$1510&lt;=$J113)),'Match Log'!$N$4:$N$1510),NA()))</f>
        <v>1158.0015364689252</v>
      </c>
      <c r="P113">
        <f>IF($J113&gt;MAX('Match Log'!$A$4:$A$1510),NA(),IFERROR(LOOKUP(2,1/(('Match Log'!$D$4:$D$1510=$P$24)*('Match Log'!$A$4:$A$1510&lt;=$J113)),'Match Log'!$N$4:$N$1510),NA()))</f>
        <v>1016.5191915459058</v>
      </c>
      <c r="Q113">
        <f>IF($J113&gt;MAX('Match Log'!$A$4:$A$1510),NA(),IFERROR(LOOKUP(2,1/(('Match Log'!$D$4:$D$1510=$Q$24)*('Match Log'!$A$4:$A$1510&lt;=$J113)),'Match Log'!$N$4:$N$1510),NA()))</f>
        <v>1165.3933378817053</v>
      </c>
      <c r="R113">
        <f>IF($J113&gt;MAX('Match Log'!$A$4:$A$1510),NA(),IFERROR(LOOKUP(2,1/(('Match Log'!$D$4:$D$1510=$R$24)*('Match Log'!$A$4:$A$1510&lt;=$J113)),'Match Log'!$N$4:$N$1510),NA()))</f>
        <v>1070.9274370987889</v>
      </c>
      <c r="S113">
        <f>IF($J113&gt;MAX('Match Log'!$A$4:$A$1510),NA(),IFERROR(LOOKUP(2,1/(('Match Log'!$D$4:$D$1510=$S$24)*('Match Log'!$A$4:$A$1510&lt;=$J113)),'Match Log'!$N$4:$N$1510),NA()))</f>
        <v>1118.764841324594</v>
      </c>
      <c r="T113">
        <f>IF($J113&gt;MAX('Match Log'!$A$4:$A$1510),NA(),IFERROR(LOOKUP(2,1/(('Match Log'!$D$4:$D$1510=$T$24)*('Match Log'!$A$4:$A$1510&lt;=$J113)),'Match Log'!$N$4:$N$1510),NA()))</f>
        <v>907.62461280220498</v>
      </c>
      <c r="U113">
        <f>IF($J113&gt;MAX('Match Log'!$A$4:$A$1510),NA(),IFERROR(LOOKUP(2,1/(('Match Log'!$D$4:$D$1510=$U$24)*('Match Log'!$A$4:$A$1510&lt;=$J113)),'Match Log'!$N$4:$N$1510),NA()))</f>
        <v>987.35352306261461</v>
      </c>
      <c r="V113">
        <f>IF($J113&gt;MAX('Match Log'!$A$4:$A$1510),NA(),IFERROR(LOOKUP(2,1/(('Match Log'!$D$4:$D$1510=$V$24)*('Match Log'!$A$4:$A$1510&lt;=$J113)),'Match Log'!$N$4:$N$1510),NA()))</f>
        <v>1031.1892257719715</v>
      </c>
      <c r="W113">
        <f>IF($J113&gt;MAX('Match Log'!$A$4:$A$1510),NA(),IFERROR(LOOKUP(2,1/(('Match Log'!$D$4:$D$1510=$W$24)*('Match Log'!$A$4:$A$1510&lt;=$J113)),'Match Log'!$N$4:$N$1510),NA()))</f>
        <v>1030.3895946906482</v>
      </c>
      <c r="X113" t="e">
        <f>IF($J113&gt;MAX('Match Log'!$A$4:$A$1510),NA(),IFERROR(LOOKUP(2,1/(('Match Log'!$D$4:$D$1510=$X$24)*('Match Log'!$A$4:$A$1510&lt;=$J113)),'Match Log'!$N$4:$N$1510),NA()))</f>
        <v>#N/A</v>
      </c>
      <c r="Y113" t="str">
        <f t="shared" ca="1" si="22"/>
        <v/>
      </c>
    </row>
    <row r="114" spans="1:25" ht="15" customHeight="1" x14ac:dyDescent="0.2">
      <c r="A114">
        <v>90</v>
      </c>
      <c r="B114" s="138">
        <f>IFERROR(INDEX('Match Log'!$B$4:$B$1510,MATCH($A114,'Match Log'!$A$4:$A$1510,0)),"")</f>
        <v>46188</v>
      </c>
      <c r="C114" t="str">
        <f>IFERROR(INDEX('Match Log'!$C$4:$C$1510,MATCH($A114,'Match Log'!$A$4:$A$1510,0)),"")</f>
        <v>Table Tennis</v>
      </c>
      <c r="D114" t="str">
        <f t="array" ref="D114">IFERROR(_xlfn.TEXTJOIN(" + ",TRUE(),IF(('Match Log'!$A$4:$A$1510=$A114)*('Match Log'!$E$4:$E$1510="Win"),'Match Log'!$D$4:$D$1510,"")),IFERROR(LOOKUP(2,1/(('Match Log'!$A$4:$A$1510=$A114)*('Match Log'!$E$4:$E$1510="Win")),'Match Log'!$D$4:$D$1510),""))</f>
        <v>Oscar</v>
      </c>
      <c r="E114" s="139">
        <f>IFERROR(INDEX('Match Log'!$F$4:$F$1510,MATCH($A114,'Match Log'!$A$4:$A$1510,0)),"")</f>
        <v>2</v>
      </c>
      <c r="F114">
        <f>IFERROR(SUMIFS('Match Log'!$I$4:$I$1510,'Match Log'!$A$4:$A$1510,$A114,'Match Log'!$E$4:$E$1510,"Win"),"")</f>
        <v>0.4</v>
      </c>
      <c r="G114">
        <f t="shared" si="20"/>
        <v>0.19999999999999996</v>
      </c>
      <c r="H114" t="str">
        <f t="array" ref="H114">IFERROR(IF(COUNTIFS('Match Log'!$A$4:$A$1510,$A114,'Match Log'!$E$4:$E$1510,"Win")&gt;1,_xlfn.TEXTJOIN(" + ",TRUE(),IF(('Match Log'!$A$4:$A$1510=$A114)*('Match Log'!$E$4:$E$1510="Loss"),'Match Log'!$D$4:$D$1510,"")),IF($E114=2,LOOKUP(2,1/(('Match Log'!$A$4:$A$1510=$A114)*('Match Log'!$E$4:$E$1510="Loss")),'Match Log'!$D$4:$D$1510),"the field")),"")</f>
        <v>Simon</v>
      </c>
      <c r="I114">
        <f t="shared" si="21"/>
        <v>0.19990999999999995</v>
      </c>
      <c r="J114">
        <v>90</v>
      </c>
      <c r="K114">
        <f>IF($J114&gt;MAX('Match Log'!$A$4:$A$1510),NA(),IFERROR(LOOKUP(2,1/(('Match Log'!$D$4:$D$1510=$K$24)*('Match Log'!$A$4:$A$1510&lt;=$J114)),'Match Log'!$N$4:$N$1510),NA()))</f>
        <v>1057.8233661943223</v>
      </c>
      <c r="L114">
        <f>IF($J114&gt;MAX('Match Log'!$A$4:$A$1510),NA(),IFERROR(LOOKUP(2,1/(('Match Log'!$D$4:$D$1510=$L$24)*('Match Log'!$A$4:$A$1510&lt;=$J114)),'Match Log'!$N$4:$N$1510),NA()))</f>
        <v>1052.3273037957808</v>
      </c>
      <c r="M114">
        <f>IF($J114&gt;MAX('Match Log'!$A$4:$A$1510),NA(),IFERROR(LOOKUP(2,1/(('Match Log'!$D$4:$D$1510=$M$24)*('Match Log'!$A$4:$A$1510&lt;=$J114)),'Match Log'!$N$4:$N$1510),NA()))</f>
        <v>1016.7841648959289</v>
      </c>
      <c r="N114">
        <f>IF($J114&gt;MAX('Match Log'!$A$4:$A$1510),NA(),IFERROR(LOOKUP(2,1/(('Match Log'!$D$4:$D$1510=$N$24)*('Match Log'!$A$4:$A$1510&lt;=$J114)),'Match Log'!$N$4:$N$1510),NA()))</f>
        <v>981.90186446660846</v>
      </c>
      <c r="O114">
        <f>IF($J114&gt;MAX('Match Log'!$A$4:$A$1510),NA(),IFERROR(LOOKUP(2,1/(('Match Log'!$D$4:$D$1510=$O$24)*('Match Log'!$A$4:$A$1510&lt;=$J114)),'Match Log'!$N$4:$N$1510),NA()))</f>
        <v>1158.0015364689252</v>
      </c>
      <c r="P114">
        <f>IF($J114&gt;MAX('Match Log'!$A$4:$A$1510),NA(),IFERROR(LOOKUP(2,1/(('Match Log'!$D$4:$D$1510=$P$24)*('Match Log'!$A$4:$A$1510&lt;=$J114)),'Match Log'!$N$4:$N$1510),NA()))</f>
        <v>1016.5191915459058</v>
      </c>
      <c r="Q114">
        <f>IF($J114&gt;MAX('Match Log'!$A$4:$A$1510),NA(),IFERROR(LOOKUP(2,1/(('Match Log'!$D$4:$D$1510=$Q$24)*('Match Log'!$A$4:$A$1510&lt;=$J114)),'Match Log'!$N$4:$N$1510),NA()))</f>
        <v>1134.3090732818171</v>
      </c>
      <c r="R114">
        <f>IF($J114&gt;MAX('Match Log'!$A$4:$A$1510),NA(),IFERROR(LOOKUP(2,1/(('Match Log'!$D$4:$D$1510=$R$24)*('Match Log'!$A$4:$A$1510&lt;=$J114)),'Match Log'!$N$4:$N$1510),NA()))</f>
        <v>1070.9274370987889</v>
      </c>
      <c r="S114">
        <f>IF($J114&gt;MAX('Match Log'!$A$4:$A$1510),NA(),IFERROR(LOOKUP(2,1/(('Match Log'!$D$4:$D$1510=$S$24)*('Match Log'!$A$4:$A$1510&lt;=$J114)),'Match Log'!$N$4:$N$1510),NA()))</f>
        <v>1118.764841324594</v>
      </c>
      <c r="T114">
        <f>IF($J114&gt;MAX('Match Log'!$A$4:$A$1510),NA(),IFERROR(LOOKUP(2,1/(('Match Log'!$D$4:$D$1510=$T$24)*('Match Log'!$A$4:$A$1510&lt;=$J114)),'Match Log'!$N$4:$N$1510),NA()))</f>
        <v>907.62461280220498</v>
      </c>
      <c r="U114">
        <f>IF($J114&gt;MAX('Match Log'!$A$4:$A$1510),NA(),IFERROR(LOOKUP(2,1/(('Match Log'!$D$4:$D$1510=$U$24)*('Match Log'!$A$4:$A$1510&lt;=$J114)),'Match Log'!$N$4:$N$1510),NA()))</f>
        <v>1018.437787662503</v>
      </c>
      <c r="V114">
        <f>IF($J114&gt;MAX('Match Log'!$A$4:$A$1510),NA(),IFERROR(LOOKUP(2,1/(('Match Log'!$D$4:$D$1510=$V$24)*('Match Log'!$A$4:$A$1510&lt;=$J114)),'Match Log'!$N$4:$N$1510),NA()))</f>
        <v>1031.1892257719715</v>
      </c>
      <c r="W114">
        <f>IF($J114&gt;MAX('Match Log'!$A$4:$A$1510),NA(),IFERROR(LOOKUP(2,1/(('Match Log'!$D$4:$D$1510=$W$24)*('Match Log'!$A$4:$A$1510&lt;=$J114)),'Match Log'!$N$4:$N$1510),NA()))</f>
        <v>1030.3895946906482</v>
      </c>
      <c r="X114" t="e">
        <f>IF($J114&gt;MAX('Match Log'!$A$4:$A$1510),NA(),IFERROR(LOOKUP(2,1/(('Match Log'!$D$4:$D$1510=$X$24)*('Match Log'!$A$4:$A$1510&lt;=$J114)),'Match Log'!$N$4:$N$1510),NA()))</f>
        <v>#N/A</v>
      </c>
      <c r="Y114" t="str">
        <f t="shared" ca="1" si="22"/>
        <v/>
      </c>
    </row>
    <row r="115" spans="1:25" ht="15" customHeight="1" x14ac:dyDescent="0.2">
      <c r="A115">
        <v>91</v>
      </c>
      <c r="B115" s="138">
        <f>IFERROR(INDEX('Match Log'!$B$4:$B$1510,MATCH($A115,'Match Log'!$A$4:$A$1510,0)),"")</f>
        <v>46188</v>
      </c>
      <c r="C115" t="str">
        <f>IFERROR(INDEX('Match Log'!$C$4:$C$1510,MATCH($A115,'Match Log'!$A$4:$A$1510,0)),"")</f>
        <v>Table Tennis</v>
      </c>
      <c r="D115" t="str">
        <f t="array" ref="D115">IFERROR(_xlfn.TEXTJOIN(" + ",TRUE(),IF(('Match Log'!$A$4:$A$1510=$A115)*('Match Log'!$E$4:$E$1510="Win"),'Match Log'!$D$4:$D$1510,"")),IFERROR(LOOKUP(2,1/(('Match Log'!$A$4:$A$1510=$A115)*('Match Log'!$E$4:$E$1510="Win")),'Match Log'!$D$4:$D$1510),""))</f>
        <v>Oscar</v>
      </c>
      <c r="E115" s="139">
        <f>IFERROR(INDEX('Match Log'!$F$4:$F$1510,MATCH($A115,'Match Log'!$A$4:$A$1510,0)),"")</f>
        <v>2</v>
      </c>
      <c r="F115">
        <f>IFERROR(SUMIFS('Match Log'!$I$4:$I$1510,'Match Log'!$A$4:$A$1510,$A115,'Match Log'!$E$4:$E$1510,"Win"),"")</f>
        <v>0.54545454545454541</v>
      </c>
      <c r="G115">
        <f t="shared" si="20"/>
        <v>-9.0909090909090828E-2</v>
      </c>
      <c r="H115" t="str">
        <f t="array" ref="H115">IFERROR(IF(COUNTIFS('Match Log'!$A$4:$A$1510,$A115,'Match Log'!$E$4:$E$1510,"Win")&gt;1,_xlfn.TEXTJOIN(" + ",TRUE(),IF(('Match Log'!$A$4:$A$1510=$A115)*('Match Log'!$E$4:$E$1510="Loss"),'Match Log'!$D$4:$D$1510,"")),IF($E115=2,LOOKUP(2,1/(('Match Log'!$A$4:$A$1510=$A115)*('Match Log'!$E$4:$E$1510="Loss")),'Match Log'!$D$4:$D$1510),"the field")),"")</f>
        <v>Simon</v>
      </c>
      <c r="I115">
        <f t="shared" si="21"/>
        <v>-9.1000090909090822E-2</v>
      </c>
      <c r="J115">
        <v>91</v>
      </c>
      <c r="K115">
        <f>IF($J115&gt;MAX('Match Log'!$A$4:$A$1510),NA(),IFERROR(LOOKUP(2,1/(('Match Log'!$D$4:$D$1510=$K$24)*('Match Log'!$A$4:$A$1510&lt;=$J115)),'Match Log'!$N$4:$N$1510),NA()))</f>
        <v>1057.8233661943223</v>
      </c>
      <c r="L115">
        <f>IF($J115&gt;MAX('Match Log'!$A$4:$A$1510),NA(),IFERROR(LOOKUP(2,1/(('Match Log'!$D$4:$D$1510=$L$24)*('Match Log'!$A$4:$A$1510&lt;=$J115)),'Match Log'!$N$4:$N$1510),NA()))</f>
        <v>1052.3273037957808</v>
      </c>
      <c r="M115">
        <f>IF($J115&gt;MAX('Match Log'!$A$4:$A$1510),NA(),IFERROR(LOOKUP(2,1/(('Match Log'!$D$4:$D$1510=$M$24)*('Match Log'!$A$4:$A$1510&lt;=$J115)),'Match Log'!$N$4:$N$1510),NA()))</f>
        <v>1016.7841648959289</v>
      </c>
      <c r="N115">
        <f>IF($J115&gt;MAX('Match Log'!$A$4:$A$1510),NA(),IFERROR(LOOKUP(2,1/(('Match Log'!$D$4:$D$1510=$N$24)*('Match Log'!$A$4:$A$1510&lt;=$J115)),'Match Log'!$N$4:$N$1510),NA()))</f>
        <v>981.90186446660846</v>
      </c>
      <c r="O115">
        <f>IF($J115&gt;MAX('Match Log'!$A$4:$A$1510),NA(),IFERROR(LOOKUP(2,1/(('Match Log'!$D$4:$D$1510=$O$24)*('Match Log'!$A$4:$A$1510&lt;=$J115)),'Match Log'!$N$4:$N$1510),NA()))</f>
        <v>1158.0015364689252</v>
      </c>
      <c r="P115">
        <f>IF($J115&gt;MAX('Match Log'!$A$4:$A$1510),NA(),IFERROR(LOOKUP(2,1/(('Match Log'!$D$4:$D$1510=$P$24)*('Match Log'!$A$4:$A$1510&lt;=$J115)),'Match Log'!$N$4:$N$1510),NA()))</f>
        <v>1016.5191915459058</v>
      </c>
      <c r="Q115">
        <f>IF($J115&gt;MAX('Match Log'!$A$4:$A$1510),NA(),IFERROR(LOOKUP(2,1/(('Match Log'!$D$4:$D$1510=$Q$24)*('Match Log'!$A$4:$A$1510&lt;=$J115)),'Match Log'!$N$4:$N$1510),NA()))</f>
        <v>1107.9908872680883</v>
      </c>
      <c r="R115">
        <f>IF($J115&gt;MAX('Match Log'!$A$4:$A$1510),NA(),IFERROR(LOOKUP(2,1/(('Match Log'!$D$4:$D$1510=$R$24)*('Match Log'!$A$4:$A$1510&lt;=$J115)),'Match Log'!$N$4:$N$1510),NA()))</f>
        <v>1070.9274370987889</v>
      </c>
      <c r="S115">
        <f>IF($J115&gt;MAX('Match Log'!$A$4:$A$1510),NA(),IFERROR(LOOKUP(2,1/(('Match Log'!$D$4:$D$1510=$S$24)*('Match Log'!$A$4:$A$1510&lt;=$J115)),'Match Log'!$N$4:$N$1510),NA()))</f>
        <v>1118.764841324594</v>
      </c>
      <c r="T115">
        <f>IF($J115&gt;MAX('Match Log'!$A$4:$A$1510),NA(),IFERROR(LOOKUP(2,1/(('Match Log'!$D$4:$D$1510=$T$24)*('Match Log'!$A$4:$A$1510&lt;=$J115)),'Match Log'!$N$4:$N$1510),NA()))</f>
        <v>907.62461280220498</v>
      </c>
      <c r="U115">
        <f>IF($J115&gt;MAX('Match Log'!$A$4:$A$1510),NA(),IFERROR(LOOKUP(2,1/(('Match Log'!$D$4:$D$1510=$U$24)*('Match Log'!$A$4:$A$1510&lt;=$J115)),'Match Log'!$N$4:$N$1510),NA()))</f>
        <v>1044.7559736762316</v>
      </c>
      <c r="V115">
        <f>IF($J115&gt;MAX('Match Log'!$A$4:$A$1510),NA(),IFERROR(LOOKUP(2,1/(('Match Log'!$D$4:$D$1510=$V$24)*('Match Log'!$A$4:$A$1510&lt;=$J115)),'Match Log'!$N$4:$N$1510),NA()))</f>
        <v>1031.1892257719715</v>
      </c>
      <c r="W115">
        <f>IF($J115&gt;MAX('Match Log'!$A$4:$A$1510),NA(),IFERROR(LOOKUP(2,1/(('Match Log'!$D$4:$D$1510=$W$24)*('Match Log'!$A$4:$A$1510&lt;=$J115)),'Match Log'!$N$4:$N$1510),NA()))</f>
        <v>1030.3895946906482</v>
      </c>
      <c r="X115" t="e">
        <f>IF($J115&gt;MAX('Match Log'!$A$4:$A$1510),NA(),IFERROR(LOOKUP(2,1/(('Match Log'!$D$4:$D$1510=$X$24)*('Match Log'!$A$4:$A$1510&lt;=$J115)),'Match Log'!$N$4:$N$1510),NA()))</f>
        <v>#N/A</v>
      </c>
      <c r="Y115" t="str">
        <f t="shared" ca="1" si="22"/>
        <v/>
      </c>
    </row>
    <row r="116" spans="1:25" ht="15" customHeight="1" x14ac:dyDescent="0.2">
      <c r="A116">
        <v>92</v>
      </c>
      <c r="B116" s="138">
        <f>IFERROR(INDEX('Match Log'!$B$4:$B$1510,MATCH($A116,'Match Log'!$A$4:$A$1510,0)),"")</f>
        <v>46188</v>
      </c>
      <c r="C116" t="str">
        <f>IFERROR(INDEX('Match Log'!$C$4:$C$1510,MATCH($A116,'Match Log'!$A$4:$A$1510,0)),"")</f>
        <v>Table Tennis</v>
      </c>
      <c r="D116" t="str">
        <f t="array" ref="D116">IFERROR(_xlfn.TEXTJOIN(" + ",TRUE(),IF(('Match Log'!$A$4:$A$1510=$A116)*('Match Log'!$E$4:$E$1510="Win"),'Match Log'!$D$4:$D$1510,"")),IFERROR(LOOKUP(2,1/(('Match Log'!$A$4:$A$1510=$A116)*('Match Log'!$E$4:$E$1510="Win")),'Match Log'!$D$4:$D$1510),""))</f>
        <v>Oscar</v>
      </c>
      <c r="E116" s="139">
        <f>IFERROR(INDEX('Match Log'!$F$4:$F$1510,MATCH($A116,'Match Log'!$A$4:$A$1510,0)),"")</f>
        <v>2</v>
      </c>
      <c r="F116">
        <f>IFERROR(SUMIFS('Match Log'!$I$4:$I$1510,'Match Log'!$A$4:$A$1510,$A116,'Match Log'!$E$4:$E$1510,"Win"),"")</f>
        <v>0.64516129032258063</v>
      </c>
      <c r="G116">
        <f t="shared" si="20"/>
        <v>-0.29032258064516125</v>
      </c>
      <c r="H116" t="str">
        <f t="array" ref="H116">IFERROR(IF(COUNTIFS('Match Log'!$A$4:$A$1510,$A116,'Match Log'!$E$4:$E$1510,"Win")&gt;1,_xlfn.TEXTJOIN(" + ",TRUE(),IF(('Match Log'!$A$4:$A$1510=$A116)*('Match Log'!$E$4:$E$1510="Loss"),'Match Log'!$D$4:$D$1510,"")),IF($E116=2,LOOKUP(2,1/(('Match Log'!$A$4:$A$1510=$A116)*('Match Log'!$E$4:$E$1510="Loss")),'Match Log'!$D$4:$D$1510),"the field")),"")</f>
        <v>Simon</v>
      </c>
      <c r="I116">
        <f t="shared" si="21"/>
        <v>-0.29041458064516124</v>
      </c>
      <c r="J116">
        <v>92</v>
      </c>
      <c r="K116">
        <f>IF($J116&gt;MAX('Match Log'!$A$4:$A$1510),NA(),IFERROR(LOOKUP(2,1/(('Match Log'!$D$4:$D$1510=$K$24)*('Match Log'!$A$4:$A$1510&lt;=$J116)),'Match Log'!$N$4:$N$1510),NA()))</f>
        <v>1057.8233661943223</v>
      </c>
      <c r="L116">
        <f>IF($J116&gt;MAX('Match Log'!$A$4:$A$1510),NA(),IFERROR(LOOKUP(2,1/(('Match Log'!$D$4:$D$1510=$L$24)*('Match Log'!$A$4:$A$1510&lt;=$J116)),'Match Log'!$N$4:$N$1510),NA()))</f>
        <v>1052.3273037957808</v>
      </c>
      <c r="M116">
        <f>IF($J116&gt;MAX('Match Log'!$A$4:$A$1510),NA(),IFERROR(LOOKUP(2,1/(('Match Log'!$D$4:$D$1510=$M$24)*('Match Log'!$A$4:$A$1510&lt;=$J116)),'Match Log'!$N$4:$N$1510),NA()))</f>
        <v>1016.7841648959289</v>
      </c>
      <c r="N116">
        <f>IF($J116&gt;MAX('Match Log'!$A$4:$A$1510),NA(),IFERROR(LOOKUP(2,1/(('Match Log'!$D$4:$D$1510=$N$24)*('Match Log'!$A$4:$A$1510&lt;=$J116)),'Match Log'!$N$4:$N$1510),NA()))</f>
        <v>981.90186446660846</v>
      </c>
      <c r="O116">
        <f>IF($J116&gt;MAX('Match Log'!$A$4:$A$1510),NA(),IFERROR(LOOKUP(2,1/(('Match Log'!$D$4:$D$1510=$O$24)*('Match Log'!$A$4:$A$1510&lt;=$J116)),'Match Log'!$N$4:$N$1510),NA()))</f>
        <v>1158.0015364689252</v>
      </c>
      <c r="P116">
        <f>IF($J116&gt;MAX('Match Log'!$A$4:$A$1510),NA(),IFERROR(LOOKUP(2,1/(('Match Log'!$D$4:$D$1510=$P$24)*('Match Log'!$A$4:$A$1510&lt;=$J116)),'Match Log'!$N$4:$N$1510),NA()))</f>
        <v>1016.5191915459058</v>
      </c>
      <c r="Q116">
        <f>IF($J116&gt;MAX('Match Log'!$A$4:$A$1510),NA(),IFERROR(LOOKUP(2,1/(('Match Log'!$D$4:$D$1510=$Q$24)*('Match Log'!$A$4:$A$1510&lt;=$J116)),'Match Log'!$N$4:$N$1510),NA()))</f>
        <v>1085.4901250893295</v>
      </c>
      <c r="R116">
        <f>IF($J116&gt;MAX('Match Log'!$A$4:$A$1510),NA(),IFERROR(LOOKUP(2,1/(('Match Log'!$D$4:$D$1510=$R$24)*('Match Log'!$A$4:$A$1510&lt;=$J116)),'Match Log'!$N$4:$N$1510),NA()))</f>
        <v>1070.9274370987889</v>
      </c>
      <c r="S116">
        <f>IF($J116&gt;MAX('Match Log'!$A$4:$A$1510),NA(),IFERROR(LOOKUP(2,1/(('Match Log'!$D$4:$D$1510=$S$24)*('Match Log'!$A$4:$A$1510&lt;=$J116)),'Match Log'!$N$4:$N$1510),NA()))</f>
        <v>1118.764841324594</v>
      </c>
      <c r="T116">
        <f>IF($J116&gt;MAX('Match Log'!$A$4:$A$1510),NA(),IFERROR(LOOKUP(2,1/(('Match Log'!$D$4:$D$1510=$T$24)*('Match Log'!$A$4:$A$1510&lt;=$J116)),'Match Log'!$N$4:$N$1510),NA()))</f>
        <v>907.62461280220498</v>
      </c>
      <c r="U116">
        <f>IF($J116&gt;MAX('Match Log'!$A$4:$A$1510),NA(),IFERROR(LOOKUP(2,1/(('Match Log'!$D$4:$D$1510=$U$24)*('Match Log'!$A$4:$A$1510&lt;=$J116)),'Match Log'!$N$4:$N$1510),NA()))</f>
        <v>1067.2567358549904</v>
      </c>
      <c r="V116">
        <f>IF($J116&gt;MAX('Match Log'!$A$4:$A$1510),NA(),IFERROR(LOOKUP(2,1/(('Match Log'!$D$4:$D$1510=$V$24)*('Match Log'!$A$4:$A$1510&lt;=$J116)),'Match Log'!$N$4:$N$1510),NA()))</f>
        <v>1031.1892257719715</v>
      </c>
      <c r="W116">
        <f>IF($J116&gt;MAX('Match Log'!$A$4:$A$1510),NA(),IFERROR(LOOKUP(2,1/(('Match Log'!$D$4:$D$1510=$W$24)*('Match Log'!$A$4:$A$1510&lt;=$J116)),'Match Log'!$N$4:$N$1510),NA()))</f>
        <v>1030.3895946906482</v>
      </c>
      <c r="X116" t="e">
        <f>IF($J116&gt;MAX('Match Log'!$A$4:$A$1510),NA(),IFERROR(LOOKUP(2,1/(('Match Log'!$D$4:$D$1510=$X$24)*('Match Log'!$A$4:$A$1510&lt;=$J116)),'Match Log'!$N$4:$N$1510),NA()))</f>
        <v>#N/A</v>
      </c>
      <c r="Y116" t="str">
        <f t="shared" ca="1" si="22"/>
        <v/>
      </c>
    </row>
    <row r="117" spans="1:25" ht="15" customHeight="1" x14ac:dyDescent="0.2">
      <c r="A117">
        <v>93</v>
      </c>
      <c r="B117" s="138">
        <f>IFERROR(INDEX('Match Log'!$B$4:$B$1510,MATCH($A117,'Match Log'!$A$4:$A$1510,0)),"")</f>
        <v>46188</v>
      </c>
      <c r="C117" t="str">
        <f>IFERROR(INDEX('Match Log'!$C$4:$C$1510,MATCH($A117,'Match Log'!$A$4:$A$1510,0)),"")</f>
        <v>Table Tennis</v>
      </c>
      <c r="D117" t="str">
        <f t="array" ref="D117">IFERROR(_xlfn.TEXTJOIN(" + ",TRUE(),IF(('Match Log'!$A$4:$A$1510=$A117)*('Match Log'!$E$4:$E$1510="Win"),'Match Log'!$D$4:$D$1510,"")),IFERROR(LOOKUP(2,1/(('Match Log'!$A$4:$A$1510=$A117)*('Match Log'!$E$4:$E$1510="Win")),'Match Log'!$D$4:$D$1510),""))</f>
        <v>Oscar</v>
      </c>
      <c r="E117" s="139">
        <f>IFERROR(INDEX('Match Log'!$F$4:$F$1510,MATCH($A117,'Match Log'!$A$4:$A$1510,0)),"")</f>
        <v>2</v>
      </c>
      <c r="F117">
        <f>IFERROR(SUMIFS('Match Log'!$I$4:$I$1510,'Match Log'!$A$4:$A$1510,$A117,'Match Log'!$E$4:$E$1510,"Win"),"")</f>
        <v>0.5</v>
      </c>
      <c r="G117">
        <f t="shared" si="20"/>
        <v>0</v>
      </c>
      <c r="H117" t="str">
        <f t="array" ref="H117">IFERROR(IF(COUNTIFS('Match Log'!$A$4:$A$1510,$A117,'Match Log'!$E$4:$E$1510,"Win")&gt;1,_xlfn.TEXTJOIN(" + ",TRUE(),IF(('Match Log'!$A$4:$A$1510=$A117)*('Match Log'!$E$4:$E$1510="Loss"),'Match Log'!$D$4:$D$1510,"")),IF($E117=2,LOOKUP(2,1/(('Match Log'!$A$4:$A$1510=$A117)*('Match Log'!$E$4:$E$1510="Loss")),'Match Log'!$D$4:$D$1510),"the field")),"")</f>
        <v>Beau</v>
      </c>
      <c r="I117">
        <f t="shared" si="21"/>
        <v>-9.2999999999999997E-5</v>
      </c>
      <c r="J117">
        <v>93</v>
      </c>
      <c r="K117">
        <f>IF($J117&gt;MAX('Match Log'!$A$4:$A$1510),NA(),IFERROR(LOOKUP(2,1/(('Match Log'!$D$4:$D$1510=$K$24)*('Match Log'!$A$4:$A$1510&lt;=$J117)),'Match Log'!$N$4:$N$1510),NA()))</f>
        <v>1057.8233661943223</v>
      </c>
      <c r="L117">
        <f>IF($J117&gt;MAX('Match Log'!$A$4:$A$1510),NA(),IFERROR(LOOKUP(2,1/(('Match Log'!$D$4:$D$1510=$L$24)*('Match Log'!$A$4:$A$1510&lt;=$J117)),'Match Log'!$N$4:$N$1510),NA()))</f>
        <v>1029.5175965335138</v>
      </c>
      <c r="M117">
        <f>IF($J117&gt;MAX('Match Log'!$A$4:$A$1510),NA(),IFERROR(LOOKUP(2,1/(('Match Log'!$D$4:$D$1510=$M$24)*('Match Log'!$A$4:$A$1510&lt;=$J117)),'Match Log'!$N$4:$N$1510),NA()))</f>
        <v>1016.7841648959289</v>
      </c>
      <c r="N117">
        <f>IF($J117&gt;MAX('Match Log'!$A$4:$A$1510),NA(),IFERROR(LOOKUP(2,1/(('Match Log'!$D$4:$D$1510=$N$24)*('Match Log'!$A$4:$A$1510&lt;=$J117)),'Match Log'!$N$4:$N$1510),NA()))</f>
        <v>981.90186446660846</v>
      </c>
      <c r="O117">
        <f>IF($J117&gt;MAX('Match Log'!$A$4:$A$1510),NA(),IFERROR(LOOKUP(2,1/(('Match Log'!$D$4:$D$1510=$O$24)*('Match Log'!$A$4:$A$1510&lt;=$J117)),'Match Log'!$N$4:$N$1510),NA()))</f>
        <v>1158.0015364689252</v>
      </c>
      <c r="P117">
        <f>IF($J117&gt;MAX('Match Log'!$A$4:$A$1510),NA(),IFERROR(LOOKUP(2,1/(('Match Log'!$D$4:$D$1510=$P$24)*('Match Log'!$A$4:$A$1510&lt;=$J117)),'Match Log'!$N$4:$N$1510),NA()))</f>
        <v>1016.5191915459058</v>
      </c>
      <c r="Q117">
        <f>IF($J117&gt;MAX('Match Log'!$A$4:$A$1510),NA(),IFERROR(LOOKUP(2,1/(('Match Log'!$D$4:$D$1510=$Q$24)*('Match Log'!$A$4:$A$1510&lt;=$J117)),'Match Log'!$N$4:$N$1510),NA()))</f>
        <v>1085.4901250893295</v>
      </c>
      <c r="R117">
        <f>IF($J117&gt;MAX('Match Log'!$A$4:$A$1510),NA(),IFERROR(LOOKUP(2,1/(('Match Log'!$D$4:$D$1510=$R$24)*('Match Log'!$A$4:$A$1510&lt;=$J117)),'Match Log'!$N$4:$N$1510),NA()))</f>
        <v>1070.9274370987889</v>
      </c>
      <c r="S117">
        <f>IF($J117&gt;MAX('Match Log'!$A$4:$A$1510),NA(),IFERROR(LOOKUP(2,1/(('Match Log'!$D$4:$D$1510=$S$24)*('Match Log'!$A$4:$A$1510&lt;=$J117)),'Match Log'!$N$4:$N$1510),NA()))</f>
        <v>1118.764841324594</v>
      </c>
      <c r="T117">
        <f>IF($J117&gt;MAX('Match Log'!$A$4:$A$1510),NA(),IFERROR(LOOKUP(2,1/(('Match Log'!$D$4:$D$1510=$T$24)*('Match Log'!$A$4:$A$1510&lt;=$J117)),'Match Log'!$N$4:$N$1510),NA()))</f>
        <v>907.62461280220498</v>
      </c>
      <c r="U117">
        <f>IF($J117&gt;MAX('Match Log'!$A$4:$A$1510),NA(),IFERROR(LOOKUP(2,1/(('Match Log'!$D$4:$D$1510=$U$24)*('Match Log'!$A$4:$A$1510&lt;=$J117)),'Match Log'!$N$4:$N$1510),NA()))</f>
        <v>1090.0664431172574</v>
      </c>
      <c r="V117">
        <f>IF($J117&gt;MAX('Match Log'!$A$4:$A$1510),NA(),IFERROR(LOOKUP(2,1/(('Match Log'!$D$4:$D$1510=$V$24)*('Match Log'!$A$4:$A$1510&lt;=$J117)),'Match Log'!$N$4:$N$1510),NA()))</f>
        <v>1031.1892257719715</v>
      </c>
      <c r="W117">
        <f>IF($J117&gt;MAX('Match Log'!$A$4:$A$1510),NA(),IFERROR(LOOKUP(2,1/(('Match Log'!$D$4:$D$1510=$W$24)*('Match Log'!$A$4:$A$1510&lt;=$J117)),'Match Log'!$N$4:$N$1510),NA()))</f>
        <v>1030.3895946906482</v>
      </c>
      <c r="X117" t="e">
        <f>IF($J117&gt;MAX('Match Log'!$A$4:$A$1510),NA(),IFERROR(LOOKUP(2,1/(('Match Log'!$D$4:$D$1510=$X$24)*('Match Log'!$A$4:$A$1510&lt;=$J117)),'Match Log'!$N$4:$N$1510),NA()))</f>
        <v>#N/A</v>
      </c>
      <c r="Y117" t="str">
        <f t="shared" ca="1" si="22"/>
        <v/>
      </c>
    </row>
    <row r="118" spans="1:25" ht="15" customHeight="1" x14ac:dyDescent="0.2">
      <c r="A118">
        <v>94</v>
      </c>
      <c r="B118" s="138">
        <f>IFERROR(INDEX('Match Log'!$B$4:$B$1510,MATCH($A118,'Match Log'!$A$4:$A$1510,0)),"")</f>
        <v>46188</v>
      </c>
      <c r="C118" t="str">
        <f>IFERROR(INDEX('Match Log'!$C$4:$C$1510,MATCH($A118,'Match Log'!$A$4:$A$1510,0)),"")</f>
        <v>Pool</v>
      </c>
      <c r="D118" t="str">
        <f t="array" ref="D118">IFERROR(_xlfn.TEXTJOIN(" + ",TRUE(),IF(('Match Log'!$A$4:$A$1510=$A118)*('Match Log'!$E$4:$E$1510="Win"),'Match Log'!$D$4:$D$1510,"")),IFERROR(LOOKUP(2,1/(('Match Log'!$A$4:$A$1510=$A118)*('Match Log'!$E$4:$E$1510="Win")),'Match Log'!$D$4:$D$1510),""))</f>
        <v>Daniel (Ferret)</v>
      </c>
      <c r="E118" s="139">
        <f>IFERROR(INDEX('Match Log'!$F$4:$F$1510,MATCH($A118,'Match Log'!$A$4:$A$1510,0)),"")</f>
        <v>2</v>
      </c>
      <c r="F118">
        <f>IFERROR(SUMIFS('Match Log'!$I$4:$I$1510,'Match Log'!$A$4:$A$1510,$A118,'Match Log'!$E$4:$E$1510,"Win"),"")</f>
        <v>0.57142857142857151</v>
      </c>
      <c r="G118">
        <f t="shared" si="20"/>
        <v>-0.14285714285714302</v>
      </c>
      <c r="H118" t="str">
        <f t="array" ref="H118">IFERROR(IF(COUNTIFS('Match Log'!$A$4:$A$1510,$A118,'Match Log'!$E$4:$E$1510,"Win")&gt;1,_xlfn.TEXTJOIN(" + ",TRUE(),IF(('Match Log'!$A$4:$A$1510=$A118)*('Match Log'!$E$4:$E$1510="Loss"),'Match Log'!$D$4:$D$1510,"")),IF($E118=2,LOOKUP(2,1/(('Match Log'!$A$4:$A$1510=$A118)*('Match Log'!$E$4:$E$1510="Loss")),'Match Log'!$D$4:$D$1510),"the field")),"")</f>
        <v>Cody</v>
      </c>
      <c r="I118">
        <f t="shared" si="21"/>
        <v>-0.14295114285714303</v>
      </c>
      <c r="J118">
        <v>94</v>
      </c>
      <c r="K118">
        <f>IF($J118&gt;MAX('Match Log'!$A$4:$A$1510),NA(),IFERROR(LOOKUP(2,1/(('Match Log'!$D$4:$D$1510=$K$24)*('Match Log'!$A$4:$A$1510&lt;=$J118)),'Match Log'!$N$4:$N$1510),NA()))</f>
        <v>1057.8233661943223</v>
      </c>
      <c r="L118">
        <f>IF($J118&gt;MAX('Match Log'!$A$4:$A$1510),NA(),IFERROR(LOOKUP(2,1/(('Match Log'!$D$4:$D$1510=$L$24)*('Match Log'!$A$4:$A$1510&lt;=$J118)),'Match Log'!$N$4:$N$1510),NA()))</f>
        <v>1029.5175965335138</v>
      </c>
      <c r="M118">
        <f>IF($J118&gt;MAX('Match Log'!$A$4:$A$1510),NA(),IFERROR(LOOKUP(2,1/(('Match Log'!$D$4:$D$1510=$M$24)*('Match Log'!$A$4:$A$1510&lt;=$J118)),'Match Log'!$N$4:$N$1510),NA()))</f>
        <v>1016.7841648959289</v>
      </c>
      <c r="N118">
        <f>IF($J118&gt;MAX('Match Log'!$A$4:$A$1510),NA(),IFERROR(LOOKUP(2,1/(('Match Log'!$D$4:$D$1510=$N$24)*('Match Log'!$A$4:$A$1510&lt;=$J118)),'Match Log'!$N$4:$N$1510),NA()))</f>
        <v>981.90186446660846</v>
      </c>
      <c r="O118">
        <f>IF($J118&gt;MAX('Match Log'!$A$4:$A$1510),NA(),IFERROR(LOOKUP(2,1/(('Match Log'!$D$4:$D$1510=$O$24)*('Match Log'!$A$4:$A$1510&lt;=$J118)),'Match Log'!$N$4:$N$1510),NA()))</f>
        <v>1158.0015364689252</v>
      </c>
      <c r="P118">
        <f>IF($J118&gt;MAX('Match Log'!$A$4:$A$1510),NA(),IFERROR(LOOKUP(2,1/(('Match Log'!$D$4:$D$1510=$P$24)*('Match Log'!$A$4:$A$1510&lt;=$J118)),'Match Log'!$N$4:$N$1510),NA()))</f>
        <v>1016.5191915459058</v>
      </c>
      <c r="Q118">
        <f>IF($J118&gt;MAX('Match Log'!$A$4:$A$1510),NA(),IFERROR(LOOKUP(2,1/(('Match Log'!$D$4:$D$1510=$Q$24)*('Match Log'!$A$4:$A$1510&lt;=$J118)),'Match Log'!$N$4:$N$1510),NA()))</f>
        <v>1085.4901250893295</v>
      </c>
      <c r="R118">
        <f>IF($J118&gt;MAX('Match Log'!$A$4:$A$1510),NA(),IFERROR(LOOKUP(2,1/(('Match Log'!$D$4:$D$1510=$R$24)*('Match Log'!$A$4:$A$1510&lt;=$J118)),'Match Log'!$N$4:$N$1510),NA()))</f>
        <v>1085.3944347026159</v>
      </c>
      <c r="S118">
        <f>IF($J118&gt;MAX('Match Log'!$A$4:$A$1510),NA(),IFERROR(LOOKUP(2,1/(('Match Log'!$D$4:$D$1510=$S$24)*('Match Log'!$A$4:$A$1510&lt;=$J118)),'Match Log'!$N$4:$N$1510),NA()))</f>
        <v>1118.764841324594</v>
      </c>
      <c r="T118">
        <f>IF($J118&gt;MAX('Match Log'!$A$4:$A$1510),NA(),IFERROR(LOOKUP(2,1/(('Match Log'!$D$4:$D$1510=$T$24)*('Match Log'!$A$4:$A$1510&lt;=$J118)),'Match Log'!$N$4:$N$1510),NA()))</f>
        <v>893.15761519837804</v>
      </c>
      <c r="U118">
        <f>IF($J118&gt;MAX('Match Log'!$A$4:$A$1510),NA(),IFERROR(LOOKUP(2,1/(('Match Log'!$D$4:$D$1510=$U$24)*('Match Log'!$A$4:$A$1510&lt;=$J118)),'Match Log'!$N$4:$N$1510),NA()))</f>
        <v>1090.0664431172574</v>
      </c>
      <c r="V118">
        <f>IF($J118&gt;MAX('Match Log'!$A$4:$A$1510),NA(),IFERROR(LOOKUP(2,1/(('Match Log'!$D$4:$D$1510=$V$24)*('Match Log'!$A$4:$A$1510&lt;=$J118)),'Match Log'!$N$4:$N$1510),NA()))</f>
        <v>1031.1892257719715</v>
      </c>
      <c r="W118">
        <f>IF($J118&gt;MAX('Match Log'!$A$4:$A$1510),NA(),IFERROR(LOOKUP(2,1/(('Match Log'!$D$4:$D$1510=$W$24)*('Match Log'!$A$4:$A$1510&lt;=$J118)),'Match Log'!$N$4:$N$1510),NA()))</f>
        <v>1030.3895946906482</v>
      </c>
      <c r="X118" t="e">
        <f>IF($J118&gt;MAX('Match Log'!$A$4:$A$1510),NA(),IFERROR(LOOKUP(2,1/(('Match Log'!$D$4:$D$1510=$X$24)*('Match Log'!$A$4:$A$1510&lt;=$J118)),'Match Log'!$N$4:$N$1510),NA()))</f>
        <v>#N/A</v>
      </c>
      <c r="Y118" t="str">
        <f t="shared" ca="1" si="22"/>
        <v/>
      </c>
    </row>
    <row r="119" spans="1:25" ht="15" customHeight="1" x14ac:dyDescent="0.2">
      <c r="A119">
        <v>95</v>
      </c>
      <c r="B119" s="138">
        <f>IFERROR(INDEX('Match Log'!$B$4:$B$1510,MATCH($A119,'Match Log'!$A$4:$A$1510,0)),"")</f>
        <v>46189</v>
      </c>
      <c r="C119" t="str">
        <f>IFERROR(INDEX('Match Log'!$C$4:$C$1510,MATCH($A119,'Match Log'!$A$4:$A$1510,0)),"")</f>
        <v>Mario Party</v>
      </c>
      <c r="D119" t="str">
        <f t="array" ref="D119">IFERROR(_xlfn.TEXTJOIN(" + ",TRUE(),IF(('Match Log'!$A$4:$A$1510=$A119)*('Match Log'!$E$4:$E$1510="Win"),'Match Log'!$D$4:$D$1510,"")),IFERROR(LOOKUP(2,1/(('Match Log'!$A$4:$A$1510=$A119)*('Match Log'!$E$4:$E$1510="Win")),'Match Log'!$D$4:$D$1510),""))</f>
        <v>Daniel (Ferret)</v>
      </c>
      <c r="E119" s="139">
        <f>IFERROR(INDEX('Match Log'!$F$4:$F$1510,MATCH($A119,'Match Log'!$A$4:$A$1510,0)),"")</f>
        <v>3</v>
      </c>
      <c r="F119">
        <f>IFERROR(SUMIFS('Match Log'!$I$4:$I$1510,'Match Log'!$A$4:$A$1510,$A119,'Match Log'!$E$4:$E$1510,"Win"),"")</f>
        <v>0.5</v>
      </c>
      <c r="G119">
        <f t="shared" si="20"/>
        <v>-0.5</v>
      </c>
      <c r="H119" t="str">
        <f t="array" ref="H119">IFERROR(IF(COUNTIFS('Match Log'!$A$4:$A$1510,$A119,'Match Log'!$E$4:$E$1510,"Win")&gt;1,_xlfn.TEXTJOIN(" + ",TRUE(),IF(('Match Log'!$A$4:$A$1510=$A119)*('Match Log'!$E$4:$E$1510="Loss"),'Match Log'!$D$4:$D$1510,"")),IF($E119=2,LOOKUP(2,1/(('Match Log'!$A$4:$A$1510=$A119)*('Match Log'!$E$4:$E$1510="Loss")),'Match Log'!$D$4:$D$1510),"the field")),"")</f>
        <v>the field</v>
      </c>
      <c r="I119">
        <f t="shared" si="21"/>
        <v>-0.50009499999999996</v>
      </c>
      <c r="J119">
        <v>95</v>
      </c>
      <c r="K119">
        <f>IF($J119&gt;MAX('Match Log'!$A$4:$A$1510),NA(),IFERROR(LOOKUP(2,1/(('Match Log'!$D$4:$D$1510=$K$24)*('Match Log'!$A$4:$A$1510&lt;=$J119)),'Match Log'!$N$4:$N$1510),NA()))</f>
        <v>1057.8233661943223</v>
      </c>
      <c r="L119">
        <f>IF($J119&gt;MAX('Match Log'!$A$4:$A$1510),NA(),IFERROR(LOOKUP(2,1/(('Match Log'!$D$4:$D$1510=$L$24)*('Match Log'!$A$4:$A$1510&lt;=$J119)),'Match Log'!$N$4:$N$1510),NA()))</f>
        <v>1029.5175965335138</v>
      </c>
      <c r="M119">
        <f>IF($J119&gt;MAX('Match Log'!$A$4:$A$1510),NA(),IFERROR(LOOKUP(2,1/(('Match Log'!$D$4:$D$1510=$M$24)*('Match Log'!$A$4:$A$1510&lt;=$J119)),'Match Log'!$N$4:$N$1510),NA()))</f>
        <v>1016.7841648959289</v>
      </c>
      <c r="N119">
        <f>IF($J119&gt;MAX('Match Log'!$A$4:$A$1510),NA(),IFERROR(LOOKUP(2,1/(('Match Log'!$D$4:$D$1510=$N$24)*('Match Log'!$A$4:$A$1510&lt;=$J119)),'Match Log'!$N$4:$N$1510),NA()))</f>
        <v>981.90186446660846</v>
      </c>
      <c r="O119">
        <f>IF($J119&gt;MAX('Match Log'!$A$4:$A$1510),NA(),IFERROR(LOOKUP(2,1/(('Match Log'!$D$4:$D$1510=$O$24)*('Match Log'!$A$4:$A$1510&lt;=$J119)),'Match Log'!$N$4:$N$1510),NA()))</f>
        <v>1158.0015364689252</v>
      </c>
      <c r="P119">
        <f>IF($J119&gt;MAX('Match Log'!$A$4:$A$1510),NA(),IFERROR(LOOKUP(2,1/(('Match Log'!$D$4:$D$1510=$P$24)*('Match Log'!$A$4:$A$1510&lt;=$J119)),'Match Log'!$N$4:$N$1510),NA()))</f>
        <v>1009.9183538066862</v>
      </c>
      <c r="Q119">
        <f>IF($J119&gt;MAX('Match Log'!$A$4:$A$1510),NA(),IFERROR(LOOKUP(2,1/(('Match Log'!$D$4:$D$1510=$Q$24)*('Match Log'!$A$4:$A$1510&lt;=$J119)),'Match Log'!$N$4:$N$1510),NA()))</f>
        <v>1085.4901250893295</v>
      </c>
      <c r="R119">
        <f>IF($J119&gt;MAX('Match Log'!$A$4:$A$1510),NA(),IFERROR(LOOKUP(2,1/(('Match Log'!$D$4:$D$1510=$R$24)*('Match Log'!$A$4:$A$1510&lt;=$J119)),'Match Log'!$N$4:$N$1510),NA()))</f>
        <v>1108.9928165126087</v>
      </c>
      <c r="S119">
        <f>IF($J119&gt;MAX('Match Log'!$A$4:$A$1510),NA(),IFERROR(LOOKUP(2,1/(('Match Log'!$D$4:$D$1510=$S$24)*('Match Log'!$A$4:$A$1510&lt;=$J119)),'Match Log'!$N$4:$N$1510),NA()))</f>
        <v>1118.764841324594</v>
      </c>
      <c r="T119">
        <f>IF($J119&gt;MAX('Match Log'!$A$4:$A$1510),NA(),IFERROR(LOOKUP(2,1/(('Match Log'!$D$4:$D$1510=$T$24)*('Match Log'!$A$4:$A$1510&lt;=$J119)),'Match Log'!$N$4:$N$1510),NA()))</f>
        <v>893.15761519837804</v>
      </c>
      <c r="U119">
        <f>IF($J119&gt;MAX('Match Log'!$A$4:$A$1510),NA(),IFERROR(LOOKUP(2,1/(('Match Log'!$D$4:$D$1510=$U$24)*('Match Log'!$A$4:$A$1510&lt;=$J119)),'Match Log'!$N$4:$N$1510),NA()))</f>
        <v>1082.0688990464841</v>
      </c>
      <c r="V119">
        <f>IF($J119&gt;MAX('Match Log'!$A$4:$A$1510),NA(),IFERROR(LOOKUP(2,1/(('Match Log'!$D$4:$D$1510=$V$24)*('Match Log'!$A$4:$A$1510&lt;=$J119)),'Match Log'!$N$4:$N$1510),NA()))</f>
        <v>1031.1892257719715</v>
      </c>
      <c r="W119">
        <f>IF($J119&gt;MAX('Match Log'!$A$4:$A$1510),NA(),IFERROR(LOOKUP(2,1/(('Match Log'!$D$4:$D$1510=$W$24)*('Match Log'!$A$4:$A$1510&lt;=$J119)),'Match Log'!$N$4:$N$1510),NA()))</f>
        <v>1030.3895946906482</v>
      </c>
      <c r="X119" t="e">
        <f>IF($J119&gt;MAX('Match Log'!$A$4:$A$1510),NA(),IFERROR(LOOKUP(2,1/(('Match Log'!$D$4:$D$1510=$X$24)*('Match Log'!$A$4:$A$1510&lt;=$J119)),'Match Log'!$N$4:$N$1510),NA()))</f>
        <v>#N/A</v>
      </c>
      <c r="Y119" t="str">
        <f t="shared" ca="1" si="22"/>
        <v/>
      </c>
    </row>
    <row r="120" spans="1:25" ht="15" customHeight="1" x14ac:dyDescent="0.2">
      <c r="A120">
        <v>96</v>
      </c>
      <c r="B120" s="138">
        <f>IFERROR(INDEX('Match Log'!$B$4:$B$1510,MATCH($A120,'Match Log'!$A$4:$A$1510,0)),"")</f>
        <v>46189</v>
      </c>
      <c r="C120" t="str">
        <f>IFERROR(INDEX('Match Log'!$C$4:$C$1510,MATCH($A120,'Match Log'!$A$4:$A$1510,0)),"")</f>
        <v>Pool</v>
      </c>
      <c r="D120" t="str">
        <f t="array" ref="D120">IFERROR(_xlfn.TEXTJOIN(" + ",TRUE(),IF(('Match Log'!$A$4:$A$1510=$A120)*('Match Log'!$E$4:$E$1510="Win"),'Match Log'!$D$4:$D$1510,"")),IFERROR(LOOKUP(2,1/(('Match Log'!$A$4:$A$1510=$A120)*('Match Log'!$E$4:$E$1510="Win")),'Match Log'!$D$4:$D$1510),""))</f>
        <v>Dean B</v>
      </c>
      <c r="E120" s="139">
        <f>IFERROR(INDEX('Match Log'!$F$4:$F$1510,MATCH($A120,'Match Log'!$A$4:$A$1510,0)),"")</f>
        <v>2</v>
      </c>
      <c r="F120">
        <f>IFERROR(SUMIFS('Match Log'!$I$4:$I$1510,'Match Log'!$A$4:$A$1510,$A120,'Match Log'!$E$4:$E$1510,"Win"),"")</f>
        <v>0.33333333333333331</v>
      </c>
      <c r="G120">
        <f t="shared" si="20"/>
        <v>0.33333333333333337</v>
      </c>
      <c r="H120" t="str">
        <f t="array" ref="H120">IFERROR(IF(COUNTIFS('Match Log'!$A$4:$A$1510,$A120,'Match Log'!$E$4:$E$1510,"Win")&gt;1,_xlfn.TEXTJOIN(" + ",TRUE(),IF(('Match Log'!$A$4:$A$1510=$A120)*('Match Log'!$E$4:$E$1510="Loss"),'Match Log'!$D$4:$D$1510,"")),IF($E120=2,LOOKUP(2,1/(('Match Log'!$A$4:$A$1510=$A120)*('Match Log'!$E$4:$E$1510="Loss")),'Match Log'!$D$4:$D$1510),"the field")),"")</f>
        <v>Daniel (Ferret)</v>
      </c>
      <c r="I120">
        <f t="shared" si="21"/>
        <v>0.33323733333333339</v>
      </c>
      <c r="J120">
        <v>96</v>
      </c>
      <c r="K120">
        <f>IF($J120&gt;MAX('Match Log'!$A$4:$A$1510),NA(),IFERROR(LOOKUP(2,1/(('Match Log'!$D$4:$D$1510=$K$24)*('Match Log'!$A$4:$A$1510&lt;=$J120)),'Match Log'!$N$4:$N$1510),NA()))</f>
        <v>1057.8233661943223</v>
      </c>
      <c r="L120">
        <f>IF($J120&gt;MAX('Match Log'!$A$4:$A$1510),NA(),IFERROR(LOOKUP(2,1/(('Match Log'!$D$4:$D$1510=$L$24)*('Match Log'!$A$4:$A$1510&lt;=$J120)),'Match Log'!$N$4:$N$1510),NA()))</f>
        <v>1029.5175965335138</v>
      </c>
      <c r="M120">
        <f>IF($J120&gt;MAX('Match Log'!$A$4:$A$1510),NA(),IFERROR(LOOKUP(2,1/(('Match Log'!$D$4:$D$1510=$M$24)*('Match Log'!$A$4:$A$1510&lt;=$J120)),'Match Log'!$N$4:$N$1510),NA()))</f>
        <v>1016.7841648959289</v>
      </c>
      <c r="N120">
        <f>IF($J120&gt;MAX('Match Log'!$A$4:$A$1510),NA(),IFERROR(LOOKUP(2,1/(('Match Log'!$D$4:$D$1510=$N$24)*('Match Log'!$A$4:$A$1510&lt;=$J120)),'Match Log'!$N$4:$N$1510),NA()))</f>
        <v>981.90186446660846</v>
      </c>
      <c r="O120">
        <f>IF($J120&gt;MAX('Match Log'!$A$4:$A$1510),NA(),IFERROR(LOOKUP(2,1/(('Match Log'!$D$4:$D$1510=$O$24)*('Match Log'!$A$4:$A$1510&lt;=$J120)),'Match Log'!$N$4:$N$1510),NA()))</f>
        <v>1158.0015364689252</v>
      </c>
      <c r="P120">
        <f>IF($J120&gt;MAX('Match Log'!$A$4:$A$1510),NA(),IFERROR(LOOKUP(2,1/(('Match Log'!$D$4:$D$1510=$P$24)*('Match Log'!$A$4:$A$1510&lt;=$J120)),'Match Log'!$N$4:$N$1510),NA()))</f>
        <v>1009.9183538066862</v>
      </c>
      <c r="Q120">
        <f>IF($J120&gt;MAX('Match Log'!$A$4:$A$1510),NA(),IFERROR(LOOKUP(2,1/(('Match Log'!$D$4:$D$1510=$Q$24)*('Match Log'!$A$4:$A$1510&lt;=$J120)),'Match Log'!$N$4:$N$1510),NA()))</f>
        <v>1085.4901250893295</v>
      </c>
      <c r="R120">
        <f>IF($J120&gt;MAX('Match Log'!$A$4:$A$1510),NA(),IFERROR(LOOKUP(2,1/(('Match Log'!$D$4:$D$1510=$R$24)*('Match Log'!$A$4:$A$1510&lt;=$J120)),'Match Log'!$N$4:$N$1510),NA()))</f>
        <v>1082.6041085130073</v>
      </c>
      <c r="S120">
        <f>IF($J120&gt;MAX('Match Log'!$A$4:$A$1510),NA(),IFERROR(LOOKUP(2,1/(('Match Log'!$D$4:$D$1510=$S$24)*('Match Log'!$A$4:$A$1510&lt;=$J120)),'Match Log'!$N$4:$N$1510),NA()))</f>
        <v>1145.1535493241954</v>
      </c>
      <c r="T120">
        <f>IF($J120&gt;MAX('Match Log'!$A$4:$A$1510),NA(),IFERROR(LOOKUP(2,1/(('Match Log'!$D$4:$D$1510=$T$24)*('Match Log'!$A$4:$A$1510&lt;=$J120)),'Match Log'!$N$4:$N$1510),NA()))</f>
        <v>893.15761519837804</v>
      </c>
      <c r="U120">
        <f>IF($J120&gt;MAX('Match Log'!$A$4:$A$1510),NA(),IFERROR(LOOKUP(2,1/(('Match Log'!$D$4:$D$1510=$U$24)*('Match Log'!$A$4:$A$1510&lt;=$J120)),'Match Log'!$N$4:$N$1510),NA()))</f>
        <v>1082.0688990464841</v>
      </c>
      <c r="V120">
        <f>IF($J120&gt;MAX('Match Log'!$A$4:$A$1510),NA(),IFERROR(LOOKUP(2,1/(('Match Log'!$D$4:$D$1510=$V$24)*('Match Log'!$A$4:$A$1510&lt;=$J120)),'Match Log'!$N$4:$N$1510),NA()))</f>
        <v>1031.1892257719715</v>
      </c>
      <c r="W120">
        <f>IF($J120&gt;MAX('Match Log'!$A$4:$A$1510),NA(),IFERROR(LOOKUP(2,1/(('Match Log'!$D$4:$D$1510=$W$24)*('Match Log'!$A$4:$A$1510&lt;=$J120)),'Match Log'!$N$4:$N$1510),NA()))</f>
        <v>1030.3895946906482</v>
      </c>
      <c r="X120" t="e">
        <f>IF($J120&gt;MAX('Match Log'!$A$4:$A$1510),NA(),IFERROR(LOOKUP(2,1/(('Match Log'!$D$4:$D$1510=$X$24)*('Match Log'!$A$4:$A$1510&lt;=$J120)),'Match Log'!$N$4:$N$1510),NA()))</f>
        <v>#N/A</v>
      </c>
      <c r="Y120" t="str">
        <f t="shared" ca="1" si="22"/>
        <v/>
      </c>
    </row>
    <row r="121" spans="1:25" ht="15" customHeight="1" x14ac:dyDescent="0.2">
      <c r="A121">
        <v>97</v>
      </c>
      <c r="B121" s="138">
        <f>IFERROR(INDEX('Match Log'!$B$4:$B$1510,MATCH($A121,'Match Log'!$A$4:$A$1510,0)),"")</f>
        <v>46189</v>
      </c>
      <c r="C121" t="str">
        <f>IFERROR(INDEX('Match Log'!$C$4:$C$1510,MATCH($A121,'Match Log'!$A$4:$A$1510,0)),"")</f>
        <v>Pool</v>
      </c>
      <c r="D121" t="str">
        <f t="array" ref="D121">IFERROR(_xlfn.TEXTJOIN(" + ",TRUE(),IF(('Match Log'!$A$4:$A$1510=$A121)*('Match Log'!$E$4:$E$1510="Win"),'Match Log'!$D$4:$D$1510,"")),IFERROR(LOOKUP(2,1/(('Match Log'!$A$4:$A$1510=$A121)*('Match Log'!$E$4:$E$1510="Win")),'Match Log'!$D$4:$D$1510),""))</f>
        <v>Dean B</v>
      </c>
      <c r="E121" s="139">
        <f>IFERROR(INDEX('Match Log'!$F$4:$F$1510,MATCH($A121,'Match Log'!$A$4:$A$1510,0)),"")</f>
        <v>2</v>
      </c>
      <c r="F121">
        <f>IFERROR(SUMIFS('Match Log'!$I$4:$I$1510,'Match Log'!$A$4:$A$1510,$A121,'Match Log'!$E$4:$E$1510,"Win"),"")</f>
        <v>0.42553191489361708</v>
      </c>
      <c r="G121">
        <f t="shared" si="20"/>
        <v>0.14893617021276584</v>
      </c>
      <c r="H121" t="str">
        <f t="array" ref="H121">IFERROR(IF(COUNTIFS('Match Log'!$A$4:$A$1510,$A121,'Match Log'!$E$4:$E$1510,"Win")&gt;1,_xlfn.TEXTJOIN(" + ",TRUE(),IF(('Match Log'!$A$4:$A$1510=$A121)*('Match Log'!$E$4:$E$1510="Loss"),'Match Log'!$D$4:$D$1510,"")),IF($E121=2,LOOKUP(2,1/(('Match Log'!$A$4:$A$1510=$A121)*('Match Log'!$E$4:$E$1510="Loss")),'Match Log'!$D$4:$D$1510),"the field")),"")</f>
        <v>Daniel (Ferret)</v>
      </c>
      <c r="I121">
        <f t="shared" si="21"/>
        <v>0.14883917021276583</v>
      </c>
      <c r="J121">
        <v>97</v>
      </c>
      <c r="K121">
        <f>IF($J121&gt;MAX('Match Log'!$A$4:$A$1510),NA(),IFERROR(LOOKUP(2,1/(('Match Log'!$D$4:$D$1510=$K$24)*('Match Log'!$A$4:$A$1510&lt;=$J121)),'Match Log'!$N$4:$N$1510),NA()))</f>
        <v>1057.8233661943223</v>
      </c>
      <c r="L121">
        <f>IF($J121&gt;MAX('Match Log'!$A$4:$A$1510),NA(),IFERROR(LOOKUP(2,1/(('Match Log'!$D$4:$D$1510=$L$24)*('Match Log'!$A$4:$A$1510&lt;=$J121)),'Match Log'!$N$4:$N$1510),NA()))</f>
        <v>1029.5175965335138</v>
      </c>
      <c r="M121">
        <f>IF($J121&gt;MAX('Match Log'!$A$4:$A$1510),NA(),IFERROR(LOOKUP(2,1/(('Match Log'!$D$4:$D$1510=$M$24)*('Match Log'!$A$4:$A$1510&lt;=$J121)),'Match Log'!$N$4:$N$1510),NA()))</f>
        <v>1016.7841648959289</v>
      </c>
      <c r="N121">
        <f>IF($J121&gt;MAX('Match Log'!$A$4:$A$1510),NA(),IFERROR(LOOKUP(2,1/(('Match Log'!$D$4:$D$1510=$N$24)*('Match Log'!$A$4:$A$1510&lt;=$J121)),'Match Log'!$N$4:$N$1510),NA()))</f>
        <v>981.90186446660846</v>
      </c>
      <c r="O121">
        <f>IF($J121&gt;MAX('Match Log'!$A$4:$A$1510),NA(),IFERROR(LOOKUP(2,1/(('Match Log'!$D$4:$D$1510=$O$24)*('Match Log'!$A$4:$A$1510&lt;=$J121)),'Match Log'!$N$4:$N$1510),NA()))</f>
        <v>1158.0015364689252</v>
      </c>
      <c r="P121">
        <f>IF($J121&gt;MAX('Match Log'!$A$4:$A$1510),NA(),IFERROR(LOOKUP(2,1/(('Match Log'!$D$4:$D$1510=$P$24)*('Match Log'!$A$4:$A$1510&lt;=$J121)),'Match Log'!$N$4:$N$1510),NA()))</f>
        <v>1009.9183538066862</v>
      </c>
      <c r="Q121">
        <f>IF($J121&gt;MAX('Match Log'!$A$4:$A$1510),NA(),IFERROR(LOOKUP(2,1/(('Match Log'!$D$4:$D$1510=$Q$24)*('Match Log'!$A$4:$A$1510&lt;=$J121)),'Match Log'!$N$4:$N$1510),NA()))</f>
        <v>1085.4901250893295</v>
      </c>
      <c r="R121">
        <f>IF($J121&gt;MAX('Match Log'!$A$4:$A$1510),NA(),IFERROR(LOOKUP(2,1/(('Match Log'!$D$4:$D$1510=$R$24)*('Match Log'!$A$4:$A$1510&lt;=$J121)),'Match Log'!$N$4:$N$1510),NA()))</f>
        <v>1059.4573800857941</v>
      </c>
      <c r="S121">
        <f>IF($J121&gt;MAX('Match Log'!$A$4:$A$1510),NA(),IFERROR(LOOKUP(2,1/(('Match Log'!$D$4:$D$1510=$S$24)*('Match Log'!$A$4:$A$1510&lt;=$J121)),'Match Log'!$N$4:$N$1510),NA()))</f>
        <v>1168.3002777514087</v>
      </c>
      <c r="T121">
        <f>IF($J121&gt;MAX('Match Log'!$A$4:$A$1510),NA(),IFERROR(LOOKUP(2,1/(('Match Log'!$D$4:$D$1510=$T$24)*('Match Log'!$A$4:$A$1510&lt;=$J121)),'Match Log'!$N$4:$N$1510),NA()))</f>
        <v>893.15761519837804</v>
      </c>
      <c r="U121">
        <f>IF($J121&gt;MAX('Match Log'!$A$4:$A$1510),NA(),IFERROR(LOOKUP(2,1/(('Match Log'!$D$4:$D$1510=$U$24)*('Match Log'!$A$4:$A$1510&lt;=$J121)),'Match Log'!$N$4:$N$1510),NA()))</f>
        <v>1082.0688990464841</v>
      </c>
      <c r="V121">
        <f>IF($J121&gt;MAX('Match Log'!$A$4:$A$1510),NA(),IFERROR(LOOKUP(2,1/(('Match Log'!$D$4:$D$1510=$V$24)*('Match Log'!$A$4:$A$1510&lt;=$J121)),'Match Log'!$N$4:$N$1510),NA()))</f>
        <v>1031.1892257719715</v>
      </c>
      <c r="W121">
        <f>IF($J121&gt;MAX('Match Log'!$A$4:$A$1510),NA(),IFERROR(LOOKUP(2,1/(('Match Log'!$D$4:$D$1510=$W$24)*('Match Log'!$A$4:$A$1510&lt;=$J121)),'Match Log'!$N$4:$N$1510),NA()))</f>
        <v>1030.3895946906482</v>
      </c>
      <c r="X121" t="e">
        <f>IF($J121&gt;MAX('Match Log'!$A$4:$A$1510),NA(),IFERROR(LOOKUP(2,1/(('Match Log'!$D$4:$D$1510=$X$24)*('Match Log'!$A$4:$A$1510&lt;=$J121)),'Match Log'!$N$4:$N$1510),NA()))</f>
        <v>#N/A</v>
      </c>
      <c r="Y121" t="str">
        <f t="shared" ca="1" si="22"/>
        <v/>
      </c>
    </row>
    <row r="122" spans="1:25" ht="15" customHeight="1" x14ac:dyDescent="0.2">
      <c r="A122">
        <v>98</v>
      </c>
      <c r="B122" s="138">
        <f>IFERROR(INDEX('Match Log'!$B$4:$B$1510,MATCH($A122,'Match Log'!$A$4:$A$1510,0)),"")</f>
        <v>46190</v>
      </c>
      <c r="C122" t="str">
        <f>IFERROR(INDEX('Match Log'!$C$4:$C$1510,MATCH($A122,'Match Log'!$A$4:$A$1510,0)),"")</f>
        <v>Chess</v>
      </c>
      <c r="D122" t="str">
        <f t="array" ref="D122">IFERROR(_xlfn.TEXTJOIN(" + ",TRUE(),IF(('Match Log'!$A$4:$A$1510=$A122)*('Match Log'!$E$4:$E$1510="Win"),'Match Log'!$D$4:$D$1510,"")),IFERROR(LOOKUP(2,1/(('Match Log'!$A$4:$A$1510=$A122)*('Match Log'!$E$4:$E$1510="Win")),'Match Log'!$D$4:$D$1510),""))</f>
        <v>Shawn</v>
      </c>
      <c r="E122" s="139">
        <f>IFERROR(INDEX('Match Log'!$F$4:$F$1510,MATCH($A122,'Match Log'!$A$4:$A$1510,0)),"")</f>
        <v>2</v>
      </c>
      <c r="F122">
        <f>IFERROR(SUMIFS('Match Log'!$I$4:$I$1510,'Match Log'!$A$4:$A$1510,$A122,'Match Log'!$E$4:$E$1510,"Win"),"")</f>
        <v>0.5</v>
      </c>
      <c r="G122">
        <f t="shared" si="20"/>
        <v>0</v>
      </c>
      <c r="H122" t="str">
        <f t="array" ref="H122">IFERROR(IF(COUNTIFS('Match Log'!$A$4:$A$1510,$A122,'Match Log'!$E$4:$E$1510,"Win")&gt;1,_xlfn.TEXTJOIN(" + ",TRUE(),IF(('Match Log'!$A$4:$A$1510=$A122)*('Match Log'!$E$4:$E$1510="Loss"),'Match Log'!$D$4:$D$1510,"")),IF($E122=2,LOOKUP(2,1/(('Match Log'!$A$4:$A$1510=$A122)*('Match Log'!$E$4:$E$1510="Loss")),'Match Log'!$D$4:$D$1510),"the field")),"")</f>
        <v>Daniel (Ferret)</v>
      </c>
      <c r="I122">
        <f t="shared" si="21"/>
        <v>-9.7999999999999997E-5</v>
      </c>
      <c r="J122">
        <v>98</v>
      </c>
      <c r="K122">
        <f>IF($J122&gt;MAX('Match Log'!$A$4:$A$1510),NA(),IFERROR(LOOKUP(2,1/(('Match Log'!$D$4:$D$1510=$K$24)*('Match Log'!$A$4:$A$1510&lt;=$J122)),'Match Log'!$N$4:$N$1510),NA()))</f>
        <v>1057.8233661943223</v>
      </c>
      <c r="L122">
        <f>IF($J122&gt;MAX('Match Log'!$A$4:$A$1510),NA(),IFERROR(LOOKUP(2,1/(('Match Log'!$D$4:$D$1510=$L$24)*('Match Log'!$A$4:$A$1510&lt;=$J122)),'Match Log'!$N$4:$N$1510),NA()))</f>
        <v>1029.5175965335138</v>
      </c>
      <c r="M122">
        <f>IF($J122&gt;MAX('Match Log'!$A$4:$A$1510),NA(),IFERROR(LOOKUP(2,1/(('Match Log'!$D$4:$D$1510=$M$24)*('Match Log'!$A$4:$A$1510&lt;=$J122)),'Match Log'!$N$4:$N$1510),NA()))</f>
        <v>1016.7841648959289</v>
      </c>
      <c r="N122">
        <f>IF($J122&gt;MAX('Match Log'!$A$4:$A$1510),NA(),IFERROR(LOOKUP(2,1/(('Match Log'!$D$4:$D$1510=$N$24)*('Match Log'!$A$4:$A$1510&lt;=$J122)),'Match Log'!$N$4:$N$1510),NA()))</f>
        <v>981.90186446660846</v>
      </c>
      <c r="O122">
        <f>IF($J122&gt;MAX('Match Log'!$A$4:$A$1510),NA(),IFERROR(LOOKUP(2,1/(('Match Log'!$D$4:$D$1510=$O$24)*('Match Log'!$A$4:$A$1510&lt;=$J122)),'Match Log'!$N$4:$N$1510),NA()))</f>
        <v>1158.0015364689252</v>
      </c>
      <c r="P122">
        <f>IF($J122&gt;MAX('Match Log'!$A$4:$A$1510),NA(),IFERROR(LOOKUP(2,1/(('Match Log'!$D$4:$D$1510=$P$24)*('Match Log'!$A$4:$A$1510&lt;=$J122)),'Match Log'!$N$4:$N$1510),NA()))</f>
        <v>1034.1843746638403</v>
      </c>
      <c r="Q122">
        <f>IF($J122&gt;MAX('Match Log'!$A$4:$A$1510),NA(),IFERROR(LOOKUP(2,1/(('Match Log'!$D$4:$D$1510=$Q$24)*('Match Log'!$A$4:$A$1510&lt;=$J122)),'Match Log'!$N$4:$N$1510),NA()))</f>
        <v>1085.4901250893295</v>
      </c>
      <c r="R122">
        <f>IF($J122&gt;MAX('Match Log'!$A$4:$A$1510),NA(),IFERROR(LOOKUP(2,1/(('Match Log'!$D$4:$D$1510=$R$24)*('Match Log'!$A$4:$A$1510&lt;=$J122)),'Match Log'!$N$4:$N$1510),NA()))</f>
        <v>1035.1913592286398</v>
      </c>
      <c r="S122">
        <f>IF($J122&gt;MAX('Match Log'!$A$4:$A$1510),NA(),IFERROR(LOOKUP(2,1/(('Match Log'!$D$4:$D$1510=$S$24)*('Match Log'!$A$4:$A$1510&lt;=$J122)),'Match Log'!$N$4:$N$1510),NA()))</f>
        <v>1168.3002777514087</v>
      </c>
      <c r="T122">
        <f>IF($J122&gt;MAX('Match Log'!$A$4:$A$1510),NA(),IFERROR(LOOKUP(2,1/(('Match Log'!$D$4:$D$1510=$T$24)*('Match Log'!$A$4:$A$1510&lt;=$J122)),'Match Log'!$N$4:$N$1510),NA()))</f>
        <v>893.15761519837804</v>
      </c>
      <c r="U122">
        <f>IF($J122&gt;MAX('Match Log'!$A$4:$A$1510),NA(),IFERROR(LOOKUP(2,1/(('Match Log'!$D$4:$D$1510=$U$24)*('Match Log'!$A$4:$A$1510&lt;=$J122)),'Match Log'!$N$4:$N$1510),NA()))</f>
        <v>1082.0688990464841</v>
      </c>
      <c r="V122">
        <f>IF($J122&gt;MAX('Match Log'!$A$4:$A$1510),NA(),IFERROR(LOOKUP(2,1/(('Match Log'!$D$4:$D$1510=$V$24)*('Match Log'!$A$4:$A$1510&lt;=$J122)),'Match Log'!$N$4:$N$1510),NA()))</f>
        <v>1031.1892257719715</v>
      </c>
      <c r="W122">
        <f>IF($J122&gt;MAX('Match Log'!$A$4:$A$1510),NA(),IFERROR(LOOKUP(2,1/(('Match Log'!$D$4:$D$1510=$W$24)*('Match Log'!$A$4:$A$1510&lt;=$J122)),'Match Log'!$N$4:$N$1510),NA()))</f>
        <v>1030.3895946906482</v>
      </c>
      <c r="X122" t="e">
        <f>IF($J122&gt;MAX('Match Log'!$A$4:$A$1510),NA(),IFERROR(LOOKUP(2,1/(('Match Log'!$D$4:$D$1510=$X$24)*('Match Log'!$A$4:$A$1510&lt;=$J122)),'Match Log'!$N$4:$N$1510),NA()))</f>
        <v>#N/A</v>
      </c>
      <c r="Y122" t="str">
        <f t="shared" ca="1" si="22"/>
        <v/>
      </c>
    </row>
    <row r="123" spans="1:25" ht="15" customHeight="1" x14ac:dyDescent="0.2">
      <c r="A123">
        <v>99</v>
      </c>
      <c r="B123" s="138">
        <f>IFERROR(INDEX('Match Log'!$B$4:$B$1510,MATCH($A123,'Match Log'!$A$4:$A$1510,0)),"")</f>
        <v>46199</v>
      </c>
      <c r="C123" t="str">
        <f>IFERROR(INDEX('Match Log'!$C$4:$C$1510,MATCH($A123,'Match Log'!$A$4:$A$1510,0)),"")</f>
        <v>Mario Golf</v>
      </c>
      <c r="D123" t="str">
        <f t="array" ref="D123">IFERROR(_xlfn.TEXTJOIN(" + ",TRUE(),IF(('Match Log'!$A$4:$A$1510=$A123)*('Match Log'!$E$4:$E$1510="Win"),'Match Log'!$D$4:$D$1510,"")),IFERROR(LOOKUP(2,1/(('Match Log'!$A$4:$A$1510=$A123)*('Match Log'!$E$4:$E$1510="Win")),'Match Log'!$D$4:$D$1510),""))</f>
        <v>Daniel (Ferret)</v>
      </c>
      <c r="E123" s="139">
        <f>IFERROR(INDEX('Match Log'!$F$4:$F$1510,MATCH($A123,'Match Log'!$A$4:$A$1510,0)),"")</f>
        <v>2</v>
      </c>
      <c r="F123">
        <f>IFERROR(SUMIFS('Match Log'!$I$4:$I$1510,'Match Log'!$A$4:$A$1510,$A123,'Match Log'!$E$4:$E$1510,"Win"),"")</f>
        <v>0.25</v>
      </c>
      <c r="G123">
        <f t="shared" si="20"/>
        <v>0.5</v>
      </c>
      <c r="H123" t="str">
        <f t="array" ref="H123">IFERROR(IF(COUNTIFS('Match Log'!$A$4:$A$1510,$A123,'Match Log'!$E$4:$E$1510,"Win")&gt;1,_xlfn.TEXTJOIN(" + ",TRUE(),IF(('Match Log'!$A$4:$A$1510=$A123)*('Match Log'!$E$4:$E$1510="Loss"),'Match Log'!$D$4:$D$1510,"")),IF($E123=2,LOOKUP(2,1/(('Match Log'!$A$4:$A$1510=$A123)*('Match Log'!$E$4:$E$1510="Loss")),'Match Log'!$D$4:$D$1510),"the field")),"")</f>
        <v>Josh</v>
      </c>
      <c r="I123">
        <f t="shared" si="21"/>
        <v>0.49990099999999998</v>
      </c>
      <c r="J123">
        <v>99</v>
      </c>
      <c r="K123">
        <f>IF($J123&gt;MAX('Match Log'!$A$4:$A$1510),NA(),IFERROR(LOOKUP(2,1/(('Match Log'!$D$4:$D$1510=$K$24)*('Match Log'!$A$4:$A$1510&lt;=$J123)),'Match Log'!$N$4:$N$1510),NA()))</f>
        <v>1057.8233661943223</v>
      </c>
      <c r="L123">
        <f>IF($J123&gt;MAX('Match Log'!$A$4:$A$1510),NA(),IFERROR(LOOKUP(2,1/(('Match Log'!$D$4:$D$1510=$L$24)*('Match Log'!$A$4:$A$1510&lt;=$J123)),'Match Log'!$N$4:$N$1510),NA()))</f>
        <v>1029.5175965335138</v>
      </c>
      <c r="M123">
        <f>IF($J123&gt;MAX('Match Log'!$A$4:$A$1510),NA(),IFERROR(LOOKUP(2,1/(('Match Log'!$D$4:$D$1510=$M$24)*('Match Log'!$A$4:$A$1510&lt;=$J123)),'Match Log'!$N$4:$N$1510),NA()))</f>
        <v>1016.7841648959289</v>
      </c>
      <c r="N123">
        <f>IF($J123&gt;MAX('Match Log'!$A$4:$A$1510),NA(),IFERROR(LOOKUP(2,1/(('Match Log'!$D$4:$D$1510=$N$24)*('Match Log'!$A$4:$A$1510&lt;=$J123)),'Match Log'!$N$4:$N$1510),NA()))</f>
        <v>981.90186446660846</v>
      </c>
      <c r="O123">
        <f>IF($J123&gt;MAX('Match Log'!$A$4:$A$1510),NA(),IFERROR(LOOKUP(2,1/(('Match Log'!$D$4:$D$1510=$O$24)*('Match Log'!$A$4:$A$1510&lt;=$J123)),'Match Log'!$N$4:$N$1510),NA()))</f>
        <v>1125.9919670351596</v>
      </c>
      <c r="P123">
        <f>IF($J123&gt;MAX('Match Log'!$A$4:$A$1510),NA(),IFERROR(LOOKUP(2,1/(('Match Log'!$D$4:$D$1510=$P$24)*('Match Log'!$A$4:$A$1510&lt;=$J123)),'Match Log'!$N$4:$N$1510),NA()))</f>
        <v>1034.1843746638403</v>
      </c>
      <c r="Q123">
        <f>IF($J123&gt;MAX('Match Log'!$A$4:$A$1510),NA(),IFERROR(LOOKUP(2,1/(('Match Log'!$D$4:$D$1510=$Q$24)*('Match Log'!$A$4:$A$1510&lt;=$J123)),'Match Log'!$N$4:$N$1510),NA()))</f>
        <v>1085.4901250893295</v>
      </c>
      <c r="R123">
        <f>IF($J123&gt;MAX('Match Log'!$A$4:$A$1510),NA(),IFERROR(LOOKUP(2,1/(('Match Log'!$D$4:$D$1510=$R$24)*('Match Log'!$A$4:$A$1510&lt;=$J123)),'Match Log'!$N$4:$N$1510),NA()))</f>
        <v>1067.2009286624057</v>
      </c>
      <c r="S123">
        <f>IF($J123&gt;MAX('Match Log'!$A$4:$A$1510),NA(),IFERROR(LOOKUP(2,1/(('Match Log'!$D$4:$D$1510=$S$24)*('Match Log'!$A$4:$A$1510&lt;=$J123)),'Match Log'!$N$4:$N$1510),NA()))</f>
        <v>1168.3002777514087</v>
      </c>
      <c r="T123">
        <f>IF($J123&gt;MAX('Match Log'!$A$4:$A$1510),NA(),IFERROR(LOOKUP(2,1/(('Match Log'!$D$4:$D$1510=$T$24)*('Match Log'!$A$4:$A$1510&lt;=$J123)),'Match Log'!$N$4:$N$1510),NA()))</f>
        <v>893.15761519837804</v>
      </c>
      <c r="U123">
        <f>IF($J123&gt;MAX('Match Log'!$A$4:$A$1510),NA(),IFERROR(LOOKUP(2,1/(('Match Log'!$D$4:$D$1510=$U$24)*('Match Log'!$A$4:$A$1510&lt;=$J123)),'Match Log'!$N$4:$N$1510),NA()))</f>
        <v>1082.0688990464841</v>
      </c>
      <c r="V123">
        <f>IF($J123&gt;MAX('Match Log'!$A$4:$A$1510),NA(),IFERROR(LOOKUP(2,1/(('Match Log'!$D$4:$D$1510=$V$24)*('Match Log'!$A$4:$A$1510&lt;=$J123)),'Match Log'!$N$4:$N$1510),NA()))</f>
        <v>1031.1892257719715</v>
      </c>
      <c r="W123">
        <f>IF($J123&gt;MAX('Match Log'!$A$4:$A$1510),NA(),IFERROR(LOOKUP(2,1/(('Match Log'!$D$4:$D$1510=$W$24)*('Match Log'!$A$4:$A$1510&lt;=$J123)),'Match Log'!$N$4:$N$1510),NA()))</f>
        <v>1030.3895946906482</v>
      </c>
      <c r="X123" t="e">
        <f>IF($J123&gt;MAX('Match Log'!$A$4:$A$1510),NA(),IFERROR(LOOKUP(2,1/(('Match Log'!$D$4:$D$1510=$X$24)*('Match Log'!$A$4:$A$1510&lt;=$J123)),'Match Log'!$N$4:$N$1510),NA()))</f>
        <v>#N/A</v>
      </c>
      <c r="Y123" t="str">
        <f t="shared" ca="1" si="22"/>
        <v/>
      </c>
    </row>
    <row r="124" spans="1:25" ht="15" customHeight="1" x14ac:dyDescent="0.2">
      <c r="A124">
        <v>100</v>
      </c>
      <c r="B124" s="138">
        <f>IFERROR(INDEX('Match Log'!$B$4:$B$1510,MATCH($A124,'Match Log'!$A$4:$A$1510,0)),"")</f>
        <v>46199</v>
      </c>
      <c r="C124" t="str">
        <f>IFERROR(INDEX('Match Log'!$C$4:$C$1510,MATCH($A124,'Match Log'!$A$4:$A$1510,0)),"")</f>
        <v>Mario Golf</v>
      </c>
      <c r="D124" t="str">
        <f t="array" ref="D124">IFERROR(_xlfn.TEXTJOIN(" + ",TRUE(),IF(('Match Log'!$A$4:$A$1510=$A124)*('Match Log'!$E$4:$E$1510="Win"),'Match Log'!$D$4:$D$1510,"")),IFERROR(LOOKUP(2,1/(('Match Log'!$A$4:$A$1510=$A124)*('Match Log'!$E$4:$E$1510="Win")),'Match Log'!$D$4:$D$1510),""))</f>
        <v>Daniel (Ferret)</v>
      </c>
      <c r="E124" s="139">
        <f>IFERROR(INDEX('Match Log'!$F$4:$F$1510,MATCH($A124,'Match Log'!$A$4:$A$1510,0)),"")</f>
        <v>2</v>
      </c>
      <c r="F124">
        <f>IFERROR(SUMIFS('Match Log'!$I$4:$I$1510,'Match Log'!$A$4:$A$1510,$A124,'Match Log'!$E$4:$E$1510,"Win"),"")</f>
        <v>0.46153846153846151</v>
      </c>
      <c r="G124">
        <f t="shared" si="20"/>
        <v>7.6923076923076983E-2</v>
      </c>
      <c r="H124" t="str">
        <f t="array" ref="H124">IFERROR(IF(COUNTIFS('Match Log'!$A$4:$A$1510,$A124,'Match Log'!$E$4:$E$1510,"Win")&gt;1,_xlfn.TEXTJOIN(" + ",TRUE(),IF(('Match Log'!$A$4:$A$1510=$A124)*('Match Log'!$E$4:$E$1510="Loss"),'Match Log'!$D$4:$D$1510,"")),IF($E124=2,LOOKUP(2,1/(('Match Log'!$A$4:$A$1510=$A124)*('Match Log'!$E$4:$E$1510="Loss")),'Match Log'!$D$4:$D$1510),"the field")),"")</f>
        <v>Josh</v>
      </c>
      <c r="I124">
        <f t="shared" si="21"/>
        <v>7.682307692307698E-2</v>
      </c>
      <c r="J124">
        <v>100</v>
      </c>
      <c r="K124">
        <f>IF($J124&gt;MAX('Match Log'!$A$4:$A$1510),NA(),IFERROR(LOOKUP(2,1/(('Match Log'!$D$4:$D$1510=$K$24)*('Match Log'!$A$4:$A$1510&lt;=$J124)),'Match Log'!$N$4:$N$1510),NA()))</f>
        <v>1057.8233661943223</v>
      </c>
      <c r="L124">
        <f>IF($J124&gt;MAX('Match Log'!$A$4:$A$1510),NA(),IFERROR(LOOKUP(2,1/(('Match Log'!$D$4:$D$1510=$L$24)*('Match Log'!$A$4:$A$1510&lt;=$J124)),'Match Log'!$N$4:$N$1510),NA()))</f>
        <v>1029.5175965335138</v>
      </c>
      <c r="M124">
        <f>IF($J124&gt;MAX('Match Log'!$A$4:$A$1510),NA(),IFERROR(LOOKUP(2,1/(('Match Log'!$D$4:$D$1510=$M$24)*('Match Log'!$A$4:$A$1510&lt;=$J124)),'Match Log'!$N$4:$N$1510),NA()))</f>
        <v>1016.7841648959289</v>
      </c>
      <c r="N124">
        <f>IF($J124&gt;MAX('Match Log'!$A$4:$A$1510),NA(),IFERROR(LOOKUP(2,1/(('Match Log'!$D$4:$D$1510=$N$24)*('Match Log'!$A$4:$A$1510&lt;=$J124)),'Match Log'!$N$4:$N$1510),NA()))</f>
        <v>981.90186446660846</v>
      </c>
      <c r="O124">
        <f>IF($J124&gt;MAX('Match Log'!$A$4:$A$1510),NA(),IFERROR(LOOKUP(2,1/(('Match Log'!$D$4:$D$1510=$O$24)*('Match Log'!$A$4:$A$1510&lt;=$J124)),'Match Log'!$N$4:$N$1510),NA()))</f>
        <v>1099.6087354832105</v>
      </c>
      <c r="P124">
        <f>IF($J124&gt;MAX('Match Log'!$A$4:$A$1510),NA(),IFERROR(LOOKUP(2,1/(('Match Log'!$D$4:$D$1510=$P$24)*('Match Log'!$A$4:$A$1510&lt;=$J124)),'Match Log'!$N$4:$N$1510),NA()))</f>
        <v>1034.1843746638403</v>
      </c>
      <c r="Q124">
        <f>IF($J124&gt;MAX('Match Log'!$A$4:$A$1510),NA(),IFERROR(LOOKUP(2,1/(('Match Log'!$D$4:$D$1510=$Q$24)*('Match Log'!$A$4:$A$1510&lt;=$J124)),'Match Log'!$N$4:$N$1510),NA()))</f>
        <v>1085.4901250893295</v>
      </c>
      <c r="R124">
        <f>IF($J124&gt;MAX('Match Log'!$A$4:$A$1510),NA(),IFERROR(LOOKUP(2,1/(('Match Log'!$D$4:$D$1510=$R$24)*('Match Log'!$A$4:$A$1510&lt;=$J124)),'Match Log'!$N$4:$N$1510),NA()))</f>
        <v>1093.5841602143548</v>
      </c>
      <c r="S124">
        <f>IF($J124&gt;MAX('Match Log'!$A$4:$A$1510),NA(),IFERROR(LOOKUP(2,1/(('Match Log'!$D$4:$D$1510=$S$24)*('Match Log'!$A$4:$A$1510&lt;=$J124)),'Match Log'!$N$4:$N$1510),NA()))</f>
        <v>1168.3002777514087</v>
      </c>
      <c r="T124">
        <f>IF($J124&gt;MAX('Match Log'!$A$4:$A$1510),NA(),IFERROR(LOOKUP(2,1/(('Match Log'!$D$4:$D$1510=$T$24)*('Match Log'!$A$4:$A$1510&lt;=$J124)),'Match Log'!$N$4:$N$1510),NA()))</f>
        <v>893.15761519837804</v>
      </c>
      <c r="U124">
        <f>IF($J124&gt;MAX('Match Log'!$A$4:$A$1510),NA(),IFERROR(LOOKUP(2,1/(('Match Log'!$D$4:$D$1510=$U$24)*('Match Log'!$A$4:$A$1510&lt;=$J124)),'Match Log'!$N$4:$N$1510),NA()))</f>
        <v>1082.0688990464841</v>
      </c>
      <c r="V124">
        <f>IF($J124&gt;MAX('Match Log'!$A$4:$A$1510),NA(),IFERROR(LOOKUP(2,1/(('Match Log'!$D$4:$D$1510=$V$24)*('Match Log'!$A$4:$A$1510&lt;=$J124)),'Match Log'!$N$4:$N$1510),NA()))</f>
        <v>1031.1892257719715</v>
      </c>
      <c r="W124">
        <f>IF($J124&gt;MAX('Match Log'!$A$4:$A$1510),NA(),IFERROR(LOOKUP(2,1/(('Match Log'!$D$4:$D$1510=$W$24)*('Match Log'!$A$4:$A$1510&lt;=$J124)),'Match Log'!$N$4:$N$1510),NA()))</f>
        <v>1030.3895946906482</v>
      </c>
      <c r="X124" t="e">
        <f>IF($J124&gt;MAX('Match Log'!$A$4:$A$1510),NA(),IFERROR(LOOKUP(2,1/(('Match Log'!$D$4:$D$1510=$X$24)*('Match Log'!$A$4:$A$1510&lt;=$J124)),'Match Log'!$N$4:$N$1510),NA()))</f>
        <v>#N/A</v>
      </c>
      <c r="Y124" t="str">
        <f t="shared" ca="1" si="22"/>
        <v/>
      </c>
    </row>
    <row r="125" spans="1:25" ht="15" customHeight="1" x14ac:dyDescent="0.2">
      <c r="A125">
        <v>101</v>
      </c>
      <c r="B125" s="138">
        <f>IFERROR(INDEX('Match Log'!$B$4:$B$1510,MATCH($A125,'Match Log'!$A$4:$A$1510,0)),"")</f>
        <v>46199</v>
      </c>
      <c r="C125" t="str">
        <f>IFERROR(INDEX('Match Log'!$C$4:$C$1510,MATCH($A125,'Match Log'!$A$4:$A$1510,0)),"")</f>
        <v>Mario Golf</v>
      </c>
      <c r="D125" t="str">
        <f t="array" ref="D125">IFERROR(_xlfn.TEXTJOIN(" + ",TRUE(),IF(('Match Log'!$A$4:$A$1510=$A125)*('Match Log'!$E$4:$E$1510="Win"),'Match Log'!$D$4:$D$1510,"")),IFERROR(LOOKUP(2,1/(('Match Log'!$A$4:$A$1510=$A125)*('Match Log'!$E$4:$E$1510="Win")),'Match Log'!$D$4:$D$1510),""))</f>
        <v>Josh</v>
      </c>
      <c r="E125" s="139">
        <f>IFERROR(INDEX('Match Log'!$F$4:$F$1510,MATCH($A125,'Match Log'!$A$4:$A$1510,0)),"")</f>
        <v>2</v>
      </c>
      <c r="F125">
        <f>IFERROR(SUMIFS('Match Log'!$I$4:$I$1510,'Match Log'!$A$4:$A$1510,$A125,'Match Log'!$E$4:$E$1510,"Win"),"")</f>
        <v>0.4</v>
      </c>
      <c r="G125">
        <f t="shared" si="20"/>
        <v>0.19999999999999996</v>
      </c>
      <c r="H125" t="str">
        <f t="array" ref="H125">IFERROR(IF(COUNTIFS('Match Log'!$A$4:$A$1510,$A125,'Match Log'!$E$4:$E$1510,"Win")&gt;1,_xlfn.TEXTJOIN(" + ",TRUE(),IF(('Match Log'!$A$4:$A$1510=$A125)*('Match Log'!$E$4:$E$1510="Loss"),'Match Log'!$D$4:$D$1510,"")),IF($E125=2,LOOKUP(2,1/(('Match Log'!$A$4:$A$1510=$A125)*('Match Log'!$E$4:$E$1510="Loss")),'Match Log'!$D$4:$D$1510),"the field")),"")</f>
        <v>Daniel (Ferret)</v>
      </c>
      <c r="I125">
        <f t="shared" si="21"/>
        <v>0.19989899999999997</v>
      </c>
      <c r="J125">
        <v>101</v>
      </c>
      <c r="K125">
        <f>IF($J125&gt;MAX('Match Log'!$A$4:$A$1510),NA(),IFERROR(LOOKUP(2,1/(('Match Log'!$D$4:$D$1510=$K$24)*('Match Log'!$A$4:$A$1510&lt;=$J125)),'Match Log'!$N$4:$N$1510),NA()))</f>
        <v>1057.8233661943223</v>
      </c>
      <c r="L125">
        <f>IF($J125&gt;MAX('Match Log'!$A$4:$A$1510),NA(),IFERROR(LOOKUP(2,1/(('Match Log'!$D$4:$D$1510=$L$24)*('Match Log'!$A$4:$A$1510&lt;=$J125)),'Match Log'!$N$4:$N$1510),NA()))</f>
        <v>1029.5175965335138</v>
      </c>
      <c r="M125">
        <f>IF($J125&gt;MAX('Match Log'!$A$4:$A$1510),NA(),IFERROR(LOOKUP(2,1/(('Match Log'!$D$4:$D$1510=$M$24)*('Match Log'!$A$4:$A$1510&lt;=$J125)),'Match Log'!$N$4:$N$1510),NA()))</f>
        <v>1016.7841648959289</v>
      </c>
      <c r="N125">
        <f>IF($J125&gt;MAX('Match Log'!$A$4:$A$1510),NA(),IFERROR(LOOKUP(2,1/(('Match Log'!$D$4:$D$1510=$N$24)*('Match Log'!$A$4:$A$1510&lt;=$J125)),'Match Log'!$N$4:$N$1510),NA()))</f>
        <v>981.90186446660846</v>
      </c>
      <c r="O125">
        <f>IF($J125&gt;MAX('Match Log'!$A$4:$A$1510),NA(),IFERROR(LOOKUP(2,1/(('Match Log'!$D$4:$D$1510=$O$24)*('Match Log'!$A$4:$A$1510&lt;=$J125)),'Match Log'!$N$4:$N$1510),NA()))</f>
        <v>1121.4481011392165</v>
      </c>
      <c r="P125">
        <f>IF($J125&gt;MAX('Match Log'!$A$4:$A$1510),NA(),IFERROR(LOOKUP(2,1/(('Match Log'!$D$4:$D$1510=$P$24)*('Match Log'!$A$4:$A$1510&lt;=$J125)),'Match Log'!$N$4:$N$1510),NA()))</f>
        <v>1034.1843746638403</v>
      </c>
      <c r="Q125">
        <f>IF($J125&gt;MAX('Match Log'!$A$4:$A$1510),NA(),IFERROR(LOOKUP(2,1/(('Match Log'!$D$4:$D$1510=$Q$24)*('Match Log'!$A$4:$A$1510&lt;=$J125)),'Match Log'!$N$4:$N$1510),NA()))</f>
        <v>1085.4901250893295</v>
      </c>
      <c r="R125">
        <f>IF($J125&gt;MAX('Match Log'!$A$4:$A$1510),NA(),IFERROR(LOOKUP(2,1/(('Match Log'!$D$4:$D$1510=$R$24)*('Match Log'!$A$4:$A$1510&lt;=$J125)),'Match Log'!$N$4:$N$1510),NA()))</f>
        <v>1071.7447945583488</v>
      </c>
      <c r="S125">
        <f>IF($J125&gt;MAX('Match Log'!$A$4:$A$1510),NA(),IFERROR(LOOKUP(2,1/(('Match Log'!$D$4:$D$1510=$S$24)*('Match Log'!$A$4:$A$1510&lt;=$J125)),'Match Log'!$N$4:$N$1510),NA()))</f>
        <v>1168.3002777514087</v>
      </c>
      <c r="T125">
        <f>IF($J125&gt;MAX('Match Log'!$A$4:$A$1510),NA(),IFERROR(LOOKUP(2,1/(('Match Log'!$D$4:$D$1510=$T$24)*('Match Log'!$A$4:$A$1510&lt;=$J125)),'Match Log'!$N$4:$N$1510),NA()))</f>
        <v>893.15761519837804</v>
      </c>
      <c r="U125">
        <f>IF($J125&gt;MAX('Match Log'!$A$4:$A$1510),NA(),IFERROR(LOOKUP(2,1/(('Match Log'!$D$4:$D$1510=$U$24)*('Match Log'!$A$4:$A$1510&lt;=$J125)),'Match Log'!$N$4:$N$1510),NA()))</f>
        <v>1082.0688990464841</v>
      </c>
      <c r="V125">
        <f>IF($J125&gt;MAX('Match Log'!$A$4:$A$1510),NA(),IFERROR(LOOKUP(2,1/(('Match Log'!$D$4:$D$1510=$V$24)*('Match Log'!$A$4:$A$1510&lt;=$J125)),'Match Log'!$N$4:$N$1510),NA()))</f>
        <v>1031.1892257719715</v>
      </c>
      <c r="W125">
        <f>IF($J125&gt;MAX('Match Log'!$A$4:$A$1510),NA(),IFERROR(LOOKUP(2,1/(('Match Log'!$D$4:$D$1510=$W$24)*('Match Log'!$A$4:$A$1510&lt;=$J125)),'Match Log'!$N$4:$N$1510),NA()))</f>
        <v>1030.3895946906482</v>
      </c>
      <c r="X125" t="e">
        <f>IF($J125&gt;MAX('Match Log'!$A$4:$A$1510),NA(),IFERROR(LOOKUP(2,1/(('Match Log'!$D$4:$D$1510=$X$24)*('Match Log'!$A$4:$A$1510&lt;=$J125)),'Match Log'!$N$4:$N$1510),NA()))</f>
        <v>#N/A</v>
      </c>
      <c r="Y125" t="str">
        <f t="shared" ca="1" si="22"/>
        <v/>
      </c>
    </row>
    <row r="126" spans="1:25" ht="15" customHeight="1" x14ac:dyDescent="0.2">
      <c r="A126">
        <v>102</v>
      </c>
      <c r="B126" s="138">
        <f>IFERROR(INDEX('Match Log'!$B$4:$B$1510,MATCH($A126,'Match Log'!$A$4:$A$1510,0)),"")</f>
        <v>46199</v>
      </c>
      <c r="C126" t="str">
        <f>IFERROR(INDEX('Match Log'!$C$4:$C$1510,MATCH($A126,'Match Log'!$A$4:$A$1510,0)),"")</f>
        <v>Mario Golf</v>
      </c>
      <c r="D126" t="str">
        <f t="array" ref="D126">IFERROR(_xlfn.TEXTJOIN(" + ",TRUE(),IF(('Match Log'!$A$4:$A$1510=$A126)*('Match Log'!$E$4:$E$1510="Win"),'Match Log'!$D$4:$D$1510,"")),IFERROR(LOOKUP(2,1/(('Match Log'!$A$4:$A$1510=$A126)*('Match Log'!$E$4:$E$1510="Win")),'Match Log'!$D$4:$D$1510),""))</f>
        <v>Josh</v>
      </c>
      <c r="E126" s="139">
        <f>IFERROR(INDEX('Match Log'!$F$4:$F$1510,MATCH($A126,'Match Log'!$A$4:$A$1510,0)),"")</f>
        <v>2</v>
      </c>
      <c r="F126">
        <f>IFERROR(SUMIFS('Match Log'!$I$4:$I$1510,'Match Log'!$A$4:$A$1510,$A126,'Match Log'!$E$4:$E$1510,"Win"),"")</f>
        <v>0.54545454545454541</v>
      </c>
      <c r="G126">
        <f t="shared" si="20"/>
        <v>-9.0909090909090828E-2</v>
      </c>
      <c r="H126" t="str">
        <f t="array" ref="H126">IFERROR(IF(COUNTIFS('Match Log'!$A$4:$A$1510,$A126,'Match Log'!$E$4:$E$1510,"Win")&gt;1,_xlfn.TEXTJOIN(" + ",TRUE(),IF(('Match Log'!$A$4:$A$1510=$A126)*('Match Log'!$E$4:$E$1510="Loss"),'Match Log'!$D$4:$D$1510,"")),IF($E126=2,LOOKUP(2,1/(('Match Log'!$A$4:$A$1510=$A126)*('Match Log'!$E$4:$E$1510="Loss")),'Match Log'!$D$4:$D$1510),"the field")),"")</f>
        <v>Daniel (Ferret)</v>
      </c>
      <c r="I126">
        <f t="shared" si="21"/>
        <v>-9.1011090909090833E-2</v>
      </c>
      <c r="J126">
        <v>102</v>
      </c>
      <c r="K126">
        <f>IF($J126&gt;MAX('Match Log'!$A$4:$A$1510),NA(),IFERROR(LOOKUP(2,1/(('Match Log'!$D$4:$D$1510=$K$24)*('Match Log'!$A$4:$A$1510&lt;=$J126)),'Match Log'!$N$4:$N$1510),NA()))</f>
        <v>1057.8233661943223</v>
      </c>
      <c r="L126">
        <f>IF($J126&gt;MAX('Match Log'!$A$4:$A$1510),NA(),IFERROR(LOOKUP(2,1/(('Match Log'!$D$4:$D$1510=$L$24)*('Match Log'!$A$4:$A$1510&lt;=$J126)),'Match Log'!$N$4:$N$1510),NA()))</f>
        <v>1029.5175965335138</v>
      </c>
      <c r="M126">
        <f>IF($J126&gt;MAX('Match Log'!$A$4:$A$1510),NA(),IFERROR(LOOKUP(2,1/(('Match Log'!$D$4:$D$1510=$M$24)*('Match Log'!$A$4:$A$1510&lt;=$J126)),'Match Log'!$N$4:$N$1510),NA()))</f>
        <v>1016.7841648959289</v>
      </c>
      <c r="N126">
        <f>IF($J126&gt;MAX('Match Log'!$A$4:$A$1510),NA(),IFERROR(LOOKUP(2,1/(('Match Log'!$D$4:$D$1510=$N$24)*('Match Log'!$A$4:$A$1510&lt;=$J126)),'Match Log'!$N$4:$N$1510),NA()))</f>
        <v>981.90186446660846</v>
      </c>
      <c r="O126">
        <f>IF($J126&gt;MAX('Match Log'!$A$4:$A$1510),NA(),IFERROR(LOOKUP(2,1/(('Match Log'!$D$4:$D$1510=$O$24)*('Match Log'!$A$4:$A$1510&lt;=$J126)),'Match Log'!$N$4:$N$1510),NA()))</f>
        <v>1140.1387799052181</v>
      </c>
      <c r="P126">
        <f>IF($J126&gt;MAX('Match Log'!$A$4:$A$1510),NA(),IFERROR(LOOKUP(2,1/(('Match Log'!$D$4:$D$1510=$P$24)*('Match Log'!$A$4:$A$1510&lt;=$J126)),'Match Log'!$N$4:$N$1510),NA()))</f>
        <v>1034.1843746638403</v>
      </c>
      <c r="Q126">
        <f>IF($J126&gt;MAX('Match Log'!$A$4:$A$1510),NA(),IFERROR(LOOKUP(2,1/(('Match Log'!$D$4:$D$1510=$Q$24)*('Match Log'!$A$4:$A$1510&lt;=$J126)),'Match Log'!$N$4:$N$1510),NA()))</f>
        <v>1085.4901250893295</v>
      </c>
      <c r="R126">
        <f>IF($J126&gt;MAX('Match Log'!$A$4:$A$1510),NA(),IFERROR(LOOKUP(2,1/(('Match Log'!$D$4:$D$1510=$R$24)*('Match Log'!$A$4:$A$1510&lt;=$J126)),'Match Log'!$N$4:$N$1510),NA()))</f>
        <v>1053.0541157923471</v>
      </c>
      <c r="S126">
        <f>IF($J126&gt;MAX('Match Log'!$A$4:$A$1510),NA(),IFERROR(LOOKUP(2,1/(('Match Log'!$D$4:$D$1510=$S$24)*('Match Log'!$A$4:$A$1510&lt;=$J126)),'Match Log'!$N$4:$N$1510),NA()))</f>
        <v>1168.3002777514087</v>
      </c>
      <c r="T126">
        <f>IF($J126&gt;MAX('Match Log'!$A$4:$A$1510),NA(),IFERROR(LOOKUP(2,1/(('Match Log'!$D$4:$D$1510=$T$24)*('Match Log'!$A$4:$A$1510&lt;=$J126)),'Match Log'!$N$4:$N$1510),NA()))</f>
        <v>893.15761519837804</v>
      </c>
      <c r="U126">
        <f>IF($J126&gt;MAX('Match Log'!$A$4:$A$1510),NA(),IFERROR(LOOKUP(2,1/(('Match Log'!$D$4:$D$1510=$U$24)*('Match Log'!$A$4:$A$1510&lt;=$J126)),'Match Log'!$N$4:$N$1510),NA()))</f>
        <v>1082.0688990464841</v>
      </c>
      <c r="V126">
        <f>IF($J126&gt;MAX('Match Log'!$A$4:$A$1510),NA(),IFERROR(LOOKUP(2,1/(('Match Log'!$D$4:$D$1510=$V$24)*('Match Log'!$A$4:$A$1510&lt;=$J126)),'Match Log'!$N$4:$N$1510),NA()))</f>
        <v>1031.1892257719715</v>
      </c>
      <c r="W126">
        <f>IF($J126&gt;MAX('Match Log'!$A$4:$A$1510),NA(),IFERROR(LOOKUP(2,1/(('Match Log'!$D$4:$D$1510=$W$24)*('Match Log'!$A$4:$A$1510&lt;=$J126)),'Match Log'!$N$4:$N$1510),NA()))</f>
        <v>1030.3895946906482</v>
      </c>
      <c r="X126" t="e">
        <f>IF($J126&gt;MAX('Match Log'!$A$4:$A$1510),NA(),IFERROR(LOOKUP(2,1/(('Match Log'!$D$4:$D$1510=$X$24)*('Match Log'!$A$4:$A$1510&lt;=$J126)),'Match Log'!$N$4:$N$1510),NA()))</f>
        <v>#N/A</v>
      </c>
      <c r="Y126" t="str">
        <f t="shared" ca="1" si="22"/>
        <v/>
      </c>
    </row>
    <row r="127" spans="1:25" ht="15" customHeight="1" x14ac:dyDescent="0.2">
      <c r="A127">
        <v>103</v>
      </c>
      <c r="B127" s="138">
        <f>IFERROR(INDEX('Match Log'!$B$4:$B$1510,MATCH($A127,'Match Log'!$A$4:$A$1510,0)),"")</f>
        <v>46199</v>
      </c>
      <c r="C127" t="str">
        <f>IFERROR(INDEX('Match Log'!$C$4:$C$1510,MATCH($A127,'Match Log'!$A$4:$A$1510,0)),"")</f>
        <v>Mario Party</v>
      </c>
      <c r="D127" t="str">
        <f t="array" ref="D127">IFERROR(_xlfn.TEXTJOIN(" + ",TRUE(),IF(('Match Log'!$A$4:$A$1510=$A127)*('Match Log'!$E$4:$E$1510="Win"),'Match Log'!$D$4:$D$1510,"")),IFERROR(LOOKUP(2,1/(('Match Log'!$A$4:$A$1510=$A127)*('Match Log'!$E$4:$E$1510="Win")),'Match Log'!$D$4:$D$1510),""))</f>
        <v>Daniel (Ferret)</v>
      </c>
      <c r="E127" s="139">
        <f>IFERROR(INDEX('Match Log'!$F$4:$F$1510,MATCH($A127,'Match Log'!$A$4:$A$1510,0)),"")</f>
        <v>2</v>
      </c>
      <c r="F127">
        <f>IFERROR(SUMIFS('Match Log'!$I$4:$I$1510,'Match Log'!$A$4:$A$1510,$A127,'Match Log'!$E$4:$E$1510,"Win"),"")</f>
        <v>0.6</v>
      </c>
      <c r="G127">
        <f t="shared" si="20"/>
        <v>-0.19999999999999996</v>
      </c>
      <c r="H127" t="str">
        <f t="array" ref="H127">IFERROR(IF(COUNTIFS('Match Log'!$A$4:$A$1510,$A127,'Match Log'!$E$4:$E$1510,"Win")&gt;1,_xlfn.TEXTJOIN(" + ",TRUE(),IF(('Match Log'!$A$4:$A$1510=$A127)*('Match Log'!$E$4:$E$1510="Loss"),'Match Log'!$D$4:$D$1510,"")),IF($E127=2,LOOKUP(2,1/(('Match Log'!$A$4:$A$1510=$A127)*('Match Log'!$E$4:$E$1510="Loss")),'Match Log'!$D$4:$D$1510),"the field")),"")</f>
        <v>Josh</v>
      </c>
      <c r="I127">
        <f t="shared" si="21"/>
        <v>-0.20010299999999995</v>
      </c>
      <c r="J127">
        <v>103</v>
      </c>
      <c r="K127">
        <f>IF($J127&gt;MAX('Match Log'!$A$4:$A$1510),NA(),IFERROR(LOOKUP(2,1/(('Match Log'!$D$4:$D$1510=$K$24)*('Match Log'!$A$4:$A$1510&lt;=$J127)),'Match Log'!$N$4:$N$1510),NA()))</f>
        <v>1057.8233661943223</v>
      </c>
      <c r="L127">
        <f>IF($J127&gt;MAX('Match Log'!$A$4:$A$1510),NA(),IFERROR(LOOKUP(2,1/(('Match Log'!$D$4:$D$1510=$L$24)*('Match Log'!$A$4:$A$1510&lt;=$J127)),'Match Log'!$N$4:$N$1510),NA()))</f>
        <v>1029.5175965335138</v>
      </c>
      <c r="M127">
        <f>IF($J127&gt;MAX('Match Log'!$A$4:$A$1510),NA(),IFERROR(LOOKUP(2,1/(('Match Log'!$D$4:$D$1510=$M$24)*('Match Log'!$A$4:$A$1510&lt;=$J127)),'Match Log'!$N$4:$N$1510),NA()))</f>
        <v>1016.7841648959289</v>
      </c>
      <c r="N127">
        <f>IF($J127&gt;MAX('Match Log'!$A$4:$A$1510),NA(),IFERROR(LOOKUP(2,1/(('Match Log'!$D$4:$D$1510=$N$24)*('Match Log'!$A$4:$A$1510&lt;=$J127)),'Match Log'!$N$4:$N$1510),NA()))</f>
        <v>981.90186446660846</v>
      </c>
      <c r="O127">
        <f>IF($J127&gt;MAX('Match Log'!$A$4:$A$1510),NA(),IFERROR(LOOKUP(2,1/(('Match Log'!$D$4:$D$1510=$O$24)*('Match Log'!$A$4:$A$1510&lt;=$J127)),'Match Log'!$N$4:$N$1510),NA()))</f>
        <v>1115.1375937966061</v>
      </c>
      <c r="P127">
        <f>IF($J127&gt;MAX('Match Log'!$A$4:$A$1510),NA(),IFERROR(LOOKUP(2,1/(('Match Log'!$D$4:$D$1510=$P$24)*('Match Log'!$A$4:$A$1510&lt;=$J127)),'Match Log'!$N$4:$N$1510),NA()))</f>
        <v>1034.1843746638403</v>
      </c>
      <c r="Q127">
        <f>IF($J127&gt;MAX('Match Log'!$A$4:$A$1510),NA(),IFERROR(LOOKUP(2,1/(('Match Log'!$D$4:$D$1510=$Q$24)*('Match Log'!$A$4:$A$1510&lt;=$J127)),'Match Log'!$N$4:$N$1510),NA()))</f>
        <v>1085.4901250893295</v>
      </c>
      <c r="R127">
        <f>IF($J127&gt;MAX('Match Log'!$A$4:$A$1510),NA(),IFERROR(LOOKUP(2,1/(('Match Log'!$D$4:$D$1510=$R$24)*('Match Log'!$A$4:$A$1510&lt;=$J127)),'Match Log'!$N$4:$N$1510),NA()))</f>
        <v>1078.0553019009592</v>
      </c>
      <c r="S127">
        <f>IF($J127&gt;MAX('Match Log'!$A$4:$A$1510),NA(),IFERROR(LOOKUP(2,1/(('Match Log'!$D$4:$D$1510=$S$24)*('Match Log'!$A$4:$A$1510&lt;=$J127)),'Match Log'!$N$4:$N$1510),NA()))</f>
        <v>1168.3002777514087</v>
      </c>
      <c r="T127">
        <f>IF($J127&gt;MAX('Match Log'!$A$4:$A$1510),NA(),IFERROR(LOOKUP(2,1/(('Match Log'!$D$4:$D$1510=$T$24)*('Match Log'!$A$4:$A$1510&lt;=$J127)),'Match Log'!$N$4:$N$1510),NA()))</f>
        <v>893.15761519837804</v>
      </c>
      <c r="U127">
        <f>IF($J127&gt;MAX('Match Log'!$A$4:$A$1510),NA(),IFERROR(LOOKUP(2,1/(('Match Log'!$D$4:$D$1510=$U$24)*('Match Log'!$A$4:$A$1510&lt;=$J127)),'Match Log'!$N$4:$N$1510),NA()))</f>
        <v>1082.0688990464841</v>
      </c>
      <c r="V127">
        <f>IF($J127&gt;MAX('Match Log'!$A$4:$A$1510),NA(),IFERROR(LOOKUP(2,1/(('Match Log'!$D$4:$D$1510=$V$24)*('Match Log'!$A$4:$A$1510&lt;=$J127)),'Match Log'!$N$4:$N$1510),NA()))</f>
        <v>1031.1892257719715</v>
      </c>
      <c r="W127">
        <f>IF($J127&gt;MAX('Match Log'!$A$4:$A$1510),NA(),IFERROR(LOOKUP(2,1/(('Match Log'!$D$4:$D$1510=$W$24)*('Match Log'!$A$4:$A$1510&lt;=$J127)),'Match Log'!$N$4:$N$1510),NA()))</f>
        <v>1030.3895946906482</v>
      </c>
      <c r="X127" t="e">
        <f>IF($J127&gt;MAX('Match Log'!$A$4:$A$1510),NA(),IFERROR(LOOKUP(2,1/(('Match Log'!$D$4:$D$1510=$X$24)*('Match Log'!$A$4:$A$1510&lt;=$J127)),'Match Log'!$N$4:$N$1510),NA()))</f>
        <v>#N/A</v>
      </c>
      <c r="Y127" t="str">
        <f t="shared" ca="1" si="22"/>
        <v/>
      </c>
    </row>
    <row r="128" spans="1:25" ht="15" customHeight="1" x14ac:dyDescent="0.2">
      <c r="A128">
        <v>104</v>
      </c>
      <c r="B128" s="138">
        <f>IFERROR(INDEX('Match Log'!$B$4:$B$1510,MATCH($A128,'Match Log'!$A$4:$A$1510,0)),"")</f>
        <v>46199</v>
      </c>
      <c r="C128" t="str">
        <f>IFERROR(INDEX('Match Log'!$C$4:$C$1510,MATCH($A128,'Match Log'!$A$4:$A$1510,0)),"")</f>
        <v>Mario Party</v>
      </c>
      <c r="D128" t="str">
        <f t="array" ref="D128">IFERROR(_xlfn.TEXTJOIN(" + ",TRUE(),IF(('Match Log'!$A$4:$A$1510=$A128)*('Match Log'!$E$4:$E$1510="Win"),'Match Log'!$D$4:$D$1510,"")),IFERROR(LOOKUP(2,1/(('Match Log'!$A$4:$A$1510=$A128)*('Match Log'!$E$4:$E$1510="Win")),'Match Log'!$D$4:$D$1510),""))</f>
        <v>Shawn</v>
      </c>
      <c r="E128" s="139">
        <f>IFERROR(INDEX('Match Log'!$F$4:$F$1510,MATCH($A128,'Match Log'!$A$4:$A$1510,0)),"")</f>
        <v>2</v>
      </c>
      <c r="F128">
        <f>IFERROR(SUMIFS('Match Log'!$I$4:$I$1510,'Match Log'!$A$4:$A$1510,$A128,'Match Log'!$E$4:$E$1510,"Win"),"")</f>
        <v>0.33333333333333331</v>
      </c>
      <c r="G128">
        <f t="shared" si="20"/>
        <v>0.33333333333333337</v>
      </c>
      <c r="H128" t="str">
        <f t="array" ref="H128">IFERROR(IF(COUNTIFS('Match Log'!$A$4:$A$1510,$A128,'Match Log'!$E$4:$E$1510,"Win")&gt;1,_xlfn.TEXTJOIN(" + ",TRUE(),IF(('Match Log'!$A$4:$A$1510=$A128)*('Match Log'!$E$4:$E$1510="Loss"),'Match Log'!$D$4:$D$1510,"")),IF($E128=2,LOOKUP(2,1/(('Match Log'!$A$4:$A$1510=$A128)*('Match Log'!$E$4:$E$1510="Loss")),'Match Log'!$D$4:$D$1510),"the field")),"")</f>
        <v>Aaron</v>
      </c>
      <c r="I128">
        <f t="shared" si="21"/>
        <v>0.33322933333333338</v>
      </c>
      <c r="J128">
        <v>104</v>
      </c>
      <c r="K128">
        <f>IF($J128&gt;MAX('Match Log'!$A$4:$A$1510),NA(),IFERROR(LOOKUP(2,1/(('Match Log'!$D$4:$D$1510=$K$24)*('Match Log'!$A$4:$A$1510&lt;=$J128)),'Match Log'!$N$4:$N$1510),NA()))</f>
        <v>1032.0885492968332</v>
      </c>
      <c r="L128">
        <f>IF($J128&gt;MAX('Match Log'!$A$4:$A$1510),NA(),IFERROR(LOOKUP(2,1/(('Match Log'!$D$4:$D$1510=$L$24)*('Match Log'!$A$4:$A$1510&lt;=$J128)),'Match Log'!$N$4:$N$1510),NA()))</f>
        <v>1029.5175965335138</v>
      </c>
      <c r="M128">
        <f>IF($J128&gt;MAX('Match Log'!$A$4:$A$1510),NA(),IFERROR(LOOKUP(2,1/(('Match Log'!$D$4:$D$1510=$M$24)*('Match Log'!$A$4:$A$1510&lt;=$J128)),'Match Log'!$N$4:$N$1510),NA()))</f>
        <v>1016.7841648959289</v>
      </c>
      <c r="N128">
        <f>IF($J128&gt;MAX('Match Log'!$A$4:$A$1510),NA(),IFERROR(LOOKUP(2,1/(('Match Log'!$D$4:$D$1510=$N$24)*('Match Log'!$A$4:$A$1510&lt;=$J128)),'Match Log'!$N$4:$N$1510),NA()))</f>
        <v>981.90186446660846</v>
      </c>
      <c r="O128">
        <f>IF($J128&gt;MAX('Match Log'!$A$4:$A$1510),NA(),IFERROR(LOOKUP(2,1/(('Match Log'!$D$4:$D$1510=$O$24)*('Match Log'!$A$4:$A$1510&lt;=$J128)),'Match Log'!$N$4:$N$1510),NA()))</f>
        <v>1115.1375937966061</v>
      </c>
      <c r="P128">
        <f>IF($J128&gt;MAX('Match Log'!$A$4:$A$1510),NA(),IFERROR(LOOKUP(2,1/(('Match Log'!$D$4:$D$1510=$P$24)*('Match Log'!$A$4:$A$1510&lt;=$J128)),'Match Log'!$N$4:$N$1510),NA()))</f>
        <v>1059.9191915613294</v>
      </c>
      <c r="Q128">
        <f>IF($J128&gt;MAX('Match Log'!$A$4:$A$1510),NA(),IFERROR(LOOKUP(2,1/(('Match Log'!$D$4:$D$1510=$Q$24)*('Match Log'!$A$4:$A$1510&lt;=$J128)),'Match Log'!$N$4:$N$1510),NA()))</f>
        <v>1085.4901250893295</v>
      </c>
      <c r="R128">
        <f>IF($J128&gt;MAX('Match Log'!$A$4:$A$1510),NA(),IFERROR(LOOKUP(2,1/(('Match Log'!$D$4:$D$1510=$R$24)*('Match Log'!$A$4:$A$1510&lt;=$J128)),'Match Log'!$N$4:$N$1510),NA()))</f>
        <v>1078.0553019009592</v>
      </c>
      <c r="S128">
        <f>IF($J128&gt;MAX('Match Log'!$A$4:$A$1510),NA(),IFERROR(LOOKUP(2,1/(('Match Log'!$D$4:$D$1510=$S$24)*('Match Log'!$A$4:$A$1510&lt;=$J128)),'Match Log'!$N$4:$N$1510),NA()))</f>
        <v>1168.3002777514087</v>
      </c>
      <c r="T128">
        <f>IF($J128&gt;MAX('Match Log'!$A$4:$A$1510),NA(),IFERROR(LOOKUP(2,1/(('Match Log'!$D$4:$D$1510=$T$24)*('Match Log'!$A$4:$A$1510&lt;=$J128)),'Match Log'!$N$4:$N$1510),NA()))</f>
        <v>893.15761519837804</v>
      </c>
      <c r="U128">
        <f>IF($J128&gt;MAX('Match Log'!$A$4:$A$1510),NA(),IFERROR(LOOKUP(2,1/(('Match Log'!$D$4:$D$1510=$U$24)*('Match Log'!$A$4:$A$1510&lt;=$J128)),'Match Log'!$N$4:$N$1510),NA()))</f>
        <v>1082.0688990464841</v>
      </c>
      <c r="V128">
        <f>IF($J128&gt;MAX('Match Log'!$A$4:$A$1510),NA(),IFERROR(LOOKUP(2,1/(('Match Log'!$D$4:$D$1510=$V$24)*('Match Log'!$A$4:$A$1510&lt;=$J128)),'Match Log'!$N$4:$N$1510),NA()))</f>
        <v>1031.1892257719715</v>
      </c>
      <c r="W128">
        <f>IF($J128&gt;MAX('Match Log'!$A$4:$A$1510),NA(),IFERROR(LOOKUP(2,1/(('Match Log'!$D$4:$D$1510=$W$24)*('Match Log'!$A$4:$A$1510&lt;=$J128)),'Match Log'!$N$4:$N$1510),NA()))</f>
        <v>1030.3895946906482</v>
      </c>
      <c r="X128" t="e">
        <f>IF($J128&gt;MAX('Match Log'!$A$4:$A$1510),NA(),IFERROR(LOOKUP(2,1/(('Match Log'!$D$4:$D$1510=$X$24)*('Match Log'!$A$4:$A$1510&lt;=$J128)),'Match Log'!$N$4:$N$1510),NA()))</f>
        <v>#N/A</v>
      </c>
      <c r="Y128" t="str">
        <f t="shared" ca="1" si="22"/>
        <v/>
      </c>
    </row>
    <row r="129" spans="1:25" ht="15" customHeight="1" x14ac:dyDescent="0.2">
      <c r="A129">
        <v>105</v>
      </c>
      <c r="B129" s="138">
        <f>IFERROR(INDEX('Match Log'!$B$4:$B$1510,MATCH($A129,'Match Log'!$A$4:$A$1510,0)),"")</f>
        <v>46199</v>
      </c>
      <c r="C129" t="str">
        <f>IFERROR(INDEX('Match Log'!$C$4:$C$1510,MATCH($A129,'Match Log'!$A$4:$A$1510,0)),"")</f>
        <v>Mario Party</v>
      </c>
      <c r="D129" t="str">
        <f t="array" ref="D129">IFERROR(_xlfn.TEXTJOIN(" + ",TRUE(),IF(('Match Log'!$A$4:$A$1510=$A129)*('Match Log'!$E$4:$E$1510="Win"),'Match Log'!$D$4:$D$1510,"")),IFERROR(LOOKUP(2,1/(('Match Log'!$A$4:$A$1510=$A129)*('Match Log'!$E$4:$E$1510="Win")),'Match Log'!$D$4:$D$1510),""))</f>
        <v>Aaron</v>
      </c>
      <c r="E129" s="139">
        <f>IFERROR(INDEX('Match Log'!$F$4:$F$1510,MATCH($A129,'Match Log'!$A$4:$A$1510,0)),"")</f>
        <v>2</v>
      </c>
      <c r="F129">
        <f>IFERROR(SUMIFS('Match Log'!$I$4:$I$1510,'Match Log'!$A$4:$A$1510,$A129,'Match Log'!$E$4:$E$1510,"Win"),"")</f>
        <v>0.45454545454545447</v>
      </c>
      <c r="G129">
        <f t="shared" si="20"/>
        <v>9.090909090909105E-2</v>
      </c>
      <c r="H129" t="str">
        <f t="array" ref="H129">IFERROR(IF(COUNTIFS('Match Log'!$A$4:$A$1510,$A129,'Match Log'!$E$4:$E$1510,"Win")&gt;1,_xlfn.TEXTJOIN(" + ",TRUE(),IF(('Match Log'!$A$4:$A$1510=$A129)*('Match Log'!$E$4:$E$1510="Loss"),'Match Log'!$D$4:$D$1510,"")),IF($E129=2,LOOKUP(2,1/(('Match Log'!$A$4:$A$1510=$A129)*('Match Log'!$E$4:$E$1510="Loss")),'Match Log'!$D$4:$D$1510),"the field")),"")</f>
        <v>Shawn</v>
      </c>
      <c r="I129">
        <f t="shared" si="21"/>
        <v>9.0804090909091056E-2</v>
      </c>
      <c r="J129">
        <v>105</v>
      </c>
      <c r="K129">
        <f>IF($J129&gt;MAX('Match Log'!$A$4:$A$1510),NA(),IFERROR(LOOKUP(2,1/(('Match Log'!$D$4:$D$1510=$K$24)*('Match Log'!$A$4:$A$1510&lt;=$J129)),'Match Log'!$N$4:$N$1510),NA()))</f>
        <v>1055.2768941265222</v>
      </c>
      <c r="L129">
        <f>IF($J129&gt;MAX('Match Log'!$A$4:$A$1510),NA(),IFERROR(LOOKUP(2,1/(('Match Log'!$D$4:$D$1510=$L$24)*('Match Log'!$A$4:$A$1510&lt;=$J129)),'Match Log'!$N$4:$N$1510),NA()))</f>
        <v>1029.5175965335138</v>
      </c>
      <c r="M129">
        <f>IF($J129&gt;MAX('Match Log'!$A$4:$A$1510),NA(),IFERROR(LOOKUP(2,1/(('Match Log'!$D$4:$D$1510=$M$24)*('Match Log'!$A$4:$A$1510&lt;=$J129)),'Match Log'!$N$4:$N$1510),NA()))</f>
        <v>1016.7841648959289</v>
      </c>
      <c r="N129">
        <f>IF($J129&gt;MAX('Match Log'!$A$4:$A$1510),NA(),IFERROR(LOOKUP(2,1/(('Match Log'!$D$4:$D$1510=$N$24)*('Match Log'!$A$4:$A$1510&lt;=$J129)),'Match Log'!$N$4:$N$1510),NA()))</f>
        <v>981.90186446660846</v>
      </c>
      <c r="O129">
        <f>IF($J129&gt;MAX('Match Log'!$A$4:$A$1510),NA(),IFERROR(LOOKUP(2,1/(('Match Log'!$D$4:$D$1510=$O$24)*('Match Log'!$A$4:$A$1510&lt;=$J129)),'Match Log'!$N$4:$N$1510),NA()))</f>
        <v>1115.1375937966061</v>
      </c>
      <c r="P129">
        <f>IF($J129&gt;MAX('Match Log'!$A$4:$A$1510),NA(),IFERROR(LOOKUP(2,1/(('Match Log'!$D$4:$D$1510=$P$24)*('Match Log'!$A$4:$A$1510&lt;=$J129)),'Match Log'!$N$4:$N$1510),NA()))</f>
        <v>1036.7308467316404</v>
      </c>
      <c r="Q129">
        <f>IF($J129&gt;MAX('Match Log'!$A$4:$A$1510),NA(),IFERROR(LOOKUP(2,1/(('Match Log'!$D$4:$D$1510=$Q$24)*('Match Log'!$A$4:$A$1510&lt;=$J129)),'Match Log'!$N$4:$N$1510),NA()))</f>
        <v>1085.4901250893295</v>
      </c>
      <c r="R129">
        <f>IF($J129&gt;MAX('Match Log'!$A$4:$A$1510),NA(),IFERROR(LOOKUP(2,1/(('Match Log'!$D$4:$D$1510=$R$24)*('Match Log'!$A$4:$A$1510&lt;=$J129)),'Match Log'!$N$4:$N$1510),NA()))</f>
        <v>1078.0553019009592</v>
      </c>
      <c r="S129">
        <f>IF($J129&gt;MAX('Match Log'!$A$4:$A$1510),NA(),IFERROR(LOOKUP(2,1/(('Match Log'!$D$4:$D$1510=$S$24)*('Match Log'!$A$4:$A$1510&lt;=$J129)),'Match Log'!$N$4:$N$1510),NA()))</f>
        <v>1168.3002777514087</v>
      </c>
      <c r="T129">
        <f>IF($J129&gt;MAX('Match Log'!$A$4:$A$1510),NA(),IFERROR(LOOKUP(2,1/(('Match Log'!$D$4:$D$1510=$T$24)*('Match Log'!$A$4:$A$1510&lt;=$J129)),'Match Log'!$N$4:$N$1510),NA()))</f>
        <v>893.15761519837804</v>
      </c>
      <c r="U129">
        <f>IF($J129&gt;MAX('Match Log'!$A$4:$A$1510),NA(),IFERROR(LOOKUP(2,1/(('Match Log'!$D$4:$D$1510=$U$24)*('Match Log'!$A$4:$A$1510&lt;=$J129)),'Match Log'!$N$4:$N$1510),NA()))</f>
        <v>1082.0688990464841</v>
      </c>
      <c r="V129">
        <f>IF($J129&gt;MAX('Match Log'!$A$4:$A$1510),NA(),IFERROR(LOOKUP(2,1/(('Match Log'!$D$4:$D$1510=$V$24)*('Match Log'!$A$4:$A$1510&lt;=$J129)),'Match Log'!$N$4:$N$1510),NA()))</f>
        <v>1031.1892257719715</v>
      </c>
      <c r="W129">
        <f>IF($J129&gt;MAX('Match Log'!$A$4:$A$1510),NA(),IFERROR(LOOKUP(2,1/(('Match Log'!$D$4:$D$1510=$W$24)*('Match Log'!$A$4:$A$1510&lt;=$J129)),'Match Log'!$N$4:$N$1510),NA()))</f>
        <v>1030.3895946906482</v>
      </c>
      <c r="X129" t="e">
        <f>IF($J129&gt;MAX('Match Log'!$A$4:$A$1510),NA(),IFERROR(LOOKUP(2,1/(('Match Log'!$D$4:$D$1510=$X$24)*('Match Log'!$A$4:$A$1510&lt;=$J129)),'Match Log'!$N$4:$N$1510),NA()))</f>
        <v>#N/A</v>
      </c>
      <c r="Y129" t="str">
        <f t="shared" ca="1" si="22"/>
        <v/>
      </c>
    </row>
    <row r="130" spans="1:25" ht="15" customHeight="1" x14ac:dyDescent="0.2">
      <c r="A130">
        <v>106</v>
      </c>
      <c r="B130" s="138">
        <f>IFERROR(INDEX('Match Log'!$B$4:$B$1510,MATCH($A130,'Match Log'!$A$4:$A$1510,0)),"")</f>
        <v>46199</v>
      </c>
      <c r="C130" t="str">
        <f>IFERROR(INDEX('Match Log'!$C$4:$C$1510,MATCH($A130,'Match Log'!$A$4:$A$1510,0)),"")</f>
        <v>FIFA</v>
      </c>
      <c r="D130" t="str">
        <f t="array" ref="D130">IFERROR(_xlfn.TEXTJOIN(" + ",TRUE(),IF(('Match Log'!$A$4:$A$1510=$A130)*('Match Log'!$E$4:$E$1510="Win"),'Match Log'!$D$4:$D$1510,"")),IFERROR(LOOKUP(2,1/(('Match Log'!$A$4:$A$1510=$A130)*('Match Log'!$E$4:$E$1510="Win")),'Match Log'!$D$4:$D$1510),""))</f>
        <v>Aaron</v>
      </c>
      <c r="E130" s="139">
        <f>IFERROR(INDEX('Match Log'!$F$4:$F$1510,MATCH($A130,'Match Log'!$A$4:$A$1510,0)),"")</f>
        <v>2</v>
      </c>
      <c r="F130">
        <f>IFERROR(SUMIFS('Match Log'!$I$4:$I$1510,'Match Log'!$A$4:$A$1510,$A130,'Match Log'!$E$4:$E$1510,"Win"),"")</f>
        <v>0.61538461538461542</v>
      </c>
      <c r="G130">
        <f t="shared" si="20"/>
        <v>-0.23076923076923084</v>
      </c>
      <c r="H130" t="str">
        <f t="array" ref="H130">IFERROR(IF(COUNTIFS('Match Log'!$A$4:$A$1510,$A130,'Match Log'!$E$4:$E$1510,"Win")&gt;1,_xlfn.TEXTJOIN(" + ",TRUE(),IF(('Match Log'!$A$4:$A$1510=$A130)*('Match Log'!$E$4:$E$1510="Loss"),'Match Log'!$D$4:$D$1510,"")),IF($E130=2,LOOKUP(2,1/(('Match Log'!$A$4:$A$1510=$A130)*('Match Log'!$E$4:$E$1510="Loss")),'Match Log'!$D$4:$D$1510),"the field")),"")</f>
        <v>Shawn</v>
      </c>
      <c r="I130">
        <f t="shared" si="21"/>
        <v>-0.23087523076923083</v>
      </c>
      <c r="J130">
        <v>106</v>
      </c>
      <c r="K130">
        <f>IF($J130&gt;MAX('Match Log'!$A$4:$A$1510),NA(),IFERROR(LOOKUP(2,1/(('Match Log'!$D$4:$D$1510=$K$24)*('Match Log'!$A$4:$A$1510&lt;=$J130)),'Match Log'!$N$4:$N$1510),NA()))</f>
        <v>1073.7220721267186</v>
      </c>
      <c r="L130">
        <f>IF($J130&gt;MAX('Match Log'!$A$4:$A$1510),NA(),IFERROR(LOOKUP(2,1/(('Match Log'!$D$4:$D$1510=$L$24)*('Match Log'!$A$4:$A$1510&lt;=$J130)),'Match Log'!$N$4:$N$1510),NA()))</f>
        <v>1029.5175965335138</v>
      </c>
      <c r="M130">
        <f>IF($J130&gt;MAX('Match Log'!$A$4:$A$1510),NA(),IFERROR(LOOKUP(2,1/(('Match Log'!$D$4:$D$1510=$M$24)*('Match Log'!$A$4:$A$1510&lt;=$J130)),'Match Log'!$N$4:$N$1510),NA()))</f>
        <v>1016.7841648959289</v>
      </c>
      <c r="N130">
        <f>IF($J130&gt;MAX('Match Log'!$A$4:$A$1510),NA(),IFERROR(LOOKUP(2,1/(('Match Log'!$D$4:$D$1510=$N$24)*('Match Log'!$A$4:$A$1510&lt;=$J130)),'Match Log'!$N$4:$N$1510),NA()))</f>
        <v>981.90186446660846</v>
      </c>
      <c r="O130">
        <f>IF($J130&gt;MAX('Match Log'!$A$4:$A$1510),NA(),IFERROR(LOOKUP(2,1/(('Match Log'!$D$4:$D$1510=$O$24)*('Match Log'!$A$4:$A$1510&lt;=$J130)),'Match Log'!$N$4:$N$1510),NA()))</f>
        <v>1115.1375937966061</v>
      </c>
      <c r="P130">
        <f>IF($J130&gt;MAX('Match Log'!$A$4:$A$1510),NA(),IFERROR(LOOKUP(2,1/(('Match Log'!$D$4:$D$1510=$P$24)*('Match Log'!$A$4:$A$1510&lt;=$J130)),'Match Log'!$N$4:$N$1510),NA()))</f>
        <v>1018.285668731444</v>
      </c>
      <c r="Q130">
        <f>IF($J130&gt;MAX('Match Log'!$A$4:$A$1510),NA(),IFERROR(LOOKUP(2,1/(('Match Log'!$D$4:$D$1510=$Q$24)*('Match Log'!$A$4:$A$1510&lt;=$J130)),'Match Log'!$N$4:$N$1510),NA()))</f>
        <v>1085.4901250893295</v>
      </c>
      <c r="R130">
        <f>IF($J130&gt;MAX('Match Log'!$A$4:$A$1510),NA(),IFERROR(LOOKUP(2,1/(('Match Log'!$D$4:$D$1510=$R$24)*('Match Log'!$A$4:$A$1510&lt;=$J130)),'Match Log'!$N$4:$N$1510),NA()))</f>
        <v>1078.0553019009592</v>
      </c>
      <c r="S130">
        <f>IF($J130&gt;MAX('Match Log'!$A$4:$A$1510),NA(),IFERROR(LOOKUP(2,1/(('Match Log'!$D$4:$D$1510=$S$24)*('Match Log'!$A$4:$A$1510&lt;=$J130)),'Match Log'!$N$4:$N$1510),NA()))</f>
        <v>1168.3002777514087</v>
      </c>
      <c r="T130">
        <f>IF($J130&gt;MAX('Match Log'!$A$4:$A$1510),NA(),IFERROR(LOOKUP(2,1/(('Match Log'!$D$4:$D$1510=$T$24)*('Match Log'!$A$4:$A$1510&lt;=$J130)),'Match Log'!$N$4:$N$1510),NA()))</f>
        <v>893.15761519837804</v>
      </c>
      <c r="U130">
        <f>IF($J130&gt;MAX('Match Log'!$A$4:$A$1510),NA(),IFERROR(LOOKUP(2,1/(('Match Log'!$D$4:$D$1510=$U$24)*('Match Log'!$A$4:$A$1510&lt;=$J130)),'Match Log'!$N$4:$N$1510),NA()))</f>
        <v>1082.0688990464841</v>
      </c>
      <c r="V130">
        <f>IF($J130&gt;MAX('Match Log'!$A$4:$A$1510),NA(),IFERROR(LOOKUP(2,1/(('Match Log'!$D$4:$D$1510=$V$24)*('Match Log'!$A$4:$A$1510&lt;=$J130)),'Match Log'!$N$4:$N$1510),NA()))</f>
        <v>1031.1892257719715</v>
      </c>
      <c r="W130">
        <f>IF($J130&gt;MAX('Match Log'!$A$4:$A$1510),NA(),IFERROR(LOOKUP(2,1/(('Match Log'!$D$4:$D$1510=$W$24)*('Match Log'!$A$4:$A$1510&lt;=$J130)),'Match Log'!$N$4:$N$1510),NA()))</f>
        <v>1030.3895946906482</v>
      </c>
      <c r="X130" t="e">
        <f>IF($J130&gt;MAX('Match Log'!$A$4:$A$1510),NA(),IFERROR(LOOKUP(2,1/(('Match Log'!$D$4:$D$1510=$X$24)*('Match Log'!$A$4:$A$1510&lt;=$J130)),'Match Log'!$N$4:$N$1510),NA()))</f>
        <v>#N/A</v>
      </c>
      <c r="Y130" t="str">
        <f t="shared" ca="1" si="22"/>
        <v/>
      </c>
    </row>
    <row r="131" spans="1:25" ht="15" customHeight="1" x14ac:dyDescent="0.2">
      <c r="A131">
        <v>107</v>
      </c>
      <c r="B131" s="138">
        <f>IFERROR(INDEX('Match Log'!$B$4:$B$1510,MATCH($A131,'Match Log'!$A$4:$A$1510,0)),"")</f>
        <v>46199</v>
      </c>
      <c r="C131" t="str">
        <f>IFERROR(INDEX('Match Log'!$C$4:$C$1510,MATCH($A131,'Match Log'!$A$4:$A$1510,0)),"")</f>
        <v>FIFA</v>
      </c>
      <c r="D131" t="str">
        <f t="array" ref="D131">IFERROR(_xlfn.TEXTJOIN(" + ",TRUE(),IF(('Match Log'!$A$4:$A$1510=$A131)*('Match Log'!$E$4:$E$1510="Win"),'Match Log'!$D$4:$D$1510,"")),IFERROR(LOOKUP(2,1/(('Match Log'!$A$4:$A$1510=$A131)*('Match Log'!$E$4:$E$1510="Win")),'Match Log'!$D$4:$D$1510),""))</f>
        <v>Shawn</v>
      </c>
      <c r="E131" s="139">
        <f>IFERROR(INDEX('Match Log'!$F$4:$F$1510,MATCH($A131,'Match Log'!$A$4:$A$1510,0)),"")</f>
        <v>2</v>
      </c>
      <c r="F131">
        <f>IFERROR(SUMIFS('Match Log'!$I$4:$I$1510,'Match Log'!$A$4:$A$1510,$A131,'Match Log'!$E$4:$E$1510,"Win"),"")</f>
        <v>0.35294117647058826</v>
      </c>
      <c r="G131">
        <f t="shared" si="20"/>
        <v>0.29411764705882348</v>
      </c>
      <c r="H131" t="str">
        <f t="array" ref="H131">IFERROR(IF(COUNTIFS('Match Log'!$A$4:$A$1510,$A131,'Match Log'!$E$4:$E$1510,"Win")&gt;1,_xlfn.TEXTJOIN(" + ",TRUE(),IF(('Match Log'!$A$4:$A$1510=$A131)*('Match Log'!$E$4:$E$1510="Loss"),'Match Log'!$D$4:$D$1510,"")),IF($E131=2,LOOKUP(2,1/(('Match Log'!$A$4:$A$1510=$A131)*('Match Log'!$E$4:$E$1510="Loss")),'Match Log'!$D$4:$D$1510),"the field")),"")</f>
        <v>Aaron</v>
      </c>
      <c r="I131">
        <f t="shared" si="21"/>
        <v>0.29401064705882346</v>
      </c>
      <c r="J131">
        <v>107</v>
      </c>
      <c r="K131">
        <f>IF($J131&gt;MAX('Match Log'!$A$4:$A$1510),NA(),IFERROR(LOOKUP(2,1/(('Match Log'!$D$4:$D$1510=$K$24)*('Match Log'!$A$4:$A$1510&lt;=$J131)),'Match Log'!$N$4:$N$1510),NA()))</f>
        <v>1046.363063738788</v>
      </c>
      <c r="L131">
        <f>IF($J131&gt;MAX('Match Log'!$A$4:$A$1510),NA(),IFERROR(LOOKUP(2,1/(('Match Log'!$D$4:$D$1510=$L$24)*('Match Log'!$A$4:$A$1510&lt;=$J131)),'Match Log'!$N$4:$N$1510),NA()))</f>
        <v>1029.5175965335138</v>
      </c>
      <c r="M131">
        <f>IF($J131&gt;MAX('Match Log'!$A$4:$A$1510),NA(),IFERROR(LOOKUP(2,1/(('Match Log'!$D$4:$D$1510=$M$24)*('Match Log'!$A$4:$A$1510&lt;=$J131)),'Match Log'!$N$4:$N$1510),NA()))</f>
        <v>1016.7841648959289</v>
      </c>
      <c r="N131">
        <f>IF($J131&gt;MAX('Match Log'!$A$4:$A$1510),NA(),IFERROR(LOOKUP(2,1/(('Match Log'!$D$4:$D$1510=$N$24)*('Match Log'!$A$4:$A$1510&lt;=$J131)),'Match Log'!$N$4:$N$1510),NA()))</f>
        <v>981.90186446660846</v>
      </c>
      <c r="O131">
        <f>IF($J131&gt;MAX('Match Log'!$A$4:$A$1510),NA(),IFERROR(LOOKUP(2,1/(('Match Log'!$D$4:$D$1510=$O$24)*('Match Log'!$A$4:$A$1510&lt;=$J131)),'Match Log'!$N$4:$N$1510),NA()))</f>
        <v>1115.1375937966061</v>
      </c>
      <c r="P131">
        <f>IF($J131&gt;MAX('Match Log'!$A$4:$A$1510),NA(),IFERROR(LOOKUP(2,1/(('Match Log'!$D$4:$D$1510=$P$24)*('Match Log'!$A$4:$A$1510&lt;=$J131)),'Match Log'!$N$4:$N$1510),NA()))</f>
        <v>1045.6446771193746</v>
      </c>
      <c r="Q131">
        <f>IF($J131&gt;MAX('Match Log'!$A$4:$A$1510),NA(),IFERROR(LOOKUP(2,1/(('Match Log'!$D$4:$D$1510=$Q$24)*('Match Log'!$A$4:$A$1510&lt;=$J131)),'Match Log'!$N$4:$N$1510),NA()))</f>
        <v>1085.4901250893295</v>
      </c>
      <c r="R131">
        <f>IF($J131&gt;MAX('Match Log'!$A$4:$A$1510),NA(),IFERROR(LOOKUP(2,1/(('Match Log'!$D$4:$D$1510=$R$24)*('Match Log'!$A$4:$A$1510&lt;=$J131)),'Match Log'!$N$4:$N$1510),NA()))</f>
        <v>1078.0553019009592</v>
      </c>
      <c r="S131">
        <f>IF($J131&gt;MAX('Match Log'!$A$4:$A$1510),NA(),IFERROR(LOOKUP(2,1/(('Match Log'!$D$4:$D$1510=$S$24)*('Match Log'!$A$4:$A$1510&lt;=$J131)),'Match Log'!$N$4:$N$1510),NA()))</f>
        <v>1168.3002777514087</v>
      </c>
      <c r="T131">
        <f>IF($J131&gt;MAX('Match Log'!$A$4:$A$1510),NA(),IFERROR(LOOKUP(2,1/(('Match Log'!$D$4:$D$1510=$T$24)*('Match Log'!$A$4:$A$1510&lt;=$J131)),'Match Log'!$N$4:$N$1510),NA()))</f>
        <v>893.15761519837804</v>
      </c>
      <c r="U131">
        <f>IF($J131&gt;MAX('Match Log'!$A$4:$A$1510),NA(),IFERROR(LOOKUP(2,1/(('Match Log'!$D$4:$D$1510=$U$24)*('Match Log'!$A$4:$A$1510&lt;=$J131)),'Match Log'!$N$4:$N$1510),NA()))</f>
        <v>1082.0688990464841</v>
      </c>
      <c r="V131">
        <f>IF($J131&gt;MAX('Match Log'!$A$4:$A$1510),NA(),IFERROR(LOOKUP(2,1/(('Match Log'!$D$4:$D$1510=$V$24)*('Match Log'!$A$4:$A$1510&lt;=$J131)),'Match Log'!$N$4:$N$1510),NA()))</f>
        <v>1031.1892257719715</v>
      </c>
      <c r="W131">
        <f>IF($J131&gt;MAX('Match Log'!$A$4:$A$1510),NA(),IFERROR(LOOKUP(2,1/(('Match Log'!$D$4:$D$1510=$W$24)*('Match Log'!$A$4:$A$1510&lt;=$J131)),'Match Log'!$N$4:$N$1510),NA()))</f>
        <v>1030.3895946906482</v>
      </c>
      <c r="X131" t="e">
        <f>IF($J131&gt;MAX('Match Log'!$A$4:$A$1510),NA(),IFERROR(LOOKUP(2,1/(('Match Log'!$D$4:$D$1510=$X$24)*('Match Log'!$A$4:$A$1510&lt;=$J131)),'Match Log'!$N$4:$N$1510),NA()))</f>
        <v>#N/A</v>
      </c>
      <c r="Y131" t="str">
        <f t="shared" ca="1" si="22"/>
        <v/>
      </c>
    </row>
    <row r="132" spans="1:25" ht="15" customHeight="1" x14ac:dyDescent="0.2">
      <c r="A132">
        <v>108</v>
      </c>
      <c r="B132" s="138">
        <f>IFERROR(INDEX('Match Log'!$B$4:$B$1510,MATCH($A132,'Match Log'!$A$4:$A$1510,0)),"")</f>
        <v>46200</v>
      </c>
      <c r="C132" t="str">
        <f>IFERROR(INDEX('Match Log'!$C$4:$C$1510,MATCH($A132,'Match Log'!$A$4:$A$1510,0)),"")</f>
        <v>FIFA</v>
      </c>
      <c r="D132" t="str">
        <f t="array" ref="D132">IFERROR(_xlfn.TEXTJOIN(" + ",TRUE(),IF(('Match Log'!$A$4:$A$1510=$A132)*('Match Log'!$E$4:$E$1510="Win"),'Match Log'!$D$4:$D$1510,"")),IFERROR(LOOKUP(2,1/(('Match Log'!$A$4:$A$1510=$A132)*('Match Log'!$E$4:$E$1510="Win")),'Match Log'!$D$4:$D$1510),""))</f>
        <v>Shawn</v>
      </c>
      <c r="E132" s="139">
        <f>IFERROR(INDEX('Match Log'!$F$4:$F$1510,MATCH($A132,'Match Log'!$A$4:$A$1510,0)),"")</f>
        <v>2</v>
      </c>
      <c r="F132">
        <f>IFERROR(SUMIFS('Match Log'!$I$4:$I$1510,'Match Log'!$A$4:$A$1510,$A132,'Match Log'!$E$4:$E$1510,"Win"),"")</f>
        <v>0.41176470588235292</v>
      </c>
      <c r="G132">
        <f t="shared" si="20"/>
        <v>0.17647058823529416</v>
      </c>
      <c r="H132" t="str">
        <f t="array" ref="H132">IFERROR(IF(COUNTIFS('Match Log'!$A$4:$A$1510,$A132,'Match Log'!$E$4:$E$1510,"Win")&gt;1,_xlfn.TEXTJOIN(" + ",TRUE(),IF(('Match Log'!$A$4:$A$1510=$A132)*('Match Log'!$E$4:$E$1510="Loss"),'Match Log'!$D$4:$D$1510,"")),IF($E132=2,LOOKUP(2,1/(('Match Log'!$A$4:$A$1510=$A132)*('Match Log'!$E$4:$E$1510="Loss")),'Match Log'!$D$4:$D$1510),"the field")),"")</f>
        <v>Aaron</v>
      </c>
      <c r="I132">
        <f t="shared" si="21"/>
        <v>0.17636258823529416</v>
      </c>
      <c r="J132">
        <v>108</v>
      </c>
      <c r="K132">
        <f>IF($J132&gt;MAX('Match Log'!$A$4:$A$1510),NA(),IFERROR(LOOKUP(2,1/(('Match Log'!$D$4:$D$1510=$K$24)*('Match Log'!$A$4:$A$1510&lt;=$J132)),'Match Log'!$N$4:$N$1510),NA()))</f>
        <v>1021.7604195202958</v>
      </c>
      <c r="L132">
        <f>IF($J132&gt;MAX('Match Log'!$A$4:$A$1510),NA(),IFERROR(LOOKUP(2,1/(('Match Log'!$D$4:$D$1510=$L$24)*('Match Log'!$A$4:$A$1510&lt;=$J132)),'Match Log'!$N$4:$N$1510),NA()))</f>
        <v>1029.5175965335138</v>
      </c>
      <c r="M132">
        <f>IF($J132&gt;MAX('Match Log'!$A$4:$A$1510),NA(),IFERROR(LOOKUP(2,1/(('Match Log'!$D$4:$D$1510=$M$24)*('Match Log'!$A$4:$A$1510&lt;=$J132)),'Match Log'!$N$4:$N$1510),NA()))</f>
        <v>1016.7841648959289</v>
      </c>
      <c r="N132">
        <f>IF($J132&gt;MAX('Match Log'!$A$4:$A$1510),NA(),IFERROR(LOOKUP(2,1/(('Match Log'!$D$4:$D$1510=$N$24)*('Match Log'!$A$4:$A$1510&lt;=$J132)),'Match Log'!$N$4:$N$1510),NA()))</f>
        <v>981.90186446660846</v>
      </c>
      <c r="O132">
        <f>IF($J132&gt;MAX('Match Log'!$A$4:$A$1510),NA(),IFERROR(LOOKUP(2,1/(('Match Log'!$D$4:$D$1510=$O$24)*('Match Log'!$A$4:$A$1510&lt;=$J132)),'Match Log'!$N$4:$N$1510),NA()))</f>
        <v>1115.1375937966061</v>
      </c>
      <c r="P132">
        <f>IF($J132&gt;MAX('Match Log'!$A$4:$A$1510),NA(),IFERROR(LOOKUP(2,1/(('Match Log'!$D$4:$D$1510=$P$24)*('Match Log'!$A$4:$A$1510&lt;=$J132)),'Match Log'!$N$4:$N$1510),NA()))</f>
        <v>1070.2473213378667</v>
      </c>
      <c r="Q132">
        <f>IF($J132&gt;MAX('Match Log'!$A$4:$A$1510),NA(),IFERROR(LOOKUP(2,1/(('Match Log'!$D$4:$D$1510=$Q$24)*('Match Log'!$A$4:$A$1510&lt;=$J132)),'Match Log'!$N$4:$N$1510),NA()))</f>
        <v>1085.4901250893295</v>
      </c>
      <c r="R132">
        <f>IF($J132&gt;MAX('Match Log'!$A$4:$A$1510),NA(),IFERROR(LOOKUP(2,1/(('Match Log'!$D$4:$D$1510=$R$24)*('Match Log'!$A$4:$A$1510&lt;=$J132)),'Match Log'!$N$4:$N$1510),NA()))</f>
        <v>1078.0553019009592</v>
      </c>
      <c r="S132">
        <f>IF($J132&gt;MAX('Match Log'!$A$4:$A$1510),NA(),IFERROR(LOOKUP(2,1/(('Match Log'!$D$4:$D$1510=$S$24)*('Match Log'!$A$4:$A$1510&lt;=$J132)),'Match Log'!$N$4:$N$1510),NA()))</f>
        <v>1168.3002777514087</v>
      </c>
      <c r="T132">
        <f>IF($J132&gt;MAX('Match Log'!$A$4:$A$1510),NA(),IFERROR(LOOKUP(2,1/(('Match Log'!$D$4:$D$1510=$T$24)*('Match Log'!$A$4:$A$1510&lt;=$J132)),'Match Log'!$N$4:$N$1510),NA()))</f>
        <v>893.15761519837804</v>
      </c>
      <c r="U132">
        <f>IF($J132&gt;MAX('Match Log'!$A$4:$A$1510),NA(),IFERROR(LOOKUP(2,1/(('Match Log'!$D$4:$D$1510=$U$24)*('Match Log'!$A$4:$A$1510&lt;=$J132)),'Match Log'!$N$4:$N$1510),NA()))</f>
        <v>1082.0688990464841</v>
      </c>
      <c r="V132">
        <f>IF($J132&gt;MAX('Match Log'!$A$4:$A$1510),NA(),IFERROR(LOOKUP(2,1/(('Match Log'!$D$4:$D$1510=$V$24)*('Match Log'!$A$4:$A$1510&lt;=$J132)),'Match Log'!$N$4:$N$1510),NA()))</f>
        <v>1031.1892257719715</v>
      </c>
      <c r="W132">
        <f>IF($J132&gt;MAX('Match Log'!$A$4:$A$1510),NA(),IFERROR(LOOKUP(2,1/(('Match Log'!$D$4:$D$1510=$W$24)*('Match Log'!$A$4:$A$1510&lt;=$J132)),'Match Log'!$N$4:$N$1510),NA()))</f>
        <v>1030.3895946906482</v>
      </c>
      <c r="X132" t="e">
        <f>IF($J132&gt;MAX('Match Log'!$A$4:$A$1510),NA(),IFERROR(LOOKUP(2,1/(('Match Log'!$D$4:$D$1510=$X$24)*('Match Log'!$A$4:$A$1510&lt;=$J132)),'Match Log'!$N$4:$N$1510),NA()))</f>
        <v>#N/A</v>
      </c>
      <c r="Y132" t="str">
        <f t="shared" ca="1" si="22"/>
        <v/>
      </c>
    </row>
    <row r="133" spans="1:25" ht="15" customHeight="1" x14ac:dyDescent="0.2">
      <c r="A133">
        <v>109</v>
      </c>
      <c r="B133" s="138">
        <f>IFERROR(INDEX('Match Log'!$B$4:$B$1510,MATCH($A133,'Match Log'!$A$4:$A$1510,0)),"")</f>
        <v>46200</v>
      </c>
      <c r="C133" t="str">
        <f>IFERROR(INDEX('Match Log'!$C$4:$C$1510,MATCH($A133,'Match Log'!$A$4:$A$1510,0)),"")</f>
        <v>FIFA</v>
      </c>
      <c r="D133" t="str">
        <f t="array" ref="D133">IFERROR(_xlfn.TEXTJOIN(" + ",TRUE(),IF(('Match Log'!$A$4:$A$1510=$A133)*('Match Log'!$E$4:$E$1510="Win"),'Match Log'!$D$4:$D$1510,"")),IFERROR(LOOKUP(2,1/(('Match Log'!$A$4:$A$1510=$A133)*('Match Log'!$E$4:$E$1510="Win")),'Match Log'!$D$4:$D$1510),""))</f>
        <v>Aaron</v>
      </c>
      <c r="E133" s="139">
        <f>IFERROR(INDEX('Match Log'!$F$4:$F$1510,MATCH($A133,'Match Log'!$A$4:$A$1510,0)),"")</f>
        <v>2</v>
      </c>
      <c r="F133">
        <f>IFERROR(SUMIFS('Match Log'!$I$4:$I$1510,'Match Log'!$A$4:$A$1510,$A133,'Match Log'!$E$4:$E$1510,"Win"),"")</f>
        <v>0.5371900826446282</v>
      </c>
      <c r="G133">
        <f t="shared" si="20"/>
        <v>-7.4380165289256395E-2</v>
      </c>
      <c r="H133" t="str">
        <f t="array" ref="H133">IFERROR(IF(COUNTIFS('Match Log'!$A$4:$A$1510,$A133,'Match Log'!$E$4:$E$1510,"Win")&gt;1,_xlfn.TEXTJOIN(" + ",TRUE(),IF(('Match Log'!$A$4:$A$1510=$A133)*('Match Log'!$E$4:$E$1510="Loss"),'Match Log'!$D$4:$D$1510,"")),IF($E133=2,LOOKUP(2,1/(('Match Log'!$A$4:$A$1510=$A133)*('Match Log'!$E$4:$E$1510="Loss")),'Match Log'!$D$4:$D$1510),"the field")),"")</f>
        <v>Shawn</v>
      </c>
      <c r="I133">
        <f t="shared" si="21"/>
        <v>-7.4489165289256393E-2</v>
      </c>
      <c r="J133">
        <v>109</v>
      </c>
      <c r="K133">
        <f>IF($J133&gt;MAX('Match Log'!$A$4:$A$1510),NA(),IFERROR(LOOKUP(2,1/(('Match Log'!$D$4:$D$1510=$K$24)*('Match Log'!$A$4:$A$1510&lt;=$J133)),'Match Log'!$N$4:$N$1510),NA()))</f>
        <v>1043.6305521406584</v>
      </c>
      <c r="L133">
        <f>IF($J133&gt;MAX('Match Log'!$A$4:$A$1510),NA(),IFERROR(LOOKUP(2,1/(('Match Log'!$D$4:$D$1510=$L$24)*('Match Log'!$A$4:$A$1510&lt;=$J133)),'Match Log'!$N$4:$N$1510),NA()))</f>
        <v>1029.5175965335138</v>
      </c>
      <c r="M133">
        <f>IF($J133&gt;MAX('Match Log'!$A$4:$A$1510),NA(),IFERROR(LOOKUP(2,1/(('Match Log'!$D$4:$D$1510=$M$24)*('Match Log'!$A$4:$A$1510&lt;=$J133)),'Match Log'!$N$4:$N$1510),NA()))</f>
        <v>1016.7841648959289</v>
      </c>
      <c r="N133">
        <f>IF($J133&gt;MAX('Match Log'!$A$4:$A$1510),NA(),IFERROR(LOOKUP(2,1/(('Match Log'!$D$4:$D$1510=$N$24)*('Match Log'!$A$4:$A$1510&lt;=$J133)),'Match Log'!$N$4:$N$1510),NA()))</f>
        <v>981.90186446660846</v>
      </c>
      <c r="O133">
        <f>IF($J133&gt;MAX('Match Log'!$A$4:$A$1510),NA(),IFERROR(LOOKUP(2,1/(('Match Log'!$D$4:$D$1510=$O$24)*('Match Log'!$A$4:$A$1510&lt;=$J133)),'Match Log'!$N$4:$N$1510),NA()))</f>
        <v>1115.1375937966061</v>
      </c>
      <c r="P133">
        <f>IF($J133&gt;MAX('Match Log'!$A$4:$A$1510),NA(),IFERROR(LOOKUP(2,1/(('Match Log'!$D$4:$D$1510=$P$24)*('Match Log'!$A$4:$A$1510&lt;=$J133)),'Match Log'!$N$4:$N$1510),NA()))</f>
        <v>1048.3771887175042</v>
      </c>
      <c r="Q133">
        <f>IF($J133&gt;MAX('Match Log'!$A$4:$A$1510),NA(),IFERROR(LOOKUP(2,1/(('Match Log'!$D$4:$D$1510=$Q$24)*('Match Log'!$A$4:$A$1510&lt;=$J133)),'Match Log'!$N$4:$N$1510),NA()))</f>
        <v>1085.4901250893295</v>
      </c>
      <c r="R133">
        <f>IF($J133&gt;MAX('Match Log'!$A$4:$A$1510),NA(),IFERROR(LOOKUP(2,1/(('Match Log'!$D$4:$D$1510=$R$24)*('Match Log'!$A$4:$A$1510&lt;=$J133)),'Match Log'!$N$4:$N$1510),NA()))</f>
        <v>1078.0553019009592</v>
      </c>
      <c r="S133">
        <f>IF($J133&gt;MAX('Match Log'!$A$4:$A$1510),NA(),IFERROR(LOOKUP(2,1/(('Match Log'!$D$4:$D$1510=$S$24)*('Match Log'!$A$4:$A$1510&lt;=$J133)),'Match Log'!$N$4:$N$1510),NA()))</f>
        <v>1168.3002777514087</v>
      </c>
      <c r="T133">
        <f>IF($J133&gt;MAX('Match Log'!$A$4:$A$1510),NA(),IFERROR(LOOKUP(2,1/(('Match Log'!$D$4:$D$1510=$T$24)*('Match Log'!$A$4:$A$1510&lt;=$J133)),'Match Log'!$N$4:$N$1510),NA()))</f>
        <v>893.15761519837804</v>
      </c>
      <c r="U133">
        <f>IF($J133&gt;MAX('Match Log'!$A$4:$A$1510),NA(),IFERROR(LOOKUP(2,1/(('Match Log'!$D$4:$D$1510=$U$24)*('Match Log'!$A$4:$A$1510&lt;=$J133)),'Match Log'!$N$4:$N$1510),NA()))</f>
        <v>1082.0688990464841</v>
      </c>
      <c r="V133">
        <f>IF($J133&gt;MAX('Match Log'!$A$4:$A$1510),NA(),IFERROR(LOOKUP(2,1/(('Match Log'!$D$4:$D$1510=$V$24)*('Match Log'!$A$4:$A$1510&lt;=$J133)),'Match Log'!$N$4:$N$1510),NA()))</f>
        <v>1031.1892257719715</v>
      </c>
      <c r="W133">
        <f>IF($J133&gt;MAX('Match Log'!$A$4:$A$1510),NA(),IFERROR(LOOKUP(2,1/(('Match Log'!$D$4:$D$1510=$W$24)*('Match Log'!$A$4:$A$1510&lt;=$J133)),'Match Log'!$N$4:$N$1510),NA()))</f>
        <v>1030.3895946906482</v>
      </c>
      <c r="X133" t="e">
        <f>IF($J133&gt;MAX('Match Log'!$A$4:$A$1510),NA(),IFERROR(LOOKUP(2,1/(('Match Log'!$D$4:$D$1510=$X$24)*('Match Log'!$A$4:$A$1510&lt;=$J133)),'Match Log'!$N$4:$N$1510),NA()))</f>
        <v>#N/A</v>
      </c>
      <c r="Y133" t="str">
        <f t="shared" ca="1" si="22"/>
        <v/>
      </c>
    </row>
    <row r="134" spans="1:25" ht="15" customHeight="1" x14ac:dyDescent="0.2">
      <c r="A134">
        <v>110</v>
      </c>
      <c r="B134" s="138">
        <f>IFERROR(INDEX('Match Log'!$B$4:$B$1510,MATCH($A134,'Match Log'!$A$4:$A$1510,0)),"")</f>
        <v>46200</v>
      </c>
      <c r="C134" t="str">
        <f>IFERROR(INDEX('Match Log'!$C$4:$C$1510,MATCH($A134,'Match Log'!$A$4:$A$1510,0)),"")</f>
        <v>FIFA</v>
      </c>
      <c r="D134" t="str">
        <f t="array" ref="D134">IFERROR(_xlfn.TEXTJOIN(" + ",TRUE(),IF(('Match Log'!$A$4:$A$1510=$A134)*('Match Log'!$E$4:$E$1510="Win"),'Match Log'!$D$4:$D$1510,"")),IFERROR(LOOKUP(2,1/(('Match Log'!$A$4:$A$1510=$A134)*('Match Log'!$E$4:$E$1510="Win")),'Match Log'!$D$4:$D$1510),""))</f>
        <v>Aaron</v>
      </c>
      <c r="E134" s="139">
        <f>IFERROR(INDEX('Match Log'!$F$4:$F$1510,MATCH($A134,'Match Log'!$A$4:$A$1510,0)),"")</f>
        <v>2</v>
      </c>
      <c r="F134">
        <f>IFERROR(SUMIFS('Match Log'!$I$4:$I$1510,'Match Log'!$A$4:$A$1510,$A134,'Match Log'!$E$4:$E$1510,"Win"),"")</f>
        <v>0.57142857142857151</v>
      </c>
      <c r="G134">
        <f t="shared" si="20"/>
        <v>-0.14285714285714302</v>
      </c>
      <c r="H134" t="str">
        <f t="array" ref="H134">IFERROR(IF(COUNTIFS('Match Log'!$A$4:$A$1510,$A134,'Match Log'!$E$4:$E$1510,"Win")&gt;1,_xlfn.TEXTJOIN(" + ",TRUE(),IF(('Match Log'!$A$4:$A$1510=$A134)*('Match Log'!$E$4:$E$1510="Loss"),'Match Log'!$D$4:$D$1510,"")),IF($E134=2,LOOKUP(2,1/(('Match Log'!$A$4:$A$1510=$A134)*('Match Log'!$E$4:$E$1510="Loss")),'Match Log'!$D$4:$D$1510),"the field")),"")</f>
        <v>Shawn</v>
      </c>
      <c r="I134">
        <f t="shared" si="21"/>
        <v>-0.14296714285714301</v>
      </c>
      <c r="J134">
        <v>110</v>
      </c>
      <c r="K134">
        <f>IF($J134&gt;MAX('Match Log'!$A$4:$A$1510),NA(),IFERROR(LOOKUP(2,1/(('Match Log'!$D$4:$D$1510=$K$24)*('Match Log'!$A$4:$A$1510&lt;=$J134)),'Match Log'!$N$4:$N$1510),NA()))</f>
        <v>1063.4091864332577</v>
      </c>
      <c r="L134">
        <f>IF($J134&gt;MAX('Match Log'!$A$4:$A$1510),NA(),IFERROR(LOOKUP(2,1/(('Match Log'!$D$4:$D$1510=$L$24)*('Match Log'!$A$4:$A$1510&lt;=$J134)),'Match Log'!$N$4:$N$1510),NA()))</f>
        <v>1029.5175965335138</v>
      </c>
      <c r="M134">
        <f>IF($J134&gt;MAX('Match Log'!$A$4:$A$1510),NA(),IFERROR(LOOKUP(2,1/(('Match Log'!$D$4:$D$1510=$M$24)*('Match Log'!$A$4:$A$1510&lt;=$J134)),'Match Log'!$N$4:$N$1510),NA()))</f>
        <v>1016.7841648959289</v>
      </c>
      <c r="N134">
        <f>IF($J134&gt;MAX('Match Log'!$A$4:$A$1510),NA(),IFERROR(LOOKUP(2,1/(('Match Log'!$D$4:$D$1510=$N$24)*('Match Log'!$A$4:$A$1510&lt;=$J134)),'Match Log'!$N$4:$N$1510),NA()))</f>
        <v>981.90186446660846</v>
      </c>
      <c r="O134">
        <f>IF($J134&gt;MAX('Match Log'!$A$4:$A$1510),NA(),IFERROR(LOOKUP(2,1/(('Match Log'!$D$4:$D$1510=$O$24)*('Match Log'!$A$4:$A$1510&lt;=$J134)),'Match Log'!$N$4:$N$1510),NA()))</f>
        <v>1115.1375937966061</v>
      </c>
      <c r="P134">
        <f>IF($J134&gt;MAX('Match Log'!$A$4:$A$1510),NA(),IFERROR(LOOKUP(2,1/(('Match Log'!$D$4:$D$1510=$P$24)*('Match Log'!$A$4:$A$1510&lt;=$J134)),'Match Log'!$N$4:$N$1510),NA()))</f>
        <v>1028.5985544249049</v>
      </c>
      <c r="Q134">
        <f>IF($J134&gt;MAX('Match Log'!$A$4:$A$1510),NA(),IFERROR(LOOKUP(2,1/(('Match Log'!$D$4:$D$1510=$Q$24)*('Match Log'!$A$4:$A$1510&lt;=$J134)),'Match Log'!$N$4:$N$1510),NA()))</f>
        <v>1085.4901250893295</v>
      </c>
      <c r="R134">
        <f>IF($J134&gt;MAX('Match Log'!$A$4:$A$1510),NA(),IFERROR(LOOKUP(2,1/(('Match Log'!$D$4:$D$1510=$R$24)*('Match Log'!$A$4:$A$1510&lt;=$J134)),'Match Log'!$N$4:$N$1510),NA()))</f>
        <v>1078.0553019009592</v>
      </c>
      <c r="S134">
        <f>IF($J134&gt;MAX('Match Log'!$A$4:$A$1510),NA(),IFERROR(LOOKUP(2,1/(('Match Log'!$D$4:$D$1510=$S$24)*('Match Log'!$A$4:$A$1510&lt;=$J134)),'Match Log'!$N$4:$N$1510),NA()))</f>
        <v>1168.3002777514087</v>
      </c>
      <c r="T134">
        <f>IF($J134&gt;MAX('Match Log'!$A$4:$A$1510),NA(),IFERROR(LOOKUP(2,1/(('Match Log'!$D$4:$D$1510=$T$24)*('Match Log'!$A$4:$A$1510&lt;=$J134)),'Match Log'!$N$4:$N$1510),NA()))</f>
        <v>893.15761519837804</v>
      </c>
      <c r="U134">
        <f>IF($J134&gt;MAX('Match Log'!$A$4:$A$1510),NA(),IFERROR(LOOKUP(2,1/(('Match Log'!$D$4:$D$1510=$U$24)*('Match Log'!$A$4:$A$1510&lt;=$J134)),'Match Log'!$N$4:$N$1510),NA()))</f>
        <v>1082.0688990464841</v>
      </c>
      <c r="V134">
        <f>IF($J134&gt;MAX('Match Log'!$A$4:$A$1510),NA(),IFERROR(LOOKUP(2,1/(('Match Log'!$D$4:$D$1510=$V$24)*('Match Log'!$A$4:$A$1510&lt;=$J134)),'Match Log'!$N$4:$N$1510),NA()))</f>
        <v>1031.1892257719715</v>
      </c>
      <c r="W134">
        <f>IF($J134&gt;MAX('Match Log'!$A$4:$A$1510),NA(),IFERROR(LOOKUP(2,1/(('Match Log'!$D$4:$D$1510=$W$24)*('Match Log'!$A$4:$A$1510&lt;=$J134)),'Match Log'!$N$4:$N$1510),NA()))</f>
        <v>1030.3895946906482</v>
      </c>
      <c r="X134" t="e">
        <f>IF($J134&gt;MAX('Match Log'!$A$4:$A$1510),NA(),IFERROR(LOOKUP(2,1/(('Match Log'!$D$4:$D$1510=$X$24)*('Match Log'!$A$4:$A$1510&lt;=$J134)),'Match Log'!$N$4:$N$1510),NA()))</f>
        <v>#N/A</v>
      </c>
      <c r="Y134" t="str">
        <f t="shared" ca="1" si="22"/>
        <v/>
      </c>
    </row>
    <row r="135" spans="1:25" ht="15" customHeight="1" x14ac:dyDescent="0.2">
      <c r="A135">
        <v>111</v>
      </c>
      <c r="B135" s="138">
        <f>IFERROR(INDEX('Match Log'!$B$4:$B$1510,MATCH($A135,'Match Log'!$A$4:$A$1510,0)),"")</f>
        <v>46200</v>
      </c>
      <c r="C135" t="str">
        <f>IFERROR(INDEX('Match Log'!$C$4:$C$1510,MATCH($A135,'Match Log'!$A$4:$A$1510,0)),"")</f>
        <v>Mario Kart</v>
      </c>
      <c r="D135" t="str">
        <f t="array" ref="D135">IFERROR(_xlfn.TEXTJOIN(" + ",TRUE(),IF(('Match Log'!$A$4:$A$1510=$A135)*('Match Log'!$E$4:$E$1510="Win"),'Match Log'!$D$4:$D$1510,"")),IFERROR(LOOKUP(2,1/(('Match Log'!$A$4:$A$1510=$A135)*('Match Log'!$E$4:$E$1510="Win")),'Match Log'!$D$4:$D$1510),""))</f>
        <v>Aaron</v>
      </c>
      <c r="E135" s="139">
        <f>IFERROR(INDEX('Match Log'!$F$4:$F$1510,MATCH($A135,'Match Log'!$A$4:$A$1510,0)),"")</f>
        <v>2</v>
      </c>
      <c r="F135">
        <f>IFERROR(SUMIFS('Match Log'!$I$4:$I$1510,'Match Log'!$A$4:$A$1510,$A135,'Match Log'!$E$4:$E$1510,"Win"),"")</f>
        <v>0.60000000000000009</v>
      </c>
      <c r="G135">
        <f t="shared" si="20"/>
        <v>-0.20000000000000018</v>
      </c>
      <c r="H135" t="str">
        <f t="array" ref="H135">IFERROR(IF(COUNTIFS('Match Log'!$A$4:$A$1510,$A135,'Match Log'!$E$4:$E$1510,"Win")&gt;1,_xlfn.TEXTJOIN(" + ",TRUE(),IF(('Match Log'!$A$4:$A$1510=$A135)*('Match Log'!$E$4:$E$1510="Loss"),'Match Log'!$D$4:$D$1510,"")),IF($E135=2,LOOKUP(2,1/(('Match Log'!$A$4:$A$1510=$A135)*('Match Log'!$E$4:$E$1510="Loss")),'Match Log'!$D$4:$D$1510),"the field")),"")</f>
        <v>Shawn</v>
      </c>
      <c r="I135">
        <f t="shared" si="21"/>
        <v>-0.20011100000000018</v>
      </c>
      <c r="J135">
        <v>111</v>
      </c>
      <c r="K135">
        <f>IF($J135&gt;MAX('Match Log'!$A$4:$A$1510),NA(),IFERROR(LOOKUP(2,1/(('Match Log'!$D$4:$D$1510=$K$24)*('Match Log'!$A$4:$A$1510&lt;=$J135)),'Match Log'!$N$4:$N$1510),NA()))</f>
        <v>1082.2692315609356</v>
      </c>
      <c r="L135">
        <f>IF($J135&gt;MAX('Match Log'!$A$4:$A$1510),NA(),IFERROR(LOOKUP(2,1/(('Match Log'!$D$4:$D$1510=$L$24)*('Match Log'!$A$4:$A$1510&lt;=$J135)),'Match Log'!$N$4:$N$1510),NA()))</f>
        <v>1029.5175965335138</v>
      </c>
      <c r="M135">
        <f>IF($J135&gt;MAX('Match Log'!$A$4:$A$1510),NA(),IFERROR(LOOKUP(2,1/(('Match Log'!$D$4:$D$1510=$M$24)*('Match Log'!$A$4:$A$1510&lt;=$J135)),'Match Log'!$N$4:$N$1510),NA()))</f>
        <v>1016.7841648959289</v>
      </c>
      <c r="N135">
        <f>IF($J135&gt;MAX('Match Log'!$A$4:$A$1510),NA(),IFERROR(LOOKUP(2,1/(('Match Log'!$D$4:$D$1510=$N$24)*('Match Log'!$A$4:$A$1510&lt;=$J135)),'Match Log'!$N$4:$N$1510),NA()))</f>
        <v>981.90186446660846</v>
      </c>
      <c r="O135">
        <f>IF($J135&gt;MAX('Match Log'!$A$4:$A$1510),NA(),IFERROR(LOOKUP(2,1/(('Match Log'!$D$4:$D$1510=$O$24)*('Match Log'!$A$4:$A$1510&lt;=$J135)),'Match Log'!$N$4:$N$1510),NA()))</f>
        <v>1115.1375937966061</v>
      </c>
      <c r="P135">
        <f>IF($J135&gt;MAX('Match Log'!$A$4:$A$1510),NA(),IFERROR(LOOKUP(2,1/(('Match Log'!$D$4:$D$1510=$P$24)*('Match Log'!$A$4:$A$1510&lt;=$J135)),'Match Log'!$N$4:$N$1510),NA()))</f>
        <v>1009.738509297227</v>
      </c>
      <c r="Q135">
        <f>IF($J135&gt;MAX('Match Log'!$A$4:$A$1510),NA(),IFERROR(LOOKUP(2,1/(('Match Log'!$D$4:$D$1510=$Q$24)*('Match Log'!$A$4:$A$1510&lt;=$J135)),'Match Log'!$N$4:$N$1510),NA()))</f>
        <v>1085.4901250893295</v>
      </c>
      <c r="R135">
        <f>IF($J135&gt;MAX('Match Log'!$A$4:$A$1510),NA(),IFERROR(LOOKUP(2,1/(('Match Log'!$D$4:$D$1510=$R$24)*('Match Log'!$A$4:$A$1510&lt;=$J135)),'Match Log'!$N$4:$N$1510),NA()))</f>
        <v>1078.0553019009592</v>
      </c>
      <c r="S135">
        <f>IF($J135&gt;MAX('Match Log'!$A$4:$A$1510),NA(),IFERROR(LOOKUP(2,1/(('Match Log'!$D$4:$D$1510=$S$24)*('Match Log'!$A$4:$A$1510&lt;=$J135)),'Match Log'!$N$4:$N$1510),NA()))</f>
        <v>1168.3002777514087</v>
      </c>
      <c r="T135">
        <f>IF($J135&gt;MAX('Match Log'!$A$4:$A$1510),NA(),IFERROR(LOOKUP(2,1/(('Match Log'!$D$4:$D$1510=$T$24)*('Match Log'!$A$4:$A$1510&lt;=$J135)),'Match Log'!$N$4:$N$1510),NA()))</f>
        <v>893.15761519837804</v>
      </c>
      <c r="U135">
        <f>IF($J135&gt;MAX('Match Log'!$A$4:$A$1510),NA(),IFERROR(LOOKUP(2,1/(('Match Log'!$D$4:$D$1510=$U$24)*('Match Log'!$A$4:$A$1510&lt;=$J135)),'Match Log'!$N$4:$N$1510),NA()))</f>
        <v>1082.0688990464841</v>
      </c>
      <c r="V135">
        <f>IF($J135&gt;MAX('Match Log'!$A$4:$A$1510),NA(),IFERROR(LOOKUP(2,1/(('Match Log'!$D$4:$D$1510=$V$24)*('Match Log'!$A$4:$A$1510&lt;=$J135)),'Match Log'!$N$4:$N$1510),NA()))</f>
        <v>1031.1892257719715</v>
      </c>
      <c r="W135">
        <f>IF($J135&gt;MAX('Match Log'!$A$4:$A$1510),NA(),IFERROR(LOOKUP(2,1/(('Match Log'!$D$4:$D$1510=$W$24)*('Match Log'!$A$4:$A$1510&lt;=$J135)),'Match Log'!$N$4:$N$1510),NA()))</f>
        <v>1030.3895946906482</v>
      </c>
      <c r="X135" t="e">
        <f>IF($J135&gt;MAX('Match Log'!$A$4:$A$1510),NA(),IFERROR(LOOKUP(2,1/(('Match Log'!$D$4:$D$1510=$X$24)*('Match Log'!$A$4:$A$1510&lt;=$J135)),'Match Log'!$N$4:$N$1510),NA()))</f>
        <v>#N/A</v>
      </c>
      <c r="Y135" t="str">
        <f t="shared" ca="1" si="22"/>
        <v/>
      </c>
    </row>
    <row r="136" spans="1:25" ht="15" customHeight="1" x14ac:dyDescent="0.2">
      <c r="A136">
        <v>112</v>
      </c>
      <c r="B136" s="138">
        <f>IFERROR(INDEX('Match Log'!$B$4:$B$1510,MATCH($A136,'Match Log'!$A$4:$A$1510,0)),"")</f>
        <v>46200</v>
      </c>
      <c r="C136" t="str">
        <f>IFERROR(INDEX('Match Log'!$C$4:$C$1510,MATCH($A136,'Match Log'!$A$4:$A$1510,0)),"")</f>
        <v>Mario Kart</v>
      </c>
      <c r="D136" t="str">
        <f t="array" ref="D136">IFERROR(_xlfn.TEXTJOIN(" + ",TRUE(),IF(('Match Log'!$A$4:$A$1510=$A136)*('Match Log'!$E$4:$E$1510="Win"),'Match Log'!$D$4:$D$1510,"")),IFERROR(LOOKUP(2,1/(('Match Log'!$A$4:$A$1510=$A136)*('Match Log'!$E$4:$E$1510="Win")),'Match Log'!$D$4:$D$1510),""))</f>
        <v>Aaron</v>
      </c>
      <c r="E136" s="139">
        <f>IFERROR(INDEX('Match Log'!$F$4:$F$1510,MATCH($A136,'Match Log'!$A$4:$A$1510,0)),"")</f>
        <v>2</v>
      </c>
      <c r="F136">
        <f>IFERROR(SUMIFS('Match Log'!$I$4:$I$1510,'Match Log'!$A$4:$A$1510,$A136,'Match Log'!$E$4:$E$1510,"Win"),"")</f>
        <v>0.72727272727272729</v>
      </c>
      <c r="G136">
        <f t="shared" si="20"/>
        <v>-0.45454545454545459</v>
      </c>
      <c r="H136" t="str">
        <f t="array" ref="H136">IFERROR(IF(COUNTIFS('Match Log'!$A$4:$A$1510,$A136,'Match Log'!$E$4:$E$1510,"Win")&gt;1,_xlfn.TEXTJOIN(" + ",TRUE(),IF(('Match Log'!$A$4:$A$1510=$A136)*('Match Log'!$E$4:$E$1510="Loss"),'Match Log'!$D$4:$D$1510,"")),IF($E136=2,LOOKUP(2,1/(('Match Log'!$A$4:$A$1510=$A136)*('Match Log'!$E$4:$E$1510="Loss")),'Match Log'!$D$4:$D$1510),"the field")),"")</f>
        <v>Shawn</v>
      </c>
      <c r="I136">
        <f t="shared" si="21"/>
        <v>-0.45465745454545459</v>
      </c>
      <c r="J136">
        <v>112</v>
      </c>
      <c r="K136">
        <f>IF($J136&gt;MAX('Match Log'!$A$4:$A$1510),NA(),IFERROR(LOOKUP(2,1/(('Match Log'!$D$4:$D$1510=$K$24)*('Match Log'!$A$4:$A$1510&lt;=$J136)),'Match Log'!$N$4:$N$1510),NA()))</f>
        <v>1098.2190431506947</v>
      </c>
      <c r="L136">
        <f>IF($J136&gt;MAX('Match Log'!$A$4:$A$1510),NA(),IFERROR(LOOKUP(2,1/(('Match Log'!$D$4:$D$1510=$L$24)*('Match Log'!$A$4:$A$1510&lt;=$J136)),'Match Log'!$N$4:$N$1510),NA()))</f>
        <v>1029.5175965335138</v>
      </c>
      <c r="M136">
        <f>IF($J136&gt;MAX('Match Log'!$A$4:$A$1510),NA(),IFERROR(LOOKUP(2,1/(('Match Log'!$D$4:$D$1510=$M$24)*('Match Log'!$A$4:$A$1510&lt;=$J136)),'Match Log'!$N$4:$N$1510),NA()))</f>
        <v>1016.7841648959289</v>
      </c>
      <c r="N136">
        <f>IF($J136&gt;MAX('Match Log'!$A$4:$A$1510),NA(),IFERROR(LOOKUP(2,1/(('Match Log'!$D$4:$D$1510=$N$24)*('Match Log'!$A$4:$A$1510&lt;=$J136)),'Match Log'!$N$4:$N$1510),NA()))</f>
        <v>981.90186446660846</v>
      </c>
      <c r="O136">
        <f>IF($J136&gt;MAX('Match Log'!$A$4:$A$1510),NA(),IFERROR(LOOKUP(2,1/(('Match Log'!$D$4:$D$1510=$O$24)*('Match Log'!$A$4:$A$1510&lt;=$J136)),'Match Log'!$N$4:$N$1510),NA()))</f>
        <v>1115.1375937966061</v>
      </c>
      <c r="P136">
        <f>IF($J136&gt;MAX('Match Log'!$A$4:$A$1510),NA(),IFERROR(LOOKUP(2,1/(('Match Log'!$D$4:$D$1510=$P$24)*('Match Log'!$A$4:$A$1510&lt;=$J136)),'Match Log'!$N$4:$N$1510),NA()))</f>
        <v>993.78869770746792</v>
      </c>
      <c r="Q136">
        <f>IF($J136&gt;MAX('Match Log'!$A$4:$A$1510),NA(),IFERROR(LOOKUP(2,1/(('Match Log'!$D$4:$D$1510=$Q$24)*('Match Log'!$A$4:$A$1510&lt;=$J136)),'Match Log'!$N$4:$N$1510),NA()))</f>
        <v>1085.4901250893295</v>
      </c>
      <c r="R136">
        <f>IF($J136&gt;MAX('Match Log'!$A$4:$A$1510),NA(),IFERROR(LOOKUP(2,1/(('Match Log'!$D$4:$D$1510=$R$24)*('Match Log'!$A$4:$A$1510&lt;=$J136)),'Match Log'!$N$4:$N$1510),NA()))</f>
        <v>1078.0553019009592</v>
      </c>
      <c r="S136">
        <f>IF($J136&gt;MAX('Match Log'!$A$4:$A$1510),NA(),IFERROR(LOOKUP(2,1/(('Match Log'!$D$4:$D$1510=$S$24)*('Match Log'!$A$4:$A$1510&lt;=$J136)),'Match Log'!$N$4:$N$1510),NA()))</f>
        <v>1168.3002777514087</v>
      </c>
      <c r="T136">
        <f>IF($J136&gt;MAX('Match Log'!$A$4:$A$1510),NA(),IFERROR(LOOKUP(2,1/(('Match Log'!$D$4:$D$1510=$T$24)*('Match Log'!$A$4:$A$1510&lt;=$J136)),'Match Log'!$N$4:$N$1510),NA()))</f>
        <v>893.15761519837804</v>
      </c>
      <c r="U136">
        <f>IF($J136&gt;MAX('Match Log'!$A$4:$A$1510),NA(),IFERROR(LOOKUP(2,1/(('Match Log'!$D$4:$D$1510=$U$24)*('Match Log'!$A$4:$A$1510&lt;=$J136)),'Match Log'!$N$4:$N$1510),NA()))</f>
        <v>1082.0688990464841</v>
      </c>
      <c r="V136">
        <f>IF($J136&gt;MAX('Match Log'!$A$4:$A$1510),NA(),IFERROR(LOOKUP(2,1/(('Match Log'!$D$4:$D$1510=$V$24)*('Match Log'!$A$4:$A$1510&lt;=$J136)),'Match Log'!$N$4:$N$1510),NA()))</f>
        <v>1031.1892257719715</v>
      </c>
      <c r="W136">
        <f>IF($J136&gt;MAX('Match Log'!$A$4:$A$1510),NA(),IFERROR(LOOKUP(2,1/(('Match Log'!$D$4:$D$1510=$W$24)*('Match Log'!$A$4:$A$1510&lt;=$J136)),'Match Log'!$N$4:$N$1510),NA()))</f>
        <v>1030.3895946906482</v>
      </c>
      <c r="X136" t="e">
        <f>IF($J136&gt;MAX('Match Log'!$A$4:$A$1510),NA(),IFERROR(LOOKUP(2,1/(('Match Log'!$D$4:$D$1510=$X$24)*('Match Log'!$A$4:$A$1510&lt;=$J136)),'Match Log'!$N$4:$N$1510),NA()))</f>
        <v>#N/A</v>
      </c>
      <c r="Y136" t="str">
        <f t="shared" ca="1" si="22"/>
        <v/>
      </c>
    </row>
    <row r="137" spans="1:25" ht="15" customHeight="1" x14ac:dyDescent="0.2">
      <c r="A137">
        <v>113</v>
      </c>
      <c r="B137" s="138">
        <f>IFERROR(INDEX('Match Log'!$B$4:$B$1510,MATCH($A137,'Match Log'!$A$4:$A$1510,0)),"")</f>
        <v>46200</v>
      </c>
      <c r="C137" t="str">
        <f>IFERROR(INDEX('Match Log'!$C$4:$C$1510,MATCH($A137,'Match Log'!$A$4:$A$1510,0)),"")</f>
        <v>Mario Kart</v>
      </c>
      <c r="D137" t="str">
        <f t="array" ref="D137">IFERROR(_xlfn.TEXTJOIN(" + ",TRUE(),IF(('Match Log'!$A$4:$A$1510=$A137)*('Match Log'!$E$4:$E$1510="Win"),'Match Log'!$D$4:$D$1510,"")),IFERROR(LOOKUP(2,1/(('Match Log'!$A$4:$A$1510=$A137)*('Match Log'!$E$4:$E$1510="Win")),'Match Log'!$D$4:$D$1510),""))</f>
        <v>Aaron</v>
      </c>
      <c r="E137" s="139">
        <f>IFERROR(INDEX('Match Log'!$F$4:$F$1510,MATCH($A137,'Match Log'!$A$4:$A$1510,0)),"")</f>
        <v>2</v>
      </c>
      <c r="F137">
        <f>IFERROR(SUMIFS('Match Log'!$I$4:$I$1510,'Match Log'!$A$4:$A$1510,$A137,'Match Log'!$E$4:$E$1510,"Win"),"")</f>
        <v>0.78947368421052633</v>
      </c>
      <c r="G137">
        <f t="shared" si="20"/>
        <v>-0.57894736842105265</v>
      </c>
      <c r="H137" t="str">
        <f t="array" ref="H137">IFERROR(IF(COUNTIFS('Match Log'!$A$4:$A$1510,$A137,'Match Log'!$E$4:$E$1510,"Win")&gt;1,_xlfn.TEXTJOIN(" + ",TRUE(),IF(('Match Log'!$A$4:$A$1510=$A137)*('Match Log'!$E$4:$E$1510="Loss"),'Match Log'!$D$4:$D$1510,"")),IF($E137=2,LOOKUP(2,1/(('Match Log'!$A$4:$A$1510=$A137)*('Match Log'!$E$4:$E$1510="Loss")),'Match Log'!$D$4:$D$1510),"the field")),"")</f>
        <v>Shawn</v>
      </c>
      <c r="I137">
        <f t="shared" si="21"/>
        <v>-0.57906036842105268</v>
      </c>
      <c r="J137">
        <v>113</v>
      </c>
      <c r="K137">
        <f>IF($J137&gt;MAX('Match Log'!$A$4:$A$1510),NA(),IFERROR(LOOKUP(2,1/(('Match Log'!$D$4:$D$1510=$K$24)*('Match Log'!$A$4:$A$1510&lt;=$J137)),'Match Log'!$N$4:$N$1510),NA()))</f>
        <v>1112.2862350502705</v>
      </c>
      <c r="L137">
        <f>IF($J137&gt;MAX('Match Log'!$A$4:$A$1510),NA(),IFERROR(LOOKUP(2,1/(('Match Log'!$D$4:$D$1510=$L$24)*('Match Log'!$A$4:$A$1510&lt;=$J137)),'Match Log'!$N$4:$N$1510),NA()))</f>
        <v>1029.5175965335138</v>
      </c>
      <c r="M137">
        <f>IF($J137&gt;MAX('Match Log'!$A$4:$A$1510),NA(),IFERROR(LOOKUP(2,1/(('Match Log'!$D$4:$D$1510=$M$24)*('Match Log'!$A$4:$A$1510&lt;=$J137)),'Match Log'!$N$4:$N$1510),NA()))</f>
        <v>1016.7841648959289</v>
      </c>
      <c r="N137">
        <f>IF($J137&gt;MAX('Match Log'!$A$4:$A$1510),NA(),IFERROR(LOOKUP(2,1/(('Match Log'!$D$4:$D$1510=$N$24)*('Match Log'!$A$4:$A$1510&lt;=$J137)),'Match Log'!$N$4:$N$1510),NA()))</f>
        <v>981.90186446660846</v>
      </c>
      <c r="O137">
        <f>IF($J137&gt;MAX('Match Log'!$A$4:$A$1510),NA(),IFERROR(LOOKUP(2,1/(('Match Log'!$D$4:$D$1510=$O$24)*('Match Log'!$A$4:$A$1510&lt;=$J137)),'Match Log'!$N$4:$N$1510),NA()))</f>
        <v>1115.1375937966061</v>
      </c>
      <c r="P137">
        <f>IF($J137&gt;MAX('Match Log'!$A$4:$A$1510),NA(),IFERROR(LOOKUP(2,1/(('Match Log'!$D$4:$D$1510=$P$24)*('Match Log'!$A$4:$A$1510&lt;=$J137)),'Match Log'!$N$4:$N$1510),NA()))</f>
        <v>979.72150580789207</v>
      </c>
      <c r="Q137">
        <f>IF($J137&gt;MAX('Match Log'!$A$4:$A$1510),NA(),IFERROR(LOOKUP(2,1/(('Match Log'!$D$4:$D$1510=$Q$24)*('Match Log'!$A$4:$A$1510&lt;=$J137)),'Match Log'!$N$4:$N$1510),NA()))</f>
        <v>1085.4901250893295</v>
      </c>
      <c r="R137">
        <f>IF($J137&gt;MAX('Match Log'!$A$4:$A$1510),NA(),IFERROR(LOOKUP(2,1/(('Match Log'!$D$4:$D$1510=$R$24)*('Match Log'!$A$4:$A$1510&lt;=$J137)),'Match Log'!$N$4:$N$1510),NA()))</f>
        <v>1078.0553019009592</v>
      </c>
      <c r="S137">
        <f>IF($J137&gt;MAX('Match Log'!$A$4:$A$1510),NA(),IFERROR(LOOKUP(2,1/(('Match Log'!$D$4:$D$1510=$S$24)*('Match Log'!$A$4:$A$1510&lt;=$J137)),'Match Log'!$N$4:$N$1510),NA()))</f>
        <v>1168.3002777514087</v>
      </c>
      <c r="T137">
        <f>IF($J137&gt;MAX('Match Log'!$A$4:$A$1510),NA(),IFERROR(LOOKUP(2,1/(('Match Log'!$D$4:$D$1510=$T$24)*('Match Log'!$A$4:$A$1510&lt;=$J137)),'Match Log'!$N$4:$N$1510),NA()))</f>
        <v>893.15761519837804</v>
      </c>
      <c r="U137">
        <f>IF($J137&gt;MAX('Match Log'!$A$4:$A$1510),NA(),IFERROR(LOOKUP(2,1/(('Match Log'!$D$4:$D$1510=$U$24)*('Match Log'!$A$4:$A$1510&lt;=$J137)),'Match Log'!$N$4:$N$1510),NA()))</f>
        <v>1082.0688990464841</v>
      </c>
      <c r="V137">
        <f>IF($J137&gt;MAX('Match Log'!$A$4:$A$1510),NA(),IFERROR(LOOKUP(2,1/(('Match Log'!$D$4:$D$1510=$V$24)*('Match Log'!$A$4:$A$1510&lt;=$J137)),'Match Log'!$N$4:$N$1510),NA()))</f>
        <v>1031.1892257719715</v>
      </c>
      <c r="W137">
        <f>IF($J137&gt;MAX('Match Log'!$A$4:$A$1510),NA(),IFERROR(LOOKUP(2,1/(('Match Log'!$D$4:$D$1510=$W$24)*('Match Log'!$A$4:$A$1510&lt;=$J137)),'Match Log'!$N$4:$N$1510),NA()))</f>
        <v>1030.3895946906482</v>
      </c>
      <c r="X137" t="e">
        <f>IF($J137&gt;MAX('Match Log'!$A$4:$A$1510),NA(),IFERROR(LOOKUP(2,1/(('Match Log'!$D$4:$D$1510=$X$24)*('Match Log'!$A$4:$A$1510&lt;=$J137)),'Match Log'!$N$4:$N$1510),NA()))</f>
        <v>#N/A</v>
      </c>
      <c r="Y137" t="str">
        <f t="shared" ca="1" si="22"/>
        <v/>
      </c>
    </row>
    <row r="138" spans="1:25" ht="15" customHeight="1" x14ac:dyDescent="0.2">
      <c r="A138">
        <v>114</v>
      </c>
      <c r="B138" s="138">
        <f>IFERROR(INDEX('Match Log'!$B$4:$B$1510,MATCH($A138,'Match Log'!$A$4:$A$1510,0)),"")</f>
        <v>46202</v>
      </c>
      <c r="C138" t="str">
        <f>IFERROR(INDEX('Match Log'!$C$4:$C$1510,MATCH($A138,'Match Log'!$A$4:$A$1510,0)),"")</f>
        <v>Chess</v>
      </c>
      <c r="D138" t="str">
        <f t="array" ref="D138">IFERROR(_xlfn.TEXTJOIN(" + ",TRUE(),IF(('Match Log'!$A$4:$A$1510=$A138)*('Match Log'!$E$4:$E$1510="Win"),'Match Log'!$D$4:$D$1510,"")),IFERROR(LOOKUP(2,1/(('Match Log'!$A$4:$A$1510=$A138)*('Match Log'!$E$4:$E$1510="Win")),'Match Log'!$D$4:$D$1510),""))</f>
        <v>Shawn</v>
      </c>
      <c r="E138" s="139">
        <f>IFERROR(INDEX('Match Log'!$F$4:$F$1510,MATCH($A138,'Match Log'!$A$4:$A$1510,0)),"")</f>
        <v>2</v>
      </c>
      <c r="F138">
        <f>IFERROR(SUMIFS('Match Log'!$I$4:$I$1510,'Match Log'!$A$4:$A$1510,$A138,'Match Log'!$E$4:$E$1510,"Win"),"")</f>
        <v>0.66666666666666663</v>
      </c>
      <c r="G138">
        <f t="shared" si="20"/>
        <v>-0.33333333333333326</v>
      </c>
      <c r="H138" t="str">
        <f t="array" ref="H138">IFERROR(IF(COUNTIFS('Match Log'!$A$4:$A$1510,$A138,'Match Log'!$E$4:$E$1510,"Win")&gt;1,_xlfn.TEXTJOIN(" + ",TRUE(),IF(('Match Log'!$A$4:$A$1510=$A138)*('Match Log'!$E$4:$E$1510="Loss"),'Match Log'!$D$4:$D$1510,"")),IF($E138=2,LOOKUP(2,1/(('Match Log'!$A$4:$A$1510=$A138)*('Match Log'!$E$4:$E$1510="Loss")),'Match Log'!$D$4:$D$1510),"the field")),"")</f>
        <v>Daniel (Ferret)</v>
      </c>
      <c r="I138">
        <f t="shared" si="21"/>
        <v>-0.33344733333333326</v>
      </c>
      <c r="J138">
        <v>114</v>
      </c>
      <c r="K138">
        <f>IF($J138&gt;MAX('Match Log'!$A$4:$A$1510),NA(),IFERROR(LOOKUP(2,1/(('Match Log'!$D$4:$D$1510=$K$24)*('Match Log'!$A$4:$A$1510&lt;=$J138)),'Match Log'!$N$4:$N$1510),NA()))</f>
        <v>1112.2862350502705</v>
      </c>
      <c r="L138">
        <f>IF($J138&gt;MAX('Match Log'!$A$4:$A$1510),NA(),IFERROR(LOOKUP(2,1/(('Match Log'!$D$4:$D$1510=$L$24)*('Match Log'!$A$4:$A$1510&lt;=$J138)),'Match Log'!$N$4:$N$1510),NA()))</f>
        <v>1029.5175965335138</v>
      </c>
      <c r="M138">
        <f>IF($J138&gt;MAX('Match Log'!$A$4:$A$1510),NA(),IFERROR(LOOKUP(2,1/(('Match Log'!$D$4:$D$1510=$M$24)*('Match Log'!$A$4:$A$1510&lt;=$J138)),'Match Log'!$N$4:$N$1510),NA()))</f>
        <v>1016.7841648959289</v>
      </c>
      <c r="N138">
        <f>IF($J138&gt;MAX('Match Log'!$A$4:$A$1510),NA(),IFERROR(LOOKUP(2,1/(('Match Log'!$D$4:$D$1510=$N$24)*('Match Log'!$A$4:$A$1510&lt;=$J138)),'Match Log'!$N$4:$N$1510),NA()))</f>
        <v>981.90186446660846</v>
      </c>
      <c r="O138">
        <f>IF($J138&gt;MAX('Match Log'!$A$4:$A$1510),NA(),IFERROR(LOOKUP(2,1/(('Match Log'!$D$4:$D$1510=$O$24)*('Match Log'!$A$4:$A$1510&lt;=$J138)),'Match Log'!$N$4:$N$1510),NA()))</f>
        <v>1115.1375937966061</v>
      </c>
      <c r="P138">
        <f>IF($J138&gt;MAX('Match Log'!$A$4:$A$1510),NA(),IFERROR(LOOKUP(2,1/(('Match Log'!$D$4:$D$1510=$P$24)*('Match Log'!$A$4:$A$1510&lt;=$J138)),'Match Log'!$N$4:$N$1510),NA()))</f>
        <v>1003.1935045034811</v>
      </c>
      <c r="Q138">
        <f>IF($J138&gt;MAX('Match Log'!$A$4:$A$1510),NA(),IFERROR(LOOKUP(2,1/(('Match Log'!$D$4:$D$1510=$Q$24)*('Match Log'!$A$4:$A$1510&lt;=$J138)),'Match Log'!$N$4:$N$1510),NA()))</f>
        <v>1085.4901250893295</v>
      </c>
      <c r="R138">
        <f>IF($J138&gt;MAX('Match Log'!$A$4:$A$1510),NA(),IFERROR(LOOKUP(2,1/(('Match Log'!$D$4:$D$1510=$R$24)*('Match Log'!$A$4:$A$1510&lt;=$J138)),'Match Log'!$N$4:$N$1510),NA()))</f>
        <v>1054.5833032053702</v>
      </c>
      <c r="S138">
        <f>IF($J138&gt;MAX('Match Log'!$A$4:$A$1510),NA(),IFERROR(LOOKUP(2,1/(('Match Log'!$D$4:$D$1510=$S$24)*('Match Log'!$A$4:$A$1510&lt;=$J138)),'Match Log'!$N$4:$N$1510),NA()))</f>
        <v>1168.3002777514087</v>
      </c>
      <c r="T138">
        <f>IF($J138&gt;MAX('Match Log'!$A$4:$A$1510),NA(),IFERROR(LOOKUP(2,1/(('Match Log'!$D$4:$D$1510=$T$24)*('Match Log'!$A$4:$A$1510&lt;=$J138)),'Match Log'!$N$4:$N$1510),NA()))</f>
        <v>893.15761519837804</v>
      </c>
      <c r="U138">
        <f>IF($J138&gt;MAX('Match Log'!$A$4:$A$1510),NA(),IFERROR(LOOKUP(2,1/(('Match Log'!$D$4:$D$1510=$U$24)*('Match Log'!$A$4:$A$1510&lt;=$J138)),'Match Log'!$N$4:$N$1510),NA()))</f>
        <v>1082.0688990464841</v>
      </c>
      <c r="V138">
        <f>IF($J138&gt;MAX('Match Log'!$A$4:$A$1510),NA(),IFERROR(LOOKUP(2,1/(('Match Log'!$D$4:$D$1510=$V$24)*('Match Log'!$A$4:$A$1510&lt;=$J138)),'Match Log'!$N$4:$N$1510),NA()))</f>
        <v>1031.1892257719715</v>
      </c>
      <c r="W138">
        <f>IF($J138&gt;MAX('Match Log'!$A$4:$A$1510),NA(),IFERROR(LOOKUP(2,1/(('Match Log'!$D$4:$D$1510=$W$24)*('Match Log'!$A$4:$A$1510&lt;=$J138)),'Match Log'!$N$4:$N$1510),NA()))</f>
        <v>1030.3895946906482</v>
      </c>
      <c r="X138" t="e">
        <f>IF($J138&gt;MAX('Match Log'!$A$4:$A$1510),NA(),IFERROR(LOOKUP(2,1/(('Match Log'!$D$4:$D$1510=$X$24)*('Match Log'!$A$4:$A$1510&lt;=$J138)),'Match Log'!$N$4:$N$1510),NA()))</f>
        <v>#N/A</v>
      </c>
      <c r="Y138" t="str">
        <f t="shared" ca="1" si="22"/>
        <v/>
      </c>
    </row>
    <row r="139" spans="1:25" ht="15" customHeight="1" x14ac:dyDescent="0.2">
      <c r="A139">
        <v>115</v>
      </c>
      <c r="B139" s="138">
        <f>IFERROR(INDEX('Match Log'!$B$4:$B$1510,MATCH($A139,'Match Log'!$A$4:$A$1510,0)),"")</f>
        <v>46207</v>
      </c>
      <c r="C139" t="str">
        <f>IFERROR(INDEX('Match Log'!$C$4:$C$1510,MATCH($A139,'Match Log'!$A$4:$A$1510,0)),"")</f>
        <v>Mario Kart</v>
      </c>
      <c r="D139" t="str">
        <f t="array" ref="D139">IFERROR(_xlfn.TEXTJOIN(" + ",TRUE(),IF(('Match Log'!$A$4:$A$1510=$A139)*('Match Log'!$E$4:$E$1510="Win"),'Match Log'!$D$4:$D$1510,"")),IFERROR(LOOKUP(2,1/(('Match Log'!$A$4:$A$1510=$A139)*('Match Log'!$E$4:$E$1510="Win")),'Match Log'!$D$4:$D$1510),""))</f>
        <v>Oscar</v>
      </c>
      <c r="E139" s="139">
        <f>IFERROR(INDEX('Match Log'!$F$4:$F$1510,MATCH($A139,'Match Log'!$A$4:$A$1510,0)),"")</f>
        <v>2</v>
      </c>
      <c r="F139">
        <f>IFERROR(SUMIFS('Match Log'!$I$4:$I$1510,'Match Log'!$A$4:$A$1510,$A139,'Match Log'!$E$4:$E$1510,"Win"),"")</f>
        <v>0.75</v>
      </c>
      <c r="G139">
        <f t="shared" si="20"/>
        <v>-0.5</v>
      </c>
      <c r="H139" t="str">
        <f t="array" ref="H139">IFERROR(IF(COUNTIFS('Match Log'!$A$4:$A$1510,$A139,'Match Log'!$E$4:$E$1510,"Win")&gt;1,_xlfn.TEXTJOIN(" + ",TRUE(),IF(('Match Log'!$A$4:$A$1510=$A139)*('Match Log'!$E$4:$E$1510="Loss"),'Match Log'!$D$4:$D$1510,"")),IF($E139=2,LOOKUP(2,1/(('Match Log'!$A$4:$A$1510=$A139)*('Match Log'!$E$4:$E$1510="Loss")),'Match Log'!$D$4:$D$1510),"the field")),"")</f>
        <v>Shawn</v>
      </c>
      <c r="I139">
        <f t="shared" si="21"/>
        <v>-0.50011499999999998</v>
      </c>
      <c r="J139">
        <v>115</v>
      </c>
      <c r="K139">
        <f>IF($J139&gt;MAX('Match Log'!$A$4:$A$1510),NA(),IFERROR(LOOKUP(2,1/(('Match Log'!$D$4:$D$1510=$K$24)*('Match Log'!$A$4:$A$1510&lt;=$J139)),'Match Log'!$N$4:$N$1510),NA()))</f>
        <v>1112.2862350502705</v>
      </c>
      <c r="L139">
        <f>IF($J139&gt;MAX('Match Log'!$A$4:$A$1510),NA(),IFERROR(LOOKUP(2,1/(('Match Log'!$D$4:$D$1510=$L$24)*('Match Log'!$A$4:$A$1510&lt;=$J139)),'Match Log'!$N$4:$N$1510),NA()))</f>
        <v>1029.5175965335138</v>
      </c>
      <c r="M139">
        <f>IF($J139&gt;MAX('Match Log'!$A$4:$A$1510),NA(),IFERROR(LOOKUP(2,1/(('Match Log'!$D$4:$D$1510=$M$24)*('Match Log'!$A$4:$A$1510&lt;=$J139)),'Match Log'!$N$4:$N$1510),NA()))</f>
        <v>1016.7841648959289</v>
      </c>
      <c r="N139">
        <f>IF($J139&gt;MAX('Match Log'!$A$4:$A$1510),NA(),IFERROR(LOOKUP(2,1/(('Match Log'!$D$4:$D$1510=$N$24)*('Match Log'!$A$4:$A$1510&lt;=$J139)),'Match Log'!$N$4:$N$1510),NA()))</f>
        <v>981.90186446660846</v>
      </c>
      <c r="O139">
        <f>IF($J139&gt;MAX('Match Log'!$A$4:$A$1510),NA(),IFERROR(LOOKUP(2,1/(('Match Log'!$D$4:$D$1510=$O$24)*('Match Log'!$A$4:$A$1510&lt;=$J139)),'Match Log'!$N$4:$N$1510),NA()))</f>
        <v>1115.1375937966061</v>
      </c>
      <c r="P139">
        <f>IF($J139&gt;MAX('Match Log'!$A$4:$A$1510),NA(),IFERROR(LOOKUP(2,1/(('Match Log'!$D$4:$D$1510=$P$24)*('Match Log'!$A$4:$A$1510&lt;=$J139)),'Match Log'!$N$4:$N$1510),NA()))</f>
        <v>987.45524116307047</v>
      </c>
      <c r="Q139">
        <f>IF($J139&gt;MAX('Match Log'!$A$4:$A$1510),NA(),IFERROR(LOOKUP(2,1/(('Match Log'!$D$4:$D$1510=$Q$24)*('Match Log'!$A$4:$A$1510&lt;=$J139)),'Match Log'!$N$4:$N$1510),NA()))</f>
        <v>1085.4901250893295</v>
      </c>
      <c r="R139">
        <f>IF($J139&gt;MAX('Match Log'!$A$4:$A$1510),NA(),IFERROR(LOOKUP(2,1/(('Match Log'!$D$4:$D$1510=$R$24)*('Match Log'!$A$4:$A$1510&lt;=$J139)),'Match Log'!$N$4:$N$1510),NA()))</f>
        <v>1054.5833032053702</v>
      </c>
      <c r="S139">
        <f>IF($J139&gt;MAX('Match Log'!$A$4:$A$1510),NA(),IFERROR(LOOKUP(2,1/(('Match Log'!$D$4:$D$1510=$S$24)*('Match Log'!$A$4:$A$1510&lt;=$J139)),'Match Log'!$N$4:$N$1510),NA()))</f>
        <v>1168.3002777514087</v>
      </c>
      <c r="T139">
        <f>IF($J139&gt;MAX('Match Log'!$A$4:$A$1510),NA(),IFERROR(LOOKUP(2,1/(('Match Log'!$D$4:$D$1510=$T$24)*('Match Log'!$A$4:$A$1510&lt;=$J139)),'Match Log'!$N$4:$N$1510),NA()))</f>
        <v>893.15761519837804</v>
      </c>
      <c r="U139">
        <f>IF($J139&gt;MAX('Match Log'!$A$4:$A$1510),NA(),IFERROR(LOOKUP(2,1/(('Match Log'!$D$4:$D$1510=$U$24)*('Match Log'!$A$4:$A$1510&lt;=$J139)),'Match Log'!$N$4:$N$1510),NA()))</f>
        <v>1097.8071623868948</v>
      </c>
      <c r="V139">
        <f>IF($J139&gt;MAX('Match Log'!$A$4:$A$1510),NA(),IFERROR(LOOKUP(2,1/(('Match Log'!$D$4:$D$1510=$V$24)*('Match Log'!$A$4:$A$1510&lt;=$J139)),'Match Log'!$N$4:$N$1510),NA()))</f>
        <v>1031.1892257719715</v>
      </c>
      <c r="W139">
        <f>IF($J139&gt;MAX('Match Log'!$A$4:$A$1510),NA(),IFERROR(LOOKUP(2,1/(('Match Log'!$D$4:$D$1510=$W$24)*('Match Log'!$A$4:$A$1510&lt;=$J139)),'Match Log'!$N$4:$N$1510),NA()))</f>
        <v>1030.3895946906482</v>
      </c>
      <c r="X139" t="e">
        <f>IF($J139&gt;MAX('Match Log'!$A$4:$A$1510),NA(),IFERROR(LOOKUP(2,1/(('Match Log'!$D$4:$D$1510=$X$24)*('Match Log'!$A$4:$A$1510&lt;=$J139)),'Match Log'!$N$4:$N$1510),NA()))</f>
        <v>#N/A</v>
      </c>
      <c r="Y139" t="str">
        <f t="shared" ca="1" si="22"/>
        <v/>
      </c>
    </row>
    <row r="140" spans="1:25" ht="15" customHeight="1" x14ac:dyDescent="0.2">
      <c r="A140">
        <v>116</v>
      </c>
      <c r="B140" s="138">
        <f>IFERROR(INDEX('Match Log'!$B$4:$B$1510,MATCH($A140,'Match Log'!$A$4:$A$1510,0)),"")</f>
        <v>46207</v>
      </c>
      <c r="C140" t="str">
        <f>IFERROR(INDEX('Match Log'!$C$4:$C$1510,MATCH($A140,'Match Log'!$A$4:$A$1510,0)),"")</f>
        <v>Mario Kart</v>
      </c>
      <c r="D140" t="str">
        <f t="array" ref="D140">IFERROR(_xlfn.TEXTJOIN(" + ",TRUE(),IF(('Match Log'!$A$4:$A$1510=$A140)*('Match Log'!$E$4:$E$1510="Win"),'Match Log'!$D$4:$D$1510,"")),IFERROR(LOOKUP(2,1/(('Match Log'!$A$4:$A$1510=$A140)*('Match Log'!$E$4:$E$1510="Win")),'Match Log'!$D$4:$D$1510),""))</f>
        <v>Oscar</v>
      </c>
      <c r="E140" s="139">
        <f>IFERROR(INDEX('Match Log'!$F$4:$F$1510,MATCH($A140,'Match Log'!$A$4:$A$1510,0)),"")</f>
        <v>2</v>
      </c>
      <c r="F140">
        <f>IFERROR(SUMIFS('Match Log'!$I$4:$I$1510,'Match Log'!$A$4:$A$1510,$A140,'Match Log'!$E$4:$E$1510,"Win"),"")</f>
        <v>0.8</v>
      </c>
      <c r="G140">
        <f t="shared" si="20"/>
        <v>-0.60000000000000009</v>
      </c>
      <c r="H140" t="str">
        <f t="array" ref="H140">IFERROR(IF(COUNTIFS('Match Log'!$A$4:$A$1510,$A140,'Match Log'!$E$4:$E$1510,"Win")&gt;1,_xlfn.TEXTJOIN(" + ",TRUE(),IF(('Match Log'!$A$4:$A$1510=$A140)*('Match Log'!$E$4:$E$1510="Loss"),'Match Log'!$D$4:$D$1510,"")),IF($E140=2,LOOKUP(2,1/(('Match Log'!$A$4:$A$1510=$A140)*('Match Log'!$E$4:$E$1510="Loss")),'Match Log'!$D$4:$D$1510),"the field")),"")</f>
        <v>Shawn</v>
      </c>
      <c r="I140">
        <f t="shared" si="21"/>
        <v>-0.60011600000000009</v>
      </c>
      <c r="J140">
        <v>116</v>
      </c>
      <c r="K140">
        <f>IF($J140&gt;MAX('Match Log'!$A$4:$A$1510),NA(),IFERROR(LOOKUP(2,1/(('Match Log'!$D$4:$D$1510=$K$24)*('Match Log'!$A$4:$A$1510&lt;=$J140)),'Match Log'!$N$4:$N$1510),NA()))</f>
        <v>1112.2862350502705</v>
      </c>
      <c r="L140">
        <f>IF($J140&gt;MAX('Match Log'!$A$4:$A$1510),NA(),IFERROR(LOOKUP(2,1/(('Match Log'!$D$4:$D$1510=$L$24)*('Match Log'!$A$4:$A$1510&lt;=$J140)),'Match Log'!$N$4:$N$1510),NA()))</f>
        <v>1029.5175965335138</v>
      </c>
      <c r="M140">
        <f>IF($J140&gt;MAX('Match Log'!$A$4:$A$1510),NA(),IFERROR(LOOKUP(2,1/(('Match Log'!$D$4:$D$1510=$M$24)*('Match Log'!$A$4:$A$1510&lt;=$J140)),'Match Log'!$N$4:$N$1510),NA()))</f>
        <v>1016.7841648959289</v>
      </c>
      <c r="N140">
        <f>IF($J140&gt;MAX('Match Log'!$A$4:$A$1510),NA(),IFERROR(LOOKUP(2,1/(('Match Log'!$D$4:$D$1510=$N$24)*('Match Log'!$A$4:$A$1510&lt;=$J140)),'Match Log'!$N$4:$N$1510),NA()))</f>
        <v>981.90186446660846</v>
      </c>
      <c r="O140">
        <f>IF($J140&gt;MAX('Match Log'!$A$4:$A$1510),NA(),IFERROR(LOOKUP(2,1/(('Match Log'!$D$4:$D$1510=$O$24)*('Match Log'!$A$4:$A$1510&lt;=$J140)),'Match Log'!$N$4:$N$1510),NA()))</f>
        <v>1115.1375937966061</v>
      </c>
      <c r="P140">
        <f>IF($J140&gt;MAX('Match Log'!$A$4:$A$1510),NA(),IFERROR(LOOKUP(2,1/(('Match Log'!$D$4:$D$1510=$P$24)*('Match Log'!$A$4:$A$1510&lt;=$J140)),'Match Log'!$N$4:$N$1510),NA()))</f>
        <v>973.52971810264432</v>
      </c>
      <c r="Q140">
        <f>IF($J140&gt;MAX('Match Log'!$A$4:$A$1510),NA(),IFERROR(LOOKUP(2,1/(('Match Log'!$D$4:$D$1510=$Q$24)*('Match Log'!$A$4:$A$1510&lt;=$J140)),'Match Log'!$N$4:$N$1510),NA()))</f>
        <v>1085.4901250893295</v>
      </c>
      <c r="R140">
        <f>IF($J140&gt;MAX('Match Log'!$A$4:$A$1510),NA(),IFERROR(LOOKUP(2,1/(('Match Log'!$D$4:$D$1510=$R$24)*('Match Log'!$A$4:$A$1510&lt;=$J140)),'Match Log'!$N$4:$N$1510),NA()))</f>
        <v>1054.5833032053702</v>
      </c>
      <c r="S140">
        <f>IF($J140&gt;MAX('Match Log'!$A$4:$A$1510),NA(),IFERROR(LOOKUP(2,1/(('Match Log'!$D$4:$D$1510=$S$24)*('Match Log'!$A$4:$A$1510&lt;=$J140)),'Match Log'!$N$4:$N$1510),NA()))</f>
        <v>1168.3002777514087</v>
      </c>
      <c r="T140">
        <f>IF($J140&gt;MAX('Match Log'!$A$4:$A$1510),NA(),IFERROR(LOOKUP(2,1/(('Match Log'!$D$4:$D$1510=$T$24)*('Match Log'!$A$4:$A$1510&lt;=$J140)),'Match Log'!$N$4:$N$1510),NA()))</f>
        <v>893.15761519837804</v>
      </c>
      <c r="U140">
        <f>IF($J140&gt;MAX('Match Log'!$A$4:$A$1510),NA(),IFERROR(LOOKUP(2,1/(('Match Log'!$D$4:$D$1510=$U$24)*('Match Log'!$A$4:$A$1510&lt;=$J140)),'Match Log'!$N$4:$N$1510),NA()))</f>
        <v>1111.7326854473208</v>
      </c>
      <c r="V140">
        <f>IF($J140&gt;MAX('Match Log'!$A$4:$A$1510),NA(),IFERROR(LOOKUP(2,1/(('Match Log'!$D$4:$D$1510=$V$24)*('Match Log'!$A$4:$A$1510&lt;=$J140)),'Match Log'!$N$4:$N$1510),NA()))</f>
        <v>1031.1892257719715</v>
      </c>
      <c r="W140">
        <f>IF($J140&gt;MAX('Match Log'!$A$4:$A$1510),NA(),IFERROR(LOOKUP(2,1/(('Match Log'!$D$4:$D$1510=$W$24)*('Match Log'!$A$4:$A$1510&lt;=$J140)),'Match Log'!$N$4:$N$1510),NA()))</f>
        <v>1030.3895946906482</v>
      </c>
      <c r="X140" t="e">
        <f>IF($J140&gt;MAX('Match Log'!$A$4:$A$1510),NA(),IFERROR(LOOKUP(2,1/(('Match Log'!$D$4:$D$1510=$X$24)*('Match Log'!$A$4:$A$1510&lt;=$J140)),'Match Log'!$N$4:$N$1510),NA()))</f>
        <v>#N/A</v>
      </c>
      <c r="Y140" t="str">
        <f t="shared" ca="1" si="22"/>
        <v/>
      </c>
    </row>
    <row r="141" spans="1:25" ht="15" customHeight="1" x14ac:dyDescent="0.2">
      <c r="A141">
        <v>117</v>
      </c>
      <c r="B141" s="138">
        <f>IFERROR(INDEX('Match Log'!$B$4:$B$1510,MATCH($A141,'Match Log'!$A$4:$A$1510,0)),"")</f>
        <v>46207</v>
      </c>
      <c r="C141" t="str">
        <f>IFERROR(INDEX('Match Log'!$C$4:$C$1510,MATCH($A141,'Match Log'!$A$4:$A$1510,0)),"")</f>
        <v>Mario Kart</v>
      </c>
      <c r="D141" t="str">
        <f t="array" ref="D141">IFERROR(_xlfn.TEXTJOIN(" + ",TRUE(),IF(('Match Log'!$A$4:$A$1510=$A141)*('Match Log'!$E$4:$E$1510="Win"),'Match Log'!$D$4:$D$1510,"")),IFERROR(LOOKUP(2,1/(('Match Log'!$A$4:$A$1510=$A141)*('Match Log'!$E$4:$E$1510="Win")),'Match Log'!$D$4:$D$1510),""))</f>
        <v>Oscar</v>
      </c>
      <c r="E141" s="139">
        <f>IFERROR(INDEX('Match Log'!$F$4:$F$1510,MATCH($A141,'Match Log'!$A$4:$A$1510,0)),"")</f>
        <v>2</v>
      </c>
      <c r="F141">
        <f>IFERROR(SUMIFS('Match Log'!$I$4:$I$1510,'Match Log'!$A$4:$A$1510,$A141,'Match Log'!$E$4:$E$1510,"Win"),"")</f>
        <v>0.83333333333333337</v>
      </c>
      <c r="G141">
        <f t="shared" si="20"/>
        <v>-0.66666666666666674</v>
      </c>
      <c r="H141" t="str">
        <f t="array" ref="H141">IFERROR(IF(COUNTIFS('Match Log'!$A$4:$A$1510,$A141,'Match Log'!$E$4:$E$1510,"Win")&gt;1,_xlfn.TEXTJOIN(" + ",TRUE(),IF(('Match Log'!$A$4:$A$1510=$A141)*('Match Log'!$E$4:$E$1510="Loss"),'Match Log'!$D$4:$D$1510,"")),IF($E141=2,LOOKUP(2,1/(('Match Log'!$A$4:$A$1510=$A141)*('Match Log'!$E$4:$E$1510="Loss")),'Match Log'!$D$4:$D$1510),"the field")),"")</f>
        <v>Shawn</v>
      </c>
      <c r="I141">
        <f t="shared" si="21"/>
        <v>-0.66678366666666677</v>
      </c>
      <c r="J141">
        <v>117</v>
      </c>
      <c r="K141">
        <f>IF($J141&gt;MAX('Match Log'!$A$4:$A$1510),NA(),IFERROR(LOOKUP(2,1/(('Match Log'!$D$4:$D$1510=$K$24)*('Match Log'!$A$4:$A$1510&lt;=$J141)),'Match Log'!$N$4:$N$1510),NA()))</f>
        <v>1112.2862350502705</v>
      </c>
      <c r="L141">
        <f>IF($J141&gt;MAX('Match Log'!$A$4:$A$1510),NA(),IFERROR(LOOKUP(2,1/(('Match Log'!$D$4:$D$1510=$L$24)*('Match Log'!$A$4:$A$1510&lt;=$J141)),'Match Log'!$N$4:$N$1510),NA()))</f>
        <v>1029.5175965335138</v>
      </c>
      <c r="M141">
        <f>IF($J141&gt;MAX('Match Log'!$A$4:$A$1510),NA(),IFERROR(LOOKUP(2,1/(('Match Log'!$D$4:$D$1510=$M$24)*('Match Log'!$A$4:$A$1510&lt;=$J141)),'Match Log'!$N$4:$N$1510),NA()))</f>
        <v>1016.7841648959289</v>
      </c>
      <c r="N141">
        <f>IF($J141&gt;MAX('Match Log'!$A$4:$A$1510),NA(),IFERROR(LOOKUP(2,1/(('Match Log'!$D$4:$D$1510=$N$24)*('Match Log'!$A$4:$A$1510&lt;=$J141)),'Match Log'!$N$4:$N$1510),NA()))</f>
        <v>981.90186446660846</v>
      </c>
      <c r="O141">
        <f>IF($J141&gt;MAX('Match Log'!$A$4:$A$1510),NA(),IFERROR(LOOKUP(2,1/(('Match Log'!$D$4:$D$1510=$O$24)*('Match Log'!$A$4:$A$1510&lt;=$J141)),'Match Log'!$N$4:$N$1510),NA()))</f>
        <v>1115.1375937966061</v>
      </c>
      <c r="P141">
        <f>IF($J141&gt;MAX('Match Log'!$A$4:$A$1510),NA(),IFERROR(LOOKUP(2,1/(('Match Log'!$D$4:$D$1510=$P$24)*('Match Log'!$A$4:$A$1510&lt;=$J141)),'Match Log'!$N$4:$N$1510),NA()))</f>
        <v>961.0333078274183</v>
      </c>
      <c r="Q141">
        <f>IF($J141&gt;MAX('Match Log'!$A$4:$A$1510),NA(),IFERROR(LOOKUP(2,1/(('Match Log'!$D$4:$D$1510=$Q$24)*('Match Log'!$A$4:$A$1510&lt;=$J141)),'Match Log'!$N$4:$N$1510),NA()))</f>
        <v>1085.4901250893295</v>
      </c>
      <c r="R141">
        <f>IF($J141&gt;MAX('Match Log'!$A$4:$A$1510),NA(),IFERROR(LOOKUP(2,1/(('Match Log'!$D$4:$D$1510=$R$24)*('Match Log'!$A$4:$A$1510&lt;=$J141)),'Match Log'!$N$4:$N$1510),NA()))</f>
        <v>1054.5833032053702</v>
      </c>
      <c r="S141">
        <f>IF($J141&gt;MAX('Match Log'!$A$4:$A$1510),NA(),IFERROR(LOOKUP(2,1/(('Match Log'!$D$4:$D$1510=$S$24)*('Match Log'!$A$4:$A$1510&lt;=$J141)),'Match Log'!$N$4:$N$1510),NA()))</f>
        <v>1168.3002777514087</v>
      </c>
      <c r="T141">
        <f>IF($J141&gt;MAX('Match Log'!$A$4:$A$1510),NA(),IFERROR(LOOKUP(2,1/(('Match Log'!$D$4:$D$1510=$T$24)*('Match Log'!$A$4:$A$1510&lt;=$J141)),'Match Log'!$N$4:$N$1510),NA()))</f>
        <v>893.15761519837804</v>
      </c>
      <c r="U141">
        <f>IF($J141&gt;MAX('Match Log'!$A$4:$A$1510),NA(),IFERROR(LOOKUP(2,1/(('Match Log'!$D$4:$D$1510=$U$24)*('Match Log'!$A$4:$A$1510&lt;=$J141)),'Match Log'!$N$4:$N$1510),NA()))</f>
        <v>1124.2290957225468</v>
      </c>
      <c r="V141">
        <f>IF($J141&gt;MAX('Match Log'!$A$4:$A$1510),NA(),IFERROR(LOOKUP(2,1/(('Match Log'!$D$4:$D$1510=$V$24)*('Match Log'!$A$4:$A$1510&lt;=$J141)),'Match Log'!$N$4:$N$1510),NA()))</f>
        <v>1031.1892257719715</v>
      </c>
      <c r="W141">
        <f>IF($J141&gt;MAX('Match Log'!$A$4:$A$1510),NA(),IFERROR(LOOKUP(2,1/(('Match Log'!$D$4:$D$1510=$W$24)*('Match Log'!$A$4:$A$1510&lt;=$J141)),'Match Log'!$N$4:$N$1510),NA()))</f>
        <v>1030.3895946906482</v>
      </c>
      <c r="X141" t="e">
        <f>IF($J141&gt;MAX('Match Log'!$A$4:$A$1510),NA(),IFERROR(LOOKUP(2,1/(('Match Log'!$D$4:$D$1510=$X$24)*('Match Log'!$A$4:$A$1510&lt;=$J141)),'Match Log'!$N$4:$N$1510),NA()))</f>
        <v>#N/A</v>
      </c>
      <c r="Y141" t="str">
        <f t="shared" ca="1" si="22"/>
        <v/>
      </c>
    </row>
    <row r="142" spans="1:25" ht="15" customHeight="1" x14ac:dyDescent="0.2">
      <c r="A142">
        <v>118</v>
      </c>
      <c r="B142" s="138">
        <f>IFERROR(INDEX('Match Log'!$B$4:$B$1510,MATCH($A142,'Match Log'!$A$4:$A$1510,0)),"")</f>
        <v>46207</v>
      </c>
      <c r="C142" t="str">
        <f>IFERROR(INDEX('Match Log'!$C$4:$C$1510,MATCH($A142,'Match Log'!$A$4:$A$1510,0)),"")</f>
        <v>Mario Party</v>
      </c>
      <c r="D142" t="str">
        <f t="array" ref="D142">IFERROR(_xlfn.TEXTJOIN(" + ",TRUE(),IF(('Match Log'!$A$4:$A$1510=$A142)*('Match Log'!$E$4:$E$1510="Win"),'Match Log'!$D$4:$D$1510,"")),IFERROR(LOOKUP(2,1/(('Match Log'!$A$4:$A$1510=$A142)*('Match Log'!$E$4:$E$1510="Win")),'Match Log'!$D$4:$D$1510),""))</f>
        <v>Oscar</v>
      </c>
      <c r="E142" s="139">
        <f>IFERROR(INDEX('Match Log'!$F$4:$F$1510,MATCH($A142,'Match Log'!$A$4:$A$1510,0)),"")</f>
        <v>2</v>
      </c>
      <c r="F142">
        <f>IFERROR(SUMIFS('Match Log'!$I$4:$I$1510,'Match Log'!$A$4:$A$1510,$A142,'Match Log'!$E$4:$E$1510,"Win"),"")</f>
        <v>0.4285714285714286</v>
      </c>
      <c r="G142">
        <f t="shared" si="20"/>
        <v>0.14285714285714279</v>
      </c>
      <c r="H142" t="str">
        <f t="array" ref="H142">IFERROR(IF(COUNTIFS('Match Log'!$A$4:$A$1510,$A142,'Match Log'!$E$4:$E$1510,"Win")&gt;1,_xlfn.TEXTJOIN(" + ",TRUE(),IF(('Match Log'!$A$4:$A$1510=$A142)*('Match Log'!$E$4:$E$1510="Loss"),'Match Log'!$D$4:$D$1510,"")),IF($E142=2,LOOKUP(2,1/(('Match Log'!$A$4:$A$1510=$A142)*('Match Log'!$E$4:$E$1510="Loss")),'Match Log'!$D$4:$D$1510),"the field")),"")</f>
        <v>Shawn</v>
      </c>
      <c r="I142">
        <f t="shared" si="21"/>
        <v>0.14273914285714279</v>
      </c>
      <c r="J142">
        <v>118</v>
      </c>
      <c r="K142">
        <f>IF($J142&gt;MAX('Match Log'!$A$4:$A$1510),NA(),IFERROR(LOOKUP(2,1/(('Match Log'!$D$4:$D$1510=$K$24)*('Match Log'!$A$4:$A$1510&lt;=$J142)),'Match Log'!$N$4:$N$1510),NA()))</f>
        <v>1112.2862350502705</v>
      </c>
      <c r="L142">
        <f>IF($J142&gt;MAX('Match Log'!$A$4:$A$1510),NA(),IFERROR(LOOKUP(2,1/(('Match Log'!$D$4:$D$1510=$L$24)*('Match Log'!$A$4:$A$1510&lt;=$J142)),'Match Log'!$N$4:$N$1510),NA()))</f>
        <v>1029.5175965335138</v>
      </c>
      <c r="M142">
        <f>IF($J142&gt;MAX('Match Log'!$A$4:$A$1510),NA(),IFERROR(LOOKUP(2,1/(('Match Log'!$D$4:$D$1510=$M$24)*('Match Log'!$A$4:$A$1510&lt;=$J142)),'Match Log'!$N$4:$N$1510),NA()))</f>
        <v>1016.7841648959289</v>
      </c>
      <c r="N142">
        <f>IF($J142&gt;MAX('Match Log'!$A$4:$A$1510),NA(),IFERROR(LOOKUP(2,1/(('Match Log'!$D$4:$D$1510=$N$24)*('Match Log'!$A$4:$A$1510&lt;=$J142)),'Match Log'!$N$4:$N$1510),NA()))</f>
        <v>981.90186446660846</v>
      </c>
      <c r="O142">
        <f>IF($J142&gt;MAX('Match Log'!$A$4:$A$1510),NA(),IFERROR(LOOKUP(2,1/(('Match Log'!$D$4:$D$1510=$O$24)*('Match Log'!$A$4:$A$1510&lt;=$J142)),'Match Log'!$N$4:$N$1510),NA()))</f>
        <v>1115.1375937966061</v>
      </c>
      <c r="P142">
        <f>IF($J142&gt;MAX('Match Log'!$A$4:$A$1510),NA(),IFERROR(LOOKUP(2,1/(('Match Log'!$D$4:$D$1510=$P$24)*('Match Log'!$A$4:$A$1510&lt;=$J142)),'Match Log'!$N$4:$N$1510),NA()))</f>
        <v>943.1992684640943</v>
      </c>
      <c r="Q142">
        <f>IF($J142&gt;MAX('Match Log'!$A$4:$A$1510),NA(),IFERROR(LOOKUP(2,1/(('Match Log'!$D$4:$D$1510=$Q$24)*('Match Log'!$A$4:$A$1510&lt;=$J142)),'Match Log'!$N$4:$N$1510),NA()))</f>
        <v>1085.4901250893295</v>
      </c>
      <c r="R142">
        <f>IF($J142&gt;MAX('Match Log'!$A$4:$A$1510),NA(),IFERROR(LOOKUP(2,1/(('Match Log'!$D$4:$D$1510=$R$24)*('Match Log'!$A$4:$A$1510&lt;=$J142)),'Match Log'!$N$4:$N$1510),NA()))</f>
        <v>1054.5833032053702</v>
      </c>
      <c r="S142">
        <f>IF($J142&gt;MAX('Match Log'!$A$4:$A$1510),NA(),IFERROR(LOOKUP(2,1/(('Match Log'!$D$4:$D$1510=$S$24)*('Match Log'!$A$4:$A$1510&lt;=$J142)),'Match Log'!$N$4:$N$1510),NA()))</f>
        <v>1168.3002777514087</v>
      </c>
      <c r="T142">
        <f>IF($J142&gt;MAX('Match Log'!$A$4:$A$1510),NA(),IFERROR(LOOKUP(2,1/(('Match Log'!$D$4:$D$1510=$T$24)*('Match Log'!$A$4:$A$1510&lt;=$J142)),'Match Log'!$N$4:$N$1510),NA()))</f>
        <v>893.15761519837804</v>
      </c>
      <c r="U142">
        <f>IF($J142&gt;MAX('Match Log'!$A$4:$A$1510),NA(),IFERROR(LOOKUP(2,1/(('Match Log'!$D$4:$D$1510=$U$24)*('Match Log'!$A$4:$A$1510&lt;=$J142)),'Match Log'!$N$4:$N$1510),NA()))</f>
        <v>1142.063135085871</v>
      </c>
      <c r="V142">
        <f>IF($J142&gt;MAX('Match Log'!$A$4:$A$1510),NA(),IFERROR(LOOKUP(2,1/(('Match Log'!$D$4:$D$1510=$V$24)*('Match Log'!$A$4:$A$1510&lt;=$J142)),'Match Log'!$N$4:$N$1510),NA()))</f>
        <v>1031.1892257719715</v>
      </c>
      <c r="W142">
        <f>IF($J142&gt;MAX('Match Log'!$A$4:$A$1510),NA(),IFERROR(LOOKUP(2,1/(('Match Log'!$D$4:$D$1510=$W$24)*('Match Log'!$A$4:$A$1510&lt;=$J142)),'Match Log'!$N$4:$N$1510),NA()))</f>
        <v>1030.3895946906482</v>
      </c>
      <c r="X142" t="e">
        <f>IF($J142&gt;MAX('Match Log'!$A$4:$A$1510),NA(),IFERROR(LOOKUP(2,1/(('Match Log'!$D$4:$D$1510=$X$24)*('Match Log'!$A$4:$A$1510&lt;=$J142)),'Match Log'!$N$4:$N$1510),NA()))</f>
        <v>#N/A</v>
      </c>
      <c r="Y142" t="str">
        <f t="shared" ca="1" si="22"/>
        <v/>
      </c>
    </row>
    <row r="143" spans="1:25" ht="15" customHeight="1" x14ac:dyDescent="0.2">
      <c r="A143">
        <v>119</v>
      </c>
      <c r="B143" s="138">
        <f>IFERROR(INDEX('Match Log'!$B$4:$B$1510,MATCH($A143,'Match Log'!$A$4:$A$1510,0)),"")</f>
        <v>46208</v>
      </c>
      <c r="C143" t="str">
        <f>IFERROR(INDEX('Match Log'!$C$4:$C$1510,MATCH($A143,'Match Log'!$A$4:$A$1510,0)),"")</f>
        <v>Table Tennis</v>
      </c>
      <c r="D143" t="str">
        <f t="array" ref="D143">IFERROR(_xlfn.TEXTJOIN(" + ",TRUE(),IF(('Match Log'!$A$4:$A$1510=$A143)*('Match Log'!$E$4:$E$1510="Win"),'Match Log'!$D$4:$D$1510,"")),IFERROR(LOOKUP(2,1/(('Match Log'!$A$4:$A$1510=$A143)*('Match Log'!$E$4:$E$1510="Win")),'Match Log'!$D$4:$D$1510),""))</f>
        <v>Shawn</v>
      </c>
      <c r="E143" s="139">
        <f>IFERROR(INDEX('Match Log'!$F$4:$F$1510,MATCH($A143,'Match Log'!$A$4:$A$1510,0)),"")</f>
        <v>2</v>
      </c>
      <c r="F143">
        <f>IFERROR(SUMIFS('Match Log'!$I$4:$I$1510,'Match Log'!$A$4:$A$1510,$A143,'Match Log'!$E$4:$E$1510,"Win"),"")</f>
        <v>0.59770114942528729</v>
      </c>
      <c r="G143">
        <f t="shared" si="20"/>
        <v>-0.19540229885057459</v>
      </c>
      <c r="H143" t="str">
        <f t="array" ref="H143">IFERROR(IF(COUNTIFS('Match Log'!$A$4:$A$1510,$A143,'Match Log'!$E$4:$E$1510,"Win")&gt;1,_xlfn.TEXTJOIN(" + ",TRUE(),IF(('Match Log'!$A$4:$A$1510=$A143)*('Match Log'!$E$4:$E$1510="Loss"),'Match Log'!$D$4:$D$1510,"")),IF($E143=2,LOOKUP(2,1/(('Match Log'!$A$4:$A$1510=$A143)*('Match Log'!$E$4:$E$1510="Loss")),'Match Log'!$D$4:$D$1510),"the field")),"")</f>
        <v>Oscar</v>
      </c>
      <c r="I143">
        <f t="shared" si="21"/>
        <v>-0.19552129885057459</v>
      </c>
      <c r="J143">
        <v>119</v>
      </c>
      <c r="K143">
        <f>IF($J143&gt;MAX('Match Log'!$A$4:$A$1510),NA(),IFERROR(LOOKUP(2,1/(('Match Log'!$D$4:$D$1510=$K$24)*('Match Log'!$A$4:$A$1510&lt;=$J143)),'Match Log'!$N$4:$N$1510),NA()))</f>
        <v>1112.2862350502705</v>
      </c>
      <c r="L143">
        <f>IF($J143&gt;MAX('Match Log'!$A$4:$A$1510),NA(),IFERROR(LOOKUP(2,1/(('Match Log'!$D$4:$D$1510=$L$24)*('Match Log'!$A$4:$A$1510&lt;=$J143)),'Match Log'!$N$4:$N$1510),NA()))</f>
        <v>1029.5175965335138</v>
      </c>
      <c r="M143">
        <f>IF($J143&gt;MAX('Match Log'!$A$4:$A$1510),NA(),IFERROR(LOOKUP(2,1/(('Match Log'!$D$4:$D$1510=$M$24)*('Match Log'!$A$4:$A$1510&lt;=$J143)),'Match Log'!$N$4:$N$1510),NA()))</f>
        <v>1016.7841648959289</v>
      </c>
      <c r="N143">
        <f>IF($J143&gt;MAX('Match Log'!$A$4:$A$1510),NA(),IFERROR(LOOKUP(2,1/(('Match Log'!$D$4:$D$1510=$N$24)*('Match Log'!$A$4:$A$1510&lt;=$J143)),'Match Log'!$N$4:$N$1510),NA()))</f>
        <v>981.90186446660846</v>
      </c>
      <c r="O143">
        <f>IF($J143&gt;MAX('Match Log'!$A$4:$A$1510),NA(),IFERROR(LOOKUP(2,1/(('Match Log'!$D$4:$D$1510=$O$24)*('Match Log'!$A$4:$A$1510&lt;=$J143)),'Match Log'!$N$4:$N$1510),NA()))</f>
        <v>1115.1375937966061</v>
      </c>
      <c r="P143">
        <f>IF($J143&gt;MAX('Match Log'!$A$4:$A$1510),NA(),IFERROR(LOOKUP(2,1/(('Match Log'!$D$4:$D$1510=$P$24)*('Match Log'!$A$4:$A$1510&lt;=$J143)),'Match Log'!$N$4:$N$1510),NA()))</f>
        <v>967.93440499856433</v>
      </c>
      <c r="Q143">
        <f>IF($J143&gt;MAX('Match Log'!$A$4:$A$1510),NA(),IFERROR(LOOKUP(2,1/(('Match Log'!$D$4:$D$1510=$Q$24)*('Match Log'!$A$4:$A$1510&lt;=$J143)),'Match Log'!$N$4:$N$1510),NA()))</f>
        <v>1085.4901250893295</v>
      </c>
      <c r="R143">
        <f>IF($J143&gt;MAX('Match Log'!$A$4:$A$1510),NA(),IFERROR(LOOKUP(2,1/(('Match Log'!$D$4:$D$1510=$R$24)*('Match Log'!$A$4:$A$1510&lt;=$J143)),'Match Log'!$N$4:$N$1510),NA()))</f>
        <v>1054.5833032053702</v>
      </c>
      <c r="S143">
        <f>IF($J143&gt;MAX('Match Log'!$A$4:$A$1510),NA(),IFERROR(LOOKUP(2,1/(('Match Log'!$D$4:$D$1510=$S$24)*('Match Log'!$A$4:$A$1510&lt;=$J143)),'Match Log'!$N$4:$N$1510),NA()))</f>
        <v>1168.3002777514087</v>
      </c>
      <c r="T143">
        <f>IF($J143&gt;MAX('Match Log'!$A$4:$A$1510),NA(),IFERROR(LOOKUP(2,1/(('Match Log'!$D$4:$D$1510=$T$24)*('Match Log'!$A$4:$A$1510&lt;=$J143)),'Match Log'!$N$4:$N$1510),NA()))</f>
        <v>893.15761519837804</v>
      </c>
      <c r="U143">
        <f>IF($J143&gt;MAX('Match Log'!$A$4:$A$1510),NA(),IFERROR(LOOKUP(2,1/(('Match Log'!$D$4:$D$1510=$U$24)*('Match Log'!$A$4:$A$1510&lt;=$J143)),'Match Log'!$N$4:$N$1510),NA()))</f>
        <v>1117.3279985514009</v>
      </c>
      <c r="V143">
        <f>IF($J143&gt;MAX('Match Log'!$A$4:$A$1510),NA(),IFERROR(LOOKUP(2,1/(('Match Log'!$D$4:$D$1510=$V$24)*('Match Log'!$A$4:$A$1510&lt;=$J143)),'Match Log'!$N$4:$N$1510),NA()))</f>
        <v>1031.1892257719715</v>
      </c>
      <c r="W143">
        <f>IF($J143&gt;MAX('Match Log'!$A$4:$A$1510),NA(),IFERROR(LOOKUP(2,1/(('Match Log'!$D$4:$D$1510=$W$24)*('Match Log'!$A$4:$A$1510&lt;=$J143)),'Match Log'!$N$4:$N$1510),NA()))</f>
        <v>1030.3895946906482</v>
      </c>
      <c r="X143" t="e">
        <f>IF($J143&gt;MAX('Match Log'!$A$4:$A$1510),NA(),IFERROR(LOOKUP(2,1/(('Match Log'!$D$4:$D$1510=$X$24)*('Match Log'!$A$4:$A$1510&lt;=$J143)),'Match Log'!$N$4:$N$1510),NA()))</f>
        <v>#N/A</v>
      </c>
      <c r="Y143" t="str">
        <f t="shared" ca="1" si="22"/>
        <v/>
      </c>
    </row>
    <row r="144" spans="1:25" ht="15" customHeight="1" x14ac:dyDescent="0.2">
      <c r="A144">
        <v>120</v>
      </c>
      <c r="B144" s="138">
        <f>IFERROR(INDEX('Match Log'!$B$4:$B$1510,MATCH($A144,'Match Log'!$A$4:$A$1510,0)),"")</f>
        <v>46208</v>
      </c>
      <c r="C144" t="str">
        <f>IFERROR(INDEX('Match Log'!$C$4:$C$1510,MATCH($A144,'Match Log'!$A$4:$A$1510,0)),"")</f>
        <v>Table Tennis</v>
      </c>
      <c r="D144" t="str">
        <f t="array" ref="D144">IFERROR(_xlfn.TEXTJOIN(" + ",TRUE(),IF(('Match Log'!$A$4:$A$1510=$A144)*('Match Log'!$E$4:$E$1510="Win"),'Match Log'!$D$4:$D$1510,"")),IFERROR(LOOKUP(2,1/(('Match Log'!$A$4:$A$1510=$A144)*('Match Log'!$E$4:$E$1510="Win")),'Match Log'!$D$4:$D$1510),""))</f>
        <v>Shawn</v>
      </c>
      <c r="E144" s="139">
        <f>IFERROR(INDEX('Match Log'!$F$4:$F$1510,MATCH($A144,'Match Log'!$A$4:$A$1510,0)),"")</f>
        <v>2</v>
      </c>
      <c r="F144">
        <f>IFERROR(SUMIFS('Match Log'!$I$4:$I$1510,'Match Log'!$A$4:$A$1510,$A144,'Match Log'!$E$4:$E$1510,"Win"),"")</f>
        <v>0.625</v>
      </c>
      <c r="G144">
        <f t="shared" si="20"/>
        <v>-0.25</v>
      </c>
      <c r="H144" t="str">
        <f t="array" ref="H144">IFERROR(IF(COUNTIFS('Match Log'!$A$4:$A$1510,$A144,'Match Log'!$E$4:$E$1510,"Win")&gt;1,_xlfn.TEXTJOIN(" + ",TRUE(),IF(('Match Log'!$A$4:$A$1510=$A144)*('Match Log'!$E$4:$E$1510="Loss"),'Match Log'!$D$4:$D$1510,"")),IF($E144=2,LOOKUP(2,1/(('Match Log'!$A$4:$A$1510=$A144)*('Match Log'!$E$4:$E$1510="Loss")),'Match Log'!$D$4:$D$1510),"the field")),"")</f>
        <v>Oscar</v>
      </c>
      <c r="I144">
        <f t="shared" si="21"/>
        <v>-0.25012000000000001</v>
      </c>
      <c r="J144">
        <v>120</v>
      </c>
      <c r="K144">
        <f>IF($J144&gt;MAX('Match Log'!$A$4:$A$1510),NA(),IFERROR(LOOKUP(2,1/(('Match Log'!$D$4:$D$1510=$K$24)*('Match Log'!$A$4:$A$1510&lt;=$J144)),'Match Log'!$N$4:$N$1510),NA()))</f>
        <v>1112.2862350502705</v>
      </c>
      <c r="L144">
        <f>IF($J144&gt;MAX('Match Log'!$A$4:$A$1510),NA(),IFERROR(LOOKUP(2,1/(('Match Log'!$D$4:$D$1510=$L$24)*('Match Log'!$A$4:$A$1510&lt;=$J144)),'Match Log'!$N$4:$N$1510),NA()))</f>
        <v>1029.5175965335138</v>
      </c>
      <c r="M144">
        <f>IF($J144&gt;MAX('Match Log'!$A$4:$A$1510),NA(),IFERROR(LOOKUP(2,1/(('Match Log'!$D$4:$D$1510=$M$24)*('Match Log'!$A$4:$A$1510&lt;=$J144)),'Match Log'!$N$4:$N$1510),NA()))</f>
        <v>1016.7841648959289</v>
      </c>
      <c r="N144">
        <f>IF($J144&gt;MAX('Match Log'!$A$4:$A$1510),NA(),IFERROR(LOOKUP(2,1/(('Match Log'!$D$4:$D$1510=$N$24)*('Match Log'!$A$4:$A$1510&lt;=$J144)),'Match Log'!$N$4:$N$1510),NA()))</f>
        <v>981.90186446660846</v>
      </c>
      <c r="O144">
        <f>IF($J144&gt;MAX('Match Log'!$A$4:$A$1510),NA(),IFERROR(LOOKUP(2,1/(('Match Log'!$D$4:$D$1510=$O$24)*('Match Log'!$A$4:$A$1510&lt;=$J144)),'Match Log'!$N$4:$N$1510),NA()))</f>
        <v>1115.1375937966061</v>
      </c>
      <c r="P144">
        <f>IF($J144&gt;MAX('Match Log'!$A$4:$A$1510),NA(),IFERROR(LOOKUP(2,1/(('Match Log'!$D$4:$D$1510=$P$24)*('Match Log'!$A$4:$A$1510&lt;=$J144)),'Match Log'!$N$4:$N$1510),NA()))</f>
        <v>990.21108718185008</v>
      </c>
      <c r="Q144">
        <f>IF($J144&gt;MAX('Match Log'!$A$4:$A$1510),NA(),IFERROR(LOOKUP(2,1/(('Match Log'!$D$4:$D$1510=$Q$24)*('Match Log'!$A$4:$A$1510&lt;=$J144)),'Match Log'!$N$4:$N$1510),NA()))</f>
        <v>1085.4901250893295</v>
      </c>
      <c r="R144">
        <f>IF($J144&gt;MAX('Match Log'!$A$4:$A$1510),NA(),IFERROR(LOOKUP(2,1/(('Match Log'!$D$4:$D$1510=$R$24)*('Match Log'!$A$4:$A$1510&lt;=$J144)),'Match Log'!$N$4:$N$1510),NA()))</f>
        <v>1054.5833032053702</v>
      </c>
      <c r="S144">
        <f>IF($J144&gt;MAX('Match Log'!$A$4:$A$1510),NA(),IFERROR(LOOKUP(2,1/(('Match Log'!$D$4:$D$1510=$S$24)*('Match Log'!$A$4:$A$1510&lt;=$J144)),'Match Log'!$N$4:$N$1510),NA()))</f>
        <v>1168.3002777514087</v>
      </c>
      <c r="T144">
        <f>IF($J144&gt;MAX('Match Log'!$A$4:$A$1510),NA(),IFERROR(LOOKUP(2,1/(('Match Log'!$D$4:$D$1510=$T$24)*('Match Log'!$A$4:$A$1510&lt;=$J144)),'Match Log'!$N$4:$N$1510),NA()))</f>
        <v>893.15761519837804</v>
      </c>
      <c r="U144">
        <f>IF($J144&gt;MAX('Match Log'!$A$4:$A$1510),NA(),IFERROR(LOOKUP(2,1/(('Match Log'!$D$4:$D$1510=$U$24)*('Match Log'!$A$4:$A$1510&lt;=$J144)),'Match Log'!$N$4:$N$1510),NA()))</f>
        <v>1095.0513163681151</v>
      </c>
      <c r="V144">
        <f>IF($J144&gt;MAX('Match Log'!$A$4:$A$1510),NA(),IFERROR(LOOKUP(2,1/(('Match Log'!$D$4:$D$1510=$V$24)*('Match Log'!$A$4:$A$1510&lt;=$J144)),'Match Log'!$N$4:$N$1510),NA()))</f>
        <v>1031.1892257719715</v>
      </c>
      <c r="W144">
        <f>IF($J144&gt;MAX('Match Log'!$A$4:$A$1510),NA(),IFERROR(LOOKUP(2,1/(('Match Log'!$D$4:$D$1510=$W$24)*('Match Log'!$A$4:$A$1510&lt;=$J144)),'Match Log'!$N$4:$N$1510),NA()))</f>
        <v>1030.3895946906482</v>
      </c>
      <c r="X144" t="e">
        <f>IF($J144&gt;MAX('Match Log'!$A$4:$A$1510),NA(),IFERROR(LOOKUP(2,1/(('Match Log'!$D$4:$D$1510=$X$24)*('Match Log'!$A$4:$A$1510&lt;=$J144)),'Match Log'!$N$4:$N$1510),NA()))</f>
        <v>#N/A</v>
      </c>
      <c r="Y144" t="str">
        <f t="shared" ca="1" si="22"/>
        <v/>
      </c>
    </row>
    <row r="145" spans="1:25" x14ac:dyDescent="0.2">
      <c r="A145">
        <v>121</v>
      </c>
      <c r="B145" s="138">
        <f>IFERROR(INDEX('Match Log'!$B$4:$B$1510,MATCH($A145,'Match Log'!$A$4:$A$1510,0)),"")</f>
        <v>46208</v>
      </c>
      <c r="C145" t="str">
        <f>IFERROR(INDEX('Match Log'!$C$4:$C$1510,MATCH($A145,'Match Log'!$A$4:$A$1510,0)),"")</f>
        <v>Mario Party</v>
      </c>
      <c r="D145" t="str">
        <f t="array" ref="D145">IFERROR(_xlfn.TEXTJOIN(" + ",TRUE(),IF(('Match Log'!$A$4:$A$1510=$A145)*('Match Log'!$E$4:$E$1510="Win"),'Match Log'!$D$4:$D$1510,"")),IFERROR(LOOKUP(2,1/(('Match Log'!$A$4:$A$1510=$A145)*('Match Log'!$E$4:$E$1510="Win")),'Match Log'!$D$4:$D$1510),""))</f>
        <v>Daniel (Ferret)</v>
      </c>
      <c r="E145" s="139">
        <f>IFERROR(INDEX('Match Log'!$F$4:$F$1510,MATCH($A145,'Match Log'!$A$4:$A$1510,0)),"")</f>
        <v>2</v>
      </c>
      <c r="F145">
        <f>IFERROR(SUMIFS('Match Log'!$I$4:$I$1510,'Match Log'!$A$4:$A$1510,$A145,'Match Log'!$E$4:$E$1510,"Win"),"")</f>
        <v>0.73684210526315785</v>
      </c>
      <c r="G145">
        <f t="shared" si="20"/>
        <v>-0.47368421052631571</v>
      </c>
      <c r="H145" t="str">
        <f t="array" ref="H145">IFERROR(IF(COUNTIFS('Match Log'!$A$4:$A$1510,$A145,'Match Log'!$E$4:$E$1510,"Win")&gt;1,_xlfn.TEXTJOIN(" + ",TRUE(),IF(('Match Log'!$A$4:$A$1510=$A145)*('Match Log'!$E$4:$E$1510="Loss"),'Match Log'!$D$4:$D$1510,"")),IF($E145=2,LOOKUP(2,1/(('Match Log'!$A$4:$A$1510=$A145)*('Match Log'!$E$4:$E$1510="Loss")),'Match Log'!$D$4:$D$1510),"the field")),"")</f>
        <v>Shawn</v>
      </c>
      <c r="I145">
        <f t="shared" si="21"/>
        <v>-0.47380521052631569</v>
      </c>
      <c r="J145">
        <v>121</v>
      </c>
      <c r="K145">
        <f>IF($J145&gt;MAX('Match Log'!$A$4:$A$1510),NA(),IFERROR(LOOKUP(2,1/(('Match Log'!$D$4:$D$1510=$K$24)*('Match Log'!$A$4:$A$1510&lt;=$J145)),'Match Log'!$N$4:$N$1510),NA()))</f>
        <v>1112.2862350502705</v>
      </c>
      <c r="L145">
        <f>IF($J145&gt;MAX('Match Log'!$A$4:$A$1510),NA(),IFERROR(LOOKUP(2,1/(('Match Log'!$D$4:$D$1510=$L$24)*('Match Log'!$A$4:$A$1510&lt;=$J145)),'Match Log'!$N$4:$N$1510),NA()))</f>
        <v>1029.5175965335138</v>
      </c>
      <c r="M145">
        <f>IF($J145&gt;MAX('Match Log'!$A$4:$A$1510),NA(),IFERROR(LOOKUP(2,1/(('Match Log'!$D$4:$D$1510=$M$24)*('Match Log'!$A$4:$A$1510&lt;=$J145)),'Match Log'!$N$4:$N$1510),NA()))</f>
        <v>1016.7841648959289</v>
      </c>
      <c r="N145">
        <f>IF($J145&gt;MAX('Match Log'!$A$4:$A$1510),NA(),IFERROR(LOOKUP(2,1/(('Match Log'!$D$4:$D$1510=$N$24)*('Match Log'!$A$4:$A$1510&lt;=$J145)),'Match Log'!$N$4:$N$1510),NA()))</f>
        <v>981.90186446660846</v>
      </c>
      <c r="O145">
        <f>IF($J145&gt;MAX('Match Log'!$A$4:$A$1510),NA(),IFERROR(LOOKUP(2,1/(('Match Log'!$D$4:$D$1510=$O$24)*('Match Log'!$A$4:$A$1510&lt;=$J145)),'Match Log'!$N$4:$N$1510),NA()))</f>
        <v>1115.1375937966061</v>
      </c>
      <c r="P145">
        <f>IF($J145&gt;MAX('Match Log'!$A$4:$A$1510),NA(),IFERROR(LOOKUP(2,1/(('Match Log'!$D$4:$D$1510=$P$24)*('Match Log'!$A$4:$A$1510&lt;=$J145)),'Match Log'!$N$4:$N$1510),NA()))</f>
        <v>974.31530144337819</v>
      </c>
      <c r="Q145">
        <f>IF($J145&gt;MAX('Match Log'!$A$4:$A$1510),NA(),IFERROR(LOOKUP(2,1/(('Match Log'!$D$4:$D$1510=$Q$24)*('Match Log'!$A$4:$A$1510&lt;=$J145)),'Match Log'!$N$4:$N$1510),NA()))</f>
        <v>1085.4901250893295</v>
      </c>
      <c r="R145">
        <f>IF($J145&gt;MAX('Match Log'!$A$4:$A$1510),NA(),IFERROR(LOOKUP(2,1/(('Match Log'!$D$4:$D$1510=$R$24)*('Match Log'!$A$4:$A$1510&lt;=$J145)),'Match Log'!$N$4:$N$1510),NA()))</f>
        <v>1070.479088943842</v>
      </c>
      <c r="S145">
        <f>IF($J145&gt;MAX('Match Log'!$A$4:$A$1510),NA(),IFERROR(LOOKUP(2,1/(('Match Log'!$D$4:$D$1510=$S$24)*('Match Log'!$A$4:$A$1510&lt;=$J145)),'Match Log'!$N$4:$N$1510),NA()))</f>
        <v>1168.3002777514087</v>
      </c>
      <c r="T145">
        <f>IF($J145&gt;MAX('Match Log'!$A$4:$A$1510),NA(),IFERROR(LOOKUP(2,1/(('Match Log'!$D$4:$D$1510=$T$24)*('Match Log'!$A$4:$A$1510&lt;=$J145)),'Match Log'!$N$4:$N$1510),NA()))</f>
        <v>893.15761519837804</v>
      </c>
      <c r="U145">
        <f>IF($J145&gt;MAX('Match Log'!$A$4:$A$1510),NA(),IFERROR(LOOKUP(2,1/(('Match Log'!$D$4:$D$1510=$U$24)*('Match Log'!$A$4:$A$1510&lt;=$J145)),'Match Log'!$N$4:$N$1510),NA()))</f>
        <v>1095.0513163681151</v>
      </c>
      <c r="V145">
        <f>IF($J145&gt;MAX('Match Log'!$A$4:$A$1510),NA(),IFERROR(LOOKUP(2,1/(('Match Log'!$D$4:$D$1510=$V$24)*('Match Log'!$A$4:$A$1510&lt;=$J145)),'Match Log'!$N$4:$N$1510),NA()))</f>
        <v>1031.1892257719715</v>
      </c>
      <c r="W145">
        <f>IF($J145&gt;MAX('Match Log'!$A$4:$A$1510),NA(),IFERROR(LOOKUP(2,1/(('Match Log'!$D$4:$D$1510=$W$24)*('Match Log'!$A$4:$A$1510&lt;=$J145)),'Match Log'!$N$4:$N$1510),NA()))</f>
        <v>1030.3895946906482</v>
      </c>
      <c r="X145" t="e">
        <f>IF($J145&gt;MAX('Match Log'!$A$4:$A$1510),NA(),IFERROR(LOOKUP(2,1/(('Match Log'!$D$4:$D$1510=$X$24)*('Match Log'!$A$4:$A$1510&lt;=$J145)),'Match Log'!$N$4:$N$1510),NA()))</f>
        <v>#N/A</v>
      </c>
      <c r="Y145" t="str">
        <f t="shared" ca="1" si="22"/>
        <v/>
      </c>
    </row>
    <row r="146" spans="1:25" x14ac:dyDescent="0.2">
      <c r="A146">
        <v>122</v>
      </c>
      <c r="B146" s="138">
        <f>IFERROR(INDEX('Match Log'!$B$4:$B$1510,MATCH($A146,'Match Log'!$A$4:$A$1510,0)),"")</f>
        <v>46208</v>
      </c>
      <c r="C146" t="str">
        <f>IFERROR(INDEX('Match Log'!$C$4:$C$1510,MATCH($A146,'Match Log'!$A$4:$A$1510,0)),"")</f>
        <v>Mario Party</v>
      </c>
      <c r="D146" t="str">
        <f t="array" ref="D146">IFERROR(_xlfn.TEXTJOIN(" + ",TRUE(),IF(('Match Log'!$A$4:$A$1510=$A146)*('Match Log'!$E$4:$E$1510="Win"),'Match Log'!$D$4:$D$1510,"")),IFERROR(LOOKUP(2,1/(('Match Log'!$A$4:$A$1510=$A146)*('Match Log'!$E$4:$E$1510="Win")),'Match Log'!$D$4:$D$1510),""))</f>
        <v>Shawn</v>
      </c>
      <c r="E146" s="139">
        <f>IFERROR(INDEX('Match Log'!$F$4:$F$1510,MATCH($A146,'Match Log'!$A$4:$A$1510,0)),"")</f>
        <v>2</v>
      </c>
      <c r="F146">
        <f>IFERROR(SUMIFS('Match Log'!$I$4:$I$1510,'Match Log'!$A$4:$A$1510,$A146,'Match Log'!$E$4:$E$1510,"Win"),"")</f>
        <v>0.23076923076923073</v>
      </c>
      <c r="G146">
        <f t="shared" si="20"/>
        <v>0.53846153846153855</v>
      </c>
      <c r="H146" t="str">
        <f t="array" ref="H146">IFERROR(IF(COUNTIFS('Match Log'!$A$4:$A$1510,$A146,'Match Log'!$E$4:$E$1510,"Win")&gt;1,_xlfn.TEXTJOIN(" + ",TRUE(),IF(('Match Log'!$A$4:$A$1510=$A146)*('Match Log'!$E$4:$E$1510="Loss"),'Match Log'!$D$4:$D$1510,"")),IF($E146=2,LOOKUP(2,1/(('Match Log'!$A$4:$A$1510=$A146)*('Match Log'!$E$4:$E$1510="Loss")),'Match Log'!$D$4:$D$1510),"the field")),"")</f>
        <v>Daniel (Ferret)</v>
      </c>
      <c r="I146">
        <f t="shared" si="21"/>
        <v>0.53833953846153859</v>
      </c>
      <c r="J146">
        <v>122</v>
      </c>
      <c r="K146">
        <f>IF($J146&gt;MAX('Match Log'!$A$4:$A$1510),NA(),IFERROR(LOOKUP(2,1/(('Match Log'!$D$4:$D$1510=$K$24)*('Match Log'!$A$4:$A$1510&lt;=$J146)),'Match Log'!$N$4:$N$1510),NA()))</f>
        <v>1112.2862350502705</v>
      </c>
      <c r="L146">
        <f>IF($J146&gt;MAX('Match Log'!$A$4:$A$1510),NA(),IFERROR(LOOKUP(2,1/(('Match Log'!$D$4:$D$1510=$L$24)*('Match Log'!$A$4:$A$1510&lt;=$J146)),'Match Log'!$N$4:$N$1510),NA()))</f>
        <v>1029.5175965335138</v>
      </c>
      <c r="M146">
        <f>IF($J146&gt;MAX('Match Log'!$A$4:$A$1510),NA(),IFERROR(LOOKUP(2,1/(('Match Log'!$D$4:$D$1510=$M$24)*('Match Log'!$A$4:$A$1510&lt;=$J146)),'Match Log'!$N$4:$N$1510),NA()))</f>
        <v>1016.7841648959289</v>
      </c>
      <c r="N146">
        <f>IF($J146&gt;MAX('Match Log'!$A$4:$A$1510),NA(),IFERROR(LOOKUP(2,1/(('Match Log'!$D$4:$D$1510=$N$24)*('Match Log'!$A$4:$A$1510&lt;=$J146)),'Match Log'!$N$4:$N$1510),NA()))</f>
        <v>981.90186446660846</v>
      </c>
      <c r="O146">
        <f>IF($J146&gt;MAX('Match Log'!$A$4:$A$1510),NA(),IFERROR(LOOKUP(2,1/(('Match Log'!$D$4:$D$1510=$O$24)*('Match Log'!$A$4:$A$1510&lt;=$J146)),'Match Log'!$N$4:$N$1510),NA()))</f>
        <v>1115.1375937966061</v>
      </c>
      <c r="P146">
        <f>IF($J146&gt;MAX('Match Log'!$A$4:$A$1510),NA(),IFERROR(LOOKUP(2,1/(('Match Log'!$D$4:$D$1510=$P$24)*('Match Log'!$A$4:$A$1510&lt;=$J146)),'Match Log'!$N$4:$N$1510),NA()))</f>
        <v>1004.0552574826776</v>
      </c>
      <c r="Q146">
        <f>IF($J146&gt;MAX('Match Log'!$A$4:$A$1510),NA(),IFERROR(LOOKUP(2,1/(('Match Log'!$D$4:$D$1510=$Q$24)*('Match Log'!$A$4:$A$1510&lt;=$J146)),'Match Log'!$N$4:$N$1510),NA()))</f>
        <v>1085.4901250893295</v>
      </c>
      <c r="R146">
        <f>IF($J146&gt;MAX('Match Log'!$A$4:$A$1510),NA(),IFERROR(LOOKUP(2,1/(('Match Log'!$D$4:$D$1510=$R$24)*('Match Log'!$A$4:$A$1510&lt;=$J146)),'Match Log'!$N$4:$N$1510),NA()))</f>
        <v>1040.7391329045427</v>
      </c>
      <c r="S146">
        <f>IF($J146&gt;MAX('Match Log'!$A$4:$A$1510),NA(),IFERROR(LOOKUP(2,1/(('Match Log'!$D$4:$D$1510=$S$24)*('Match Log'!$A$4:$A$1510&lt;=$J146)),'Match Log'!$N$4:$N$1510),NA()))</f>
        <v>1168.3002777514087</v>
      </c>
      <c r="T146">
        <f>IF($J146&gt;MAX('Match Log'!$A$4:$A$1510),NA(),IFERROR(LOOKUP(2,1/(('Match Log'!$D$4:$D$1510=$T$24)*('Match Log'!$A$4:$A$1510&lt;=$J146)),'Match Log'!$N$4:$N$1510),NA()))</f>
        <v>893.15761519837804</v>
      </c>
      <c r="U146">
        <f>IF($J146&gt;MAX('Match Log'!$A$4:$A$1510),NA(),IFERROR(LOOKUP(2,1/(('Match Log'!$D$4:$D$1510=$U$24)*('Match Log'!$A$4:$A$1510&lt;=$J146)),'Match Log'!$N$4:$N$1510),NA()))</f>
        <v>1095.0513163681151</v>
      </c>
      <c r="V146">
        <f>IF($J146&gt;MAX('Match Log'!$A$4:$A$1510),NA(),IFERROR(LOOKUP(2,1/(('Match Log'!$D$4:$D$1510=$V$24)*('Match Log'!$A$4:$A$1510&lt;=$J146)),'Match Log'!$N$4:$N$1510),NA()))</f>
        <v>1031.1892257719715</v>
      </c>
      <c r="W146">
        <f>IF($J146&gt;MAX('Match Log'!$A$4:$A$1510),NA(),IFERROR(LOOKUP(2,1/(('Match Log'!$D$4:$D$1510=$W$24)*('Match Log'!$A$4:$A$1510&lt;=$J146)),'Match Log'!$N$4:$N$1510),NA()))</f>
        <v>1030.3895946906482</v>
      </c>
      <c r="X146" t="e">
        <f>IF($J146&gt;MAX('Match Log'!$A$4:$A$1510),NA(),IFERROR(LOOKUP(2,1/(('Match Log'!$D$4:$D$1510=$X$24)*('Match Log'!$A$4:$A$1510&lt;=$J146)),'Match Log'!$N$4:$N$1510),NA()))</f>
        <v>#N/A</v>
      </c>
      <c r="Y146" t="str">
        <f t="shared" ca="1" si="22"/>
        <v/>
      </c>
    </row>
    <row r="147" spans="1:25" x14ac:dyDescent="0.2">
      <c r="A147">
        <v>123</v>
      </c>
      <c r="B147" s="138">
        <f>IFERROR(INDEX('Match Log'!$B$4:$B$1510,MATCH($A147,'Match Log'!$A$4:$A$1510,0)),"")</f>
        <v>46208</v>
      </c>
      <c r="C147" t="str">
        <f>IFERROR(INDEX('Match Log'!$C$4:$C$1510,MATCH($A147,'Match Log'!$A$4:$A$1510,0)),"")</f>
        <v>Mario Party</v>
      </c>
      <c r="D147" t="str">
        <f t="array" ref="D147">IFERROR(_xlfn.TEXTJOIN(" + ",TRUE(),IF(('Match Log'!$A$4:$A$1510=$A147)*('Match Log'!$E$4:$E$1510="Win"),'Match Log'!$D$4:$D$1510,"")),IFERROR(LOOKUP(2,1/(('Match Log'!$A$4:$A$1510=$A147)*('Match Log'!$E$4:$E$1510="Win")),'Match Log'!$D$4:$D$1510),""))</f>
        <v>Daniel (Ferret)</v>
      </c>
      <c r="E147" s="139">
        <f>IFERROR(INDEX('Match Log'!$F$4:$F$1510,MATCH($A147,'Match Log'!$A$4:$A$1510,0)),"")</f>
        <v>2</v>
      </c>
      <c r="F147">
        <f>IFERROR(SUMIFS('Match Log'!$I$4:$I$1510,'Match Log'!$A$4:$A$1510,$A147,'Match Log'!$E$4:$E$1510,"Win"),"")</f>
        <v>0.68181818181818177</v>
      </c>
      <c r="G147">
        <f t="shared" si="20"/>
        <v>-0.36363636363636354</v>
      </c>
      <c r="H147" t="str">
        <f t="array" ref="H147">IFERROR(IF(COUNTIFS('Match Log'!$A$4:$A$1510,$A147,'Match Log'!$E$4:$E$1510,"Win")&gt;1,_xlfn.TEXTJOIN(" + ",TRUE(),IF(('Match Log'!$A$4:$A$1510=$A147)*('Match Log'!$E$4:$E$1510="Loss"),'Match Log'!$D$4:$D$1510,"")),IF($E147=2,LOOKUP(2,1/(('Match Log'!$A$4:$A$1510=$A147)*('Match Log'!$E$4:$E$1510="Loss")),'Match Log'!$D$4:$D$1510),"the field")),"")</f>
        <v>Shawn</v>
      </c>
      <c r="I147">
        <f t="shared" si="21"/>
        <v>-0.36375936363636352</v>
      </c>
      <c r="J147">
        <v>123</v>
      </c>
      <c r="K147">
        <f>IF($J147&gt;MAX('Match Log'!$A$4:$A$1510),NA(),IFERROR(LOOKUP(2,1/(('Match Log'!$D$4:$D$1510=$K$24)*('Match Log'!$A$4:$A$1510&lt;=$J147)),'Match Log'!$N$4:$N$1510),NA()))</f>
        <v>1112.2862350502705</v>
      </c>
      <c r="L147">
        <f>IF($J147&gt;MAX('Match Log'!$A$4:$A$1510),NA(),IFERROR(LOOKUP(2,1/(('Match Log'!$D$4:$D$1510=$L$24)*('Match Log'!$A$4:$A$1510&lt;=$J147)),'Match Log'!$N$4:$N$1510),NA()))</f>
        <v>1029.5175965335138</v>
      </c>
      <c r="M147">
        <f>IF($J147&gt;MAX('Match Log'!$A$4:$A$1510),NA(),IFERROR(LOOKUP(2,1/(('Match Log'!$D$4:$D$1510=$M$24)*('Match Log'!$A$4:$A$1510&lt;=$J147)),'Match Log'!$N$4:$N$1510),NA()))</f>
        <v>1016.7841648959289</v>
      </c>
      <c r="N147">
        <f>IF($J147&gt;MAX('Match Log'!$A$4:$A$1510),NA(),IFERROR(LOOKUP(2,1/(('Match Log'!$D$4:$D$1510=$N$24)*('Match Log'!$A$4:$A$1510&lt;=$J147)),'Match Log'!$N$4:$N$1510),NA()))</f>
        <v>981.90186446660846</v>
      </c>
      <c r="O147">
        <f>IF($J147&gt;MAX('Match Log'!$A$4:$A$1510),NA(),IFERROR(LOOKUP(2,1/(('Match Log'!$D$4:$D$1510=$O$24)*('Match Log'!$A$4:$A$1510&lt;=$J147)),'Match Log'!$N$4:$N$1510),NA()))</f>
        <v>1115.1375937966061</v>
      </c>
      <c r="P147">
        <f>IF($J147&gt;MAX('Match Log'!$A$4:$A$1510),NA(),IFERROR(LOOKUP(2,1/(('Match Log'!$D$4:$D$1510=$P$24)*('Match Log'!$A$4:$A$1510&lt;=$J147)),'Match Log'!$N$4:$N$1510),NA()))</f>
        <v>986.57333856486002</v>
      </c>
      <c r="Q147">
        <f>IF($J147&gt;MAX('Match Log'!$A$4:$A$1510),NA(),IFERROR(LOOKUP(2,1/(('Match Log'!$D$4:$D$1510=$Q$24)*('Match Log'!$A$4:$A$1510&lt;=$J147)),'Match Log'!$N$4:$N$1510),NA()))</f>
        <v>1085.4901250893295</v>
      </c>
      <c r="R147">
        <f>IF($J147&gt;MAX('Match Log'!$A$4:$A$1510),NA(),IFERROR(LOOKUP(2,1/(('Match Log'!$D$4:$D$1510=$R$24)*('Match Log'!$A$4:$A$1510&lt;=$J147)),'Match Log'!$N$4:$N$1510),NA()))</f>
        <v>1058.2210518223603</v>
      </c>
      <c r="S147">
        <f>IF($J147&gt;MAX('Match Log'!$A$4:$A$1510),NA(),IFERROR(LOOKUP(2,1/(('Match Log'!$D$4:$D$1510=$S$24)*('Match Log'!$A$4:$A$1510&lt;=$J147)),'Match Log'!$N$4:$N$1510),NA()))</f>
        <v>1168.3002777514087</v>
      </c>
      <c r="T147">
        <f>IF($J147&gt;MAX('Match Log'!$A$4:$A$1510),NA(),IFERROR(LOOKUP(2,1/(('Match Log'!$D$4:$D$1510=$T$24)*('Match Log'!$A$4:$A$1510&lt;=$J147)),'Match Log'!$N$4:$N$1510),NA()))</f>
        <v>893.15761519837804</v>
      </c>
      <c r="U147">
        <f>IF($J147&gt;MAX('Match Log'!$A$4:$A$1510),NA(),IFERROR(LOOKUP(2,1/(('Match Log'!$D$4:$D$1510=$U$24)*('Match Log'!$A$4:$A$1510&lt;=$J147)),'Match Log'!$N$4:$N$1510),NA()))</f>
        <v>1095.0513163681151</v>
      </c>
      <c r="V147">
        <f>IF($J147&gt;MAX('Match Log'!$A$4:$A$1510),NA(),IFERROR(LOOKUP(2,1/(('Match Log'!$D$4:$D$1510=$V$24)*('Match Log'!$A$4:$A$1510&lt;=$J147)),'Match Log'!$N$4:$N$1510),NA()))</f>
        <v>1031.1892257719715</v>
      </c>
      <c r="W147">
        <f>IF($J147&gt;MAX('Match Log'!$A$4:$A$1510),NA(),IFERROR(LOOKUP(2,1/(('Match Log'!$D$4:$D$1510=$W$24)*('Match Log'!$A$4:$A$1510&lt;=$J147)),'Match Log'!$N$4:$N$1510),NA()))</f>
        <v>1030.3895946906482</v>
      </c>
      <c r="X147" t="e">
        <f>IF($J147&gt;MAX('Match Log'!$A$4:$A$1510),NA(),IFERROR(LOOKUP(2,1/(('Match Log'!$D$4:$D$1510=$X$24)*('Match Log'!$A$4:$A$1510&lt;=$J147)),'Match Log'!$N$4:$N$1510),NA()))</f>
        <v>#N/A</v>
      </c>
      <c r="Y147" t="str">
        <f t="shared" ca="1" si="22"/>
        <v/>
      </c>
    </row>
    <row r="148" spans="1:25" x14ac:dyDescent="0.2">
      <c r="A148">
        <v>124</v>
      </c>
      <c r="B148" s="138">
        <f>IFERROR(INDEX('Match Log'!$B$4:$B$1510,MATCH($A148,'Match Log'!$A$4:$A$1510,0)),"")</f>
        <v>46209</v>
      </c>
      <c r="C148" t="str">
        <f>IFERROR(INDEX('Match Log'!$C$4:$C$1510,MATCH($A148,'Match Log'!$A$4:$A$1510,0)),"")</f>
        <v>FIFA</v>
      </c>
      <c r="D148" t="str">
        <f t="array" ref="D148">IFERROR(_xlfn.TEXTJOIN(" + ",TRUE(),IF(('Match Log'!$A$4:$A$1510=$A148)*('Match Log'!$E$4:$E$1510="Win"),'Match Log'!$D$4:$D$1510,"")),IFERROR(LOOKUP(2,1/(('Match Log'!$A$4:$A$1510=$A148)*('Match Log'!$E$4:$E$1510="Win")),'Match Log'!$D$4:$D$1510),""))</f>
        <v>Shawn</v>
      </c>
      <c r="E148" s="139">
        <f>IFERROR(INDEX('Match Log'!$F$4:$F$1510,MATCH($A148,'Match Log'!$A$4:$A$1510,0)),"")</f>
        <v>2</v>
      </c>
      <c r="F148">
        <f>IFERROR(SUMIFS('Match Log'!$I$4:$I$1510,'Match Log'!$A$4:$A$1510,$A148,'Match Log'!$E$4:$E$1510,"Win"),"")</f>
        <v>0.48275862068965519</v>
      </c>
      <c r="G148">
        <f t="shared" si="20"/>
        <v>3.4482758620689613E-2</v>
      </c>
      <c r="H148" t="str">
        <f t="array" ref="H148">IFERROR(IF(COUNTIFS('Match Log'!$A$4:$A$1510,$A148,'Match Log'!$E$4:$E$1510,"Win")&gt;1,_xlfn.TEXTJOIN(" + ",TRUE(),IF(('Match Log'!$A$4:$A$1510=$A148)*('Match Log'!$E$4:$E$1510="Loss"),'Match Log'!$D$4:$D$1510,"")),IF($E148=2,LOOKUP(2,1/(('Match Log'!$A$4:$A$1510=$A148)*('Match Log'!$E$4:$E$1510="Loss")),'Match Log'!$D$4:$D$1510),"the field")),"")</f>
        <v>Oscar</v>
      </c>
      <c r="I148">
        <f t="shared" si="21"/>
        <v>3.4358758620689614E-2</v>
      </c>
      <c r="J148">
        <v>124</v>
      </c>
      <c r="K148">
        <f>IF($J148&gt;MAX('Match Log'!$A$4:$A$1510),NA(),IFERROR(LOOKUP(2,1/(('Match Log'!$D$4:$D$1510=$K$24)*('Match Log'!$A$4:$A$1510&lt;=$J148)),'Match Log'!$N$4:$N$1510),NA()))</f>
        <v>1112.2862350502705</v>
      </c>
      <c r="L148">
        <f>IF($J148&gt;MAX('Match Log'!$A$4:$A$1510),NA(),IFERROR(LOOKUP(2,1/(('Match Log'!$D$4:$D$1510=$L$24)*('Match Log'!$A$4:$A$1510&lt;=$J148)),'Match Log'!$N$4:$N$1510),NA()))</f>
        <v>1029.5175965335138</v>
      </c>
      <c r="M148">
        <f>IF($J148&gt;MAX('Match Log'!$A$4:$A$1510),NA(),IFERROR(LOOKUP(2,1/(('Match Log'!$D$4:$D$1510=$M$24)*('Match Log'!$A$4:$A$1510&lt;=$J148)),'Match Log'!$N$4:$N$1510),NA()))</f>
        <v>1016.7841648959289</v>
      </c>
      <c r="N148">
        <f>IF($J148&gt;MAX('Match Log'!$A$4:$A$1510),NA(),IFERROR(LOOKUP(2,1/(('Match Log'!$D$4:$D$1510=$N$24)*('Match Log'!$A$4:$A$1510&lt;=$J148)),'Match Log'!$N$4:$N$1510),NA()))</f>
        <v>981.90186446660846</v>
      </c>
      <c r="O148">
        <f>IF($J148&gt;MAX('Match Log'!$A$4:$A$1510),NA(),IFERROR(LOOKUP(2,1/(('Match Log'!$D$4:$D$1510=$O$24)*('Match Log'!$A$4:$A$1510&lt;=$J148)),'Match Log'!$N$4:$N$1510),NA()))</f>
        <v>1115.1375937966061</v>
      </c>
      <c r="P148">
        <f>IF($J148&gt;MAX('Match Log'!$A$4:$A$1510),NA(),IFERROR(LOOKUP(2,1/(('Match Log'!$D$4:$D$1510=$P$24)*('Match Log'!$A$4:$A$1510&lt;=$J148)),'Match Log'!$N$4:$N$1510),NA()))</f>
        <v>1013.8163356044608</v>
      </c>
      <c r="Q148">
        <f>IF($J148&gt;MAX('Match Log'!$A$4:$A$1510),NA(),IFERROR(LOOKUP(2,1/(('Match Log'!$D$4:$D$1510=$Q$24)*('Match Log'!$A$4:$A$1510&lt;=$J148)),'Match Log'!$N$4:$N$1510),NA()))</f>
        <v>1085.4901250893295</v>
      </c>
      <c r="R148">
        <f>IF($J148&gt;MAX('Match Log'!$A$4:$A$1510),NA(),IFERROR(LOOKUP(2,1/(('Match Log'!$D$4:$D$1510=$R$24)*('Match Log'!$A$4:$A$1510&lt;=$J148)),'Match Log'!$N$4:$N$1510),NA()))</f>
        <v>1058.2210518223603</v>
      </c>
      <c r="S148">
        <f>IF($J148&gt;MAX('Match Log'!$A$4:$A$1510),NA(),IFERROR(LOOKUP(2,1/(('Match Log'!$D$4:$D$1510=$S$24)*('Match Log'!$A$4:$A$1510&lt;=$J148)),'Match Log'!$N$4:$N$1510),NA()))</f>
        <v>1168.3002777514087</v>
      </c>
      <c r="T148">
        <f>IF($J148&gt;MAX('Match Log'!$A$4:$A$1510),NA(),IFERROR(LOOKUP(2,1/(('Match Log'!$D$4:$D$1510=$T$24)*('Match Log'!$A$4:$A$1510&lt;=$J148)),'Match Log'!$N$4:$N$1510),NA()))</f>
        <v>893.15761519837804</v>
      </c>
      <c r="U148">
        <f>IF($J148&gt;MAX('Match Log'!$A$4:$A$1510),NA(),IFERROR(LOOKUP(2,1/(('Match Log'!$D$4:$D$1510=$U$24)*('Match Log'!$A$4:$A$1510&lt;=$J148)),'Match Log'!$N$4:$N$1510),NA()))</f>
        <v>1067.8083193285142</v>
      </c>
      <c r="V148">
        <f>IF($J148&gt;MAX('Match Log'!$A$4:$A$1510),NA(),IFERROR(LOOKUP(2,1/(('Match Log'!$D$4:$D$1510=$V$24)*('Match Log'!$A$4:$A$1510&lt;=$J148)),'Match Log'!$N$4:$N$1510),NA()))</f>
        <v>1031.1892257719715</v>
      </c>
      <c r="W148">
        <f>IF($J148&gt;MAX('Match Log'!$A$4:$A$1510),NA(),IFERROR(LOOKUP(2,1/(('Match Log'!$D$4:$D$1510=$W$24)*('Match Log'!$A$4:$A$1510&lt;=$J148)),'Match Log'!$N$4:$N$1510),NA()))</f>
        <v>1030.3895946906482</v>
      </c>
      <c r="X148" t="e">
        <f>IF($J148&gt;MAX('Match Log'!$A$4:$A$1510),NA(),IFERROR(LOOKUP(2,1/(('Match Log'!$D$4:$D$1510=$X$24)*('Match Log'!$A$4:$A$1510&lt;=$J148)),'Match Log'!$N$4:$N$1510),NA()))</f>
        <v>#N/A</v>
      </c>
      <c r="Y148" t="str">
        <f t="shared" ca="1" si="22"/>
        <v/>
      </c>
    </row>
    <row r="149" spans="1:25" x14ac:dyDescent="0.2">
      <c r="A149">
        <v>125</v>
      </c>
      <c r="B149" s="138">
        <f>IFERROR(INDEX('Match Log'!$B$4:$B$1510,MATCH($A149,'Match Log'!$A$4:$A$1510,0)),"")</f>
        <v>46209</v>
      </c>
      <c r="C149" t="str">
        <f>IFERROR(INDEX('Match Log'!$C$4:$C$1510,MATCH($A149,'Match Log'!$A$4:$A$1510,0)),"")</f>
        <v>FIFA</v>
      </c>
      <c r="D149" t="str">
        <f t="array" ref="D149">IFERROR(_xlfn.TEXTJOIN(" + ",TRUE(),IF(('Match Log'!$A$4:$A$1510=$A149)*('Match Log'!$E$4:$E$1510="Win"),'Match Log'!$D$4:$D$1510,"")),IFERROR(LOOKUP(2,1/(('Match Log'!$A$4:$A$1510=$A149)*('Match Log'!$E$4:$E$1510="Win")),'Match Log'!$D$4:$D$1510),""))</f>
        <v>Oscar</v>
      </c>
      <c r="E149" s="139">
        <f>IFERROR(INDEX('Match Log'!$F$4:$F$1510,MATCH($A149,'Match Log'!$A$4:$A$1510,0)),"")</f>
        <v>2</v>
      </c>
      <c r="F149">
        <f>IFERROR(SUMIFS('Match Log'!$I$4:$I$1510,'Match Log'!$A$4:$A$1510,$A149,'Match Log'!$E$4:$E$1510,"Win"),"")</f>
        <v>0.4</v>
      </c>
      <c r="G149">
        <f t="shared" si="20"/>
        <v>0.19999999999999996</v>
      </c>
      <c r="H149" t="str">
        <f t="array" ref="H149">IFERROR(IF(COUNTIFS('Match Log'!$A$4:$A$1510,$A149,'Match Log'!$E$4:$E$1510,"Win")&gt;1,_xlfn.TEXTJOIN(" + ",TRUE(),IF(('Match Log'!$A$4:$A$1510=$A149)*('Match Log'!$E$4:$E$1510="Loss"),'Match Log'!$D$4:$D$1510,"")),IF($E149=2,LOOKUP(2,1/(('Match Log'!$A$4:$A$1510=$A149)*('Match Log'!$E$4:$E$1510="Loss")),'Match Log'!$D$4:$D$1510),"the field")),"")</f>
        <v>Shawn</v>
      </c>
      <c r="I149">
        <f t="shared" si="21"/>
        <v>0.19987499999999997</v>
      </c>
      <c r="J149">
        <v>125</v>
      </c>
      <c r="K149">
        <f>IF($J149&gt;MAX('Match Log'!$A$4:$A$1510),NA(),IFERROR(LOOKUP(2,1/(('Match Log'!$D$4:$D$1510=$K$24)*('Match Log'!$A$4:$A$1510&lt;=$J149)),'Match Log'!$N$4:$N$1510),NA()))</f>
        <v>1112.2862350502705</v>
      </c>
      <c r="L149">
        <f>IF($J149&gt;MAX('Match Log'!$A$4:$A$1510),NA(),IFERROR(LOOKUP(2,1/(('Match Log'!$D$4:$D$1510=$L$24)*('Match Log'!$A$4:$A$1510&lt;=$J149)),'Match Log'!$N$4:$N$1510),NA()))</f>
        <v>1029.5175965335138</v>
      </c>
      <c r="M149">
        <f>IF($J149&gt;MAX('Match Log'!$A$4:$A$1510),NA(),IFERROR(LOOKUP(2,1/(('Match Log'!$D$4:$D$1510=$M$24)*('Match Log'!$A$4:$A$1510&lt;=$J149)),'Match Log'!$N$4:$N$1510),NA()))</f>
        <v>1016.7841648959289</v>
      </c>
      <c r="N149">
        <f>IF($J149&gt;MAX('Match Log'!$A$4:$A$1510),NA(),IFERROR(LOOKUP(2,1/(('Match Log'!$D$4:$D$1510=$N$24)*('Match Log'!$A$4:$A$1510&lt;=$J149)),'Match Log'!$N$4:$N$1510),NA()))</f>
        <v>981.90186446660846</v>
      </c>
      <c r="O149">
        <f>IF($J149&gt;MAX('Match Log'!$A$4:$A$1510),NA(),IFERROR(LOOKUP(2,1/(('Match Log'!$D$4:$D$1510=$O$24)*('Match Log'!$A$4:$A$1510&lt;=$J149)),'Match Log'!$N$4:$N$1510),NA()))</f>
        <v>1115.1375937966061</v>
      </c>
      <c r="P149">
        <f>IF($J149&gt;MAX('Match Log'!$A$4:$A$1510),NA(),IFERROR(LOOKUP(2,1/(('Match Log'!$D$4:$D$1510=$P$24)*('Match Log'!$A$4:$A$1510&lt;=$J149)),'Match Log'!$N$4:$N$1510),NA()))</f>
        <v>993.00663721910348</v>
      </c>
      <c r="Q149">
        <f>IF($J149&gt;MAX('Match Log'!$A$4:$A$1510),NA(),IFERROR(LOOKUP(2,1/(('Match Log'!$D$4:$D$1510=$Q$24)*('Match Log'!$A$4:$A$1510&lt;=$J149)),'Match Log'!$N$4:$N$1510),NA()))</f>
        <v>1085.4901250893295</v>
      </c>
      <c r="R149">
        <f>IF($J149&gt;MAX('Match Log'!$A$4:$A$1510),NA(),IFERROR(LOOKUP(2,1/(('Match Log'!$D$4:$D$1510=$R$24)*('Match Log'!$A$4:$A$1510&lt;=$J149)),'Match Log'!$N$4:$N$1510),NA()))</f>
        <v>1058.2210518223603</v>
      </c>
      <c r="S149">
        <f>IF($J149&gt;MAX('Match Log'!$A$4:$A$1510),NA(),IFERROR(LOOKUP(2,1/(('Match Log'!$D$4:$D$1510=$S$24)*('Match Log'!$A$4:$A$1510&lt;=$J149)),'Match Log'!$N$4:$N$1510),NA()))</f>
        <v>1168.3002777514087</v>
      </c>
      <c r="T149">
        <f>IF($J149&gt;MAX('Match Log'!$A$4:$A$1510),NA(),IFERROR(LOOKUP(2,1/(('Match Log'!$D$4:$D$1510=$T$24)*('Match Log'!$A$4:$A$1510&lt;=$J149)),'Match Log'!$N$4:$N$1510),NA()))</f>
        <v>893.15761519837804</v>
      </c>
      <c r="U149">
        <f>IF($J149&gt;MAX('Match Log'!$A$4:$A$1510),NA(),IFERROR(LOOKUP(2,1/(('Match Log'!$D$4:$D$1510=$U$24)*('Match Log'!$A$4:$A$1510&lt;=$J149)),'Match Log'!$N$4:$N$1510),NA()))</f>
        <v>1088.6180177138717</v>
      </c>
      <c r="V149">
        <f>IF($J149&gt;MAX('Match Log'!$A$4:$A$1510),NA(),IFERROR(LOOKUP(2,1/(('Match Log'!$D$4:$D$1510=$V$24)*('Match Log'!$A$4:$A$1510&lt;=$J149)),'Match Log'!$N$4:$N$1510),NA()))</f>
        <v>1031.1892257719715</v>
      </c>
      <c r="W149">
        <f>IF($J149&gt;MAX('Match Log'!$A$4:$A$1510),NA(),IFERROR(LOOKUP(2,1/(('Match Log'!$D$4:$D$1510=$W$24)*('Match Log'!$A$4:$A$1510&lt;=$J149)),'Match Log'!$N$4:$N$1510),NA()))</f>
        <v>1030.3895946906482</v>
      </c>
      <c r="X149" t="e">
        <f>IF($J149&gt;MAX('Match Log'!$A$4:$A$1510),NA(),IFERROR(LOOKUP(2,1/(('Match Log'!$D$4:$D$1510=$X$24)*('Match Log'!$A$4:$A$1510&lt;=$J149)),'Match Log'!$N$4:$N$1510),NA()))</f>
        <v>#N/A</v>
      </c>
      <c r="Y149" t="str">
        <f t="shared" ca="1" si="22"/>
        <v/>
      </c>
    </row>
    <row r="150" spans="1:25" x14ac:dyDescent="0.2">
      <c r="A150">
        <v>126</v>
      </c>
      <c r="B150" s="138">
        <f>IFERROR(INDEX('Match Log'!$B$4:$B$1510,MATCH($A150,'Match Log'!$A$4:$A$1510,0)),"")</f>
        <v>46209</v>
      </c>
      <c r="C150" t="str">
        <f>IFERROR(INDEX('Match Log'!$C$4:$C$1510,MATCH($A150,'Match Log'!$A$4:$A$1510,0)),"")</f>
        <v>FIFA</v>
      </c>
      <c r="D150" t="str">
        <f t="array" ref="D150">IFERROR(_xlfn.TEXTJOIN(" + ",TRUE(),IF(('Match Log'!$A$4:$A$1510=$A150)*('Match Log'!$E$4:$E$1510="Win"),'Match Log'!$D$4:$D$1510,"")),IFERROR(LOOKUP(2,1/(('Match Log'!$A$4:$A$1510=$A150)*('Match Log'!$E$4:$E$1510="Win")),'Match Log'!$D$4:$D$1510),""))</f>
        <v>Shawn</v>
      </c>
      <c r="E150" s="139">
        <f>IFERROR(INDEX('Match Log'!$F$4:$F$1510,MATCH($A150,'Match Log'!$A$4:$A$1510,0)),"")</f>
        <v>2</v>
      </c>
      <c r="F150">
        <f>IFERROR(SUMIFS('Match Log'!$I$4:$I$1510,'Match Log'!$A$4:$A$1510,$A150,'Match Log'!$E$4:$E$1510,"Win"),"")</f>
        <v>0.48484848484848486</v>
      </c>
      <c r="G150">
        <f t="shared" si="20"/>
        <v>3.0303030303030276E-2</v>
      </c>
      <c r="H150" t="str">
        <f t="array" ref="H150">IFERROR(IF(COUNTIFS('Match Log'!$A$4:$A$1510,$A150,'Match Log'!$E$4:$E$1510,"Win")&gt;1,_xlfn.TEXTJOIN(" + ",TRUE(),IF(('Match Log'!$A$4:$A$1510=$A150)*('Match Log'!$E$4:$E$1510="Loss"),'Match Log'!$D$4:$D$1510,"")),IF($E150=2,LOOKUP(2,1/(('Match Log'!$A$4:$A$1510=$A150)*('Match Log'!$E$4:$E$1510="Loss")),'Match Log'!$D$4:$D$1510),"the field")),"")</f>
        <v>Oscar</v>
      </c>
      <c r="I150">
        <f t="shared" si="21"/>
        <v>3.0177030303030275E-2</v>
      </c>
      <c r="J150">
        <v>126</v>
      </c>
      <c r="K150">
        <f>IF($J150&gt;MAX('Match Log'!$A$4:$A$1510),NA(),IFERROR(LOOKUP(2,1/(('Match Log'!$D$4:$D$1510=$K$24)*('Match Log'!$A$4:$A$1510&lt;=$J150)),'Match Log'!$N$4:$N$1510),NA()))</f>
        <v>1112.2862350502705</v>
      </c>
      <c r="L150">
        <f>IF($J150&gt;MAX('Match Log'!$A$4:$A$1510),NA(),IFERROR(LOOKUP(2,1/(('Match Log'!$D$4:$D$1510=$L$24)*('Match Log'!$A$4:$A$1510&lt;=$J150)),'Match Log'!$N$4:$N$1510),NA()))</f>
        <v>1029.5175965335138</v>
      </c>
      <c r="M150">
        <f>IF($J150&gt;MAX('Match Log'!$A$4:$A$1510),NA(),IFERROR(LOOKUP(2,1/(('Match Log'!$D$4:$D$1510=$M$24)*('Match Log'!$A$4:$A$1510&lt;=$J150)),'Match Log'!$N$4:$N$1510),NA()))</f>
        <v>1016.7841648959289</v>
      </c>
      <c r="N150">
        <f>IF($J150&gt;MAX('Match Log'!$A$4:$A$1510),NA(),IFERROR(LOOKUP(2,1/(('Match Log'!$D$4:$D$1510=$N$24)*('Match Log'!$A$4:$A$1510&lt;=$J150)),'Match Log'!$N$4:$N$1510),NA()))</f>
        <v>981.90186446660846</v>
      </c>
      <c r="O150">
        <f>IF($J150&gt;MAX('Match Log'!$A$4:$A$1510),NA(),IFERROR(LOOKUP(2,1/(('Match Log'!$D$4:$D$1510=$O$24)*('Match Log'!$A$4:$A$1510&lt;=$J150)),'Match Log'!$N$4:$N$1510),NA()))</f>
        <v>1115.1375937966061</v>
      </c>
      <c r="P150">
        <f>IF($J150&gt;MAX('Match Log'!$A$4:$A$1510),NA(),IFERROR(LOOKUP(2,1/(('Match Log'!$D$4:$D$1510=$P$24)*('Match Log'!$A$4:$A$1510&lt;=$J150)),'Match Log'!$N$4:$N$1510),NA()))</f>
        <v>1018.7970655049814</v>
      </c>
      <c r="Q150">
        <f>IF($J150&gt;MAX('Match Log'!$A$4:$A$1510),NA(),IFERROR(LOOKUP(2,1/(('Match Log'!$D$4:$D$1510=$Q$24)*('Match Log'!$A$4:$A$1510&lt;=$J150)),'Match Log'!$N$4:$N$1510),NA()))</f>
        <v>1085.4901250893295</v>
      </c>
      <c r="R150">
        <f>IF($J150&gt;MAX('Match Log'!$A$4:$A$1510),NA(),IFERROR(LOOKUP(2,1/(('Match Log'!$D$4:$D$1510=$R$24)*('Match Log'!$A$4:$A$1510&lt;=$J150)),'Match Log'!$N$4:$N$1510),NA()))</f>
        <v>1058.2210518223603</v>
      </c>
      <c r="S150">
        <f>IF($J150&gt;MAX('Match Log'!$A$4:$A$1510),NA(),IFERROR(LOOKUP(2,1/(('Match Log'!$D$4:$D$1510=$S$24)*('Match Log'!$A$4:$A$1510&lt;=$J150)),'Match Log'!$N$4:$N$1510),NA()))</f>
        <v>1168.3002777514087</v>
      </c>
      <c r="T150">
        <f>IF($J150&gt;MAX('Match Log'!$A$4:$A$1510),NA(),IFERROR(LOOKUP(2,1/(('Match Log'!$D$4:$D$1510=$T$24)*('Match Log'!$A$4:$A$1510&lt;=$J150)),'Match Log'!$N$4:$N$1510),NA()))</f>
        <v>893.15761519837804</v>
      </c>
      <c r="U150">
        <f>IF($J150&gt;MAX('Match Log'!$A$4:$A$1510),NA(),IFERROR(LOOKUP(2,1/(('Match Log'!$D$4:$D$1510=$U$24)*('Match Log'!$A$4:$A$1510&lt;=$J150)),'Match Log'!$N$4:$N$1510),NA()))</f>
        <v>1062.8275894279936</v>
      </c>
      <c r="V150">
        <f>IF($J150&gt;MAX('Match Log'!$A$4:$A$1510),NA(),IFERROR(LOOKUP(2,1/(('Match Log'!$D$4:$D$1510=$V$24)*('Match Log'!$A$4:$A$1510&lt;=$J150)),'Match Log'!$N$4:$N$1510),NA()))</f>
        <v>1031.1892257719715</v>
      </c>
      <c r="W150">
        <f>IF($J150&gt;MAX('Match Log'!$A$4:$A$1510),NA(),IFERROR(LOOKUP(2,1/(('Match Log'!$D$4:$D$1510=$W$24)*('Match Log'!$A$4:$A$1510&lt;=$J150)),'Match Log'!$N$4:$N$1510),NA()))</f>
        <v>1030.3895946906482</v>
      </c>
      <c r="X150" t="e">
        <f>IF($J150&gt;MAX('Match Log'!$A$4:$A$1510),NA(),IFERROR(LOOKUP(2,1/(('Match Log'!$D$4:$D$1510=$X$24)*('Match Log'!$A$4:$A$1510&lt;=$J150)),'Match Log'!$N$4:$N$1510),NA()))</f>
        <v>#N/A</v>
      </c>
      <c r="Y150" t="str">
        <f t="shared" ca="1" si="22"/>
        <v/>
      </c>
    </row>
    <row r="151" spans="1:25" x14ac:dyDescent="0.2">
      <c r="A151">
        <v>127</v>
      </c>
      <c r="B151" s="138">
        <f>IFERROR(INDEX('Match Log'!$B$4:$B$1510,MATCH($A151,'Match Log'!$A$4:$A$1510,0)),"")</f>
        <v>46212</v>
      </c>
      <c r="C151" t="str">
        <f>IFERROR(INDEX('Match Log'!$C$4:$C$1510,MATCH($A151,'Match Log'!$A$4:$A$1510,0)),"")</f>
        <v>FIFA</v>
      </c>
      <c r="D151" t="str">
        <f t="array" ref="D151">IFERROR(_xlfn.TEXTJOIN(" + ",TRUE(),IF(('Match Log'!$A$4:$A$1510=$A151)*('Match Log'!$E$4:$E$1510="Win"),'Match Log'!$D$4:$D$1510,"")),IFERROR(LOOKUP(2,1/(('Match Log'!$A$4:$A$1510=$A151)*('Match Log'!$E$4:$E$1510="Win")),'Match Log'!$D$4:$D$1510),""))</f>
        <v>Shawn</v>
      </c>
      <c r="E151" s="139">
        <f>IFERROR(INDEX('Match Log'!$F$4:$F$1510,MATCH($A151,'Match Log'!$A$4:$A$1510,0)),"")</f>
        <v>2</v>
      </c>
      <c r="F151">
        <f>IFERROR(SUMIFS('Match Log'!$I$4:$I$1510,'Match Log'!$A$4:$A$1510,$A151,'Match Log'!$E$4:$E$1510,"Win"),"")</f>
        <v>0.41666666666666669</v>
      </c>
      <c r="G151">
        <f t="shared" si="20"/>
        <v>0.16666666666666663</v>
      </c>
      <c r="H151" t="str">
        <f t="array" ref="H151">IFERROR(IF(COUNTIFS('Match Log'!$A$4:$A$1510,$A151,'Match Log'!$E$4:$E$1510,"Win")&gt;1,_xlfn.TEXTJOIN(" + ",TRUE(),IF(('Match Log'!$A$4:$A$1510=$A151)*('Match Log'!$E$4:$E$1510="Loss"),'Match Log'!$D$4:$D$1510,"")),IF($E151=2,LOOKUP(2,1/(('Match Log'!$A$4:$A$1510=$A151)*('Match Log'!$E$4:$E$1510="Loss")),'Match Log'!$D$4:$D$1510),"the field")),"")</f>
        <v>Aaron</v>
      </c>
      <c r="I151">
        <f t="shared" si="21"/>
        <v>0.16653966666666664</v>
      </c>
      <c r="J151">
        <v>127</v>
      </c>
      <c r="K151">
        <f>IF($J151&gt;MAX('Match Log'!$A$4:$A$1510),NA(),IFERROR(LOOKUP(2,1/(('Match Log'!$D$4:$D$1510=$K$24)*('Match Log'!$A$4:$A$1510&lt;=$J151)),'Match Log'!$N$4:$N$1510),NA()))</f>
        <v>1086.0074909594259</v>
      </c>
      <c r="L151">
        <f>IF($J151&gt;MAX('Match Log'!$A$4:$A$1510),NA(),IFERROR(LOOKUP(2,1/(('Match Log'!$D$4:$D$1510=$L$24)*('Match Log'!$A$4:$A$1510&lt;=$J151)),'Match Log'!$N$4:$N$1510),NA()))</f>
        <v>1029.5175965335138</v>
      </c>
      <c r="M151">
        <f>IF($J151&gt;MAX('Match Log'!$A$4:$A$1510),NA(),IFERROR(LOOKUP(2,1/(('Match Log'!$D$4:$D$1510=$M$24)*('Match Log'!$A$4:$A$1510&lt;=$J151)),'Match Log'!$N$4:$N$1510),NA()))</f>
        <v>1016.7841648959289</v>
      </c>
      <c r="N151">
        <f>IF($J151&gt;MAX('Match Log'!$A$4:$A$1510),NA(),IFERROR(LOOKUP(2,1/(('Match Log'!$D$4:$D$1510=$N$24)*('Match Log'!$A$4:$A$1510&lt;=$J151)),'Match Log'!$N$4:$N$1510),NA()))</f>
        <v>981.90186446660846</v>
      </c>
      <c r="O151">
        <f>IF($J151&gt;MAX('Match Log'!$A$4:$A$1510),NA(),IFERROR(LOOKUP(2,1/(('Match Log'!$D$4:$D$1510=$O$24)*('Match Log'!$A$4:$A$1510&lt;=$J151)),'Match Log'!$N$4:$N$1510),NA()))</f>
        <v>1115.1375937966061</v>
      </c>
      <c r="P151">
        <f>IF($J151&gt;MAX('Match Log'!$A$4:$A$1510),NA(),IFERROR(LOOKUP(2,1/(('Match Log'!$D$4:$D$1510=$P$24)*('Match Log'!$A$4:$A$1510&lt;=$J151)),'Match Log'!$N$4:$N$1510),NA()))</f>
        <v>1045.0758095958261</v>
      </c>
      <c r="Q151">
        <f>IF($J151&gt;MAX('Match Log'!$A$4:$A$1510),NA(),IFERROR(LOOKUP(2,1/(('Match Log'!$D$4:$D$1510=$Q$24)*('Match Log'!$A$4:$A$1510&lt;=$J151)),'Match Log'!$N$4:$N$1510),NA()))</f>
        <v>1085.4901250893295</v>
      </c>
      <c r="R151">
        <f>IF($J151&gt;MAX('Match Log'!$A$4:$A$1510),NA(),IFERROR(LOOKUP(2,1/(('Match Log'!$D$4:$D$1510=$R$24)*('Match Log'!$A$4:$A$1510&lt;=$J151)),'Match Log'!$N$4:$N$1510),NA()))</f>
        <v>1058.2210518223603</v>
      </c>
      <c r="S151">
        <f>IF($J151&gt;MAX('Match Log'!$A$4:$A$1510),NA(),IFERROR(LOOKUP(2,1/(('Match Log'!$D$4:$D$1510=$S$24)*('Match Log'!$A$4:$A$1510&lt;=$J151)),'Match Log'!$N$4:$N$1510),NA()))</f>
        <v>1168.3002777514087</v>
      </c>
      <c r="T151">
        <f>IF($J151&gt;MAX('Match Log'!$A$4:$A$1510),NA(),IFERROR(LOOKUP(2,1/(('Match Log'!$D$4:$D$1510=$T$24)*('Match Log'!$A$4:$A$1510&lt;=$J151)),'Match Log'!$N$4:$N$1510),NA()))</f>
        <v>893.15761519837804</v>
      </c>
      <c r="U151">
        <f>IF($J151&gt;MAX('Match Log'!$A$4:$A$1510),NA(),IFERROR(LOOKUP(2,1/(('Match Log'!$D$4:$D$1510=$U$24)*('Match Log'!$A$4:$A$1510&lt;=$J151)),'Match Log'!$N$4:$N$1510),NA()))</f>
        <v>1062.8275894279936</v>
      </c>
      <c r="V151">
        <f>IF($J151&gt;MAX('Match Log'!$A$4:$A$1510),NA(),IFERROR(LOOKUP(2,1/(('Match Log'!$D$4:$D$1510=$V$24)*('Match Log'!$A$4:$A$1510&lt;=$J151)),'Match Log'!$N$4:$N$1510),NA()))</f>
        <v>1031.1892257719715</v>
      </c>
      <c r="W151">
        <f>IF($J151&gt;MAX('Match Log'!$A$4:$A$1510),NA(),IFERROR(LOOKUP(2,1/(('Match Log'!$D$4:$D$1510=$W$24)*('Match Log'!$A$4:$A$1510&lt;=$J151)),'Match Log'!$N$4:$N$1510),NA()))</f>
        <v>1030.3895946906482</v>
      </c>
      <c r="X151" t="e">
        <f>IF($J151&gt;MAX('Match Log'!$A$4:$A$1510),NA(),IFERROR(LOOKUP(2,1/(('Match Log'!$D$4:$D$1510=$X$24)*('Match Log'!$A$4:$A$1510&lt;=$J151)),'Match Log'!$N$4:$N$1510),NA()))</f>
        <v>#N/A</v>
      </c>
      <c r="Y151" t="str">
        <f t="shared" ca="1" si="22"/>
        <v/>
      </c>
    </row>
    <row r="152" spans="1:25" x14ac:dyDescent="0.2">
      <c r="A152">
        <v>128</v>
      </c>
      <c r="B152" s="138">
        <f>IFERROR(INDEX('Match Log'!$B$4:$B$1510,MATCH($A152,'Match Log'!$A$4:$A$1510,0)),"")</f>
        <v>46212</v>
      </c>
      <c r="C152" t="str">
        <f>IFERROR(INDEX('Match Log'!$C$4:$C$1510,MATCH($A152,'Match Log'!$A$4:$A$1510,0)),"")</f>
        <v>FIFA</v>
      </c>
      <c r="D152" t="str">
        <f t="array" ref="D152">IFERROR(_xlfn.TEXTJOIN(" + ",TRUE(),IF(('Match Log'!$A$4:$A$1510=$A152)*('Match Log'!$E$4:$E$1510="Win"),'Match Log'!$D$4:$D$1510,"")),IFERROR(LOOKUP(2,1/(('Match Log'!$A$4:$A$1510=$A152)*('Match Log'!$E$4:$E$1510="Win")),'Match Log'!$D$4:$D$1510),""))</f>
        <v>Aaron</v>
      </c>
      <c r="E152" s="139">
        <f>IFERROR(INDEX('Match Log'!$F$4:$F$1510,MATCH($A152,'Match Log'!$A$4:$A$1510,0)),"")</f>
        <v>2</v>
      </c>
      <c r="F152">
        <f>IFERROR(SUMIFS('Match Log'!$I$4:$I$1510,'Match Log'!$A$4:$A$1510,$A152,'Match Log'!$E$4:$E$1510,"Win"),"")</f>
        <v>0.5473251028806585</v>
      </c>
      <c r="G152">
        <f t="shared" si="20"/>
        <v>-9.4650205761316997E-2</v>
      </c>
      <c r="H152" t="str">
        <f t="array" ref="H152">IFERROR(IF(COUNTIFS('Match Log'!$A$4:$A$1510,$A152,'Match Log'!$E$4:$E$1510,"Win")&gt;1,_xlfn.TEXTJOIN(" + ",TRUE(),IF(('Match Log'!$A$4:$A$1510=$A152)*('Match Log'!$E$4:$E$1510="Loss"),'Match Log'!$D$4:$D$1510,"")),IF($E152=2,LOOKUP(2,1/(('Match Log'!$A$4:$A$1510=$A152)*('Match Log'!$E$4:$E$1510="Loss")),'Match Log'!$D$4:$D$1510),"the field")),"")</f>
        <v>Shawn</v>
      </c>
      <c r="I152">
        <f t="shared" si="21"/>
        <v>-9.4778205761317E-2</v>
      </c>
      <c r="J152">
        <v>128</v>
      </c>
      <c r="K152">
        <f>IF($J152&gt;MAX('Match Log'!$A$4:$A$1510),NA(),IFERROR(LOOKUP(2,1/(('Match Log'!$D$4:$D$1510=$K$24)*('Match Log'!$A$4:$A$1510&lt;=$J152)),'Match Log'!$N$4:$N$1510),NA()))</f>
        <v>1106.0942109434454</v>
      </c>
      <c r="L152">
        <f>IF($J152&gt;MAX('Match Log'!$A$4:$A$1510),NA(),IFERROR(LOOKUP(2,1/(('Match Log'!$D$4:$D$1510=$L$24)*('Match Log'!$A$4:$A$1510&lt;=$J152)),'Match Log'!$N$4:$N$1510),NA()))</f>
        <v>1029.5175965335138</v>
      </c>
      <c r="M152">
        <f>IF($J152&gt;MAX('Match Log'!$A$4:$A$1510),NA(),IFERROR(LOOKUP(2,1/(('Match Log'!$D$4:$D$1510=$M$24)*('Match Log'!$A$4:$A$1510&lt;=$J152)),'Match Log'!$N$4:$N$1510),NA()))</f>
        <v>1016.7841648959289</v>
      </c>
      <c r="N152">
        <f>IF($J152&gt;MAX('Match Log'!$A$4:$A$1510),NA(),IFERROR(LOOKUP(2,1/(('Match Log'!$D$4:$D$1510=$N$24)*('Match Log'!$A$4:$A$1510&lt;=$J152)),'Match Log'!$N$4:$N$1510),NA()))</f>
        <v>981.90186446660846</v>
      </c>
      <c r="O152">
        <f>IF($J152&gt;MAX('Match Log'!$A$4:$A$1510),NA(),IFERROR(LOOKUP(2,1/(('Match Log'!$D$4:$D$1510=$O$24)*('Match Log'!$A$4:$A$1510&lt;=$J152)),'Match Log'!$N$4:$N$1510),NA()))</f>
        <v>1115.1375937966061</v>
      </c>
      <c r="P152">
        <f>IF($J152&gt;MAX('Match Log'!$A$4:$A$1510),NA(),IFERROR(LOOKUP(2,1/(('Match Log'!$D$4:$D$1510=$P$24)*('Match Log'!$A$4:$A$1510&lt;=$J152)),'Match Log'!$N$4:$N$1510),NA()))</f>
        <v>1024.9890896118065</v>
      </c>
      <c r="Q152">
        <f>IF($J152&gt;MAX('Match Log'!$A$4:$A$1510),NA(),IFERROR(LOOKUP(2,1/(('Match Log'!$D$4:$D$1510=$Q$24)*('Match Log'!$A$4:$A$1510&lt;=$J152)),'Match Log'!$N$4:$N$1510),NA()))</f>
        <v>1085.4901250893295</v>
      </c>
      <c r="R152">
        <f>IF($J152&gt;MAX('Match Log'!$A$4:$A$1510),NA(),IFERROR(LOOKUP(2,1/(('Match Log'!$D$4:$D$1510=$R$24)*('Match Log'!$A$4:$A$1510&lt;=$J152)),'Match Log'!$N$4:$N$1510),NA()))</f>
        <v>1058.2210518223603</v>
      </c>
      <c r="S152">
        <f>IF($J152&gt;MAX('Match Log'!$A$4:$A$1510),NA(),IFERROR(LOOKUP(2,1/(('Match Log'!$D$4:$D$1510=$S$24)*('Match Log'!$A$4:$A$1510&lt;=$J152)),'Match Log'!$N$4:$N$1510),NA()))</f>
        <v>1168.3002777514087</v>
      </c>
      <c r="T152">
        <f>IF($J152&gt;MAX('Match Log'!$A$4:$A$1510),NA(),IFERROR(LOOKUP(2,1/(('Match Log'!$D$4:$D$1510=$T$24)*('Match Log'!$A$4:$A$1510&lt;=$J152)),'Match Log'!$N$4:$N$1510),NA()))</f>
        <v>893.15761519837804</v>
      </c>
      <c r="U152">
        <f>IF($J152&gt;MAX('Match Log'!$A$4:$A$1510),NA(),IFERROR(LOOKUP(2,1/(('Match Log'!$D$4:$D$1510=$U$24)*('Match Log'!$A$4:$A$1510&lt;=$J152)),'Match Log'!$N$4:$N$1510),NA()))</f>
        <v>1062.8275894279936</v>
      </c>
      <c r="V152">
        <f>IF($J152&gt;MAX('Match Log'!$A$4:$A$1510),NA(),IFERROR(LOOKUP(2,1/(('Match Log'!$D$4:$D$1510=$V$24)*('Match Log'!$A$4:$A$1510&lt;=$J152)),'Match Log'!$N$4:$N$1510),NA()))</f>
        <v>1031.1892257719715</v>
      </c>
      <c r="W152">
        <f>IF($J152&gt;MAX('Match Log'!$A$4:$A$1510),NA(),IFERROR(LOOKUP(2,1/(('Match Log'!$D$4:$D$1510=$W$24)*('Match Log'!$A$4:$A$1510&lt;=$J152)),'Match Log'!$N$4:$N$1510),NA()))</f>
        <v>1030.3895946906482</v>
      </c>
      <c r="X152" t="e">
        <f>IF($J152&gt;MAX('Match Log'!$A$4:$A$1510),NA(),IFERROR(LOOKUP(2,1/(('Match Log'!$D$4:$D$1510=$X$24)*('Match Log'!$A$4:$A$1510&lt;=$J152)),'Match Log'!$N$4:$N$1510),NA()))</f>
        <v>#N/A</v>
      </c>
      <c r="Y152" t="str">
        <f t="shared" ca="1" si="22"/>
        <v/>
      </c>
    </row>
    <row r="153" spans="1:25" x14ac:dyDescent="0.2">
      <c r="A153">
        <v>129</v>
      </c>
      <c r="B153" s="138">
        <f>IFERROR(INDEX('Match Log'!$B$4:$B$1510,MATCH($A153,'Match Log'!$A$4:$A$1510,0)),"")</f>
        <v>46212</v>
      </c>
      <c r="C153" t="str">
        <f>IFERROR(INDEX('Match Log'!$C$4:$C$1510,MATCH($A153,'Match Log'!$A$4:$A$1510,0)),"")</f>
        <v>Mario Golf</v>
      </c>
      <c r="D153" t="str">
        <f t="array" ref="D153">IFERROR(_xlfn.TEXTJOIN(" + ",TRUE(),IF(('Match Log'!$A$4:$A$1510=$A153)*('Match Log'!$E$4:$E$1510="Win"),'Match Log'!$D$4:$D$1510,"")),IFERROR(LOOKUP(2,1/(('Match Log'!$A$4:$A$1510=$A153)*('Match Log'!$E$4:$E$1510="Win")),'Match Log'!$D$4:$D$1510),""))</f>
        <v>Shawn</v>
      </c>
      <c r="E153" s="139">
        <f>IFERROR(INDEX('Match Log'!$F$4:$F$1510,MATCH($A153,'Match Log'!$A$4:$A$1510,0)),"")</f>
        <v>2</v>
      </c>
      <c r="F153">
        <f>IFERROR(SUMIFS('Match Log'!$I$4:$I$1510,'Match Log'!$A$4:$A$1510,$A153,'Match Log'!$E$4:$E$1510,"Win"),"")</f>
        <v>0.5</v>
      </c>
      <c r="G153">
        <f t="shared" ref="G153:G216" si="23">IF($D153="","",1-$F153*$E153)</f>
        <v>0</v>
      </c>
      <c r="H153" t="str">
        <f t="array" ref="H153">IFERROR(IF(COUNTIFS('Match Log'!$A$4:$A$1510,$A153,'Match Log'!$E$4:$E$1510,"Win")&gt;1,_xlfn.TEXTJOIN(" + ",TRUE(),IF(('Match Log'!$A$4:$A$1510=$A153)*('Match Log'!$E$4:$E$1510="Loss"),'Match Log'!$D$4:$D$1510,"")),IF($E153=2,LOOKUP(2,1/(('Match Log'!$A$4:$A$1510=$A153)*('Match Log'!$E$4:$E$1510="Loss")),'Match Log'!$D$4:$D$1510),"the field")),"")</f>
        <v>Aaron</v>
      </c>
      <c r="I153">
        <f t="shared" ref="I153:I216" si="24">IF($G153="","",$G153-$A153/1000000)</f>
        <v>-1.2899999999999999E-4</v>
      </c>
      <c r="J153">
        <v>129</v>
      </c>
      <c r="K153">
        <f>IF($J153&gt;MAX('Match Log'!$A$4:$A$1510),NA(),IFERROR(LOOKUP(2,1/(('Match Log'!$D$4:$D$1510=$K$24)*('Match Log'!$A$4:$A$1510&lt;=$J153)),'Match Log'!$N$4:$N$1510),NA()))</f>
        <v>1080.4255805666662</v>
      </c>
      <c r="L153">
        <f>IF($J153&gt;MAX('Match Log'!$A$4:$A$1510),NA(),IFERROR(LOOKUP(2,1/(('Match Log'!$D$4:$D$1510=$L$24)*('Match Log'!$A$4:$A$1510&lt;=$J153)),'Match Log'!$N$4:$N$1510),NA()))</f>
        <v>1029.5175965335138</v>
      </c>
      <c r="M153">
        <f>IF($J153&gt;MAX('Match Log'!$A$4:$A$1510),NA(),IFERROR(LOOKUP(2,1/(('Match Log'!$D$4:$D$1510=$M$24)*('Match Log'!$A$4:$A$1510&lt;=$J153)),'Match Log'!$N$4:$N$1510),NA()))</f>
        <v>1016.7841648959289</v>
      </c>
      <c r="N153">
        <f>IF($J153&gt;MAX('Match Log'!$A$4:$A$1510),NA(),IFERROR(LOOKUP(2,1/(('Match Log'!$D$4:$D$1510=$N$24)*('Match Log'!$A$4:$A$1510&lt;=$J153)),'Match Log'!$N$4:$N$1510),NA()))</f>
        <v>981.90186446660846</v>
      </c>
      <c r="O153">
        <f>IF($J153&gt;MAX('Match Log'!$A$4:$A$1510),NA(),IFERROR(LOOKUP(2,1/(('Match Log'!$D$4:$D$1510=$O$24)*('Match Log'!$A$4:$A$1510&lt;=$J153)),'Match Log'!$N$4:$N$1510),NA()))</f>
        <v>1115.1375937966061</v>
      </c>
      <c r="P153">
        <f>IF($J153&gt;MAX('Match Log'!$A$4:$A$1510),NA(),IFERROR(LOOKUP(2,1/(('Match Log'!$D$4:$D$1510=$P$24)*('Match Log'!$A$4:$A$1510&lt;=$J153)),'Match Log'!$N$4:$N$1510),NA()))</f>
        <v>1050.6577199885858</v>
      </c>
      <c r="Q153">
        <f>IF($J153&gt;MAX('Match Log'!$A$4:$A$1510),NA(),IFERROR(LOOKUP(2,1/(('Match Log'!$D$4:$D$1510=$Q$24)*('Match Log'!$A$4:$A$1510&lt;=$J153)),'Match Log'!$N$4:$N$1510),NA()))</f>
        <v>1085.4901250893295</v>
      </c>
      <c r="R153">
        <f>IF($J153&gt;MAX('Match Log'!$A$4:$A$1510),NA(),IFERROR(LOOKUP(2,1/(('Match Log'!$D$4:$D$1510=$R$24)*('Match Log'!$A$4:$A$1510&lt;=$J153)),'Match Log'!$N$4:$N$1510),NA()))</f>
        <v>1058.2210518223603</v>
      </c>
      <c r="S153">
        <f>IF($J153&gt;MAX('Match Log'!$A$4:$A$1510),NA(),IFERROR(LOOKUP(2,1/(('Match Log'!$D$4:$D$1510=$S$24)*('Match Log'!$A$4:$A$1510&lt;=$J153)),'Match Log'!$N$4:$N$1510),NA()))</f>
        <v>1168.3002777514087</v>
      </c>
      <c r="T153">
        <f>IF($J153&gt;MAX('Match Log'!$A$4:$A$1510),NA(),IFERROR(LOOKUP(2,1/(('Match Log'!$D$4:$D$1510=$T$24)*('Match Log'!$A$4:$A$1510&lt;=$J153)),'Match Log'!$N$4:$N$1510),NA()))</f>
        <v>893.15761519837804</v>
      </c>
      <c r="U153">
        <f>IF($J153&gt;MAX('Match Log'!$A$4:$A$1510),NA(),IFERROR(LOOKUP(2,1/(('Match Log'!$D$4:$D$1510=$U$24)*('Match Log'!$A$4:$A$1510&lt;=$J153)),'Match Log'!$N$4:$N$1510),NA()))</f>
        <v>1062.8275894279936</v>
      </c>
      <c r="V153">
        <f>IF($J153&gt;MAX('Match Log'!$A$4:$A$1510),NA(),IFERROR(LOOKUP(2,1/(('Match Log'!$D$4:$D$1510=$V$24)*('Match Log'!$A$4:$A$1510&lt;=$J153)),'Match Log'!$N$4:$N$1510),NA()))</f>
        <v>1031.1892257719715</v>
      </c>
      <c r="W153">
        <f>IF($J153&gt;MAX('Match Log'!$A$4:$A$1510),NA(),IFERROR(LOOKUP(2,1/(('Match Log'!$D$4:$D$1510=$W$24)*('Match Log'!$A$4:$A$1510&lt;=$J153)),'Match Log'!$N$4:$N$1510),NA()))</f>
        <v>1030.3895946906482</v>
      </c>
      <c r="X153" t="e">
        <f>IF($J153&gt;MAX('Match Log'!$A$4:$A$1510),NA(),IFERROR(LOOKUP(2,1/(('Match Log'!$D$4:$D$1510=$X$24)*('Match Log'!$A$4:$A$1510&lt;=$J153)),'Match Log'!$N$4:$N$1510),NA()))</f>
        <v>#N/A</v>
      </c>
      <c r="Y153" t="str">
        <f t="shared" ref="Y153:Y216" ca="1" si="25">IF(AND($B153&lt;&gt;"",$B153&gt;=$B$5,$I153&lt;&gt;""),$I153,"")</f>
        <v/>
      </c>
    </row>
    <row r="154" spans="1:25" x14ac:dyDescent="0.2">
      <c r="A154">
        <v>130</v>
      </c>
      <c r="B154" s="138">
        <f>IFERROR(INDEX('Match Log'!$B$4:$B$1510,MATCH($A154,'Match Log'!$A$4:$A$1510,0)),"")</f>
        <v>46212</v>
      </c>
      <c r="C154" t="str">
        <f>IFERROR(INDEX('Match Log'!$C$4:$C$1510,MATCH($A154,'Match Log'!$A$4:$A$1510,0)),"")</f>
        <v>Mario Golf</v>
      </c>
      <c r="D154" t="str">
        <f t="array" ref="D154">IFERROR(_xlfn.TEXTJOIN(" + ",TRUE(),IF(('Match Log'!$A$4:$A$1510=$A154)*('Match Log'!$E$4:$E$1510="Win"),'Match Log'!$D$4:$D$1510,"")),IFERROR(LOOKUP(2,1/(('Match Log'!$A$4:$A$1510=$A154)*('Match Log'!$E$4:$E$1510="Win")),'Match Log'!$D$4:$D$1510),""))</f>
        <v>Shawn</v>
      </c>
      <c r="E154" s="139">
        <f>IFERROR(INDEX('Match Log'!$F$4:$F$1510,MATCH($A154,'Match Log'!$A$4:$A$1510,0)),"")</f>
        <v>2</v>
      </c>
      <c r="F154">
        <f>IFERROR(SUMIFS('Match Log'!$I$4:$I$1510,'Match Log'!$A$4:$A$1510,$A154,'Match Log'!$E$4:$E$1510,"Win"),"")</f>
        <v>0.66666666666666663</v>
      </c>
      <c r="G154">
        <f t="shared" si="23"/>
        <v>-0.33333333333333326</v>
      </c>
      <c r="H154" t="str">
        <f t="array" ref="H154">IFERROR(IF(COUNTIFS('Match Log'!$A$4:$A$1510,$A154,'Match Log'!$E$4:$E$1510,"Win")&gt;1,_xlfn.TEXTJOIN(" + ",TRUE(),IF(('Match Log'!$A$4:$A$1510=$A154)*('Match Log'!$E$4:$E$1510="Loss"),'Match Log'!$D$4:$D$1510,"")),IF($E154=2,LOOKUP(2,1/(('Match Log'!$A$4:$A$1510=$A154)*('Match Log'!$E$4:$E$1510="Loss")),'Match Log'!$D$4:$D$1510),"the field")),"")</f>
        <v>Aaron</v>
      </c>
      <c r="I154">
        <f t="shared" si="24"/>
        <v>-0.33346333333333328</v>
      </c>
      <c r="J154">
        <v>130</v>
      </c>
      <c r="K154">
        <f>IF($J154&gt;MAX('Match Log'!$A$4:$A$1510),NA(),IFERROR(LOOKUP(2,1/(('Match Log'!$D$4:$D$1510=$K$24)*('Match Log'!$A$4:$A$1510&lt;=$J154)),'Match Log'!$N$4:$N$1510),NA()))</f>
        <v>1059.5297436483218</v>
      </c>
      <c r="L154">
        <f>IF($J154&gt;MAX('Match Log'!$A$4:$A$1510),NA(),IFERROR(LOOKUP(2,1/(('Match Log'!$D$4:$D$1510=$L$24)*('Match Log'!$A$4:$A$1510&lt;=$J154)),'Match Log'!$N$4:$N$1510),NA()))</f>
        <v>1029.5175965335138</v>
      </c>
      <c r="M154">
        <f>IF($J154&gt;MAX('Match Log'!$A$4:$A$1510),NA(),IFERROR(LOOKUP(2,1/(('Match Log'!$D$4:$D$1510=$M$24)*('Match Log'!$A$4:$A$1510&lt;=$J154)),'Match Log'!$N$4:$N$1510),NA()))</f>
        <v>1016.7841648959289</v>
      </c>
      <c r="N154">
        <f>IF($J154&gt;MAX('Match Log'!$A$4:$A$1510),NA(),IFERROR(LOOKUP(2,1/(('Match Log'!$D$4:$D$1510=$N$24)*('Match Log'!$A$4:$A$1510&lt;=$J154)),'Match Log'!$N$4:$N$1510),NA()))</f>
        <v>981.90186446660846</v>
      </c>
      <c r="O154">
        <f>IF($J154&gt;MAX('Match Log'!$A$4:$A$1510),NA(),IFERROR(LOOKUP(2,1/(('Match Log'!$D$4:$D$1510=$O$24)*('Match Log'!$A$4:$A$1510&lt;=$J154)),'Match Log'!$N$4:$N$1510),NA()))</f>
        <v>1115.1375937966061</v>
      </c>
      <c r="P154">
        <f>IF($J154&gt;MAX('Match Log'!$A$4:$A$1510),NA(),IFERROR(LOOKUP(2,1/(('Match Log'!$D$4:$D$1510=$P$24)*('Match Log'!$A$4:$A$1510&lt;=$J154)),'Match Log'!$N$4:$N$1510),NA()))</f>
        <v>1071.5535569069302</v>
      </c>
      <c r="Q154">
        <f>IF($J154&gt;MAX('Match Log'!$A$4:$A$1510),NA(),IFERROR(LOOKUP(2,1/(('Match Log'!$D$4:$D$1510=$Q$24)*('Match Log'!$A$4:$A$1510&lt;=$J154)),'Match Log'!$N$4:$N$1510),NA()))</f>
        <v>1085.4901250893295</v>
      </c>
      <c r="R154">
        <f>IF($J154&gt;MAX('Match Log'!$A$4:$A$1510),NA(),IFERROR(LOOKUP(2,1/(('Match Log'!$D$4:$D$1510=$R$24)*('Match Log'!$A$4:$A$1510&lt;=$J154)),'Match Log'!$N$4:$N$1510),NA()))</f>
        <v>1058.2210518223603</v>
      </c>
      <c r="S154">
        <f>IF($J154&gt;MAX('Match Log'!$A$4:$A$1510),NA(),IFERROR(LOOKUP(2,1/(('Match Log'!$D$4:$D$1510=$S$24)*('Match Log'!$A$4:$A$1510&lt;=$J154)),'Match Log'!$N$4:$N$1510),NA()))</f>
        <v>1168.3002777514087</v>
      </c>
      <c r="T154">
        <f>IF($J154&gt;MAX('Match Log'!$A$4:$A$1510),NA(),IFERROR(LOOKUP(2,1/(('Match Log'!$D$4:$D$1510=$T$24)*('Match Log'!$A$4:$A$1510&lt;=$J154)),'Match Log'!$N$4:$N$1510),NA()))</f>
        <v>893.15761519837804</v>
      </c>
      <c r="U154">
        <f>IF($J154&gt;MAX('Match Log'!$A$4:$A$1510),NA(),IFERROR(LOOKUP(2,1/(('Match Log'!$D$4:$D$1510=$U$24)*('Match Log'!$A$4:$A$1510&lt;=$J154)),'Match Log'!$N$4:$N$1510),NA()))</f>
        <v>1062.8275894279936</v>
      </c>
      <c r="V154">
        <f>IF($J154&gt;MAX('Match Log'!$A$4:$A$1510),NA(),IFERROR(LOOKUP(2,1/(('Match Log'!$D$4:$D$1510=$V$24)*('Match Log'!$A$4:$A$1510&lt;=$J154)),'Match Log'!$N$4:$N$1510),NA()))</f>
        <v>1031.1892257719715</v>
      </c>
      <c r="W154">
        <f>IF($J154&gt;MAX('Match Log'!$A$4:$A$1510),NA(),IFERROR(LOOKUP(2,1/(('Match Log'!$D$4:$D$1510=$W$24)*('Match Log'!$A$4:$A$1510&lt;=$J154)),'Match Log'!$N$4:$N$1510),NA()))</f>
        <v>1030.3895946906482</v>
      </c>
      <c r="X154" t="e">
        <f>IF($J154&gt;MAX('Match Log'!$A$4:$A$1510),NA(),IFERROR(LOOKUP(2,1/(('Match Log'!$D$4:$D$1510=$X$24)*('Match Log'!$A$4:$A$1510&lt;=$J154)),'Match Log'!$N$4:$N$1510),NA()))</f>
        <v>#N/A</v>
      </c>
      <c r="Y154" t="str">
        <f t="shared" ca="1" si="25"/>
        <v/>
      </c>
    </row>
    <row r="155" spans="1:25" x14ac:dyDescent="0.2">
      <c r="A155">
        <v>131</v>
      </c>
      <c r="B155" s="138">
        <f>IFERROR(INDEX('Match Log'!$B$4:$B$1510,MATCH($A155,'Match Log'!$A$4:$A$1510,0)),"")</f>
        <v>46212</v>
      </c>
      <c r="C155" t="str">
        <f>IFERROR(INDEX('Match Log'!$C$4:$C$1510,MATCH($A155,'Match Log'!$A$4:$A$1510,0)),"")</f>
        <v>Mario Golf</v>
      </c>
      <c r="D155" t="str">
        <f t="array" ref="D155">IFERROR(_xlfn.TEXTJOIN(" + ",TRUE(),IF(('Match Log'!$A$4:$A$1510=$A155)*('Match Log'!$E$4:$E$1510="Win"),'Match Log'!$D$4:$D$1510,"")),IFERROR(LOOKUP(2,1/(('Match Log'!$A$4:$A$1510=$A155)*('Match Log'!$E$4:$E$1510="Win")),'Match Log'!$D$4:$D$1510),""))</f>
        <v>Shawn</v>
      </c>
      <c r="E155" s="139">
        <f>IFERROR(INDEX('Match Log'!$F$4:$F$1510,MATCH($A155,'Match Log'!$A$4:$A$1510,0)),"")</f>
        <v>2</v>
      </c>
      <c r="F155">
        <f>IFERROR(SUMIFS('Match Log'!$I$4:$I$1510,'Match Log'!$A$4:$A$1510,$A155,'Match Log'!$E$4:$E$1510,"Win"),"")</f>
        <v>0.75</v>
      </c>
      <c r="G155">
        <f t="shared" si="23"/>
        <v>-0.5</v>
      </c>
      <c r="H155" t="str">
        <f t="array" ref="H155">IFERROR(IF(COUNTIFS('Match Log'!$A$4:$A$1510,$A155,'Match Log'!$E$4:$E$1510,"Win")&gt;1,_xlfn.TEXTJOIN(" + ",TRUE(),IF(('Match Log'!$A$4:$A$1510=$A155)*('Match Log'!$E$4:$E$1510="Loss"),'Match Log'!$D$4:$D$1510,"")),IF($E155=2,LOOKUP(2,1/(('Match Log'!$A$4:$A$1510=$A155)*('Match Log'!$E$4:$E$1510="Loss")),'Match Log'!$D$4:$D$1510),"the field")),"")</f>
        <v>Aaron</v>
      </c>
      <c r="I155">
        <f t="shared" si="24"/>
        <v>-0.50013099999999999</v>
      </c>
      <c r="J155">
        <v>131</v>
      </c>
      <c r="K155">
        <f>IF($J155&gt;MAX('Match Log'!$A$4:$A$1510),NA(),IFERROR(LOOKUP(2,1/(('Match Log'!$D$4:$D$1510=$K$24)*('Match Log'!$A$4:$A$1510&lt;=$J155)),'Match Log'!$N$4:$N$1510),NA()))</f>
        <v>1041.726434828031</v>
      </c>
      <c r="L155">
        <f>IF($J155&gt;MAX('Match Log'!$A$4:$A$1510),NA(),IFERROR(LOOKUP(2,1/(('Match Log'!$D$4:$D$1510=$L$24)*('Match Log'!$A$4:$A$1510&lt;=$J155)),'Match Log'!$N$4:$N$1510),NA()))</f>
        <v>1029.5175965335138</v>
      </c>
      <c r="M155">
        <f>IF($J155&gt;MAX('Match Log'!$A$4:$A$1510),NA(),IFERROR(LOOKUP(2,1/(('Match Log'!$D$4:$D$1510=$M$24)*('Match Log'!$A$4:$A$1510&lt;=$J155)),'Match Log'!$N$4:$N$1510),NA()))</f>
        <v>1016.7841648959289</v>
      </c>
      <c r="N155">
        <f>IF($J155&gt;MAX('Match Log'!$A$4:$A$1510),NA(),IFERROR(LOOKUP(2,1/(('Match Log'!$D$4:$D$1510=$N$24)*('Match Log'!$A$4:$A$1510&lt;=$J155)),'Match Log'!$N$4:$N$1510),NA()))</f>
        <v>981.90186446660846</v>
      </c>
      <c r="O155">
        <f>IF($J155&gt;MAX('Match Log'!$A$4:$A$1510),NA(),IFERROR(LOOKUP(2,1/(('Match Log'!$D$4:$D$1510=$O$24)*('Match Log'!$A$4:$A$1510&lt;=$J155)),'Match Log'!$N$4:$N$1510),NA()))</f>
        <v>1115.1375937966061</v>
      </c>
      <c r="P155">
        <f>IF($J155&gt;MAX('Match Log'!$A$4:$A$1510),NA(),IFERROR(LOOKUP(2,1/(('Match Log'!$D$4:$D$1510=$P$24)*('Match Log'!$A$4:$A$1510&lt;=$J155)),'Match Log'!$N$4:$N$1510),NA()))</f>
        <v>1089.356865727221</v>
      </c>
      <c r="Q155">
        <f>IF($J155&gt;MAX('Match Log'!$A$4:$A$1510),NA(),IFERROR(LOOKUP(2,1/(('Match Log'!$D$4:$D$1510=$Q$24)*('Match Log'!$A$4:$A$1510&lt;=$J155)),'Match Log'!$N$4:$N$1510),NA()))</f>
        <v>1085.4901250893295</v>
      </c>
      <c r="R155">
        <f>IF($J155&gt;MAX('Match Log'!$A$4:$A$1510),NA(),IFERROR(LOOKUP(2,1/(('Match Log'!$D$4:$D$1510=$R$24)*('Match Log'!$A$4:$A$1510&lt;=$J155)),'Match Log'!$N$4:$N$1510),NA()))</f>
        <v>1058.2210518223603</v>
      </c>
      <c r="S155">
        <f>IF($J155&gt;MAX('Match Log'!$A$4:$A$1510),NA(),IFERROR(LOOKUP(2,1/(('Match Log'!$D$4:$D$1510=$S$24)*('Match Log'!$A$4:$A$1510&lt;=$J155)),'Match Log'!$N$4:$N$1510),NA()))</f>
        <v>1168.3002777514087</v>
      </c>
      <c r="T155">
        <f>IF($J155&gt;MAX('Match Log'!$A$4:$A$1510),NA(),IFERROR(LOOKUP(2,1/(('Match Log'!$D$4:$D$1510=$T$24)*('Match Log'!$A$4:$A$1510&lt;=$J155)),'Match Log'!$N$4:$N$1510),NA()))</f>
        <v>893.15761519837804</v>
      </c>
      <c r="U155">
        <f>IF($J155&gt;MAX('Match Log'!$A$4:$A$1510),NA(),IFERROR(LOOKUP(2,1/(('Match Log'!$D$4:$D$1510=$U$24)*('Match Log'!$A$4:$A$1510&lt;=$J155)),'Match Log'!$N$4:$N$1510),NA()))</f>
        <v>1062.8275894279936</v>
      </c>
      <c r="V155">
        <f>IF($J155&gt;MAX('Match Log'!$A$4:$A$1510),NA(),IFERROR(LOOKUP(2,1/(('Match Log'!$D$4:$D$1510=$V$24)*('Match Log'!$A$4:$A$1510&lt;=$J155)),'Match Log'!$N$4:$N$1510),NA()))</f>
        <v>1031.1892257719715</v>
      </c>
      <c r="W155">
        <f>IF($J155&gt;MAX('Match Log'!$A$4:$A$1510),NA(),IFERROR(LOOKUP(2,1/(('Match Log'!$D$4:$D$1510=$W$24)*('Match Log'!$A$4:$A$1510&lt;=$J155)),'Match Log'!$N$4:$N$1510),NA()))</f>
        <v>1030.3895946906482</v>
      </c>
      <c r="X155" t="e">
        <f>IF($J155&gt;MAX('Match Log'!$A$4:$A$1510),NA(),IFERROR(LOOKUP(2,1/(('Match Log'!$D$4:$D$1510=$X$24)*('Match Log'!$A$4:$A$1510&lt;=$J155)),'Match Log'!$N$4:$N$1510),NA()))</f>
        <v>#N/A</v>
      </c>
      <c r="Y155" t="str">
        <f t="shared" ca="1" si="25"/>
        <v/>
      </c>
    </row>
    <row r="156" spans="1:25" x14ac:dyDescent="0.2">
      <c r="A156">
        <v>132</v>
      </c>
      <c r="B156" s="138">
        <f>IFERROR(INDEX('Match Log'!$B$4:$B$1510,MATCH($A156,'Match Log'!$A$4:$A$1510,0)),"")</f>
        <v>46213</v>
      </c>
      <c r="C156" t="str">
        <f>IFERROR(INDEX('Match Log'!$C$4:$C$1510,MATCH($A156,'Match Log'!$A$4:$A$1510,0)),"")</f>
        <v>FIFA</v>
      </c>
      <c r="D156" t="str">
        <f t="array" ref="D156">IFERROR(_xlfn.TEXTJOIN(" + ",TRUE(),IF(('Match Log'!$A$4:$A$1510=$A156)*('Match Log'!$E$4:$E$1510="Win"),'Match Log'!$D$4:$D$1510,"")),IFERROR(LOOKUP(2,1/(('Match Log'!$A$4:$A$1510=$A156)*('Match Log'!$E$4:$E$1510="Win")),'Match Log'!$D$4:$D$1510),""))</f>
        <v>Aaron</v>
      </c>
      <c r="E156" s="139">
        <f>IFERROR(INDEX('Match Log'!$F$4:$F$1510,MATCH($A156,'Match Log'!$A$4:$A$1510,0)),"")</f>
        <v>2</v>
      </c>
      <c r="F156">
        <f>IFERROR(SUMIFS('Match Log'!$I$4:$I$1510,'Match Log'!$A$4:$A$1510,$A156,'Match Log'!$E$4:$E$1510,"Win"),"")</f>
        <v>0.57142857142857151</v>
      </c>
      <c r="G156">
        <f t="shared" si="23"/>
        <v>-0.14285714285714302</v>
      </c>
      <c r="H156" t="str">
        <f t="array" ref="H156">IFERROR(IF(COUNTIFS('Match Log'!$A$4:$A$1510,$A156,'Match Log'!$E$4:$E$1510,"Win")&gt;1,_xlfn.TEXTJOIN(" + ",TRUE(),IF(('Match Log'!$A$4:$A$1510=$A156)*('Match Log'!$E$4:$E$1510="Loss"),'Match Log'!$D$4:$D$1510,"")),IF($E156=2,LOOKUP(2,1/(('Match Log'!$A$4:$A$1510=$A156)*('Match Log'!$E$4:$E$1510="Loss")),'Match Log'!$D$4:$D$1510),"the field")),"")</f>
        <v>Shawn</v>
      </c>
      <c r="I156">
        <f t="shared" si="24"/>
        <v>-0.14298914285714301</v>
      </c>
      <c r="J156">
        <v>132</v>
      </c>
      <c r="K156">
        <f>IF($J156&gt;MAX('Match Log'!$A$4:$A$1510),NA(),IFERROR(LOOKUP(2,1/(('Match Log'!$D$4:$D$1510=$K$24)*('Match Log'!$A$4:$A$1510&lt;=$J156)),'Match Log'!$N$4:$N$1510),NA()))</f>
        <v>1061.6751948941551</v>
      </c>
      <c r="L156">
        <f>IF($J156&gt;MAX('Match Log'!$A$4:$A$1510),NA(),IFERROR(LOOKUP(2,1/(('Match Log'!$D$4:$D$1510=$L$24)*('Match Log'!$A$4:$A$1510&lt;=$J156)),'Match Log'!$N$4:$N$1510),NA()))</f>
        <v>1029.5175965335138</v>
      </c>
      <c r="M156">
        <f>IF($J156&gt;MAX('Match Log'!$A$4:$A$1510),NA(),IFERROR(LOOKUP(2,1/(('Match Log'!$D$4:$D$1510=$M$24)*('Match Log'!$A$4:$A$1510&lt;=$J156)),'Match Log'!$N$4:$N$1510),NA()))</f>
        <v>1016.7841648959289</v>
      </c>
      <c r="N156">
        <f>IF($J156&gt;MAX('Match Log'!$A$4:$A$1510),NA(),IFERROR(LOOKUP(2,1/(('Match Log'!$D$4:$D$1510=$N$24)*('Match Log'!$A$4:$A$1510&lt;=$J156)),'Match Log'!$N$4:$N$1510),NA()))</f>
        <v>981.90186446660846</v>
      </c>
      <c r="O156">
        <f>IF($J156&gt;MAX('Match Log'!$A$4:$A$1510),NA(),IFERROR(LOOKUP(2,1/(('Match Log'!$D$4:$D$1510=$O$24)*('Match Log'!$A$4:$A$1510&lt;=$J156)),'Match Log'!$N$4:$N$1510),NA()))</f>
        <v>1115.1375937966061</v>
      </c>
      <c r="P156">
        <f>IF($J156&gt;MAX('Match Log'!$A$4:$A$1510),NA(),IFERROR(LOOKUP(2,1/(('Match Log'!$D$4:$D$1510=$P$24)*('Match Log'!$A$4:$A$1510&lt;=$J156)),'Match Log'!$N$4:$N$1510),NA()))</f>
        <v>1069.4081056610969</v>
      </c>
      <c r="Q156">
        <f>IF($J156&gt;MAX('Match Log'!$A$4:$A$1510),NA(),IFERROR(LOOKUP(2,1/(('Match Log'!$D$4:$D$1510=$Q$24)*('Match Log'!$A$4:$A$1510&lt;=$J156)),'Match Log'!$N$4:$N$1510),NA()))</f>
        <v>1085.4901250893295</v>
      </c>
      <c r="R156">
        <f>IF($J156&gt;MAX('Match Log'!$A$4:$A$1510),NA(),IFERROR(LOOKUP(2,1/(('Match Log'!$D$4:$D$1510=$R$24)*('Match Log'!$A$4:$A$1510&lt;=$J156)),'Match Log'!$N$4:$N$1510),NA()))</f>
        <v>1058.2210518223603</v>
      </c>
      <c r="S156">
        <f>IF($J156&gt;MAX('Match Log'!$A$4:$A$1510),NA(),IFERROR(LOOKUP(2,1/(('Match Log'!$D$4:$D$1510=$S$24)*('Match Log'!$A$4:$A$1510&lt;=$J156)),'Match Log'!$N$4:$N$1510),NA()))</f>
        <v>1168.3002777514087</v>
      </c>
      <c r="T156">
        <f>IF($J156&gt;MAX('Match Log'!$A$4:$A$1510),NA(),IFERROR(LOOKUP(2,1/(('Match Log'!$D$4:$D$1510=$T$24)*('Match Log'!$A$4:$A$1510&lt;=$J156)),'Match Log'!$N$4:$N$1510),NA()))</f>
        <v>893.15761519837804</v>
      </c>
      <c r="U156">
        <f>IF($J156&gt;MAX('Match Log'!$A$4:$A$1510),NA(),IFERROR(LOOKUP(2,1/(('Match Log'!$D$4:$D$1510=$U$24)*('Match Log'!$A$4:$A$1510&lt;=$J156)),'Match Log'!$N$4:$N$1510),NA()))</f>
        <v>1062.8275894279936</v>
      </c>
      <c r="V156">
        <f>IF($J156&gt;MAX('Match Log'!$A$4:$A$1510),NA(),IFERROR(LOOKUP(2,1/(('Match Log'!$D$4:$D$1510=$V$24)*('Match Log'!$A$4:$A$1510&lt;=$J156)),'Match Log'!$N$4:$N$1510),NA()))</f>
        <v>1031.1892257719715</v>
      </c>
      <c r="W156">
        <f>IF($J156&gt;MAX('Match Log'!$A$4:$A$1510),NA(),IFERROR(LOOKUP(2,1/(('Match Log'!$D$4:$D$1510=$W$24)*('Match Log'!$A$4:$A$1510&lt;=$J156)),'Match Log'!$N$4:$N$1510),NA()))</f>
        <v>1030.3895946906482</v>
      </c>
      <c r="X156" t="e">
        <f>IF($J156&gt;MAX('Match Log'!$A$4:$A$1510),NA(),IFERROR(LOOKUP(2,1/(('Match Log'!$D$4:$D$1510=$X$24)*('Match Log'!$A$4:$A$1510&lt;=$J156)),'Match Log'!$N$4:$N$1510),NA()))</f>
        <v>#N/A</v>
      </c>
      <c r="Y156" t="str">
        <f t="shared" ca="1" si="25"/>
        <v/>
      </c>
    </row>
    <row r="157" spans="1:25" x14ac:dyDescent="0.2">
      <c r="A157">
        <v>133</v>
      </c>
      <c r="B157" s="138">
        <f>IFERROR(INDEX('Match Log'!$B$4:$B$1510,MATCH($A157,'Match Log'!$A$4:$A$1510,0)),"")</f>
        <v>46213</v>
      </c>
      <c r="C157" t="str">
        <f>IFERROR(INDEX('Match Log'!$C$4:$C$1510,MATCH($A157,'Match Log'!$A$4:$A$1510,0)),"")</f>
        <v>FIFA</v>
      </c>
      <c r="D157" t="str">
        <f t="array" ref="D157">IFERROR(_xlfn.TEXTJOIN(" + ",TRUE(),IF(('Match Log'!$A$4:$A$1510=$A157)*('Match Log'!$E$4:$E$1510="Win"),'Match Log'!$D$4:$D$1510,"")),IFERROR(LOOKUP(2,1/(('Match Log'!$A$4:$A$1510=$A157)*('Match Log'!$E$4:$E$1510="Win")),'Match Log'!$D$4:$D$1510),""))</f>
        <v>Aaron</v>
      </c>
      <c r="E157" s="139">
        <f>IFERROR(INDEX('Match Log'!$F$4:$F$1510,MATCH($A157,'Match Log'!$A$4:$A$1510,0)),"")</f>
        <v>2</v>
      </c>
      <c r="F157">
        <f>IFERROR(SUMIFS('Match Log'!$I$4:$I$1510,'Match Log'!$A$4:$A$1510,$A157,'Match Log'!$E$4:$E$1510,"Win"),"")</f>
        <v>0.59247648902821326</v>
      </c>
      <c r="G157">
        <f t="shared" si="23"/>
        <v>-0.18495297805642652</v>
      </c>
      <c r="H157" t="str">
        <f t="array" ref="H157">IFERROR(IF(COUNTIFS('Match Log'!$A$4:$A$1510,$A157,'Match Log'!$E$4:$E$1510,"Win")&gt;1,_xlfn.TEXTJOIN(" + ",TRUE(),IF(('Match Log'!$A$4:$A$1510=$A157)*('Match Log'!$E$4:$E$1510="Loss"),'Match Log'!$D$4:$D$1510,"")),IF($E157=2,LOOKUP(2,1/(('Match Log'!$A$4:$A$1510=$A157)*('Match Log'!$E$4:$E$1510="Loss")),'Match Log'!$D$4:$D$1510),"the field")),"")</f>
        <v>Shawn</v>
      </c>
      <c r="I157">
        <f t="shared" si="24"/>
        <v>-0.18508597805642651</v>
      </c>
      <c r="J157">
        <v>133</v>
      </c>
      <c r="K157">
        <f>IF($J157&gt;MAX('Match Log'!$A$4:$A$1510),NA(),IFERROR(LOOKUP(2,1/(('Match Log'!$D$4:$D$1510=$K$24)*('Match Log'!$A$4:$A$1510&lt;=$J157)),'Match Log'!$N$4:$N$1510),NA()))</f>
        <v>1079.9296752950095</v>
      </c>
      <c r="L157">
        <f>IF($J157&gt;MAX('Match Log'!$A$4:$A$1510),NA(),IFERROR(LOOKUP(2,1/(('Match Log'!$D$4:$D$1510=$L$24)*('Match Log'!$A$4:$A$1510&lt;=$J157)),'Match Log'!$N$4:$N$1510),NA()))</f>
        <v>1029.5175965335138</v>
      </c>
      <c r="M157">
        <f>IF($J157&gt;MAX('Match Log'!$A$4:$A$1510),NA(),IFERROR(LOOKUP(2,1/(('Match Log'!$D$4:$D$1510=$M$24)*('Match Log'!$A$4:$A$1510&lt;=$J157)),'Match Log'!$N$4:$N$1510),NA()))</f>
        <v>1016.7841648959289</v>
      </c>
      <c r="N157">
        <f>IF($J157&gt;MAX('Match Log'!$A$4:$A$1510),NA(),IFERROR(LOOKUP(2,1/(('Match Log'!$D$4:$D$1510=$N$24)*('Match Log'!$A$4:$A$1510&lt;=$J157)),'Match Log'!$N$4:$N$1510),NA()))</f>
        <v>981.90186446660846</v>
      </c>
      <c r="O157">
        <f>IF($J157&gt;MAX('Match Log'!$A$4:$A$1510),NA(),IFERROR(LOOKUP(2,1/(('Match Log'!$D$4:$D$1510=$O$24)*('Match Log'!$A$4:$A$1510&lt;=$J157)),'Match Log'!$N$4:$N$1510),NA()))</f>
        <v>1115.1375937966061</v>
      </c>
      <c r="P157">
        <f>IF($J157&gt;MAX('Match Log'!$A$4:$A$1510),NA(),IFERROR(LOOKUP(2,1/(('Match Log'!$D$4:$D$1510=$P$24)*('Match Log'!$A$4:$A$1510&lt;=$J157)),'Match Log'!$N$4:$N$1510),NA()))</f>
        <v>1051.1536252602425</v>
      </c>
      <c r="Q157">
        <f>IF($J157&gt;MAX('Match Log'!$A$4:$A$1510),NA(),IFERROR(LOOKUP(2,1/(('Match Log'!$D$4:$D$1510=$Q$24)*('Match Log'!$A$4:$A$1510&lt;=$J157)),'Match Log'!$N$4:$N$1510),NA()))</f>
        <v>1085.4901250893295</v>
      </c>
      <c r="R157">
        <f>IF($J157&gt;MAX('Match Log'!$A$4:$A$1510),NA(),IFERROR(LOOKUP(2,1/(('Match Log'!$D$4:$D$1510=$R$24)*('Match Log'!$A$4:$A$1510&lt;=$J157)),'Match Log'!$N$4:$N$1510),NA()))</f>
        <v>1058.2210518223603</v>
      </c>
      <c r="S157">
        <f>IF($J157&gt;MAX('Match Log'!$A$4:$A$1510),NA(),IFERROR(LOOKUP(2,1/(('Match Log'!$D$4:$D$1510=$S$24)*('Match Log'!$A$4:$A$1510&lt;=$J157)),'Match Log'!$N$4:$N$1510),NA()))</f>
        <v>1168.3002777514087</v>
      </c>
      <c r="T157">
        <f>IF($J157&gt;MAX('Match Log'!$A$4:$A$1510),NA(),IFERROR(LOOKUP(2,1/(('Match Log'!$D$4:$D$1510=$T$24)*('Match Log'!$A$4:$A$1510&lt;=$J157)),'Match Log'!$N$4:$N$1510),NA()))</f>
        <v>893.15761519837804</v>
      </c>
      <c r="U157">
        <f>IF($J157&gt;MAX('Match Log'!$A$4:$A$1510),NA(),IFERROR(LOOKUP(2,1/(('Match Log'!$D$4:$D$1510=$U$24)*('Match Log'!$A$4:$A$1510&lt;=$J157)),'Match Log'!$N$4:$N$1510),NA()))</f>
        <v>1062.8275894279936</v>
      </c>
      <c r="V157">
        <f>IF($J157&gt;MAX('Match Log'!$A$4:$A$1510),NA(),IFERROR(LOOKUP(2,1/(('Match Log'!$D$4:$D$1510=$V$24)*('Match Log'!$A$4:$A$1510&lt;=$J157)),'Match Log'!$N$4:$N$1510),NA()))</f>
        <v>1031.1892257719715</v>
      </c>
      <c r="W157">
        <f>IF($J157&gt;MAX('Match Log'!$A$4:$A$1510),NA(),IFERROR(LOOKUP(2,1/(('Match Log'!$D$4:$D$1510=$W$24)*('Match Log'!$A$4:$A$1510&lt;=$J157)),'Match Log'!$N$4:$N$1510),NA()))</f>
        <v>1030.3895946906482</v>
      </c>
      <c r="X157" t="e">
        <f>IF($J157&gt;MAX('Match Log'!$A$4:$A$1510),NA(),IFERROR(LOOKUP(2,1/(('Match Log'!$D$4:$D$1510=$X$24)*('Match Log'!$A$4:$A$1510&lt;=$J157)),'Match Log'!$N$4:$N$1510),NA()))</f>
        <v>#N/A</v>
      </c>
      <c r="Y157" t="str">
        <f t="shared" ca="1" si="25"/>
        <v/>
      </c>
    </row>
    <row r="158" spans="1:25" x14ac:dyDescent="0.2">
      <c r="A158">
        <v>134</v>
      </c>
      <c r="B158" s="138">
        <f>IFERROR(INDEX('Match Log'!$B$4:$B$1510,MATCH($A158,'Match Log'!$A$4:$A$1510,0)),"")</f>
        <v>46213</v>
      </c>
      <c r="C158" t="str">
        <f>IFERROR(INDEX('Match Log'!$C$4:$C$1510,MATCH($A158,'Match Log'!$A$4:$A$1510,0)),"")</f>
        <v>Mario Golf</v>
      </c>
      <c r="D158" t="str">
        <f t="array" ref="D158">IFERROR(_xlfn.TEXTJOIN(" + ",TRUE(),IF(('Match Log'!$A$4:$A$1510=$A158)*('Match Log'!$E$4:$E$1510="Win"),'Match Log'!$D$4:$D$1510,"")),IFERROR(LOOKUP(2,1/(('Match Log'!$A$4:$A$1510=$A158)*('Match Log'!$E$4:$E$1510="Win")),'Match Log'!$D$4:$D$1510),""))</f>
        <v>Shawn</v>
      </c>
      <c r="E158" s="139">
        <f>IFERROR(INDEX('Match Log'!$F$4:$F$1510,MATCH($A158,'Match Log'!$A$4:$A$1510,0)),"")</f>
        <v>2</v>
      </c>
      <c r="F158">
        <f>IFERROR(SUMIFS('Match Log'!$I$4:$I$1510,'Match Log'!$A$4:$A$1510,$A158,'Match Log'!$E$4:$E$1510,"Win"),"")</f>
        <v>0.8</v>
      </c>
      <c r="G158">
        <f t="shared" si="23"/>
        <v>-0.60000000000000009</v>
      </c>
      <c r="H158" t="str">
        <f t="array" ref="H158">IFERROR(IF(COUNTIFS('Match Log'!$A$4:$A$1510,$A158,'Match Log'!$E$4:$E$1510,"Win")&gt;1,_xlfn.TEXTJOIN(" + ",TRUE(),IF(('Match Log'!$A$4:$A$1510=$A158)*('Match Log'!$E$4:$E$1510="Loss"),'Match Log'!$D$4:$D$1510,"")),IF($E158=2,LOOKUP(2,1/(('Match Log'!$A$4:$A$1510=$A158)*('Match Log'!$E$4:$E$1510="Loss")),'Match Log'!$D$4:$D$1510),"the field")),"")</f>
        <v>Aaron</v>
      </c>
      <c r="I158">
        <f t="shared" si="24"/>
        <v>-0.60013400000000006</v>
      </c>
      <c r="J158">
        <v>134</v>
      </c>
      <c r="K158">
        <f>IF($J158&gt;MAX('Match Log'!$A$4:$A$1510),NA(),IFERROR(LOOKUP(2,1/(('Match Log'!$D$4:$D$1510=$K$24)*('Match Log'!$A$4:$A$1510&lt;=$J158)),'Match Log'!$N$4:$N$1510),NA()))</f>
        <v>1062.2119923953223</v>
      </c>
      <c r="L158">
        <f>IF($J158&gt;MAX('Match Log'!$A$4:$A$1510),NA(),IFERROR(LOOKUP(2,1/(('Match Log'!$D$4:$D$1510=$L$24)*('Match Log'!$A$4:$A$1510&lt;=$J158)),'Match Log'!$N$4:$N$1510),NA()))</f>
        <v>1029.5175965335138</v>
      </c>
      <c r="M158">
        <f>IF($J158&gt;MAX('Match Log'!$A$4:$A$1510),NA(),IFERROR(LOOKUP(2,1/(('Match Log'!$D$4:$D$1510=$M$24)*('Match Log'!$A$4:$A$1510&lt;=$J158)),'Match Log'!$N$4:$N$1510),NA()))</f>
        <v>1016.7841648959289</v>
      </c>
      <c r="N158">
        <f>IF($J158&gt;MAX('Match Log'!$A$4:$A$1510),NA(),IFERROR(LOOKUP(2,1/(('Match Log'!$D$4:$D$1510=$N$24)*('Match Log'!$A$4:$A$1510&lt;=$J158)),'Match Log'!$N$4:$N$1510),NA()))</f>
        <v>981.90186446660846</v>
      </c>
      <c r="O158">
        <f>IF($J158&gt;MAX('Match Log'!$A$4:$A$1510),NA(),IFERROR(LOOKUP(2,1/(('Match Log'!$D$4:$D$1510=$O$24)*('Match Log'!$A$4:$A$1510&lt;=$J158)),'Match Log'!$N$4:$N$1510),NA()))</f>
        <v>1115.1375937966061</v>
      </c>
      <c r="P158">
        <f>IF($J158&gt;MAX('Match Log'!$A$4:$A$1510),NA(),IFERROR(LOOKUP(2,1/(('Match Log'!$D$4:$D$1510=$P$24)*('Match Log'!$A$4:$A$1510&lt;=$J158)),'Match Log'!$N$4:$N$1510),NA()))</f>
        <v>1068.8713081599296</v>
      </c>
      <c r="Q158">
        <f>IF($J158&gt;MAX('Match Log'!$A$4:$A$1510),NA(),IFERROR(LOOKUP(2,1/(('Match Log'!$D$4:$D$1510=$Q$24)*('Match Log'!$A$4:$A$1510&lt;=$J158)),'Match Log'!$N$4:$N$1510),NA()))</f>
        <v>1085.4901250893295</v>
      </c>
      <c r="R158">
        <f>IF($J158&gt;MAX('Match Log'!$A$4:$A$1510),NA(),IFERROR(LOOKUP(2,1/(('Match Log'!$D$4:$D$1510=$R$24)*('Match Log'!$A$4:$A$1510&lt;=$J158)),'Match Log'!$N$4:$N$1510),NA()))</f>
        <v>1058.2210518223603</v>
      </c>
      <c r="S158">
        <f>IF($J158&gt;MAX('Match Log'!$A$4:$A$1510),NA(),IFERROR(LOOKUP(2,1/(('Match Log'!$D$4:$D$1510=$S$24)*('Match Log'!$A$4:$A$1510&lt;=$J158)),'Match Log'!$N$4:$N$1510),NA()))</f>
        <v>1168.3002777514087</v>
      </c>
      <c r="T158">
        <f>IF($J158&gt;MAX('Match Log'!$A$4:$A$1510),NA(),IFERROR(LOOKUP(2,1/(('Match Log'!$D$4:$D$1510=$T$24)*('Match Log'!$A$4:$A$1510&lt;=$J158)),'Match Log'!$N$4:$N$1510),NA()))</f>
        <v>893.15761519837804</v>
      </c>
      <c r="U158">
        <f>IF($J158&gt;MAX('Match Log'!$A$4:$A$1510),NA(),IFERROR(LOOKUP(2,1/(('Match Log'!$D$4:$D$1510=$U$24)*('Match Log'!$A$4:$A$1510&lt;=$J158)),'Match Log'!$N$4:$N$1510),NA()))</f>
        <v>1062.8275894279936</v>
      </c>
      <c r="V158">
        <f>IF($J158&gt;MAX('Match Log'!$A$4:$A$1510),NA(),IFERROR(LOOKUP(2,1/(('Match Log'!$D$4:$D$1510=$V$24)*('Match Log'!$A$4:$A$1510&lt;=$J158)),'Match Log'!$N$4:$N$1510),NA()))</f>
        <v>1031.1892257719715</v>
      </c>
      <c r="W158">
        <f>IF($J158&gt;MAX('Match Log'!$A$4:$A$1510),NA(),IFERROR(LOOKUP(2,1/(('Match Log'!$D$4:$D$1510=$W$24)*('Match Log'!$A$4:$A$1510&lt;=$J158)),'Match Log'!$N$4:$N$1510),NA()))</f>
        <v>1030.3895946906482</v>
      </c>
      <c r="X158" t="e">
        <f>IF($J158&gt;MAX('Match Log'!$A$4:$A$1510),NA(),IFERROR(LOOKUP(2,1/(('Match Log'!$D$4:$D$1510=$X$24)*('Match Log'!$A$4:$A$1510&lt;=$J158)),'Match Log'!$N$4:$N$1510),NA()))</f>
        <v>#N/A</v>
      </c>
      <c r="Y158" t="str">
        <f t="shared" ca="1" si="25"/>
        <v/>
      </c>
    </row>
    <row r="159" spans="1:25" x14ac:dyDescent="0.2">
      <c r="A159">
        <v>135</v>
      </c>
      <c r="B159" s="138">
        <f>IFERROR(INDEX('Match Log'!$B$4:$B$1510,MATCH($A159,'Match Log'!$A$4:$A$1510,0)),"")</f>
        <v>46213</v>
      </c>
      <c r="C159" t="str">
        <f>IFERROR(INDEX('Match Log'!$C$4:$C$1510,MATCH($A159,'Match Log'!$A$4:$A$1510,0)),"")</f>
        <v>Mario Golf</v>
      </c>
      <c r="D159" t="str">
        <f t="array" ref="D159">IFERROR(_xlfn.TEXTJOIN(" + ",TRUE(),IF(('Match Log'!$A$4:$A$1510=$A159)*('Match Log'!$E$4:$E$1510="Win"),'Match Log'!$D$4:$D$1510,"")),IFERROR(LOOKUP(2,1/(('Match Log'!$A$4:$A$1510=$A159)*('Match Log'!$E$4:$E$1510="Win")),'Match Log'!$D$4:$D$1510),""))</f>
        <v>Aaron</v>
      </c>
      <c r="E159" s="139">
        <f>IFERROR(INDEX('Match Log'!$F$4:$F$1510,MATCH($A159,'Match Log'!$A$4:$A$1510,0)),"")</f>
        <v>2</v>
      </c>
      <c r="F159">
        <f>IFERROR(SUMIFS('Match Log'!$I$4:$I$1510,'Match Log'!$A$4:$A$1510,$A159,'Match Log'!$E$4:$E$1510,"Win"),"")</f>
        <v>0.16666666666666666</v>
      </c>
      <c r="G159">
        <f t="shared" si="23"/>
        <v>0.66666666666666674</v>
      </c>
      <c r="H159" t="str">
        <f t="array" ref="H159">IFERROR(IF(COUNTIFS('Match Log'!$A$4:$A$1510,$A159,'Match Log'!$E$4:$E$1510,"Win")&gt;1,_xlfn.TEXTJOIN(" + ",TRUE(),IF(('Match Log'!$A$4:$A$1510=$A159)*('Match Log'!$E$4:$E$1510="Loss"),'Match Log'!$D$4:$D$1510,"")),IF($E159=2,LOOKUP(2,1/(('Match Log'!$A$4:$A$1510=$A159)*('Match Log'!$E$4:$E$1510="Loss")),'Match Log'!$D$4:$D$1510),"the field")),"")</f>
        <v>Shawn</v>
      </c>
      <c r="I159">
        <f t="shared" si="24"/>
        <v>0.66653166666666674</v>
      </c>
      <c r="J159">
        <v>135</v>
      </c>
      <c r="K159">
        <f>IF($J159&gt;MAX('Match Log'!$A$4:$A$1510),NA(),IFERROR(LOOKUP(2,1/(('Match Log'!$D$4:$D$1510=$K$24)*('Match Log'!$A$4:$A$1510&lt;=$J159)),'Match Log'!$N$4:$N$1510),NA()))</f>
        <v>1090.6474926372321</v>
      </c>
      <c r="L159">
        <f>IF($J159&gt;MAX('Match Log'!$A$4:$A$1510),NA(),IFERROR(LOOKUP(2,1/(('Match Log'!$D$4:$D$1510=$L$24)*('Match Log'!$A$4:$A$1510&lt;=$J159)),'Match Log'!$N$4:$N$1510),NA()))</f>
        <v>1029.5175965335138</v>
      </c>
      <c r="M159">
        <f>IF($J159&gt;MAX('Match Log'!$A$4:$A$1510),NA(),IFERROR(LOOKUP(2,1/(('Match Log'!$D$4:$D$1510=$M$24)*('Match Log'!$A$4:$A$1510&lt;=$J159)),'Match Log'!$N$4:$N$1510),NA()))</f>
        <v>1016.7841648959289</v>
      </c>
      <c r="N159">
        <f>IF($J159&gt;MAX('Match Log'!$A$4:$A$1510),NA(),IFERROR(LOOKUP(2,1/(('Match Log'!$D$4:$D$1510=$N$24)*('Match Log'!$A$4:$A$1510&lt;=$J159)),'Match Log'!$N$4:$N$1510),NA()))</f>
        <v>981.90186446660846</v>
      </c>
      <c r="O159">
        <f>IF($J159&gt;MAX('Match Log'!$A$4:$A$1510),NA(),IFERROR(LOOKUP(2,1/(('Match Log'!$D$4:$D$1510=$O$24)*('Match Log'!$A$4:$A$1510&lt;=$J159)),'Match Log'!$N$4:$N$1510),NA()))</f>
        <v>1115.1375937966061</v>
      </c>
      <c r="P159">
        <f>IF($J159&gt;MAX('Match Log'!$A$4:$A$1510),NA(),IFERROR(LOOKUP(2,1/(('Match Log'!$D$4:$D$1510=$P$24)*('Match Log'!$A$4:$A$1510&lt;=$J159)),'Match Log'!$N$4:$N$1510),NA()))</f>
        <v>1040.4358079180199</v>
      </c>
      <c r="Q159">
        <f>IF($J159&gt;MAX('Match Log'!$A$4:$A$1510),NA(),IFERROR(LOOKUP(2,1/(('Match Log'!$D$4:$D$1510=$Q$24)*('Match Log'!$A$4:$A$1510&lt;=$J159)),'Match Log'!$N$4:$N$1510),NA()))</f>
        <v>1085.4901250893295</v>
      </c>
      <c r="R159">
        <f>IF($J159&gt;MAX('Match Log'!$A$4:$A$1510),NA(),IFERROR(LOOKUP(2,1/(('Match Log'!$D$4:$D$1510=$R$24)*('Match Log'!$A$4:$A$1510&lt;=$J159)),'Match Log'!$N$4:$N$1510),NA()))</f>
        <v>1058.2210518223603</v>
      </c>
      <c r="S159">
        <f>IF($J159&gt;MAX('Match Log'!$A$4:$A$1510),NA(),IFERROR(LOOKUP(2,1/(('Match Log'!$D$4:$D$1510=$S$24)*('Match Log'!$A$4:$A$1510&lt;=$J159)),'Match Log'!$N$4:$N$1510),NA()))</f>
        <v>1168.3002777514087</v>
      </c>
      <c r="T159">
        <f>IF($J159&gt;MAX('Match Log'!$A$4:$A$1510),NA(),IFERROR(LOOKUP(2,1/(('Match Log'!$D$4:$D$1510=$T$24)*('Match Log'!$A$4:$A$1510&lt;=$J159)),'Match Log'!$N$4:$N$1510),NA()))</f>
        <v>893.15761519837804</v>
      </c>
      <c r="U159">
        <f>IF($J159&gt;MAX('Match Log'!$A$4:$A$1510),NA(),IFERROR(LOOKUP(2,1/(('Match Log'!$D$4:$D$1510=$U$24)*('Match Log'!$A$4:$A$1510&lt;=$J159)),'Match Log'!$N$4:$N$1510),NA()))</f>
        <v>1062.8275894279936</v>
      </c>
      <c r="V159">
        <f>IF($J159&gt;MAX('Match Log'!$A$4:$A$1510),NA(),IFERROR(LOOKUP(2,1/(('Match Log'!$D$4:$D$1510=$V$24)*('Match Log'!$A$4:$A$1510&lt;=$J159)),'Match Log'!$N$4:$N$1510),NA()))</f>
        <v>1031.1892257719715</v>
      </c>
      <c r="W159">
        <f>IF($J159&gt;MAX('Match Log'!$A$4:$A$1510),NA(),IFERROR(LOOKUP(2,1/(('Match Log'!$D$4:$D$1510=$W$24)*('Match Log'!$A$4:$A$1510&lt;=$J159)),'Match Log'!$N$4:$N$1510),NA()))</f>
        <v>1030.3895946906482</v>
      </c>
      <c r="X159" t="e">
        <f>IF($J159&gt;MAX('Match Log'!$A$4:$A$1510),NA(),IFERROR(LOOKUP(2,1/(('Match Log'!$D$4:$D$1510=$X$24)*('Match Log'!$A$4:$A$1510&lt;=$J159)),'Match Log'!$N$4:$N$1510),NA()))</f>
        <v>#N/A</v>
      </c>
      <c r="Y159" t="str">
        <f t="shared" ca="1" si="25"/>
        <v/>
      </c>
    </row>
    <row r="160" spans="1:25" x14ac:dyDescent="0.2">
      <c r="A160">
        <v>136</v>
      </c>
      <c r="B160" s="138">
        <f>IFERROR(INDEX('Match Log'!$B$4:$B$1510,MATCH($A160,'Match Log'!$A$4:$A$1510,0)),"")</f>
        <v>46213</v>
      </c>
      <c r="C160" t="str">
        <f>IFERROR(INDEX('Match Log'!$C$4:$C$1510,MATCH($A160,'Match Log'!$A$4:$A$1510,0)),"")</f>
        <v>Mario Party</v>
      </c>
      <c r="D160" t="str">
        <f t="array" ref="D160">IFERROR(_xlfn.TEXTJOIN(" + ",TRUE(),IF(('Match Log'!$A$4:$A$1510=$A160)*('Match Log'!$E$4:$E$1510="Win"),'Match Log'!$D$4:$D$1510,"")),IFERROR(LOOKUP(2,1/(('Match Log'!$A$4:$A$1510=$A160)*('Match Log'!$E$4:$E$1510="Win")),'Match Log'!$D$4:$D$1510),""))</f>
        <v>Aaron</v>
      </c>
      <c r="E160" s="139">
        <f>IFERROR(INDEX('Match Log'!$F$4:$F$1510,MATCH($A160,'Match Log'!$A$4:$A$1510,0)),"")</f>
        <v>2</v>
      </c>
      <c r="F160">
        <f>IFERROR(SUMIFS('Match Log'!$I$4:$I$1510,'Match Log'!$A$4:$A$1510,$A160,'Match Log'!$E$4:$E$1510,"Win"),"")</f>
        <v>0.625</v>
      </c>
      <c r="G160">
        <f t="shared" si="23"/>
        <v>-0.25</v>
      </c>
      <c r="H160" t="str">
        <f t="array" ref="H160">IFERROR(IF(COUNTIFS('Match Log'!$A$4:$A$1510,$A160,'Match Log'!$E$4:$E$1510,"Win")&gt;1,_xlfn.TEXTJOIN(" + ",TRUE(),IF(('Match Log'!$A$4:$A$1510=$A160)*('Match Log'!$E$4:$E$1510="Loss"),'Match Log'!$D$4:$D$1510,"")),IF($E160=2,LOOKUP(2,1/(('Match Log'!$A$4:$A$1510=$A160)*('Match Log'!$E$4:$E$1510="Loss")),'Match Log'!$D$4:$D$1510),"the field")),"")</f>
        <v>Shawn</v>
      </c>
      <c r="I160">
        <f t="shared" si="24"/>
        <v>-0.25013600000000002</v>
      </c>
      <c r="J160">
        <v>136</v>
      </c>
      <c r="K160">
        <f>IF($J160&gt;MAX('Match Log'!$A$4:$A$1510),NA(),IFERROR(LOOKUP(2,1/(('Match Log'!$D$4:$D$1510=$K$24)*('Match Log'!$A$4:$A$1510&lt;=$J160)),'Match Log'!$N$4:$N$1510),NA()))</f>
        <v>1107.886050111058</v>
      </c>
      <c r="L160">
        <f>IF($J160&gt;MAX('Match Log'!$A$4:$A$1510),NA(),IFERROR(LOOKUP(2,1/(('Match Log'!$D$4:$D$1510=$L$24)*('Match Log'!$A$4:$A$1510&lt;=$J160)),'Match Log'!$N$4:$N$1510),NA()))</f>
        <v>1029.5175965335138</v>
      </c>
      <c r="M160">
        <f>IF($J160&gt;MAX('Match Log'!$A$4:$A$1510),NA(),IFERROR(LOOKUP(2,1/(('Match Log'!$D$4:$D$1510=$M$24)*('Match Log'!$A$4:$A$1510&lt;=$J160)),'Match Log'!$N$4:$N$1510),NA()))</f>
        <v>1016.7841648959289</v>
      </c>
      <c r="N160">
        <f>IF($J160&gt;MAX('Match Log'!$A$4:$A$1510),NA(),IFERROR(LOOKUP(2,1/(('Match Log'!$D$4:$D$1510=$N$24)*('Match Log'!$A$4:$A$1510&lt;=$J160)),'Match Log'!$N$4:$N$1510),NA()))</f>
        <v>981.90186446660846</v>
      </c>
      <c r="O160">
        <f>IF($J160&gt;MAX('Match Log'!$A$4:$A$1510),NA(),IFERROR(LOOKUP(2,1/(('Match Log'!$D$4:$D$1510=$O$24)*('Match Log'!$A$4:$A$1510&lt;=$J160)),'Match Log'!$N$4:$N$1510),NA()))</f>
        <v>1115.1375937966061</v>
      </c>
      <c r="P160">
        <f>IF($J160&gt;MAX('Match Log'!$A$4:$A$1510),NA(),IFERROR(LOOKUP(2,1/(('Match Log'!$D$4:$D$1510=$P$24)*('Match Log'!$A$4:$A$1510&lt;=$J160)),'Match Log'!$N$4:$N$1510),NA()))</f>
        <v>1023.1972504441939</v>
      </c>
      <c r="Q160">
        <f>IF($J160&gt;MAX('Match Log'!$A$4:$A$1510),NA(),IFERROR(LOOKUP(2,1/(('Match Log'!$D$4:$D$1510=$Q$24)*('Match Log'!$A$4:$A$1510&lt;=$J160)),'Match Log'!$N$4:$N$1510),NA()))</f>
        <v>1085.4901250893295</v>
      </c>
      <c r="R160">
        <f>IF($J160&gt;MAX('Match Log'!$A$4:$A$1510),NA(),IFERROR(LOOKUP(2,1/(('Match Log'!$D$4:$D$1510=$R$24)*('Match Log'!$A$4:$A$1510&lt;=$J160)),'Match Log'!$N$4:$N$1510),NA()))</f>
        <v>1058.2210518223603</v>
      </c>
      <c r="S160">
        <f>IF($J160&gt;MAX('Match Log'!$A$4:$A$1510),NA(),IFERROR(LOOKUP(2,1/(('Match Log'!$D$4:$D$1510=$S$24)*('Match Log'!$A$4:$A$1510&lt;=$J160)),'Match Log'!$N$4:$N$1510),NA()))</f>
        <v>1168.3002777514087</v>
      </c>
      <c r="T160">
        <f>IF($J160&gt;MAX('Match Log'!$A$4:$A$1510),NA(),IFERROR(LOOKUP(2,1/(('Match Log'!$D$4:$D$1510=$T$24)*('Match Log'!$A$4:$A$1510&lt;=$J160)),'Match Log'!$N$4:$N$1510),NA()))</f>
        <v>893.15761519837804</v>
      </c>
      <c r="U160">
        <f>IF($J160&gt;MAX('Match Log'!$A$4:$A$1510),NA(),IFERROR(LOOKUP(2,1/(('Match Log'!$D$4:$D$1510=$U$24)*('Match Log'!$A$4:$A$1510&lt;=$J160)),'Match Log'!$N$4:$N$1510),NA()))</f>
        <v>1062.8275894279936</v>
      </c>
      <c r="V160">
        <f>IF($J160&gt;MAX('Match Log'!$A$4:$A$1510),NA(),IFERROR(LOOKUP(2,1/(('Match Log'!$D$4:$D$1510=$V$24)*('Match Log'!$A$4:$A$1510&lt;=$J160)),'Match Log'!$N$4:$N$1510),NA()))</f>
        <v>1031.1892257719715</v>
      </c>
      <c r="W160">
        <f>IF($J160&gt;MAX('Match Log'!$A$4:$A$1510),NA(),IFERROR(LOOKUP(2,1/(('Match Log'!$D$4:$D$1510=$W$24)*('Match Log'!$A$4:$A$1510&lt;=$J160)),'Match Log'!$N$4:$N$1510),NA()))</f>
        <v>1030.3895946906482</v>
      </c>
      <c r="X160" t="e">
        <f>IF($J160&gt;MAX('Match Log'!$A$4:$A$1510),NA(),IFERROR(LOOKUP(2,1/(('Match Log'!$D$4:$D$1510=$X$24)*('Match Log'!$A$4:$A$1510&lt;=$J160)),'Match Log'!$N$4:$N$1510),NA()))</f>
        <v>#N/A</v>
      </c>
      <c r="Y160" t="str">
        <f t="shared" ca="1" si="25"/>
        <v/>
      </c>
    </row>
    <row r="161" spans="1:25" x14ac:dyDescent="0.2">
      <c r="A161">
        <v>137</v>
      </c>
      <c r="B161" s="138">
        <f>IFERROR(INDEX('Match Log'!$B$4:$B$1510,MATCH($A161,'Match Log'!$A$4:$A$1510,0)),"")</f>
        <v>46214</v>
      </c>
      <c r="C161" t="str">
        <f>IFERROR(INDEX('Match Log'!$C$4:$C$1510,MATCH($A161,'Match Log'!$A$4:$A$1510,0)),"")</f>
        <v>Mario Golf</v>
      </c>
      <c r="D161" t="str">
        <f t="array" ref="D161">IFERROR(_xlfn.TEXTJOIN(" + ",TRUE(),IF(('Match Log'!$A$4:$A$1510=$A161)*('Match Log'!$E$4:$E$1510="Win"),'Match Log'!$D$4:$D$1510,"")),IFERROR(LOOKUP(2,1/(('Match Log'!$A$4:$A$1510=$A161)*('Match Log'!$E$4:$E$1510="Win")),'Match Log'!$D$4:$D$1510),""))</f>
        <v>Aaron</v>
      </c>
      <c r="E161" s="139">
        <f>IFERROR(INDEX('Match Log'!$F$4:$F$1510,MATCH($A161,'Match Log'!$A$4:$A$1510,0)),"")</f>
        <v>2</v>
      </c>
      <c r="F161">
        <f>IFERROR(SUMIFS('Match Log'!$I$4:$I$1510,'Match Log'!$A$4:$A$1510,$A161,'Match Log'!$E$4:$E$1510,"Win"),"")</f>
        <v>0.2857142857142857</v>
      </c>
      <c r="G161">
        <f t="shared" si="23"/>
        <v>0.4285714285714286</v>
      </c>
      <c r="H161" t="str">
        <f t="array" ref="H161">IFERROR(IF(COUNTIFS('Match Log'!$A$4:$A$1510,$A161,'Match Log'!$E$4:$E$1510,"Win")&gt;1,_xlfn.TEXTJOIN(" + ",TRUE(),IF(('Match Log'!$A$4:$A$1510=$A161)*('Match Log'!$E$4:$E$1510="Loss"),'Match Log'!$D$4:$D$1510,"")),IF($E161=2,LOOKUP(2,1/(('Match Log'!$A$4:$A$1510=$A161)*('Match Log'!$E$4:$E$1510="Loss")),'Match Log'!$D$4:$D$1510),"the field")),"")</f>
        <v>Shawn</v>
      </c>
      <c r="I161">
        <f t="shared" si="24"/>
        <v>0.4284344285714286</v>
      </c>
      <c r="J161">
        <v>137</v>
      </c>
      <c r="K161">
        <f>IF($J161&gt;MAX('Match Log'!$A$4:$A$1510),NA(),IFERROR(LOOKUP(2,1/(('Match Log'!$D$4:$D$1510=$K$24)*('Match Log'!$A$4:$A$1510&lt;=$J161)),'Match Log'!$N$4:$N$1510),NA()))</f>
        <v>1132.111539066085</v>
      </c>
      <c r="L161">
        <f>IF($J161&gt;MAX('Match Log'!$A$4:$A$1510),NA(),IFERROR(LOOKUP(2,1/(('Match Log'!$D$4:$D$1510=$L$24)*('Match Log'!$A$4:$A$1510&lt;=$J161)),'Match Log'!$N$4:$N$1510),NA()))</f>
        <v>1029.5175965335138</v>
      </c>
      <c r="M161">
        <f>IF($J161&gt;MAX('Match Log'!$A$4:$A$1510),NA(),IFERROR(LOOKUP(2,1/(('Match Log'!$D$4:$D$1510=$M$24)*('Match Log'!$A$4:$A$1510&lt;=$J161)),'Match Log'!$N$4:$N$1510),NA()))</f>
        <v>1016.7841648959289</v>
      </c>
      <c r="N161">
        <f>IF($J161&gt;MAX('Match Log'!$A$4:$A$1510),NA(),IFERROR(LOOKUP(2,1/(('Match Log'!$D$4:$D$1510=$N$24)*('Match Log'!$A$4:$A$1510&lt;=$J161)),'Match Log'!$N$4:$N$1510),NA()))</f>
        <v>981.90186446660846</v>
      </c>
      <c r="O161">
        <f>IF($J161&gt;MAX('Match Log'!$A$4:$A$1510),NA(),IFERROR(LOOKUP(2,1/(('Match Log'!$D$4:$D$1510=$O$24)*('Match Log'!$A$4:$A$1510&lt;=$J161)),'Match Log'!$N$4:$N$1510),NA()))</f>
        <v>1115.1375937966061</v>
      </c>
      <c r="P161">
        <f>IF($J161&gt;MAX('Match Log'!$A$4:$A$1510),NA(),IFERROR(LOOKUP(2,1/(('Match Log'!$D$4:$D$1510=$P$24)*('Match Log'!$A$4:$A$1510&lt;=$J161)),'Match Log'!$N$4:$N$1510),NA()))</f>
        <v>998.97176148916697</v>
      </c>
      <c r="Q161">
        <f>IF($J161&gt;MAX('Match Log'!$A$4:$A$1510),NA(),IFERROR(LOOKUP(2,1/(('Match Log'!$D$4:$D$1510=$Q$24)*('Match Log'!$A$4:$A$1510&lt;=$J161)),'Match Log'!$N$4:$N$1510),NA()))</f>
        <v>1085.4901250893295</v>
      </c>
      <c r="R161">
        <f>IF($J161&gt;MAX('Match Log'!$A$4:$A$1510),NA(),IFERROR(LOOKUP(2,1/(('Match Log'!$D$4:$D$1510=$R$24)*('Match Log'!$A$4:$A$1510&lt;=$J161)),'Match Log'!$N$4:$N$1510),NA()))</f>
        <v>1058.2210518223603</v>
      </c>
      <c r="S161">
        <f>IF($J161&gt;MAX('Match Log'!$A$4:$A$1510),NA(),IFERROR(LOOKUP(2,1/(('Match Log'!$D$4:$D$1510=$S$24)*('Match Log'!$A$4:$A$1510&lt;=$J161)),'Match Log'!$N$4:$N$1510),NA()))</f>
        <v>1168.3002777514087</v>
      </c>
      <c r="T161">
        <f>IF($J161&gt;MAX('Match Log'!$A$4:$A$1510),NA(),IFERROR(LOOKUP(2,1/(('Match Log'!$D$4:$D$1510=$T$24)*('Match Log'!$A$4:$A$1510&lt;=$J161)),'Match Log'!$N$4:$N$1510),NA()))</f>
        <v>893.15761519837804</v>
      </c>
      <c r="U161">
        <f>IF($J161&gt;MAX('Match Log'!$A$4:$A$1510),NA(),IFERROR(LOOKUP(2,1/(('Match Log'!$D$4:$D$1510=$U$24)*('Match Log'!$A$4:$A$1510&lt;=$J161)),'Match Log'!$N$4:$N$1510),NA()))</f>
        <v>1062.8275894279936</v>
      </c>
      <c r="V161">
        <f>IF($J161&gt;MAX('Match Log'!$A$4:$A$1510),NA(),IFERROR(LOOKUP(2,1/(('Match Log'!$D$4:$D$1510=$V$24)*('Match Log'!$A$4:$A$1510&lt;=$J161)),'Match Log'!$N$4:$N$1510),NA()))</f>
        <v>1031.1892257719715</v>
      </c>
      <c r="W161">
        <f>IF($J161&gt;MAX('Match Log'!$A$4:$A$1510),NA(),IFERROR(LOOKUP(2,1/(('Match Log'!$D$4:$D$1510=$W$24)*('Match Log'!$A$4:$A$1510&lt;=$J161)),'Match Log'!$N$4:$N$1510),NA()))</f>
        <v>1030.3895946906482</v>
      </c>
      <c r="X161" t="e">
        <f>IF($J161&gt;MAX('Match Log'!$A$4:$A$1510),NA(),IFERROR(LOOKUP(2,1/(('Match Log'!$D$4:$D$1510=$X$24)*('Match Log'!$A$4:$A$1510&lt;=$J161)),'Match Log'!$N$4:$N$1510),NA()))</f>
        <v>#N/A</v>
      </c>
      <c r="Y161" t="str">
        <f t="shared" ca="1" si="25"/>
        <v/>
      </c>
    </row>
    <row r="162" spans="1:25" x14ac:dyDescent="0.2">
      <c r="A162">
        <v>138</v>
      </c>
      <c r="B162" s="138">
        <f>IFERROR(INDEX('Match Log'!$B$4:$B$1510,MATCH($A162,'Match Log'!$A$4:$A$1510,0)),"")</f>
        <v>46214</v>
      </c>
      <c r="C162" t="str">
        <f>IFERROR(INDEX('Match Log'!$C$4:$C$1510,MATCH($A162,'Match Log'!$A$4:$A$1510,0)),"")</f>
        <v>Mario Golf</v>
      </c>
      <c r="D162" t="str">
        <f t="array" ref="D162">IFERROR(_xlfn.TEXTJOIN(" + ",TRUE(),IF(('Match Log'!$A$4:$A$1510=$A162)*('Match Log'!$E$4:$E$1510="Win"),'Match Log'!$D$4:$D$1510,"")),IFERROR(LOOKUP(2,1/(('Match Log'!$A$4:$A$1510=$A162)*('Match Log'!$E$4:$E$1510="Win")),'Match Log'!$D$4:$D$1510),""))</f>
        <v>Shawn</v>
      </c>
      <c r="E162" s="139">
        <f>IFERROR(INDEX('Match Log'!$F$4:$F$1510,MATCH($A162,'Match Log'!$A$4:$A$1510,0)),"")</f>
        <v>2</v>
      </c>
      <c r="F162">
        <f>IFERROR(SUMIFS('Match Log'!$I$4:$I$1510,'Match Log'!$A$4:$A$1510,$A162,'Match Log'!$E$4:$E$1510,"Win"),"")</f>
        <v>0.625</v>
      </c>
      <c r="G162">
        <f t="shared" si="23"/>
        <v>-0.25</v>
      </c>
      <c r="H162" t="str">
        <f t="array" ref="H162">IFERROR(IF(COUNTIFS('Match Log'!$A$4:$A$1510,$A162,'Match Log'!$E$4:$E$1510,"Win")&gt;1,_xlfn.TEXTJOIN(" + ",TRUE(),IF(('Match Log'!$A$4:$A$1510=$A162)*('Match Log'!$E$4:$E$1510="Loss"),'Match Log'!$D$4:$D$1510,"")),IF($E162=2,LOOKUP(2,1/(('Match Log'!$A$4:$A$1510=$A162)*('Match Log'!$E$4:$E$1510="Loss")),'Match Log'!$D$4:$D$1510),"the field")),"")</f>
        <v>Aaron</v>
      </c>
      <c r="I162">
        <f t="shared" si="24"/>
        <v>-0.25013800000000003</v>
      </c>
      <c r="J162">
        <v>138</v>
      </c>
      <c r="K162">
        <f>IF($J162&gt;MAX('Match Log'!$A$4:$A$1510),NA(),IFERROR(LOOKUP(2,1/(('Match Log'!$D$4:$D$1510=$K$24)*('Match Log'!$A$4:$A$1510&lt;=$J162)),'Match Log'!$N$4:$N$1510),NA()))</f>
        <v>1109.6219355433273</v>
      </c>
      <c r="L162">
        <f>IF($J162&gt;MAX('Match Log'!$A$4:$A$1510),NA(),IFERROR(LOOKUP(2,1/(('Match Log'!$D$4:$D$1510=$L$24)*('Match Log'!$A$4:$A$1510&lt;=$J162)),'Match Log'!$N$4:$N$1510),NA()))</f>
        <v>1029.5175965335138</v>
      </c>
      <c r="M162">
        <f>IF($J162&gt;MAX('Match Log'!$A$4:$A$1510),NA(),IFERROR(LOOKUP(2,1/(('Match Log'!$D$4:$D$1510=$M$24)*('Match Log'!$A$4:$A$1510&lt;=$J162)),'Match Log'!$N$4:$N$1510),NA()))</f>
        <v>1016.7841648959289</v>
      </c>
      <c r="N162">
        <f>IF($J162&gt;MAX('Match Log'!$A$4:$A$1510),NA(),IFERROR(LOOKUP(2,1/(('Match Log'!$D$4:$D$1510=$N$24)*('Match Log'!$A$4:$A$1510&lt;=$J162)),'Match Log'!$N$4:$N$1510),NA()))</f>
        <v>981.90186446660846</v>
      </c>
      <c r="O162">
        <f>IF($J162&gt;MAX('Match Log'!$A$4:$A$1510),NA(),IFERROR(LOOKUP(2,1/(('Match Log'!$D$4:$D$1510=$O$24)*('Match Log'!$A$4:$A$1510&lt;=$J162)),'Match Log'!$N$4:$N$1510),NA()))</f>
        <v>1115.1375937966061</v>
      </c>
      <c r="P162">
        <f>IF($J162&gt;MAX('Match Log'!$A$4:$A$1510),NA(),IFERROR(LOOKUP(2,1/(('Match Log'!$D$4:$D$1510=$P$24)*('Match Log'!$A$4:$A$1510&lt;=$J162)),'Match Log'!$N$4:$N$1510),NA()))</f>
        <v>1021.4613650119247</v>
      </c>
      <c r="Q162">
        <f>IF($J162&gt;MAX('Match Log'!$A$4:$A$1510),NA(),IFERROR(LOOKUP(2,1/(('Match Log'!$D$4:$D$1510=$Q$24)*('Match Log'!$A$4:$A$1510&lt;=$J162)),'Match Log'!$N$4:$N$1510),NA()))</f>
        <v>1085.4901250893295</v>
      </c>
      <c r="R162">
        <f>IF($J162&gt;MAX('Match Log'!$A$4:$A$1510),NA(),IFERROR(LOOKUP(2,1/(('Match Log'!$D$4:$D$1510=$R$24)*('Match Log'!$A$4:$A$1510&lt;=$J162)),'Match Log'!$N$4:$N$1510),NA()))</f>
        <v>1058.2210518223603</v>
      </c>
      <c r="S162">
        <f>IF($J162&gt;MAX('Match Log'!$A$4:$A$1510),NA(),IFERROR(LOOKUP(2,1/(('Match Log'!$D$4:$D$1510=$S$24)*('Match Log'!$A$4:$A$1510&lt;=$J162)),'Match Log'!$N$4:$N$1510),NA()))</f>
        <v>1168.3002777514087</v>
      </c>
      <c r="T162">
        <f>IF($J162&gt;MAX('Match Log'!$A$4:$A$1510),NA(),IFERROR(LOOKUP(2,1/(('Match Log'!$D$4:$D$1510=$T$24)*('Match Log'!$A$4:$A$1510&lt;=$J162)),'Match Log'!$N$4:$N$1510),NA()))</f>
        <v>893.15761519837804</v>
      </c>
      <c r="U162">
        <f>IF($J162&gt;MAX('Match Log'!$A$4:$A$1510),NA(),IFERROR(LOOKUP(2,1/(('Match Log'!$D$4:$D$1510=$U$24)*('Match Log'!$A$4:$A$1510&lt;=$J162)),'Match Log'!$N$4:$N$1510),NA()))</f>
        <v>1062.8275894279936</v>
      </c>
      <c r="V162">
        <f>IF($J162&gt;MAX('Match Log'!$A$4:$A$1510),NA(),IFERROR(LOOKUP(2,1/(('Match Log'!$D$4:$D$1510=$V$24)*('Match Log'!$A$4:$A$1510&lt;=$J162)),'Match Log'!$N$4:$N$1510),NA()))</f>
        <v>1031.1892257719715</v>
      </c>
      <c r="W162">
        <f>IF($J162&gt;MAX('Match Log'!$A$4:$A$1510),NA(),IFERROR(LOOKUP(2,1/(('Match Log'!$D$4:$D$1510=$W$24)*('Match Log'!$A$4:$A$1510&lt;=$J162)),'Match Log'!$N$4:$N$1510),NA()))</f>
        <v>1030.3895946906482</v>
      </c>
      <c r="X162" t="e">
        <f>IF($J162&gt;MAX('Match Log'!$A$4:$A$1510),NA(),IFERROR(LOOKUP(2,1/(('Match Log'!$D$4:$D$1510=$X$24)*('Match Log'!$A$4:$A$1510&lt;=$J162)),'Match Log'!$N$4:$N$1510),NA()))</f>
        <v>#N/A</v>
      </c>
      <c r="Y162" t="str">
        <f t="shared" ca="1" si="25"/>
        <v/>
      </c>
    </row>
    <row r="163" spans="1:25" x14ac:dyDescent="0.2">
      <c r="A163">
        <v>139</v>
      </c>
      <c r="B163" s="138">
        <f>IFERROR(INDEX('Match Log'!$B$4:$B$1510,MATCH($A163,'Match Log'!$A$4:$A$1510,0)),"")</f>
        <v>46214</v>
      </c>
      <c r="C163" t="str">
        <f>IFERROR(INDEX('Match Log'!$C$4:$C$1510,MATCH($A163,'Match Log'!$A$4:$A$1510,0)),"")</f>
        <v>Putt Putt</v>
      </c>
      <c r="D163" t="str">
        <f t="array" ref="D163">IFERROR(_xlfn.TEXTJOIN(" + ",TRUE(),IF(('Match Log'!$A$4:$A$1510=$A163)*('Match Log'!$E$4:$E$1510="Win"),'Match Log'!$D$4:$D$1510,"")),IFERROR(LOOKUP(2,1/(('Match Log'!$A$4:$A$1510=$A163)*('Match Log'!$E$4:$E$1510="Win")),'Match Log'!$D$4:$D$1510),""))</f>
        <v>Shawn</v>
      </c>
      <c r="E163" s="139">
        <f>IFERROR(INDEX('Match Log'!$F$4:$F$1510,MATCH($A163,'Match Log'!$A$4:$A$1510,0)),"")</f>
        <v>3</v>
      </c>
      <c r="F163">
        <f>IFERROR(SUMIFS('Match Log'!$I$4:$I$1510,'Match Log'!$A$4:$A$1510,$A163,'Match Log'!$E$4:$E$1510,"Win"),"")</f>
        <v>0.25</v>
      </c>
      <c r="G163">
        <f t="shared" si="23"/>
        <v>0.25</v>
      </c>
      <c r="H163" t="str">
        <f t="array" ref="H163">IFERROR(IF(COUNTIFS('Match Log'!$A$4:$A$1510,$A163,'Match Log'!$E$4:$E$1510,"Win")&gt;1,_xlfn.TEXTJOIN(" + ",TRUE(),IF(('Match Log'!$A$4:$A$1510=$A163)*('Match Log'!$E$4:$E$1510="Loss"),'Match Log'!$D$4:$D$1510,"")),IF($E163=2,LOOKUP(2,1/(('Match Log'!$A$4:$A$1510=$A163)*('Match Log'!$E$4:$E$1510="Loss")),'Match Log'!$D$4:$D$1510),"the field")),"")</f>
        <v>the field</v>
      </c>
      <c r="I163">
        <f t="shared" si="24"/>
        <v>0.249861</v>
      </c>
      <c r="J163">
        <v>139</v>
      </c>
      <c r="K163">
        <f>IF($J163&gt;MAX('Match Log'!$A$4:$A$1510),NA(),IFERROR(LOOKUP(2,1/(('Match Log'!$D$4:$D$1510=$K$24)*('Match Log'!$A$4:$A$1510&lt;=$J163)),'Match Log'!$N$4:$N$1510),NA()))</f>
        <v>1098.0287322635452</v>
      </c>
      <c r="L163">
        <f>IF($J163&gt;MAX('Match Log'!$A$4:$A$1510),NA(),IFERROR(LOOKUP(2,1/(('Match Log'!$D$4:$D$1510=$L$24)*('Match Log'!$A$4:$A$1510&lt;=$J163)),'Match Log'!$N$4:$N$1510),NA()))</f>
        <v>1029.5175965335138</v>
      </c>
      <c r="M163">
        <f>IF($J163&gt;MAX('Match Log'!$A$4:$A$1510),NA(),IFERROR(LOOKUP(2,1/(('Match Log'!$D$4:$D$1510=$M$24)*('Match Log'!$A$4:$A$1510&lt;=$J163)),'Match Log'!$N$4:$N$1510),NA()))</f>
        <v>1016.7841648959289</v>
      </c>
      <c r="N163">
        <f>IF($J163&gt;MAX('Match Log'!$A$4:$A$1510),NA(),IFERROR(LOOKUP(2,1/(('Match Log'!$D$4:$D$1510=$N$24)*('Match Log'!$A$4:$A$1510&lt;=$J163)),'Match Log'!$N$4:$N$1510),NA()))</f>
        <v>973.19705892757202</v>
      </c>
      <c r="O163">
        <f>IF($J163&gt;MAX('Match Log'!$A$4:$A$1510),NA(),IFERROR(LOOKUP(2,1/(('Match Log'!$D$4:$D$1510=$O$24)*('Match Log'!$A$4:$A$1510&lt;=$J163)),'Match Log'!$N$4:$N$1510),NA()))</f>
        <v>1115.1375937966061</v>
      </c>
      <c r="P163">
        <f>IF($J163&gt;MAX('Match Log'!$A$4:$A$1510),NA(),IFERROR(LOOKUP(2,1/(('Match Log'!$D$4:$D$1510=$P$24)*('Match Log'!$A$4:$A$1510&lt;=$J163)),'Match Log'!$N$4:$N$1510),NA()))</f>
        <v>1050.7593738307432</v>
      </c>
      <c r="Q163">
        <f>IF($J163&gt;MAX('Match Log'!$A$4:$A$1510),NA(),IFERROR(LOOKUP(2,1/(('Match Log'!$D$4:$D$1510=$Q$24)*('Match Log'!$A$4:$A$1510&lt;=$J163)),'Match Log'!$N$4:$N$1510),NA()))</f>
        <v>1085.4901250893295</v>
      </c>
      <c r="R163">
        <f>IF($J163&gt;MAX('Match Log'!$A$4:$A$1510),NA(),IFERROR(LOOKUP(2,1/(('Match Log'!$D$4:$D$1510=$R$24)*('Match Log'!$A$4:$A$1510&lt;=$J163)),'Match Log'!$N$4:$N$1510),NA()))</f>
        <v>1058.2210518223603</v>
      </c>
      <c r="S163">
        <f>IF($J163&gt;MAX('Match Log'!$A$4:$A$1510),NA(),IFERROR(LOOKUP(2,1/(('Match Log'!$D$4:$D$1510=$S$24)*('Match Log'!$A$4:$A$1510&lt;=$J163)),'Match Log'!$N$4:$N$1510),NA()))</f>
        <v>1168.3002777514087</v>
      </c>
      <c r="T163">
        <f>IF($J163&gt;MAX('Match Log'!$A$4:$A$1510),NA(),IFERROR(LOOKUP(2,1/(('Match Log'!$D$4:$D$1510=$T$24)*('Match Log'!$A$4:$A$1510&lt;=$J163)),'Match Log'!$N$4:$N$1510),NA()))</f>
        <v>893.15761519837804</v>
      </c>
      <c r="U163">
        <f>IF($J163&gt;MAX('Match Log'!$A$4:$A$1510),NA(),IFERROR(LOOKUP(2,1/(('Match Log'!$D$4:$D$1510=$U$24)*('Match Log'!$A$4:$A$1510&lt;=$J163)),'Match Log'!$N$4:$N$1510),NA()))</f>
        <v>1062.8275894279936</v>
      </c>
      <c r="V163">
        <f>IF($J163&gt;MAX('Match Log'!$A$4:$A$1510),NA(),IFERROR(LOOKUP(2,1/(('Match Log'!$D$4:$D$1510=$V$24)*('Match Log'!$A$4:$A$1510&lt;=$J163)),'Match Log'!$N$4:$N$1510),NA()))</f>
        <v>1031.1892257719715</v>
      </c>
      <c r="W163">
        <f>IF($J163&gt;MAX('Match Log'!$A$4:$A$1510),NA(),IFERROR(LOOKUP(2,1/(('Match Log'!$D$4:$D$1510=$W$24)*('Match Log'!$A$4:$A$1510&lt;=$J163)),'Match Log'!$N$4:$N$1510),NA()))</f>
        <v>1030.3895946906482</v>
      </c>
      <c r="X163" t="e">
        <f>IF($J163&gt;MAX('Match Log'!$A$4:$A$1510),NA(),IFERROR(LOOKUP(2,1/(('Match Log'!$D$4:$D$1510=$X$24)*('Match Log'!$A$4:$A$1510&lt;=$J163)),'Match Log'!$N$4:$N$1510),NA()))</f>
        <v>#N/A</v>
      </c>
      <c r="Y163" t="str">
        <f t="shared" ca="1" si="25"/>
        <v/>
      </c>
    </row>
    <row r="164" spans="1:25" x14ac:dyDescent="0.2">
      <c r="A164">
        <v>140</v>
      </c>
      <c r="B164" s="138">
        <f>IFERROR(INDEX('Match Log'!$B$4:$B$1510,MATCH($A164,'Match Log'!$A$4:$A$1510,0)),"")</f>
        <v>46214</v>
      </c>
      <c r="C164" t="str">
        <f>IFERROR(INDEX('Match Log'!$C$4:$C$1510,MATCH($A164,'Match Log'!$A$4:$A$1510,0)),"")</f>
        <v>Mario Golf</v>
      </c>
      <c r="D164" t="str">
        <f t="array" ref="D164">IFERROR(_xlfn.TEXTJOIN(" + ",TRUE(),IF(('Match Log'!$A$4:$A$1510=$A164)*('Match Log'!$E$4:$E$1510="Win"),'Match Log'!$D$4:$D$1510,"")),IFERROR(LOOKUP(2,1/(('Match Log'!$A$4:$A$1510=$A164)*('Match Log'!$E$4:$E$1510="Win")),'Match Log'!$D$4:$D$1510),""))</f>
        <v>Shawn</v>
      </c>
      <c r="E164" s="139">
        <f>IFERROR(INDEX('Match Log'!$F$4:$F$1510,MATCH($A164,'Match Log'!$A$4:$A$1510,0)),"")</f>
        <v>2</v>
      </c>
      <c r="F164">
        <f>IFERROR(SUMIFS('Match Log'!$I$4:$I$1510,'Match Log'!$A$4:$A$1510,$A164,'Match Log'!$E$4:$E$1510,"Win"),"")</f>
        <v>0.66666666666666663</v>
      </c>
      <c r="G164">
        <f t="shared" si="23"/>
        <v>-0.33333333333333326</v>
      </c>
      <c r="H164" t="str">
        <f t="array" ref="H164">IFERROR(IF(COUNTIFS('Match Log'!$A$4:$A$1510,$A164,'Match Log'!$E$4:$E$1510,"Win")&gt;1,_xlfn.TEXTJOIN(" + ",TRUE(),IF(('Match Log'!$A$4:$A$1510=$A164)*('Match Log'!$E$4:$E$1510="Loss"),'Match Log'!$D$4:$D$1510,"")),IF($E164=2,LOOKUP(2,1/(('Match Log'!$A$4:$A$1510=$A164)*('Match Log'!$E$4:$E$1510="Loss")),'Match Log'!$D$4:$D$1510),"the field")),"")</f>
        <v>Aaron</v>
      </c>
      <c r="I164">
        <f t="shared" si="24"/>
        <v>-0.33347333333333323</v>
      </c>
      <c r="J164">
        <v>140</v>
      </c>
      <c r="K164">
        <f>IF($J164&gt;MAX('Match Log'!$A$4:$A$1510),NA(),IFERROR(LOOKUP(2,1/(('Match Log'!$D$4:$D$1510=$K$24)*('Match Log'!$A$4:$A$1510&lt;=$J164)),'Match Log'!$N$4:$N$1510),NA()))</f>
        <v>1078.7452189877595</v>
      </c>
      <c r="L164">
        <f>IF($J164&gt;MAX('Match Log'!$A$4:$A$1510),NA(),IFERROR(LOOKUP(2,1/(('Match Log'!$D$4:$D$1510=$L$24)*('Match Log'!$A$4:$A$1510&lt;=$J164)),'Match Log'!$N$4:$N$1510),NA()))</f>
        <v>1029.5175965335138</v>
      </c>
      <c r="M164">
        <f>IF($J164&gt;MAX('Match Log'!$A$4:$A$1510),NA(),IFERROR(LOOKUP(2,1/(('Match Log'!$D$4:$D$1510=$M$24)*('Match Log'!$A$4:$A$1510&lt;=$J164)),'Match Log'!$N$4:$N$1510),NA()))</f>
        <v>1016.7841648959289</v>
      </c>
      <c r="N164">
        <f>IF($J164&gt;MAX('Match Log'!$A$4:$A$1510),NA(),IFERROR(LOOKUP(2,1/(('Match Log'!$D$4:$D$1510=$N$24)*('Match Log'!$A$4:$A$1510&lt;=$J164)),'Match Log'!$N$4:$N$1510),NA()))</f>
        <v>973.19705892757202</v>
      </c>
      <c r="O164">
        <f>IF($J164&gt;MAX('Match Log'!$A$4:$A$1510),NA(),IFERROR(LOOKUP(2,1/(('Match Log'!$D$4:$D$1510=$O$24)*('Match Log'!$A$4:$A$1510&lt;=$J164)),'Match Log'!$N$4:$N$1510),NA()))</f>
        <v>1115.1375937966061</v>
      </c>
      <c r="P164">
        <f>IF($J164&gt;MAX('Match Log'!$A$4:$A$1510),NA(),IFERROR(LOOKUP(2,1/(('Match Log'!$D$4:$D$1510=$P$24)*('Match Log'!$A$4:$A$1510&lt;=$J164)),'Match Log'!$N$4:$N$1510),NA()))</f>
        <v>1070.042887106529</v>
      </c>
      <c r="Q164">
        <f>IF($J164&gt;MAX('Match Log'!$A$4:$A$1510),NA(),IFERROR(LOOKUP(2,1/(('Match Log'!$D$4:$D$1510=$Q$24)*('Match Log'!$A$4:$A$1510&lt;=$J164)),'Match Log'!$N$4:$N$1510),NA()))</f>
        <v>1085.4901250893295</v>
      </c>
      <c r="R164">
        <f>IF($J164&gt;MAX('Match Log'!$A$4:$A$1510),NA(),IFERROR(LOOKUP(2,1/(('Match Log'!$D$4:$D$1510=$R$24)*('Match Log'!$A$4:$A$1510&lt;=$J164)),'Match Log'!$N$4:$N$1510),NA()))</f>
        <v>1058.2210518223603</v>
      </c>
      <c r="S164">
        <f>IF($J164&gt;MAX('Match Log'!$A$4:$A$1510),NA(),IFERROR(LOOKUP(2,1/(('Match Log'!$D$4:$D$1510=$S$24)*('Match Log'!$A$4:$A$1510&lt;=$J164)),'Match Log'!$N$4:$N$1510),NA()))</f>
        <v>1168.3002777514087</v>
      </c>
      <c r="T164">
        <f>IF($J164&gt;MAX('Match Log'!$A$4:$A$1510),NA(),IFERROR(LOOKUP(2,1/(('Match Log'!$D$4:$D$1510=$T$24)*('Match Log'!$A$4:$A$1510&lt;=$J164)),'Match Log'!$N$4:$N$1510),NA()))</f>
        <v>893.15761519837804</v>
      </c>
      <c r="U164">
        <f>IF($J164&gt;MAX('Match Log'!$A$4:$A$1510),NA(),IFERROR(LOOKUP(2,1/(('Match Log'!$D$4:$D$1510=$U$24)*('Match Log'!$A$4:$A$1510&lt;=$J164)),'Match Log'!$N$4:$N$1510),NA()))</f>
        <v>1062.8275894279936</v>
      </c>
      <c r="V164">
        <f>IF($J164&gt;MAX('Match Log'!$A$4:$A$1510),NA(),IFERROR(LOOKUP(2,1/(('Match Log'!$D$4:$D$1510=$V$24)*('Match Log'!$A$4:$A$1510&lt;=$J164)),'Match Log'!$N$4:$N$1510),NA()))</f>
        <v>1031.1892257719715</v>
      </c>
      <c r="W164">
        <f>IF($J164&gt;MAX('Match Log'!$A$4:$A$1510),NA(),IFERROR(LOOKUP(2,1/(('Match Log'!$D$4:$D$1510=$W$24)*('Match Log'!$A$4:$A$1510&lt;=$J164)),'Match Log'!$N$4:$N$1510),NA()))</f>
        <v>1030.3895946906482</v>
      </c>
      <c r="X164" t="e">
        <f>IF($J164&gt;MAX('Match Log'!$A$4:$A$1510),NA(),IFERROR(LOOKUP(2,1/(('Match Log'!$D$4:$D$1510=$X$24)*('Match Log'!$A$4:$A$1510&lt;=$J164)),'Match Log'!$N$4:$N$1510),NA()))</f>
        <v>#N/A</v>
      </c>
      <c r="Y164" t="str">
        <f t="shared" ca="1" si="25"/>
        <v/>
      </c>
    </row>
    <row r="165" spans="1:25" x14ac:dyDescent="0.2">
      <c r="A165">
        <v>141</v>
      </c>
      <c r="B165" s="138">
        <f>IFERROR(INDEX('Match Log'!$B$4:$B$1510,MATCH($A165,'Match Log'!$A$4:$A$1510,0)),"")</f>
        <v>46214</v>
      </c>
      <c r="C165" t="str">
        <f>IFERROR(INDEX('Match Log'!$C$4:$C$1510,MATCH($A165,'Match Log'!$A$4:$A$1510,0)),"")</f>
        <v>Mario Golf</v>
      </c>
      <c r="D165" t="str">
        <f t="array" ref="D165">IFERROR(_xlfn.TEXTJOIN(" + ",TRUE(),IF(('Match Log'!$A$4:$A$1510=$A165)*('Match Log'!$E$4:$E$1510="Win"),'Match Log'!$D$4:$D$1510,"")),IFERROR(LOOKUP(2,1/(('Match Log'!$A$4:$A$1510=$A165)*('Match Log'!$E$4:$E$1510="Win")),'Match Log'!$D$4:$D$1510),""))</f>
        <v>Aaron</v>
      </c>
      <c r="E165" s="139">
        <f>IFERROR(INDEX('Match Log'!$F$4:$F$1510,MATCH($A165,'Match Log'!$A$4:$A$1510,0)),"")</f>
        <v>2</v>
      </c>
      <c r="F165">
        <f>IFERROR(SUMIFS('Match Log'!$I$4:$I$1510,'Match Log'!$A$4:$A$1510,$A165,'Match Log'!$E$4:$E$1510,"Win"),"")</f>
        <v>0.3</v>
      </c>
      <c r="G165">
        <f t="shared" si="23"/>
        <v>0.4</v>
      </c>
      <c r="H165" t="str">
        <f t="array" ref="H165">IFERROR(IF(COUNTIFS('Match Log'!$A$4:$A$1510,$A165,'Match Log'!$E$4:$E$1510,"Win")&gt;1,_xlfn.TEXTJOIN(" + ",TRUE(),IF(('Match Log'!$A$4:$A$1510=$A165)*('Match Log'!$E$4:$E$1510="Loss"),'Match Log'!$D$4:$D$1510,"")),IF($E165=2,LOOKUP(2,1/(('Match Log'!$A$4:$A$1510=$A165)*('Match Log'!$E$4:$E$1510="Loss")),'Match Log'!$D$4:$D$1510),"the field")),"")</f>
        <v>Shawn</v>
      </c>
      <c r="I165">
        <f t="shared" si="24"/>
        <v>0.39985900000000002</v>
      </c>
      <c r="J165">
        <v>141</v>
      </c>
      <c r="K165">
        <f>IF($J165&gt;MAX('Match Log'!$A$4:$A$1510),NA(),IFERROR(LOOKUP(2,1/(('Match Log'!$D$4:$D$1510=$K$24)*('Match Log'!$A$4:$A$1510&lt;=$J165)),'Match Log'!$N$4:$N$1510),NA()))</f>
        <v>1105.4390255097903</v>
      </c>
      <c r="L165">
        <f>IF($J165&gt;MAX('Match Log'!$A$4:$A$1510),NA(),IFERROR(LOOKUP(2,1/(('Match Log'!$D$4:$D$1510=$L$24)*('Match Log'!$A$4:$A$1510&lt;=$J165)),'Match Log'!$N$4:$N$1510),NA()))</f>
        <v>1029.5175965335138</v>
      </c>
      <c r="M165">
        <f>IF($J165&gt;MAX('Match Log'!$A$4:$A$1510),NA(),IFERROR(LOOKUP(2,1/(('Match Log'!$D$4:$D$1510=$M$24)*('Match Log'!$A$4:$A$1510&lt;=$J165)),'Match Log'!$N$4:$N$1510),NA()))</f>
        <v>1016.7841648959289</v>
      </c>
      <c r="N165">
        <f>IF($J165&gt;MAX('Match Log'!$A$4:$A$1510),NA(),IFERROR(LOOKUP(2,1/(('Match Log'!$D$4:$D$1510=$N$24)*('Match Log'!$A$4:$A$1510&lt;=$J165)),'Match Log'!$N$4:$N$1510),NA()))</f>
        <v>973.19705892757202</v>
      </c>
      <c r="O165">
        <f>IF($J165&gt;MAX('Match Log'!$A$4:$A$1510),NA(),IFERROR(LOOKUP(2,1/(('Match Log'!$D$4:$D$1510=$O$24)*('Match Log'!$A$4:$A$1510&lt;=$J165)),'Match Log'!$N$4:$N$1510),NA()))</f>
        <v>1115.1375937966061</v>
      </c>
      <c r="P165">
        <f>IF($J165&gt;MAX('Match Log'!$A$4:$A$1510),NA(),IFERROR(LOOKUP(2,1/(('Match Log'!$D$4:$D$1510=$P$24)*('Match Log'!$A$4:$A$1510&lt;=$J165)),'Match Log'!$N$4:$N$1510),NA()))</f>
        <v>1043.3490805844981</v>
      </c>
      <c r="Q165">
        <f>IF($J165&gt;MAX('Match Log'!$A$4:$A$1510),NA(),IFERROR(LOOKUP(2,1/(('Match Log'!$D$4:$D$1510=$Q$24)*('Match Log'!$A$4:$A$1510&lt;=$J165)),'Match Log'!$N$4:$N$1510),NA()))</f>
        <v>1085.4901250893295</v>
      </c>
      <c r="R165">
        <f>IF($J165&gt;MAX('Match Log'!$A$4:$A$1510),NA(),IFERROR(LOOKUP(2,1/(('Match Log'!$D$4:$D$1510=$R$24)*('Match Log'!$A$4:$A$1510&lt;=$J165)),'Match Log'!$N$4:$N$1510),NA()))</f>
        <v>1058.2210518223603</v>
      </c>
      <c r="S165">
        <f>IF($J165&gt;MAX('Match Log'!$A$4:$A$1510),NA(),IFERROR(LOOKUP(2,1/(('Match Log'!$D$4:$D$1510=$S$24)*('Match Log'!$A$4:$A$1510&lt;=$J165)),'Match Log'!$N$4:$N$1510),NA()))</f>
        <v>1168.3002777514087</v>
      </c>
      <c r="T165">
        <f>IF($J165&gt;MAX('Match Log'!$A$4:$A$1510),NA(),IFERROR(LOOKUP(2,1/(('Match Log'!$D$4:$D$1510=$T$24)*('Match Log'!$A$4:$A$1510&lt;=$J165)),'Match Log'!$N$4:$N$1510),NA()))</f>
        <v>893.15761519837804</v>
      </c>
      <c r="U165">
        <f>IF($J165&gt;MAX('Match Log'!$A$4:$A$1510),NA(),IFERROR(LOOKUP(2,1/(('Match Log'!$D$4:$D$1510=$U$24)*('Match Log'!$A$4:$A$1510&lt;=$J165)),'Match Log'!$N$4:$N$1510),NA()))</f>
        <v>1062.8275894279936</v>
      </c>
      <c r="V165">
        <f>IF($J165&gt;MAX('Match Log'!$A$4:$A$1510),NA(),IFERROR(LOOKUP(2,1/(('Match Log'!$D$4:$D$1510=$V$24)*('Match Log'!$A$4:$A$1510&lt;=$J165)),'Match Log'!$N$4:$N$1510),NA()))</f>
        <v>1031.1892257719715</v>
      </c>
      <c r="W165">
        <f>IF($J165&gt;MAX('Match Log'!$A$4:$A$1510),NA(),IFERROR(LOOKUP(2,1/(('Match Log'!$D$4:$D$1510=$W$24)*('Match Log'!$A$4:$A$1510&lt;=$J165)),'Match Log'!$N$4:$N$1510),NA()))</f>
        <v>1030.3895946906482</v>
      </c>
      <c r="X165" t="e">
        <f>IF($J165&gt;MAX('Match Log'!$A$4:$A$1510),NA(),IFERROR(LOOKUP(2,1/(('Match Log'!$D$4:$D$1510=$X$24)*('Match Log'!$A$4:$A$1510&lt;=$J165)),'Match Log'!$N$4:$N$1510),NA()))</f>
        <v>#N/A</v>
      </c>
      <c r="Y165" t="str">
        <f t="shared" ca="1" si="25"/>
        <v/>
      </c>
    </row>
    <row r="166" spans="1:25" x14ac:dyDescent="0.2">
      <c r="A166">
        <v>142</v>
      </c>
      <c r="B166" s="138">
        <f>IFERROR(INDEX('Match Log'!$B$4:$B$1510,MATCH($A166,'Match Log'!$A$4:$A$1510,0)),"")</f>
        <v>46214</v>
      </c>
      <c r="C166" t="str">
        <f>IFERROR(INDEX('Match Log'!$C$4:$C$1510,MATCH($A166,'Match Log'!$A$4:$A$1510,0)),"")</f>
        <v>Darts</v>
      </c>
      <c r="D166" t="str">
        <f t="array" ref="D166">IFERROR(_xlfn.TEXTJOIN(" + ",TRUE(),IF(('Match Log'!$A$4:$A$1510=$A166)*('Match Log'!$E$4:$E$1510="Win"),'Match Log'!$D$4:$D$1510,"")),IFERROR(LOOKUP(2,1/(('Match Log'!$A$4:$A$1510=$A166)*('Match Log'!$E$4:$E$1510="Win")),'Match Log'!$D$4:$D$1510),""))</f>
        <v>Shawn</v>
      </c>
      <c r="E166" s="139">
        <f>IFERROR(INDEX('Match Log'!$F$4:$F$1510,MATCH($A166,'Match Log'!$A$4:$A$1510,0)),"")</f>
        <v>2</v>
      </c>
      <c r="F166">
        <f>IFERROR(SUMIFS('Match Log'!$I$4:$I$1510,'Match Log'!$A$4:$A$1510,$A166,'Match Log'!$E$4:$E$1510,"Win"),"")</f>
        <v>0.5</v>
      </c>
      <c r="G166">
        <f t="shared" si="23"/>
        <v>0</v>
      </c>
      <c r="H166" t="str">
        <f t="array" ref="H166">IFERROR(IF(COUNTIFS('Match Log'!$A$4:$A$1510,$A166,'Match Log'!$E$4:$E$1510,"Win")&gt;1,_xlfn.TEXTJOIN(" + ",TRUE(),IF(('Match Log'!$A$4:$A$1510=$A166)*('Match Log'!$E$4:$E$1510="Loss"),'Match Log'!$D$4:$D$1510,"")),IF($E166=2,LOOKUP(2,1/(('Match Log'!$A$4:$A$1510=$A166)*('Match Log'!$E$4:$E$1510="Loss")),'Match Log'!$D$4:$D$1510),"the field")),"")</f>
        <v>Aaron</v>
      </c>
      <c r="I166">
        <f t="shared" si="24"/>
        <v>-1.4200000000000001E-4</v>
      </c>
      <c r="J166">
        <v>142</v>
      </c>
      <c r="K166">
        <f>IF($J166&gt;MAX('Match Log'!$A$4:$A$1510),NA(),IFERROR(LOOKUP(2,1/(('Match Log'!$D$4:$D$1510=$K$24)*('Match Log'!$A$4:$A$1510&lt;=$J166)),'Match Log'!$N$4:$N$1510),NA()))</f>
        <v>1080.6097336299915</v>
      </c>
      <c r="L166">
        <f>IF($J166&gt;MAX('Match Log'!$A$4:$A$1510),NA(),IFERROR(LOOKUP(2,1/(('Match Log'!$D$4:$D$1510=$L$24)*('Match Log'!$A$4:$A$1510&lt;=$J166)),'Match Log'!$N$4:$N$1510),NA()))</f>
        <v>1029.5175965335138</v>
      </c>
      <c r="M166">
        <f>IF($J166&gt;MAX('Match Log'!$A$4:$A$1510),NA(),IFERROR(LOOKUP(2,1/(('Match Log'!$D$4:$D$1510=$M$24)*('Match Log'!$A$4:$A$1510&lt;=$J166)),'Match Log'!$N$4:$N$1510),NA()))</f>
        <v>1016.7841648959289</v>
      </c>
      <c r="N166">
        <f>IF($J166&gt;MAX('Match Log'!$A$4:$A$1510),NA(),IFERROR(LOOKUP(2,1/(('Match Log'!$D$4:$D$1510=$N$24)*('Match Log'!$A$4:$A$1510&lt;=$J166)),'Match Log'!$N$4:$N$1510),NA()))</f>
        <v>973.19705892757202</v>
      </c>
      <c r="O166">
        <f>IF($J166&gt;MAX('Match Log'!$A$4:$A$1510),NA(),IFERROR(LOOKUP(2,1/(('Match Log'!$D$4:$D$1510=$O$24)*('Match Log'!$A$4:$A$1510&lt;=$J166)),'Match Log'!$N$4:$N$1510),NA()))</f>
        <v>1115.1375937966061</v>
      </c>
      <c r="P166">
        <f>IF($J166&gt;MAX('Match Log'!$A$4:$A$1510),NA(),IFERROR(LOOKUP(2,1/(('Match Log'!$D$4:$D$1510=$P$24)*('Match Log'!$A$4:$A$1510&lt;=$J166)),'Match Log'!$N$4:$N$1510),NA()))</f>
        <v>1068.1783724642969</v>
      </c>
      <c r="Q166">
        <f>IF($J166&gt;MAX('Match Log'!$A$4:$A$1510),NA(),IFERROR(LOOKUP(2,1/(('Match Log'!$D$4:$D$1510=$Q$24)*('Match Log'!$A$4:$A$1510&lt;=$J166)),'Match Log'!$N$4:$N$1510),NA()))</f>
        <v>1085.4901250893295</v>
      </c>
      <c r="R166">
        <f>IF($J166&gt;MAX('Match Log'!$A$4:$A$1510),NA(),IFERROR(LOOKUP(2,1/(('Match Log'!$D$4:$D$1510=$R$24)*('Match Log'!$A$4:$A$1510&lt;=$J166)),'Match Log'!$N$4:$N$1510),NA()))</f>
        <v>1058.2210518223603</v>
      </c>
      <c r="S166">
        <f>IF($J166&gt;MAX('Match Log'!$A$4:$A$1510),NA(),IFERROR(LOOKUP(2,1/(('Match Log'!$D$4:$D$1510=$S$24)*('Match Log'!$A$4:$A$1510&lt;=$J166)),'Match Log'!$N$4:$N$1510),NA()))</f>
        <v>1168.3002777514087</v>
      </c>
      <c r="T166">
        <f>IF($J166&gt;MAX('Match Log'!$A$4:$A$1510),NA(),IFERROR(LOOKUP(2,1/(('Match Log'!$D$4:$D$1510=$T$24)*('Match Log'!$A$4:$A$1510&lt;=$J166)),'Match Log'!$N$4:$N$1510),NA()))</f>
        <v>893.15761519837804</v>
      </c>
      <c r="U166">
        <f>IF($J166&gt;MAX('Match Log'!$A$4:$A$1510),NA(),IFERROR(LOOKUP(2,1/(('Match Log'!$D$4:$D$1510=$U$24)*('Match Log'!$A$4:$A$1510&lt;=$J166)),'Match Log'!$N$4:$N$1510),NA()))</f>
        <v>1062.8275894279936</v>
      </c>
      <c r="V166">
        <f>IF($J166&gt;MAX('Match Log'!$A$4:$A$1510),NA(),IFERROR(LOOKUP(2,1/(('Match Log'!$D$4:$D$1510=$V$24)*('Match Log'!$A$4:$A$1510&lt;=$J166)),'Match Log'!$N$4:$N$1510),NA()))</f>
        <v>1031.1892257719715</v>
      </c>
      <c r="W166">
        <f>IF($J166&gt;MAX('Match Log'!$A$4:$A$1510),NA(),IFERROR(LOOKUP(2,1/(('Match Log'!$D$4:$D$1510=$W$24)*('Match Log'!$A$4:$A$1510&lt;=$J166)),'Match Log'!$N$4:$N$1510),NA()))</f>
        <v>1030.3895946906482</v>
      </c>
      <c r="X166" t="e">
        <f>IF($J166&gt;MAX('Match Log'!$A$4:$A$1510),NA(),IFERROR(LOOKUP(2,1/(('Match Log'!$D$4:$D$1510=$X$24)*('Match Log'!$A$4:$A$1510&lt;=$J166)),'Match Log'!$N$4:$N$1510),NA()))</f>
        <v>#N/A</v>
      </c>
      <c r="Y166" t="str">
        <f t="shared" ca="1" si="25"/>
        <v/>
      </c>
    </row>
    <row r="167" spans="1:25" x14ac:dyDescent="0.2">
      <c r="A167">
        <v>143</v>
      </c>
      <c r="B167" s="138">
        <f>IFERROR(INDEX('Match Log'!$B$4:$B$1510,MATCH($A167,'Match Log'!$A$4:$A$1510,0)),"")</f>
        <v>46214</v>
      </c>
      <c r="C167" t="str">
        <f>IFERROR(INDEX('Match Log'!$C$4:$C$1510,MATCH($A167,'Match Log'!$A$4:$A$1510,0)),"")</f>
        <v>Darts</v>
      </c>
      <c r="D167" t="str">
        <f t="array" ref="D167">IFERROR(_xlfn.TEXTJOIN(" + ",TRUE(),IF(('Match Log'!$A$4:$A$1510=$A167)*('Match Log'!$E$4:$E$1510="Win"),'Match Log'!$D$4:$D$1510,"")),IFERROR(LOOKUP(2,1/(('Match Log'!$A$4:$A$1510=$A167)*('Match Log'!$E$4:$E$1510="Win")),'Match Log'!$D$4:$D$1510),""))</f>
        <v>Aaron</v>
      </c>
      <c r="E167" s="139">
        <f>IFERROR(INDEX('Match Log'!$F$4:$F$1510,MATCH($A167,'Match Log'!$A$4:$A$1510,0)),"")</f>
        <v>2</v>
      </c>
      <c r="F167">
        <f>IFERROR(SUMIFS('Match Log'!$I$4:$I$1510,'Match Log'!$A$4:$A$1510,$A167,'Match Log'!$E$4:$E$1510,"Win"),"")</f>
        <v>0.33333333333333331</v>
      </c>
      <c r="G167">
        <f t="shared" si="23"/>
        <v>0.33333333333333337</v>
      </c>
      <c r="H167" t="str">
        <f t="array" ref="H167">IFERROR(IF(COUNTIFS('Match Log'!$A$4:$A$1510,$A167,'Match Log'!$E$4:$E$1510,"Win")&gt;1,_xlfn.TEXTJOIN(" + ",TRUE(),IF(('Match Log'!$A$4:$A$1510=$A167)*('Match Log'!$E$4:$E$1510="Loss"),'Match Log'!$D$4:$D$1510,"")),IF($E167=2,LOOKUP(2,1/(('Match Log'!$A$4:$A$1510=$A167)*('Match Log'!$E$4:$E$1510="Loss")),'Match Log'!$D$4:$D$1510),"the field")),"")</f>
        <v>Shawn</v>
      </c>
      <c r="I167">
        <f t="shared" si="24"/>
        <v>0.33319033333333337</v>
      </c>
      <c r="J167">
        <v>143</v>
      </c>
      <c r="K167">
        <f>IF($J167&gt;MAX('Match Log'!$A$4:$A$1510),NA(),IFERROR(LOOKUP(2,1/(('Match Log'!$D$4:$D$1510=$K$24)*('Match Log'!$A$4:$A$1510&lt;=$J167)),'Match Log'!$N$4:$N$1510),NA()))</f>
        <v>1104.3782877366191</v>
      </c>
      <c r="L167">
        <f>IF($J167&gt;MAX('Match Log'!$A$4:$A$1510),NA(),IFERROR(LOOKUP(2,1/(('Match Log'!$D$4:$D$1510=$L$24)*('Match Log'!$A$4:$A$1510&lt;=$J167)),'Match Log'!$N$4:$N$1510),NA()))</f>
        <v>1029.5175965335138</v>
      </c>
      <c r="M167">
        <f>IF($J167&gt;MAX('Match Log'!$A$4:$A$1510),NA(),IFERROR(LOOKUP(2,1/(('Match Log'!$D$4:$D$1510=$M$24)*('Match Log'!$A$4:$A$1510&lt;=$J167)),'Match Log'!$N$4:$N$1510),NA()))</f>
        <v>1016.7841648959289</v>
      </c>
      <c r="N167">
        <f>IF($J167&gt;MAX('Match Log'!$A$4:$A$1510),NA(),IFERROR(LOOKUP(2,1/(('Match Log'!$D$4:$D$1510=$N$24)*('Match Log'!$A$4:$A$1510&lt;=$J167)),'Match Log'!$N$4:$N$1510),NA()))</f>
        <v>973.19705892757202</v>
      </c>
      <c r="O167">
        <f>IF($J167&gt;MAX('Match Log'!$A$4:$A$1510),NA(),IFERROR(LOOKUP(2,1/(('Match Log'!$D$4:$D$1510=$O$24)*('Match Log'!$A$4:$A$1510&lt;=$J167)),'Match Log'!$N$4:$N$1510),NA()))</f>
        <v>1115.1375937966061</v>
      </c>
      <c r="P167">
        <f>IF($J167&gt;MAX('Match Log'!$A$4:$A$1510),NA(),IFERROR(LOOKUP(2,1/(('Match Log'!$D$4:$D$1510=$P$24)*('Match Log'!$A$4:$A$1510&lt;=$J167)),'Match Log'!$N$4:$N$1510),NA()))</f>
        <v>1044.4098183576693</v>
      </c>
      <c r="Q167">
        <f>IF($J167&gt;MAX('Match Log'!$A$4:$A$1510),NA(),IFERROR(LOOKUP(2,1/(('Match Log'!$D$4:$D$1510=$Q$24)*('Match Log'!$A$4:$A$1510&lt;=$J167)),'Match Log'!$N$4:$N$1510),NA()))</f>
        <v>1085.4901250893295</v>
      </c>
      <c r="R167">
        <f>IF($J167&gt;MAX('Match Log'!$A$4:$A$1510),NA(),IFERROR(LOOKUP(2,1/(('Match Log'!$D$4:$D$1510=$R$24)*('Match Log'!$A$4:$A$1510&lt;=$J167)),'Match Log'!$N$4:$N$1510),NA()))</f>
        <v>1058.2210518223603</v>
      </c>
      <c r="S167">
        <f>IF($J167&gt;MAX('Match Log'!$A$4:$A$1510),NA(),IFERROR(LOOKUP(2,1/(('Match Log'!$D$4:$D$1510=$S$24)*('Match Log'!$A$4:$A$1510&lt;=$J167)),'Match Log'!$N$4:$N$1510),NA()))</f>
        <v>1168.3002777514087</v>
      </c>
      <c r="T167">
        <f>IF($J167&gt;MAX('Match Log'!$A$4:$A$1510),NA(),IFERROR(LOOKUP(2,1/(('Match Log'!$D$4:$D$1510=$T$24)*('Match Log'!$A$4:$A$1510&lt;=$J167)),'Match Log'!$N$4:$N$1510),NA()))</f>
        <v>893.15761519837804</v>
      </c>
      <c r="U167">
        <f>IF($J167&gt;MAX('Match Log'!$A$4:$A$1510),NA(),IFERROR(LOOKUP(2,1/(('Match Log'!$D$4:$D$1510=$U$24)*('Match Log'!$A$4:$A$1510&lt;=$J167)),'Match Log'!$N$4:$N$1510),NA()))</f>
        <v>1062.8275894279936</v>
      </c>
      <c r="V167">
        <f>IF($J167&gt;MAX('Match Log'!$A$4:$A$1510),NA(),IFERROR(LOOKUP(2,1/(('Match Log'!$D$4:$D$1510=$V$24)*('Match Log'!$A$4:$A$1510&lt;=$J167)),'Match Log'!$N$4:$N$1510),NA()))</f>
        <v>1031.1892257719715</v>
      </c>
      <c r="W167">
        <f>IF($J167&gt;MAX('Match Log'!$A$4:$A$1510),NA(),IFERROR(LOOKUP(2,1/(('Match Log'!$D$4:$D$1510=$W$24)*('Match Log'!$A$4:$A$1510&lt;=$J167)),'Match Log'!$N$4:$N$1510),NA()))</f>
        <v>1030.3895946906482</v>
      </c>
      <c r="X167" t="e">
        <f>IF($J167&gt;MAX('Match Log'!$A$4:$A$1510),NA(),IFERROR(LOOKUP(2,1/(('Match Log'!$D$4:$D$1510=$X$24)*('Match Log'!$A$4:$A$1510&lt;=$J167)),'Match Log'!$N$4:$N$1510),NA()))</f>
        <v>#N/A</v>
      </c>
      <c r="Y167" t="str">
        <f t="shared" ca="1" si="25"/>
        <v/>
      </c>
    </row>
    <row r="168" spans="1:25" x14ac:dyDescent="0.2">
      <c r="A168">
        <v>144</v>
      </c>
      <c r="B168" s="138">
        <f>IFERROR(INDEX('Match Log'!$B$4:$B$1510,MATCH($A168,'Match Log'!$A$4:$A$1510,0)),"")</f>
        <v>46214</v>
      </c>
      <c r="C168" t="str">
        <f>IFERROR(INDEX('Match Log'!$C$4:$C$1510,MATCH($A168,'Match Log'!$A$4:$A$1510,0)),"")</f>
        <v>Darts</v>
      </c>
      <c r="D168" t="str">
        <f t="array" ref="D168">IFERROR(_xlfn.TEXTJOIN(" + ",TRUE(),IF(('Match Log'!$A$4:$A$1510=$A168)*('Match Log'!$E$4:$E$1510="Win"),'Match Log'!$D$4:$D$1510,"")),IFERROR(LOOKUP(2,1/(('Match Log'!$A$4:$A$1510=$A168)*('Match Log'!$E$4:$E$1510="Win")),'Match Log'!$D$4:$D$1510),""))</f>
        <v>Dylan A</v>
      </c>
      <c r="E168" s="139">
        <f>IFERROR(INDEX('Match Log'!$F$4:$F$1510,MATCH($A168,'Match Log'!$A$4:$A$1510,0)),"")</f>
        <v>2</v>
      </c>
      <c r="F168">
        <f>IFERROR(SUMIFS('Match Log'!$I$4:$I$1510,'Match Log'!$A$4:$A$1510,$A168,'Match Log'!$E$4:$E$1510,"Win"),"")</f>
        <v>0.5</v>
      </c>
      <c r="G168">
        <f t="shared" si="23"/>
        <v>0</v>
      </c>
      <c r="H168" t="str">
        <f t="array" ref="H168">IFERROR(IF(COUNTIFS('Match Log'!$A$4:$A$1510,$A168,'Match Log'!$E$4:$E$1510,"Win")&gt;1,_xlfn.TEXTJOIN(" + ",TRUE(),IF(('Match Log'!$A$4:$A$1510=$A168)*('Match Log'!$E$4:$E$1510="Loss"),'Match Log'!$D$4:$D$1510,"")),IF($E168=2,LOOKUP(2,1/(('Match Log'!$A$4:$A$1510=$A168)*('Match Log'!$E$4:$E$1510="Loss")),'Match Log'!$D$4:$D$1510),"the field")),"")</f>
        <v>Dean M</v>
      </c>
      <c r="I168">
        <f t="shared" si="24"/>
        <v>-1.44E-4</v>
      </c>
      <c r="J168">
        <v>144</v>
      </c>
      <c r="K168">
        <f>IF($J168&gt;MAX('Match Log'!$A$4:$A$1510),NA(),IFERROR(LOOKUP(2,1/(('Match Log'!$D$4:$D$1510=$K$24)*('Match Log'!$A$4:$A$1510&lt;=$J168)),'Match Log'!$N$4:$N$1510),NA()))</f>
        <v>1104.3782877366191</v>
      </c>
      <c r="L168">
        <f>IF($J168&gt;MAX('Match Log'!$A$4:$A$1510),NA(),IFERROR(LOOKUP(2,1/(('Match Log'!$D$4:$D$1510=$L$24)*('Match Log'!$A$4:$A$1510&lt;=$J168)),'Match Log'!$N$4:$N$1510),NA()))</f>
        <v>1029.5175965335138</v>
      </c>
      <c r="M168">
        <f>IF($J168&gt;MAX('Match Log'!$A$4:$A$1510),NA(),IFERROR(LOOKUP(2,1/(('Match Log'!$D$4:$D$1510=$M$24)*('Match Log'!$A$4:$A$1510&lt;=$J168)),'Match Log'!$N$4:$N$1510),NA()))</f>
        <v>1016.7841648959289</v>
      </c>
      <c r="N168">
        <f>IF($J168&gt;MAX('Match Log'!$A$4:$A$1510),NA(),IFERROR(LOOKUP(2,1/(('Match Log'!$D$4:$D$1510=$N$24)*('Match Log'!$A$4:$A$1510&lt;=$J168)),'Match Log'!$N$4:$N$1510),NA()))</f>
        <v>973.19705892757202</v>
      </c>
      <c r="O168">
        <f>IF($J168&gt;MAX('Match Log'!$A$4:$A$1510),NA(),IFERROR(LOOKUP(2,1/(('Match Log'!$D$4:$D$1510=$O$24)*('Match Log'!$A$4:$A$1510&lt;=$J168)),'Match Log'!$N$4:$N$1510),NA()))</f>
        <v>1115.1375937966061</v>
      </c>
      <c r="P168">
        <f>IF($J168&gt;MAX('Match Log'!$A$4:$A$1510),NA(),IFERROR(LOOKUP(2,1/(('Match Log'!$D$4:$D$1510=$P$24)*('Match Log'!$A$4:$A$1510&lt;=$J168)),'Match Log'!$N$4:$N$1510),NA()))</f>
        <v>1044.4098183576693</v>
      </c>
      <c r="Q168">
        <f>IF($J168&gt;MAX('Match Log'!$A$4:$A$1510),NA(),IFERROR(LOOKUP(2,1/(('Match Log'!$D$4:$D$1510=$Q$24)*('Match Log'!$A$4:$A$1510&lt;=$J168)),'Match Log'!$N$4:$N$1510),NA()))</f>
        <v>1085.4901250893295</v>
      </c>
      <c r="R168">
        <f>IF($J168&gt;MAX('Match Log'!$A$4:$A$1510),NA(),IFERROR(LOOKUP(2,1/(('Match Log'!$D$4:$D$1510=$R$24)*('Match Log'!$A$4:$A$1510&lt;=$J168)),'Match Log'!$N$4:$N$1510),NA()))</f>
        <v>1058.2210518223603</v>
      </c>
      <c r="S168">
        <f>IF($J168&gt;MAX('Match Log'!$A$4:$A$1510),NA(),IFERROR(LOOKUP(2,1/(('Match Log'!$D$4:$D$1510=$S$24)*('Match Log'!$A$4:$A$1510&lt;=$J168)),'Match Log'!$N$4:$N$1510),NA()))</f>
        <v>1168.3002777514087</v>
      </c>
      <c r="T168">
        <f>IF($J168&gt;MAX('Match Log'!$A$4:$A$1510),NA(),IFERROR(LOOKUP(2,1/(('Match Log'!$D$4:$D$1510=$T$24)*('Match Log'!$A$4:$A$1510&lt;=$J168)),'Match Log'!$N$4:$N$1510),NA()))</f>
        <v>893.15761519837804</v>
      </c>
      <c r="U168">
        <f>IF($J168&gt;MAX('Match Log'!$A$4:$A$1510),NA(),IFERROR(LOOKUP(2,1/(('Match Log'!$D$4:$D$1510=$U$24)*('Match Log'!$A$4:$A$1510&lt;=$J168)),'Match Log'!$N$4:$N$1510),NA()))</f>
        <v>1062.8275894279936</v>
      </c>
      <c r="V168">
        <f>IF($J168&gt;MAX('Match Log'!$A$4:$A$1510),NA(),IFERROR(LOOKUP(2,1/(('Match Log'!$D$4:$D$1510=$V$24)*('Match Log'!$A$4:$A$1510&lt;=$J168)),'Match Log'!$N$4:$N$1510),NA()))</f>
        <v>1009.152401464836</v>
      </c>
      <c r="W168">
        <f>IF($J168&gt;MAX('Match Log'!$A$4:$A$1510),NA(),IFERROR(LOOKUP(2,1/(('Match Log'!$D$4:$D$1510=$W$24)*('Match Log'!$A$4:$A$1510&lt;=$J168)),'Match Log'!$N$4:$N$1510),NA()))</f>
        <v>1052.4264189977837</v>
      </c>
      <c r="X168" t="e">
        <f>IF($J168&gt;MAX('Match Log'!$A$4:$A$1510),NA(),IFERROR(LOOKUP(2,1/(('Match Log'!$D$4:$D$1510=$X$24)*('Match Log'!$A$4:$A$1510&lt;=$J168)),'Match Log'!$N$4:$N$1510),NA()))</f>
        <v>#N/A</v>
      </c>
      <c r="Y168" t="str">
        <f t="shared" ca="1" si="25"/>
        <v/>
      </c>
    </row>
    <row r="169" spans="1:25" x14ac:dyDescent="0.2">
      <c r="A169">
        <v>145</v>
      </c>
      <c r="B169" s="138">
        <f>IFERROR(INDEX('Match Log'!$B$4:$B$1510,MATCH($A169,'Match Log'!$A$4:$A$1510,0)),"")</f>
        <v>46214</v>
      </c>
      <c r="C169" t="str">
        <f>IFERROR(INDEX('Match Log'!$C$4:$C$1510,MATCH($A169,'Match Log'!$A$4:$A$1510,0)),"")</f>
        <v>Mario Party</v>
      </c>
      <c r="D169" t="str">
        <f t="array" ref="D169">IFERROR(_xlfn.TEXTJOIN(" + ",TRUE(),IF(('Match Log'!$A$4:$A$1510=$A169)*('Match Log'!$E$4:$E$1510="Win"),'Match Log'!$D$4:$D$1510,"")),IFERROR(LOOKUP(2,1/(('Match Log'!$A$4:$A$1510=$A169)*('Match Log'!$E$4:$E$1510="Win")),'Match Log'!$D$4:$D$1510),""))</f>
        <v>Aaron</v>
      </c>
      <c r="E169" s="139">
        <f>IFERROR(INDEX('Match Log'!$F$4:$F$1510,MATCH($A169,'Match Log'!$A$4:$A$1510,0)),"")</f>
        <v>2</v>
      </c>
      <c r="F169">
        <f>IFERROR(SUMIFS('Match Log'!$I$4:$I$1510,'Match Log'!$A$4:$A$1510,$A169,'Match Log'!$E$4:$E$1510,"Win"),"")</f>
        <v>0.6875</v>
      </c>
      <c r="G169">
        <f t="shared" si="23"/>
        <v>-0.375</v>
      </c>
      <c r="H169" t="str">
        <f t="array" ref="H169">IFERROR(IF(COUNTIFS('Match Log'!$A$4:$A$1510,$A169,'Match Log'!$E$4:$E$1510,"Win")&gt;1,_xlfn.TEXTJOIN(" + ",TRUE(),IF(('Match Log'!$A$4:$A$1510=$A169)*('Match Log'!$E$4:$E$1510="Loss"),'Match Log'!$D$4:$D$1510,"")),IF($E169=2,LOOKUP(2,1/(('Match Log'!$A$4:$A$1510=$A169)*('Match Log'!$E$4:$E$1510="Loss")),'Match Log'!$D$4:$D$1510),"the field")),"")</f>
        <v>Shawn</v>
      </c>
      <c r="I169">
        <f t="shared" si="24"/>
        <v>-0.37514500000000001</v>
      </c>
      <c r="J169">
        <v>145</v>
      </c>
      <c r="K169">
        <f>IF($J169&gt;MAX('Match Log'!$A$4:$A$1510),NA(),IFERROR(LOOKUP(2,1/(('Match Log'!$D$4:$D$1510=$K$24)*('Match Log'!$A$4:$A$1510&lt;=$J169)),'Match Log'!$N$4:$N$1510),NA()))</f>
        <v>1120.1778770391575</v>
      </c>
      <c r="L169">
        <f>IF($J169&gt;MAX('Match Log'!$A$4:$A$1510),NA(),IFERROR(LOOKUP(2,1/(('Match Log'!$D$4:$D$1510=$L$24)*('Match Log'!$A$4:$A$1510&lt;=$J169)),'Match Log'!$N$4:$N$1510),NA()))</f>
        <v>1029.5175965335138</v>
      </c>
      <c r="M169">
        <f>IF($J169&gt;MAX('Match Log'!$A$4:$A$1510),NA(),IFERROR(LOOKUP(2,1/(('Match Log'!$D$4:$D$1510=$M$24)*('Match Log'!$A$4:$A$1510&lt;=$J169)),'Match Log'!$N$4:$N$1510),NA()))</f>
        <v>1016.7841648959289</v>
      </c>
      <c r="N169">
        <f>IF($J169&gt;MAX('Match Log'!$A$4:$A$1510),NA(),IFERROR(LOOKUP(2,1/(('Match Log'!$D$4:$D$1510=$N$24)*('Match Log'!$A$4:$A$1510&lt;=$J169)),'Match Log'!$N$4:$N$1510),NA()))</f>
        <v>973.19705892757202</v>
      </c>
      <c r="O169">
        <f>IF($J169&gt;MAX('Match Log'!$A$4:$A$1510),NA(),IFERROR(LOOKUP(2,1/(('Match Log'!$D$4:$D$1510=$O$24)*('Match Log'!$A$4:$A$1510&lt;=$J169)),'Match Log'!$N$4:$N$1510),NA()))</f>
        <v>1115.1375937966061</v>
      </c>
      <c r="P169">
        <f>IF($J169&gt;MAX('Match Log'!$A$4:$A$1510),NA(),IFERROR(LOOKUP(2,1/(('Match Log'!$D$4:$D$1510=$P$24)*('Match Log'!$A$4:$A$1510&lt;=$J169)),'Match Log'!$N$4:$N$1510),NA()))</f>
        <v>1028.610229055131</v>
      </c>
      <c r="Q169">
        <f>IF($J169&gt;MAX('Match Log'!$A$4:$A$1510),NA(),IFERROR(LOOKUP(2,1/(('Match Log'!$D$4:$D$1510=$Q$24)*('Match Log'!$A$4:$A$1510&lt;=$J169)),'Match Log'!$N$4:$N$1510),NA()))</f>
        <v>1085.4901250893295</v>
      </c>
      <c r="R169">
        <f>IF($J169&gt;MAX('Match Log'!$A$4:$A$1510),NA(),IFERROR(LOOKUP(2,1/(('Match Log'!$D$4:$D$1510=$R$24)*('Match Log'!$A$4:$A$1510&lt;=$J169)),'Match Log'!$N$4:$N$1510),NA()))</f>
        <v>1058.2210518223603</v>
      </c>
      <c r="S169">
        <f>IF($J169&gt;MAX('Match Log'!$A$4:$A$1510),NA(),IFERROR(LOOKUP(2,1/(('Match Log'!$D$4:$D$1510=$S$24)*('Match Log'!$A$4:$A$1510&lt;=$J169)),'Match Log'!$N$4:$N$1510),NA()))</f>
        <v>1168.3002777514087</v>
      </c>
      <c r="T169">
        <f>IF($J169&gt;MAX('Match Log'!$A$4:$A$1510),NA(),IFERROR(LOOKUP(2,1/(('Match Log'!$D$4:$D$1510=$T$24)*('Match Log'!$A$4:$A$1510&lt;=$J169)),'Match Log'!$N$4:$N$1510),NA()))</f>
        <v>893.15761519837804</v>
      </c>
      <c r="U169">
        <f>IF($J169&gt;MAX('Match Log'!$A$4:$A$1510),NA(),IFERROR(LOOKUP(2,1/(('Match Log'!$D$4:$D$1510=$U$24)*('Match Log'!$A$4:$A$1510&lt;=$J169)),'Match Log'!$N$4:$N$1510),NA()))</f>
        <v>1062.8275894279936</v>
      </c>
      <c r="V169">
        <f>IF($J169&gt;MAX('Match Log'!$A$4:$A$1510),NA(),IFERROR(LOOKUP(2,1/(('Match Log'!$D$4:$D$1510=$V$24)*('Match Log'!$A$4:$A$1510&lt;=$J169)),'Match Log'!$N$4:$N$1510),NA()))</f>
        <v>1009.152401464836</v>
      </c>
      <c r="W169">
        <f>IF($J169&gt;MAX('Match Log'!$A$4:$A$1510),NA(),IFERROR(LOOKUP(2,1/(('Match Log'!$D$4:$D$1510=$W$24)*('Match Log'!$A$4:$A$1510&lt;=$J169)),'Match Log'!$N$4:$N$1510),NA()))</f>
        <v>1052.4264189977837</v>
      </c>
      <c r="X169" t="e">
        <f>IF($J169&gt;MAX('Match Log'!$A$4:$A$1510),NA(),IFERROR(LOOKUP(2,1/(('Match Log'!$D$4:$D$1510=$X$24)*('Match Log'!$A$4:$A$1510&lt;=$J169)),'Match Log'!$N$4:$N$1510),NA()))</f>
        <v>#N/A</v>
      </c>
      <c r="Y169" t="str">
        <f t="shared" ca="1" si="25"/>
        <v/>
      </c>
    </row>
    <row r="170" spans="1:25" x14ac:dyDescent="0.2">
      <c r="A170">
        <v>146</v>
      </c>
      <c r="B170" s="138">
        <f>IFERROR(INDEX('Match Log'!$B$4:$B$1510,MATCH($A170,'Match Log'!$A$4:$A$1510,0)),"")</f>
        <v>46214</v>
      </c>
      <c r="C170" t="str">
        <f>IFERROR(INDEX('Match Log'!$C$4:$C$1510,MATCH($A170,'Match Log'!$A$4:$A$1510,0)),"")</f>
        <v>Mario Party</v>
      </c>
      <c r="D170" t="str">
        <f t="array" ref="D170">IFERROR(_xlfn.TEXTJOIN(" + ",TRUE(),IF(('Match Log'!$A$4:$A$1510=$A170)*('Match Log'!$E$4:$E$1510="Win"),'Match Log'!$D$4:$D$1510,"")),IFERROR(LOOKUP(2,1/(('Match Log'!$A$4:$A$1510=$A170)*('Match Log'!$E$4:$E$1510="Win")),'Match Log'!$D$4:$D$1510),""))</f>
        <v>Shawn</v>
      </c>
      <c r="E170" s="139">
        <f>IFERROR(INDEX('Match Log'!$F$4:$F$1510,MATCH($A170,'Match Log'!$A$4:$A$1510,0)),"")</f>
        <v>2</v>
      </c>
      <c r="F170">
        <f>IFERROR(SUMIFS('Match Log'!$I$4:$I$1510,'Match Log'!$A$4:$A$1510,$A170,'Match Log'!$E$4:$E$1510,"Win"),"")</f>
        <v>0.27272727272727276</v>
      </c>
      <c r="G170">
        <f t="shared" si="23"/>
        <v>0.45454545454545447</v>
      </c>
      <c r="H170" t="str">
        <f t="array" ref="H170">IFERROR(IF(COUNTIFS('Match Log'!$A$4:$A$1510,$A170,'Match Log'!$E$4:$E$1510,"Win")&gt;1,_xlfn.TEXTJOIN(" + ",TRUE(),IF(('Match Log'!$A$4:$A$1510=$A170)*('Match Log'!$E$4:$E$1510="Loss"),'Match Log'!$D$4:$D$1510,"")),IF($E170=2,LOOKUP(2,1/(('Match Log'!$A$4:$A$1510=$A170)*('Match Log'!$E$4:$E$1510="Loss")),'Match Log'!$D$4:$D$1510),"the field")),"")</f>
        <v>Aaron</v>
      </c>
      <c r="I170">
        <f t="shared" si="24"/>
        <v>0.4543994545454545</v>
      </c>
      <c r="J170">
        <v>146</v>
      </c>
      <c r="K170">
        <f>IF($J170&gt;MAX('Match Log'!$A$4:$A$1510),NA(),IFERROR(LOOKUP(2,1/(('Match Log'!$D$4:$D$1510=$K$24)*('Match Log'!$A$4:$A$1510&lt;=$J170)),'Match Log'!$N$4:$N$1510),NA()))</f>
        <v>1090.4589803738706</v>
      </c>
      <c r="L170">
        <f>IF($J170&gt;MAX('Match Log'!$A$4:$A$1510),NA(),IFERROR(LOOKUP(2,1/(('Match Log'!$D$4:$D$1510=$L$24)*('Match Log'!$A$4:$A$1510&lt;=$J170)),'Match Log'!$N$4:$N$1510),NA()))</f>
        <v>1029.5175965335138</v>
      </c>
      <c r="M170">
        <f>IF($J170&gt;MAX('Match Log'!$A$4:$A$1510),NA(),IFERROR(LOOKUP(2,1/(('Match Log'!$D$4:$D$1510=$M$24)*('Match Log'!$A$4:$A$1510&lt;=$J170)),'Match Log'!$N$4:$N$1510),NA()))</f>
        <v>1016.7841648959289</v>
      </c>
      <c r="N170">
        <f>IF($J170&gt;MAX('Match Log'!$A$4:$A$1510),NA(),IFERROR(LOOKUP(2,1/(('Match Log'!$D$4:$D$1510=$N$24)*('Match Log'!$A$4:$A$1510&lt;=$J170)),'Match Log'!$N$4:$N$1510),NA()))</f>
        <v>973.19705892757202</v>
      </c>
      <c r="O170">
        <f>IF($J170&gt;MAX('Match Log'!$A$4:$A$1510),NA(),IFERROR(LOOKUP(2,1/(('Match Log'!$D$4:$D$1510=$O$24)*('Match Log'!$A$4:$A$1510&lt;=$J170)),'Match Log'!$N$4:$N$1510),NA()))</f>
        <v>1115.1375937966061</v>
      </c>
      <c r="P170">
        <f>IF($J170&gt;MAX('Match Log'!$A$4:$A$1510),NA(),IFERROR(LOOKUP(2,1/(('Match Log'!$D$4:$D$1510=$P$24)*('Match Log'!$A$4:$A$1510&lt;=$J170)),'Match Log'!$N$4:$N$1510),NA()))</f>
        <v>1058.3291257204178</v>
      </c>
      <c r="Q170">
        <f>IF($J170&gt;MAX('Match Log'!$A$4:$A$1510),NA(),IFERROR(LOOKUP(2,1/(('Match Log'!$D$4:$D$1510=$Q$24)*('Match Log'!$A$4:$A$1510&lt;=$J170)),'Match Log'!$N$4:$N$1510),NA()))</f>
        <v>1085.4901250893295</v>
      </c>
      <c r="R170">
        <f>IF($J170&gt;MAX('Match Log'!$A$4:$A$1510),NA(),IFERROR(LOOKUP(2,1/(('Match Log'!$D$4:$D$1510=$R$24)*('Match Log'!$A$4:$A$1510&lt;=$J170)),'Match Log'!$N$4:$N$1510),NA()))</f>
        <v>1058.2210518223603</v>
      </c>
      <c r="S170">
        <f>IF($J170&gt;MAX('Match Log'!$A$4:$A$1510),NA(),IFERROR(LOOKUP(2,1/(('Match Log'!$D$4:$D$1510=$S$24)*('Match Log'!$A$4:$A$1510&lt;=$J170)),'Match Log'!$N$4:$N$1510),NA()))</f>
        <v>1168.3002777514087</v>
      </c>
      <c r="T170">
        <f>IF($J170&gt;MAX('Match Log'!$A$4:$A$1510),NA(),IFERROR(LOOKUP(2,1/(('Match Log'!$D$4:$D$1510=$T$24)*('Match Log'!$A$4:$A$1510&lt;=$J170)),'Match Log'!$N$4:$N$1510),NA()))</f>
        <v>893.15761519837804</v>
      </c>
      <c r="U170">
        <f>IF($J170&gt;MAX('Match Log'!$A$4:$A$1510),NA(),IFERROR(LOOKUP(2,1/(('Match Log'!$D$4:$D$1510=$U$24)*('Match Log'!$A$4:$A$1510&lt;=$J170)),'Match Log'!$N$4:$N$1510),NA()))</f>
        <v>1062.8275894279936</v>
      </c>
      <c r="V170">
        <f>IF($J170&gt;MAX('Match Log'!$A$4:$A$1510),NA(),IFERROR(LOOKUP(2,1/(('Match Log'!$D$4:$D$1510=$V$24)*('Match Log'!$A$4:$A$1510&lt;=$J170)),'Match Log'!$N$4:$N$1510),NA()))</f>
        <v>1009.152401464836</v>
      </c>
      <c r="W170">
        <f>IF($J170&gt;MAX('Match Log'!$A$4:$A$1510),NA(),IFERROR(LOOKUP(2,1/(('Match Log'!$D$4:$D$1510=$W$24)*('Match Log'!$A$4:$A$1510&lt;=$J170)),'Match Log'!$N$4:$N$1510),NA()))</f>
        <v>1052.4264189977837</v>
      </c>
      <c r="X170" t="e">
        <f>IF($J170&gt;MAX('Match Log'!$A$4:$A$1510),NA(),IFERROR(LOOKUP(2,1/(('Match Log'!$D$4:$D$1510=$X$24)*('Match Log'!$A$4:$A$1510&lt;=$J170)),'Match Log'!$N$4:$N$1510),NA()))</f>
        <v>#N/A</v>
      </c>
      <c r="Y170" t="str">
        <f t="shared" ca="1" si="25"/>
        <v/>
      </c>
    </row>
    <row r="171" spans="1:25" x14ac:dyDescent="0.2">
      <c r="A171">
        <v>147</v>
      </c>
      <c r="B171" s="138">
        <f>IFERROR(INDEX('Match Log'!$B$4:$B$1510,MATCH($A171,'Match Log'!$A$4:$A$1510,0)),"")</f>
        <v>46214</v>
      </c>
      <c r="C171" t="str">
        <f>IFERROR(INDEX('Match Log'!$C$4:$C$1510,MATCH($A171,'Match Log'!$A$4:$A$1510,0)),"")</f>
        <v>Mario Party</v>
      </c>
      <c r="D171" t="str">
        <f t="array" ref="D171">IFERROR(_xlfn.TEXTJOIN(" + ",TRUE(),IF(('Match Log'!$A$4:$A$1510=$A171)*('Match Log'!$E$4:$E$1510="Win"),'Match Log'!$D$4:$D$1510,"")),IFERROR(LOOKUP(2,1/(('Match Log'!$A$4:$A$1510=$A171)*('Match Log'!$E$4:$E$1510="Win")),'Match Log'!$D$4:$D$1510),""))</f>
        <v>Shawn</v>
      </c>
      <c r="E171" s="139">
        <f>IFERROR(INDEX('Match Log'!$F$4:$F$1510,MATCH($A171,'Match Log'!$A$4:$A$1510,0)),"")</f>
        <v>2</v>
      </c>
      <c r="F171">
        <f>IFERROR(SUMIFS('Match Log'!$I$4:$I$1510,'Match Log'!$A$4:$A$1510,$A171,'Match Log'!$E$4:$E$1510,"Win"),"")</f>
        <v>0.35000000000000003</v>
      </c>
      <c r="G171">
        <f t="shared" si="23"/>
        <v>0.29999999999999993</v>
      </c>
      <c r="H171" t="str">
        <f t="array" ref="H171">IFERROR(IF(COUNTIFS('Match Log'!$A$4:$A$1510,$A171,'Match Log'!$E$4:$E$1510,"Win")&gt;1,_xlfn.TEXTJOIN(" + ",TRUE(),IF(('Match Log'!$A$4:$A$1510=$A171)*('Match Log'!$E$4:$E$1510="Loss"),'Match Log'!$D$4:$D$1510,"")),IF($E171=2,LOOKUP(2,1/(('Match Log'!$A$4:$A$1510=$A171)*('Match Log'!$E$4:$E$1510="Loss")),'Match Log'!$D$4:$D$1510),"the field")),"")</f>
        <v>Aaron</v>
      </c>
      <c r="I171">
        <f t="shared" si="24"/>
        <v>0.29985299999999993</v>
      </c>
      <c r="J171">
        <v>147</v>
      </c>
      <c r="K171">
        <f>IF($J171&gt;MAX('Match Log'!$A$4:$A$1510),NA(),IFERROR(LOOKUP(2,1/(('Match Log'!$D$4:$D$1510=$K$24)*('Match Log'!$A$4:$A$1510&lt;=$J171)),'Match Log'!$N$4:$N$1510),NA()))</f>
        <v>1063.8841442177879</v>
      </c>
      <c r="L171">
        <f>IF($J171&gt;MAX('Match Log'!$A$4:$A$1510),NA(),IFERROR(LOOKUP(2,1/(('Match Log'!$D$4:$D$1510=$L$24)*('Match Log'!$A$4:$A$1510&lt;=$J171)),'Match Log'!$N$4:$N$1510),NA()))</f>
        <v>1029.5175965335138</v>
      </c>
      <c r="M171">
        <f>IF($J171&gt;MAX('Match Log'!$A$4:$A$1510),NA(),IFERROR(LOOKUP(2,1/(('Match Log'!$D$4:$D$1510=$M$24)*('Match Log'!$A$4:$A$1510&lt;=$J171)),'Match Log'!$N$4:$N$1510),NA()))</f>
        <v>1016.7841648959289</v>
      </c>
      <c r="N171">
        <f>IF($J171&gt;MAX('Match Log'!$A$4:$A$1510),NA(),IFERROR(LOOKUP(2,1/(('Match Log'!$D$4:$D$1510=$N$24)*('Match Log'!$A$4:$A$1510&lt;=$J171)),'Match Log'!$N$4:$N$1510),NA()))</f>
        <v>973.19705892757202</v>
      </c>
      <c r="O171">
        <f>IF($J171&gt;MAX('Match Log'!$A$4:$A$1510),NA(),IFERROR(LOOKUP(2,1/(('Match Log'!$D$4:$D$1510=$O$24)*('Match Log'!$A$4:$A$1510&lt;=$J171)),'Match Log'!$N$4:$N$1510),NA()))</f>
        <v>1115.1375937966061</v>
      </c>
      <c r="P171">
        <f>IF($J171&gt;MAX('Match Log'!$A$4:$A$1510),NA(),IFERROR(LOOKUP(2,1/(('Match Log'!$D$4:$D$1510=$P$24)*('Match Log'!$A$4:$A$1510&lt;=$J171)),'Match Log'!$N$4:$N$1510),NA()))</f>
        <v>1084.9039618765005</v>
      </c>
      <c r="Q171">
        <f>IF($J171&gt;MAX('Match Log'!$A$4:$A$1510),NA(),IFERROR(LOOKUP(2,1/(('Match Log'!$D$4:$D$1510=$Q$24)*('Match Log'!$A$4:$A$1510&lt;=$J171)),'Match Log'!$N$4:$N$1510),NA()))</f>
        <v>1085.4901250893295</v>
      </c>
      <c r="R171">
        <f>IF($J171&gt;MAX('Match Log'!$A$4:$A$1510),NA(),IFERROR(LOOKUP(2,1/(('Match Log'!$D$4:$D$1510=$R$24)*('Match Log'!$A$4:$A$1510&lt;=$J171)),'Match Log'!$N$4:$N$1510),NA()))</f>
        <v>1058.2210518223603</v>
      </c>
      <c r="S171">
        <f>IF($J171&gt;MAX('Match Log'!$A$4:$A$1510),NA(),IFERROR(LOOKUP(2,1/(('Match Log'!$D$4:$D$1510=$S$24)*('Match Log'!$A$4:$A$1510&lt;=$J171)),'Match Log'!$N$4:$N$1510),NA()))</f>
        <v>1168.3002777514087</v>
      </c>
      <c r="T171">
        <f>IF($J171&gt;MAX('Match Log'!$A$4:$A$1510),NA(),IFERROR(LOOKUP(2,1/(('Match Log'!$D$4:$D$1510=$T$24)*('Match Log'!$A$4:$A$1510&lt;=$J171)),'Match Log'!$N$4:$N$1510),NA()))</f>
        <v>893.15761519837804</v>
      </c>
      <c r="U171">
        <f>IF($J171&gt;MAX('Match Log'!$A$4:$A$1510),NA(),IFERROR(LOOKUP(2,1/(('Match Log'!$D$4:$D$1510=$U$24)*('Match Log'!$A$4:$A$1510&lt;=$J171)),'Match Log'!$N$4:$N$1510),NA()))</f>
        <v>1062.8275894279936</v>
      </c>
      <c r="V171">
        <f>IF($J171&gt;MAX('Match Log'!$A$4:$A$1510),NA(),IFERROR(LOOKUP(2,1/(('Match Log'!$D$4:$D$1510=$V$24)*('Match Log'!$A$4:$A$1510&lt;=$J171)),'Match Log'!$N$4:$N$1510),NA()))</f>
        <v>1009.152401464836</v>
      </c>
      <c r="W171">
        <f>IF($J171&gt;MAX('Match Log'!$A$4:$A$1510),NA(),IFERROR(LOOKUP(2,1/(('Match Log'!$D$4:$D$1510=$W$24)*('Match Log'!$A$4:$A$1510&lt;=$J171)),'Match Log'!$N$4:$N$1510),NA()))</f>
        <v>1052.4264189977837</v>
      </c>
      <c r="X171" t="e">
        <f>IF($J171&gt;MAX('Match Log'!$A$4:$A$1510),NA(),IFERROR(LOOKUP(2,1/(('Match Log'!$D$4:$D$1510=$X$24)*('Match Log'!$A$4:$A$1510&lt;=$J171)),'Match Log'!$N$4:$N$1510),NA()))</f>
        <v>#N/A</v>
      </c>
      <c r="Y171" t="str">
        <f t="shared" ca="1" si="25"/>
        <v/>
      </c>
    </row>
    <row r="172" spans="1:25" x14ac:dyDescent="0.2">
      <c r="A172">
        <v>148</v>
      </c>
      <c r="B172" s="138">
        <f>IFERROR(INDEX('Match Log'!$B$4:$B$1510,MATCH($A172,'Match Log'!$A$4:$A$1510,0)),"")</f>
        <v>46214</v>
      </c>
      <c r="C172" t="str">
        <f>IFERROR(INDEX('Match Log'!$C$4:$C$1510,MATCH($A172,'Match Log'!$A$4:$A$1510,0)),"")</f>
        <v>Mario Party</v>
      </c>
      <c r="D172" t="str">
        <f t="array" ref="D172">IFERROR(_xlfn.TEXTJOIN(" + ",TRUE(),IF(('Match Log'!$A$4:$A$1510=$A172)*('Match Log'!$E$4:$E$1510="Win"),'Match Log'!$D$4:$D$1510,"")),IFERROR(LOOKUP(2,1/(('Match Log'!$A$4:$A$1510=$A172)*('Match Log'!$E$4:$E$1510="Win")),'Match Log'!$D$4:$D$1510),""))</f>
        <v>Shawn</v>
      </c>
      <c r="E172" s="139">
        <f>IFERROR(INDEX('Match Log'!$F$4:$F$1510,MATCH($A172,'Match Log'!$A$4:$A$1510,0)),"")</f>
        <v>2</v>
      </c>
      <c r="F172">
        <f>IFERROR(SUMIFS('Match Log'!$I$4:$I$1510,'Match Log'!$A$4:$A$1510,$A172,'Match Log'!$E$4:$E$1510,"Win"),"")</f>
        <v>0.41666666666666663</v>
      </c>
      <c r="G172">
        <f t="shared" si="23"/>
        <v>0.16666666666666674</v>
      </c>
      <c r="H172" t="str">
        <f t="array" ref="H172">IFERROR(IF(COUNTIFS('Match Log'!$A$4:$A$1510,$A172,'Match Log'!$E$4:$E$1510,"Win")&gt;1,_xlfn.TEXTJOIN(" + ",TRUE(),IF(('Match Log'!$A$4:$A$1510=$A172)*('Match Log'!$E$4:$E$1510="Loss"),'Match Log'!$D$4:$D$1510,"")),IF($E172=2,LOOKUP(2,1/(('Match Log'!$A$4:$A$1510=$A172)*('Match Log'!$E$4:$E$1510="Loss")),'Match Log'!$D$4:$D$1510),"the field")),"")</f>
        <v>Aaron</v>
      </c>
      <c r="I172">
        <f t="shared" si="24"/>
        <v>0.16651866666666673</v>
      </c>
      <c r="J172">
        <v>148</v>
      </c>
      <c r="K172">
        <f>IF($J172&gt;MAX('Match Log'!$A$4:$A$1510),NA(),IFERROR(LOOKUP(2,1/(('Match Log'!$D$4:$D$1510=$K$24)*('Match Log'!$A$4:$A$1510&lt;=$J172)),'Match Log'!$N$4:$N$1510),NA()))</f>
        <v>1040.1422573837137</v>
      </c>
      <c r="L172">
        <f>IF($J172&gt;MAX('Match Log'!$A$4:$A$1510),NA(),IFERROR(LOOKUP(2,1/(('Match Log'!$D$4:$D$1510=$L$24)*('Match Log'!$A$4:$A$1510&lt;=$J172)),'Match Log'!$N$4:$N$1510),NA()))</f>
        <v>1029.5175965335138</v>
      </c>
      <c r="M172">
        <f>IF($J172&gt;MAX('Match Log'!$A$4:$A$1510),NA(),IFERROR(LOOKUP(2,1/(('Match Log'!$D$4:$D$1510=$M$24)*('Match Log'!$A$4:$A$1510&lt;=$J172)),'Match Log'!$N$4:$N$1510),NA()))</f>
        <v>1016.7841648959289</v>
      </c>
      <c r="N172">
        <f>IF($J172&gt;MAX('Match Log'!$A$4:$A$1510),NA(),IFERROR(LOOKUP(2,1/(('Match Log'!$D$4:$D$1510=$N$24)*('Match Log'!$A$4:$A$1510&lt;=$J172)),'Match Log'!$N$4:$N$1510),NA()))</f>
        <v>973.19705892757202</v>
      </c>
      <c r="O172">
        <f>IF($J172&gt;MAX('Match Log'!$A$4:$A$1510),NA(),IFERROR(LOOKUP(2,1/(('Match Log'!$D$4:$D$1510=$O$24)*('Match Log'!$A$4:$A$1510&lt;=$J172)),'Match Log'!$N$4:$N$1510),NA()))</f>
        <v>1115.1375937966061</v>
      </c>
      <c r="P172">
        <f>IF($J172&gt;MAX('Match Log'!$A$4:$A$1510),NA(),IFERROR(LOOKUP(2,1/(('Match Log'!$D$4:$D$1510=$P$24)*('Match Log'!$A$4:$A$1510&lt;=$J172)),'Match Log'!$N$4:$N$1510),NA()))</f>
        <v>1108.6458487105747</v>
      </c>
      <c r="Q172">
        <f>IF($J172&gt;MAX('Match Log'!$A$4:$A$1510),NA(),IFERROR(LOOKUP(2,1/(('Match Log'!$D$4:$D$1510=$Q$24)*('Match Log'!$A$4:$A$1510&lt;=$J172)),'Match Log'!$N$4:$N$1510),NA()))</f>
        <v>1085.4901250893295</v>
      </c>
      <c r="R172">
        <f>IF($J172&gt;MAX('Match Log'!$A$4:$A$1510),NA(),IFERROR(LOOKUP(2,1/(('Match Log'!$D$4:$D$1510=$R$24)*('Match Log'!$A$4:$A$1510&lt;=$J172)),'Match Log'!$N$4:$N$1510),NA()))</f>
        <v>1058.2210518223603</v>
      </c>
      <c r="S172">
        <f>IF($J172&gt;MAX('Match Log'!$A$4:$A$1510),NA(),IFERROR(LOOKUP(2,1/(('Match Log'!$D$4:$D$1510=$S$24)*('Match Log'!$A$4:$A$1510&lt;=$J172)),'Match Log'!$N$4:$N$1510),NA()))</f>
        <v>1168.3002777514087</v>
      </c>
      <c r="T172">
        <f>IF($J172&gt;MAX('Match Log'!$A$4:$A$1510),NA(),IFERROR(LOOKUP(2,1/(('Match Log'!$D$4:$D$1510=$T$24)*('Match Log'!$A$4:$A$1510&lt;=$J172)),'Match Log'!$N$4:$N$1510),NA()))</f>
        <v>893.15761519837804</v>
      </c>
      <c r="U172">
        <f>IF($J172&gt;MAX('Match Log'!$A$4:$A$1510),NA(),IFERROR(LOOKUP(2,1/(('Match Log'!$D$4:$D$1510=$U$24)*('Match Log'!$A$4:$A$1510&lt;=$J172)),'Match Log'!$N$4:$N$1510),NA()))</f>
        <v>1062.8275894279936</v>
      </c>
      <c r="V172">
        <f>IF($J172&gt;MAX('Match Log'!$A$4:$A$1510),NA(),IFERROR(LOOKUP(2,1/(('Match Log'!$D$4:$D$1510=$V$24)*('Match Log'!$A$4:$A$1510&lt;=$J172)),'Match Log'!$N$4:$N$1510),NA()))</f>
        <v>1009.152401464836</v>
      </c>
      <c r="W172">
        <f>IF($J172&gt;MAX('Match Log'!$A$4:$A$1510),NA(),IFERROR(LOOKUP(2,1/(('Match Log'!$D$4:$D$1510=$W$24)*('Match Log'!$A$4:$A$1510&lt;=$J172)),'Match Log'!$N$4:$N$1510),NA()))</f>
        <v>1052.4264189977837</v>
      </c>
      <c r="X172" t="e">
        <f>IF($J172&gt;MAX('Match Log'!$A$4:$A$1510),NA(),IFERROR(LOOKUP(2,1/(('Match Log'!$D$4:$D$1510=$X$24)*('Match Log'!$A$4:$A$1510&lt;=$J172)),'Match Log'!$N$4:$N$1510),NA()))</f>
        <v>#N/A</v>
      </c>
      <c r="Y172" t="str">
        <f t="shared" ca="1" si="25"/>
        <v/>
      </c>
    </row>
    <row r="173" spans="1:25" x14ac:dyDescent="0.2">
      <c r="A173">
        <v>149</v>
      </c>
      <c r="B173" s="138">
        <f>IFERROR(INDEX('Match Log'!$B$4:$B$1510,MATCH($A173,'Match Log'!$A$4:$A$1510,0)),"")</f>
        <v>46215</v>
      </c>
      <c r="C173" t="str">
        <f>IFERROR(INDEX('Match Log'!$C$4:$C$1510,MATCH($A173,'Match Log'!$A$4:$A$1510,0)),"")</f>
        <v>Car racing arcade</v>
      </c>
      <c r="D173" t="str">
        <f t="array" ref="D173">IFERROR(_xlfn.TEXTJOIN(" + ",TRUE(),IF(('Match Log'!$A$4:$A$1510=$A173)*('Match Log'!$E$4:$E$1510="Win"),'Match Log'!$D$4:$D$1510,"")),IFERROR(LOOKUP(2,1/(('Match Log'!$A$4:$A$1510=$A173)*('Match Log'!$E$4:$E$1510="Win")),'Match Log'!$D$4:$D$1510),""))</f>
        <v>Dean B</v>
      </c>
      <c r="E173" s="139">
        <f>IFERROR(INDEX('Match Log'!$F$4:$F$1510,MATCH($A173,'Match Log'!$A$4:$A$1510,0)),"")</f>
        <v>2</v>
      </c>
      <c r="F173">
        <f>IFERROR(SUMIFS('Match Log'!$I$4:$I$1510,'Match Log'!$A$4:$A$1510,$A173,'Match Log'!$E$4:$E$1510,"Win"),"")</f>
        <v>0.5</v>
      </c>
      <c r="G173">
        <f t="shared" si="23"/>
        <v>0</v>
      </c>
      <c r="H173" t="str">
        <f t="array" ref="H173">IFERROR(IF(COUNTIFS('Match Log'!$A$4:$A$1510,$A173,'Match Log'!$E$4:$E$1510,"Win")&gt;1,_xlfn.TEXTJOIN(" + ",TRUE(),IF(('Match Log'!$A$4:$A$1510=$A173)*('Match Log'!$E$4:$E$1510="Loss"),'Match Log'!$D$4:$D$1510,"")),IF($E173=2,LOOKUP(2,1/(('Match Log'!$A$4:$A$1510=$A173)*('Match Log'!$E$4:$E$1510="Loss")),'Match Log'!$D$4:$D$1510),"the field")),"")</f>
        <v>Daniel (Ferret)</v>
      </c>
      <c r="I173">
        <f t="shared" si="24"/>
        <v>-1.4899999999999999E-4</v>
      </c>
      <c r="J173">
        <v>149</v>
      </c>
      <c r="K173">
        <f>IF($J173&gt;MAX('Match Log'!$A$4:$A$1510),NA(),IFERROR(LOOKUP(2,1/(('Match Log'!$D$4:$D$1510=$K$24)*('Match Log'!$A$4:$A$1510&lt;=$J173)),'Match Log'!$N$4:$N$1510),NA()))</f>
        <v>1040.1422573837137</v>
      </c>
      <c r="L173">
        <f>IF($J173&gt;MAX('Match Log'!$A$4:$A$1510),NA(),IFERROR(LOOKUP(2,1/(('Match Log'!$D$4:$D$1510=$L$24)*('Match Log'!$A$4:$A$1510&lt;=$J173)),'Match Log'!$N$4:$N$1510),NA()))</f>
        <v>1029.5175965335138</v>
      </c>
      <c r="M173">
        <f>IF($J173&gt;MAX('Match Log'!$A$4:$A$1510),NA(),IFERROR(LOOKUP(2,1/(('Match Log'!$D$4:$D$1510=$M$24)*('Match Log'!$A$4:$A$1510&lt;=$J173)),'Match Log'!$N$4:$N$1510),NA()))</f>
        <v>1016.7841648959289</v>
      </c>
      <c r="N173">
        <f>IF($J173&gt;MAX('Match Log'!$A$4:$A$1510),NA(),IFERROR(LOOKUP(2,1/(('Match Log'!$D$4:$D$1510=$N$24)*('Match Log'!$A$4:$A$1510&lt;=$J173)),'Match Log'!$N$4:$N$1510),NA()))</f>
        <v>973.19705892757202</v>
      </c>
      <c r="O173">
        <f>IF($J173&gt;MAX('Match Log'!$A$4:$A$1510),NA(),IFERROR(LOOKUP(2,1/(('Match Log'!$D$4:$D$1510=$O$24)*('Match Log'!$A$4:$A$1510&lt;=$J173)),'Match Log'!$N$4:$N$1510),NA()))</f>
        <v>1115.1375937966061</v>
      </c>
      <c r="P173">
        <f>IF($J173&gt;MAX('Match Log'!$A$4:$A$1510),NA(),IFERROR(LOOKUP(2,1/(('Match Log'!$D$4:$D$1510=$P$24)*('Match Log'!$A$4:$A$1510&lt;=$J173)),'Match Log'!$N$4:$N$1510),NA()))</f>
        <v>1108.6458487105747</v>
      </c>
      <c r="Q173">
        <f>IF($J173&gt;MAX('Match Log'!$A$4:$A$1510),NA(),IFERROR(LOOKUP(2,1/(('Match Log'!$D$4:$D$1510=$Q$24)*('Match Log'!$A$4:$A$1510&lt;=$J173)),'Match Log'!$N$4:$N$1510),NA()))</f>
        <v>1085.4901250893295</v>
      </c>
      <c r="R173">
        <f>IF($J173&gt;MAX('Match Log'!$A$4:$A$1510),NA(),IFERROR(LOOKUP(2,1/(('Match Log'!$D$4:$D$1510=$R$24)*('Match Log'!$A$4:$A$1510&lt;=$J173)),'Match Log'!$N$4:$N$1510),NA()))</f>
        <v>1041.1273068307773</v>
      </c>
      <c r="S173">
        <f>IF($J173&gt;MAX('Match Log'!$A$4:$A$1510),NA(),IFERROR(LOOKUP(2,1/(('Match Log'!$D$4:$D$1510=$S$24)*('Match Log'!$A$4:$A$1510&lt;=$J173)),'Match Log'!$N$4:$N$1510),NA()))</f>
        <v>1185.3940227429916</v>
      </c>
      <c r="T173">
        <f>IF($J173&gt;MAX('Match Log'!$A$4:$A$1510),NA(),IFERROR(LOOKUP(2,1/(('Match Log'!$D$4:$D$1510=$T$24)*('Match Log'!$A$4:$A$1510&lt;=$J173)),'Match Log'!$N$4:$N$1510),NA()))</f>
        <v>893.15761519837804</v>
      </c>
      <c r="U173">
        <f>IF($J173&gt;MAX('Match Log'!$A$4:$A$1510),NA(),IFERROR(LOOKUP(2,1/(('Match Log'!$D$4:$D$1510=$U$24)*('Match Log'!$A$4:$A$1510&lt;=$J173)),'Match Log'!$N$4:$N$1510),NA()))</f>
        <v>1062.8275894279936</v>
      </c>
      <c r="V173">
        <f>IF($J173&gt;MAX('Match Log'!$A$4:$A$1510),NA(),IFERROR(LOOKUP(2,1/(('Match Log'!$D$4:$D$1510=$V$24)*('Match Log'!$A$4:$A$1510&lt;=$J173)),'Match Log'!$N$4:$N$1510),NA()))</f>
        <v>1009.152401464836</v>
      </c>
      <c r="W173">
        <f>IF($J173&gt;MAX('Match Log'!$A$4:$A$1510),NA(),IFERROR(LOOKUP(2,1/(('Match Log'!$D$4:$D$1510=$W$24)*('Match Log'!$A$4:$A$1510&lt;=$J173)),'Match Log'!$N$4:$N$1510),NA()))</f>
        <v>1052.4264189977837</v>
      </c>
      <c r="X173" t="e">
        <f>IF($J173&gt;MAX('Match Log'!$A$4:$A$1510),NA(),IFERROR(LOOKUP(2,1/(('Match Log'!$D$4:$D$1510=$X$24)*('Match Log'!$A$4:$A$1510&lt;=$J173)),'Match Log'!$N$4:$N$1510),NA()))</f>
        <v>#N/A</v>
      </c>
      <c r="Y173" t="str">
        <f t="shared" ca="1" si="25"/>
        <v/>
      </c>
    </row>
    <row r="174" spans="1:25" x14ac:dyDescent="0.2">
      <c r="A174">
        <v>150</v>
      </c>
      <c r="B174" s="138">
        <f>IFERROR(INDEX('Match Log'!$B$4:$B$1510,MATCH($A174,'Match Log'!$A$4:$A$1510,0)),"")</f>
        <v>46215</v>
      </c>
      <c r="C174" t="str">
        <f>IFERROR(INDEX('Match Log'!$C$4:$C$1510,MATCH($A174,'Match Log'!$A$4:$A$1510,0)),"")</f>
        <v>Car racing arcade</v>
      </c>
      <c r="D174" t="str">
        <f t="array" ref="D174">IFERROR(_xlfn.TEXTJOIN(" + ",TRUE(),IF(('Match Log'!$A$4:$A$1510=$A174)*('Match Log'!$E$4:$E$1510="Win"),'Match Log'!$D$4:$D$1510,"")),IFERROR(LOOKUP(2,1/(('Match Log'!$A$4:$A$1510=$A174)*('Match Log'!$E$4:$E$1510="Win")),'Match Log'!$D$4:$D$1510),""))</f>
        <v>Dean B</v>
      </c>
      <c r="E174" s="139">
        <f>IFERROR(INDEX('Match Log'!$F$4:$F$1510,MATCH($A174,'Match Log'!$A$4:$A$1510,0)),"")</f>
        <v>2</v>
      </c>
      <c r="F174">
        <f>IFERROR(SUMIFS('Match Log'!$I$4:$I$1510,'Match Log'!$A$4:$A$1510,$A174,'Match Log'!$E$4:$E$1510,"Win"),"")</f>
        <v>0.66666666666666663</v>
      </c>
      <c r="G174">
        <f t="shared" si="23"/>
        <v>-0.33333333333333326</v>
      </c>
      <c r="H174" t="str">
        <f t="array" ref="H174">IFERROR(IF(COUNTIFS('Match Log'!$A$4:$A$1510,$A174,'Match Log'!$E$4:$E$1510,"Win")&gt;1,_xlfn.TEXTJOIN(" + ",TRUE(),IF(('Match Log'!$A$4:$A$1510=$A174)*('Match Log'!$E$4:$E$1510="Loss"),'Match Log'!$D$4:$D$1510,"")),IF($E174=2,LOOKUP(2,1/(('Match Log'!$A$4:$A$1510=$A174)*('Match Log'!$E$4:$E$1510="Loss")),'Match Log'!$D$4:$D$1510),"the field")),"")</f>
        <v>Daniel (Ferret)</v>
      </c>
      <c r="I174">
        <f t="shared" si="24"/>
        <v>-0.33348333333333324</v>
      </c>
      <c r="J174">
        <v>150</v>
      </c>
      <c r="K174">
        <f>IF($J174&gt;MAX('Match Log'!$A$4:$A$1510),NA(),IFERROR(LOOKUP(2,1/(('Match Log'!$D$4:$D$1510=$K$24)*('Match Log'!$A$4:$A$1510&lt;=$J174)),'Match Log'!$N$4:$N$1510),NA()))</f>
        <v>1040.1422573837137</v>
      </c>
      <c r="L174">
        <f>IF($J174&gt;MAX('Match Log'!$A$4:$A$1510),NA(),IFERROR(LOOKUP(2,1/(('Match Log'!$D$4:$D$1510=$L$24)*('Match Log'!$A$4:$A$1510&lt;=$J174)),'Match Log'!$N$4:$N$1510),NA()))</f>
        <v>1029.5175965335138</v>
      </c>
      <c r="M174">
        <f>IF($J174&gt;MAX('Match Log'!$A$4:$A$1510),NA(),IFERROR(LOOKUP(2,1/(('Match Log'!$D$4:$D$1510=$M$24)*('Match Log'!$A$4:$A$1510&lt;=$J174)),'Match Log'!$N$4:$N$1510),NA()))</f>
        <v>1016.7841648959289</v>
      </c>
      <c r="N174">
        <f>IF($J174&gt;MAX('Match Log'!$A$4:$A$1510),NA(),IFERROR(LOOKUP(2,1/(('Match Log'!$D$4:$D$1510=$N$24)*('Match Log'!$A$4:$A$1510&lt;=$J174)),'Match Log'!$N$4:$N$1510),NA()))</f>
        <v>973.19705892757202</v>
      </c>
      <c r="O174">
        <f>IF($J174&gt;MAX('Match Log'!$A$4:$A$1510),NA(),IFERROR(LOOKUP(2,1/(('Match Log'!$D$4:$D$1510=$O$24)*('Match Log'!$A$4:$A$1510&lt;=$J174)),'Match Log'!$N$4:$N$1510),NA()))</f>
        <v>1115.1375937966061</v>
      </c>
      <c r="P174">
        <f>IF($J174&gt;MAX('Match Log'!$A$4:$A$1510),NA(),IFERROR(LOOKUP(2,1/(('Match Log'!$D$4:$D$1510=$P$24)*('Match Log'!$A$4:$A$1510&lt;=$J174)),'Match Log'!$N$4:$N$1510),NA()))</f>
        <v>1108.6458487105747</v>
      </c>
      <c r="Q174">
        <f>IF($J174&gt;MAX('Match Log'!$A$4:$A$1510),NA(),IFERROR(LOOKUP(2,1/(('Match Log'!$D$4:$D$1510=$Q$24)*('Match Log'!$A$4:$A$1510&lt;=$J174)),'Match Log'!$N$4:$N$1510),NA()))</f>
        <v>1085.4901250893295</v>
      </c>
      <c r="R174">
        <f>IF($J174&gt;MAX('Match Log'!$A$4:$A$1510),NA(),IFERROR(LOOKUP(2,1/(('Match Log'!$D$4:$D$1510=$R$24)*('Match Log'!$A$4:$A$1510&lt;=$J174)),'Match Log'!$N$4:$N$1510),NA()))</f>
        <v>1026.6701434033162</v>
      </c>
      <c r="S174">
        <f>IF($J174&gt;MAX('Match Log'!$A$4:$A$1510),NA(),IFERROR(LOOKUP(2,1/(('Match Log'!$D$4:$D$1510=$S$24)*('Match Log'!$A$4:$A$1510&lt;=$J174)),'Match Log'!$N$4:$N$1510),NA()))</f>
        <v>1199.8511861704528</v>
      </c>
      <c r="T174">
        <f>IF($J174&gt;MAX('Match Log'!$A$4:$A$1510),NA(),IFERROR(LOOKUP(2,1/(('Match Log'!$D$4:$D$1510=$T$24)*('Match Log'!$A$4:$A$1510&lt;=$J174)),'Match Log'!$N$4:$N$1510),NA()))</f>
        <v>893.15761519837804</v>
      </c>
      <c r="U174">
        <f>IF($J174&gt;MAX('Match Log'!$A$4:$A$1510),NA(),IFERROR(LOOKUP(2,1/(('Match Log'!$D$4:$D$1510=$U$24)*('Match Log'!$A$4:$A$1510&lt;=$J174)),'Match Log'!$N$4:$N$1510),NA()))</f>
        <v>1062.8275894279936</v>
      </c>
      <c r="V174">
        <f>IF($J174&gt;MAX('Match Log'!$A$4:$A$1510),NA(),IFERROR(LOOKUP(2,1/(('Match Log'!$D$4:$D$1510=$V$24)*('Match Log'!$A$4:$A$1510&lt;=$J174)),'Match Log'!$N$4:$N$1510),NA()))</f>
        <v>1009.152401464836</v>
      </c>
      <c r="W174">
        <f>IF($J174&gt;MAX('Match Log'!$A$4:$A$1510),NA(),IFERROR(LOOKUP(2,1/(('Match Log'!$D$4:$D$1510=$W$24)*('Match Log'!$A$4:$A$1510&lt;=$J174)),'Match Log'!$N$4:$N$1510),NA()))</f>
        <v>1052.4264189977837</v>
      </c>
      <c r="X174" t="e">
        <f>IF($J174&gt;MAX('Match Log'!$A$4:$A$1510),NA(),IFERROR(LOOKUP(2,1/(('Match Log'!$D$4:$D$1510=$X$24)*('Match Log'!$A$4:$A$1510&lt;=$J174)),'Match Log'!$N$4:$N$1510),NA()))</f>
        <v>#N/A</v>
      </c>
      <c r="Y174" t="str">
        <f t="shared" ca="1" si="25"/>
        <v/>
      </c>
    </row>
    <row r="175" spans="1:25" x14ac:dyDescent="0.2">
      <c r="A175">
        <v>151</v>
      </c>
      <c r="B175" s="138">
        <f>IFERROR(INDEX('Match Log'!$B$4:$B$1510,MATCH($A175,'Match Log'!$A$4:$A$1510,0)),"")</f>
        <v>46215</v>
      </c>
      <c r="C175" t="str">
        <f>IFERROR(INDEX('Match Log'!$C$4:$C$1510,MATCH($A175,'Match Log'!$A$4:$A$1510,0)),"")</f>
        <v>Car racing arcade</v>
      </c>
      <c r="D175" t="str">
        <f t="array" ref="D175">IFERROR(_xlfn.TEXTJOIN(" + ",TRUE(),IF(('Match Log'!$A$4:$A$1510=$A175)*('Match Log'!$E$4:$E$1510="Win"),'Match Log'!$D$4:$D$1510,"")),IFERROR(LOOKUP(2,1/(('Match Log'!$A$4:$A$1510=$A175)*('Match Log'!$E$4:$E$1510="Win")),'Match Log'!$D$4:$D$1510),""))</f>
        <v>Dean B</v>
      </c>
      <c r="E175" s="139">
        <f>IFERROR(INDEX('Match Log'!$F$4:$F$1510,MATCH($A175,'Match Log'!$A$4:$A$1510,0)),"")</f>
        <v>2</v>
      </c>
      <c r="F175">
        <f>IFERROR(SUMIFS('Match Log'!$I$4:$I$1510,'Match Log'!$A$4:$A$1510,$A175,'Match Log'!$E$4:$E$1510,"Win"),"")</f>
        <v>0.6</v>
      </c>
      <c r="G175">
        <f t="shared" si="23"/>
        <v>-0.19999999999999996</v>
      </c>
      <c r="H175" t="str">
        <f t="array" ref="H175">IFERROR(IF(COUNTIFS('Match Log'!$A$4:$A$1510,$A175,'Match Log'!$E$4:$E$1510,"Win")&gt;1,_xlfn.TEXTJOIN(" + ",TRUE(),IF(('Match Log'!$A$4:$A$1510=$A175)*('Match Log'!$E$4:$E$1510="Loss"),'Match Log'!$D$4:$D$1510,"")),IF($E175=2,LOOKUP(2,1/(('Match Log'!$A$4:$A$1510=$A175)*('Match Log'!$E$4:$E$1510="Loss")),'Match Log'!$D$4:$D$1510),"the field")),"")</f>
        <v>Josh</v>
      </c>
      <c r="I175">
        <f t="shared" si="24"/>
        <v>-0.20015099999999997</v>
      </c>
      <c r="J175">
        <v>151</v>
      </c>
      <c r="K175">
        <f>IF($J175&gt;MAX('Match Log'!$A$4:$A$1510),NA(),IFERROR(LOOKUP(2,1/(('Match Log'!$D$4:$D$1510=$K$24)*('Match Log'!$A$4:$A$1510&lt;=$J175)),'Match Log'!$N$4:$N$1510),NA()))</f>
        <v>1040.1422573837137</v>
      </c>
      <c r="L175">
        <f>IF($J175&gt;MAX('Match Log'!$A$4:$A$1510),NA(),IFERROR(LOOKUP(2,1/(('Match Log'!$D$4:$D$1510=$L$24)*('Match Log'!$A$4:$A$1510&lt;=$J175)),'Match Log'!$N$4:$N$1510),NA()))</f>
        <v>1029.5175965335138</v>
      </c>
      <c r="M175">
        <f>IF($J175&gt;MAX('Match Log'!$A$4:$A$1510),NA(),IFERROR(LOOKUP(2,1/(('Match Log'!$D$4:$D$1510=$M$24)*('Match Log'!$A$4:$A$1510&lt;=$J175)),'Match Log'!$N$4:$N$1510),NA()))</f>
        <v>1016.7841648959289</v>
      </c>
      <c r="N175">
        <f>IF($J175&gt;MAX('Match Log'!$A$4:$A$1510),NA(),IFERROR(LOOKUP(2,1/(('Match Log'!$D$4:$D$1510=$N$24)*('Match Log'!$A$4:$A$1510&lt;=$J175)),'Match Log'!$N$4:$N$1510),NA()))</f>
        <v>973.19705892757202</v>
      </c>
      <c r="O175">
        <f>IF($J175&gt;MAX('Match Log'!$A$4:$A$1510),NA(),IFERROR(LOOKUP(2,1/(('Match Log'!$D$4:$D$1510=$O$24)*('Match Log'!$A$4:$A$1510&lt;=$J175)),'Match Log'!$N$4:$N$1510),NA()))</f>
        <v>1096.0048657296572</v>
      </c>
      <c r="P175">
        <f>IF($J175&gt;MAX('Match Log'!$A$4:$A$1510),NA(),IFERROR(LOOKUP(2,1/(('Match Log'!$D$4:$D$1510=$P$24)*('Match Log'!$A$4:$A$1510&lt;=$J175)),'Match Log'!$N$4:$N$1510),NA()))</f>
        <v>1108.6458487105747</v>
      </c>
      <c r="Q175">
        <f>IF($J175&gt;MAX('Match Log'!$A$4:$A$1510),NA(),IFERROR(LOOKUP(2,1/(('Match Log'!$D$4:$D$1510=$Q$24)*('Match Log'!$A$4:$A$1510&lt;=$J175)),'Match Log'!$N$4:$N$1510),NA()))</f>
        <v>1085.4901250893295</v>
      </c>
      <c r="R175">
        <f>IF($J175&gt;MAX('Match Log'!$A$4:$A$1510),NA(),IFERROR(LOOKUP(2,1/(('Match Log'!$D$4:$D$1510=$R$24)*('Match Log'!$A$4:$A$1510&lt;=$J175)),'Match Log'!$N$4:$N$1510),NA()))</f>
        <v>1026.6701434033162</v>
      </c>
      <c r="S175">
        <f>IF($J175&gt;MAX('Match Log'!$A$4:$A$1510),NA(),IFERROR(LOOKUP(2,1/(('Match Log'!$D$4:$D$1510=$S$24)*('Match Log'!$A$4:$A$1510&lt;=$J175)),'Match Log'!$N$4:$N$1510),NA()))</f>
        <v>1218.9839142374017</v>
      </c>
      <c r="T175">
        <f>IF($J175&gt;MAX('Match Log'!$A$4:$A$1510),NA(),IFERROR(LOOKUP(2,1/(('Match Log'!$D$4:$D$1510=$T$24)*('Match Log'!$A$4:$A$1510&lt;=$J175)),'Match Log'!$N$4:$N$1510),NA()))</f>
        <v>893.15761519837804</v>
      </c>
      <c r="U175">
        <f>IF($J175&gt;MAX('Match Log'!$A$4:$A$1510),NA(),IFERROR(LOOKUP(2,1/(('Match Log'!$D$4:$D$1510=$U$24)*('Match Log'!$A$4:$A$1510&lt;=$J175)),'Match Log'!$N$4:$N$1510),NA()))</f>
        <v>1062.8275894279936</v>
      </c>
      <c r="V175">
        <f>IF($J175&gt;MAX('Match Log'!$A$4:$A$1510),NA(),IFERROR(LOOKUP(2,1/(('Match Log'!$D$4:$D$1510=$V$24)*('Match Log'!$A$4:$A$1510&lt;=$J175)),'Match Log'!$N$4:$N$1510),NA()))</f>
        <v>1009.152401464836</v>
      </c>
      <c r="W175">
        <f>IF($J175&gt;MAX('Match Log'!$A$4:$A$1510),NA(),IFERROR(LOOKUP(2,1/(('Match Log'!$D$4:$D$1510=$W$24)*('Match Log'!$A$4:$A$1510&lt;=$J175)),'Match Log'!$N$4:$N$1510),NA()))</f>
        <v>1052.4264189977837</v>
      </c>
      <c r="X175" t="e">
        <f>IF($J175&gt;MAX('Match Log'!$A$4:$A$1510),NA(),IFERROR(LOOKUP(2,1/(('Match Log'!$D$4:$D$1510=$X$24)*('Match Log'!$A$4:$A$1510&lt;=$J175)),'Match Log'!$N$4:$N$1510),NA()))</f>
        <v>#N/A</v>
      </c>
      <c r="Y175" t="str">
        <f t="shared" ca="1" si="25"/>
        <v/>
      </c>
    </row>
    <row r="176" spans="1:25" x14ac:dyDescent="0.2">
      <c r="A176">
        <v>152</v>
      </c>
      <c r="B176" s="138">
        <f>IFERROR(INDEX('Match Log'!$B$4:$B$1510,MATCH($A176,'Match Log'!$A$4:$A$1510,0)),"")</f>
        <v>46215</v>
      </c>
      <c r="C176" t="str">
        <f>IFERROR(INDEX('Match Log'!$C$4:$C$1510,MATCH($A176,'Match Log'!$A$4:$A$1510,0)),"")</f>
        <v>Car racing arcade</v>
      </c>
      <c r="D176" t="str">
        <f t="array" ref="D176">IFERROR(_xlfn.TEXTJOIN(" + ",TRUE(),IF(('Match Log'!$A$4:$A$1510=$A176)*('Match Log'!$E$4:$E$1510="Win"),'Match Log'!$D$4:$D$1510,"")),IFERROR(LOOKUP(2,1/(('Match Log'!$A$4:$A$1510=$A176)*('Match Log'!$E$4:$E$1510="Win")),'Match Log'!$D$4:$D$1510),""))</f>
        <v>Dean B</v>
      </c>
      <c r="E176" s="139">
        <f>IFERROR(INDEX('Match Log'!$F$4:$F$1510,MATCH($A176,'Match Log'!$A$4:$A$1510,0)),"")</f>
        <v>2</v>
      </c>
      <c r="F176">
        <f>IFERROR(SUMIFS('Match Log'!$I$4:$I$1510,'Match Log'!$A$4:$A$1510,$A176,'Match Log'!$E$4:$E$1510,"Win"),"")</f>
        <v>0.70588235294117652</v>
      </c>
      <c r="G176">
        <f t="shared" si="23"/>
        <v>-0.41176470588235303</v>
      </c>
      <c r="H176" t="str">
        <f t="array" ref="H176">IFERROR(IF(COUNTIFS('Match Log'!$A$4:$A$1510,$A176,'Match Log'!$E$4:$E$1510,"Win")&gt;1,_xlfn.TEXTJOIN(" + ",TRUE(),IF(('Match Log'!$A$4:$A$1510=$A176)*('Match Log'!$E$4:$E$1510="Loss"),'Match Log'!$D$4:$D$1510,"")),IF($E176=2,LOOKUP(2,1/(('Match Log'!$A$4:$A$1510=$A176)*('Match Log'!$E$4:$E$1510="Loss")),'Match Log'!$D$4:$D$1510),"the field")),"")</f>
        <v>Josh</v>
      </c>
      <c r="I176">
        <f t="shared" si="24"/>
        <v>-0.41191670588235302</v>
      </c>
      <c r="J176">
        <v>152</v>
      </c>
      <c r="K176">
        <f>IF($J176&gt;MAX('Match Log'!$A$4:$A$1510),NA(),IFERROR(LOOKUP(2,1/(('Match Log'!$D$4:$D$1510=$K$24)*('Match Log'!$A$4:$A$1510&lt;=$J176)),'Match Log'!$N$4:$N$1510),NA()))</f>
        <v>1040.1422573837137</v>
      </c>
      <c r="L176">
        <f>IF($J176&gt;MAX('Match Log'!$A$4:$A$1510),NA(),IFERROR(LOOKUP(2,1/(('Match Log'!$D$4:$D$1510=$L$24)*('Match Log'!$A$4:$A$1510&lt;=$J176)),'Match Log'!$N$4:$N$1510),NA()))</f>
        <v>1029.5175965335138</v>
      </c>
      <c r="M176">
        <f>IF($J176&gt;MAX('Match Log'!$A$4:$A$1510),NA(),IFERROR(LOOKUP(2,1/(('Match Log'!$D$4:$D$1510=$M$24)*('Match Log'!$A$4:$A$1510&lt;=$J176)),'Match Log'!$N$4:$N$1510),NA()))</f>
        <v>1016.7841648959289</v>
      </c>
      <c r="N176">
        <f>IF($J176&gt;MAX('Match Log'!$A$4:$A$1510),NA(),IFERROR(LOOKUP(2,1/(('Match Log'!$D$4:$D$1510=$N$24)*('Match Log'!$A$4:$A$1510&lt;=$J176)),'Match Log'!$N$4:$N$1510),NA()))</f>
        <v>973.19705892757202</v>
      </c>
      <c r="O176">
        <f>IF($J176&gt;MAX('Match Log'!$A$4:$A$1510),NA(),IFERROR(LOOKUP(2,1/(('Match Log'!$D$4:$D$1510=$O$24)*('Match Log'!$A$4:$A$1510&lt;=$J176)),'Match Log'!$N$4:$N$1510),NA()))</f>
        <v>1079.9301311945276</v>
      </c>
      <c r="P176">
        <f>IF($J176&gt;MAX('Match Log'!$A$4:$A$1510),NA(),IFERROR(LOOKUP(2,1/(('Match Log'!$D$4:$D$1510=$P$24)*('Match Log'!$A$4:$A$1510&lt;=$J176)),'Match Log'!$N$4:$N$1510),NA()))</f>
        <v>1108.6458487105747</v>
      </c>
      <c r="Q176">
        <f>IF($J176&gt;MAX('Match Log'!$A$4:$A$1510),NA(),IFERROR(LOOKUP(2,1/(('Match Log'!$D$4:$D$1510=$Q$24)*('Match Log'!$A$4:$A$1510&lt;=$J176)),'Match Log'!$N$4:$N$1510),NA()))</f>
        <v>1085.4901250893295</v>
      </c>
      <c r="R176">
        <f>IF($J176&gt;MAX('Match Log'!$A$4:$A$1510),NA(),IFERROR(LOOKUP(2,1/(('Match Log'!$D$4:$D$1510=$R$24)*('Match Log'!$A$4:$A$1510&lt;=$J176)),'Match Log'!$N$4:$N$1510),NA()))</f>
        <v>1026.6701434033162</v>
      </c>
      <c r="S176">
        <f>IF($J176&gt;MAX('Match Log'!$A$4:$A$1510),NA(),IFERROR(LOOKUP(2,1/(('Match Log'!$D$4:$D$1510=$S$24)*('Match Log'!$A$4:$A$1510&lt;=$J176)),'Match Log'!$N$4:$N$1510),NA()))</f>
        <v>1235.0586487725313</v>
      </c>
      <c r="T176">
        <f>IF($J176&gt;MAX('Match Log'!$A$4:$A$1510),NA(),IFERROR(LOOKUP(2,1/(('Match Log'!$D$4:$D$1510=$T$24)*('Match Log'!$A$4:$A$1510&lt;=$J176)),'Match Log'!$N$4:$N$1510),NA()))</f>
        <v>893.15761519837804</v>
      </c>
      <c r="U176">
        <f>IF($J176&gt;MAX('Match Log'!$A$4:$A$1510),NA(),IFERROR(LOOKUP(2,1/(('Match Log'!$D$4:$D$1510=$U$24)*('Match Log'!$A$4:$A$1510&lt;=$J176)),'Match Log'!$N$4:$N$1510),NA()))</f>
        <v>1062.8275894279936</v>
      </c>
      <c r="V176">
        <f>IF($J176&gt;MAX('Match Log'!$A$4:$A$1510),NA(),IFERROR(LOOKUP(2,1/(('Match Log'!$D$4:$D$1510=$V$24)*('Match Log'!$A$4:$A$1510&lt;=$J176)),'Match Log'!$N$4:$N$1510),NA()))</f>
        <v>1009.152401464836</v>
      </c>
      <c r="W176">
        <f>IF($J176&gt;MAX('Match Log'!$A$4:$A$1510),NA(),IFERROR(LOOKUP(2,1/(('Match Log'!$D$4:$D$1510=$W$24)*('Match Log'!$A$4:$A$1510&lt;=$J176)),'Match Log'!$N$4:$N$1510),NA()))</f>
        <v>1052.4264189977837</v>
      </c>
      <c r="X176" t="e">
        <f>IF($J176&gt;MAX('Match Log'!$A$4:$A$1510),NA(),IFERROR(LOOKUP(2,1/(('Match Log'!$D$4:$D$1510=$X$24)*('Match Log'!$A$4:$A$1510&lt;=$J176)),'Match Log'!$N$4:$N$1510),NA()))</f>
        <v>#N/A</v>
      </c>
      <c r="Y176" t="str">
        <f t="shared" ca="1" si="25"/>
        <v/>
      </c>
    </row>
    <row r="177" spans="1:25" x14ac:dyDescent="0.2">
      <c r="A177">
        <v>153</v>
      </c>
      <c r="B177" s="138">
        <f>IFERROR(INDEX('Match Log'!$B$4:$B$1510,MATCH($A177,'Match Log'!$A$4:$A$1510,0)),"")</f>
        <v>46215</v>
      </c>
      <c r="C177" t="str">
        <f>IFERROR(INDEX('Match Log'!$C$4:$C$1510,MATCH($A177,'Match Log'!$A$4:$A$1510,0)),"")</f>
        <v>Shooting game arcade</v>
      </c>
      <c r="D177" t="str">
        <f t="array" ref="D177">IFERROR(_xlfn.TEXTJOIN(" + ",TRUE(),IF(('Match Log'!$A$4:$A$1510=$A177)*('Match Log'!$E$4:$E$1510="Win"),'Match Log'!$D$4:$D$1510,"")),IFERROR(LOOKUP(2,1/(('Match Log'!$A$4:$A$1510=$A177)*('Match Log'!$E$4:$E$1510="Win")),'Match Log'!$D$4:$D$1510),""))</f>
        <v>Josh</v>
      </c>
      <c r="E177" s="139">
        <f>IFERROR(INDEX('Match Log'!$F$4:$F$1510,MATCH($A177,'Match Log'!$A$4:$A$1510,0)),"")</f>
        <v>2</v>
      </c>
      <c r="F177">
        <f>IFERROR(SUMIFS('Match Log'!$I$4:$I$1510,'Match Log'!$A$4:$A$1510,$A177,'Match Log'!$E$4:$E$1510,"Win"),"")</f>
        <v>0.5</v>
      </c>
      <c r="G177">
        <f t="shared" si="23"/>
        <v>0</v>
      </c>
      <c r="H177" t="str">
        <f t="array" ref="H177">IFERROR(IF(COUNTIFS('Match Log'!$A$4:$A$1510,$A177,'Match Log'!$E$4:$E$1510,"Win")&gt;1,_xlfn.TEXTJOIN(" + ",TRUE(),IF(('Match Log'!$A$4:$A$1510=$A177)*('Match Log'!$E$4:$E$1510="Loss"),'Match Log'!$D$4:$D$1510,"")),IF($E177=2,LOOKUP(2,1/(('Match Log'!$A$4:$A$1510=$A177)*('Match Log'!$E$4:$E$1510="Loss")),'Match Log'!$D$4:$D$1510),"the field")),"")</f>
        <v>Daniel (Ferret)</v>
      </c>
      <c r="I177">
        <f t="shared" si="24"/>
        <v>-1.5300000000000001E-4</v>
      </c>
      <c r="J177">
        <v>153</v>
      </c>
      <c r="K177">
        <f>IF($J177&gt;MAX('Match Log'!$A$4:$A$1510),NA(),IFERROR(LOOKUP(2,1/(('Match Log'!$D$4:$D$1510=$K$24)*('Match Log'!$A$4:$A$1510&lt;=$J177)),'Match Log'!$N$4:$N$1510),NA()))</f>
        <v>1040.1422573837137</v>
      </c>
      <c r="L177">
        <f>IF($J177&gt;MAX('Match Log'!$A$4:$A$1510),NA(),IFERROR(LOOKUP(2,1/(('Match Log'!$D$4:$D$1510=$L$24)*('Match Log'!$A$4:$A$1510&lt;=$J177)),'Match Log'!$N$4:$N$1510),NA()))</f>
        <v>1029.5175965335138</v>
      </c>
      <c r="M177">
        <f>IF($J177&gt;MAX('Match Log'!$A$4:$A$1510),NA(),IFERROR(LOOKUP(2,1/(('Match Log'!$D$4:$D$1510=$M$24)*('Match Log'!$A$4:$A$1510&lt;=$J177)),'Match Log'!$N$4:$N$1510),NA()))</f>
        <v>1016.7841648959289</v>
      </c>
      <c r="N177">
        <f>IF($J177&gt;MAX('Match Log'!$A$4:$A$1510),NA(),IFERROR(LOOKUP(2,1/(('Match Log'!$D$4:$D$1510=$N$24)*('Match Log'!$A$4:$A$1510&lt;=$J177)),'Match Log'!$N$4:$N$1510),NA()))</f>
        <v>973.19705892757202</v>
      </c>
      <c r="O177">
        <f>IF($J177&gt;MAX('Match Log'!$A$4:$A$1510),NA(),IFERROR(LOOKUP(2,1/(('Match Log'!$D$4:$D$1510=$O$24)*('Match Log'!$A$4:$A$1510&lt;=$J177)),'Match Log'!$N$4:$N$1510),NA()))</f>
        <v>1099.4964515126894</v>
      </c>
      <c r="P177">
        <f>IF($J177&gt;MAX('Match Log'!$A$4:$A$1510),NA(),IFERROR(LOOKUP(2,1/(('Match Log'!$D$4:$D$1510=$P$24)*('Match Log'!$A$4:$A$1510&lt;=$J177)),'Match Log'!$N$4:$N$1510),NA()))</f>
        <v>1108.6458487105747</v>
      </c>
      <c r="Q177">
        <f>IF($J177&gt;MAX('Match Log'!$A$4:$A$1510),NA(),IFERROR(LOOKUP(2,1/(('Match Log'!$D$4:$D$1510=$Q$24)*('Match Log'!$A$4:$A$1510&lt;=$J177)),'Match Log'!$N$4:$N$1510),NA()))</f>
        <v>1085.4901250893295</v>
      </c>
      <c r="R177">
        <f>IF($J177&gt;MAX('Match Log'!$A$4:$A$1510),NA(),IFERROR(LOOKUP(2,1/(('Match Log'!$D$4:$D$1510=$R$24)*('Match Log'!$A$4:$A$1510&lt;=$J177)),'Match Log'!$N$4:$N$1510),NA()))</f>
        <v>1007.1038230851542</v>
      </c>
      <c r="S177">
        <f>IF($J177&gt;MAX('Match Log'!$A$4:$A$1510),NA(),IFERROR(LOOKUP(2,1/(('Match Log'!$D$4:$D$1510=$S$24)*('Match Log'!$A$4:$A$1510&lt;=$J177)),'Match Log'!$N$4:$N$1510),NA()))</f>
        <v>1235.0586487725313</v>
      </c>
      <c r="T177">
        <f>IF($J177&gt;MAX('Match Log'!$A$4:$A$1510),NA(),IFERROR(LOOKUP(2,1/(('Match Log'!$D$4:$D$1510=$T$24)*('Match Log'!$A$4:$A$1510&lt;=$J177)),'Match Log'!$N$4:$N$1510),NA()))</f>
        <v>893.15761519837804</v>
      </c>
      <c r="U177">
        <f>IF($J177&gt;MAX('Match Log'!$A$4:$A$1510),NA(),IFERROR(LOOKUP(2,1/(('Match Log'!$D$4:$D$1510=$U$24)*('Match Log'!$A$4:$A$1510&lt;=$J177)),'Match Log'!$N$4:$N$1510),NA()))</f>
        <v>1062.8275894279936</v>
      </c>
      <c r="V177">
        <f>IF($J177&gt;MAX('Match Log'!$A$4:$A$1510),NA(),IFERROR(LOOKUP(2,1/(('Match Log'!$D$4:$D$1510=$V$24)*('Match Log'!$A$4:$A$1510&lt;=$J177)),'Match Log'!$N$4:$N$1510),NA()))</f>
        <v>1009.152401464836</v>
      </c>
      <c r="W177">
        <f>IF($J177&gt;MAX('Match Log'!$A$4:$A$1510),NA(),IFERROR(LOOKUP(2,1/(('Match Log'!$D$4:$D$1510=$W$24)*('Match Log'!$A$4:$A$1510&lt;=$J177)),'Match Log'!$N$4:$N$1510),NA()))</f>
        <v>1052.4264189977837</v>
      </c>
      <c r="X177" t="e">
        <f>IF($J177&gt;MAX('Match Log'!$A$4:$A$1510),NA(),IFERROR(LOOKUP(2,1/(('Match Log'!$D$4:$D$1510=$X$24)*('Match Log'!$A$4:$A$1510&lt;=$J177)),'Match Log'!$N$4:$N$1510),NA()))</f>
        <v>#N/A</v>
      </c>
      <c r="Y177" t="str">
        <f t="shared" ca="1" si="25"/>
        <v/>
      </c>
    </row>
    <row r="178" spans="1:25" x14ac:dyDescent="0.2">
      <c r="A178">
        <v>154</v>
      </c>
      <c r="B178" s="138">
        <f>IFERROR(INDEX('Match Log'!$B$4:$B$1510,MATCH($A178,'Match Log'!$A$4:$A$1510,0)),"")</f>
        <v>46215</v>
      </c>
      <c r="C178" t="str">
        <f>IFERROR(INDEX('Match Log'!$C$4:$C$1510,MATCH($A178,'Match Log'!$A$4:$A$1510,0)),"")</f>
        <v>Basketball arcade</v>
      </c>
      <c r="D178" t="str">
        <f t="array" ref="D178">IFERROR(_xlfn.TEXTJOIN(" + ",TRUE(),IF(('Match Log'!$A$4:$A$1510=$A178)*('Match Log'!$E$4:$E$1510="Win"),'Match Log'!$D$4:$D$1510,"")),IFERROR(LOOKUP(2,1/(('Match Log'!$A$4:$A$1510=$A178)*('Match Log'!$E$4:$E$1510="Win")),'Match Log'!$D$4:$D$1510),""))</f>
        <v>Daniel (Ferret)</v>
      </c>
      <c r="E178" s="139">
        <f>IFERROR(INDEX('Match Log'!$F$4:$F$1510,MATCH($A178,'Match Log'!$A$4:$A$1510,0)),"")</f>
        <v>3</v>
      </c>
      <c r="F178">
        <f>IFERROR(SUMIFS('Match Log'!$I$4:$I$1510,'Match Log'!$A$4:$A$1510,$A178,'Match Log'!$E$4:$E$1510,"Win"),"")</f>
        <v>0.33333333333333331</v>
      </c>
      <c r="G178">
        <f t="shared" si="23"/>
        <v>0</v>
      </c>
      <c r="H178" t="str">
        <f t="array" ref="H178">IFERROR(IF(COUNTIFS('Match Log'!$A$4:$A$1510,$A178,'Match Log'!$E$4:$E$1510,"Win")&gt;1,_xlfn.TEXTJOIN(" + ",TRUE(),IF(('Match Log'!$A$4:$A$1510=$A178)*('Match Log'!$E$4:$E$1510="Loss"),'Match Log'!$D$4:$D$1510,"")),IF($E178=2,LOOKUP(2,1/(('Match Log'!$A$4:$A$1510=$A178)*('Match Log'!$E$4:$E$1510="Loss")),'Match Log'!$D$4:$D$1510),"the field")),"")</f>
        <v>the field</v>
      </c>
      <c r="I178">
        <f t="shared" si="24"/>
        <v>-1.54E-4</v>
      </c>
      <c r="J178">
        <v>154</v>
      </c>
      <c r="K178">
        <f>IF($J178&gt;MAX('Match Log'!$A$4:$A$1510),NA(),IFERROR(LOOKUP(2,1/(('Match Log'!$D$4:$D$1510=$K$24)*('Match Log'!$A$4:$A$1510&lt;=$J178)),'Match Log'!$N$4:$N$1510),NA()))</f>
        <v>1040.1422573837137</v>
      </c>
      <c r="L178">
        <f>IF($J178&gt;MAX('Match Log'!$A$4:$A$1510),NA(),IFERROR(LOOKUP(2,1/(('Match Log'!$D$4:$D$1510=$L$24)*('Match Log'!$A$4:$A$1510&lt;=$J178)),'Match Log'!$N$4:$N$1510),NA()))</f>
        <v>1029.5175965335138</v>
      </c>
      <c r="M178">
        <f>IF($J178&gt;MAX('Match Log'!$A$4:$A$1510),NA(),IFERROR(LOOKUP(2,1/(('Match Log'!$D$4:$D$1510=$M$24)*('Match Log'!$A$4:$A$1510&lt;=$J178)),'Match Log'!$N$4:$N$1510),NA()))</f>
        <v>1016.7841648959289</v>
      </c>
      <c r="N178">
        <f>IF($J178&gt;MAX('Match Log'!$A$4:$A$1510),NA(),IFERROR(LOOKUP(2,1/(('Match Log'!$D$4:$D$1510=$N$24)*('Match Log'!$A$4:$A$1510&lt;=$J178)),'Match Log'!$N$4:$N$1510),NA()))</f>
        <v>973.19705892757202</v>
      </c>
      <c r="O178">
        <f>IF($J178&gt;MAX('Match Log'!$A$4:$A$1510),NA(),IFERROR(LOOKUP(2,1/(('Match Log'!$D$4:$D$1510=$O$24)*('Match Log'!$A$4:$A$1510&lt;=$J178)),'Match Log'!$N$4:$N$1510),NA()))</f>
        <v>1088.4178020325101</v>
      </c>
      <c r="P178">
        <f>IF($J178&gt;MAX('Match Log'!$A$4:$A$1510),NA(),IFERROR(LOOKUP(2,1/(('Match Log'!$D$4:$D$1510=$P$24)*('Match Log'!$A$4:$A$1510&lt;=$J178)),'Match Log'!$N$4:$N$1510),NA()))</f>
        <v>1108.6458487105747</v>
      </c>
      <c r="Q178">
        <f>IF($J178&gt;MAX('Match Log'!$A$4:$A$1510),NA(),IFERROR(LOOKUP(2,1/(('Match Log'!$D$4:$D$1510=$Q$24)*('Match Log'!$A$4:$A$1510&lt;=$J178)),'Match Log'!$N$4:$N$1510),NA()))</f>
        <v>1085.4901250893295</v>
      </c>
      <c r="R178">
        <f>IF($J178&gt;MAX('Match Log'!$A$4:$A$1510),NA(),IFERROR(LOOKUP(2,1/(('Match Log'!$D$4:$D$1510=$R$24)*('Match Log'!$A$4:$A$1510&lt;=$J178)),'Match Log'!$N$4:$N$1510),NA()))</f>
        <v>1040.7886055558056</v>
      </c>
      <c r="S178">
        <f>IF($J178&gt;MAX('Match Log'!$A$4:$A$1510),NA(),IFERROR(LOOKUP(2,1/(('Match Log'!$D$4:$D$1510=$S$24)*('Match Log'!$A$4:$A$1510&lt;=$J178)),'Match Log'!$N$4:$N$1510),NA()))</f>
        <v>1221.4525157820594</v>
      </c>
      <c r="T178">
        <f>IF($J178&gt;MAX('Match Log'!$A$4:$A$1510),NA(),IFERROR(LOOKUP(2,1/(('Match Log'!$D$4:$D$1510=$T$24)*('Match Log'!$A$4:$A$1510&lt;=$J178)),'Match Log'!$N$4:$N$1510),NA()))</f>
        <v>893.15761519837804</v>
      </c>
      <c r="U178">
        <f>IF($J178&gt;MAX('Match Log'!$A$4:$A$1510),NA(),IFERROR(LOOKUP(2,1/(('Match Log'!$D$4:$D$1510=$U$24)*('Match Log'!$A$4:$A$1510&lt;=$J178)),'Match Log'!$N$4:$N$1510),NA()))</f>
        <v>1062.8275894279936</v>
      </c>
      <c r="V178">
        <f>IF($J178&gt;MAX('Match Log'!$A$4:$A$1510),NA(),IFERROR(LOOKUP(2,1/(('Match Log'!$D$4:$D$1510=$V$24)*('Match Log'!$A$4:$A$1510&lt;=$J178)),'Match Log'!$N$4:$N$1510),NA()))</f>
        <v>1009.152401464836</v>
      </c>
      <c r="W178">
        <f>IF($J178&gt;MAX('Match Log'!$A$4:$A$1510),NA(),IFERROR(LOOKUP(2,1/(('Match Log'!$D$4:$D$1510=$W$24)*('Match Log'!$A$4:$A$1510&lt;=$J178)),'Match Log'!$N$4:$N$1510),NA()))</f>
        <v>1052.4264189977837</v>
      </c>
      <c r="X178" t="e">
        <f>IF($J178&gt;MAX('Match Log'!$A$4:$A$1510),NA(),IFERROR(LOOKUP(2,1/(('Match Log'!$D$4:$D$1510=$X$24)*('Match Log'!$A$4:$A$1510&lt;=$J178)),'Match Log'!$N$4:$N$1510),NA()))</f>
        <v>#N/A</v>
      </c>
      <c r="Y178" t="str">
        <f t="shared" ca="1" si="25"/>
        <v/>
      </c>
    </row>
    <row r="179" spans="1:25" x14ac:dyDescent="0.2">
      <c r="A179">
        <v>155</v>
      </c>
      <c r="B179" s="138">
        <f>IFERROR(INDEX('Match Log'!$B$4:$B$1510,MATCH($A179,'Match Log'!$A$4:$A$1510,0)),"")</f>
        <v>46215</v>
      </c>
      <c r="C179" t="str">
        <f>IFERROR(INDEX('Match Log'!$C$4:$C$1510,MATCH($A179,'Match Log'!$A$4:$A$1510,0)),"")</f>
        <v>Pool</v>
      </c>
      <c r="D179" t="str">
        <f t="array" ref="D179">IFERROR(_xlfn.TEXTJOIN(" + ",TRUE(),IF(('Match Log'!$A$4:$A$1510=$A179)*('Match Log'!$E$4:$E$1510="Win"),'Match Log'!$D$4:$D$1510,"")),IFERROR(LOOKUP(2,1/(('Match Log'!$A$4:$A$1510=$A179)*('Match Log'!$E$4:$E$1510="Win")),'Match Log'!$D$4:$D$1510),""))</f>
        <v>Daniel (Ferret)</v>
      </c>
      <c r="E179" s="139">
        <f>IFERROR(INDEX('Match Log'!$F$4:$F$1510,MATCH($A179,'Match Log'!$A$4:$A$1510,0)),"")</f>
        <v>2</v>
      </c>
      <c r="F179">
        <f>IFERROR(SUMIFS('Match Log'!$I$4:$I$1510,'Match Log'!$A$4:$A$1510,$A179,'Match Log'!$E$4:$E$1510,"Win"),"")</f>
        <v>0.5</v>
      </c>
      <c r="G179">
        <f t="shared" si="23"/>
        <v>0</v>
      </c>
      <c r="H179" t="str">
        <f t="array" ref="H179">IFERROR(IF(COUNTIFS('Match Log'!$A$4:$A$1510,$A179,'Match Log'!$E$4:$E$1510,"Win")&gt;1,_xlfn.TEXTJOIN(" + ",TRUE(),IF(('Match Log'!$A$4:$A$1510=$A179)*('Match Log'!$E$4:$E$1510="Loss"),'Match Log'!$D$4:$D$1510,"")),IF($E179=2,LOOKUP(2,1/(('Match Log'!$A$4:$A$1510=$A179)*('Match Log'!$E$4:$E$1510="Loss")),'Match Log'!$D$4:$D$1510),"the field")),"")</f>
        <v>Josh</v>
      </c>
      <c r="I179">
        <f t="shared" si="24"/>
        <v>-1.55E-4</v>
      </c>
      <c r="J179">
        <v>155</v>
      </c>
      <c r="K179">
        <f>IF($J179&gt;MAX('Match Log'!$A$4:$A$1510),NA(),IFERROR(LOOKUP(2,1/(('Match Log'!$D$4:$D$1510=$K$24)*('Match Log'!$A$4:$A$1510&lt;=$J179)),'Match Log'!$N$4:$N$1510),NA()))</f>
        <v>1040.1422573837137</v>
      </c>
      <c r="L179">
        <f>IF($J179&gt;MAX('Match Log'!$A$4:$A$1510),NA(),IFERROR(LOOKUP(2,1/(('Match Log'!$D$4:$D$1510=$L$24)*('Match Log'!$A$4:$A$1510&lt;=$J179)),'Match Log'!$N$4:$N$1510),NA()))</f>
        <v>1029.5175965335138</v>
      </c>
      <c r="M179">
        <f>IF($J179&gt;MAX('Match Log'!$A$4:$A$1510),NA(),IFERROR(LOOKUP(2,1/(('Match Log'!$D$4:$D$1510=$M$24)*('Match Log'!$A$4:$A$1510&lt;=$J179)),'Match Log'!$N$4:$N$1510),NA()))</f>
        <v>1016.7841648959289</v>
      </c>
      <c r="N179">
        <f>IF($J179&gt;MAX('Match Log'!$A$4:$A$1510),NA(),IFERROR(LOOKUP(2,1/(('Match Log'!$D$4:$D$1510=$N$24)*('Match Log'!$A$4:$A$1510&lt;=$J179)),'Match Log'!$N$4:$N$1510),NA()))</f>
        <v>973.19705892757202</v>
      </c>
      <c r="O179">
        <f>IF($J179&gt;MAX('Match Log'!$A$4:$A$1510),NA(),IFERROR(LOOKUP(2,1/(('Match Log'!$D$4:$D$1510=$O$24)*('Match Log'!$A$4:$A$1510&lt;=$J179)),'Match Log'!$N$4:$N$1510),NA()))</f>
        <v>1063.3497487715442</v>
      </c>
      <c r="P179">
        <f>IF($J179&gt;MAX('Match Log'!$A$4:$A$1510),NA(),IFERROR(LOOKUP(2,1/(('Match Log'!$D$4:$D$1510=$P$24)*('Match Log'!$A$4:$A$1510&lt;=$J179)),'Match Log'!$N$4:$N$1510),NA()))</f>
        <v>1108.6458487105747</v>
      </c>
      <c r="Q179">
        <f>IF($J179&gt;MAX('Match Log'!$A$4:$A$1510),NA(),IFERROR(LOOKUP(2,1/(('Match Log'!$D$4:$D$1510=$Q$24)*('Match Log'!$A$4:$A$1510&lt;=$J179)),'Match Log'!$N$4:$N$1510),NA()))</f>
        <v>1085.4901250893295</v>
      </c>
      <c r="R179">
        <f>IF($J179&gt;MAX('Match Log'!$A$4:$A$1510),NA(),IFERROR(LOOKUP(2,1/(('Match Log'!$D$4:$D$1510=$R$24)*('Match Log'!$A$4:$A$1510&lt;=$J179)),'Match Log'!$N$4:$N$1510),NA()))</f>
        <v>1065.8566588167714</v>
      </c>
      <c r="S179">
        <f>IF($J179&gt;MAX('Match Log'!$A$4:$A$1510),NA(),IFERROR(LOOKUP(2,1/(('Match Log'!$D$4:$D$1510=$S$24)*('Match Log'!$A$4:$A$1510&lt;=$J179)),'Match Log'!$N$4:$N$1510),NA()))</f>
        <v>1221.4525157820594</v>
      </c>
      <c r="T179">
        <f>IF($J179&gt;MAX('Match Log'!$A$4:$A$1510),NA(),IFERROR(LOOKUP(2,1/(('Match Log'!$D$4:$D$1510=$T$24)*('Match Log'!$A$4:$A$1510&lt;=$J179)),'Match Log'!$N$4:$N$1510),NA()))</f>
        <v>893.15761519837804</v>
      </c>
      <c r="U179">
        <f>IF($J179&gt;MAX('Match Log'!$A$4:$A$1510),NA(),IFERROR(LOOKUP(2,1/(('Match Log'!$D$4:$D$1510=$U$24)*('Match Log'!$A$4:$A$1510&lt;=$J179)),'Match Log'!$N$4:$N$1510),NA()))</f>
        <v>1062.8275894279936</v>
      </c>
      <c r="V179">
        <f>IF($J179&gt;MAX('Match Log'!$A$4:$A$1510),NA(),IFERROR(LOOKUP(2,1/(('Match Log'!$D$4:$D$1510=$V$24)*('Match Log'!$A$4:$A$1510&lt;=$J179)),'Match Log'!$N$4:$N$1510),NA()))</f>
        <v>1009.152401464836</v>
      </c>
      <c r="W179">
        <f>IF($J179&gt;MAX('Match Log'!$A$4:$A$1510),NA(),IFERROR(LOOKUP(2,1/(('Match Log'!$D$4:$D$1510=$W$24)*('Match Log'!$A$4:$A$1510&lt;=$J179)),'Match Log'!$N$4:$N$1510),NA()))</f>
        <v>1052.4264189977837</v>
      </c>
      <c r="X179" t="e">
        <f>IF($J179&gt;MAX('Match Log'!$A$4:$A$1510),NA(),IFERROR(LOOKUP(2,1/(('Match Log'!$D$4:$D$1510=$X$24)*('Match Log'!$A$4:$A$1510&lt;=$J179)),'Match Log'!$N$4:$N$1510),NA()))</f>
        <v>#N/A</v>
      </c>
      <c r="Y179" t="str">
        <f t="shared" ca="1" si="25"/>
        <v/>
      </c>
    </row>
    <row r="180" spans="1:25" x14ac:dyDescent="0.2">
      <c r="A180">
        <v>156</v>
      </c>
      <c r="B180" s="138">
        <f>IFERROR(INDEX('Match Log'!$B$4:$B$1510,MATCH($A180,'Match Log'!$A$4:$A$1510,0)),"")</f>
        <v>46215</v>
      </c>
      <c r="C180" t="str">
        <f>IFERROR(INDEX('Match Log'!$C$4:$C$1510,MATCH($A180,'Match Log'!$A$4:$A$1510,0)),"")</f>
        <v>Pool</v>
      </c>
      <c r="D180" t="str">
        <f t="array" ref="D180">IFERROR(_xlfn.TEXTJOIN(" + ",TRUE(),IF(('Match Log'!$A$4:$A$1510=$A180)*('Match Log'!$E$4:$E$1510="Win"),'Match Log'!$D$4:$D$1510,"")),IFERROR(LOOKUP(2,1/(('Match Log'!$A$4:$A$1510=$A180)*('Match Log'!$E$4:$E$1510="Win")),'Match Log'!$D$4:$D$1510),""))</f>
        <v>Dean B</v>
      </c>
      <c r="E180" s="139">
        <f>IFERROR(INDEX('Match Log'!$F$4:$F$1510,MATCH($A180,'Match Log'!$A$4:$A$1510,0)),"")</f>
        <v>2</v>
      </c>
      <c r="F180">
        <f>IFERROR(SUMIFS('Match Log'!$I$4:$I$1510,'Match Log'!$A$4:$A$1510,$A180,'Match Log'!$E$4:$E$1510,"Win"),"")</f>
        <v>0.46666666666666667</v>
      </c>
      <c r="G180">
        <f t="shared" si="23"/>
        <v>6.6666666666666652E-2</v>
      </c>
      <c r="H180" t="str">
        <f t="array" ref="H180">IFERROR(IF(COUNTIFS('Match Log'!$A$4:$A$1510,$A180,'Match Log'!$E$4:$E$1510,"Win")&gt;1,_xlfn.TEXTJOIN(" + ",TRUE(),IF(('Match Log'!$A$4:$A$1510=$A180)*('Match Log'!$E$4:$E$1510="Loss"),'Match Log'!$D$4:$D$1510,"")),IF($E180=2,LOOKUP(2,1/(('Match Log'!$A$4:$A$1510=$A180)*('Match Log'!$E$4:$E$1510="Loss")),'Match Log'!$D$4:$D$1510),"the field")),"")</f>
        <v>Daniel (Ferret)</v>
      </c>
      <c r="I180">
        <f t="shared" si="24"/>
        <v>6.6510666666666649E-2</v>
      </c>
      <c r="J180">
        <v>156</v>
      </c>
      <c r="K180">
        <f>IF($J180&gt;MAX('Match Log'!$A$4:$A$1510),NA(),IFERROR(LOOKUP(2,1/(('Match Log'!$D$4:$D$1510=$K$24)*('Match Log'!$A$4:$A$1510&lt;=$J180)),'Match Log'!$N$4:$N$1510),NA()))</f>
        <v>1040.1422573837137</v>
      </c>
      <c r="L180">
        <f>IF($J180&gt;MAX('Match Log'!$A$4:$A$1510),NA(),IFERROR(LOOKUP(2,1/(('Match Log'!$D$4:$D$1510=$L$24)*('Match Log'!$A$4:$A$1510&lt;=$J180)),'Match Log'!$N$4:$N$1510),NA()))</f>
        <v>1029.5175965335138</v>
      </c>
      <c r="M180">
        <f>IF($J180&gt;MAX('Match Log'!$A$4:$A$1510),NA(),IFERROR(LOOKUP(2,1/(('Match Log'!$D$4:$D$1510=$M$24)*('Match Log'!$A$4:$A$1510&lt;=$J180)),'Match Log'!$N$4:$N$1510),NA()))</f>
        <v>1016.7841648959289</v>
      </c>
      <c r="N180">
        <f>IF($J180&gt;MAX('Match Log'!$A$4:$A$1510),NA(),IFERROR(LOOKUP(2,1/(('Match Log'!$D$4:$D$1510=$N$24)*('Match Log'!$A$4:$A$1510&lt;=$J180)),'Match Log'!$N$4:$N$1510),NA()))</f>
        <v>973.19705892757202</v>
      </c>
      <c r="O180">
        <f>IF($J180&gt;MAX('Match Log'!$A$4:$A$1510),NA(),IFERROR(LOOKUP(2,1/(('Match Log'!$D$4:$D$1510=$O$24)*('Match Log'!$A$4:$A$1510&lt;=$J180)),'Match Log'!$N$4:$N$1510),NA()))</f>
        <v>1063.3497487715442</v>
      </c>
      <c r="P180">
        <f>IF($J180&gt;MAX('Match Log'!$A$4:$A$1510),NA(),IFERROR(LOOKUP(2,1/(('Match Log'!$D$4:$D$1510=$P$24)*('Match Log'!$A$4:$A$1510&lt;=$J180)),'Match Log'!$N$4:$N$1510),NA()))</f>
        <v>1108.6458487105747</v>
      </c>
      <c r="Q180">
        <f>IF($J180&gt;MAX('Match Log'!$A$4:$A$1510),NA(),IFERROR(LOOKUP(2,1/(('Match Log'!$D$4:$D$1510=$Q$24)*('Match Log'!$A$4:$A$1510&lt;=$J180)),'Match Log'!$N$4:$N$1510),NA()))</f>
        <v>1085.4901250893295</v>
      </c>
      <c r="R180">
        <f>IF($J180&gt;MAX('Match Log'!$A$4:$A$1510),NA(),IFERROR(LOOKUP(2,1/(('Match Log'!$D$4:$D$1510=$R$24)*('Match Log'!$A$4:$A$1510&lt;=$J180)),'Match Log'!$N$4:$N$1510),NA()))</f>
        <v>1045.6062382737775</v>
      </c>
      <c r="S180">
        <f>IF($J180&gt;MAX('Match Log'!$A$4:$A$1510),NA(),IFERROR(LOOKUP(2,1/(('Match Log'!$D$4:$D$1510=$S$24)*('Match Log'!$A$4:$A$1510&lt;=$J180)),'Match Log'!$N$4:$N$1510),NA()))</f>
        <v>1241.7029363250533</v>
      </c>
      <c r="T180">
        <f>IF($J180&gt;MAX('Match Log'!$A$4:$A$1510),NA(),IFERROR(LOOKUP(2,1/(('Match Log'!$D$4:$D$1510=$T$24)*('Match Log'!$A$4:$A$1510&lt;=$J180)),'Match Log'!$N$4:$N$1510),NA()))</f>
        <v>893.15761519837804</v>
      </c>
      <c r="U180">
        <f>IF($J180&gt;MAX('Match Log'!$A$4:$A$1510),NA(),IFERROR(LOOKUP(2,1/(('Match Log'!$D$4:$D$1510=$U$24)*('Match Log'!$A$4:$A$1510&lt;=$J180)),'Match Log'!$N$4:$N$1510),NA()))</f>
        <v>1062.8275894279936</v>
      </c>
      <c r="V180">
        <f>IF($J180&gt;MAX('Match Log'!$A$4:$A$1510),NA(),IFERROR(LOOKUP(2,1/(('Match Log'!$D$4:$D$1510=$V$24)*('Match Log'!$A$4:$A$1510&lt;=$J180)),'Match Log'!$N$4:$N$1510),NA()))</f>
        <v>1009.152401464836</v>
      </c>
      <c r="W180">
        <f>IF($J180&gt;MAX('Match Log'!$A$4:$A$1510),NA(),IFERROR(LOOKUP(2,1/(('Match Log'!$D$4:$D$1510=$W$24)*('Match Log'!$A$4:$A$1510&lt;=$J180)),'Match Log'!$N$4:$N$1510),NA()))</f>
        <v>1052.4264189977837</v>
      </c>
      <c r="X180" t="e">
        <f>IF($J180&gt;MAX('Match Log'!$A$4:$A$1510),NA(),IFERROR(LOOKUP(2,1/(('Match Log'!$D$4:$D$1510=$X$24)*('Match Log'!$A$4:$A$1510&lt;=$J180)),'Match Log'!$N$4:$N$1510),NA()))</f>
        <v>#N/A</v>
      </c>
      <c r="Y180" t="str">
        <f t="shared" ca="1" si="25"/>
        <v/>
      </c>
    </row>
    <row r="181" spans="1:25" x14ac:dyDescent="0.2">
      <c r="A181">
        <v>157</v>
      </c>
      <c r="B181" s="138">
        <f>IFERROR(INDEX('Match Log'!$B$4:$B$1510,MATCH($A181,'Match Log'!$A$4:$A$1510,0)),"")</f>
        <v>46215</v>
      </c>
      <c r="C181" t="str">
        <f>IFERROR(INDEX('Match Log'!$C$4:$C$1510,MATCH($A181,'Match Log'!$A$4:$A$1510,0)),"")</f>
        <v>Chess</v>
      </c>
      <c r="D181" t="str">
        <f t="array" ref="D181">IFERROR(_xlfn.TEXTJOIN(" + ",TRUE(),IF(('Match Log'!$A$4:$A$1510=$A181)*('Match Log'!$E$4:$E$1510="Win"),'Match Log'!$D$4:$D$1510,"")),IFERROR(LOOKUP(2,1/(('Match Log'!$A$4:$A$1510=$A181)*('Match Log'!$E$4:$E$1510="Win")),'Match Log'!$D$4:$D$1510),""))</f>
        <v>Shawn</v>
      </c>
      <c r="E181" s="139">
        <f>IFERROR(INDEX('Match Log'!$F$4:$F$1510,MATCH($A181,'Match Log'!$A$4:$A$1510,0)),"")</f>
        <v>2</v>
      </c>
      <c r="F181">
        <f>IFERROR(SUMIFS('Match Log'!$I$4:$I$1510,'Match Log'!$A$4:$A$1510,$A181,'Match Log'!$E$4:$E$1510,"Win"),"")</f>
        <v>0.75</v>
      </c>
      <c r="G181">
        <f t="shared" si="23"/>
        <v>-0.5</v>
      </c>
      <c r="H181" t="str">
        <f t="array" ref="H181">IFERROR(IF(COUNTIFS('Match Log'!$A$4:$A$1510,$A181,'Match Log'!$E$4:$E$1510,"Win")&gt;1,_xlfn.TEXTJOIN(" + ",TRUE(),IF(('Match Log'!$A$4:$A$1510=$A181)*('Match Log'!$E$4:$E$1510="Loss"),'Match Log'!$D$4:$D$1510,"")),IF($E181=2,LOOKUP(2,1/(('Match Log'!$A$4:$A$1510=$A181)*('Match Log'!$E$4:$E$1510="Loss")),'Match Log'!$D$4:$D$1510),"the field")),"")</f>
        <v>Daniel (Ferret)</v>
      </c>
      <c r="I181">
        <f t="shared" si="24"/>
        <v>-0.50015699999999996</v>
      </c>
      <c r="J181">
        <v>157</v>
      </c>
      <c r="K181">
        <f>IF($J181&gt;MAX('Match Log'!$A$4:$A$1510),NA(),IFERROR(LOOKUP(2,1/(('Match Log'!$D$4:$D$1510=$K$24)*('Match Log'!$A$4:$A$1510&lt;=$J181)),'Match Log'!$N$4:$N$1510),NA()))</f>
        <v>1040.1422573837137</v>
      </c>
      <c r="L181">
        <f>IF($J181&gt;MAX('Match Log'!$A$4:$A$1510),NA(),IFERROR(LOOKUP(2,1/(('Match Log'!$D$4:$D$1510=$L$24)*('Match Log'!$A$4:$A$1510&lt;=$J181)),'Match Log'!$N$4:$N$1510),NA()))</f>
        <v>1029.5175965335138</v>
      </c>
      <c r="M181">
        <f>IF($J181&gt;MAX('Match Log'!$A$4:$A$1510),NA(),IFERROR(LOOKUP(2,1/(('Match Log'!$D$4:$D$1510=$M$24)*('Match Log'!$A$4:$A$1510&lt;=$J181)),'Match Log'!$N$4:$N$1510),NA()))</f>
        <v>1016.7841648959289</v>
      </c>
      <c r="N181">
        <f>IF($J181&gt;MAX('Match Log'!$A$4:$A$1510),NA(),IFERROR(LOOKUP(2,1/(('Match Log'!$D$4:$D$1510=$N$24)*('Match Log'!$A$4:$A$1510&lt;=$J181)),'Match Log'!$N$4:$N$1510),NA()))</f>
        <v>973.19705892757202</v>
      </c>
      <c r="O181">
        <f>IF($J181&gt;MAX('Match Log'!$A$4:$A$1510),NA(),IFERROR(LOOKUP(2,1/(('Match Log'!$D$4:$D$1510=$O$24)*('Match Log'!$A$4:$A$1510&lt;=$J181)),'Match Log'!$N$4:$N$1510),NA()))</f>
        <v>1063.3497487715442</v>
      </c>
      <c r="P181">
        <f>IF($J181&gt;MAX('Match Log'!$A$4:$A$1510),NA(),IFERROR(LOOKUP(2,1/(('Match Log'!$D$4:$D$1510=$P$24)*('Match Log'!$A$4:$A$1510&lt;=$J181)),'Match Log'!$N$4:$N$1510),NA()))</f>
        <v>1124.7994137993414</v>
      </c>
      <c r="Q181">
        <f>IF($J181&gt;MAX('Match Log'!$A$4:$A$1510),NA(),IFERROR(LOOKUP(2,1/(('Match Log'!$D$4:$D$1510=$Q$24)*('Match Log'!$A$4:$A$1510&lt;=$J181)),'Match Log'!$N$4:$N$1510),NA()))</f>
        <v>1085.4901250893295</v>
      </c>
      <c r="R181">
        <f>IF($J181&gt;MAX('Match Log'!$A$4:$A$1510),NA(),IFERROR(LOOKUP(2,1/(('Match Log'!$D$4:$D$1510=$R$24)*('Match Log'!$A$4:$A$1510&lt;=$J181)),'Match Log'!$N$4:$N$1510),NA()))</f>
        <v>1029.4526731850108</v>
      </c>
      <c r="S181">
        <f>IF($J181&gt;MAX('Match Log'!$A$4:$A$1510),NA(),IFERROR(LOOKUP(2,1/(('Match Log'!$D$4:$D$1510=$S$24)*('Match Log'!$A$4:$A$1510&lt;=$J181)),'Match Log'!$N$4:$N$1510),NA()))</f>
        <v>1241.7029363250533</v>
      </c>
      <c r="T181">
        <f>IF($J181&gt;MAX('Match Log'!$A$4:$A$1510),NA(),IFERROR(LOOKUP(2,1/(('Match Log'!$D$4:$D$1510=$T$24)*('Match Log'!$A$4:$A$1510&lt;=$J181)),'Match Log'!$N$4:$N$1510),NA()))</f>
        <v>893.15761519837804</v>
      </c>
      <c r="U181">
        <f>IF($J181&gt;MAX('Match Log'!$A$4:$A$1510),NA(),IFERROR(LOOKUP(2,1/(('Match Log'!$D$4:$D$1510=$U$24)*('Match Log'!$A$4:$A$1510&lt;=$J181)),'Match Log'!$N$4:$N$1510),NA()))</f>
        <v>1062.8275894279936</v>
      </c>
      <c r="V181">
        <f>IF($J181&gt;MAX('Match Log'!$A$4:$A$1510),NA(),IFERROR(LOOKUP(2,1/(('Match Log'!$D$4:$D$1510=$V$24)*('Match Log'!$A$4:$A$1510&lt;=$J181)),'Match Log'!$N$4:$N$1510),NA()))</f>
        <v>1009.152401464836</v>
      </c>
      <c r="W181">
        <f>IF($J181&gt;MAX('Match Log'!$A$4:$A$1510),NA(),IFERROR(LOOKUP(2,1/(('Match Log'!$D$4:$D$1510=$W$24)*('Match Log'!$A$4:$A$1510&lt;=$J181)),'Match Log'!$N$4:$N$1510),NA()))</f>
        <v>1052.4264189977837</v>
      </c>
      <c r="X181" t="e">
        <f>IF($J181&gt;MAX('Match Log'!$A$4:$A$1510),NA(),IFERROR(LOOKUP(2,1/(('Match Log'!$D$4:$D$1510=$X$24)*('Match Log'!$A$4:$A$1510&lt;=$J181)),'Match Log'!$N$4:$N$1510),NA()))</f>
        <v>#N/A</v>
      </c>
      <c r="Y181" t="str">
        <f t="shared" ca="1" si="25"/>
        <v/>
      </c>
    </row>
    <row r="182" spans="1:25" x14ac:dyDescent="0.2">
      <c r="A182">
        <v>158</v>
      </c>
      <c r="B182" s="138">
        <f>IFERROR(INDEX('Match Log'!$B$4:$B$1510,MATCH($A182,'Match Log'!$A$4:$A$1510,0)),"")</f>
        <v>46215</v>
      </c>
      <c r="C182" t="str">
        <f>IFERROR(INDEX('Match Log'!$C$4:$C$1510,MATCH($A182,'Match Log'!$A$4:$A$1510,0)),"")</f>
        <v>Chess</v>
      </c>
      <c r="D182" t="str">
        <f t="array" ref="D182">IFERROR(_xlfn.TEXTJOIN(" + ",TRUE(),IF(('Match Log'!$A$4:$A$1510=$A182)*('Match Log'!$E$4:$E$1510="Win"),'Match Log'!$D$4:$D$1510,"")),IFERROR(LOOKUP(2,1/(('Match Log'!$A$4:$A$1510=$A182)*('Match Log'!$E$4:$E$1510="Win")),'Match Log'!$D$4:$D$1510),""))</f>
        <v>Chase</v>
      </c>
      <c r="E182" s="139">
        <f>IFERROR(INDEX('Match Log'!$F$4:$F$1510,MATCH($A182,'Match Log'!$A$4:$A$1510,0)),"")</f>
        <v>2</v>
      </c>
      <c r="F182">
        <f>IFERROR(SUMIFS('Match Log'!$I$4:$I$1510,'Match Log'!$A$4:$A$1510,$A182,'Match Log'!$E$4:$E$1510,"Win"),"")</f>
        <v>0.5</v>
      </c>
      <c r="G182">
        <f t="shared" si="23"/>
        <v>0</v>
      </c>
      <c r="H182" t="str">
        <f t="array" ref="H182">IFERROR(IF(COUNTIFS('Match Log'!$A$4:$A$1510,$A182,'Match Log'!$E$4:$E$1510,"Win")&gt;1,_xlfn.TEXTJOIN(" + ",TRUE(),IF(('Match Log'!$A$4:$A$1510=$A182)*('Match Log'!$E$4:$E$1510="Loss"),'Match Log'!$D$4:$D$1510,"")),IF($E182=2,LOOKUP(2,1/(('Match Log'!$A$4:$A$1510=$A182)*('Match Log'!$E$4:$E$1510="Loss")),'Match Log'!$D$4:$D$1510),"the field")),"")</f>
        <v>Simon</v>
      </c>
      <c r="I182">
        <f t="shared" si="24"/>
        <v>-1.5799999999999999E-4</v>
      </c>
      <c r="J182">
        <v>158</v>
      </c>
      <c r="K182">
        <f>IF($J182&gt;MAX('Match Log'!$A$4:$A$1510),NA(),IFERROR(LOOKUP(2,1/(('Match Log'!$D$4:$D$1510=$K$24)*('Match Log'!$A$4:$A$1510&lt;=$J182)),'Match Log'!$N$4:$N$1510),NA()))</f>
        <v>1040.1422573837137</v>
      </c>
      <c r="L182">
        <f>IF($J182&gt;MAX('Match Log'!$A$4:$A$1510),NA(),IFERROR(LOOKUP(2,1/(('Match Log'!$D$4:$D$1510=$L$24)*('Match Log'!$A$4:$A$1510&lt;=$J182)),'Match Log'!$N$4:$N$1510),NA()))</f>
        <v>1029.5175965335138</v>
      </c>
      <c r="M182">
        <f>IF($J182&gt;MAX('Match Log'!$A$4:$A$1510),NA(),IFERROR(LOOKUP(2,1/(('Match Log'!$D$4:$D$1510=$M$24)*('Match Log'!$A$4:$A$1510&lt;=$J182)),'Match Log'!$N$4:$N$1510),NA()))</f>
        <v>1041.9075825481382</v>
      </c>
      <c r="N182">
        <f>IF($J182&gt;MAX('Match Log'!$A$4:$A$1510),NA(),IFERROR(LOOKUP(2,1/(('Match Log'!$D$4:$D$1510=$N$24)*('Match Log'!$A$4:$A$1510&lt;=$J182)),'Match Log'!$N$4:$N$1510),NA()))</f>
        <v>973.19705892757202</v>
      </c>
      <c r="O182">
        <f>IF($J182&gt;MAX('Match Log'!$A$4:$A$1510),NA(),IFERROR(LOOKUP(2,1/(('Match Log'!$D$4:$D$1510=$O$24)*('Match Log'!$A$4:$A$1510&lt;=$J182)),'Match Log'!$N$4:$N$1510),NA()))</f>
        <v>1063.3497487715442</v>
      </c>
      <c r="P182">
        <f>IF($J182&gt;MAX('Match Log'!$A$4:$A$1510),NA(),IFERROR(LOOKUP(2,1/(('Match Log'!$D$4:$D$1510=$P$24)*('Match Log'!$A$4:$A$1510&lt;=$J182)),'Match Log'!$N$4:$N$1510),NA()))</f>
        <v>1124.7994137993414</v>
      </c>
      <c r="Q182">
        <f>IF($J182&gt;MAX('Match Log'!$A$4:$A$1510),NA(),IFERROR(LOOKUP(2,1/(('Match Log'!$D$4:$D$1510=$Q$24)*('Match Log'!$A$4:$A$1510&lt;=$J182)),'Match Log'!$N$4:$N$1510),NA()))</f>
        <v>1060.3667074371201</v>
      </c>
      <c r="R182">
        <f>IF($J182&gt;MAX('Match Log'!$A$4:$A$1510),NA(),IFERROR(LOOKUP(2,1/(('Match Log'!$D$4:$D$1510=$R$24)*('Match Log'!$A$4:$A$1510&lt;=$J182)),'Match Log'!$N$4:$N$1510),NA()))</f>
        <v>1029.4526731850108</v>
      </c>
      <c r="S182">
        <f>IF($J182&gt;MAX('Match Log'!$A$4:$A$1510),NA(),IFERROR(LOOKUP(2,1/(('Match Log'!$D$4:$D$1510=$S$24)*('Match Log'!$A$4:$A$1510&lt;=$J182)),'Match Log'!$N$4:$N$1510),NA()))</f>
        <v>1241.7029363250533</v>
      </c>
      <c r="T182">
        <f>IF($J182&gt;MAX('Match Log'!$A$4:$A$1510),NA(),IFERROR(LOOKUP(2,1/(('Match Log'!$D$4:$D$1510=$T$24)*('Match Log'!$A$4:$A$1510&lt;=$J182)),'Match Log'!$N$4:$N$1510),NA()))</f>
        <v>893.15761519837804</v>
      </c>
      <c r="U182">
        <f>IF($J182&gt;MAX('Match Log'!$A$4:$A$1510),NA(),IFERROR(LOOKUP(2,1/(('Match Log'!$D$4:$D$1510=$U$24)*('Match Log'!$A$4:$A$1510&lt;=$J182)),'Match Log'!$N$4:$N$1510),NA()))</f>
        <v>1062.8275894279936</v>
      </c>
      <c r="V182">
        <f>IF($J182&gt;MAX('Match Log'!$A$4:$A$1510),NA(),IFERROR(LOOKUP(2,1/(('Match Log'!$D$4:$D$1510=$V$24)*('Match Log'!$A$4:$A$1510&lt;=$J182)),'Match Log'!$N$4:$N$1510),NA()))</f>
        <v>1009.152401464836</v>
      </c>
      <c r="W182">
        <f>IF($J182&gt;MAX('Match Log'!$A$4:$A$1510),NA(),IFERROR(LOOKUP(2,1/(('Match Log'!$D$4:$D$1510=$W$24)*('Match Log'!$A$4:$A$1510&lt;=$J182)),'Match Log'!$N$4:$N$1510),NA()))</f>
        <v>1052.4264189977837</v>
      </c>
      <c r="X182" t="e">
        <f>IF($J182&gt;MAX('Match Log'!$A$4:$A$1510),NA(),IFERROR(LOOKUP(2,1/(('Match Log'!$D$4:$D$1510=$X$24)*('Match Log'!$A$4:$A$1510&lt;=$J182)),'Match Log'!$N$4:$N$1510),NA()))</f>
        <v>#N/A</v>
      </c>
      <c r="Y182" t="str">
        <f t="shared" ca="1" si="25"/>
        <v/>
      </c>
    </row>
    <row r="183" spans="1:25" x14ac:dyDescent="0.2">
      <c r="A183">
        <v>159</v>
      </c>
      <c r="B183" s="138">
        <f>IFERROR(INDEX('Match Log'!$B$4:$B$1510,MATCH($A183,'Match Log'!$A$4:$A$1510,0)),"")</f>
        <v>46217</v>
      </c>
      <c r="C183" t="str">
        <f>IFERROR(INDEX('Match Log'!$C$4:$C$1510,MATCH($A183,'Match Log'!$A$4:$A$1510,0)),"")</f>
        <v>Mario Golf</v>
      </c>
      <c r="D183" t="str">
        <f t="array" ref="D183">IFERROR(_xlfn.TEXTJOIN(" + ",TRUE(),IF(('Match Log'!$A$4:$A$1510=$A183)*('Match Log'!$E$4:$E$1510="Win"),'Match Log'!$D$4:$D$1510,"")),IFERROR(LOOKUP(2,1/(('Match Log'!$A$4:$A$1510=$A183)*('Match Log'!$E$4:$E$1510="Win")),'Match Log'!$D$4:$D$1510),""))</f>
        <v>Shawn</v>
      </c>
      <c r="E183" s="139">
        <f>IFERROR(INDEX('Match Log'!$F$4:$F$1510,MATCH($A183,'Match Log'!$A$4:$A$1510,0)),"")</f>
        <v>2</v>
      </c>
      <c r="F183">
        <f>IFERROR(SUMIFS('Match Log'!$I$4:$I$1510,'Match Log'!$A$4:$A$1510,$A183,'Match Log'!$E$4:$E$1510,"Win"),"")</f>
        <v>0.56000000000000005</v>
      </c>
      <c r="G183">
        <f t="shared" si="23"/>
        <v>-0.12000000000000011</v>
      </c>
      <c r="H183" t="str">
        <f t="array" ref="H183">IFERROR(IF(COUNTIFS('Match Log'!$A$4:$A$1510,$A183,'Match Log'!$E$4:$E$1510,"Win")&gt;1,_xlfn.TEXTJOIN(" + ",TRUE(),IF(('Match Log'!$A$4:$A$1510=$A183)*('Match Log'!$E$4:$E$1510="Loss"),'Match Log'!$D$4:$D$1510,"")),IF($E183=2,LOOKUP(2,1/(('Match Log'!$A$4:$A$1510=$A183)*('Match Log'!$E$4:$E$1510="Loss")),'Match Log'!$D$4:$D$1510),"the field")),"")</f>
        <v>Oscar</v>
      </c>
      <c r="I183">
        <f t="shared" si="24"/>
        <v>-0.12015900000000011</v>
      </c>
      <c r="J183">
        <v>159</v>
      </c>
      <c r="K183">
        <f>IF($J183&gt;MAX('Match Log'!$A$4:$A$1510),NA(),IFERROR(LOOKUP(2,1/(('Match Log'!$D$4:$D$1510=$K$24)*('Match Log'!$A$4:$A$1510&lt;=$J183)),'Match Log'!$N$4:$N$1510),NA()))</f>
        <v>1040.1422573837137</v>
      </c>
      <c r="L183">
        <f>IF($J183&gt;MAX('Match Log'!$A$4:$A$1510),NA(),IFERROR(LOOKUP(2,1/(('Match Log'!$D$4:$D$1510=$L$24)*('Match Log'!$A$4:$A$1510&lt;=$J183)),'Match Log'!$N$4:$N$1510),NA()))</f>
        <v>1029.5175965335138</v>
      </c>
      <c r="M183">
        <f>IF($J183&gt;MAX('Match Log'!$A$4:$A$1510),NA(),IFERROR(LOOKUP(2,1/(('Match Log'!$D$4:$D$1510=$M$24)*('Match Log'!$A$4:$A$1510&lt;=$J183)),'Match Log'!$N$4:$N$1510),NA()))</f>
        <v>1041.9075825481382</v>
      </c>
      <c r="N183">
        <f>IF($J183&gt;MAX('Match Log'!$A$4:$A$1510),NA(),IFERROR(LOOKUP(2,1/(('Match Log'!$D$4:$D$1510=$N$24)*('Match Log'!$A$4:$A$1510&lt;=$J183)),'Match Log'!$N$4:$N$1510),NA()))</f>
        <v>973.19705892757202</v>
      </c>
      <c r="O183">
        <f>IF($J183&gt;MAX('Match Log'!$A$4:$A$1510),NA(),IFERROR(LOOKUP(2,1/(('Match Log'!$D$4:$D$1510=$O$24)*('Match Log'!$A$4:$A$1510&lt;=$J183)),'Match Log'!$N$4:$N$1510),NA()))</f>
        <v>1063.3497487715442</v>
      </c>
      <c r="P183">
        <f>IF($J183&gt;MAX('Match Log'!$A$4:$A$1510),NA(),IFERROR(LOOKUP(2,1/(('Match Log'!$D$4:$D$1510=$P$24)*('Match Log'!$A$4:$A$1510&lt;=$J183)),'Match Log'!$N$4:$N$1510),NA()))</f>
        <v>1146.22301357008</v>
      </c>
      <c r="Q183">
        <f>IF($J183&gt;MAX('Match Log'!$A$4:$A$1510),NA(),IFERROR(LOOKUP(2,1/(('Match Log'!$D$4:$D$1510=$Q$24)*('Match Log'!$A$4:$A$1510&lt;=$J183)),'Match Log'!$N$4:$N$1510),NA()))</f>
        <v>1060.3667074371201</v>
      </c>
      <c r="R183">
        <f>IF($J183&gt;MAX('Match Log'!$A$4:$A$1510),NA(),IFERROR(LOOKUP(2,1/(('Match Log'!$D$4:$D$1510=$R$24)*('Match Log'!$A$4:$A$1510&lt;=$J183)),'Match Log'!$N$4:$N$1510),NA()))</f>
        <v>1029.4526731850108</v>
      </c>
      <c r="S183">
        <f>IF($J183&gt;MAX('Match Log'!$A$4:$A$1510),NA(),IFERROR(LOOKUP(2,1/(('Match Log'!$D$4:$D$1510=$S$24)*('Match Log'!$A$4:$A$1510&lt;=$J183)),'Match Log'!$N$4:$N$1510),NA()))</f>
        <v>1241.7029363250533</v>
      </c>
      <c r="T183">
        <f>IF($J183&gt;MAX('Match Log'!$A$4:$A$1510),NA(),IFERROR(LOOKUP(2,1/(('Match Log'!$D$4:$D$1510=$T$24)*('Match Log'!$A$4:$A$1510&lt;=$J183)),'Match Log'!$N$4:$N$1510),NA()))</f>
        <v>893.15761519837804</v>
      </c>
      <c r="U183">
        <f>IF($J183&gt;MAX('Match Log'!$A$4:$A$1510),NA(),IFERROR(LOOKUP(2,1/(('Match Log'!$D$4:$D$1510=$U$24)*('Match Log'!$A$4:$A$1510&lt;=$J183)),'Match Log'!$N$4:$N$1510),NA()))</f>
        <v>1041.4039896572551</v>
      </c>
      <c r="V183">
        <f>IF($J183&gt;MAX('Match Log'!$A$4:$A$1510),NA(),IFERROR(LOOKUP(2,1/(('Match Log'!$D$4:$D$1510=$V$24)*('Match Log'!$A$4:$A$1510&lt;=$J183)),'Match Log'!$N$4:$N$1510),NA()))</f>
        <v>1009.152401464836</v>
      </c>
      <c r="W183">
        <f>IF($J183&gt;MAX('Match Log'!$A$4:$A$1510),NA(),IFERROR(LOOKUP(2,1/(('Match Log'!$D$4:$D$1510=$W$24)*('Match Log'!$A$4:$A$1510&lt;=$J183)),'Match Log'!$N$4:$N$1510),NA()))</f>
        <v>1052.4264189977837</v>
      </c>
      <c r="X183" t="e">
        <f>IF($J183&gt;MAX('Match Log'!$A$4:$A$1510),NA(),IFERROR(LOOKUP(2,1/(('Match Log'!$D$4:$D$1510=$X$24)*('Match Log'!$A$4:$A$1510&lt;=$J183)),'Match Log'!$N$4:$N$1510),NA()))</f>
        <v>#N/A</v>
      </c>
      <c r="Y183" t="str">
        <f t="shared" ca="1" si="25"/>
        <v/>
      </c>
    </row>
    <row r="184" spans="1:25" x14ac:dyDescent="0.2">
      <c r="A184">
        <v>160</v>
      </c>
      <c r="B184" s="138">
        <f>IFERROR(INDEX('Match Log'!$B$4:$B$1510,MATCH($A184,'Match Log'!$A$4:$A$1510,0)),"")</f>
        <v>46217</v>
      </c>
      <c r="C184" t="str">
        <f>IFERROR(INDEX('Match Log'!$C$4:$C$1510,MATCH($A184,'Match Log'!$A$4:$A$1510,0)),"")</f>
        <v>Mario Golf</v>
      </c>
      <c r="D184" t="str">
        <f t="array" ref="D184">IFERROR(_xlfn.TEXTJOIN(" + ",TRUE(),IF(('Match Log'!$A$4:$A$1510=$A184)*('Match Log'!$E$4:$E$1510="Win"),'Match Log'!$D$4:$D$1510,"")),IFERROR(LOOKUP(2,1/(('Match Log'!$A$4:$A$1510=$A184)*('Match Log'!$E$4:$E$1510="Win")),'Match Log'!$D$4:$D$1510),""))</f>
        <v>Oscar</v>
      </c>
      <c r="E184" s="139">
        <f>IFERROR(INDEX('Match Log'!$F$4:$F$1510,MATCH($A184,'Match Log'!$A$4:$A$1510,0)),"")</f>
        <v>3</v>
      </c>
      <c r="F184">
        <f>IFERROR(SUMIFS('Match Log'!$I$4:$I$1510,'Match Log'!$A$4:$A$1510,$A184,'Match Log'!$E$4:$E$1510,"Win"),"")</f>
        <v>0.25641025641025639</v>
      </c>
      <c r="G184">
        <f t="shared" si="23"/>
        <v>0.23076923076923084</v>
      </c>
      <c r="H184" t="str">
        <f t="array" ref="H184">IFERROR(IF(COUNTIFS('Match Log'!$A$4:$A$1510,$A184,'Match Log'!$E$4:$E$1510,"Win")&gt;1,_xlfn.TEXTJOIN(" + ",TRUE(),IF(('Match Log'!$A$4:$A$1510=$A184)*('Match Log'!$E$4:$E$1510="Loss"),'Match Log'!$D$4:$D$1510,"")),IF($E184=2,LOOKUP(2,1/(('Match Log'!$A$4:$A$1510=$A184)*('Match Log'!$E$4:$E$1510="Loss")),'Match Log'!$D$4:$D$1510),"the field")),"")</f>
        <v>the field</v>
      </c>
      <c r="I184">
        <f t="shared" si="24"/>
        <v>0.23060923076923084</v>
      </c>
      <c r="J184">
        <v>160</v>
      </c>
      <c r="K184">
        <f>IF($J184&gt;MAX('Match Log'!$A$4:$A$1510),NA(),IFERROR(LOOKUP(2,1/(('Match Log'!$D$4:$D$1510=$K$24)*('Match Log'!$A$4:$A$1510&lt;=$J184)),'Match Log'!$N$4:$N$1510),NA()))</f>
        <v>1040.1422573837137</v>
      </c>
      <c r="L184">
        <f>IF($J184&gt;MAX('Match Log'!$A$4:$A$1510),NA(),IFERROR(LOOKUP(2,1/(('Match Log'!$D$4:$D$1510=$L$24)*('Match Log'!$A$4:$A$1510&lt;=$J184)),'Match Log'!$N$4:$N$1510),NA()))</f>
        <v>1029.5175965335138</v>
      </c>
      <c r="M184">
        <f>IF($J184&gt;MAX('Match Log'!$A$4:$A$1510),NA(),IFERROR(LOOKUP(2,1/(('Match Log'!$D$4:$D$1510=$M$24)*('Match Log'!$A$4:$A$1510&lt;=$J184)),'Match Log'!$N$4:$N$1510),NA()))</f>
        <v>1041.9075825481382</v>
      </c>
      <c r="N184">
        <f>IF($J184&gt;MAX('Match Log'!$A$4:$A$1510),NA(),IFERROR(LOOKUP(2,1/(('Match Log'!$D$4:$D$1510=$N$24)*('Match Log'!$A$4:$A$1510&lt;=$J184)),'Match Log'!$N$4:$N$1510),NA()))</f>
        <v>973.19705892757202</v>
      </c>
      <c r="O184">
        <f>IF($J184&gt;MAX('Match Log'!$A$4:$A$1510),NA(),IFERROR(LOOKUP(2,1/(('Match Log'!$D$4:$D$1510=$O$24)*('Match Log'!$A$4:$A$1510&lt;=$J184)),'Match Log'!$N$4:$N$1510),NA()))</f>
        <v>1063.3497487715442</v>
      </c>
      <c r="P184">
        <f>IF($J184&gt;MAX('Match Log'!$A$4:$A$1510),NA(),IFERROR(LOOKUP(2,1/(('Match Log'!$D$4:$D$1510=$P$24)*('Match Log'!$A$4:$A$1510&lt;=$J184)),'Match Log'!$N$4:$N$1510),NA()))</f>
        <v>1134.0984282323002</v>
      </c>
      <c r="Q184">
        <f>IF($J184&gt;MAX('Match Log'!$A$4:$A$1510),NA(),IFERROR(LOOKUP(2,1/(('Match Log'!$D$4:$D$1510=$Q$24)*('Match Log'!$A$4:$A$1510&lt;=$J184)),'Match Log'!$N$4:$N$1510),NA()))</f>
        <v>1060.3667074371201</v>
      </c>
      <c r="R184">
        <f>IF($J184&gt;MAX('Match Log'!$A$4:$A$1510),NA(),IFERROR(LOOKUP(2,1/(('Match Log'!$D$4:$D$1510=$R$24)*('Match Log'!$A$4:$A$1510&lt;=$J184)),'Match Log'!$N$4:$N$1510),NA()))</f>
        <v>1022.8907433573827</v>
      </c>
      <c r="S184">
        <f>IF($J184&gt;MAX('Match Log'!$A$4:$A$1510),NA(),IFERROR(LOOKUP(2,1/(('Match Log'!$D$4:$D$1510=$S$24)*('Match Log'!$A$4:$A$1510&lt;=$J184)),'Match Log'!$N$4:$N$1510),NA()))</f>
        <v>1241.7029363250533</v>
      </c>
      <c r="T184">
        <f>IF($J184&gt;MAX('Match Log'!$A$4:$A$1510),NA(),IFERROR(LOOKUP(2,1/(('Match Log'!$D$4:$D$1510=$T$24)*('Match Log'!$A$4:$A$1510&lt;=$J184)),'Match Log'!$N$4:$N$1510),NA()))</f>
        <v>893.15761519837804</v>
      </c>
      <c r="U184">
        <f>IF($J184&gt;MAX('Match Log'!$A$4:$A$1510),NA(),IFERROR(LOOKUP(2,1/(('Match Log'!$D$4:$D$1510=$U$24)*('Match Log'!$A$4:$A$1510&lt;=$J184)),'Match Log'!$N$4:$N$1510),NA()))</f>
        <v>1069.090504822663</v>
      </c>
      <c r="V184">
        <f>IF($J184&gt;MAX('Match Log'!$A$4:$A$1510),NA(),IFERROR(LOOKUP(2,1/(('Match Log'!$D$4:$D$1510=$V$24)*('Match Log'!$A$4:$A$1510&lt;=$J184)),'Match Log'!$N$4:$N$1510),NA()))</f>
        <v>1009.152401464836</v>
      </c>
      <c r="W184">
        <f>IF($J184&gt;MAX('Match Log'!$A$4:$A$1510),NA(),IFERROR(LOOKUP(2,1/(('Match Log'!$D$4:$D$1510=$W$24)*('Match Log'!$A$4:$A$1510&lt;=$J184)),'Match Log'!$N$4:$N$1510),NA()))</f>
        <v>1052.4264189977837</v>
      </c>
      <c r="X184" t="e">
        <f>IF($J184&gt;MAX('Match Log'!$A$4:$A$1510),NA(),IFERROR(LOOKUP(2,1/(('Match Log'!$D$4:$D$1510=$X$24)*('Match Log'!$A$4:$A$1510&lt;=$J184)),'Match Log'!$N$4:$N$1510),NA()))</f>
        <v>#N/A</v>
      </c>
      <c r="Y184" t="str">
        <f t="shared" ca="1" si="25"/>
        <v/>
      </c>
    </row>
    <row r="185" spans="1:25" x14ac:dyDescent="0.2">
      <c r="A185">
        <v>161</v>
      </c>
      <c r="B185" s="138">
        <f>IFERROR(INDEX('Match Log'!$B$4:$B$1510,MATCH($A185,'Match Log'!$A$4:$A$1510,0)),"")</f>
        <v>46219</v>
      </c>
      <c r="C185" t="str">
        <f>IFERROR(INDEX('Match Log'!$C$4:$C$1510,MATCH($A185,'Match Log'!$A$4:$A$1510,0)),"")</f>
        <v>Mario Golf</v>
      </c>
      <c r="D185" t="str">
        <f t="array" ref="D185">IFERROR(_xlfn.TEXTJOIN(" + ",TRUE(),IF(('Match Log'!$A$4:$A$1510=$A185)*('Match Log'!$E$4:$E$1510="Win"),'Match Log'!$D$4:$D$1510,"")),IFERROR(LOOKUP(2,1/(('Match Log'!$A$4:$A$1510=$A185)*('Match Log'!$E$4:$E$1510="Win")),'Match Log'!$D$4:$D$1510),""))</f>
        <v>Shawn</v>
      </c>
      <c r="E185" s="139">
        <f>IFERROR(INDEX('Match Log'!$F$4:$F$1510,MATCH($A185,'Match Log'!$A$4:$A$1510,0)),"")</f>
        <v>4</v>
      </c>
      <c r="F185">
        <f>IFERROR(SUMIFS('Match Log'!$I$4:$I$1510,'Match Log'!$A$4:$A$1510,$A185,'Match Log'!$E$4:$E$1510,"Win"),"")</f>
        <v>0.2513089005235602</v>
      </c>
      <c r="G185">
        <f t="shared" si="23"/>
        <v>-5.2356020942407877E-3</v>
      </c>
      <c r="H185" t="str">
        <f t="array" ref="H185">IFERROR(IF(COUNTIFS('Match Log'!$A$4:$A$1510,$A185,'Match Log'!$E$4:$E$1510,"Win")&gt;1,_xlfn.TEXTJOIN(" + ",TRUE(),IF(('Match Log'!$A$4:$A$1510=$A185)*('Match Log'!$E$4:$E$1510="Loss"),'Match Log'!$D$4:$D$1510,"")),IF($E185=2,LOOKUP(2,1/(('Match Log'!$A$4:$A$1510=$A185)*('Match Log'!$E$4:$E$1510="Loss")),'Match Log'!$D$4:$D$1510),"the field")),"")</f>
        <v>the field</v>
      </c>
      <c r="I185">
        <f t="shared" si="24"/>
        <v>-5.3966020942407874E-3</v>
      </c>
      <c r="J185">
        <v>161</v>
      </c>
      <c r="K185">
        <f>IF($J185&gt;MAX('Match Log'!$A$4:$A$1510),NA(),IFERROR(LOOKUP(2,1/(('Match Log'!$D$4:$D$1510=$K$24)*('Match Log'!$A$4:$A$1510&lt;=$J185)),'Match Log'!$N$4:$N$1510),NA()))</f>
        <v>1040.1422573837137</v>
      </c>
      <c r="L185">
        <f>IF($J185&gt;MAX('Match Log'!$A$4:$A$1510),NA(),IFERROR(LOOKUP(2,1/(('Match Log'!$D$4:$D$1510=$L$24)*('Match Log'!$A$4:$A$1510&lt;=$J185)),'Match Log'!$N$4:$N$1510),NA()))</f>
        <v>1029.5175965335138</v>
      </c>
      <c r="M185">
        <f>IF($J185&gt;MAX('Match Log'!$A$4:$A$1510),NA(),IFERROR(LOOKUP(2,1/(('Match Log'!$D$4:$D$1510=$M$24)*('Match Log'!$A$4:$A$1510&lt;=$J185)),'Match Log'!$N$4:$N$1510),NA()))</f>
        <v>1036.7041951409103</v>
      </c>
      <c r="N185">
        <f>IF($J185&gt;MAX('Match Log'!$A$4:$A$1510),NA(),IFERROR(LOOKUP(2,1/(('Match Log'!$D$4:$D$1510=$N$24)*('Match Log'!$A$4:$A$1510&lt;=$J185)),'Match Log'!$N$4:$N$1510),NA()))</f>
        <v>973.19705892757202</v>
      </c>
      <c r="O185">
        <f>IF($J185&gt;MAX('Match Log'!$A$4:$A$1510),NA(),IFERROR(LOOKUP(2,1/(('Match Log'!$D$4:$D$1510=$O$24)*('Match Log'!$A$4:$A$1510&lt;=$J185)),'Match Log'!$N$4:$N$1510),NA()))</f>
        <v>1063.3497487715442</v>
      </c>
      <c r="P185">
        <f>IF($J185&gt;MAX('Match Log'!$A$4:$A$1510),NA(),IFERROR(LOOKUP(2,1/(('Match Log'!$D$4:$D$1510=$P$24)*('Match Log'!$A$4:$A$1510&lt;=$J185)),'Match Log'!$N$4:$N$1510),NA()))</f>
        <v>1162.6558018151154</v>
      </c>
      <c r="Q185">
        <f>IF($J185&gt;MAX('Match Log'!$A$4:$A$1510),NA(),IFERROR(LOOKUP(2,1/(('Match Log'!$D$4:$D$1510=$Q$24)*('Match Log'!$A$4:$A$1510&lt;=$J185)),'Match Log'!$N$4:$N$1510),NA()))</f>
        <v>1056.6083712493314</v>
      </c>
      <c r="R185">
        <f>IF($J185&gt;MAX('Match Log'!$A$4:$A$1510),NA(),IFERROR(LOOKUP(2,1/(('Match Log'!$D$4:$D$1510=$R$24)*('Match Log'!$A$4:$A$1510&lt;=$J185)),'Match Log'!$N$4:$N$1510),NA()))</f>
        <v>1022.8907433573827</v>
      </c>
      <c r="S185">
        <f>IF($J185&gt;MAX('Match Log'!$A$4:$A$1510),NA(),IFERROR(LOOKUP(2,1/(('Match Log'!$D$4:$D$1510=$S$24)*('Match Log'!$A$4:$A$1510&lt;=$J185)),'Match Log'!$N$4:$N$1510),NA()))</f>
        <v>1241.7029363250533</v>
      </c>
      <c r="T185">
        <f>IF($J185&gt;MAX('Match Log'!$A$4:$A$1510),NA(),IFERROR(LOOKUP(2,1/(('Match Log'!$D$4:$D$1510=$T$24)*('Match Log'!$A$4:$A$1510&lt;=$J185)),'Match Log'!$N$4:$N$1510),NA()))</f>
        <v>893.15761519837804</v>
      </c>
      <c r="U185">
        <f>IF($J185&gt;MAX('Match Log'!$A$4:$A$1510),NA(),IFERROR(LOOKUP(2,1/(('Match Log'!$D$4:$D$1510=$U$24)*('Match Log'!$A$4:$A$1510&lt;=$J185)),'Match Log'!$N$4:$N$1510),NA()))</f>
        <v>1065.4948548348646</v>
      </c>
      <c r="V185">
        <f>IF($J185&gt;MAX('Match Log'!$A$4:$A$1510),NA(),IFERROR(LOOKUP(2,1/(('Match Log'!$D$4:$D$1510=$V$24)*('Match Log'!$A$4:$A$1510&lt;=$J185)),'Match Log'!$N$4:$N$1510),NA()))</f>
        <v>1009.152401464836</v>
      </c>
      <c r="W185">
        <f>IF($J185&gt;MAX('Match Log'!$A$4:$A$1510),NA(),IFERROR(LOOKUP(2,1/(('Match Log'!$D$4:$D$1510=$W$24)*('Match Log'!$A$4:$A$1510&lt;=$J185)),'Match Log'!$N$4:$N$1510),NA()))</f>
        <v>1052.4264189977837</v>
      </c>
      <c r="X185" t="e">
        <f>IF($J185&gt;MAX('Match Log'!$A$4:$A$1510),NA(),IFERROR(LOOKUP(2,1/(('Match Log'!$D$4:$D$1510=$X$24)*('Match Log'!$A$4:$A$1510&lt;=$J185)),'Match Log'!$N$4:$N$1510),NA()))</f>
        <v>#N/A</v>
      </c>
      <c r="Y185" t="str">
        <f t="shared" ca="1" si="25"/>
        <v/>
      </c>
    </row>
    <row r="186" spans="1:25" x14ac:dyDescent="0.2">
      <c r="A186">
        <v>162</v>
      </c>
      <c r="B186" s="138">
        <f>IFERROR(INDEX('Match Log'!$B$4:$B$1510,MATCH($A186,'Match Log'!$A$4:$A$1510,0)),"")</f>
        <v>46219</v>
      </c>
      <c r="C186" t="str">
        <f>IFERROR(INDEX('Match Log'!$C$4:$C$1510,MATCH($A186,'Match Log'!$A$4:$A$1510,0)),"")</f>
        <v>Mario Kart</v>
      </c>
      <c r="D186" t="str">
        <f t="array" ref="D186">IFERROR(_xlfn.TEXTJOIN(" + ",TRUE(),IF(('Match Log'!$A$4:$A$1510=$A186)*('Match Log'!$E$4:$E$1510="Win"),'Match Log'!$D$4:$D$1510,"")),IFERROR(LOOKUP(2,1/(('Match Log'!$A$4:$A$1510=$A186)*('Match Log'!$E$4:$E$1510="Win")),'Match Log'!$D$4:$D$1510),""))</f>
        <v>Chase</v>
      </c>
      <c r="E186" s="139">
        <f>IFERROR(INDEX('Match Log'!$F$4:$F$1510,MATCH($A186,'Match Log'!$A$4:$A$1510,0)),"")</f>
        <v>4</v>
      </c>
      <c r="F186">
        <f>IFERROR(SUMIFS('Match Log'!$I$4:$I$1510,'Match Log'!$A$4:$A$1510,$A186,'Match Log'!$E$4:$E$1510,"Win"),"")</f>
        <v>0.28125</v>
      </c>
      <c r="G186">
        <f t="shared" si="23"/>
        <v>-0.125</v>
      </c>
      <c r="H186" t="str">
        <f t="array" ref="H186">IFERROR(IF(COUNTIFS('Match Log'!$A$4:$A$1510,$A186,'Match Log'!$E$4:$E$1510,"Win")&gt;1,_xlfn.TEXTJOIN(" + ",TRUE(),IF(('Match Log'!$A$4:$A$1510=$A186)*('Match Log'!$E$4:$E$1510="Loss"),'Match Log'!$D$4:$D$1510,"")),IF($E186=2,LOOKUP(2,1/(('Match Log'!$A$4:$A$1510=$A186)*('Match Log'!$E$4:$E$1510="Loss")),'Match Log'!$D$4:$D$1510),"the field")),"")</f>
        <v>the field</v>
      </c>
      <c r="I186">
        <f t="shared" si="24"/>
        <v>-0.125162</v>
      </c>
      <c r="J186">
        <v>162</v>
      </c>
      <c r="K186">
        <f>IF($J186&gt;MAX('Match Log'!$A$4:$A$1510),NA(),IFERROR(LOOKUP(2,1/(('Match Log'!$D$4:$D$1510=$K$24)*('Match Log'!$A$4:$A$1510&lt;=$J186)),'Match Log'!$N$4:$N$1510),NA()))</f>
        <v>1040.1422573837137</v>
      </c>
      <c r="L186">
        <f>IF($J186&gt;MAX('Match Log'!$A$4:$A$1510),NA(),IFERROR(LOOKUP(2,1/(('Match Log'!$D$4:$D$1510=$L$24)*('Match Log'!$A$4:$A$1510&lt;=$J186)),'Match Log'!$N$4:$N$1510),NA()))</f>
        <v>1029.5175965335138</v>
      </c>
      <c r="M186">
        <f>IF($J186&gt;MAX('Match Log'!$A$4:$A$1510),NA(),IFERROR(LOOKUP(2,1/(('Match Log'!$D$4:$D$1510=$M$24)*('Match Log'!$A$4:$A$1510&lt;=$J186)),'Match Log'!$N$4:$N$1510),NA()))</f>
        <v>1065.488687696035</v>
      </c>
      <c r="N186">
        <f>IF($J186&gt;MAX('Match Log'!$A$4:$A$1510),NA(),IFERROR(LOOKUP(2,1/(('Match Log'!$D$4:$D$1510=$N$24)*('Match Log'!$A$4:$A$1510&lt;=$J186)),'Match Log'!$N$4:$N$1510),NA()))</f>
        <v>973.19705892757202</v>
      </c>
      <c r="O186">
        <f>IF($J186&gt;MAX('Match Log'!$A$4:$A$1510),NA(),IFERROR(LOOKUP(2,1/(('Match Log'!$D$4:$D$1510=$O$24)*('Match Log'!$A$4:$A$1510&lt;=$J186)),'Match Log'!$N$4:$N$1510),NA()))</f>
        <v>1063.3497487715442</v>
      </c>
      <c r="P186">
        <f>IF($J186&gt;MAX('Match Log'!$A$4:$A$1510),NA(),IFERROR(LOOKUP(2,1/(('Match Log'!$D$4:$D$1510=$P$24)*('Match Log'!$A$4:$A$1510&lt;=$J186)),'Match Log'!$N$4:$N$1510),NA()))</f>
        <v>1160.9394220743627</v>
      </c>
      <c r="Q186">
        <f>IF($J186&gt;MAX('Match Log'!$A$4:$A$1510),NA(),IFERROR(LOOKUP(2,1/(('Match Log'!$D$4:$D$1510=$Q$24)*('Match Log'!$A$4:$A$1510&lt;=$J186)),'Match Log'!$N$4:$N$1510),NA()))</f>
        <v>1051.594831345267</v>
      </c>
      <c r="R186">
        <f>IF($J186&gt;MAX('Match Log'!$A$4:$A$1510),NA(),IFERROR(LOOKUP(2,1/(('Match Log'!$D$4:$D$1510=$R$24)*('Match Log'!$A$4:$A$1510&lt;=$J186)),'Match Log'!$N$4:$N$1510),NA()))</f>
        <v>1022.8907433573827</v>
      </c>
      <c r="S186">
        <f>IF($J186&gt;MAX('Match Log'!$A$4:$A$1510),NA(),IFERROR(LOOKUP(2,1/(('Match Log'!$D$4:$D$1510=$S$24)*('Match Log'!$A$4:$A$1510&lt;=$J186)),'Match Log'!$N$4:$N$1510),NA()))</f>
        <v>1241.7029363250533</v>
      </c>
      <c r="T186">
        <f>IF($J186&gt;MAX('Match Log'!$A$4:$A$1510),NA(),IFERROR(LOOKUP(2,1/(('Match Log'!$D$4:$D$1510=$T$24)*('Match Log'!$A$4:$A$1510&lt;=$J186)),'Match Log'!$N$4:$N$1510),NA()))</f>
        <v>893.15761519837804</v>
      </c>
      <c r="U186">
        <f>IF($J186&gt;MAX('Match Log'!$A$4:$A$1510),NA(),IFERROR(LOOKUP(2,1/(('Match Log'!$D$4:$D$1510=$U$24)*('Match Log'!$A$4:$A$1510&lt;=$J186)),'Match Log'!$N$4:$N$1510),NA()))</f>
        <v>1059.440281924557</v>
      </c>
      <c r="V186">
        <f>IF($J186&gt;MAX('Match Log'!$A$4:$A$1510),NA(),IFERROR(LOOKUP(2,1/(('Match Log'!$D$4:$D$1510=$V$24)*('Match Log'!$A$4:$A$1510&lt;=$J186)),'Match Log'!$N$4:$N$1510),NA()))</f>
        <v>1009.152401464836</v>
      </c>
      <c r="W186">
        <f>IF($J186&gt;MAX('Match Log'!$A$4:$A$1510),NA(),IFERROR(LOOKUP(2,1/(('Match Log'!$D$4:$D$1510=$W$24)*('Match Log'!$A$4:$A$1510&lt;=$J186)),'Match Log'!$N$4:$N$1510),NA()))</f>
        <v>1052.4264189977837</v>
      </c>
      <c r="X186" t="e">
        <f>IF($J186&gt;MAX('Match Log'!$A$4:$A$1510),NA(),IFERROR(LOOKUP(2,1/(('Match Log'!$D$4:$D$1510=$X$24)*('Match Log'!$A$4:$A$1510&lt;=$J186)),'Match Log'!$N$4:$N$1510),NA()))</f>
        <v>#N/A</v>
      </c>
      <c r="Y186" t="str">
        <f t="shared" ca="1" si="25"/>
        <v/>
      </c>
    </row>
    <row r="187" spans="1:25" x14ac:dyDescent="0.2">
      <c r="A187">
        <v>163</v>
      </c>
      <c r="B187" s="138">
        <f>IFERROR(INDEX('Match Log'!$B$4:$B$1510,MATCH($A187,'Match Log'!$A$4:$A$1510,0)),"")</f>
        <v>46220</v>
      </c>
      <c r="C187" t="str">
        <f>IFERROR(INDEX('Match Log'!$C$4:$C$1510,MATCH($A187,'Match Log'!$A$4:$A$1510,0)),"")</f>
        <v>Call of Duty</v>
      </c>
      <c r="D187" t="str">
        <f t="array" ref="D187">IFERROR(_xlfn.TEXTJOIN(" + ",TRUE(),IF(('Match Log'!$A$4:$A$1510=$A187)*('Match Log'!$E$4:$E$1510="Win"),'Match Log'!$D$4:$D$1510,"")),IFERROR(LOOKUP(2,1/(('Match Log'!$A$4:$A$1510=$A187)*('Match Log'!$E$4:$E$1510="Win")),'Match Log'!$D$4:$D$1510),""))</f>
        <v>Daniel (Ferret)</v>
      </c>
      <c r="E187" s="139">
        <f>IFERROR(INDEX('Match Log'!$F$4:$F$1510,MATCH($A187,'Match Log'!$A$4:$A$1510,0)),"")</f>
        <v>2</v>
      </c>
      <c r="F187">
        <f>IFERROR(SUMIFS('Match Log'!$I$4:$I$1510,'Match Log'!$A$4:$A$1510,$A187,'Match Log'!$E$4:$E$1510,"Win"),"")</f>
        <v>0.6</v>
      </c>
      <c r="G187">
        <f t="shared" si="23"/>
        <v>-0.19999999999999996</v>
      </c>
      <c r="H187" t="str">
        <f t="array" ref="H187">IFERROR(IF(COUNTIFS('Match Log'!$A$4:$A$1510,$A187,'Match Log'!$E$4:$E$1510,"Win")&gt;1,_xlfn.TEXTJOIN(" + ",TRUE(),IF(('Match Log'!$A$4:$A$1510=$A187)*('Match Log'!$E$4:$E$1510="Loss"),'Match Log'!$D$4:$D$1510,"")),IF($E187=2,LOOKUP(2,1/(('Match Log'!$A$4:$A$1510=$A187)*('Match Log'!$E$4:$E$1510="Loss")),'Match Log'!$D$4:$D$1510),"the field")),"")</f>
        <v>Aaron</v>
      </c>
      <c r="I187">
        <f t="shared" si="24"/>
        <v>-0.20016299999999995</v>
      </c>
      <c r="J187">
        <v>163</v>
      </c>
      <c r="K187">
        <f>IF($J187&gt;MAX('Match Log'!$A$4:$A$1510),NA(),IFERROR(LOOKUP(2,1/(('Match Log'!$D$4:$D$1510=$K$24)*('Match Log'!$A$4:$A$1510&lt;=$J187)),'Match Log'!$N$4:$N$1510),NA()))</f>
        <v>1019.1856997518938</v>
      </c>
      <c r="L187">
        <f>IF($J187&gt;MAX('Match Log'!$A$4:$A$1510),NA(),IFERROR(LOOKUP(2,1/(('Match Log'!$D$4:$D$1510=$L$24)*('Match Log'!$A$4:$A$1510&lt;=$J187)),'Match Log'!$N$4:$N$1510),NA()))</f>
        <v>1029.5175965335138</v>
      </c>
      <c r="M187">
        <f>IF($J187&gt;MAX('Match Log'!$A$4:$A$1510),NA(),IFERROR(LOOKUP(2,1/(('Match Log'!$D$4:$D$1510=$M$24)*('Match Log'!$A$4:$A$1510&lt;=$J187)),'Match Log'!$N$4:$N$1510),NA()))</f>
        <v>1065.488687696035</v>
      </c>
      <c r="N187">
        <f>IF($J187&gt;MAX('Match Log'!$A$4:$A$1510),NA(),IFERROR(LOOKUP(2,1/(('Match Log'!$D$4:$D$1510=$N$24)*('Match Log'!$A$4:$A$1510&lt;=$J187)),'Match Log'!$N$4:$N$1510),NA()))</f>
        <v>973.19705892757202</v>
      </c>
      <c r="O187">
        <f>IF($J187&gt;MAX('Match Log'!$A$4:$A$1510),NA(),IFERROR(LOOKUP(2,1/(('Match Log'!$D$4:$D$1510=$O$24)*('Match Log'!$A$4:$A$1510&lt;=$J187)),'Match Log'!$N$4:$N$1510),NA()))</f>
        <v>1063.3497487715442</v>
      </c>
      <c r="P187">
        <f>IF($J187&gt;MAX('Match Log'!$A$4:$A$1510),NA(),IFERROR(LOOKUP(2,1/(('Match Log'!$D$4:$D$1510=$P$24)*('Match Log'!$A$4:$A$1510&lt;=$J187)),'Match Log'!$N$4:$N$1510),NA()))</f>
        <v>1160.9394220743627</v>
      </c>
      <c r="Q187">
        <f>IF($J187&gt;MAX('Match Log'!$A$4:$A$1510),NA(),IFERROR(LOOKUP(2,1/(('Match Log'!$D$4:$D$1510=$Q$24)*('Match Log'!$A$4:$A$1510&lt;=$J187)),'Match Log'!$N$4:$N$1510),NA()))</f>
        <v>1051.594831345267</v>
      </c>
      <c r="R187">
        <f>IF($J187&gt;MAX('Match Log'!$A$4:$A$1510),NA(),IFERROR(LOOKUP(2,1/(('Match Log'!$D$4:$D$1510=$R$24)*('Match Log'!$A$4:$A$1510&lt;=$J187)),'Match Log'!$N$4:$N$1510),NA()))</f>
        <v>1043.8473009892027</v>
      </c>
      <c r="S187">
        <f>IF($J187&gt;MAX('Match Log'!$A$4:$A$1510),NA(),IFERROR(LOOKUP(2,1/(('Match Log'!$D$4:$D$1510=$S$24)*('Match Log'!$A$4:$A$1510&lt;=$J187)),'Match Log'!$N$4:$N$1510),NA()))</f>
        <v>1241.7029363250533</v>
      </c>
      <c r="T187">
        <f>IF($J187&gt;MAX('Match Log'!$A$4:$A$1510),NA(),IFERROR(LOOKUP(2,1/(('Match Log'!$D$4:$D$1510=$T$24)*('Match Log'!$A$4:$A$1510&lt;=$J187)),'Match Log'!$N$4:$N$1510),NA()))</f>
        <v>893.15761519837804</v>
      </c>
      <c r="U187">
        <f>IF($J187&gt;MAX('Match Log'!$A$4:$A$1510),NA(),IFERROR(LOOKUP(2,1/(('Match Log'!$D$4:$D$1510=$U$24)*('Match Log'!$A$4:$A$1510&lt;=$J187)),'Match Log'!$N$4:$N$1510),NA()))</f>
        <v>1059.440281924557</v>
      </c>
      <c r="V187">
        <f>IF($J187&gt;MAX('Match Log'!$A$4:$A$1510),NA(),IFERROR(LOOKUP(2,1/(('Match Log'!$D$4:$D$1510=$V$24)*('Match Log'!$A$4:$A$1510&lt;=$J187)),'Match Log'!$N$4:$N$1510),NA()))</f>
        <v>1009.152401464836</v>
      </c>
      <c r="W187">
        <f>IF($J187&gt;MAX('Match Log'!$A$4:$A$1510),NA(),IFERROR(LOOKUP(2,1/(('Match Log'!$D$4:$D$1510=$W$24)*('Match Log'!$A$4:$A$1510&lt;=$J187)),'Match Log'!$N$4:$N$1510),NA()))</f>
        <v>1052.4264189977837</v>
      </c>
      <c r="X187" t="e">
        <f>IF($J187&gt;MAX('Match Log'!$A$4:$A$1510),NA(),IFERROR(LOOKUP(2,1/(('Match Log'!$D$4:$D$1510=$X$24)*('Match Log'!$A$4:$A$1510&lt;=$J187)),'Match Log'!$N$4:$N$1510),NA()))</f>
        <v>#N/A</v>
      </c>
      <c r="Y187" t="str">
        <f t="shared" ca="1" si="25"/>
        <v/>
      </c>
    </row>
    <row r="188" spans="1:25" x14ac:dyDescent="0.2">
      <c r="A188">
        <v>164</v>
      </c>
      <c r="B188" s="138">
        <f>IFERROR(INDEX('Match Log'!$B$4:$B$1510,MATCH($A188,'Match Log'!$A$4:$A$1510,0)),"")</f>
        <v>46220</v>
      </c>
      <c r="C188" t="str">
        <f>IFERROR(INDEX('Match Log'!$C$4:$C$1510,MATCH($A188,'Match Log'!$A$4:$A$1510,0)),"")</f>
        <v>Call of Duty</v>
      </c>
      <c r="D188" t="str">
        <f t="array" ref="D188">IFERROR(_xlfn.TEXTJOIN(" + ",TRUE(),IF(('Match Log'!$A$4:$A$1510=$A188)*('Match Log'!$E$4:$E$1510="Win"),'Match Log'!$D$4:$D$1510,"")),IFERROR(LOOKUP(2,1/(('Match Log'!$A$4:$A$1510=$A188)*('Match Log'!$E$4:$E$1510="Win")),'Match Log'!$D$4:$D$1510),""))</f>
        <v>Daniel (Ferret)</v>
      </c>
      <c r="E188" s="139">
        <f>IFERROR(INDEX('Match Log'!$F$4:$F$1510,MATCH($A188,'Match Log'!$A$4:$A$1510,0)),"")</f>
        <v>2</v>
      </c>
      <c r="F188">
        <f>IFERROR(SUMIFS('Match Log'!$I$4:$I$1510,'Match Log'!$A$4:$A$1510,$A188,'Match Log'!$E$4:$E$1510,"Win"),"")</f>
        <v>0.66666666666666663</v>
      </c>
      <c r="G188">
        <f t="shared" si="23"/>
        <v>-0.33333333333333326</v>
      </c>
      <c r="H188" t="str">
        <f t="array" ref="H188">IFERROR(IF(COUNTIFS('Match Log'!$A$4:$A$1510,$A188,'Match Log'!$E$4:$E$1510,"Win")&gt;1,_xlfn.TEXTJOIN(" + ",TRUE(),IF(('Match Log'!$A$4:$A$1510=$A188)*('Match Log'!$E$4:$E$1510="Loss"),'Match Log'!$D$4:$D$1510,"")),IF($E188=2,LOOKUP(2,1/(('Match Log'!$A$4:$A$1510=$A188)*('Match Log'!$E$4:$E$1510="Loss")),'Match Log'!$D$4:$D$1510),"the field")),"")</f>
        <v>Aaron</v>
      </c>
      <c r="I188">
        <f t="shared" si="24"/>
        <v>-0.33349733333333326</v>
      </c>
      <c r="J188">
        <v>164</v>
      </c>
      <c r="K188">
        <f>IF($J188&gt;MAX('Match Log'!$A$4:$A$1510),NA(),IFERROR(LOOKUP(2,1/(('Match Log'!$D$4:$D$1510=$K$24)*('Match Log'!$A$4:$A$1510&lt;=$J188)),'Match Log'!$N$4:$N$1510),NA()))</f>
        <v>1000.9309461291805</v>
      </c>
      <c r="L188">
        <f>IF($J188&gt;MAX('Match Log'!$A$4:$A$1510),NA(),IFERROR(LOOKUP(2,1/(('Match Log'!$D$4:$D$1510=$L$24)*('Match Log'!$A$4:$A$1510&lt;=$J188)),'Match Log'!$N$4:$N$1510),NA()))</f>
        <v>1029.5175965335138</v>
      </c>
      <c r="M188">
        <f>IF($J188&gt;MAX('Match Log'!$A$4:$A$1510),NA(),IFERROR(LOOKUP(2,1/(('Match Log'!$D$4:$D$1510=$M$24)*('Match Log'!$A$4:$A$1510&lt;=$J188)),'Match Log'!$N$4:$N$1510),NA()))</f>
        <v>1065.488687696035</v>
      </c>
      <c r="N188">
        <f>IF($J188&gt;MAX('Match Log'!$A$4:$A$1510),NA(),IFERROR(LOOKUP(2,1/(('Match Log'!$D$4:$D$1510=$N$24)*('Match Log'!$A$4:$A$1510&lt;=$J188)),'Match Log'!$N$4:$N$1510),NA()))</f>
        <v>973.19705892757202</v>
      </c>
      <c r="O188">
        <f>IF($J188&gt;MAX('Match Log'!$A$4:$A$1510),NA(),IFERROR(LOOKUP(2,1/(('Match Log'!$D$4:$D$1510=$O$24)*('Match Log'!$A$4:$A$1510&lt;=$J188)),'Match Log'!$N$4:$N$1510),NA()))</f>
        <v>1063.3497487715442</v>
      </c>
      <c r="P188">
        <f>IF($J188&gt;MAX('Match Log'!$A$4:$A$1510),NA(),IFERROR(LOOKUP(2,1/(('Match Log'!$D$4:$D$1510=$P$24)*('Match Log'!$A$4:$A$1510&lt;=$J188)),'Match Log'!$N$4:$N$1510),NA()))</f>
        <v>1160.9394220743627</v>
      </c>
      <c r="Q188">
        <f>IF($J188&gt;MAX('Match Log'!$A$4:$A$1510),NA(),IFERROR(LOOKUP(2,1/(('Match Log'!$D$4:$D$1510=$Q$24)*('Match Log'!$A$4:$A$1510&lt;=$J188)),'Match Log'!$N$4:$N$1510),NA()))</f>
        <v>1051.594831345267</v>
      </c>
      <c r="R188">
        <f>IF($J188&gt;MAX('Match Log'!$A$4:$A$1510),NA(),IFERROR(LOOKUP(2,1/(('Match Log'!$D$4:$D$1510=$R$24)*('Match Log'!$A$4:$A$1510&lt;=$J188)),'Match Log'!$N$4:$N$1510),NA()))</f>
        <v>1062.1020546119159</v>
      </c>
      <c r="S188">
        <f>IF($J188&gt;MAX('Match Log'!$A$4:$A$1510),NA(),IFERROR(LOOKUP(2,1/(('Match Log'!$D$4:$D$1510=$S$24)*('Match Log'!$A$4:$A$1510&lt;=$J188)),'Match Log'!$N$4:$N$1510),NA()))</f>
        <v>1241.7029363250533</v>
      </c>
      <c r="T188">
        <f>IF($J188&gt;MAX('Match Log'!$A$4:$A$1510),NA(),IFERROR(LOOKUP(2,1/(('Match Log'!$D$4:$D$1510=$T$24)*('Match Log'!$A$4:$A$1510&lt;=$J188)),'Match Log'!$N$4:$N$1510),NA()))</f>
        <v>893.15761519837804</v>
      </c>
      <c r="U188">
        <f>IF($J188&gt;MAX('Match Log'!$A$4:$A$1510),NA(),IFERROR(LOOKUP(2,1/(('Match Log'!$D$4:$D$1510=$U$24)*('Match Log'!$A$4:$A$1510&lt;=$J188)),'Match Log'!$N$4:$N$1510),NA()))</f>
        <v>1059.440281924557</v>
      </c>
      <c r="V188">
        <f>IF($J188&gt;MAX('Match Log'!$A$4:$A$1510),NA(),IFERROR(LOOKUP(2,1/(('Match Log'!$D$4:$D$1510=$V$24)*('Match Log'!$A$4:$A$1510&lt;=$J188)),'Match Log'!$N$4:$N$1510),NA()))</f>
        <v>1009.152401464836</v>
      </c>
      <c r="W188">
        <f>IF($J188&gt;MAX('Match Log'!$A$4:$A$1510),NA(),IFERROR(LOOKUP(2,1/(('Match Log'!$D$4:$D$1510=$W$24)*('Match Log'!$A$4:$A$1510&lt;=$J188)),'Match Log'!$N$4:$N$1510),NA()))</f>
        <v>1052.4264189977837</v>
      </c>
      <c r="X188" t="e">
        <f>IF($J188&gt;MAX('Match Log'!$A$4:$A$1510),NA(),IFERROR(LOOKUP(2,1/(('Match Log'!$D$4:$D$1510=$X$24)*('Match Log'!$A$4:$A$1510&lt;=$J188)),'Match Log'!$N$4:$N$1510),NA()))</f>
        <v>#N/A</v>
      </c>
      <c r="Y188" t="str">
        <f t="shared" ca="1" si="25"/>
        <v/>
      </c>
    </row>
    <row r="189" spans="1:25" x14ac:dyDescent="0.2">
      <c r="A189">
        <v>165</v>
      </c>
      <c r="B189" s="138">
        <f>IFERROR(INDEX('Match Log'!$B$4:$B$1510,MATCH($A189,'Match Log'!$A$4:$A$1510,0)),"")</f>
        <v>46220</v>
      </c>
      <c r="C189" t="str">
        <f>IFERROR(INDEX('Match Log'!$C$4:$C$1510,MATCH($A189,'Match Log'!$A$4:$A$1510,0)),"")</f>
        <v>Call of Duty</v>
      </c>
      <c r="D189" t="str">
        <f t="array" ref="D189">IFERROR(_xlfn.TEXTJOIN(" + ",TRUE(),IF(('Match Log'!$A$4:$A$1510=$A189)*('Match Log'!$E$4:$E$1510="Win"),'Match Log'!$D$4:$D$1510,"")),IFERROR(LOOKUP(2,1/(('Match Log'!$A$4:$A$1510=$A189)*('Match Log'!$E$4:$E$1510="Win")),'Match Log'!$D$4:$D$1510),""))</f>
        <v>Daniel (Ferret)</v>
      </c>
      <c r="E189" s="139">
        <f>IFERROR(INDEX('Match Log'!$F$4:$F$1510,MATCH($A189,'Match Log'!$A$4:$A$1510,0)),"")</f>
        <v>2</v>
      </c>
      <c r="F189">
        <f>IFERROR(SUMIFS('Match Log'!$I$4:$I$1510,'Match Log'!$A$4:$A$1510,$A189,'Match Log'!$E$4:$E$1510,"Win"),"")</f>
        <v>0.7142857142857143</v>
      </c>
      <c r="G189">
        <f t="shared" si="23"/>
        <v>-0.4285714285714286</v>
      </c>
      <c r="H189" t="str">
        <f t="array" ref="H189">IFERROR(IF(COUNTIFS('Match Log'!$A$4:$A$1510,$A189,'Match Log'!$E$4:$E$1510,"Win")&gt;1,_xlfn.TEXTJOIN(" + ",TRUE(),IF(('Match Log'!$A$4:$A$1510=$A189)*('Match Log'!$E$4:$E$1510="Loss"),'Match Log'!$D$4:$D$1510,"")),IF($E189=2,LOOKUP(2,1/(('Match Log'!$A$4:$A$1510=$A189)*('Match Log'!$E$4:$E$1510="Loss")),'Match Log'!$D$4:$D$1510),"the field")),"")</f>
        <v>Aaron</v>
      </c>
      <c r="I189">
        <f t="shared" si="24"/>
        <v>-0.42873642857142863</v>
      </c>
      <c r="J189">
        <v>165</v>
      </c>
      <c r="K189">
        <f>IF($J189&gt;MAX('Match Log'!$A$4:$A$1510),NA(),IFERROR(LOOKUP(2,1/(('Match Log'!$D$4:$D$1510=$K$24)*('Match Log'!$A$4:$A$1510&lt;=$J189)),'Match Log'!$N$4:$N$1510),NA()))</f>
        <v>984.79733004555192</v>
      </c>
      <c r="L189">
        <f>IF($J189&gt;MAX('Match Log'!$A$4:$A$1510),NA(),IFERROR(LOOKUP(2,1/(('Match Log'!$D$4:$D$1510=$L$24)*('Match Log'!$A$4:$A$1510&lt;=$J189)),'Match Log'!$N$4:$N$1510),NA()))</f>
        <v>1029.5175965335138</v>
      </c>
      <c r="M189">
        <f>IF($J189&gt;MAX('Match Log'!$A$4:$A$1510),NA(),IFERROR(LOOKUP(2,1/(('Match Log'!$D$4:$D$1510=$M$24)*('Match Log'!$A$4:$A$1510&lt;=$J189)),'Match Log'!$N$4:$N$1510),NA()))</f>
        <v>1065.488687696035</v>
      </c>
      <c r="N189">
        <f>IF($J189&gt;MAX('Match Log'!$A$4:$A$1510),NA(),IFERROR(LOOKUP(2,1/(('Match Log'!$D$4:$D$1510=$N$24)*('Match Log'!$A$4:$A$1510&lt;=$J189)),'Match Log'!$N$4:$N$1510),NA()))</f>
        <v>973.19705892757202</v>
      </c>
      <c r="O189">
        <f>IF($J189&gt;MAX('Match Log'!$A$4:$A$1510),NA(),IFERROR(LOOKUP(2,1/(('Match Log'!$D$4:$D$1510=$O$24)*('Match Log'!$A$4:$A$1510&lt;=$J189)),'Match Log'!$N$4:$N$1510),NA()))</f>
        <v>1063.3497487715442</v>
      </c>
      <c r="P189">
        <f>IF($J189&gt;MAX('Match Log'!$A$4:$A$1510),NA(),IFERROR(LOOKUP(2,1/(('Match Log'!$D$4:$D$1510=$P$24)*('Match Log'!$A$4:$A$1510&lt;=$J189)),'Match Log'!$N$4:$N$1510),NA()))</f>
        <v>1160.9394220743627</v>
      </c>
      <c r="Q189">
        <f>IF($J189&gt;MAX('Match Log'!$A$4:$A$1510),NA(),IFERROR(LOOKUP(2,1/(('Match Log'!$D$4:$D$1510=$Q$24)*('Match Log'!$A$4:$A$1510&lt;=$J189)),'Match Log'!$N$4:$N$1510),NA()))</f>
        <v>1051.594831345267</v>
      </c>
      <c r="R189">
        <f>IF($J189&gt;MAX('Match Log'!$A$4:$A$1510),NA(),IFERROR(LOOKUP(2,1/(('Match Log'!$D$4:$D$1510=$R$24)*('Match Log'!$A$4:$A$1510&lt;=$J189)),'Match Log'!$N$4:$N$1510),NA()))</f>
        <v>1078.2356706955445</v>
      </c>
      <c r="S189">
        <f>IF($J189&gt;MAX('Match Log'!$A$4:$A$1510),NA(),IFERROR(LOOKUP(2,1/(('Match Log'!$D$4:$D$1510=$S$24)*('Match Log'!$A$4:$A$1510&lt;=$J189)),'Match Log'!$N$4:$N$1510),NA()))</f>
        <v>1241.7029363250533</v>
      </c>
      <c r="T189">
        <f>IF($J189&gt;MAX('Match Log'!$A$4:$A$1510),NA(),IFERROR(LOOKUP(2,1/(('Match Log'!$D$4:$D$1510=$T$24)*('Match Log'!$A$4:$A$1510&lt;=$J189)),'Match Log'!$N$4:$N$1510),NA()))</f>
        <v>893.15761519837804</v>
      </c>
      <c r="U189">
        <f>IF($J189&gt;MAX('Match Log'!$A$4:$A$1510),NA(),IFERROR(LOOKUP(2,1/(('Match Log'!$D$4:$D$1510=$U$24)*('Match Log'!$A$4:$A$1510&lt;=$J189)),'Match Log'!$N$4:$N$1510),NA()))</f>
        <v>1059.440281924557</v>
      </c>
      <c r="V189">
        <f>IF($J189&gt;MAX('Match Log'!$A$4:$A$1510),NA(),IFERROR(LOOKUP(2,1/(('Match Log'!$D$4:$D$1510=$V$24)*('Match Log'!$A$4:$A$1510&lt;=$J189)),'Match Log'!$N$4:$N$1510),NA()))</f>
        <v>1009.152401464836</v>
      </c>
      <c r="W189">
        <f>IF($J189&gt;MAX('Match Log'!$A$4:$A$1510),NA(),IFERROR(LOOKUP(2,1/(('Match Log'!$D$4:$D$1510=$W$24)*('Match Log'!$A$4:$A$1510&lt;=$J189)),'Match Log'!$N$4:$N$1510),NA()))</f>
        <v>1052.4264189977837</v>
      </c>
      <c r="X189" t="e">
        <f>IF($J189&gt;MAX('Match Log'!$A$4:$A$1510),NA(),IFERROR(LOOKUP(2,1/(('Match Log'!$D$4:$D$1510=$X$24)*('Match Log'!$A$4:$A$1510&lt;=$J189)),'Match Log'!$N$4:$N$1510),NA()))</f>
        <v>#N/A</v>
      </c>
      <c r="Y189" t="str">
        <f t="shared" ca="1" si="25"/>
        <v/>
      </c>
    </row>
    <row r="190" spans="1:25" x14ac:dyDescent="0.2">
      <c r="A190">
        <v>166</v>
      </c>
      <c r="B190" s="138">
        <f>IFERROR(INDEX('Match Log'!$B$4:$B$1510,MATCH($A190,'Match Log'!$A$4:$A$1510,0)),"")</f>
        <v>46220</v>
      </c>
      <c r="C190" t="str">
        <f>IFERROR(INDEX('Match Log'!$C$4:$C$1510,MATCH($A190,'Match Log'!$A$4:$A$1510,0)),"")</f>
        <v>Mario Kart</v>
      </c>
      <c r="D190" t="str">
        <f t="array" ref="D190">IFERROR(_xlfn.TEXTJOIN(" + ",TRUE(),IF(('Match Log'!$A$4:$A$1510=$A190)*('Match Log'!$E$4:$E$1510="Win"),'Match Log'!$D$4:$D$1510,"")),IFERROR(LOOKUP(2,1/(('Match Log'!$A$4:$A$1510=$A190)*('Match Log'!$E$4:$E$1510="Win")),'Match Log'!$D$4:$D$1510),""))</f>
        <v>Oscar</v>
      </c>
      <c r="E190" s="139">
        <f>IFERROR(INDEX('Match Log'!$F$4:$F$1510,MATCH($A190,'Match Log'!$A$4:$A$1510,0)),"")</f>
        <v>2</v>
      </c>
      <c r="F190">
        <f>IFERROR(SUMIFS('Match Log'!$I$4:$I$1510,'Match Log'!$A$4:$A$1510,$A190,'Match Log'!$E$4:$E$1510,"Win"),"")</f>
        <v>0.85714285714285721</v>
      </c>
      <c r="G190">
        <f t="shared" si="23"/>
        <v>-0.71428571428571441</v>
      </c>
      <c r="H190" t="str">
        <f t="array" ref="H190">IFERROR(IF(COUNTIFS('Match Log'!$A$4:$A$1510,$A190,'Match Log'!$E$4:$E$1510,"Win")&gt;1,_xlfn.TEXTJOIN(" + ",TRUE(),IF(('Match Log'!$A$4:$A$1510=$A190)*('Match Log'!$E$4:$E$1510="Loss"),'Match Log'!$D$4:$D$1510,"")),IF($E190=2,LOOKUP(2,1/(('Match Log'!$A$4:$A$1510=$A190)*('Match Log'!$E$4:$E$1510="Loss")),'Match Log'!$D$4:$D$1510),"the field")),"")</f>
        <v>Shawn</v>
      </c>
      <c r="I190">
        <f t="shared" si="24"/>
        <v>-0.71445171428571441</v>
      </c>
      <c r="J190">
        <v>166</v>
      </c>
      <c r="K190">
        <f>IF($J190&gt;MAX('Match Log'!$A$4:$A$1510),NA(),IFERROR(LOOKUP(2,1/(('Match Log'!$D$4:$D$1510=$K$24)*('Match Log'!$A$4:$A$1510&lt;=$J190)),'Match Log'!$N$4:$N$1510),NA()))</f>
        <v>984.79733004555192</v>
      </c>
      <c r="L190">
        <f>IF($J190&gt;MAX('Match Log'!$A$4:$A$1510),NA(),IFERROR(LOOKUP(2,1/(('Match Log'!$D$4:$D$1510=$L$24)*('Match Log'!$A$4:$A$1510&lt;=$J190)),'Match Log'!$N$4:$N$1510),NA()))</f>
        <v>1029.5175965335138</v>
      </c>
      <c r="M190">
        <f>IF($J190&gt;MAX('Match Log'!$A$4:$A$1510),NA(),IFERROR(LOOKUP(2,1/(('Match Log'!$D$4:$D$1510=$M$24)*('Match Log'!$A$4:$A$1510&lt;=$J190)),'Match Log'!$N$4:$N$1510),NA()))</f>
        <v>1065.488687696035</v>
      </c>
      <c r="N190">
        <f>IF($J190&gt;MAX('Match Log'!$A$4:$A$1510),NA(),IFERROR(LOOKUP(2,1/(('Match Log'!$D$4:$D$1510=$N$24)*('Match Log'!$A$4:$A$1510&lt;=$J190)),'Match Log'!$N$4:$N$1510),NA()))</f>
        <v>973.19705892757202</v>
      </c>
      <c r="O190">
        <f>IF($J190&gt;MAX('Match Log'!$A$4:$A$1510),NA(),IFERROR(LOOKUP(2,1/(('Match Log'!$D$4:$D$1510=$O$24)*('Match Log'!$A$4:$A$1510&lt;=$J190)),'Match Log'!$N$4:$N$1510),NA()))</f>
        <v>1063.3497487715442</v>
      </c>
      <c r="P190">
        <f>IF($J190&gt;MAX('Match Log'!$A$4:$A$1510),NA(),IFERROR(LOOKUP(2,1/(('Match Log'!$D$4:$D$1510=$P$24)*('Match Log'!$A$4:$A$1510&lt;=$J190)),'Match Log'!$N$4:$N$1510),NA()))</f>
        <v>1145.1902075994426</v>
      </c>
      <c r="Q190">
        <f>IF($J190&gt;MAX('Match Log'!$A$4:$A$1510),NA(),IFERROR(LOOKUP(2,1/(('Match Log'!$D$4:$D$1510=$Q$24)*('Match Log'!$A$4:$A$1510&lt;=$J190)),'Match Log'!$N$4:$N$1510),NA()))</f>
        <v>1051.594831345267</v>
      </c>
      <c r="R190">
        <f>IF($J190&gt;MAX('Match Log'!$A$4:$A$1510),NA(),IFERROR(LOOKUP(2,1/(('Match Log'!$D$4:$D$1510=$R$24)*('Match Log'!$A$4:$A$1510&lt;=$J190)),'Match Log'!$N$4:$N$1510),NA()))</f>
        <v>1078.2356706955445</v>
      </c>
      <c r="S190">
        <f>IF($J190&gt;MAX('Match Log'!$A$4:$A$1510),NA(),IFERROR(LOOKUP(2,1/(('Match Log'!$D$4:$D$1510=$S$24)*('Match Log'!$A$4:$A$1510&lt;=$J190)),'Match Log'!$N$4:$N$1510),NA()))</f>
        <v>1241.7029363250533</v>
      </c>
      <c r="T190">
        <f>IF($J190&gt;MAX('Match Log'!$A$4:$A$1510),NA(),IFERROR(LOOKUP(2,1/(('Match Log'!$D$4:$D$1510=$T$24)*('Match Log'!$A$4:$A$1510&lt;=$J190)),'Match Log'!$N$4:$N$1510),NA()))</f>
        <v>893.15761519837804</v>
      </c>
      <c r="U190">
        <f>IF($J190&gt;MAX('Match Log'!$A$4:$A$1510),NA(),IFERROR(LOOKUP(2,1/(('Match Log'!$D$4:$D$1510=$U$24)*('Match Log'!$A$4:$A$1510&lt;=$J190)),'Match Log'!$N$4:$N$1510),NA()))</f>
        <v>1075.1894963994771</v>
      </c>
      <c r="V190">
        <f>IF($J190&gt;MAX('Match Log'!$A$4:$A$1510),NA(),IFERROR(LOOKUP(2,1/(('Match Log'!$D$4:$D$1510=$V$24)*('Match Log'!$A$4:$A$1510&lt;=$J190)),'Match Log'!$N$4:$N$1510),NA()))</f>
        <v>1009.152401464836</v>
      </c>
      <c r="W190">
        <f>IF($J190&gt;MAX('Match Log'!$A$4:$A$1510),NA(),IFERROR(LOOKUP(2,1/(('Match Log'!$D$4:$D$1510=$W$24)*('Match Log'!$A$4:$A$1510&lt;=$J190)),'Match Log'!$N$4:$N$1510),NA()))</f>
        <v>1052.4264189977837</v>
      </c>
      <c r="X190" t="e">
        <f>IF($J190&gt;MAX('Match Log'!$A$4:$A$1510),NA(),IFERROR(LOOKUP(2,1/(('Match Log'!$D$4:$D$1510=$X$24)*('Match Log'!$A$4:$A$1510&lt;=$J190)),'Match Log'!$N$4:$N$1510),NA()))</f>
        <v>#N/A</v>
      </c>
      <c r="Y190" t="str">
        <f t="shared" ca="1" si="25"/>
        <v/>
      </c>
    </row>
    <row r="191" spans="1:25" x14ac:dyDescent="0.2">
      <c r="A191">
        <v>167</v>
      </c>
      <c r="B191" s="138">
        <f>IFERROR(INDEX('Match Log'!$B$4:$B$1510,MATCH($A191,'Match Log'!$A$4:$A$1510,0)),"")</f>
        <v>46220</v>
      </c>
      <c r="C191" t="str">
        <f>IFERROR(INDEX('Match Log'!$C$4:$C$1510,MATCH($A191,'Match Log'!$A$4:$A$1510,0)),"")</f>
        <v>Mario Kart</v>
      </c>
      <c r="D191" t="str">
        <f t="array" ref="D191">IFERROR(_xlfn.TEXTJOIN(" + ",TRUE(),IF(('Match Log'!$A$4:$A$1510=$A191)*('Match Log'!$E$4:$E$1510="Win"),'Match Log'!$D$4:$D$1510,"")),IFERROR(LOOKUP(2,1/(('Match Log'!$A$4:$A$1510=$A191)*('Match Log'!$E$4:$E$1510="Win")),'Match Log'!$D$4:$D$1510),""))</f>
        <v>Oscar</v>
      </c>
      <c r="E191" s="139">
        <f>IFERROR(INDEX('Match Log'!$F$4:$F$1510,MATCH($A191,'Match Log'!$A$4:$A$1510,0)),"")</f>
        <v>2</v>
      </c>
      <c r="F191">
        <f>IFERROR(SUMIFS('Match Log'!$I$4:$I$1510,'Match Log'!$A$4:$A$1510,$A191,'Match Log'!$E$4:$E$1510,"Win"),"")</f>
        <v>0.875</v>
      </c>
      <c r="G191">
        <f t="shared" si="23"/>
        <v>-0.75</v>
      </c>
      <c r="H191" t="str">
        <f t="array" ref="H191">IFERROR(IF(COUNTIFS('Match Log'!$A$4:$A$1510,$A191,'Match Log'!$E$4:$E$1510,"Win")&gt;1,_xlfn.TEXTJOIN(" + ",TRUE(),IF(('Match Log'!$A$4:$A$1510=$A191)*('Match Log'!$E$4:$E$1510="Loss"),'Match Log'!$D$4:$D$1510,"")),IF($E191=2,LOOKUP(2,1/(('Match Log'!$A$4:$A$1510=$A191)*('Match Log'!$E$4:$E$1510="Loss")),'Match Log'!$D$4:$D$1510),"the field")),"")</f>
        <v>Shawn</v>
      </c>
      <c r="I191">
        <f t="shared" si="24"/>
        <v>-0.75016700000000003</v>
      </c>
      <c r="J191">
        <v>167</v>
      </c>
      <c r="K191">
        <f>IF($J191&gt;MAX('Match Log'!$A$4:$A$1510),NA(),IFERROR(LOOKUP(2,1/(('Match Log'!$D$4:$D$1510=$K$24)*('Match Log'!$A$4:$A$1510&lt;=$J191)),'Match Log'!$N$4:$N$1510),NA()))</f>
        <v>984.79733004555192</v>
      </c>
      <c r="L191">
        <f>IF($J191&gt;MAX('Match Log'!$A$4:$A$1510),NA(),IFERROR(LOOKUP(2,1/(('Match Log'!$D$4:$D$1510=$L$24)*('Match Log'!$A$4:$A$1510&lt;=$J191)),'Match Log'!$N$4:$N$1510),NA()))</f>
        <v>1029.5175965335138</v>
      </c>
      <c r="M191">
        <f>IF($J191&gt;MAX('Match Log'!$A$4:$A$1510),NA(),IFERROR(LOOKUP(2,1/(('Match Log'!$D$4:$D$1510=$M$24)*('Match Log'!$A$4:$A$1510&lt;=$J191)),'Match Log'!$N$4:$N$1510),NA()))</f>
        <v>1065.488687696035</v>
      </c>
      <c r="N191">
        <f>IF($J191&gt;MAX('Match Log'!$A$4:$A$1510),NA(),IFERROR(LOOKUP(2,1/(('Match Log'!$D$4:$D$1510=$N$24)*('Match Log'!$A$4:$A$1510&lt;=$J191)),'Match Log'!$N$4:$N$1510),NA()))</f>
        <v>973.19705892757202</v>
      </c>
      <c r="O191">
        <f>IF($J191&gt;MAX('Match Log'!$A$4:$A$1510),NA(),IFERROR(LOOKUP(2,1/(('Match Log'!$D$4:$D$1510=$O$24)*('Match Log'!$A$4:$A$1510&lt;=$J191)),'Match Log'!$N$4:$N$1510),NA()))</f>
        <v>1063.3497487715442</v>
      </c>
      <c r="P191">
        <f>IF($J191&gt;MAX('Match Log'!$A$4:$A$1510),NA(),IFERROR(LOOKUP(2,1/(('Match Log'!$D$4:$D$1510=$P$24)*('Match Log'!$A$4:$A$1510&lt;=$J191)),'Match Log'!$N$4:$N$1510),NA()))</f>
        <v>1131.0313964858883</v>
      </c>
      <c r="Q191">
        <f>IF($J191&gt;MAX('Match Log'!$A$4:$A$1510),NA(),IFERROR(LOOKUP(2,1/(('Match Log'!$D$4:$D$1510=$Q$24)*('Match Log'!$A$4:$A$1510&lt;=$J191)),'Match Log'!$N$4:$N$1510),NA()))</f>
        <v>1051.594831345267</v>
      </c>
      <c r="R191">
        <f>IF($J191&gt;MAX('Match Log'!$A$4:$A$1510),NA(),IFERROR(LOOKUP(2,1/(('Match Log'!$D$4:$D$1510=$R$24)*('Match Log'!$A$4:$A$1510&lt;=$J191)),'Match Log'!$N$4:$N$1510),NA()))</f>
        <v>1078.2356706955445</v>
      </c>
      <c r="S191">
        <f>IF($J191&gt;MAX('Match Log'!$A$4:$A$1510),NA(),IFERROR(LOOKUP(2,1/(('Match Log'!$D$4:$D$1510=$S$24)*('Match Log'!$A$4:$A$1510&lt;=$J191)),'Match Log'!$N$4:$N$1510),NA()))</f>
        <v>1241.7029363250533</v>
      </c>
      <c r="T191">
        <f>IF($J191&gt;MAX('Match Log'!$A$4:$A$1510),NA(),IFERROR(LOOKUP(2,1/(('Match Log'!$D$4:$D$1510=$T$24)*('Match Log'!$A$4:$A$1510&lt;=$J191)),'Match Log'!$N$4:$N$1510),NA()))</f>
        <v>893.15761519837804</v>
      </c>
      <c r="U191">
        <f>IF($J191&gt;MAX('Match Log'!$A$4:$A$1510),NA(),IFERROR(LOOKUP(2,1/(('Match Log'!$D$4:$D$1510=$U$24)*('Match Log'!$A$4:$A$1510&lt;=$J191)),'Match Log'!$N$4:$N$1510),NA()))</f>
        <v>1089.3483075130314</v>
      </c>
      <c r="V191">
        <f>IF($J191&gt;MAX('Match Log'!$A$4:$A$1510),NA(),IFERROR(LOOKUP(2,1/(('Match Log'!$D$4:$D$1510=$V$24)*('Match Log'!$A$4:$A$1510&lt;=$J191)),'Match Log'!$N$4:$N$1510),NA()))</f>
        <v>1009.152401464836</v>
      </c>
      <c r="W191">
        <f>IF($J191&gt;MAX('Match Log'!$A$4:$A$1510),NA(),IFERROR(LOOKUP(2,1/(('Match Log'!$D$4:$D$1510=$W$24)*('Match Log'!$A$4:$A$1510&lt;=$J191)),'Match Log'!$N$4:$N$1510),NA()))</f>
        <v>1052.4264189977837</v>
      </c>
      <c r="X191" t="e">
        <f>IF($J191&gt;MAX('Match Log'!$A$4:$A$1510),NA(),IFERROR(LOOKUP(2,1/(('Match Log'!$D$4:$D$1510=$X$24)*('Match Log'!$A$4:$A$1510&lt;=$J191)),'Match Log'!$N$4:$N$1510),NA()))</f>
        <v>#N/A</v>
      </c>
      <c r="Y191" t="str">
        <f t="shared" ca="1" si="25"/>
        <v/>
      </c>
    </row>
    <row r="192" spans="1:25" x14ac:dyDescent="0.2">
      <c r="A192">
        <v>168</v>
      </c>
      <c r="B192" s="138">
        <f>IFERROR(INDEX('Match Log'!$B$4:$B$1510,MATCH($A192,'Match Log'!$A$4:$A$1510,0)),"")</f>
        <v>46220</v>
      </c>
      <c r="C192" t="str">
        <f>IFERROR(INDEX('Match Log'!$C$4:$C$1510,MATCH($A192,'Match Log'!$A$4:$A$1510,0)),"")</f>
        <v>Mario Kart</v>
      </c>
      <c r="D192" t="str">
        <f t="array" ref="D192">IFERROR(_xlfn.TEXTJOIN(" + ",TRUE(),IF(('Match Log'!$A$4:$A$1510=$A192)*('Match Log'!$E$4:$E$1510="Win"),'Match Log'!$D$4:$D$1510,"")),IFERROR(LOOKUP(2,1/(('Match Log'!$A$4:$A$1510=$A192)*('Match Log'!$E$4:$E$1510="Win")),'Match Log'!$D$4:$D$1510),""))</f>
        <v>Oscar</v>
      </c>
      <c r="E192" s="139">
        <f>IFERROR(INDEX('Match Log'!$F$4:$F$1510,MATCH($A192,'Match Log'!$A$4:$A$1510,0)),"")</f>
        <v>2</v>
      </c>
      <c r="F192">
        <f>IFERROR(SUMIFS('Match Log'!$I$4:$I$1510,'Match Log'!$A$4:$A$1510,$A192,'Match Log'!$E$4:$E$1510,"Win"),"")</f>
        <v>0.88888888888888884</v>
      </c>
      <c r="G192">
        <f t="shared" si="23"/>
        <v>-0.77777777777777768</v>
      </c>
      <c r="H192" t="str">
        <f t="array" ref="H192">IFERROR(IF(COUNTIFS('Match Log'!$A$4:$A$1510,$A192,'Match Log'!$E$4:$E$1510,"Win")&gt;1,_xlfn.TEXTJOIN(" + ",TRUE(),IF(('Match Log'!$A$4:$A$1510=$A192)*('Match Log'!$E$4:$E$1510="Loss"),'Match Log'!$D$4:$D$1510,"")),IF($E192=2,LOOKUP(2,1/(('Match Log'!$A$4:$A$1510=$A192)*('Match Log'!$E$4:$E$1510="Loss")),'Match Log'!$D$4:$D$1510),"the field")),"")</f>
        <v>Shawn</v>
      </c>
      <c r="I192">
        <f t="shared" si="24"/>
        <v>-0.77794577777777763</v>
      </c>
      <c r="J192">
        <v>168</v>
      </c>
      <c r="K192">
        <f>IF($J192&gt;MAX('Match Log'!$A$4:$A$1510),NA(),IFERROR(LOOKUP(2,1/(('Match Log'!$D$4:$D$1510=$K$24)*('Match Log'!$A$4:$A$1510&lt;=$J192)),'Match Log'!$N$4:$N$1510),NA()))</f>
        <v>984.79733004555192</v>
      </c>
      <c r="L192">
        <f>IF($J192&gt;MAX('Match Log'!$A$4:$A$1510),NA(),IFERROR(LOOKUP(2,1/(('Match Log'!$D$4:$D$1510=$L$24)*('Match Log'!$A$4:$A$1510&lt;=$J192)),'Match Log'!$N$4:$N$1510),NA()))</f>
        <v>1029.5175965335138</v>
      </c>
      <c r="M192">
        <f>IF($J192&gt;MAX('Match Log'!$A$4:$A$1510),NA(),IFERROR(LOOKUP(2,1/(('Match Log'!$D$4:$D$1510=$M$24)*('Match Log'!$A$4:$A$1510&lt;=$J192)),'Match Log'!$N$4:$N$1510),NA()))</f>
        <v>1065.488687696035</v>
      </c>
      <c r="N192">
        <f>IF($J192&gt;MAX('Match Log'!$A$4:$A$1510),NA(),IFERROR(LOOKUP(2,1/(('Match Log'!$D$4:$D$1510=$N$24)*('Match Log'!$A$4:$A$1510&lt;=$J192)),'Match Log'!$N$4:$N$1510),NA()))</f>
        <v>973.19705892757202</v>
      </c>
      <c r="O192">
        <f>IF($J192&gt;MAX('Match Log'!$A$4:$A$1510),NA(),IFERROR(LOOKUP(2,1/(('Match Log'!$D$4:$D$1510=$O$24)*('Match Log'!$A$4:$A$1510&lt;=$J192)),'Match Log'!$N$4:$N$1510),NA()))</f>
        <v>1063.3497487715442</v>
      </c>
      <c r="P192">
        <f>IF($J192&gt;MAX('Match Log'!$A$4:$A$1510),NA(),IFERROR(LOOKUP(2,1/(('Match Log'!$D$4:$D$1510=$P$24)*('Match Log'!$A$4:$A$1510&lt;=$J192)),'Match Log'!$N$4:$N$1510),NA()))</f>
        <v>1118.2172707254963</v>
      </c>
      <c r="Q192">
        <f>IF($J192&gt;MAX('Match Log'!$A$4:$A$1510),NA(),IFERROR(LOOKUP(2,1/(('Match Log'!$D$4:$D$1510=$Q$24)*('Match Log'!$A$4:$A$1510&lt;=$J192)),'Match Log'!$N$4:$N$1510),NA()))</f>
        <v>1051.594831345267</v>
      </c>
      <c r="R192">
        <f>IF($J192&gt;MAX('Match Log'!$A$4:$A$1510),NA(),IFERROR(LOOKUP(2,1/(('Match Log'!$D$4:$D$1510=$R$24)*('Match Log'!$A$4:$A$1510&lt;=$J192)),'Match Log'!$N$4:$N$1510),NA()))</f>
        <v>1078.2356706955445</v>
      </c>
      <c r="S192">
        <f>IF($J192&gt;MAX('Match Log'!$A$4:$A$1510),NA(),IFERROR(LOOKUP(2,1/(('Match Log'!$D$4:$D$1510=$S$24)*('Match Log'!$A$4:$A$1510&lt;=$J192)),'Match Log'!$N$4:$N$1510),NA()))</f>
        <v>1241.7029363250533</v>
      </c>
      <c r="T192">
        <f>IF($J192&gt;MAX('Match Log'!$A$4:$A$1510),NA(),IFERROR(LOOKUP(2,1/(('Match Log'!$D$4:$D$1510=$T$24)*('Match Log'!$A$4:$A$1510&lt;=$J192)),'Match Log'!$N$4:$N$1510),NA()))</f>
        <v>893.15761519837804</v>
      </c>
      <c r="U192">
        <f>IF($J192&gt;MAX('Match Log'!$A$4:$A$1510),NA(),IFERROR(LOOKUP(2,1/(('Match Log'!$D$4:$D$1510=$U$24)*('Match Log'!$A$4:$A$1510&lt;=$J192)),'Match Log'!$N$4:$N$1510),NA()))</f>
        <v>1102.1624332734234</v>
      </c>
      <c r="V192">
        <f>IF($J192&gt;MAX('Match Log'!$A$4:$A$1510),NA(),IFERROR(LOOKUP(2,1/(('Match Log'!$D$4:$D$1510=$V$24)*('Match Log'!$A$4:$A$1510&lt;=$J192)),'Match Log'!$N$4:$N$1510),NA()))</f>
        <v>1009.152401464836</v>
      </c>
      <c r="W192">
        <f>IF($J192&gt;MAX('Match Log'!$A$4:$A$1510),NA(),IFERROR(LOOKUP(2,1/(('Match Log'!$D$4:$D$1510=$W$24)*('Match Log'!$A$4:$A$1510&lt;=$J192)),'Match Log'!$N$4:$N$1510),NA()))</f>
        <v>1052.4264189977837</v>
      </c>
      <c r="X192" t="e">
        <f>IF($J192&gt;MAX('Match Log'!$A$4:$A$1510),NA(),IFERROR(LOOKUP(2,1/(('Match Log'!$D$4:$D$1510=$X$24)*('Match Log'!$A$4:$A$1510&lt;=$J192)),'Match Log'!$N$4:$N$1510),NA()))</f>
        <v>#N/A</v>
      </c>
      <c r="Y192" t="str">
        <f t="shared" ca="1" si="25"/>
        <v/>
      </c>
    </row>
    <row r="193" spans="1:25" x14ac:dyDescent="0.2">
      <c r="A193">
        <v>169</v>
      </c>
      <c r="B193" s="138">
        <f>IFERROR(INDEX('Match Log'!$B$4:$B$1510,MATCH($A193,'Match Log'!$A$4:$A$1510,0)),"")</f>
        <v>46220</v>
      </c>
      <c r="C193" t="str">
        <f>IFERROR(INDEX('Match Log'!$C$4:$C$1510,MATCH($A193,'Match Log'!$A$4:$A$1510,0)),"")</f>
        <v>Mario Golf</v>
      </c>
      <c r="D193" t="str">
        <f t="array" ref="D193">IFERROR(_xlfn.TEXTJOIN(" + ",TRUE(),IF(('Match Log'!$A$4:$A$1510=$A193)*('Match Log'!$E$4:$E$1510="Win"),'Match Log'!$D$4:$D$1510,"")),IFERROR(LOOKUP(2,1/(('Match Log'!$A$4:$A$1510=$A193)*('Match Log'!$E$4:$E$1510="Win")),'Match Log'!$D$4:$D$1510),""))</f>
        <v>Shawn</v>
      </c>
      <c r="E193" s="139">
        <f>IFERROR(INDEX('Match Log'!$F$4:$F$1510,MATCH($A193,'Match Log'!$A$4:$A$1510,0)),"")</f>
        <v>3</v>
      </c>
      <c r="F193">
        <f>IFERROR(SUMIFS('Match Log'!$I$4:$I$1510,'Match Log'!$A$4:$A$1510,$A193,'Match Log'!$E$4:$E$1510,"Win"),"")</f>
        <v>0.36585365853658541</v>
      </c>
      <c r="G193">
        <f t="shared" si="23"/>
        <v>-9.7560975609756184E-2</v>
      </c>
      <c r="H193" t="str">
        <f t="array" ref="H193">IFERROR(IF(COUNTIFS('Match Log'!$A$4:$A$1510,$A193,'Match Log'!$E$4:$E$1510,"Win")&gt;1,_xlfn.TEXTJOIN(" + ",TRUE(),IF(('Match Log'!$A$4:$A$1510=$A193)*('Match Log'!$E$4:$E$1510="Loss"),'Match Log'!$D$4:$D$1510,"")),IF($E193=2,LOOKUP(2,1/(('Match Log'!$A$4:$A$1510=$A193)*('Match Log'!$E$4:$E$1510="Loss")),'Match Log'!$D$4:$D$1510),"the field")),"")</f>
        <v>the field</v>
      </c>
      <c r="I193">
        <f t="shared" si="24"/>
        <v>-9.7729975609756187E-2</v>
      </c>
      <c r="J193">
        <v>169</v>
      </c>
      <c r="K193">
        <f>IF($J193&gt;MAX('Match Log'!$A$4:$A$1510),NA(),IFERROR(LOOKUP(2,1/(('Match Log'!$D$4:$D$1510=$K$24)*('Match Log'!$A$4:$A$1510&lt;=$J193)),'Match Log'!$N$4:$N$1510),NA()))</f>
        <v>984.79733004555192</v>
      </c>
      <c r="L193">
        <f>IF($J193&gt;MAX('Match Log'!$A$4:$A$1510),NA(),IFERROR(LOOKUP(2,1/(('Match Log'!$D$4:$D$1510=$L$24)*('Match Log'!$A$4:$A$1510&lt;=$J193)),'Match Log'!$N$4:$N$1510),NA()))</f>
        <v>1029.5175965335138</v>
      </c>
      <c r="M193">
        <f>IF($J193&gt;MAX('Match Log'!$A$4:$A$1510),NA(),IFERROR(LOOKUP(2,1/(('Match Log'!$D$4:$D$1510=$M$24)*('Match Log'!$A$4:$A$1510&lt;=$J193)),'Match Log'!$N$4:$N$1510),NA()))</f>
        <v>1055.8087051281234</v>
      </c>
      <c r="N193">
        <f>IF($J193&gt;MAX('Match Log'!$A$4:$A$1510),NA(),IFERROR(LOOKUP(2,1/(('Match Log'!$D$4:$D$1510=$N$24)*('Match Log'!$A$4:$A$1510&lt;=$J193)),'Match Log'!$N$4:$N$1510),NA()))</f>
        <v>973.19705892757202</v>
      </c>
      <c r="O193">
        <f>IF($J193&gt;MAX('Match Log'!$A$4:$A$1510),NA(),IFERROR(LOOKUP(2,1/(('Match Log'!$D$4:$D$1510=$O$24)*('Match Log'!$A$4:$A$1510&lt;=$J193)),'Match Log'!$N$4:$N$1510),NA()))</f>
        <v>1063.3497487715442</v>
      </c>
      <c r="P193">
        <f>IF($J193&gt;MAX('Match Log'!$A$4:$A$1510),NA(),IFERROR(LOOKUP(2,1/(('Match Log'!$D$4:$D$1510=$P$24)*('Match Log'!$A$4:$A$1510&lt;=$J193)),'Match Log'!$N$4:$N$1510),NA()))</f>
        <v>1144.540894430409</v>
      </c>
      <c r="Q193">
        <f>IF($J193&gt;MAX('Match Log'!$A$4:$A$1510),NA(),IFERROR(LOOKUP(2,1/(('Match Log'!$D$4:$D$1510=$Q$24)*('Match Log'!$A$4:$A$1510&lt;=$J193)),'Match Log'!$N$4:$N$1510),NA()))</f>
        <v>1051.594831345267</v>
      </c>
      <c r="R193">
        <f>IF($J193&gt;MAX('Match Log'!$A$4:$A$1510),NA(),IFERROR(LOOKUP(2,1/(('Match Log'!$D$4:$D$1510=$R$24)*('Match Log'!$A$4:$A$1510&lt;=$J193)),'Match Log'!$N$4:$N$1510),NA()))</f>
        <v>1078.2356706955445</v>
      </c>
      <c r="S193">
        <f>IF($J193&gt;MAX('Match Log'!$A$4:$A$1510),NA(),IFERROR(LOOKUP(2,1/(('Match Log'!$D$4:$D$1510=$S$24)*('Match Log'!$A$4:$A$1510&lt;=$J193)),'Match Log'!$N$4:$N$1510),NA()))</f>
        <v>1241.7029363250533</v>
      </c>
      <c r="T193">
        <f>IF($J193&gt;MAX('Match Log'!$A$4:$A$1510),NA(),IFERROR(LOOKUP(2,1/(('Match Log'!$D$4:$D$1510=$T$24)*('Match Log'!$A$4:$A$1510&lt;=$J193)),'Match Log'!$N$4:$N$1510),NA()))</f>
        <v>893.15761519837804</v>
      </c>
      <c r="U193">
        <f>IF($J193&gt;MAX('Match Log'!$A$4:$A$1510),NA(),IFERROR(LOOKUP(2,1/(('Match Log'!$D$4:$D$1510=$U$24)*('Match Log'!$A$4:$A$1510&lt;=$J193)),'Match Log'!$N$4:$N$1510),NA()))</f>
        <v>1094.5187921364222</v>
      </c>
      <c r="V193">
        <f>IF($J193&gt;MAX('Match Log'!$A$4:$A$1510),NA(),IFERROR(LOOKUP(2,1/(('Match Log'!$D$4:$D$1510=$V$24)*('Match Log'!$A$4:$A$1510&lt;=$J193)),'Match Log'!$N$4:$N$1510),NA()))</f>
        <v>1009.152401464836</v>
      </c>
      <c r="W193">
        <f>IF($J193&gt;MAX('Match Log'!$A$4:$A$1510),NA(),IFERROR(LOOKUP(2,1/(('Match Log'!$D$4:$D$1510=$W$24)*('Match Log'!$A$4:$A$1510&lt;=$J193)),'Match Log'!$N$4:$N$1510),NA()))</f>
        <v>1052.4264189977837</v>
      </c>
      <c r="X193" t="e">
        <f>IF($J193&gt;MAX('Match Log'!$A$4:$A$1510),NA(),IFERROR(LOOKUP(2,1/(('Match Log'!$D$4:$D$1510=$X$24)*('Match Log'!$A$4:$A$1510&lt;=$J193)),'Match Log'!$N$4:$N$1510),NA()))</f>
        <v>#N/A</v>
      </c>
      <c r="Y193" t="str">
        <f t="shared" ca="1" si="25"/>
        <v/>
      </c>
    </row>
    <row r="194" spans="1:25" x14ac:dyDescent="0.2">
      <c r="A194">
        <v>170</v>
      </c>
      <c r="B194" s="138">
        <f>IFERROR(INDEX('Match Log'!$B$4:$B$1510,MATCH($A194,'Match Log'!$A$4:$A$1510,0)),"")</f>
        <v>46220</v>
      </c>
      <c r="C194" t="str">
        <f>IFERROR(INDEX('Match Log'!$C$4:$C$1510,MATCH($A194,'Match Log'!$A$4:$A$1510,0)),"")</f>
        <v>Mario Golf</v>
      </c>
      <c r="D194" t="str">
        <f t="array" ref="D194">IFERROR(_xlfn.TEXTJOIN(" + ",TRUE(),IF(('Match Log'!$A$4:$A$1510=$A194)*('Match Log'!$E$4:$E$1510="Win"),'Match Log'!$D$4:$D$1510,"")),IFERROR(LOOKUP(2,1/(('Match Log'!$A$4:$A$1510=$A194)*('Match Log'!$E$4:$E$1510="Win")),'Match Log'!$D$4:$D$1510),""))</f>
        <v>Oscar</v>
      </c>
      <c r="E194" s="139">
        <f>IFERROR(INDEX('Match Log'!$F$4:$F$1510,MATCH($A194,'Match Log'!$A$4:$A$1510,0)),"")</f>
        <v>3</v>
      </c>
      <c r="F194">
        <f>IFERROR(SUMIFS('Match Log'!$I$4:$I$1510,'Match Log'!$A$4:$A$1510,$A194,'Match Log'!$E$4:$E$1510,"Win"),"")</f>
        <v>0.20512820512820515</v>
      </c>
      <c r="G194">
        <f t="shared" si="23"/>
        <v>0.38461538461538458</v>
      </c>
      <c r="H194" t="str">
        <f t="array" ref="H194">IFERROR(IF(COUNTIFS('Match Log'!$A$4:$A$1510,$A194,'Match Log'!$E$4:$E$1510,"Win")&gt;1,_xlfn.TEXTJOIN(" + ",TRUE(),IF(('Match Log'!$A$4:$A$1510=$A194)*('Match Log'!$E$4:$E$1510="Loss"),'Match Log'!$D$4:$D$1510,"")),IF($E194=2,LOOKUP(2,1/(('Match Log'!$A$4:$A$1510=$A194)*('Match Log'!$E$4:$E$1510="Loss")),'Match Log'!$D$4:$D$1510),"the field")),"")</f>
        <v>the field</v>
      </c>
      <c r="I194">
        <f t="shared" si="24"/>
        <v>0.38444538461538458</v>
      </c>
      <c r="J194">
        <v>170</v>
      </c>
      <c r="K194">
        <f>IF($J194&gt;MAX('Match Log'!$A$4:$A$1510),NA(),IFERROR(LOOKUP(2,1/(('Match Log'!$D$4:$D$1510=$K$24)*('Match Log'!$A$4:$A$1510&lt;=$J194)),'Match Log'!$N$4:$N$1510),NA()))</f>
        <v>984.79733004555192</v>
      </c>
      <c r="L194">
        <f>IF($J194&gt;MAX('Match Log'!$A$4:$A$1510),NA(),IFERROR(LOOKUP(2,1/(('Match Log'!$D$4:$D$1510=$L$24)*('Match Log'!$A$4:$A$1510&lt;=$J194)),'Match Log'!$N$4:$N$1510),NA()))</f>
        <v>1029.5175965335138</v>
      </c>
      <c r="M194">
        <f>IF($J194&gt;MAX('Match Log'!$A$4:$A$1510),NA(),IFERROR(LOOKUP(2,1/(('Match Log'!$D$4:$D$1510=$M$24)*('Match Log'!$A$4:$A$1510&lt;=$J194)),'Match Log'!$N$4:$N$1510),NA()))</f>
        <v>1046.185574725765</v>
      </c>
      <c r="N194">
        <f>IF($J194&gt;MAX('Match Log'!$A$4:$A$1510),NA(),IFERROR(LOOKUP(2,1/(('Match Log'!$D$4:$D$1510=$N$24)*('Match Log'!$A$4:$A$1510&lt;=$J194)),'Match Log'!$N$4:$N$1510),NA()))</f>
        <v>973.19705892757202</v>
      </c>
      <c r="O194">
        <f>IF($J194&gt;MAX('Match Log'!$A$4:$A$1510),NA(),IFERROR(LOOKUP(2,1/(('Match Log'!$D$4:$D$1510=$O$24)*('Match Log'!$A$4:$A$1510&lt;=$J194)),'Match Log'!$N$4:$N$1510),NA()))</f>
        <v>1063.3497487715442</v>
      </c>
      <c r="P194">
        <f>IF($J194&gt;MAX('Match Log'!$A$4:$A$1510),NA(),IFERROR(LOOKUP(2,1/(('Match Log'!$D$4:$D$1510=$P$24)*('Match Log'!$A$4:$A$1510&lt;=$J194)),'Match Log'!$N$4:$N$1510),NA()))</f>
        <v>1133.8048342740794</v>
      </c>
      <c r="Q194">
        <f>IF($J194&gt;MAX('Match Log'!$A$4:$A$1510),NA(),IFERROR(LOOKUP(2,1/(('Match Log'!$D$4:$D$1510=$Q$24)*('Match Log'!$A$4:$A$1510&lt;=$J194)),'Match Log'!$N$4:$N$1510),NA()))</f>
        <v>1051.594831345267</v>
      </c>
      <c r="R194">
        <f>IF($J194&gt;MAX('Match Log'!$A$4:$A$1510),NA(),IFERROR(LOOKUP(2,1/(('Match Log'!$D$4:$D$1510=$R$24)*('Match Log'!$A$4:$A$1510&lt;=$J194)),'Match Log'!$N$4:$N$1510),NA()))</f>
        <v>1078.2356706955445</v>
      </c>
      <c r="S194">
        <f>IF($J194&gt;MAX('Match Log'!$A$4:$A$1510),NA(),IFERROR(LOOKUP(2,1/(('Match Log'!$D$4:$D$1510=$S$24)*('Match Log'!$A$4:$A$1510&lt;=$J194)),'Match Log'!$N$4:$N$1510),NA()))</f>
        <v>1241.7029363250533</v>
      </c>
      <c r="T194">
        <f>IF($J194&gt;MAX('Match Log'!$A$4:$A$1510),NA(),IFERROR(LOOKUP(2,1/(('Match Log'!$D$4:$D$1510=$T$24)*('Match Log'!$A$4:$A$1510&lt;=$J194)),'Match Log'!$N$4:$N$1510),NA()))</f>
        <v>893.15761519837804</v>
      </c>
      <c r="U194">
        <f>IF($J194&gt;MAX('Match Log'!$A$4:$A$1510),NA(),IFERROR(LOOKUP(2,1/(('Match Log'!$D$4:$D$1510=$U$24)*('Match Log'!$A$4:$A$1510&lt;=$J194)),'Match Log'!$N$4:$N$1510),NA()))</f>
        <v>1123.8779826951099</v>
      </c>
      <c r="V194">
        <f>IF($J194&gt;MAX('Match Log'!$A$4:$A$1510),NA(),IFERROR(LOOKUP(2,1/(('Match Log'!$D$4:$D$1510=$V$24)*('Match Log'!$A$4:$A$1510&lt;=$J194)),'Match Log'!$N$4:$N$1510),NA()))</f>
        <v>1009.152401464836</v>
      </c>
      <c r="W194">
        <f>IF($J194&gt;MAX('Match Log'!$A$4:$A$1510),NA(),IFERROR(LOOKUP(2,1/(('Match Log'!$D$4:$D$1510=$W$24)*('Match Log'!$A$4:$A$1510&lt;=$J194)),'Match Log'!$N$4:$N$1510),NA()))</f>
        <v>1052.4264189977837</v>
      </c>
      <c r="X194" t="e">
        <f>IF($J194&gt;MAX('Match Log'!$A$4:$A$1510),NA(),IFERROR(LOOKUP(2,1/(('Match Log'!$D$4:$D$1510=$X$24)*('Match Log'!$A$4:$A$1510&lt;=$J194)),'Match Log'!$N$4:$N$1510),NA()))</f>
        <v>#N/A</v>
      </c>
      <c r="Y194" t="str">
        <f t="shared" ca="1" si="25"/>
        <v/>
      </c>
    </row>
    <row r="195" spans="1:25" x14ac:dyDescent="0.2">
      <c r="A195">
        <v>171</v>
      </c>
      <c r="B195" s="138">
        <f>IFERROR(INDEX('Match Log'!$B$4:$B$1510,MATCH($A195,'Match Log'!$A$4:$A$1510,0)),"")</f>
        <v>46220</v>
      </c>
      <c r="C195" t="str">
        <f>IFERROR(INDEX('Match Log'!$C$4:$C$1510,MATCH($A195,'Match Log'!$A$4:$A$1510,0)),"")</f>
        <v>Mario Golf</v>
      </c>
      <c r="D195" t="str">
        <f t="array" ref="D195">IFERROR(_xlfn.TEXTJOIN(" + ",TRUE(),IF(('Match Log'!$A$4:$A$1510=$A195)*('Match Log'!$E$4:$E$1510="Win"),'Match Log'!$D$4:$D$1510,"")),IFERROR(LOOKUP(2,1/(('Match Log'!$A$4:$A$1510=$A195)*('Match Log'!$E$4:$E$1510="Win")),'Match Log'!$D$4:$D$1510),""))</f>
        <v>Shawn</v>
      </c>
      <c r="E195" s="139">
        <f>IFERROR(INDEX('Match Log'!$F$4:$F$1510,MATCH($A195,'Match Log'!$A$4:$A$1510,0)),"")</f>
        <v>3</v>
      </c>
      <c r="F195">
        <f>IFERROR(SUMIFS('Match Log'!$I$4:$I$1510,'Match Log'!$A$4:$A$1510,$A195,'Match Log'!$E$4:$E$1510,"Win"),"")</f>
        <v>0.38840937114673241</v>
      </c>
      <c r="G195">
        <f t="shared" si="23"/>
        <v>-0.16522811344019717</v>
      </c>
      <c r="H195" t="str">
        <f t="array" ref="H195">IFERROR(IF(COUNTIFS('Match Log'!$A$4:$A$1510,$A195,'Match Log'!$E$4:$E$1510,"Win")&gt;1,_xlfn.TEXTJOIN(" + ",TRUE(),IF(('Match Log'!$A$4:$A$1510=$A195)*('Match Log'!$E$4:$E$1510="Loss"),'Match Log'!$D$4:$D$1510,"")),IF($E195=2,LOOKUP(2,1/(('Match Log'!$A$4:$A$1510=$A195)*('Match Log'!$E$4:$E$1510="Loss")),'Match Log'!$D$4:$D$1510),"the field")),"")</f>
        <v>the field</v>
      </c>
      <c r="I195">
        <f t="shared" si="24"/>
        <v>-0.16539911344019717</v>
      </c>
      <c r="J195">
        <v>171</v>
      </c>
      <c r="K195">
        <f>IF($J195&gt;MAX('Match Log'!$A$4:$A$1510),NA(),IFERROR(LOOKUP(2,1/(('Match Log'!$D$4:$D$1510=$K$24)*('Match Log'!$A$4:$A$1510&lt;=$J195)),'Match Log'!$N$4:$N$1510),NA()))</f>
        <v>984.79733004555192</v>
      </c>
      <c r="L195">
        <f>IF($J195&gt;MAX('Match Log'!$A$4:$A$1510),NA(),IFERROR(LOOKUP(2,1/(('Match Log'!$D$4:$D$1510=$L$24)*('Match Log'!$A$4:$A$1510&lt;=$J195)),'Match Log'!$N$4:$N$1510),NA()))</f>
        <v>1029.5175965335138</v>
      </c>
      <c r="M195">
        <f>IF($J195&gt;MAX('Match Log'!$A$4:$A$1510),NA(),IFERROR(LOOKUP(2,1/(('Match Log'!$D$4:$D$1510=$M$24)*('Match Log'!$A$4:$A$1510&lt;=$J195)),'Match Log'!$N$4:$N$1510),NA()))</f>
        <v>1037.8197114720938</v>
      </c>
      <c r="N195">
        <f>IF($J195&gt;MAX('Match Log'!$A$4:$A$1510),NA(),IFERROR(LOOKUP(2,1/(('Match Log'!$D$4:$D$1510=$N$24)*('Match Log'!$A$4:$A$1510&lt;=$J195)),'Match Log'!$N$4:$N$1510),NA()))</f>
        <v>973.19705892757202</v>
      </c>
      <c r="O195">
        <f>IF($J195&gt;MAX('Match Log'!$A$4:$A$1510),NA(),IFERROR(LOOKUP(2,1/(('Match Log'!$D$4:$D$1510=$O$24)*('Match Log'!$A$4:$A$1510&lt;=$J195)),'Match Log'!$N$4:$N$1510),NA()))</f>
        <v>1063.3497487715442</v>
      </c>
      <c r="P195">
        <f>IF($J195&gt;MAX('Match Log'!$A$4:$A$1510),NA(),IFERROR(LOOKUP(2,1/(('Match Log'!$D$4:$D$1510=$P$24)*('Match Log'!$A$4:$A$1510&lt;=$J195)),'Match Log'!$N$4:$N$1510),NA()))</f>
        <v>1159.2274869956852</v>
      </c>
      <c r="Q195">
        <f>IF($J195&gt;MAX('Match Log'!$A$4:$A$1510),NA(),IFERROR(LOOKUP(2,1/(('Match Log'!$D$4:$D$1510=$Q$24)*('Match Log'!$A$4:$A$1510&lt;=$J195)),'Match Log'!$N$4:$N$1510),NA()))</f>
        <v>1051.594831345267</v>
      </c>
      <c r="R195">
        <f>IF($J195&gt;MAX('Match Log'!$A$4:$A$1510),NA(),IFERROR(LOOKUP(2,1/(('Match Log'!$D$4:$D$1510=$R$24)*('Match Log'!$A$4:$A$1510&lt;=$J195)),'Match Log'!$N$4:$N$1510),NA()))</f>
        <v>1078.2356706955445</v>
      </c>
      <c r="S195">
        <f>IF($J195&gt;MAX('Match Log'!$A$4:$A$1510),NA(),IFERROR(LOOKUP(2,1/(('Match Log'!$D$4:$D$1510=$S$24)*('Match Log'!$A$4:$A$1510&lt;=$J195)),'Match Log'!$N$4:$N$1510),NA()))</f>
        <v>1241.7029363250533</v>
      </c>
      <c r="T195">
        <f>IF($J195&gt;MAX('Match Log'!$A$4:$A$1510),NA(),IFERROR(LOOKUP(2,1/(('Match Log'!$D$4:$D$1510=$T$24)*('Match Log'!$A$4:$A$1510&lt;=$J195)),'Match Log'!$N$4:$N$1510),NA()))</f>
        <v>893.15761519837804</v>
      </c>
      <c r="U195">
        <f>IF($J195&gt;MAX('Match Log'!$A$4:$A$1510),NA(),IFERROR(LOOKUP(2,1/(('Match Log'!$D$4:$D$1510=$U$24)*('Match Log'!$A$4:$A$1510&lt;=$J195)),'Match Log'!$N$4:$N$1510),NA()))</f>
        <v>1115.8211932271754</v>
      </c>
      <c r="V195">
        <f>IF($J195&gt;MAX('Match Log'!$A$4:$A$1510),NA(),IFERROR(LOOKUP(2,1/(('Match Log'!$D$4:$D$1510=$V$24)*('Match Log'!$A$4:$A$1510&lt;=$J195)),'Match Log'!$N$4:$N$1510),NA()))</f>
        <v>1009.152401464836</v>
      </c>
      <c r="W195">
        <f>IF($J195&gt;MAX('Match Log'!$A$4:$A$1510),NA(),IFERROR(LOOKUP(2,1/(('Match Log'!$D$4:$D$1510=$W$24)*('Match Log'!$A$4:$A$1510&lt;=$J195)),'Match Log'!$N$4:$N$1510),NA()))</f>
        <v>1052.4264189977837</v>
      </c>
      <c r="X195" t="e">
        <f>IF($J195&gt;MAX('Match Log'!$A$4:$A$1510),NA(),IFERROR(LOOKUP(2,1/(('Match Log'!$D$4:$D$1510=$X$24)*('Match Log'!$A$4:$A$1510&lt;=$J195)),'Match Log'!$N$4:$N$1510),NA()))</f>
        <v>#N/A</v>
      </c>
      <c r="Y195" t="str">
        <f t="shared" ca="1" si="25"/>
        <v/>
      </c>
    </row>
    <row r="196" spans="1:25" x14ac:dyDescent="0.2">
      <c r="A196">
        <v>172</v>
      </c>
      <c r="B196" s="138">
        <f>IFERROR(INDEX('Match Log'!$B$4:$B$1510,MATCH($A196,'Match Log'!$A$4:$A$1510,0)),"")</f>
        <v>46222</v>
      </c>
      <c r="C196" t="str">
        <f>IFERROR(INDEX('Match Log'!$C$4:$C$1510,MATCH($A196,'Match Log'!$A$4:$A$1510,0)),"")</f>
        <v>Call of Duty</v>
      </c>
      <c r="D196" t="str">
        <f t="array" ref="D196">IFERROR(_xlfn.TEXTJOIN(" + ",TRUE(),IF(('Match Log'!$A$4:$A$1510=$A196)*('Match Log'!$E$4:$E$1510="Win"),'Match Log'!$D$4:$D$1510,"")),IFERROR(LOOKUP(2,1/(('Match Log'!$A$4:$A$1510=$A196)*('Match Log'!$E$4:$E$1510="Win")),'Match Log'!$D$4:$D$1510),""))</f>
        <v>Aaron</v>
      </c>
      <c r="E196" s="139">
        <f>IFERROR(INDEX('Match Log'!$F$4:$F$1510,MATCH($A196,'Match Log'!$A$4:$A$1510,0)),"")</f>
        <v>2</v>
      </c>
      <c r="F196">
        <f>IFERROR(SUMIFS('Match Log'!$I$4:$I$1510,'Match Log'!$A$4:$A$1510,$A196,'Match Log'!$E$4:$E$1510,"Win"),"")</f>
        <v>0.25</v>
      </c>
      <c r="G196">
        <f t="shared" si="23"/>
        <v>0.5</v>
      </c>
      <c r="H196" t="str">
        <f t="array" ref="H196">IFERROR(IF(COUNTIFS('Match Log'!$A$4:$A$1510,$A196,'Match Log'!$E$4:$E$1510,"Win")&gt;1,_xlfn.TEXTJOIN(" + ",TRUE(),IF(('Match Log'!$A$4:$A$1510=$A196)*('Match Log'!$E$4:$E$1510="Loss"),'Match Log'!$D$4:$D$1510,"")),IF($E196=2,LOOKUP(2,1/(('Match Log'!$A$4:$A$1510=$A196)*('Match Log'!$E$4:$E$1510="Loss")),'Match Log'!$D$4:$D$1510),"the field")),"")</f>
        <v>Daniel (Ferret)</v>
      </c>
      <c r="I196">
        <f t="shared" si="24"/>
        <v>0.49982799999999999</v>
      </c>
      <c r="J196">
        <v>172</v>
      </c>
      <c r="K196">
        <f>IF($J196&gt;MAX('Match Log'!$A$4:$A$1510),NA(),IFERROR(LOOKUP(2,1/(('Match Log'!$D$4:$D$1510=$K$24)*('Match Log'!$A$4:$A$1510&lt;=$J196)),'Match Log'!$N$4:$N$1510),NA()))</f>
        <v>1014.3738341970187</v>
      </c>
      <c r="L196">
        <f>IF($J196&gt;MAX('Match Log'!$A$4:$A$1510),NA(),IFERROR(LOOKUP(2,1/(('Match Log'!$D$4:$D$1510=$L$24)*('Match Log'!$A$4:$A$1510&lt;=$J196)),'Match Log'!$N$4:$N$1510),NA()))</f>
        <v>1029.5175965335138</v>
      </c>
      <c r="M196">
        <f>IF($J196&gt;MAX('Match Log'!$A$4:$A$1510),NA(),IFERROR(LOOKUP(2,1/(('Match Log'!$D$4:$D$1510=$M$24)*('Match Log'!$A$4:$A$1510&lt;=$J196)),'Match Log'!$N$4:$N$1510),NA()))</f>
        <v>1037.8197114720938</v>
      </c>
      <c r="N196">
        <f>IF($J196&gt;MAX('Match Log'!$A$4:$A$1510),NA(),IFERROR(LOOKUP(2,1/(('Match Log'!$D$4:$D$1510=$N$24)*('Match Log'!$A$4:$A$1510&lt;=$J196)),'Match Log'!$N$4:$N$1510),NA()))</f>
        <v>973.19705892757202</v>
      </c>
      <c r="O196">
        <f>IF($J196&gt;MAX('Match Log'!$A$4:$A$1510),NA(),IFERROR(LOOKUP(2,1/(('Match Log'!$D$4:$D$1510=$O$24)*('Match Log'!$A$4:$A$1510&lt;=$J196)),'Match Log'!$N$4:$N$1510),NA()))</f>
        <v>1063.3497487715442</v>
      </c>
      <c r="P196">
        <f>IF($J196&gt;MAX('Match Log'!$A$4:$A$1510),NA(),IFERROR(LOOKUP(2,1/(('Match Log'!$D$4:$D$1510=$P$24)*('Match Log'!$A$4:$A$1510&lt;=$J196)),'Match Log'!$N$4:$N$1510),NA()))</f>
        <v>1159.2274869956852</v>
      </c>
      <c r="Q196">
        <f>IF($J196&gt;MAX('Match Log'!$A$4:$A$1510),NA(),IFERROR(LOOKUP(2,1/(('Match Log'!$D$4:$D$1510=$Q$24)*('Match Log'!$A$4:$A$1510&lt;=$J196)),'Match Log'!$N$4:$N$1510),NA()))</f>
        <v>1051.594831345267</v>
      </c>
      <c r="R196">
        <f>IF($J196&gt;MAX('Match Log'!$A$4:$A$1510),NA(),IFERROR(LOOKUP(2,1/(('Match Log'!$D$4:$D$1510=$R$24)*('Match Log'!$A$4:$A$1510&lt;=$J196)),'Match Log'!$N$4:$N$1510),NA()))</f>
        <v>1048.6591665440778</v>
      </c>
      <c r="S196">
        <f>IF($J196&gt;MAX('Match Log'!$A$4:$A$1510),NA(),IFERROR(LOOKUP(2,1/(('Match Log'!$D$4:$D$1510=$S$24)*('Match Log'!$A$4:$A$1510&lt;=$J196)),'Match Log'!$N$4:$N$1510),NA()))</f>
        <v>1241.7029363250533</v>
      </c>
      <c r="T196">
        <f>IF($J196&gt;MAX('Match Log'!$A$4:$A$1510),NA(),IFERROR(LOOKUP(2,1/(('Match Log'!$D$4:$D$1510=$T$24)*('Match Log'!$A$4:$A$1510&lt;=$J196)),'Match Log'!$N$4:$N$1510),NA()))</f>
        <v>893.15761519837804</v>
      </c>
      <c r="U196">
        <f>IF($J196&gt;MAX('Match Log'!$A$4:$A$1510),NA(),IFERROR(LOOKUP(2,1/(('Match Log'!$D$4:$D$1510=$U$24)*('Match Log'!$A$4:$A$1510&lt;=$J196)),'Match Log'!$N$4:$N$1510),NA()))</f>
        <v>1115.8211932271754</v>
      </c>
      <c r="V196">
        <f>IF($J196&gt;MAX('Match Log'!$A$4:$A$1510),NA(),IFERROR(LOOKUP(2,1/(('Match Log'!$D$4:$D$1510=$V$24)*('Match Log'!$A$4:$A$1510&lt;=$J196)),'Match Log'!$N$4:$N$1510),NA()))</f>
        <v>1009.152401464836</v>
      </c>
      <c r="W196">
        <f>IF($J196&gt;MAX('Match Log'!$A$4:$A$1510),NA(),IFERROR(LOOKUP(2,1/(('Match Log'!$D$4:$D$1510=$W$24)*('Match Log'!$A$4:$A$1510&lt;=$J196)),'Match Log'!$N$4:$N$1510),NA()))</f>
        <v>1052.4264189977837</v>
      </c>
      <c r="X196" t="e">
        <f>IF($J196&gt;MAX('Match Log'!$A$4:$A$1510),NA(),IFERROR(LOOKUP(2,1/(('Match Log'!$D$4:$D$1510=$X$24)*('Match Log'!$A$4:$A$1510&lt;=$J196)),'Match Log'!$N$4:$N$1510),NA()))</f>
        <v>#N/A</v>
      </c>
      <c r="Y196" t="str">
        <f t="shared" ca="1" si="25"/>
        <v/>
      </c>
    </row>
    <row r="197" spans="1:25" x14ac:dyDescent="0.2">
      <c r="A197">
        <v>173</v>
      </c>
      <c r="B197" s="138">
        <f>IFERROR(INDEX('Match Log'!$B$4:$B$1510,MATCH($A197,'Match Log'!$A$4:$A$1510,0)),"")</f>
        <v>46222</v>
      </c>
      <c r="C197" t="str">
        <f>IFERROR(INDEX('Match Log'!$C$4:$C$1510,MATCH($A197,'Match Log'!$A$4:$A$1510,0)),"")</f>
        <v>Call of Duty</v>
      </c>
      <c r="D197" t="str">
        <f t="array" ref="D197">IFERROR(_xlfn.TEXTJOIN(" + ",TRUE(),IF(('Match Log'!$A$4:$A$1510=$A197)*('Match Log'!$E$4:$E$1510="Win"),'Match Log'!$D$4:$D$1510,"")),IFERROR(LOOKUP(2,1/(('Match Log'!$A$4:$A$1510=$A197)*('Match Log'!$E$4:$E$1510="Win")),'Match Log'!$D$4:$D$1510),""))</f>
        <v>Daniel (Ferret)</v>
      </c>
      <c r="E197" s="139">
        <f>IFERROR(INDEX('Match Log'!$F$4:$F$1510,MATCH($A197,'Match Log'!$A$4:$A$1510,0)),"")</f>
        <v>2</v>
      </c>
      <c r="F197">
        <f>IFERROR(SUMIFS('Match Log'!$I$4:$I$1510,'Match Log'!$A$4:$A$1510,$A197,'Match Log'!$E$4:$E$1510,"Win"),"")</f>
        <v>0.66666666666666663</v>
      </c>
      <c r="G197">
        <f t="shared" si="23"/>
        <v>-0.33333333333333326</v>
      </c>
      <c r="H197" t="str">
        <f t="array" ref="H197">IFERROR(IF(COUNTIFS('Match Log'!$A$4:$A$1510,$A197,'Match Log'!$E$4:$E$1510,"Win")&gt;1,_xlfn.TEXTJOIN(" + ",TRUE(),IF(('Match Log'!$A$4:$A$1510=$A197)*('Match Log'!$E$4:$E$1510="Loss"),'Match Log'!$D$4:$D$1510,"")),IF($E197=2,LOOKUP(2,1/(('Match Log'!$A$4:$A$1510=$A197)*('Match Log'!$E$4:$E$1510="Loss")),'Match Log'!$D$4:$D$1510),"the field")),"")</f>
        <v>Aaron</v>
      </c>
      <c r="I197">
        <f t="shared" si="24"/>
        <v>-0.33350633333333324</v>
      </c>
      <c r="J197">
        <v>173</v>
      </c>
      <c r="K197">
        <f>IF($J197&gt;MAX('Match Log'!$A$4:$A$1510),NA(),IFERROR(LOOKUP(2,1/(('Match Log'!$D$4:$D$1510=$K$24)*('Match Log'!$A$4:$A$1510&lt;=$J197)),'Match Log'!$N$4:$N$1510),NA()))</f>
        <v>996.80890241939892</v>
      </c>
      <c r="L197">
        <f>IF($J197&gt;MAX('Match Log'!$A$4:$A$1510),NA(),IFERROR(LOOKUP(2,1/(('Match Log'!$D$4:$D$1510=$L$24)*('Match Log'!$A$4:$A$1510&lt;=$J197)),'Match Log'!$N$4:$N$1510),NA()))</f>
        <v>1029.5175965335138</v>
      </c>
      <c r="M197">
        <f>IF($J197&gt;MAX('Match Log'!$A$4:$A$1510),NA(),IFERROR(LOOKUP(2,1/(('Match Log'!$D$4:$D$1510=$M$24)*('Match Log'!$A$4:$A$1510&lt;=$J197)),'Match Log'!$N$4:$N$1510),NA()))</f>
        <v>1037.8197114720938</v>
      </c>
      <c r="N197">
        <f>IF($J197&gt;MAX('Match Log'!$A$4:$A$1510),NA(),IFERROR(LOOKUP(2,1/(('Match Log'!$D$4:$D$1510=$N$24)*('Match Log'!$A$4:$A$1510&lt;=$J197)),'Match Log'!$N$4:$N$1510),NA()))</f>
        <v>973.19705892757202</v>
      </c>
      <c r="O197">
        <f>IF($J197&gt;MAX('Match Log'!$A$4:$A$1510),NA(),IFERROR(LOOKUP(2,1/(('Match Log'!$D$4:$D$1510=$O$24)*('Match Log'!$A$4:$A$1510&lt;=$J197)),'Match Log'!$N$4:$N$1510),NA()))</f>
        <v>1063.3497487715442</v>
      </c>
      <c r="P197">
        <f>IF($J197&gt;MAX('Match Log'!$A$4:$A$1510),NA(),IFERROR(LOOKUP(2,1/(('Match Log'!$D$4:$D$1510=$P$24)*('Match Log'!$A$4:$A$1510&lt;=$J197)),'Match Log'!$N$4:$N$1510),NA()))</f>
        <v>1159.2274869956852</v>
      </c>
      <c r="Q197">
        <f>IF($J197&gt;MAX('Match Log'!$A$4:$A$1510),NA(),IFERROR(LOOKUP(2,1/(('Match Log'!$D$4:$D$1510=$Q$24)*('Match Log'!$A$4:$A$1510&lt;=$J197)),'Match Log'!$N$4:$N$1510),NA()))</f>
        <v>1051.594831345267</v>
      </c>
      <c r="R197">
        <f>IF($J197&gt;MAX('Match Log'!$A$4:$A$1510),NA(),IFERROR(LOOKUP(2,1/(('Match Log'!$D$4:$D$1510=$R$24)*('Match Log'!$A$4:$A$1510&lt;=$J197)),'Match Log'!$N$4:$N$1510),NA()))</f>
        <v>1066.2240983216975</v>
      </c>
      <c r="S197">
        <f>IF($J197&gt;MAX('Match Log'!$A$4:$A$1510),NA(),IFERROR(LOOKUP(2,1/(('Match Log'!$D$4:$D$1510=$S$24)*('Match Log'!$A$4:$A$1510&lt;=$J197)),'Match Log'!$N$4:$N$1510),NA()))</f>
        <v>1241.7029363250533</v>
      </c>
      <c r="T197">
        <f>IF($J197&gt;MAX('Match Log'!$A$4:$A$1510),NA(),IFERROR(LOOKUP(2,1/(('Match Log'!$D$4:$D$1510=$T$24)*('Match Log'!$A$4:$A$1510&lt;=$J197)),'Match Log'!$N$4:$N$1510),NA()))</f>
        <v>893.15761519837804</v>
      </c>
      <c r="U197">
        <f>IF($J197&gt;MAX('Match Log'!$A$4:$A$1510),NA(),IFERROR(LOOKUP(2,1/(('Match Log'!$D$4:$D$1510=$U$24)*('Match Log'!$A$4:$A$1510&lt;=$J197)),'Match Log'!$N$4:$N$1510),NA()))</f>
        <v>1115.8211932271754</v>
      </c>
      <c r="V197">
        <f>IF($J197&gt;MAX('Match Log'!$A$4:$A$1510),NA(),IFERROR(LOOKUP(2,1/(('Match Log'!$D$4:$D$1510=$V$24)*('Match Log'!$A$4:$A$1510&lt;=$J197)),'Match Log'!$N$4:$N$1510),NA()))</f>
        <v>1009.152401464836</v>
      </c>
      <c r="W197">
        <f>IF($J197&gt;MAX('Match Log'!$A$4:$A$1510),NA(),IFERROR(LOOKUP(2,1/(('Match Log'!$D$4:$D$1510=$W$24)*('Match Log'!$A$4:$A$1510&lt;=$J197)),'Match Log'!$N$4:$N$1510),NA()))</f>
        <v>1052.4264189977837</v>
      </c>
      <c r="X197" t="e">
        <f>IF($J197&gt;MAX('Match Log'!$A$4:$A$1510),NA(),IFERROR(LOOKUP(2,1/(('Match Log'!$D$4:$D$1510=$X$24)*('Match Log'!$A$4:$A$1510&lt;=$J197)),'Match Log'!$N$4:$N$1510),NA()))</f>
        <v>#N/A</v>
      </c>
      <c r="Y197" t="str">
        <f t="shared" ca="1" si="25"/>
        <v/>
      </c>
    </row>
    <row r="198" spans="1:25" x14ac:dyDescent="0.2">
      <c r="A198">
        <v>174</v>
      </c>
      <c r="B198" s="138">
        <f>IFERROR(INDEX('Match Log'!$B$4:$B$1510,MATCH($A198,'Match Log'!$A$4:$A$1510,0)),"")</f>
        <v>46222</v>
      </c>
      <c r="C198" t="str">
        <f>IFERROR(INDEX('Match Log'!$C$4:$C$1510,MATCH($A198,'Match Log'!$A$4:$A$1510,0)),"")</f>
        <v>Call of Duty</v>
      </c>
      <c r="D198" t="str">
        <f t="array" ref="D198">IFERROR(_xlfn.TEXTJOIN(" + ",TRUE(),IF(('Match Log'!$A$4:$A$1510=$A198)*('Match Log'!$E$4:$E$1510="Win"),'Match Log'!$D$4:$D$1510,"")),IFERROR(LOOKUP(2,1/(('Match Log'!$A$4:$A$1510=$A198)*('Match Log'!$E$4:$E$1510="Win")),'Match Log'!$D$4:$D$1510),""))</f>
        <v>Daniel (Ferret)</v>
      </c>
      <c r="E198" s="139">
        <f>IFERROR(INDEX('Match Log'!$F$4:$F$1510,MATCH($A198,'Match Log'!$A$4:$A$1510,0)),"")</f>
        <v>2</v>
      </c>
      <c r="F198">
        <f>IFERROR(SUMIFS('Match Log'!$I$4:$I$1510,'Match Log'!$A$4:$A$1510,$A198,'Match Log'!$E$4:$E$1510,"Win"),"")</f>
        <v>0.7</v>
      </c>
      <c r="G198">
        <f t="shared" si="23"/>
        <v>-0.39999999999999991</v>
      </c>
      <c r="H198" t="str">
        <f t="array" ref="H198">IFERROR(IF(COUNTIFS('Match Log'!$A$4:$A$1510,$A198,'Match Log'!$E$4:$E$1510,"Win")&gt;1,_xlfn.TEXTJOIN(" + ",TRUE(),IF(('Match Log'!$A$4:$A$1510=$A198)*('Match Log'!$E$4:$E$1510="Loss"),'Match Log'!$D$4:$D$1510,"")),IF($E198=2,LOOKUP(2,1/(('Match Log'!$A$4:$A$1510=$A198)*('Match Log'!$E$4:$E$1510="Loss")),'Match Log'!$D$4:$D$1510),"the field")),"")</f>
        <v>Aaron</v>
      </c>
      <c r="I198">
        <f t="shared" si="24"/>
        <v>-0.40017399999999992</v>
      </c>
      <c r="J198">
        <v>174</v>
      </c>
      <c r="K198">
        <f>IF($J198&gt;MAX('Match Log'!$A$4:$A$1510),NA(),IFERROR(LOOKUP(2,1/(('Match Log'!$D$4:$D$1510=$K$24)*('Match Log'!$A$4:$A$1510&lt;=$J198)),'Match Log'!$N$4:$N$1510),NA()))</f>
        <v>981.01441254345173</v>
      </c>
      <c r="L198">
        <f>IF($J198&gt;MAX('Match Log'!$A$4:$A$1510),NA(),IFERROR(LOOKUP(2,1/(('Match Log'!$D$4:$D$1510=$L$24)*('Match Log'!$A$4:$A$1510&lt;=$J198)),'Match Log'!$N$4:$N$1510),NA()))</f>
        <v>1029.5175965335138</v>
      </c>
      <c r="M198">
        <f>IF($J198&gt;MAX('Match Log'!$A$4:$A$1510),NA(),IFERROR(LOOKUP(2,1/(('Match Log'!$D$4:$D$1510=$M$24)*('Match Log'!$A$4:$A$1510&lt;=$J198)),'Match Log'!$N$4:$N$1510),NA()))</f>
        <v>1037.8197114720938</v>
      </c>
      <c r="N198">
        <f>IF($J198&gt;MAX('Match Log'!$A$4:$A$1510),NA(),IFERROR(LOOKUP(2,1/(('Match Log'!$D$4:$D$1510=$N$24)*('Match Log'!$A$4:$A$1510&lt;=$J198)),'Match Log'!$N$4:$N$1510),NA()))</f>
        <v>973.19705892757202</v>
      </c>
      <c r="O198">
        <f>IF($J198&gt;MAX('Match Log'!$A$4:$A$1510),NA(),IFERROR(LOOKUP(2,1/(('Match Log'!$D$4:$D$1510=$O$24)*('Match Log'!$A$4:$A$1510&lt;=$J198)),'Match Log'!$N$4:$N$1510),NA()))</f>
        <v>1063.3497487715442</v>
      </c>
      <c r="P198">
        <f>IF($J198&gt;MAX('Match Log'!$A$4:$A$1510),NA(),IFERROR(LOOKUP(2,1/(('Match Log'!$D$4:$D$1510=$P$24)*('Match Log'!$A$4:$A$1510&lt;=$J198)),'Match Log'!$N$4:$N$1510),NA()))</f>
        <v>1159.2274869956852</v>
      </c>
      <c r="Q198">
        <f>IF($J198&gt;MAX('Match Log'!$A$4:$A$1510),NA(),IFERROR(LOOKUP(2,1/(('Match Log'!$D$4:$D$1510=$Q$24)*('Match Log'!$A$4:$A$1510&lt;=$J198)),'Match Log'!$N$4:$N$1510),NA()))</f>
        <v>1051.594831345267</v>
      </c>
      <c r="R198">
        <f>IF($J198&gt;MAX('Match Log'!$A$4:$A$1510),NA(),IFERROR(LOOKUP(2,1/(('Match Log'!$D$4:$D$1510=$R$24)*('Match Log'!$A$4:$A$1510&lt;=$J198)),'Match Log'!$N$4:$N$1510),NA()))</f>
        <v>1082.0185881976447</v>
      </c>
      <c r="S198">
        <f>IF($J198&gt;MAX('Match Log'!$A$4:$A$1510),NA(),IFERROR(LOOKUP(2,1/(('Match Log'!$D$4:$D$1510=$S$24)*('Match Log'!$A$4:$A$1510&lt;=$J198)),'Match Log'!$N$4:$N$1510),NA()))</f>
        <v>1241.7029363250533</v>
      </c>
      <c r="T198">
        <f>IF($J198&gt;MAX('Match Log'!$A$4:$A$1510),NA(),IFERROR(LOOKUP(2,1/(('Match Log'!$D$4:$D$1510=$T$24)*('Match Log'!$A$4:$A$1510&lt;=$J198)),'Match Log'!$N$4:$N$1510),NA()))</f>
        <v>893.15761519837804</v>
      </c>
      <c r="U198">
        <f>IF($J198&gt;MAX('Match Log'!$A$4:$A$1510),NA(),IFERROR(LOOKUP(2,1/(('Match Log'!$D$4:$D$1510=$U$24)*('Match Log'!$A$4:$A$1510&lt;=$J198)),'Match Log'!$N$4:$N$1510),NA()))</f>
        <v>1115.8211932271754</v>
      </c>
      <c r="V198">
        <f>IF($J198&gt;MAX('Match Log'!$A$4:$A$1510),NA(),IFERROR(LOOKUP(2,1/(('Match Log'!$D$4:$D$1510=$V$24)*('Match Log'!$A$4:$A$1510&lt;=$J198)),'Match Log'!$N$4:$N$1510),NA()))</f>
        <v>1009.152401464836</v>
      </c>
      <c r="W198">
        <f>IF($J198&gt;MAX('Match Log'!$A$4:$A$1510),NA(),IFERROR(LOOKUP(2,1/(('Match Log'!$D$4:$D$1510=$W$24)*('Match Log'!$A$4:$A$1510&lt;=$J198)),'Match Log'!$N$4:$N$1510),NA()))</f>
        <v>1052.4264189977837</v>
      </c>
      <c r="X198" t="e">
        <f>IF($J198&gt;MAX('Match Log'!$A$4:$A$1510),NA(),IFERROR(LOOKUP(2,1/(('Match Log'!$D$4:$D$1510=$X$24)*('Match Log'!$A$4:$A$1510&lt;=$J198)),'Match Log'!$N$4:$N$1510),NA()))</f>
        <v>#N/A</v>
      </c>
      <c r="Y198" t="str">
        <f t="shared" ca="1" si="25"/>
        <v/>
      </c>
    </row>
    <row r="199" spans="1:25" x14ac:dyDescent="0.2">
      <c r="A199">
        <v>175</v>
      </c>
      <c r="B199" s="138">
        <f>IFERROR(INDEX('Match Log'!$B$4:$B$1510,MATCH($A199,'Match Log'!$A$4:$A$1510,0)),"")</f>
        <v>46222</v>
      </c>
      <c r="C199" t="str">
        <f>IFERROR(INDEX('Match Log'!$C$4:$C$1510,MATCH($A199,'Match Log'!$A$4:$A$1510,0)),"")</f>
        <v>Call of Duty</v>
      </c>
      <c r="D199" t="str">
        <f t="array" ref="D199">IFERROR(_xlfn.TEXTJOIN(" + ",TRUE(),IF(('Match Log'!$A$4:$A$1510=$A199)*('Match Log'!$E$4:$E$1510="Win"),'Match Log'!$D$4:$D$1510,"")),IFERROR(LOOKUP(2,1/(('Match Log'!$A$4:$A$1510=$A199)*('Match Log'!$E$4:$E$1510="Win")),'Match Log'!$D$4:$D$1510),""))</f>
        <v>Aaron</v>
      </c>
      <c r="E199" s="139">
        <f>IFERROR(INDEX('Match Log'!$F$4:$F$1510,MATCH($A199,'Match Log'!$A$4:$A$1510,0)),"")</f>
        <v>2</v>
      </c>
      <c r="F199">
        <f>IFERROR(SUMIFS('Match Log'!$I$4:$I$1510,'Match Log'!$A$4:$A$1510,$A199,'Match Log'!$E$4:$E$1510,"Win"),"")</f>
        <v>0.27272727272727271</v>
      </c>
      <c r="G199">
        <f t="shared" si="23"/>
        <v>0.45454545454545459</v>
      </c>
      <c r="H199" t="str">
        <f t="array" ref="H199">IFERROR(IF(COUNTIFS('Match Log'!$A$4:$A$1510,$A199,'Match Log'!$E$4:$E$1510,"Win")&gt;1,_xlfn.TEXTJOIN(" + ",TRUE(),IF(('Match Log'!$A$4:$A$1510=$A199)*('Match Log'!$E$4:$E$1510="Loss"),'Match Log'!$D$4:$D$1510,"")),IF($E199=2,LOOKUP(2,1/(('Match Log'!$A$4:$A$1510=$A199)*('Match Log'!$E$4:$E$1510="Loss")),'Match Log'!$D$4:$D$1510),"the field")),"")</f>
        <v>Daniel (Ferret)</v>
      </c>
      <c r="I199">
        <f t="shared" si="24"/>
        <v>0.45437045454545461</v>
      </c>
      <c r="J199">
        <v>175</v>
      </c>
      <c r="K199">
        <f>IF($J199&gt;MAX('Match Log'!$A$4:$A$1510),NA(),IFERROR(LOOKUP(2,1/(('Match Log'!$D$4:$D$1510=$K$24)*('Match Log'!$A$4:$A$1510&lt;=$J199)),'Match Log'!$N$4:$N$1510),NA()))</f>
        <v>1010.7137957188797</v>
      </c>
      <c r="L199">
        <f>IF($J199&gt;MAX('Match Log'!$A$4:$A$1510),NA(),IFERROR(LOOKUP(2,1/(('Match Log'!$D$4:$D$1510=$L$24)*('Match Log'!$A$4:$A$1510&lt;=$J199)),'Match Log'!$N$4:$N$1510),NA()))</f>
        <v>1029.5175965335138</v>
      </c>
      <c r="M199">
        <f>IF($J199&gt;MAX('Match Log'!$A$4:$A$1510),NA(),IFERROR(LOOKUP(2,1/(('Match Log'!$D$4:$D$1510=$M$24)*('Match Log'!$A$4:$A$1510&lt;=$J199)),'Match Log'!$N$4:$N$1510),NA()))</f>
        <v>1037.8197114720938</v>
      </c>
      <c r="N199">
        <f>IF($J199&gt;MAX('Match Log'!$A$4:$A$1510),NA(),IFERROR(LOOKUP(2,1/(('Match Log'!$D$4:$D$1510=$N$24)*('Match Log'!$A$4:$A$1510&lt;=$J199)),'Match Log'!$N$4:$N$1510),NA()))</f>
        <v>973.19705892757202</v>
      </c>
      <c r="O199">
        <f>IF($J199&gt;MAX('Match Log'!$A$4:$A$1510),NA(),IFERROR(LOOKUP(2,1/(('Match Log'!$D$4:$D$1510=$O$24)*('Match Log'!$A$4:$A$1510&lt;=$J199)),'Match Log'!$N$4:$N$1510),NA()))</f>
        <v>1063.3497487715442</v>
      </c>
      <c r="P199">
        <f>IF($J199&gt;MAX('Match Log'!$A$4:$A$1510),NA(),IFERROR(LOOKUP(2,1/(('Match Log'!$D$4:$D$1510=$P$24)*('Match Log'!$A$4:$A$1510&lt;=$J199)),'Match Log'!$N$4:$N$1510),NA()))</f>
        <v>1159.2274869956852</v>
      </c>
      <c r="Q199">
        <f>IF($J199&gt;MAX('Match Log'!$A$4:$A$1510),NA(),IFERROR(LOOKUP(2,1/(('Match Log'!$D$4:$D$1510=$Q$24)*('Match Log'!$A$4:$A$1510&lt;=$J199)),'Match Log'!$N$4:$N$1510),NA()))</f>
        <v>1051.594831345267</v>
      </c>
      <c r="R199">
        <f>IF($J199&gt;MAX('Match Log'!$A$4:$A$1510),NA(),IFERROR(LOOKUP(2,1/(('Match Log'!$D$4:$D$1510=$R$24)*('Match Log'!$A$4:$A$1510&lt;=$J199)),'Match Log'!$N$4:$N$1510),NA()))</f>
        <v>1052.3192050222167</v>
      </c>
      <c r="S199">
        <f>IF($J199&gt;MAX('Match Log'!$A$4:$A$1510),NA(),IFERROR(LOOKUP(2,1/(('Match Log'!$D$4:$D$1510=$S$24)*('Match Log'!$A$4:$A$1510&lt;=$J199)),'Match Log'!$N$4:$N$1510),NA()))</f>
        <v>1241.7029363250533</v>
      </c>
      <c r="T199">
        <f>IF($J199&gt;MAX('Match Log'!$A$4:$A$1510),NA(),IFERROR(LOOKUP(2,1/(('Match Log'!$D$4:$D$1510=$T$24)*('Match Log'!$A$4:$A$1510&lt;=$J199)),'Match Log'!$N$4:$N$1510),NA()))</f>
        <v>893.15761519837804</v>
      </c>
      <c r="U199">
        <f>IF($J199&gt;MAX('Match Log'!$A$4:$A$1510),NA(),IFERROR(LOOKUP(2,1/(('Match Log'!$D$4:$D$1510=$U$24)*('Match Log'!$A$4:$A$1510&lt;=$J199)),'Match Log'!$N$4:$N$1510),NA()))</f>
        <v>1115.8211932271754</v>
      </c>
      <c r="V199">
        <f>IF($J199&gt;MAX('Match Log'!$A$4:$A$1510),NA(),IFERROR(LOOKUP(2,1/(('Match Log'!$D$4:$D$1510=$V$24)*('Match Log'!$A$4:$A$1510&lt;=$J199)),'Match Log'!$N$4:$N$1510),NA()))</f>
        <v>1009.152401464836</v>
      </c>
      <c r="W199">
        <f>IF($J199&gt;MAX('Match Log'!$A$4:$A$1510),NA(),IFERROR(LOOKUP(2,1/(('Match Log'!$D$4:$D$1510=$W$24)*('Match Log'!$A$4:$A$1510&lt;=$J199)),'Match Log'!$N$4:$N$1510),NA()))</f>
        <v>1052.4264189977837</v>
      </c>
      <c r="X199" t="e">
        <f>IF($J199&gt;MAX('Match Log'!$A$4:$A$1510),NA(),IFERROR(LOOKUP(2,1/(('Match Log'!$D$4:$D$1510=$X$24)*('Match Log'!$A$4:$A$1510&lt;=$J199)),'Match Log'!$N$4:$N$1510),NA()))</f>
        <v>#N/A</v>
      </c>
      <c r="Y199" t="str">
        <f t="shared" ca="1" si="25"/>
        <v/>
      </c>
    </row>
    <row r="200" spans="1:25" x14ac:dyDescent="0.2">
      <c r="A200">
        <v>176</v>
      </c>
      <c r="B200" s="138">
        <f>IFERROR(INDEX('Match Log'!$B$4:$B$1510,MATCH($A200,'Match Log'!$A$4:$A$1510,0)),"")</f>
        <v>46222</v>
      </c>
      <c r="C200" t="str">
        <f>IFERROR(INDEX('Match Log'!$C$4:$C$1510,MATCH($A200,'Match Log'!$A$4:$A$1510,0)),"")</f>
        <v>Pool</v>
      </c>
      <c r="D200" t="str">
        <f t="array" ref="D200">IFERROR(_xlfn.TEXTJOIN(" + ",TRUE(),IF(('Match Log'!$A$4:$A$1510=$A200)*('Match Log'!$E$4:$E$1510="Win"),'Match Log'!$D$4:$D$1510,"")),IFERROR(LOOKUP(2,1/(('Match Log'!$A$4:$A$1510=$A200)*('Match Log'!$E$4:$E$1510="Win")),'Match Log'!$D$4:$D$1510),""))</f>
        <v>Dylan A</v>
      </c>
      <c r="E200" s="139">
        <f>IFERROR(INDEX('Match Log'!$F$4:$F$1510,MATCH($A200,'Match Log'!$A$4:$A$1510,0)),"")</f>
        <v>2</v>
      </c>
      <c r="F200">
        <f>IFERROR(SUMIFS('Match Log'!$I$4:$I$1510,'Match Log'!$A$4:$A$1510,$A200,'Match Log'!$E$4:$E$1510,"Win"),"")</f>
        <v>0.5</v>
      </c>
      <c r="G200">
        <f t="shared" si="23"/>
        <v>0</v>
      </c>
      <c r="H200" t="str">
        <f t="array" ref="H200">IFERROR(IF(COUNTIFS('Match Log'!$A$4:$A$1510,$A200,'Match Log'!$E$4:$E$1510,"Win")&gt;1,_xlfn.TEXTJOIN(" + ",TRUE(),IF(('Match Log'!$A$4:$A$1510=$A200)*('Match Log'!$E$4:$E$1510="Loss"),'Match Log'!$D$4:$D$1510,"")),IF($E200=2,LOOKUP(2,1/(('Match Log'!$A$4:$A$1510=$A200)*('Match Log'!$E$4:$E$1510="Loss")),'Match Log'!$D$4:$D$1510),"the field")),"")</f>
        <v>Dean M</v>
      </c>
      <c r="I200">
        <f t="shared" si="24"/>
        <v>-1.76E-4</v>
      </c>
      <c r="J200">
        <v>176</v>
      </c>
      <c r="K200">
        <f>IF($J200&gt;MAX('Match Log'!$A$4:$A$1510),NA(),IFERROR(LOOKUP(2,1/(('Match Log'!$D$4:$D$1510=$K$24)*('Match Log'!$A$4:$A$1510&lt;=$J200)),'Match Log'!$N$4:$N$1510),NA()))</f>
        <v>1010.7137957188797</v>
      </c>
      <c r="L200">
        <f>IF($J200&gt;MAX('Match Log'!$A$4:$A$1510),NA(),IFERROR(LOOKUP(2,1/(('Match Log'!$D$4:$D$1510=$L$24)*('Match Log'!$A$4:$A$1510&lt;=$J200)),'Match Log'!$N$4:$N$1510),NA()))</f>
        <v>1029.5175965335138</v>
      </c>
      <c r="M200">
        <f>IF($J200&gt;MAX('Match Log'!$A$4:$A$1510),NA(),IFERROR(LOOKUP(2,1/(('Match Log'!$D$4:$D$1510=$M$24)*('Match Log'!$A$4:$A$1510&lt;=$J200)),'Match Log'!$N$4:$N$1510),NA()))</f>
        <v>1037.8197114720938</v>
      </c>
      <c r="N200">
        <f>IF($J200&gt;MAX('Match Log'!$A$4:$A$1510),NA(),IFERROR(LOOKUP(2,1/(('Match Log'!$D$4:$D$1510=$N$24)*('Match Log'!$A$4:$A$1510&lt;=$J200)),'Match Log'!$N$4:$N$1510),NA()))</f>
        <v>973.19705892757202</v>
      </c>
      <c r="O200">
        <f>IF($J200&gt;MAX('Match Log'!$A$4:$A$1510),NA(),IFERROR(LOOKUP(2,1/(('Match Log'!$D$4:$D$1510=$O$24)*('Match Log'!$A$4:$A$1510&lt;=$J200)),'Match Log'!$N$4:$N$1510),NA()))</f>
        <v>1063.3497487715442</v>
      </c>
      <c r="P200">
        <f>IF($J200&gt;MAX('Match Log'!$A$4:$A$1510),NA(),IFERROR(LOOKUP(2,1/(('Match Log'!$D$4:$D$1510=$P$24)*('Match Log'!$A$4:$A$1510&lt;=$J200)),'Match Log'!$N$4:$N$1510),NA()))</f>
        <v>1159.2274869956852</v>
      </c>
      <c r="Q200">
        <f>IF($J200&gt;MAX('Match Log'!$A$4:$A$1510),NA(),IFERROR(LOOKUP(2,1/(('Match Log'!$D$4:$D$1510=$Q$24)*('Match Log'!$A$4:$A$1510&lt;=$J200)),'Match Log'!$N$4:$N$1510),NA()))</f>
        <v>1051.594831345267</v>
      </c>
      <c r="R200">
        <f>IF($J200&gt;MAX('Match Log'!$A$4:$A$1510),NA(),IFERROR(LOOKUP(2,1/(('Match Log'!$D$4:$D$1510=$R$24)*('Match Log'!$A$4:$A$1510&lt;=$J200)),'Match Log'!$N$4:$N$1510),NA()))</f>
        <v>1052.3192050222167</v>
      </c>
      <c r="S200">
        <f>IF($J200&gt;MAX('Match Log'!$A$4:$A$1510),NA(),IFERROR(LOOKUP(2,1/(('Match Log'!$D$4:$D$1510=$S$24)*('Match Log'!$A$4:$A$1510&lt;=$J200)),'Match Log'!$N$4:$N$1510),NA()))</f>
        <v>1241.7029363250533</v>
      </c>
      <c r="T200">
        <f>IF($J200&gt;MAX('Match Log'!$A$4:$A$1510),NA(),IFERROR(LOOKUP(2,1/(('Match Log'!$D$4:$D$1510=$T$24)*('Match Log'!$A$4:$A$1510&lt;=$J200)),'Match Log'!$N$4:$N$1510),NA()))</f>
        <v>893.15761519837804</v>
      </c>
      <c r="U200">
        <f>IF($J200&gt;MAX('Match Log'!$A$4:$A$1510),NA(),IFERROR(LOOKUP(2,1/(('Match Log'!$D$4:$D$1510=$U$24)*('Match Log'!$A$4:$A$1510&lt;=$J200)),'Match Log'!$N$4:$N$1510),NA()))</f>
        <v>1115.8211932271754</v>
      </c>
      <c r="V200">
        <f>IF($J200&gt;MAX('Match Log'!$A$4:$A$1510),NA(),IFERROR(LOOKUP(2,1/(('Match Log'!$D$4:$D$1510=$V$24)*('Match Log'!$A$4:$A$1510&lt;=$J200)),'Match Log'!$N$4:$N$1510),NA()))</f>
        <v>989.13500194186054</v>
      </c>
      <c r="W200">
        <f>IF($J200&gt;MAX('Match Log'!$A$4:$A$1510),NA(),IFERROR(LOOKUP(2,1/(('Match Log'!$D$4:$D$1510=$W$24)*('Match Log'!$A$4:$A$1510&lt;=$J200)),'Match Log'!$N$4:$N$1510),NA()))</f>
        <v>1072.4438185207591</v>
      </c>
      <c r="X200" t="e">
        <f>IF($J200&gt;MAX('Match Log'!$A$4:$A$1510),NA(),IFERROR(LOOKUP(2,1/(('Match Log'!$D$4:$D$1510=$X$24)*('Match Log'!$A$4:$A$1510&lt;=$J200)),'Match Log'!$N$4:$N$1510),NA()))</f>
        <v>#N/A</v>
      </c>
      <c r="Y200" t="str">
        <f t="shared" ca="1" si="25"/>
        <v/>
      </c>
    </row>
    <row r="201" spans="1:25" x14ac:dyDescent="0.2">
      <c r="A201">
        <v>177</v>
      </c>
      <c r="B201" s="138">
        <f>IFERROR(INDEX('Match Log'!$B$4:$B$1510,MATCH($A201,'Match Log'!$A$4:$A$1510,0)),"")</f>
        <v>46222</v>
      </c>
      <c r="C201" t="str">
        <f>IFERROR(INDEX('Match Log'!$C$4:$C$1510,MATCH($A201,'Match Log'!$A$4:$A$1510,0)),"")</f>
        <v>Pool</v>
      </c>
      <c r="D201" t="str">
        <f t="array" ref="D201">IFERROR(_xlfn.TEXTJOIN(" + ",TRUE(),IF(('Match Log'!$A$4:$A$1510=$A201)*('Match Log'!$E$4:$E$1510="Win"),'Match Log'!$D$4:$D$1510,"")),IFERROR(LOOKUP(2,1/(('Match Log'!$A$4:$A$1510=$A201)*('Match Log'!$E$4:$E$1510="Win")),'Match Log'!$D$4:$D$1510),""))</f>
        <v>Dean M</v>
      </c>
      <c r="E201" s="139">
        <f>IFERROR(INDEX('Match Log'!$F$4:$F$1510,MATCH($A201,'Match Log'!$A$4:$A$1510,0)),"")</f>
        <v>2</v>
      </c>
      <c r="F201">
        <f>IFERROR(SUMIFS('Match Log'!$I$4:$I$1510,'Match Log'!$A$4:$A$1510,$A201,'Match Log'!$E$4:$E$1510,"Win"),"")</f>
        <v>0.33333333333333331</v>
      </c>
      <c r="G201">
        <f t="shared" si="23"/>
        <v>0.33333333333333337</v>
      </c>
      <c r="H201" t="str">
        <f t="array" ref="H201">IFERROR(IF(COUNTIFS('Match Log'!$A$4:$A$1510,$A201,'Match Log'!$E$4:$E$1510,"Win")&gt;1,_xlfn.TEXTJOIN(" + ",TRUE(),IF(('Match Log'!$A$4:$A$1510=$A201)*('Match Log'!$E$4:$E$1510="Loss"),'Match Log'!$D$4:$D$1510,"")),IF($E201=2,LOOKUP(2,1/(('Match Log'!$A$4:$A$1510=$A201)*('Match Log'!$E$4:$E$1510="Loss")),'Match Log'!$D$4:$D$1510),"the field")),"")</f>
        <v>Dylan A</v>
      </c>
      <c r="I201">
        <f t="shared" si="24"/>
        <v>0.33315633333333339</v>
      </c>
      <c r="J201">
        <v>177</v>
      </c>
      <c r="K201">
        <f>IF($J201&gt;MAX('Match Log'!$A$4:$A$1510),NA(),IFERROR(LOOKUP(2,1/(('Match Log'!$D$4:$D$1510=$K$24)*('Match Log'!$A$4:$A$1510&lt;=$J201)),'Match Log'!$N$4:$N$1510),NA()))</f>
        <v>1010.7137957188797</v>
      </c>
      <c r="L201">
        <f>IF($J201&gt;MAX('Match Log'!$A$4:$A$1510),NA(),IFERROR(LOOKUP(2,1/(('Match Log'!$D$4:$D$1510=$L$24)*('Match Log'!$A$4:$A$1510&lt;=$J201)),'Match Log'!$N$4:$N$1510),NA()))</f>
        <v>1029.5175965335138</v>
      </c>
      <c r="M201">
        <f>IF($J201&gt;MAX('Match Log'!$A$4:$A$1510),NA(),IFERROR(LOOKUP(2,1/(('Match Log'!$D$4:$D$1510=$M$24)*('Match Log'!$A$4:$A$1510&lt;=$J201)),'Match Log'!$N$4:$N$1510),NA()))</f>
        <v>1037.8197114720938</v>
      </c>
      <c r="N201">
        <f>IF($J201&gt;MAX('Match Log'!$A$4:$A$1510),NA(),IFERROR(LOOKUP(2,1/(('Match Log'!$D$4:$D$1510=$N$24)*('Match Log'!$A$4:$A$1510&lt;=$J201)),'Match Log'!$N$4:$N$1510),NA()))</f>
        <v>973.19705892757202</v>
      </c>
      <c r="O201">
        <f>IF($J201&gt;MAX('Match Log'!$A$4:$A$1510),NA(),IFERROR(LOOKUP(2,1/(('Match Log'!$D$4:$D$1510=$O$24)*('Match Log'!$A$4:$A$1510&lt;=$J201)),'Match Log'!$N$4:$N$1510),NA()))</f>
        <v>1063.3497487715442</v>
      </c>
      <c r="P201">
        <f>IF($J201&gt;MAX('Match Log'!$A$4:$A$1510),NA(),IFERROR(LOOKUP(2,1/(('Match Log'!$D$4:$D$1510=$P$24)*('Match Log'!$A$4:$A$1510&lt;=$J201)),'Match Log'!$N$4:$N$1510),NA()))</f>
        <v>1159.2274869956852</v>
      </c>
      <c r="Q201">
        <f>IF($J201&gt;MAX('Match Log'!$A$4:$A$1510),NA(),IFERROR(LOOKUP(2,1/(('Match Log'!$D$4:$D$1510=$Q$24)*('Match Log'!$A$4:$A$1510&lt;=$J201)),'Match Log'!$N$4:$N$1510),NA()))</f>
        <v>1051.594831345267</v>
      </c>
      <c r="R201">
        <f>IF($J201&gt;MAX('Match Log'!$A$4:$A$1510),NA(),IFERROR(LOOKUP(2,1/(('Match Log'!$D$4:$D$1510=$R$24)*('Match Log'!$A$4:$A$1510&lt;=$J201)),'Match Log'!$N$4:$N$1510),NA()))</f>
        <v>1052.3192050222167</v>
      </c>
      <c r="S201">
        <f>IF($J201&gt;MAX('Match Log'!$A$4:$A$1510),NA(),IFERROR(LOOKUP(2,1/(('Match Log'!$D$4:$D$1510=$S$24)*('Match Log'!$A$4:$A$1510&lt;=$J201)),'Match Log'!$N$4:$N$1510),NA()))</f>
        <v>1241.7029363250533</v>
      </c>
      <c r="T201">
        <f>IF($J201&gt;MAX('Match Log'!$A$4:$A$1510),NA(),IFERROR(LOOKUP(2,1/(('Match Log'!$D$4:$D$1510=$T$24)*('Match Log'!$A$4:$A$1510&lt;=$J201)),'Match Log'!$N$4:$N$1510),NA()))</f>
        <v>893.15761519837804</v>
      </c>
      <c r="U201">
        <f>IF($J201&gt;MAX('Match Log'!$A$4:$A$1510),NA(),IFERROR(LOOKUP(2,1/(('Match Log'!$D$4:$D$1510=$U$24)*('Match Log'!$A$4:$A$1510&lt;=$J201)),'Match Log'!$N$4:$N$1510),NA()))</f>
        <v>1115.8211932271754</v>
      </c>
      <c r="V201">
        <f>IF($J201&gt;MAX('Match Log'!$A$4:$A$1510),NA(),IFERROR(LOOKUP(2,1/(('Match Log'!$D$4:$D$1510=$V$24)*('Match Log'!$A$4:$A$1510&lt;=$J201)),'Match Log'!$N$4:$N$1510),NA()))</f>
        <v>1016.5255411049923</v>
      </c>
      <c r="W201">
        <f>IF($J201&gt;MAX('Match Log'!$A$4:$A$1510),NA(),IFERROR(LOOKUP(2,1/(('Match Log'!$D$4:$D$1510=$W$24)*('Match Log'!$A$4:$A$1510&lt;=$J201)),'Match Log'!$N$4:$N$1510),NA()))</f>
        <v>1045.0532793576274</v>
      </c>
      <c r="X201" t="e">
        <f>IF($J201&gt;MAX('Match Log'!$A$4:$A$1510),NA(),IFERROR(LOOKUP(2,1/(('Match Log'!$D$4:$D$1510=$X$24)*('Match Log'!$A$4:$A$1510&lt;=$J201)),'Match Log'!$N$4:$N$1510),NA()))</f>
        <v>#N/A</v>
      </c>
      <c r="Y201" t="str">
        <f t="shared" ca="1" si="25"/>
        <v/>
      </c>
    </row>
    <row r="202" spans="1:25" x14ac:dyDescent="0.2">
      <c r="A202">
        <v>178</v>
      </c>
      <c r="B202" s="138">
        <f>IFERROR(INDEX('Match Log'!$B$4:$B$1510,MATCH($A202,'Match Log'!$A$4:$A$1510,0)),"")</f>
        <v>46222</v>
      </c>
      <c r="C202" t="str">
        <f>IFERROR(INDEX('Match Log'!$C$4:$C$1510,MATCH($A202,'Match Log'!$A$4:$A$1510,0)),"")</f>
        <v>Pool</v>
      </c>
      <c r="D202" t="str">
        <f t="array" ref="D202">IFERROR(_xlfn.TEXTJOIN(" + ",TRUE(),IF(('Match Log'!$A$4:$A$1510=$A202)*('Match Log'!$E$4:$E$1510="Win"),'Match Log'!$D$4:$D$1510,"")),IFERROR(LOOKUP(2,1/(('Match Log'!$A$4:$A$1510=$A202)*('Match Log'!$E$4:$E$1510="Win")),'Match Log'!$D$4:$D$1510),""))</f>
        <v>Dylan A</v>
      </c>
      <c r="E202" s="139">
        <f>IFERROR(INDEX('Match Log'!$F$4:$F$1510,MATCH($A202,'Match Log'!$A$4:$A$1510,0)),"")</f>
        <v>2</v>
      </c>
      <c r="F202">
        <f>IFERROR(SUMIFS('Match Log'!$I$4:$I$1510,'Match Log'!$A$4:$A$1510,$A202,'Match Log'!$E$4:$E$1510,"Win"),"")</f>
        <v>0.5</v>
      </c>
      <c r="G202">
        <f t="shared" si="23"/>
        <v>0</v>
      </c>
      <c r="H202" t="str">
        <f t="array" ref="H202">IFERROR(IF(COUNTIFS('Match Log'!$A$4:$A$1510,$A202,'Match Log'!$E$4:$E$1510,"Win")&gt;1,_xlfn.TEXTJOIN(" + ",TRUE(),IF(('Match Log'!$A$4:$A$1510=$A202)*('Match Log'!$E$4:$E$1510="Loss"),'Match Log'!$D$4:$D$1510,"")),IF($E202=2,LOOKUP(2,1/(('Match Log'!$A$4:$A$1510=$A202)*('Match Log'!$E$4:$E$1510="Loss")),'Match Log'!$D$4:$D$1510),"the field")),"")</f>
        <v>Dean M</v>
      </c>
      <c r="I202">
        <f t="shared" si="24"/>
        <v>-1.7799999999999999E-4</v>
      </c>
      <c r="J202">
        <v>178</v>
      </c>
      <c r="K202">
        <f>IF($J202&gt;MAX('Match Log'!$A$4:$A$1510),NA(),IFERROR(LOOKUP(2,1/(('Match Log'!$D$4:$D$1510=$K$24)*('Match Log'!$A$4:$A$1510&lt;=$J202)),'Match Log'!$N$4:$N$1510),NA()))</f>
        <v>1010.7137957188797</v>
      </c>
      <c r="L202">
        <f>IF($J202&gt;MAX('Match Log'!$A$4:$A$1510),NA(),IFERROR(LOOKUP(2,1/(('Match Log'!$D$4:$D$1510=$L$24)*('Match Log'!$A$4:$A$1510&lt;=$J202)),'Match Log'!$N$4:$N$1510),NA()))</f>
        <v>1029.5175965335138</v>
      </c>
      <c r="M202">
        <f>IF($J202&gt;MAX('Match Log'!$A$4:$A$1510),NA(),IFERROR(LOOKUP(2,1/(('Match Log'!$D$4:$D$1510=$M$24)*('Match Log'!$A$4:$A$1510&lt;=$J202)),'Match Log'!$N$4:$N$1510),NA()))</f>
        <v>1037.8197114720938</v>
      </c>
      <c r="N202">
        <f>IF($J202&gt;MAX('Match Log'!$A$4:$A$1510),NA(),IFERROR(LOOKUP(2,1/(('Match Log'!$D$4:$D$1510=$N$24)*('Match Log'!$A$4:$A$1510&lt;=$J202)),'Match Log'!$N$4:$N$1510),NA()))</f>
        <v>973.19705892757202</v>
      </c>
      <c r="O202">
        <f>IF($J202&gt;MAX('Match Log'!$A$4:$A$1510),NA(),IFERROR(LOOKUP(2,1/(('Match Log'!$D$4:$D$1510=$O$24)*('Match Log'!$A$4:$A$1510&lt;=$J202)),'Match Log'!$N$4:$N$1510),NA()))</f>
        <v>1063.3497487715442</v>
      </c>
      <c r="P202">
        <f>IF($J202&gt;MAX('Match Log'!$A$4:$A$1510),NA(),IFERROR(LOOKUP(2,1/(('Match Log'!$D$4:$D$1510=$P$24)*('Match Log'!$A$4:$A$1510&lt;=$J202)),'Match Log'!$N$4:$N$1510),NA()))</f>
        <v>1159.2274869956852</v>
      </c>
      <c r="Q202">
        <f>IF($J202&gt;MAX('Match Log'!$A$4:$A$1510),NA(),IFERROR(LOOKUP(2,1/(('Match Log'!$D$4:$D$1510=$Q$24)*('Match Log'!$A$4:$A$1510&lt;=$J202)),'Match Log'!$N$4:$N$1510),NA()))</f>
        <v>1051.594831345267</v>
      </c>
      <c r="R202">
        <f>IF($J202&gt;MAX('Match Log'!$A$4:$A$1510),NA(),IFERROR(LOOKUP(2,1/(('Match Log'!$D$4:$D$1510=$R$24)*('Match Log'!$A$4:$A$1510&lt;=$J202)),'Match Log'!$N$4:$N$1510),NA()))</f>
        <v>1052.3192050222167</v>
      </c>
      <c r="S202">
        <f>IF($J202&gt;MAX('Match Log'!$A$4:$A$1510),NA(),IFERROR(LOOKUP(2,1/(('Match Log'!$D$4:$D$1510=$S$24)*('Match Log'!$A$4:$A$1510&lt;=$J202)),'Match Log'!$N$4:$N$1510),NA()))</f>
        <v>1241.7029363250533</v>
      </c>
      <c r="T202">
        <f>IF($J202&gt;MAX('Match Log'!$A$4:$A$1510),NA(),IFERROR(LOOKUP(2,1/(('Match Log'!$D$4:$D$1510=$T$24)*('Match Log'!$A$4:$A$1510&lt;=$J202)),'Match Log'!$N$4:$N$1510),NA()))</f>
        <v>893.15761519837804</v>
      </c>
      <c r="U202">
        <f>IF($J202&gt;MAX('Match Log'!$A$4:$A$1510),NA(),IFERROR(LOOKUP(2,1/(('Match Log'!$D$4:$D$1510=$U$24)*('Match Log'!$A$4:$A$1510&lt;=$J202)),'Match Log'!$N$4:$N$1510),NA()))</f>
        <v>1115.8211932271754</v>
      </c>
      <c r="V202">
        <f>IF($J202&gt;MAX('Match Log'!$A$4:$A$1510),NA(),IFERROR(LOOKUP(2,1/(('Match Log'!$D$4:$D$1510=$V$24)*('Match Log'!$A$4:$A$1510&lt;=$J202)),'Match Log'!$N$4:$N$1510),NA()))</f>
        <v>995.42431714531449</v>
      </c>
      <c r="W202">
        <f>IF($J202&gt;MAX('Match Log'!$A$4:$A$1510),NA(),IFERROR(LOOKUP(2,1/(('Match Log'!$D$4:$D$1510=$W$24)*('Match Log'!$A$4:$A$1510&lt;=$J202)),'Match Log'!$N$4:$N$1510),NA()))</f>
        <v>1066.1545033173052</v>
      </c>
      <c r="X202" t="e">
        <f>IF($J202&gt;MAX('Match Log'!$A$4:$A$1510),NA(),IFERROR(LOOKUP(2,1/(('Match Log'!$D$4:$D$1510=$X$24)*('Match Log'!$A$4:$A$1510&lt;=$J202)),'Match Log'!$N$4:$N$1510),NA()))</f>
        <v>#N/A</v>
      </c>
      <c r="Y202" t="str">
        <f t="shared" ca="1" si="25"/>
        <v/>
      </c>
    </row>
    <row r="203" spans="1:25" x14ac:dyDescent="0.2">
      <c r="A203">
        <v>179</v>
      </c>
      <c r="B203" s="138">
        <f>IFERROR(INDEX('Match Log'!$B$4:$B$1510,MATCH($A203,'Match Log'!$A$4:$A$1510,0)),"")</f>
        <v>46222</v>
      </c>
      <c r="C203" t="str">
        <f>IFERROR(INDEX('Match Log'!$C$4:$C$1510,MATCH($A203,'Match Log'!$A$4:$A$1510,0)),"")</f>
        <v>Pool</v>
      </c>
      <c r="D203" t="str">
        <f t="array" ref="D203">IFERROR(_xlfn.TEXTJOIN(" + ",TRUE(),IF(('Match Log'!$A$4:$A$1510=$A203)*('Match Log'!$E$4:$E$1510="Win"),'Match Log'!$D$4:$D$1510,"")),IFERROR(LOOKUP(2,1/(('Match Log'!$A$4:$A$1510=$A203)*('Match Log'!$E$4:$E$1510="Win")),'Match Log'!$D$4:$D$1510),""))</f>
        <v>Dylan A</v>
      </c>
      <c r="E203" s="139">
        <f>IFERROR(INDEX('Match Log'!$F$4:$F$1510,MATCH($A203,'Match Log'!$A$4:$A$1510,0)),"")</f>
        <v>2</v>
      </c>
      <c r="F203">
        <f>IFERROR(SUMIFS('Match Log'!$I$4:$I$1510,'Match Log'!$A$4:$A$1510,$A203,'Match Log'!$E$4:$E$1510,"Win"),"")</f>
        <v>0.64285714285714279</v>
      </c>
      <c r="G203">
        <f t="shared" si="23"/>
        <v>-0.28571428571428559</v>
      </c>
      <c r="H203" t="str">
        <f t="array" ref="H203">IFERROR(IF(COUNTIFS('Match Log'!$A$4:$A$1510,$A203,'Match Log'!$E$4:$E$1510,"Win")&gt;1,_xlfn.TEXTJOIN(" + ",TRUE(),IF(('Match Log'!$A$4:$A$1510=$A203)*('Match Log'!$E$4:$E$1510="Loss"),'Match Log'!$D$4:$D$1510,"")),IF($E203=2,LOOKUP(2,1/(('Match Log'!$A$4:$A$1510=$A203)*('Match Log'!$E$4:$E$1510="Loss")),'Match Log'!$D$4:$D$1510),"the field")),"")</f>
        <v>Cody</v>
      </c>
      <c r="I203">
        <f t="shared" si="24"/>
        <v>-0.28589328571428557</v>
      </c>
      <c r="J203">
        <v>179</v>
      </c>
      <c r="K203">
        <f>IF($J203&gt;MAX('Match Log'!$A$4:$A$1510),NA(),IFERROR(LOOKUP(2,1/(('Match Log'!$D$4:$D$1510=$K$24)*('Match Log'!$A$4:$A$1510&lt;=$J203)),'Match Log'!$N$4:$N$1510),NA()))</f>
        <v>1010.7137957188797</v>
      </c>
      <c r="L203">
        <f>IF($J203&gt;MAX('Match Log'!$A$4:$A$1510),NA(),IFERROR(LOOKUP(2,1/(('Match Log'!$D$4:$D$1510=$L$24)*('Match Log'!$A$4:$A$1510&lt;=$J203)),'Match Log'!$N$4:$N$1510),NA()))</f>
        <v>1029.5175965335138</v>
      </c>
      <c r="M203">
        <f>IF($J203&gt;MAX('Match Log'!$A$4:$A$1510),NA(),IFERROR(LOOKUP(2,1/(('Match Log'!$D$4:$D$1510=$M$24)*('Match Log'!$A$4:$A$1510&lt;=$J203)),'Match Log'!$N$4:$N$1510),NA()))</f>
        <v>1037.8197114720938</v>
      </c>
      <c r="N203">
        <f>IF($J203&gt;MAX('Match Log'!$A$4:$A$1510),NA(),IFERROR(LOOKUP(2,1/(('Match Log'!$D$4:$D$1510=$N$24)*('Match Log'!$A$4:$A$1510&lt;=$J203)),'Match Log'!$N$4:$N$1510),NA()))</f>
        <v>973.19705892757202</v>
      </c>
      <c r="O203">
        <f>IF($J203&gt;MAX('Match Log'!$A$4:$A$1510),NA(),IFERROR(LOOKUP(2,1/(('Match Log'!$D$4:$D$1510=$O$24)*('Match Log'!$A$4:$A$1510&lt;=$J203)),'Match Log'!$N$4:$N$1510),NA()))</f>
        <v>1063.3497487715442</v>
      </c>
      <c r="P203">
        <f>IF($J203&gt;MAX('Match Log'!$A$4:$A$1510),NA(),IFERROR(LOOKUP(2,1/(('Match Log'!$D$4:$D$1510=$P$24)*('Match Log'!$A$4:$A$1510&lt;=$J203)),'Match Log'!$N$4:$N$1510),NA()))</f>
        <v>1159.2274869956852</v>
      </c>
      <c r="Q203">
        <f>IF($J203&gt;MAX('Match Log'!$A$4:$A$1510),NA(),IFERROR(LOOKUP(2,1/(('Match Log'!$D$4:$D$1510=$Q$24)*('Match Log'!$A$4:$A$1510&lt;=$J203)),'Match Log'!$N$4:$N$1510),NA()))</f>
        <v>1051.594831345267</v>
      </c>
      <c r="R203">
        <f>IF($J203&gt;MAX('Match Log'!$A$4:$A$1510),NA(),IFERROR(LOOKUP(2,1/(('Match Log'!$D$4:$D$1510=$R$24)*('Match Log'!$A$4:$A$1510&lt;=$J203)),'Match Log'!$N$4:$N$1510),NA()))</f>
        <v>1052.3192050222167</v>
      </c>
      <c r="S203">
        <f>IF($J203&gt;MAX('Match Log'!$A$4:$A$1510),NA(),IFERROR(LOOKUP(2,1/(('Match Log'!$D$4:$D$1510=$S$24)*('Match Log'!$A$4:$A$1510&lt;=$J203)),'Match Log'!$N$4:$N$1510),NA()))</f>
        <v>1241.7029363250533</v>
      </c>
      <c r="T203">
        <f>IF($J203&gt;MAX('Match Log'!$A$4:$A$1510),NA(),IFERROR(LOOKUP(2,1/(('Match Log'!$D$4:$D$1510=$T$24)*('Match Log'!$A$4:$A$1510&lt;=$J203)),'Match Log'!$N$4:$N$1510),NA()))</f>
        <v>878.92902654069087</v>
      </c>
      <c r="U203">
        <f>IF($J203&gt;MAX('Match Log'!$A$4:$A$1510),NA(),IFERROR(LOOKUP(2,1/(('Match Log'!$D$4:$D$1510=$U$24)*('Match Log'!$A$4:$A$1510&lt;=$J203)),'Match Log'!$N$4:$N$1510),NA()))</f>
        <v>1115.8211932271754</v>
      </c>
      <c r="V203">
        <f>IF($J203&gt;MAX('Match Log'!$A$4:$A$1510),NA(),IFERROR(LOOKUP(2,1/(('Match Log'!$D$4:$D$1510=$V$24)*('Match Log'!$A$4:$A$1510&lt;=$J203)),'Match Log'!$N$4:$N$1510),NA()))</f>
        <v>995.42431714531449</v>
      </c>
      <c r="W203">
        <f>IF($J203&gt;MAX('Match Log'!$A$4:$A$1510),NA(),IFERROR(LOOKUP(2,1/(('Match Log'!$D$4:$D$1510=$W$24)*('Match Log'!$A$4:$A$1510&lt;=$J203)),'Match Log'!$N$4:$N$1510),NA()))</f>
        <v>1080.3830919749923</v>
      </c>
      <c r="X203" t="e">
        <f>IF($J203&gt;MAX('Match Log'!$A$4:$A$1510),NA(),IFERROR(LOOKUP(2,1/(('Match Log'!$D$4:$D$1510=$X$24)*('Match Log'!$A$4:$A$1510&lt;=$J203)),'Match Log'!$N$4:$N$1510),NA()))</f>
        <v>#N/A</v>
      </c>
      <c r="Y203" t="str">
        <f t="shared" ca="1" si="25"/>
        <v/>
      </c>
    </row>
    <row r="204" spans="1:25" x14ac:dyDescent="0.2">
      <c r="A204">
        <v>180</v>
      </c>
      <c r="B204" s="138">
        <f>IFERROR(INDEX('Match Log'!$B$4:$B$1510,MATCH($A204,'Match Log'!$A$4:$A$1510,0)),"")</f>
        <v>46222</v>
      </c>
      <c r="C204" t="str">
        <f>IFERROR(INDEX('Match Log'!$C$4:$C$1510,MATCH($A204,'Match Log'!$A$4:$A$1510,0)),"")</f>
        <v>Pool</v>
      </c>
      <c r="D204" t="str">
        <f t="array" ref="D204">IFERROR(_xlfn.TEXTJOIN(" + ",TRUE(),IF(('Match Log'!$A$4:$A$1510=$A204)*('Match Log'!$E$4:$E$1510="Win"),'Match Log'!$D$4:$D$1510,"")),IFERROR(LOOKUP(2,1/(('Match Log'!$A$4:$A$1510=$A204)*('Match Log'!$E$4:$E$1510="Win")),'Match Log'!$D$4:$D$1510),""))</f>
        <v>Dean M</v>
      </c>
      <c r="E204" s="139">
        <f>IFERROR(INDEX('Match Log'!$F$4:$F$1510,MATCH($A204,'Match Log'!$A$4:$A$1510,0)),"")</f>
        <v>2</v>
      </c>
      <c r="F204">
        <f>IFERROR(SUMIFS('Match Log'!$I$4:$I$1510,'Match Log'!$A$4:$A$1510,$A204,'Match Log'!$E$4:$E$1510,"Win"),"")</f>
        <v>0.61538461538461542</v>
      </c>
      <c r="G204">
        <f t="shared" si="23"/>
        <v>-0.23076923076923084</v>
      </c>
      <c r="H204" t="str">
        <f t="array" ref="H204">IFERROR(IF(COUNTIFS('Match Log'!$A$4:$A$1510,$A204,'Match Log'!$E$4:$E$1510,"Win")&gt;1,_xlfn.TEXTJOIN(" + ",TRUE(),IF(('Match Log'!$A$4:$A$1510=$A204)*('Match Log'!$E$4:$E$1510="Loss"),'Match Log'!$D$4:$D$1510,"")),IF($E204=2,LOOKUP(2,1/(('Match Log'!$A$4:$A$1510=$A204)*('Match Log'!$E$4:$E$1510="Loss")),'Match Log'!$D$4:$D$1510),"the field")),"")</f>
        <v>Cody</v>
      </c>
      <c r="I204">
        <f t="shared" si="24"/>
        <v>-0.23094923076923085</v>
      </c>
      <c r="J204">
        <v>180</v>
      </c>
      <c r="K204">
        <f>IF($J204&gt;MAX('Match Log'!$A$4:$A$1510),NA(),IFERROR(LOOKUP(2,1/(('Match Log'!$D$4:$D$1510=$K$24)*('Match Log'!$A$4:$A$1510&lt;=$J204)),'Match Log'!$N$4:$N$1510),NA()))</f>
        <v>1010.7137957188797</v>
      </c>
      <c r="L204">
        <f>IF($J204&gt;MAX('Match Log'!$A$4:$A$1510),NA(),IFERROR(LOOKUP(2,1/(('Match Log'!$D$4:$D$1510=$L$24)*('Match Log'!$A$4:$A$1510&lt;=$J204)),'Match Log'!$N$4:$N$1510),NA()))</f>
        <v>1029.5175965335138</v>
      </c>
      <c r="M204">
        <f>IF($J204&gt;MAX('Match Log'!$A$4:$A$1510),NA(),IFERROR(LOOKUP(2,1/(('Match Log'!$D$4:$D$1510=$M$24)*('Match Log'!$A$4:$A$1510&lt;=$J204)),'Match Log'!$N$4:$N$1510),NA()))</f>
        <v>1037.8197114720938</v>
      </c>
      <c r="N204">
        <f>IF($J204&gt;MAX('Match Log'!$A$4:$A$1510),NA(),IFERROR(LOOKUP(2,1/(('Match Log'!$D$4:$D$1510=$N$24)*('Match Log'!$A$4:$A$1510&lt;=$J204)),'Match Log'!$N$4:$N$1510),NA()))</f>
        <v>973.19705892757202</v>
      </c>
      <c r="O204">
        <f>IF($J204&gt;MAX('Match Log'!$A$4:$A$1510),NA(),IFERROR(LOOKUP(2,1/(('Match Log'!$D$4:$D$1510=$O$24)*('Match Log'!$A$4:$A$1510&lt;=$J204)),'Match Log'!$N$4:$N$1510),NA()))</f>
        <v>1063.3497487715442</v>
      </c>
      <c r="P204">
        <f>IF($J204&gt;MAX('Match Log'!$A$4:$A$1510),NA(),IFERROR(LOOKUP(2,1/(('Match Log'!$D$4:$D$1510=$P$24)*('Match Log'!$A$4:$A$1510&lt;=$J204)),'Match Log'!$N$4:$N$1510),NA()))</f>
        <v>1159.2274869956852</v>
      </c>
      <c r="Q204">
        <f>IF($J204&gt;MAX('Match Log'!$A$4:$A$1510),NA(),IFERROR(LOOKUP(2,1/(('Match Log'!$D$4:$D$1510=$Q$24)*('Match Log'!$A$4:$A$1510&lt;=$J204)),'Match Log'!$N$4:$N$1510),NA()))</f>
        <v>1051.594831345267</v>
      </c>
      <c r="R204">
        <f>IF($J204&gt;MAX('Match Log'!$A$4:$A$1510),NA(),IFERROR(LOOKUP(2,1/(('Match Log'!$D$4:$D$1510=$R$24)*('Match Log'!$A$4:$A$1510&lt;=$J204)),'Match Log'!$N$4:$N$1510),NA()))</f>
        <v>1052.3192050222167</v>
      </c>
      <c r="S204">
        <f>IF($J204&gt;MAX('Match Log'!$A$4:$A$1510),NA(),IFERROR(LOOKUP(2,1/(('Match Log'!$D$4:$D$1510=$S$24)*('Match Log'!$A$4:$A$1510&lt;=$J204)),'Match Log'!$N$4:$N$1510),NA()))</f>
        <v>1241.7029363250533</v>
      </c>
      <c r="T204">
        <f>IF($J204&gt;MAX('Match Log'!$A$4:$A$1510),NA(),IFERROR(LOOKUP(2,1/(('Match Log'!$D$4:$D$1510=$T$24)*('Match Log'!$A$4:$A$1510&lt;=$J204)),'Match Log'!$N$4:$N$1510),NA()))</f>
        <v>862.22294373677494</v>
      </c>
      <c r="U204">
        <f>IF($J204&gt;MAX('Match Log'!$A$4:$A$1510),NA(),IFERROR(LOOKUP(2,1/(('Match Log'!$D$4:$D$1510=$U$24)*('Match Log'!$A$4:$A$1510&lt;=$J204)),'Match Log'!$N$4:$N$1510),NA()))</f>
        <v>1115.8211932271754</v>
      </c>
      <c r="V204">
        <f>IF($J204&gt;MAX('Match Log'!$A$4:$A$1510),NA(),IFERROR(LOOKUP(2,1/(('Match Log'!$D$4:$D$1510=$V$24)*('Match Log'!$A$4:$A$1510&lt;=$J204)),'Match Log'!$N$4:$N$1510),NA()))</f>
        <v>1012.1303999492304</v>
      </c>
      <c r="W204">
        <f>IF($J204&gt;MAX('Match Log'!$A$4:$A$1510),NA(),IFERROR(LOOKUP(2,1/(('Match Log'!$D$4:$D$1510=$W$24)*('Match Log'!$A$4:$A$1510&lt;=$J204)),'Match Log'!$N$4:$N$1510),NA()))</f>
        <v>1080.3830919749923</v>
      </c>
      <c r="X204" t="e">
        <f>IF($J204&gt;MAX('Match Log'!$A$4:$A$1510),NA(),IFERROR(LOOKUP(2,1/(('Match Log'!$D$4:$D$1510=$X$24)*('Match Log'!$A$4:$A$1510&lt;=$J204)),'Match Log'!$N$4:$N$1510),NA()))</f>
        <v>#N/A</v>
      </c>
      <c r="Y204" t="str">
        <f t="shared" ca="1" si="25"/>
        <v/>
      </c>
    </row>
    <row r="205" spans="1:25" x14ac:dyDescent="0.2">
      <c r="A205">
        <v>181</v>
      </c>
      <c r="B205" s="138">
        <f>IFERROR(INDEX('Match Log'!$B$4:$B$1510,MATCH($A205,'Match Log'!$A$4:$A$1510,0)),"")</f>
        <v>46229</v>
      </c>
      <c r="C205" t="str">
        <f>IFERROR(INDEX('Match Log'!$C$4:$C$1510,MATCH($A205,'Match Log'!$A$4:$A$1510,0)),"")</f>
        <v>Poker</v>
      </c>
      <c r="D205" t="str">
        <f t="array" ref="D205">IFERROR(_xlfn.TEXTJOIN(" + ",TRUE(),IF(('Match Log'!$A$4:$A$1510=$A205)*('Match Log'!$E$4:$E$1510="Win"),'Match Log'!$D$4:$D$1510,"")),IFERROR(LOOKUP(2,1/(('Match Log'!$A$4:$A$1510=$A205)*('Match Log'!$E$4:$E$1510="Win")),'Match Log'!$D$4:$D$1510),""))</f>
        <v>Josh</v>
      </c>
      <c r="E205" s="139">
        <f>IFERROR(INDEX('Match Log'!$F$4:$F$1510,MATCH($A205,'Match Log'!$A$4:$A$1510,0)),"")</f>
        <v>5</v>
      </c>
      <c r="F205">
        <f>IFERROR(SUMIFS('Match Log'!$I$4:$I$1510,'Match Log'!$A$4:$A$1510,$A205,'Match Log'!$E$4:$E$1510,"Win"),"")</f>
        <v>0.26666666666666666</v>
      </c>
      <c r="G205">
        <f t="shared" si="23"/>
        <v>-0.33333333333333326</v>
      </c>
      <c r="H205" t="str">
        <f t="array" ref="H205">IFERROR(IF(COUNTIFS('Match Log'!$A$4:$A$1510,$A205,'Match Log'!$E$4:$E$1510,"Win")&gt;1,_xlfn.TEXTJOIN(" + ",TRUE(),IF(('Match Log'!$A$4:$A$1510=$A205)*('Match Log'!$E$4:$E$1510="Loss"),'Match Log'!$D$4:$D$1510,"")),IF($E205=2,LOOKUP(2,1/(('Match Log'!$A$4:$A$1510=$A205)*('Match Log'!$E$4:$E$1510="Loss")),'Match Log'!$D$4:$D$1510),"the field")),"")</f>
        <v>the field</v>
      </c>
      <c r="I205">
        <f t="shared" si="24"/>
        <v>-0.33351433333333325</v>
      </c>
      <c r="J205">
        <v>181</v>
      </c>
      <c r="K205">
        <f>IF($J205&gt;MAX('Match Log'!$A$4:$A$1510),NA(),IFERROR(LOOKUP(2,1/(('Match Log'!$D$4:$D$1510=$K$24)*('Match Log'!$A$4:$A$1510&lt;=$J205)),'Match Log'!$N$4:$N$1510),NA()))</f>
        <v>1009.8261046694705</v>
      </c>
      <c r="L205">
        <f>IF($J205&gt;MAX('Match Log'!$A$4:$A$1510),NA(),IFERROR(LOOKUP(2,1/(('Match Log'!$D$4:$D$1510=$L$24)*('Match Log'!$A$4:$A$1510&lt;=$J205)),'Match Log'!$N$4:$N$1510),NA()))</f>
        <v>1029.5175965335138</v>
      </c>
      <c r="M205">
        <f>IF($J205&gt;MAX('Match Log'!$A$4:$A$1510),NA(),IFERROR(LOOKUP(2,1/(('Match Log'!$D$4:$D$1510=$M$24)*('Match Log'!$A$4:$A$1510&lt;=$J205)),'Match Log'!$N$4:$N$1510),NA()))</f>
        <v>1037.8197114720938</v>
      </c>
      <c r="N205">
        <f>IF($J205&gt;MAX('Match Log'!$A$4:$A$1510),NA(),IFERROR(LOOKUP(2,1/(('Match Log'!$D$4:$D$1510=$N$24)*('Match Log'!$A$4:$A$1510&lt;=$J205)),'Match Log'!$N$4:$N$1510),NA()))</f>
        <v>973.19705892757202</v>
      </c>
      <c r="O205">
        <f>IF($J205&gt;MAX('Match Log'!$A$4:$A$1510),NA(),IFERROR(LOOKUP(2,1/(('Match Log'!$D$4:$D$1510=$O$24)*('Match Log'!$A$4:$A$1510&lt;=$J205)),'Match Log'!$N$4:$N$1510),NA()))</f>
        <v>1093.6015451357737</v>
      </c>
      <c r="P205">
        <f>IF($J205&gt;MAX('Match Log'!$A$4:$A$1510),NA(),IFERROR(LOOKUP(2,1/(('Match Log'!$D$4:$D$1510=$P$24)*('Match Log'!$A$4:$A$1510&lt;=$J205)),'Match Log'!$N$4:$N$1510),NA()))</f>
        <v>1156.6670987691946</v>
      </c>
      <c r="Q205">
        <f>IF($J205&gt;MAX('Match Log'!$A$4:$A$1510),NA(),IFERROR(LOOKUP(2,1/(('Match Log'!$D$4:$D$1510=$Q$24)*('Match Log'!$A$4:$A$1510&lt;=$J205)),'Match Log'!$N$4:$N$1510),NA()))</f>
        <v>1050.2393073123574</v>
      </c>
      <c r="R205">
        <f>IF($J205&gt;MAX('Match Log'!$A$4:$A$1510),NA(),IFERROR(LOOKUP(2,1/(('Match Log'!$D$4:$D$1510=$R$24)*('Match Log'!$A$4:$A$1510&lt;=$J205)),'Match Log'!$N$4:$N$1510),NA()))</f>
        <v>1051.8710119667967</v>
      </c>
      <c r="S205">
        <f>IF($J205&gt;MAX('Match Log'!$A$4:$A$1510),NA(),IFERROR(LOOKUP(2,1/(('Match Log'!$D$4:$D$1510=$S$24)*('Match Log'!$A$4:$A$1510&lt;=$J205)),'Match Log'!$N$4:$N$1510),NA()))</f>
        <v>1241.7029363250533</v>
      </c>
      <c r="T205">
        <f>IF($J205&gt;MAX('Match Log'!$A$4:$A$1510),NA(),IFERROR(LOOKUP(2,1/(('Match Log'!$D$4:$D$1510=$T$24)*('Match Log'!$A$4:$A$1510&lt;=$J205)),'Match Log'!$N$4:$N$1510),NA()))</f>
        <v>862.22294373677494</v>
      </c>
      <c r="U205">
        <f>IF($J205&gt;MAX('Match Log'!$A$4:$A$1510),NA(),IFERROR(LOOKUP(2,1/(('Match Log'!$D$4:$D$1510=$U$24)*('Match Log'!$A$4:$A$1510&lt;=$J205)),'Match Log'!$N$4:$N$1510),NA()))</f>
        <v>1115.8211932271754</v>
      </c>
      <c r="V205">
        <f>IF($J205&gt;MAX('Match Log'!$A$4:$A$1510),NA(),IFERROR(LOOKUP(2,1/(('Match Log'!$D$4:$D$1510=$V$24)*('Match Log'!$A$4:$A$1510&lt;=$J205)),'Match Log'!$N$4:$N$1510),NA()))</f>
        <v>1012.1303999492304</v>
      </c>
      <c r="W205">
        <f>IF($J205&gt;MAX('Match Log'!$A$4:$A$1510),NA(),IFERROR(LOOKUP(2,1/(('Match Log'!$D$4:$D$1510=$W$24)*('Match Log'!$A$4:$A$1510&lt;=$J205)),'Match Log'!$N$4:$N$1510),NA()))</f>
        <v>1080.3830919749923</v>
      </c>
      <c r="X205" t="e">
        <f>IF($J205&gt;MAX('Match Log'!$A$4:$A$1510),NA(),IFERROR(LOOKUP(2,1/(('Match Log'!$D$4:$D$1510=$X$24)*('Match Log'!$A$4:$A$1510&lt;=$J205)),'Match Log'!$N$4:$N$1510),NA()))</f>
        <v>#N/A</v>
      </c>
      <c r="Y205" t="str">
        <f t="shared" ca="1" si="25"/>
        <v/>
      </c>
    </row>
    <row r="206" spans="1:25" x14ac:dyDescent="0.2">
      <c r="A206">
        <v>182</v>
      </c>
      <c r="B206" s="138">
        <f>IFERROR(INDEX('Match Log'!$B$4:$B$1510,MATCH($A206,'Match Log'!$A$4:$A$1510,0)),"")</f>
        <v>46236</v>
      </c>
      <c r="C206" t="str">
        <f>IFERROR(INDEX('Match Log'!$C$4:$C$1510,MATCH($A206,'Match Log'!$A$4:$A$1510,0)),"")</f>
        <v>Mario Golf</v>
      </c>
      <c r="D206" t="str">
        <f t="array" ref="D206">IFERROR(_xlfn.TEXTJOIN(" + ",TRUE(),IF(('Match Log'!$A$4:$A$1510=$A206)*('Match Log'!$E$4:$E$1510="Win"),'Match Log'!$D$4:$D$1510,"")),IFERROR(LOOKUP(2,1/(('Match Log'!$A$4:$A$1510=$A206)*('Match Log'!$E$4:$E$1510="Win")),'Match Log'!$D$4:$D$1510),""))</f>
        <v>Daniel (Ferret)</v>
      </c>
      <c r="E206" s="139">
        <f>IFERROR(INDEX('Match Log'!$F$4:$F$1510,MATCH($A206,'Match Log'!$A$4:$A$1510,0)),"")</f>
        <v>2</v>
      </c>
      <c r="F206">
        <f>IFERROR(SUMIFS('Match Log'!$I$4:$I$1510,'Match Log'!$A$4:$A$1510,$A206,'Match Log'!$E$4:$E$1510,"Win"),"")</f>
        <v>0.29651162790697672</v>
      </c>
      <c r="G206">
        <f t="shared" si="23"/>
        <v>0.40697674418604657</v>
      </c>
      <c r="H206" t="str">
        <f t="array" ref="H206">IFERROR(IF(COUNTIFS('Match Log'!$A$4:$A$1510,$A206,'Match Log'!$E$4:$E$1510,"Win")&gt;1,_xlfn.TEXTJOIN(" + ",TRUE(),IF(('Match Log'!$A$4:$A$1510=$A206)*('Match Log'!$E$4:$E$1510="Loss"),'Match Log'!$D$4:$D$1510,"")),IF($E206=2,LOOKUP(2,1/(('Match Log'!$A$4:$A$1510=$A206)*('Match Log'!$E$4:$E$1510="Loss")),'Match Log'!$D$4:$D$1510),"the field")),"")</f>
        <v>Shawn</v>
      </c>
      <c r="I206">
        <f t="shared" si="24"/>
        <v>0.40679474418604655</v>
      </c>
      <c r="J206">
        <v>182</v>
      </c>
      <c r="K206">
        <f>IF($J206&gt;MAX('Match Log'!$A$4:$A$1510),NA(),IFERROR(LOOKUP(2,1/(('Match Log'!$D$4:$D$1510=$K$24)*('Match Log'!$A$4:$A$1510&lt;=$J206)),'Match Log'!$N$4:$N$1510),NA()))</f>
        <v>1009.8261046694705</v>
      </c>
      <c r="L206">
        <f>IF($J206&gt;MAX('Match Log'!$A$4:$A$1510),NA(),IFERROR(LOOKUP(2,1/(('Match Log'!$D$4:$D$1510=$L$24)*('Match Log'!$A$4:$A$1510&lt;=$J206)),'Match Log'!$N$4:$N$1510),NA()))</f>
        <v>1029.5175965335138</v>
      </c>
      <c r="M206">
        <f>IF($J206&gt;MAX('Match Log'!$A$4:$A$1510),NA(),IFERROR(LOOKUP(2,1/(('Match Log'!$D$4:$D$1510=$M$24)*('Match Log'!$A$4:$A$1510&lt;=$J206)),'Match Log'!$N$4:$N$1510),NA()))</f>
        <v>1037.8197114720938</v>
      </c>
      <c r="N206">
        <f>IF($J206&gt;MAX('Match Log'!$A$4:$A$1510),NA(),IFERROR(LOOKUP(2,1/(('Match Log'!$D$4:$D$1510=$N$24)*('Match Log'!$A$4:$A$1510&lt;=$J206)),'Match Log'!$N$4:$N$1510),NA()))</f>
        <v>973.19705892757202</v>
      </c>
      <c r="O206">
        <f>IF($J206&gt;MAX('Match Log'!$A$4:$A$1510),NA(),IFERROR(LOOKUP(2,1/(('Match Log'!$D$4:$D$1510=$O$24)*('Match Log'!$A$4:$A$1510&lt;=$J206)),'Match Log'!$N$4:$N$1510),NA()))</f>
        <v>1093.6015451357737</v>
      </c>
      <c r="P206">
        <f>IF($J206&gt;MAX('Match Log'!$A$4:$A$1510),NA(),IFERROR(LOOKUP(2,1/(('Match Log'!$D$4:$D$1510=$P$24)*('Match Log'!$A$4:$A$1510&lt;=$J206)),'Match Log'!$N$4:$N$1510),NA()))</f>
        <v>1127.4289742440753</v>
      </c>
      <c r="Q206">
        <f>IF($J206&gt;MAX('Match Log'!$A$4:$A$1510),NA(),IFERROR(LOOKUP(2,1/(('Match Log'!$D$4:$D$1510=$Q$24)*('Match Log'!$A$4:$A$1510&lt;=$J206)),'Match Log'!$N$4:$N$1510),NA()))</f>
        <v>1050.2393073123574</v>
      </c>
      <c r="R206">
        <f>IF($J206&gt;MAX('Match Log'!$A$4:$A$1510),NA(),IFERROR(LOOKUP(2,1/(('Match Log'!$D$4:$D$1510=$R$24)*('Match Log'!$A$4:$A$1510&lt;=$J206)),'Match Log'!$N$4:$N$1510),NA()))</f>
        <v>1081.1091364919159</v>
      </c>
      <c r="S206">
        <f>IF($J206&gt;MAX('Match Log'!$A$4:$A$1510),NA(),IFERROR(LOOKUP(2,1/(('Match Log'!$D$4:$D$1510=$S$24)*('Match Log'!$A$4:$A$1510&lt;=$J206)),'Match Log'!$N$4:$N$1510),NA()))</f>
        <v>1241.7029363250533</v>
      </c>
      <c r="T206">
        <f>IF($J206&gt;MAX('Match Log'!$A$4:$A$1510),NA(),IFERROR(LOOKUP(2,1/(('Match Log'!$D$4:$D$1510=$T$24)*('Match Log'!$A$4:$A$1510&lt;=$J206)),'Match Log'!$N$4:$N$1510),NA()))</f>
        <v>862.22294373677494</v>
      </c>
      <c r="U206">
        <f>IF($J206&gt;MAX('Match Log'!$A$4:$A$1510),NA(),IFERROR(LOOKUP(2,1/(('Match Log'!$D$4:$D$1510=$U$24)*('Match Log'!$A$4:$A$1510&lt;=$J206)),'Match Log'!$N$4:$N$1510),NA()))</f>
        <v>1115.8211932271754</v>
      </c>
      <c r="V206">
        <f>IF($J206&gt;MAX('Match Log'!$A$4:$A$1510),NA(),IFERROR(LOOKUP(2,1/(('Match Log'!$D$4:$D$1510=$V$24)*('Match Log'!$A$4:$A$1510&lt;=$J206)),'Match Log'!$N$4:$N$1510),NA()))</f>
        <v>1012.1303999492304</v>
      </c>
      <c r="W206">
        <f>IF($J206&gt;MAX('Match Log'!$A$4:$A$1510),NA(),IFERROR(LOOKUP(2,1/(('Match Log'!$D$4:$D$1510=$W$24)*('Match Log'!$A$4:$A$1510&lt;=$J206)),'Match Log'!$N$4:$N$1510),NA()))</f>
        <v>1080.3830919749923</v>
      </c>
      <c r="X206" t="e">
        <f>IF($J206&gt;MAX('Match Log'!$A$4:$A$1510),NA(),IFERROR(LOOKUP(2,1/(('Match Log'!$D$4:$D$1510=$X$24)*('Match Log'!$A$4:$A$1510&lt;=$J206)),'Match Log'!$N$4:$N$1510),NA()))</f>
        <v>#N/A</v>
      </c>
      <c r="Y206" t="str">
        <f t="shared" ca="1" si="25"/>
        <v/>
      </c>
    </row>
    <row r="207" spans="1:25" x14ac:dyDescent="0.2">
      <c r="A207">
        <v>183</v>
      </c>
      <c r="B207" s="138">
        <f>IFERROR(INDEX('Match Log'!$B$4:$B$1510,MATCH($A207,'Match Log'!$A$4:$A$1510,0)),"")</f>
        <v>46236</v>
      </c>
      <c r="C207" t="str">
        <f>IFERROR(INDEX('Match Log'!$C$4:$C$1510,MATCH($A207,'Match Log'!$A$4:$A$1510,0)),"")</f>
        <v>Mario Golf</v>
      </c>
      <c r="D207" t="str">
        <f t="array" ref="D207">IFERROR(_xlfn.TEXTJOIN(" + ",TRUE(),IF(('Match Log'!$A$4:$A$1510=$A207)*('Match Log'!$E$4:$E$1510="Win"),'Match Log'!$D$4:$D$1510,"")),IFERROR(LOOKUP(2,1/(('Match Log'!$A$4:$A$1510=$A207)*('Match Log'!$E$4:$E$1510="Win")),'Match Log'!$D$4:$D$1510),""))</f>
        <v>Shawn</v>
      </c>
      <c r="E207" s="139">
        <f>IFERROR(INDEX('Match Log'!$F$4:$F$1510,MATCH($A207,'Match Log'!$A$4:$A$1510,0)),"")</f>
        <v>2</v>
      </c>
      <c r="F207">
        <f>IFERROR(SUMIFS('Match Log'!$I$4:$I$1510,'Match Log'!$A$4:$A$1510,$A207,'Match Log'!$E$4:$E$1510,"Win"),"")</f>
        <v>0.6470588235294118</v>
      </c>
      <c r="G207">
        <f t="shared" si="23"/>
        <v>-0.29411764705882359</v>
      </c>
      <c r="H207" t="str">
        <f t="array" ref="H207">IFERROR(IF(COUNTIFS('Match Log'!$A$4:$A$1510,$A207,'Match Log'!$E$4:$E$1510,"Win")&gt;1,_xlfn.TEXTJOIN(" + ",TRUE(),IF(('Match Log'!$A$4:$A$1510=$A207)*('Match Log'!$E$4:$E$1510="Loss"),'Match Log'!$D$4:$D$1510,"")),IF($E207=2,LOOKUP(2,1/(('Match Log'!$A$4:$A$1510=$A207)*('Match Log'!$E$4:$E$1510="Loss")),'Match Log'!$D$4:$D$1510),"the field")),"")</f>
        <v>Daniel (Ferret)</v>
      </c>
      <c r="I207">
        <f t="shared" si="24"/>
        <v>-0.29430064705882358</v>
      </c>
      <c r="J207">
        <v>183</v>
      </c>
      <c r="K207">
        <f>IF($J207&gt;MAX('Match Log'!$A$4:$A$1510),NA(),IFERROR(LOOKUP(2,1/(('Match Log'!$D$4:$D$1510=$K$24)*('Match Log'!$A$4:$A$1510&lt;=$J207)),'Match Log'!$N$4:$N$1510),NA()))</f>
        <v>1009.8261046694705</v>
      </c>
      <c r="L207">
        <f>IF($J207&gt;MAX('Match Log'!$A$4:$A$1510),NA(),IFERROR(LOOKUP(2,1/(('Match Log'!$D$4:$D$1510=$L$24)*('Match Log'!$A$4:$A$1510&lt;=$J207)),'Match Log'!$N$4:$N$1510),NA()))</f>
        <v>1029.5175965335138</v>
      </c>
      <c r="M207">
        <f>IF($J207&gt;MAX('Match Log'!$A$4:$A$1510),NA(),IFERROR(LOOKUP(2,1/(('Match Log'!$D$4:$D$1510=$M$24)*('Match Log'!$A$4:$A$1510&lt;=$J207)),'Match Log'!$N$4:$N$1510),NA()))</f>
        <v>1037.8197114720938</v>
      </c>
      <c r="N207">
        <f>IF($J207&gt;MAX('Match Log'!$A$4:$A$1510),NA(),IFERROR(LOOKUP(2,1/(('Match Log'!$D$4:$D$1510=$N$24)*('Match Log'!$A$4:$A$1510&lt;=$J207)),'Match Log'!$N$4:$N$1510),NA()))</f>
        <v>973.19705892757202</v>
      </c>
      <c r="O207">
        <f>IF($J207&gt;MAX('Match Log'!$A$4:$A$1510),NA(),IFERROR(LOOKUP(2,1/(('Match Log'!$D$4:$D$1510=$O$24)*('Match Log'!$A$4:$A$1510&lt;=$J207)),'Match Log'!$N$4:$N$1510),NA()))</f>
        <v>1093.6015451357737</v>
      </c>
      <c r="P207">
        <f>IF($J207&gt;MAX('Match Log'!$A$4:$A$1510),NA(),IFERROR(LOOKUP(2,1/(('Match Log'!$D$4:$D$1510=$P$24)*('Match Log'!$A$4:$A$1510&lt;=$J207)),'Match Log'!$N$4:$N$1510),NA()))</f>
        <v>1144.8568925635786</v>
      </c>
      <c r="Q207">
        <f>IF($J207&gt;MAX('Match Log'!$A$4:$A$1510),NA(),IFERROR(LOOKUP(2,1/(('Match Log'!$D$4:$D$1510=$Q$24)*('Match Log'!$A$4:$A$1510&lt;=$J207)),'Match Log'!$N$4:$N$1510),NA()))</f>
        <v>1050.2393073123574</v>
      </c>
      <c r="R207">
        <f>IF($J207&gt;MAX('Match Log'!$A$4:$A$1510),NA(),IFERROR(LOOKUP(2,1/(('Match Log'!$D$4:$D$1510=$R$24)*('Match Log'!$A$4:$A$1510&lt;=$J207)),'Match Log'!$N$4:$N$1510),NA()))</f>
        <v>1063.6812181724126</v>
      </c>
      <c r="S207">
        <f>IF($J207&gt;MAX('Match Log'!$A$4:$A$1510),NA(),IFERROR(LOOKUP(2,1/(('Match Log'!$D$4:$D$1510=$S$24)*('Match Log'!$A$4:$A$1510&lt;=$J207)),'Match Log'!$N$4:$N$1510),NA()))</f>
        <v>1241.7029363250533</v>
      </c>
      <c r="T207">
        <f>IF($J207&gt;MAX('Match Log'!$A$4:$A$1510),NA(),IFERROR(LOOKUP(2,1/(('Match Log'!$D$4:$D$1510=$T$24)*('Match Log'!$A$4:$A$1510&lt;=$J207)),'Match Log'!$N$4:$N$1510),NA()))</f>
        <v>862.22294373677494</v>
      </c>
      <c r="U207">
        <f>IF($J207&gt;MAX('Match Log'!$A$4:$A$1510),NA(),IFERROR(LOOKUP(2,1/(('Match Log'!$D$4:$D$1510=$U$24)*('Match Log'!$A$4:$A$1510&lt;=$J207)),'Match Log'!$N$4:$N$1510),NA()))</f>
        <v>1115.8211932271754</v>
      </c>
      <c r="V207">
        <f>IF($J207&gt;MAX('Match Log'!$A$4:$A$1510),NA(),IFERROR(LOOKUP(2,1/(('Match Log'!$D$4:$D$1510=$V$24)*('Match Log'!$A$4:$A$1510&lt;=$J207)),'Match Log'!$N$4:$N$1510),NA()))</f>
        <v>1012.1303999492304</v>
      </c>
      <c r="W207">
        <f>IF($J207&gt;MAX('Match Log'!$A$4:$A$1510),NA(),IFERROR(LOOKUP(2,1/(('Match Log'!$D$4:$D$1510=$W$24)*('Match Log'!$A$4:$A$1510&lt;=$J207)),'Match Log'!$N$4:$N$1510),NA()))</f>
        <v>1080.3830919749923</v>
      </c>
      <c r="X207" t="e">
        <f>IF($J207&gt;MAX('Match Log'!$A$4:$A$1510),NA(),IFERROR(LOOKUP(2,1/(('Match Log'!$D$4:$D$1510=$X$24)*('Match Log'!$A$4:$A$1510&lt;=$J207)),'Match Log'!$N$4:$N$1510),NA()))</f>
        <v>#N/A</v>
      </c>
      <c r="Y207" t="str">
        <f t="shared" ca="1" si="25"/>
        <v/>
      </c>
    </row>
    <row r="208" spans="1:25" x14ac:dyDescent="0.2">
      <c r="A208">
        <v>184</v>
      </c>
      <c r="B208" s="138">
        <f>IFERROR(INDEX('Match Log'!$B$4:$B$1510,MATCH($A208,'Match Log'!$A$4:$A$1510,0)),"")</f>
        <v>46236</v>
      </c>
      <c r="C208" t="str">
        <f>IFERROR(INDEX('Match Log'!$C$4:$C$1510,MATCH($A208,'Match Log'!$A$4:$A$1510,0)),"")</f>
        <v>Mario Golf</v>
      </c>
      <c r="D208" t="str">
        <f t="array" ref="D208">IFERROR(_xlfn.TEXTJOIN(" + ",TRUE(),IF(('Match Log'!$A$4:$A$1510=$A208)*('Match Log'!$E$4:$E$1510="Win"),'Match Log'!$D$4:$D$1510,"")),IFERROR(LOOKUP(2,1/(('Match Log'!$A$4:$A$1510=$A208)*('Match Log'!$E$4:$E$1510="Win")),'Match Log'!$D$4:$D$1510),""))</f>
        <v>Shawn</v>
      </c>
      <c r="E208" s="139">
        <f>IFERROR(INDEX('Match Log'!$F$4:$F$1510,MATCH($A208,'Match Log'!$A$4:$A$1510,0)),"")</f>
        <v>2</v>
      </c>
      <c r="F208">
        <f>IFERROR(SUMIFS('Match Log'!$I$4:$I$1510,'Match Log'!$A$4:$A$1510,$A208,'Match Log'!$E$4:$E$1510,"Win"),"")</f>
        <v>0.67241379310344829</v>
      </c>
      <c r="G208">
        <f t="shared" si="23"/>
        <v>-0.34482758620689657</v>
      </c>
      <c r="H208" t="str">
        <f t="array" ref="H208">IFERROR(IF(COUNTIFS('Match Log'!$A$4:$A$1510,$A208,'Match Log'!$E$4:$E$1510,"Win")&gt;1,_xlfn.TEXTJOIN(" + ",TRUE(),IF(('Match Log'!$A$4:$A$1510=$A208)*('Match Log'!$E$4:$E$1510="Loss"),'Match Log'!$D$4:$D$1510,"")),IF($E208=2,LOOKUP(2,1/(('Match Log'!$A$4:$A$1510=$A208)*('Match Log'!$E$4:$E$1510="Loss")),'Match Log'!$D$4:$D$1510),"the field")),"")</f>
        <v>Daniel (Ferret)</v>
      </c>
      <c r="I208">
        <f t="shared" si="24"/>
        <v>-0.34501158620689659</v>
      </c>
      <c r="J208">
        <v>184</v>
      </c>
      <c r="K208">
        <f>IF($J208&gt;MAX('Match Log'!$A$4:$A$1510),NA(),IFERROR(LOOKUP(2,1/(('Match Log'!$D$4:$D$1510=$K$24)*('Match Log'!$A$4:$A$1510&lt;=$J208)),'Match Log'!$N$4:$N$1510),NA()))</f>
        <v>1009.8261046694705</v>
      </c>
      <c r="L208">
        <f>IF($J208&gt;MAX('Match Log'!$A$4:$A$1510),NA(),IFERROR(LOOKUP(2,1/(('Match Log'!$D$4:$D$1510=$L$24)*('Match Log'!$A$4:$A$1510&lt;=$J208)),'Match Log'!$N$4:$N$1510),NA()))</f>
        <v>1029.5175965335138</v>
      </c>
      <c r="M208">
        <f>IF($J208&gt;MAX('Match Log'!$A$4:$A$1510),NA(),IFERROR(LOOKUP(2,1/(('Match Log'!$D$4:$D$1510=$M$24)*('Match Log'!$A$4:$A$1510&lt;=$J208)),'Match Log'!$N$4:$N$1510),NA()))</f>
        <v>1037.8197114720938</v>
      </c>
      <c r="N208">
        <f>IF($J208&gt;MAX('Match Log'!$A$4:$A$1510),NA(),IFERROR(LOOKUP(2,1/(('Match Log'!$D$4:$D$1510=$N$24)*('Match Log'!$A$4:$A$1510&lt;=$J208)),'Match Log'!$N$4:$N$1510),NA()))</f>
        <v>973.19705892757202</v>
      </c>
      <c r="O208">
        <f>IF($J208&gt;MAX('Match Log'!$A$4:$A$1510),NA(),IFERROR(LOOKUP(2,1/(('Match Log'!$D$4:$D$1510=$O$24)*('Match Log'!$A$4:$A$1510&lt;=$J208)),'Match Log'!$N$4:$N$1510),NA()))</f>
        <v>1093.6015451357737</v>
      </c>
      <c r="P208">
        <f>IF($J208&gt;MAX('Match Log'!$A$4:$A$1510),NA(),IFERROR(LOOKUP(2,1/(('Match Log'!$D$4:$D$1510=$P$24)*('Match Log'!$A$4:$A$1510&lt;=$J208)),'Match Log'!$N$4:$N$1510),NA()))</f>
        <v>1160.7088863543092</v>
      </c>
      <c r="Q208">
        <f>IF($J208&gt;MAX('Match Log'!$A$4:$A$1510),NA(),IFERROR(LOOKUP(2,1/(('Match Log'!$D$4:$D$1510=$Q$24)*('Match Log'!$A$4:$A$1510&lt;=$J208)),'Match Log'!$N$4:$N$1510),NA()))</f>
        <v>1050.2393073123574</v>
      </c>
      <c r="R208">
        <f>IF($J208&gt;MAX('Match Log'!$A$4:$A$1510),NA(),IFERROR(LOOKUP(2,1/(('Match Log'!$D$4:$D$1510=$R$24)*('Match Log'!$A$4:$A$1510&lt;=$J208)),'Match Log'!$N$4:$N$1510),NA()))</f>
        <v>1047.829224381682</v>
      </c>
      <c r="S208">
        <f>IF($J208&gt;MAX('Match Log'!$A$4:$A$1510),NA(),IFERROR(LOOKUP(2,1/(('Match Log'!$D$4:$D$1510=$S$24)*('Match Log'!$A$4:$A$1510&lt;=$J208)),'Match Log'!$N$4:$N$1510),NA()))</f>
        <v>1241.7029363250533</v>
      </c>
      <c r="T208">
        <f>IF($J208&gt;MAX('Match Log'!$A$4:$A$1510),NA(),IFERROR(LOOKUP(2,1/(('Match Log'!$D$4:$D$1510=$T$24)*('Match Log'!$A$4:$A$1510&lt;=$J208)),'Match Log'!$N$4:$N$1510),NA()))</f>
        <v>862.22294373677494</v>
      </c>
      <c r="U208">
        <f>IF($J208&gt;MAX('Match Log'!$A$4:$A$1510),NA(),IFERROR(LOOKUP(2,1/(('Match Log'!$D$4:$D$1510=$U$24)*('Match Log'!$A$4:$A$1510&lt;=$J208)),'Match Log'!$N$4:$N$1510),NA()))</f>
        <v>1115.8211932271754</v>
      </c>
      <c r="V208">
        <f>IF($J208&gt;MAX('Match Log'!$A$4:$A$1510),NA(),IFERROR(LOOKUP(2,1/(('Match Log'!$D$4:$D$1510=$V$24)*('Match Log'!$A$4:$A$1510&lt;=$J208)),'Match Log'!$N$4:$N$1510),NA()))</f>
        <v>1012.1303999492304</v>
      </c>
      <c r="W208">
        <f>IF($J208&gt;MAX('Match Log'!$A$4:$A$1510),NA(),IFERROR(LOOKUP(2,1/(('Match Log'!$D$4:$D$1510=$W$24)*('Match Log'!$A$4:$A$1510&lt;=$J208)),'Match Log'!$N$4:$N$1510),NA()))</f>
        <v>1080.3830919749923</v>
      </c>
      <c r="X208" t="e">
        <f>IF($J208&gt;MAX('Match Log'!$A$4:$A$1510),NA(),IFERROR(LOOKUP(2,1/(('Match Log'!$D$4:$D$1510=$X$24)*('Match Log'!$A$4:$A$1510&lt;=$J208)),'Match Log'!$N$4:$N$1510),NA()))</f>
        <v>#N/A</v>
      </c>
      <c r="Y208" t="str">
        <f t="shared" ca="1" si="25"/>
        <v/>
      </c>
    </row>
    <row r="209" spans="1:25" x14ac:dyDescent="0.2">
      <c r="A209">
        <v>185</v>
      </c>
      <c r="B209" s="138">
        <f>IFERROR(INDEX('Match Log'!$B$4:$B$1510,MATCH($A209,'Match Log'!$A$4:$A$1510,0)),"")</f>
        <v>46236</v>
      </c>
      <c r="C209" t="str">
        <f>IFERROR(INDEX('Match Log'!$C$4:$C$1510,MATCH($A209,'Match Log'!$A$4:$A$1510,0)),"")</f>
        <v>Mario Golf</v>
      </c>
      <c r="D209" t="str">
        <f t="array" ref="D209">IFERROR(_xlfn.TEXTJOIN(" + ",TRUE(),IF(('Match Log'!$A$4:$A$1510=$A209)*('Match Log'!$E$4:$E$1510="Win"),'Match Log'!$D$4:$D$1510,"")),IFERROR(LOOKUP(2,1/(('Match Log'!$A$4:$A$1510=$A209)*('Match Log'!$E$4:$E$1510="Win")),'Match Log'!$D$4:$D$1510),""))</f>
        <v>Daniel (Ferret)</v>
      </c>
      <c r="E209" s="139">
        <f>IFERROR(INDEX('Match Log'!$F$4:$F$1510,MATCH($A209,'Match Log'!$A$4:$A$1510,0)),"")</f>
        <v>2</v>
      </c>
      <c r="F209">
        <f>IFERROR(SUMIFS('Match Log'!$I$4:$I$1510,'Match Log'!$A$4:$A$1510,$A209,'Match Log'!$E$4:$E$1510,"Win"),"")</f>
        <v>0.30534351145038163</v>
      </c>
      <c r="G209">
        <f t="shared" si="23"/>
        <v>0.38931297709923673</v>
      </c>
      <c r="H209" t="str">
        <f t="array" ref="H209">IFERROR(IF(COUNTIFS('Match Log'!$A$4:$A$1510,$A209,'Match Log'!$E$4:$E$1510,"Win")&gt;1,_xlfn.TEXTJOIN(" + ",TRUE(),IF(('Match Log'!$A$4:$A$1510=$A209)*('Match Log'!$E$4:$E$1510="Loss"),'Match Log'!$D$4:$D$1510,"")),IF($E209=2,LOOKUP(2,1/(('Match Log'!$A$4:$A$1510=$A209)*('Match Log'!$E$4:$E$1510="Loss")),'Match Log'!$D$4:$D$1510),"the field")),"")</f>
        <v>Shawn</v>
      </c>
      <c r="I209">
        <f t="shared" si="24"/>
        <v>0.38912797709923674</v>
      </c>
      <c r="J209">
        <v>185</v>
      </c>
      <c r="K209">
        <f>IF($J209&gt;MAX('Match Log'!$A$4:$A$1510),NA(),IFERROR(LOOKUP(2,1/(('Match Log'!$D$4:$D$1510=$K$24)*('Match Log'!$A$4:$A$1510&lt;=$J209)),'Match Log'!$N$4:$N$1510),NA()))</f>
        <v>1009.8261046694705</v>
      </c>
      <c r="L209">
        <f>IF($J209&gt;MAX('Match Log'!$A$4:$A$1510),NA(),IFERROR(LOOKUP(2,1/(('Match Log'!$D$4:$D$1510=$L$24)*('Match Log'!$A$4:$A$1510&lt;=$J209)),'Match Log'!$N$4:$N$1510),NA()))</f>
        <v>1029.5175965335138</v>
      </c>
      <c r="M209">
        <f>IF($J209&gt;MAX('Match Log'!$A$4:$A$1510),NA(),IFERROR(LOOKUP(2,1/(('Match Log'!$D$4:$D$1510=$M$24)*('Match Log'!$A$4:$A$1510&lt;=$J209)),'Match Log'!$N$4:$N$1510),NA()))</f>
        <v>1037.8197114720938</v>
      </c>
      <c r="N209">
        <f>IF($J209&gt;MAX('Match Log'!$A$4:$A$1510),NA(),IFERROR(LOOKUP(2,1/(('Match Log'!$D$4:$D$1510=$N$24)*('Match Log'!$A$4:$A$1510&lt;=$J209)),'Match Log'!$N$4:$N$1510),NA()))</f>
        <v>973.19705892757202</v>
      </c>
      <c r="O209">
        <f>IF($J209&gt;MAX('Match Log'!$A$4:$A$1510),NA(),IFERROR(LOOKUP(2,1/(('Match Log'!$D$4:$D$1510=$O$24)*('Match Log'!$A$4:$A$1510&lt;=$J209)),'Match Log'!$N$4:$N$1510),NA()))</f>
        <v>1093.6015451357737</v>
      </c>
      <c r="P209">
        <f>IF($J209&gt;MAX('Match Log'!$A$4:$A$1510),NA(),IFERROR(LOOKUP(2,1/(('Match Log'!$D$4:$D$1510=$P$24)*('Match Log'!$A$4:$A$1510&lt;=$J209)),'Match Log'!$N$4:$N$1510),NA()))</f>
        <v>1131.1935153269121</v>
      </c>
      <c r="Q209">
        <f>IF($J209&gt;MAX('Match Log'!$A$4:$A$1510),NA(),IFERROR(LOOKUP(2,1/(('Match Log'!$D$4:$D$1510=$Q$24)*('Match Log'!$A$4:$A$1510&lt;=$J209)),'Match Log'!$N$4:$N$1510),NA()))</f>
        <v>1050.2393073123574</v>
      </c>
      <c r="R209">
        <f>IF($J209&gt;MAX('Match Log'!$A$4:$A$1510),NA(),IFERROR(LOOKUP(2,1/(('Match Log'!$D$4:$D$1510=$R$24)*('Match Log'!$A$4:$A$1510&lt;=$J209)),'Match Log'!$N$4:$N$1510),NA()))</f>
        <v>1077.3445954090791</v>
      </c>
      <c r="S209">
        <f>IF($J209&gt;MAX('Match Log'!$A$4:$A$1510),NA(),IFERROR(LOOKUP(2,1/(('Match Log'!$D$4:$D$1510=$S$24)*('Match Log'!$A$4:$A$1510&lt;=$J209)),'Match Log'!$N$4:$N$1510),NA()))</f>
        <v>1241.7029363250533</v>
      </c>
      <c r="T209">
        <f>IF($J209&gt;MAX('Match Log'!$A$4:$A$1510),NA(),IFERROR(LOOKUP(2,1/(('Match Log'!$D$4:$D$1510=$T$24)*('Match Log'!$A$4:$A$1510&lt;=$J209)),'Match Log'!$N$4:$N$1510),NA()))</f>
        <v>862.22294373677494</v>
      </c>
      <c r="U209">
        <f>IF($J209&gt;MAX('Match Log'!$A$4:$A$1510),NA(),IFERROR(LOOKUP(2,1/(('Match Log'!$D$4:$D$1510=$U$24)*('Match Log'!$A$4:$A$1510&lt;=$J209)),'Match Log'!$N$4:$N$1510),NA()))</f>
        <v>1115.8211932271754</v>
      </c>
      <c r="V209">
        <f>IF($J209&gt;MAX('Match Log'!$A$4:$A$1510),NA(),IFERROR(LOOKUP(2,1/(('Match Log'!$D$4:$D$1510=$V$24)*('Match Log'!$A$4:$A$1510&lt;=$J209)),'Match Log'!$N$4:$N$1510),NA()))</f>
        <v>1012.1303999492304</v>
      </c>
      <c r="W209">
        <f>IF($J209&gt;MAX('Match Log'!$A$4:$A$1510),NA(),IFERROR(LOOKUP(2,1/(('Match Log'!$D$4:$D$1510=$W$24)*('Match Log'!$A$4:$A$1510&lt;=$J209)),'Match Log'!$N$4:$N$1510),NA()))</f>
        <v>1080.3830919749923</v>
      </c>
      <c r="X209" t="e">
        <f>IF($J209&gt;MAX('Match Log'!$A$4:$A$1510),NA(),IFERROR(LOOKUP(2,1/(('Match Log'!$D$4:$D$1510=$X$24)*('Match Log'!$A$4:$A$1510&lt;=$J209)),'Match Log'!$N$4:$N$1510),NA()))</f>
        <v>#N/A</v>
      </c>
      <c r="Y209" t="str">
        <f t="shared" ca="1" si="25"/>
        <v/>
      </c>
    </row>
    <row r="210" spans="1:25" x14ac:dyDescent="0.2">
      <c r="A210">
        <v>186</v>
      </c>
      <c r="B210" s="138">
        <f>IFERROR(INDEX('Match Log'!$B$4:$B$1510,MATCH($A210,'Match Log'!$A$4:$A$1510,0)),"")</f>
        <v>46236</v>
      </c>
      <c r="C210" t="str">
        <f>IFERROR(INDEX('Match Log'!$C$4:$C$1510,MATCH($A210,'Match Log'!$A$4:$A$1510,0)),"")</f>
        <v>Mario Golf</v>
      </c>
      <c r="D210" t="str">
        <f t="array" ref="D210">IFERROR(_xlfn.TEXTJOIN(" + ",TRUE(),IF(('Match Log'!$A$4:$A$1510=$A210)*('Match Log'!$E$4:$E$1510="Win"),'Match Log'!$D$4:$D$1510,"")),IFERROR(LOOKUP(2,1/(('Match Log'!$A$4:$A$1510=$A210)*('Match Log'!$E$4:$E$1510="Win")),'Match Log'!$D$4:$D$1510),""))</f>
        <v>Daniel (Ferret)</v>
      </c>
      <c r="E210" s="139">
        <f>IFERROR(INDEX('Match Log'!$F$4:$F$1510,MATCH($A210,'Match Log'!$A$4:$A$1510,0)),"")</f>
        <v>2</v>
      </c>
      <c r="F210">
        <f>IFERROR(SUMIFS('Match Log'!$I$4:$I$1510,'Match Log'!$A$4:$A$1510,$A210,'Match Log'!$E$4:$E$1510,"Win"),"")</f>
        <v>0.35</v>
      </c>
      <c r="G210">
        <f t="shared" si="23"/>
        <v>0.30000000000000004</v>
      </c>
      <c r="H210" t="str">
        <f t="array" ref="H210">IFERROR(IF(COUNTIFS('Match Log'!$A$4:$A$1510,$A210,'Match Log'!$E$4:$E$1510,"Win")&gt;1,_xlfn.TEXTJOIN(" + ",TRUE(),IF(('Match Log'!$A$4:$A$1510=$A210)*('Match Log'!$E$4:$E$1510="Loss"),'Match Log'!$D$4:$D$1510,"")),IF($E210=2,LOOKUP(2,1/(('Match Log'!$A$4:$A$1510=$A210)*('Match Log'!$E$4:$E$1510="Loss")),'Match Log'!$D$4:$D$1510),"the field")),"")</f>
        <v>Shawn</v>
      </c>
      <c r="I210">
        <f t="shared" si="24"/>
        <v>0.29981400000000002</v>
      </c>
      <c r="J210">
        <v>186</v>
      </c>
      <c r="K210">
        <f>IF($J210&gt;MAX('Match Log'!$A$4:$A$1510),NA(),IFERROR(LOOKUP(2,1/(('Match Log'!$D$4:$D$1510=$K$24)*('Match Log'!$A$4:$A$1510&lt;=$J210)),'Match Log'!$N$4:$N$1510),NA()))</f>
        <v>1009.8261046694705</v>
      </c>
      <c r="L210">
        <f>IF($J210&gt;MAX('Match Log'!$A$4:$A$1510),NA(),IFERROR(LOOKUP(2,1/(('Match Log'!$D$4:$D$1510=$L$24)*('Match Log'!$A$4:$A$1510&lt;=$J210)),'Match Log'!$N$4:$N$1510),NA()))</f>
        <v>1029.5175965335138</v>
      </c>
      <c r="M210">
        <f>IF($J210&gt;MAX('Match Log'!$A$4:$A$1510),NA(),IFERROR(LOOKUP(2,1/(('Match Log'!$D$4:$D$1510=$M$24)*('Match Log'!$A$4:$A$1510&lt;=$J210)),'Match Log'!$N$4:$N$1510),NA()))</f>
        <v>1037.8197114720938</v>
      </c>
      <c r="N210">
        <f>IF($J210&gt;MAX('Match Log'!$A$4:$A$1510),NA(),IFERROR(LOOKUP(2,1/(('Match Log'!$D$4:$D$1510=$N$24)*('Match Log'!$A$4:$A$1510&lt;=$J210)),'Match Log'!$N$4:$N$1510),NA()))</f>
        <v>973.19705892757202</v>
      </c>
      <c r="O210">
        <f>IF($J210&gt;MAX('Match Log'!$A$4:$A$1510),NA(),IFERROR(LOOKUP(2,1/(('Match Log'!$D$4:$D$1510=$O$24)*('Match Log'!$A$4:$A$1510&lt;=$J210)),'Match Log'!$N$4:$N$1510),NA()))</f>
        <v>1093.6015451357737</v>
      </c>
      <c r="P210">
        <f>IF($J210&gt;MAX('Match Log'!$A$4:$A$1510),NA(),IFERROR(LOOKUP(2,1/(('Match Log'!$D$4:$D$1510=$P$24)*('Match Log'!$A$4:$A$1510&lt;=$J210)),'Match Log'!$N$4:$N$1510),NA()))</f>
        <v>1104.1921812390008</v>
      </c>
      <c r="Q210">
        <f>IF($J210&gt;MAX('Match Log'!$A$4:$A$1510),NA(),IFERROR(LOOKUP(2,1/(('Match Log'!$D$4:$D$1510=$Q$24)*('Match Log'!$A$4:$A$1510&lt;=$J210)),'Match Log'!$N$4:$N$1510),NA()))</f>
        <v>1050.2393073123574</v>
      </c>
      <c r="R210">
        <f>IF($J210&gt;MAX('Match Log'!$A$4:$A$1510),NA(),IFERROR(LOOKUP(2,1/(('Match Log'!$D$4:$D$1510=$R$24)*('Match Log'!$A$4:$A$1510&lt;=$J210)),'Match Log'!$N$4:$N$1510),NA()))</f>
        <v>1104.3459294969905</v>
      </c>
      <c r="S210">
        <f>IF($J210&gt;MAX('Match Log'!$A$4:$A$1510),NA(),IFERROR(LOOKUP(2,1/(('Match Log'!$D$4:$D$1510=$S$24)*('Match Log'!$A$4:$A$1510&lt;=$J210)),'Match Log'!$N$4:$N$1510),NA()))</f>
        <v>1241.7029363250533</v>
      </c>
      <c r="T210">
        <f>IF($J210&gt;MAX('Match Log'!$A$4:$A$1510),NA(),IFERROR(LOOKUP(2,1/(('Match Log'!$D$4:$D$1510=$T$24)*('Match Log'!$A$4:$A$1510&lt;=$J210)),'Match Log'!$N$4:$N$1510),NA()))</f>
        <v>862.22294373677494</v>
      </c>
      <c r="U210">
        <f>IF($J210&gt;MAX('Match Log'!$A$4:$A$1510),NA(),IFERROR(LOOKUP(2,1/(('Match Log'!$D$4:$D$1510=$U$24)*('Match Log'!$A$4:$A$1510&lt;=$J210)),'Match Log'!$N$4:$N$1510),NA()))</f>
        <v>1115.8211932271754</v>
      </c>
      <c r="V210">
        <f>IF($J210&gt;MAX('Match Log'!$A$4:$A$1510),NA(),IFERROR(LOOKUP(2,1/(('Match Log'!$D$4:$D$1510=$V$24)*('Match Log'!$A$4:$A$1510&lt;=$J210)),'Match Log'!$N$4:$N$1510),NA()))</f>
        <v>1012.1303999492304</v>
      </c>
      <c r="W210">
        <f>IF($J210&gt;MAX('Match Log'!$A$4:$A$1510),NA(),IFERROR(LOOKUP(2,1/(('Match Log'!$D$4:$D$1510=$W$24)*('Match Log'!$A$4:$A$1510&lt;=$J210)),'Match Log'!$N$4:$N$1510),NA()))</f>
        <v>1080.3830919749923</v>
      </c>
      <c r="X210" t="e">
        <f>IF($J210&gt;MAX('Match Log'!$A$4:$A$1510),NA(),IFERROR(LOOKUP(2,1/(('Match Log'!$D$4:$D$1510=$X$24)*('Match Log'!$A$4:$A$1510&lt;=$J210)),'Match Log'!$N$4:$N$1510),NA()))</f>
        <v>#N/A</v>
      </c>
      <c r="Y210" t="str">
        <f t="shared" ca="1" si="25"/>
        <v/>
      </c>
    </row>
    <row r="211" spans="1:25" x14ac:dyDescent="0.2">
      <c r="A211">
        <v>187</v>
      </c>
      <c r="B211" s="138">
        <f>IFERROR(INDEX('Match Log'!$B$4:$B$1510,MATCH($A211,'Match Log'!$A$4:$A$1510,0)),"")</f>
        <v>46241</v>
      </c>
      <c r="C211" t="str">
        <f>IFERROR(INDEX('Match Log'!$C$4:$C$1510,MATCH($A211,'Match Log'!$A$4:$A$1510,0)),"")</f>
        <v>Mario Golf</v>
      </c>
      <c r="D211" t="str">
        <f t="array" ref="D211">IFERROR(_xlfn.TEXTJOIN(" + ",TRUE(),IF(('Match Log'!$A$4:$A$1510=$A211)*('Match Log'!$E$4:$E$1510="Win"),'Match Log'!$D$4:$D$1510,"")),IFERROR(LOOKUP(2,1/(('Match Log'!$A$4:$A$1510=$A211)*('Match Log'!$E$4:$E$1510="Win")),'Match Log'!$D$4:$D$1510),""))</f>
        <v>Shawn</v>
      </c>
      <c r="E211" s="139">
        <f>IFERROR(INDEX('Match Log'!$F$4:$F$1510,MATCH($A211,'Match Log'!$A$4:$A$1510,0)),"")</f>
        <v>2</v>
      </c>
      <c r="F211">
        <f>IFERROR(SUMIFS('Match Log'!$I$4:$I$1510,'Match Log'!$A$4:$A$1510,$A211,'Match Log'!$E$4:$E$1510,"Win"),"")</f>
        <v>0.61176470588235299</v>
      </c>
      <c r="G211">
        <f t="shared" si="23"/>
        <v>-0.22352941176470598</v>
      </c>
      <c r="H211" t="str">
        <f t="array" ref="H211">IFERROR(IF(COUNTIFS('Match Log'!$A$4:$A$1510,$A211,'Match Log'!$E$4:$E$1510,"Win")&gt;1,_xlfn.TEXTJOIN(" + ",TRUE(),IF(('Match Log'!$A$4:$A$1510=$A211)*('Match Log'!$E$4:$E$1510="Loss"),'Match Log'!$D$4:$D$1510,"")),IF($E211=2,LOOKUP(2,1/(('Match Log'!$A$4:$A$1510=$A211)*('Match Log'!$E$4:$E$1510="Loss")),'Match Log'!$D$4:$D$1510),"the field")),"")</f>
        <v>Oscar</v>
      </c>
      <c r="I211">
        <f t="shared" si="24"/>
        <v>-0.22371641176470597</v>
      </c>
      <c r="J211">
        <v>187</v>
      </c>
      <c r="K211">
        <f>IF($J211&gt;MAX('Match Log'!$A$4:$A$1510),NA(),IFERROR(LOOKUP(2,1/(('Match Log'!$D$4:$D$1510=$K$24)*('Match Log'!$A$4:$A$1510&lt;=$J211)),'Match Log'!$N$4:$N$1510),NA()))</f>
        <v>1009.8261046694705</v>
      </c>
      <c r="L211">
        <f>IF($J211&gt;MAX('Match Log'!$A$4:$A$1510),NA(),IFERROR(LOOKUP(2,1/(('Match Log'!$D$4:$D$1510=$L$24)*('Match Log'!$A$4:$A$1510&lt;=$J211)),'Match Log'!$N$4:$N$1510),NA()))</f>
        <v>1029.5175965335138</v>
      </c>
      <c r="M211">
        <f>IF($J211&gt;MAX('Match Log'!$A$4:$A$1510),NA(),IFERROR(LOOKUP(2,1/(('Match Log'!$D$4:$D$1510=$M$24)*('Match Log'!$A$4:$A$1510&lt;=$J211)),'Match Log'!$N$4:$N$1510),NA()))</f>
        <v>1037.8197114720938</v>
      </c>
      <c r="N211">
        <f>IF($J211&gt;MAX('Match Log'!$A$4:$A$1510),NA(),IFERROR(LOOKUP(2,1/(('Match Log'!$D$4:$D$1510=$N$24)*('Match Log'!$A$4:$A$1510&lt;=$J211)),'Match Log'!$N$4:$N$1510),NA()))</f>
        <v>973.19705892757202</v>
      </c>
      <c r="O211">
        <f>IF($J211&gt;MAX('Match Log'!$A$4:$A$1510),NA(),IFERROR(LOOKUP(2,1/(('Match Log'!$D$4:$D$1510=$O$24)*('Match Log'!$A$4:$A$1510&lt;=$J211)),'Match Log'!$N$4:$N$1510),NA()))</f>
        <v>1093.6015451357737</v>
      </c>
      <c r="P211">
        <f>IF($J211&gt;MAX('Match Log'!$A$4:$A$1510),NA(),IFERROR(LOOKUP(2,1/(('Match Log'!$D$4:$D$1510=$P$24)*('Match Log'!$A$4:$A$1510&lt;=$J211)),'Match Log'!$N$4:$N$1510),NA()))</f>
        <v>1125.4129591833539</v>
      </c>
      <c r="Q211">
        <f>IF($J211&gt;MAX('Match Log'!$A$4:$A$1510),NA(),IFERROR(LOOKUP(2,1/(('Match Log'!$D$4:$D$1510=$Q$24)*('Match Log'!$A$4:$A$1510&lt;=$J211)),'Match Log'!$N$4:$N$1510),NA()))</f>
        <v>1050.2393073123574</v>
      </c>
      <c r="R211">
        <f>IF($J211&gt;MAX('Match Log'!$A$4:$A$1510),NA(),IFERROR(LOOKUP(2,1/(('Match Log'!$D$4:$D$1510=$R$24)*('Match Log'!$A$4:$A$1510&lt;=$J211)),'Match Log'!$N$4:$N$1510),NA()))</f>
        <v>1104.3459294969905</v>
      </c>
      <c r="S211">
        <f>IF($J211&gt;MAX('Match Log'!$A$4:$A$1510),NA(),IFERROR(LOOKUP(2,1/(('Match Log'!$D$4:$D$1510=$S$24)*('Match Log'!$A$4:$A$1510&lt;=$J211)),'Match Log'!$N$4:$N$1510),NA()))</f>
        <v>1241.7029363250533</v>
      </c>
      <c r="T211">
        <f>IF($J211&gt;MAX('Match Log'!$A$4:$A$1510),NA(),IFERROR(LOOKUP(2,1/(('Match Log'!$D$4:$D$1510=$T$24)*('Match Log'!$A$4:$A$1510&lt;=$J211)),'Match Log'!$N$4:$N$1510),NA()))</f>
        <v>862.22294373677494</v>
      </c>
      <c r="U211">
        <f>IF($J211&gt;MAX('Match Log'!$A$4:$A$1510),NA(),IFERROR(LOOKUP(2,1/(('Match Log'!$D$4:$D$1510=$U$24)*('Match Log'!$A$4:$A$1510&lt;=$J211)),'Match Log'!$N$4:$N$1510),NA()))</f>
        <v>1094.6004152828223</v>
      </c>
      <c r="V211">
        <f>IF($J211&gt;MAX('Match Log'!$A$4:$A$1510),NA(),IFERROR(LOOKUP(2,1/(('Match Log'!$D$4:$D$1510=$V$24)*('Match Log'!$A$4:$A$1510&lt;=$J211)),'Match Log'!$N$4:$N$1510),NA()))</f>
        <v>1012.1303999492304</v>
      </c>
      <c r="W211">
        <f>IF($J211&gt;MAX('Match Log'!$A$4:$A$1510),NA(),IFERROR(LOOKUP(2,1/(('Match Log'!$D$4:$D$1510=$W$24)*('Match Log'!$A$4:$A$1510&lt;=$J211)),'Match Log'!$N$4:$N$1510),NA()))</f>
        <v>1080.3830919749923</v>
      </c>
      <c r="X211" t="e">
        <f>IF($J211&gt;MAX('Match Log'!$A$4:$A$1510),NA(),IFERROR(LOOKUP(2,1/(('Match Log'!$D$4:$D$1510=$X$24)*('Match Log'!$A$4:$A$1510&lt;=$J211)),'Match Log'!$N$4:$N$1510),NA()))</f>
        <v>#N/A</v>
      </c>
      <c r="Y211" t="str">
        <f t="shared" ca="1" si="25"/>
        <v/>
      </c>
    </row>
    <row r="212" spans="1:25" x14ac:dyDescent="0.2">
      <c r="A212">
        <v>188</v>
      </c>
      <c r="B212" s="138">
        <f>IFERROR(INDEX('Match Log'!$B$4:$B$1510,MATCH($A212,'Match Log'!$A$4:$A$1510,0)),"")</f>
        <v>46241</v>
      </c>
      <c r="C212" t="str">
        <f>IFERROR(INDEX('Match Log'!$C$4:$C$1510,MATCH($A212,'Match Log'!$A$4:$A$1510,0)),"")</f>
        <v>Mario Golf</v>
      </c>
      <c r="D212" t="str">
        <f t="array" ref="D212">IFERROR(_xlfn.TEXTJOIN(" + ",TRUE(),IF(('Match Log'!$A$4:$A$1510=$A212)*('Match Log'!$E$4:$E$1510="Win"),'Match Log'!$D$4:$D$1510,"")),IFERROR(LOOKUP(2,1/(('Match Log'!$A$4:$A$1510=$A212)*('Match Log'!$E$4:$E$1510="Win")),'Match Log'!$D$4:$D$1510),""))</f>
        <v>Shawn</v>
      </c>
      <c r="E212" s="139">
        <f>IFERROR(INDEX('Match Log'!$F$4:$F$1510,MATCH($A212,'Match Log'!$A$4:$A$1510,0)),"")</f>
        <v>3</v>
      </c>
      <c r="F212">
        <f>IFERROR(SUMIFS('Match Log'!$I$4:$I$1510,'Match Log'!$A$4:$A$1510,$A212,'Match Log'!$E$4:$E$1510,"Win"),"")</f>
        <v>0.46217331499312247</v>
      </c>
      <c r="G212">
        <f t="shared" si="23"/>
        <v>-0.38651994497936748</v>
      </c>
      <c r="H212" t="str">
        <f t="array" ref="H212">IFERROR(IF(COUNTIFS('Match Log'!$A$4:$A$1510,$A212,'Match Log'!$E$4:$E$1510,"Win")&gt;1,_xlfn.TEXTJOIN(" + ",TRUE(),IF(('Match Log'!$A$4:$A$1510=$A212)*('Match Log'!$E$4:$E$1510="Loss"),'Match Log'!$D$4:$D$1510,"")),IF($E212=2,LOOKUP(2,1/(('Match Log'!$A$4:$A$1510=$A212)*('Match Log'!$E$4:$E$1510="Loss")),'Match Log'!$D$4:$D$1510),"the field")),"")</f>
        <v>the field</v>
      </c>
      <c r="I212">
        <f t="shared" si="24"/>
        <v>-0.3867079449793675</v>
      </c>
      <c r="J212">
        <v>188</v>
      </c>
      <c r="K212">
        <f>IF($J212&gt;MAX('Match Log'!$A$4:$A$1510),NA(),IFERROR(LOOKUP(2,1/(('Match Log'!$D$4:$D$1510=$K$24)*('Match Log'!$A$4:$A$1510&lt;=$J212)),'Match Log'!$N$4:$N$1510),NA()))</f>
        <v>1009.8261046694705</v>
      </c>
      <c r="L212">
        <f>IF($J212&gt;MAX('Match Log'!$A$4:$A$1510),NA(),IFERROR(LOOKUP(2,1/(('Match Log'!$D$4:$D$1510=$L$24)*('Match Log'!$A$4:$A$1510&lt;=$J212)),'Match Log'!$N$4:$N$1510),NA()))</f>
        <v>1029.5175965335138</v>
      </c>
      <c r="M212">
        <f>IF($J212&gt;MAX('Match Log'!$A$4:$A$1510),NA(),IFERROR(LOOKUP(2,1/(('Match Log'!$D$4:$D$1510=$M$24)*('Match Log'!$A$4:$A$1510&lt;=$J212)),'Match Log'!$N$4:$N$1510),NA()))</f>
        <v>1037.8197114720938</v>
      </c>
      <c r="N212">
        <f>IF($J212&gt;MAX('Match Log'!$A$4:$A$1510),NA(),IFERROR(LOOKUP(2,1/(('Match Log'!$D$4:$D$1510=$N$24)*('Match Log'!$A$4:$A$1510&lt;=$J212)),'Match Log'!$N$4:$N$1510),NA()))</f>
        <v>973.19705892757202</v>
      </c>
      <c r="O212">
        <f>IF($J212&gt;MAX('Match Log'!$A$4:$A$1510),NA(),IFERROR(LOOKUP(2,1/(('Match Log'!$D$4:$D$1510=$O$24)*('Match Log'!$A$4:$A$1510&lt;=$J212)),'Match Log'!$N$4:$N$1510),NA()))</f>
        <v>1093.6015451357737</v>
      </c>
      <c r="P212">
        <f>IF($J212&gt;MAX('Match Log'!$A$4:$A$1510),NA(),IFERROR(LOOKUP(2,1/(('Match Log'!$D$4:$D$1510=$P$24)*('Match Log'!$A$4:$A$1510&lt;=$J212)),'Match Log'!$N$4:$N$1510),NA()))</f>
        <v>1149.2815137445032</v>
      </c>
      <c r="Q212">
        <f>IF($J212&gt;MAX('Match Log'!$A$4:$A$1510),NA(),IFERROR(LOOKUP(2,1/(('Match Log'!$D$4:$D$1510=$Q$24)*('Match Log'!$A$4:$A$1510&lt;=$J212)),'Match Log'!$N$4:$N$1510),NA()))</f>
        <v>1050.2393073123574</v>
      </c>
      <c r="R212">
        <f>IF($J212&gt;MAX('Match Log'!$A$4:$A$1510),NA(),IFERROR(LOOKUP(2,1/(('Match Log'!$D$4:$D$1510=$R$24)*('Match Log'!$A$4:$A$1510&lt;=$J212)),'Match Log'!$N$4:$N$1510),NA()))</f>
        <v>1096.9361534599395</v>
      </c>
      <c r="S212">
        <f>IF($J212&gt;MAX('Match Log'!$A$4:$A$1510),NA(),IFERROR(LOOKUP(2,1/(('Match Log'!$D$4:$D$1510=$S$24)*('Match Log'!$A$4:$A$1510&lt;=$J212)),'Match Log'!$N$4:$N$1510),NA()))</f>
        <v>1241.7029363250533</v>
      </c>
      <c r="T212">
        <f>IF($J212&gt;MAX('Match Log'!$A$4:$A$1510),NA(),IFERROR(LOOKUP(2,1/(('Match Log'!$D$4:$D$1510=$T$24)*('Match Log'!$A$4:$A$1510&lt;=$J212)),'Match Log'!$N$4:$N$1510),NA()))</f>
        <v>862.22294373677494</v>
      </c>
      <c r="U212">
        <f>IF($J212&gt;MAX('Match Log'!$A$4:$A$1510),NA(),IFERROR(LOOKUP(2,1/(('Match Log'!$D$4:$D$1510=$U$24)*('Match Log'!$A$4:$A$1510&lt;=$J212)),'Match Log'!$N$4:$N$1510),NA()))</f>
        <v>1087.141636758724</v>
      </c>
      <c r="V212">
        <f>IF($J212&gt;MAX('Match Log'!$A$4:$A$1510),NA(),IFERROR(LOOKUP(2,1/(('Match Log'!$D$4:$D$1510=$V$24)*('Match Log'!$A$4:$A$1510&lt;=$J212)),'Match Log'!$N$4:$N$1510),NA()))</f>
        <v>1012.1303999492304</v>
      </c>
      <c r="W212">
        <f>IF($J212&gt;MAX('Match Log'!$A$4:$A$1510),NA(),IFERROR(LOOKUP(2,1/(('Match Log'!$D$4:$D$1510=$W$24)*('Match Log'!$A$4:$A$1510&lt;=$J212)),'Match Log'!$N$4:$N$1510),NA()))</f>
        <v>1080.3830919749923</v>
      </c>
      <c r="X212" t="e">
        <f>IF($J212&gt;MAX('Match Log'!$A$4:$A$1510),NA(),IFERROR(LOOKUP(2,1/(('Match Log'!$D$4:$D$1510=$X$24)*('Match Log'!$A$4:$A$1510&lt;=$J212)),'Match Log'!$N$4:$N$1510),NA()))</f>
        <v>#N/A</v>
      </c>
      <c r="Y212" t="str">
        <f t="shared" ca="1" si="25"/>
        <v/>
      </c>
    </row>
    <row r="213" spans="1:25" x14ac:dyDescent="0.2">
      <c r="A213">
        <v>189</v>
      </c>
      <c r="B213" s="138">
        <f>IFERROR(INDEX('Match Log'!$B$4:$B$1510,MATCH($A213,'Match Log'!$A$4:$A$1510,0)),"")</f>
        <v>46241</v>
      </c>
      <c r="C213" t="str">
        <f>IFERROR(INDEX('Match Log'!$C$4:$C$1510,MATCH($A213,'Match Log'!$A$4:$A$1510,0)),"")</f>
        <v>Mario Golf</v>
      </c>
      <c r="D213" t="str">
        <f t="array" ref="D213">IFERROR(_xlfn.TEXTJOIN(" + ",TRUE(),IF(('Match Log'!$A$4:$A$1510=$A213)*('Match Log'!$E$4:$E$1510="Win"),'Match Log'!$D$4:$D$1510,"")),IFERROR(LOOKUP(2,1/(('Match Log'!$A$4:$A$1510=$A213)*('Match Log'!$E$4:$E$1510="Win")),'Match Log'!$D$4:$D$1510),""))</f>
        <v>Daniel (Ferret)</v>
      </c>
      <c r="E213" s="139">
        <f>IFERROR(INDEX('Match Log'!$F$4:$F$1510,MATCH($A213,'Match Log'!$A$4:$A$1510,0)),"")</f>
        <v>3</v>
      </c>
      <c r="F213">
        <f>IFERROR(SUMIFS('Match Log'!$I$4:$I$1510,'Match Log'!$A$4:$A$1510,$A213,'Match Log'!$E$4:$E$1510,"Win"),"")</f>
        <v>0.27617951668584578</v>
      </c>
      <c r="G213">
        <f t="shared" si="23"/>
        <v>0.17146144994246271</v>
      </c>
      <c r="H213" t="str">
        <f t="array" ref="H213">IFERROR(IF(COUNTIFS('Match Log'!$A$4:$A$1510,$A213,'Match Log'!$E$4:$E$1510,"Win")&gt;1,_xlfn.TEXTJOIN(" + ",TRUE(),IF(('Match Log'!$A$4:$A$1510=$A213)*('Match Log'!$E$4:$E$1510="Loss"),'Match Log'!$D$4:$D$1510,"")),IF($E213=2,LOOKUP(2,1/(('Match Log'!$A$4:$A$1510=$A213)*('Match Log'!$E$4:$E$1510="Loss")),'Match Log'!$D$4:$D$1510),"the field")),"")</f>
        <v>the field</v>
      </c>
      <c r="I213">
        <f t="shared" si="24"/>
        <v>0.17127244994246271</v>
      </c>
      <c r="J213">
        <v>189</v>
      </c>
      <c r="K213">
        <f>IF($J213&gt;MAX('Match Log'!$A$4:$A$1510),NA(),IFERROR(LOOKUP(2,1/(('Match Log'!$D$4:$D$1510=$K$24)*('Match Log'!$A$4:$A$1510&lt;=$J213)),'Match Log'!$N$4:$N$1510),NA()))</f>
        <v>1009.8261046694705</v>
      </c>
      <c r="L213">
        <f>IF($J213&gt;MAX('Match Log'!$A$4:$A$1510),NA(),IFERROR(LOOKUP(2,1/(('Match Log'!$D$4:$D$1510=$L$24)*('Match Log'!$A$4:$A$1510&lt;=$J213)),'Match Log'!$N$4:$N$1510),NA()))</f>
        <v>1029.5175965335138</v>
      </c>
      <c r="M213">
        <f>IF($J213&gt;MAX('Match Log'!$A$4:$A$1510),NA(),IFERROR(LOOKUP(2,1/(('Match Log'!$D$4:$D$1510=$M$24)*('Match Log'!$A$4:$A$1510&lt;=$J213)),'Match Log'!$N$4:$N$1510),NA()))</f>
        <v>1037.8197114720938</v>
      </c>
      <c r="N213">
        <f>IF($J213&gt;MAX('Match Log'!$A$4:$A$1510),NA(),IFERROR(LOOKUP(2,1/(('Match Log'!$D$4:$D$1510=$N$24)*('Match Log'!$A$4:$A$1510&lt;=$J213)),'Match Log'!$N$4:$N$1510),NA()))</f>
        <v>973.19705892757202</v>
      </c>
      <c r="O213">
        <f>IF($J213&gt;MAX('Match Log'!$A$4:$A$1510),NA(),IFERROR(LOOKUP(2,1/(('Match Log'!$D$4:$D$1510=$O$24)*('Match Log'!$A$4:$A$1510&lt;=$J213)),'Match Log'!$N$4:$N$1510),NA()))</f>
        <v>1093.6015451357737</v>
      </c>
      <c r="P213">
        <f>IF($J213&gt;MAX('Match Log'!$A$4:$A$1510),NA(),IFERROR(LOOKUP(2,1/(('Match Log'!$D$4:$D$1510=$P$24)*('Match Log'!$A$4:$A$1510&lt;=$J213)),'Match Log'!$N$4:$N$1510),NA()))</f>
        <v>1136.8854326959333</v>
      </c>
      <c r="Q213">
        <f>IF($J213&gt;MAX('Match Log'!$A$4:$A$1510),NA(),IFERROR(LOOKUP(2,1/(('Match Log'!$D$4:$D$1510=$Q$24)*('Match Log'!$A$4:$A$1510&lt;=$J213)),'Match Log'!$N$4:$N$1510),NA()))</f>
        <v>1050.2393073123574</v>
      </c>
      <c r="R213">
        <f>IF($J213&gt;MAX('Match Log'!$A$4:$A$1510),NA(),IFERROR(LOOKUP(2,1/(('Match Log'!$D$4:$D$1510=$R$24)*('Match Log'!$A$4:$A$1510&lt;=$J213)),'Match Log'!$N$4:$N$1510),NA()))</f>
        <v>1126.5349307714825</v>
      </c>
      <c r="S213">
        <f>IF($J213&gt;MAX('Match Log'!$A$4:$A$1510),NA(),IFERROR(LOOKUP(2,1/(('Match Log'!$D$4:$D$1510=$S$24)*('Match Log'!$A$4:$A$1510&lt;=$J213)),'Match Log'!$N$4:$N$1510),NA()))</f>
        <v>1241.7029363250533</v>
      </c>
      <c r="T213">
        <f>IF($J213&gt;MAX('Match Log'!$A$4:$A$1510),NA(),IFERROR(LOOKUP(2,1/(('Match Log'!$D$4:$D$1510=$T$24)*('Match Log'!$A$4:$A$1510&lt;=$J213)),'Match Log'!$N$4:$N$1510),NA()))</f>
        <v>862.22294373677494</v>
      </c>
      <c r="U213">
        <f>IF($J213&gt;MAX('Match Log'!$A$4:$A$1510),NA(),IFERROR(LOOKUP(2,1/(('Match Log'!$D$4:$D$1510=$U$24)*('Match Log'!$A$4:$A$1510&lt;=$J213)),'Match Log'!$N$4:$N$1510),NA()))</f>
        <v>1078.9389404957508</v>
      </c>
      <c r="V213">
        <f>IF($J213&gt;MAX('Match Log'!$A$4:$A$1510),NA(),IFERROR(LOOKUP(2,1/(('Match Log'!$D$4:$D$1510=$V$24)*('Match Log'!$A$4:$A$1510&lt;=$J213)),'Match Log'!$N$4:$N$1510),NA()))</f>
        <v>1012.1303999492304</v>
      </c>
      <c r="W213">
        <f>IF($J213&gt;MAX('Match Log'!$A$4:$A$1510),NA(),IFERROR(LOOKUP(2,1/(('Match Log'!$D$4:$D$1510=$W$24)*('Match Log'!$A$4:$A$1510&lt;=$J213)),'Match Log'!$N$4:$N$1510),NA()))</f>
        <v>1080.3830919749923</v>
      </c>
      <c r="X213" t="e">
        <f>IF($J213&gt;MAX('Match Log'!$A$4:$A$1510),NA(),IFERROR(LOOKUP(2,1/(('Match Log'!$D$4:$D$1510=$X$24)*('Match Log'!$A$4:$A$1510&lt;=$J213)),'Match Log'!$N$4:$N$1510),NA()))</f>
        <v>#N/A</v>
      </c>
      <c r="Y213" t="str">
        <f t="shared" ca="1" si="25"/>
        <v/>
      </c>
    </row>
    <row r="214" spans="1:25" x14ac:dyDescent="0.2">
      <c r="A214">
        <v>190</v>
      </c>
      <c r="B214" s="138">
        <f>IFERROR(INDEX('Match Log'!$B$4:$B$1510,MATCH($A214,'Match Log'!$A$4:$A$1510,0)),"")</f>
        <v>46241</v>
      </c>
      <c r="C214" t="str">
        <f>IFERROR(INDEX('Match Log'!$C$4:$C$1510,MATCH($A214,'Match Log'!$A$4:$A$1510,0)),"")</f>
        <v>Mario Golf</v>
      </c>
      <c r="D214" t="str">
        <f t="array" ref="D214">IFERROR(_xlfn.TEXTJOIN(" + ",TRUE(),IF(('Match Log'!$A$4:$A$1510=$A214)*('Match Log'!$E$4:$E$1510="Win"),'Match Log'!$D$4:$D$1510,"")),IFERROR(LOOKUP(2,1/(('Match Log'!$A$4:$A$1510=$A214)*('Match Log'!$E$4:$E$1510="Win")),'Match Log'!$D$4:$D$1510),""))</f>
        <v>Daniel (Ferret)</v>
      </c>
      <c r="E214" s="139">
        <f>IFERROR(INDEX('Match Log'!$F$4:$F$1510,MATCH($A214,'Match Log'!$A$4:$A$1510,0)),"")</f>
        <v>3</v>
      </c>
      <c r="F214">
        <f>IFERROR(SUMIFS('Match Log'!$I$4:$I$1510,'Match Log'!$A$4:$A$1510,$A214,'Match Log'!$E$4:$E$1510,"Win"),"")</f>
        <v>0.30824659727782228</v>
      </c>
      <c r="G214">
        <f t="shared" si="23"/>
        <v>7.5260208166533227E-2</v>
      </c>
      <c r="H214" t="str">
        <f t="array" ref="H214">IFERROR(IF(COUNTIFS('Match Log'!$A$4:$A$1510,$A214,'Match Log'!$E$4:$E$1510,"Win")&gt;1,_xlfn.TEXTJOIN(" + ",TRUE(),IF(('Match Log'!$A$4:$A$1510=$A214)*('Match Log'!$E$4:$E$1510="Loss"),'Match Log'!$D$4:$D$1510,"")),IF($E214=2,LOOKUP(2,1/(('Match Log'!$A$4:$A$1510=$A214)*('Match Log'!$E$4:$E$1510="Loss")),'Match Log'!$D$4:$D$1510),"the field")),"")</f>
        <v>the field</v>
      </c>
      <c r="I214">
        <f t="shared" si="24"/>
        <v>7.5070208166533231E-2</v>
      </c>
      <c r="J214">
        <v>190</v>
      </c>
      <c r="K214">
        <f>IF($J214&gt;MAX('Match Log'!$A$4:$A$1510),NA(),IFERROR(LOOKUP(2,1/(('Match Log'!$D$4:$D$1510=$K$24)*('Match Log'!$A$4:$A$1510&lt;=$J214)),'Match Log'!$N$4:$N$1510),NA()))</f>
        <v>1009.8261046694705</v>
      </c>
      <c r="L214">
        <f>IF($J214&gt;MAX('Match Log'!$A$4:$A$1510),NA(),IFERROR(LOOKUP(2,1/(('Match Log'!$D$4:$D$1510=$L$24)*('Match Log'!$A$4:$A$1510&lt;=$J214)),'Match Log'!$N$4:$N$1510),NA()))</f>
        <v>1029.5175965335138</v>
      </c>
      <c r="M214">
        <f>IF($J214&gt;MAX('Match Log'!$A$4:$A$1510),NA(),IFERROR(LOOKUP(2,1/(('Match Log'!$D$4:$D$1510=$M$24)*('Match Log'!$A$4:$A$1510&lt;=$J214)),'Match Log'!$N$4:$N$1510),NA()))</f>
        <v>1037.8197114720938</v>
      </c>
      <c r="N214">
        <f>IF($J214&gt;MAX('Match Log'!$A$4:$A$1510),NA(),IFERROR(LOOKUP(2,1/(('Match Log'!$D$4:$D$1510=$N$24)*('Match Log'!$A$4:$A$1510&lt;=$J214)),'Match Log'!$N$4:$N$1510),NA()))</f>
        <v>973.19705892757202</v>
      </c>
      <c r="O214">
        <f>IF($J214&gt;MAX('Match Log'!$A$4:$A$1510),NA(),IFERROR(LOOKUP(2,1/(('Match Log'!$D$4:$D$1510=$O$24)*('Match Log'!$A$4:$A$1510&lt;=$J214)),'Match Log'!$N$4:$N$1510),NA()))</f>
        <v>1093.6015451357737</v>
      </c>
      <c r="P214">
        <f>IF($J214&gt;MAX('Match Log'!$A$4:$A$1510),NA(),IFERROR(LOOKUP(2,1/(('Match Log'!$D$4:$D$1510=$P$24)*('Match Log'!$A$4:$A$1510&lt;=$J214)),'Match Log'!$N$4:$N$1510),NA()))</f>
        <v>1125.3301927780342</v>
      </c>
      <c r="Q214">
        <f>IF($J214&gt;MAX('Match Log'!$A$4:$A$1510),NA(),IFERROR(LOOKUP(2,1/(('Match Log'!$D$4:$D$1510=$Q$24)*('Match Log'!$A$4:$A$1510&lt;=$J214)),'Match Log'!$N$4:$N$1510),NA()))</f>
        <v>1050.2393073123574</v>
      </c>
      <c r="R214">
        <f>IF($J214&gt;MAX('Match Log'!$A$4:$A$1510),NA(),IFERROR(LOOKUP(2,1/(('Match Log'!$D$4:$D$1510=$R$24)*('Match Log'!$A$4:$A$1510&lt;=$J214)),'Match Log'!$N$4:$N$1510),NA()))</f>
        <v>1154.3708401956087</v>
      </c>
      <c r="S214">
        <f>IF($J214&gt;MAX('Match Log'!$A$4:$A$1510),NA(),IFERROR(LOOKUP(2,1/(('Match Log'!$D$4:$D$1510=$S$24)*('Match Log'!$A$4:$A$1510&lt;=$J214)),'Match Log'!$N$4:$N$1510),NA()))</f>
        <v>1241.7029363250533</v>
      </c>
      <c r="T214">
        <f>IF($J214&gt;MAX('Match Log'!$A$4:$A$1510),NA(),IFERROR(LOOKUP(2,1/(('Match Log'!$D$4:$D$1510=$T$24)*('Match Log'!$A$4:$A$1510&lt;=$J214)),'Match Log'!$N$4:$N$1510),NA()))</f>
        <v>862.22294373677494</v>
      </c>
      <c r="U214">
        <f>IF($J214&gt;MAX('Match Log'!$A$4:$A$1510),NA(),IFERROR(LOOKUP(2,1/(('Match Log'!$D$4:$D$1510=$U$24)*('Match Log'!$A$4:$A$1510&lt;=$J214)),'Match Log'!$N$4:$N$1510),NA()))</f>
        <v>1071.6582709895238</v>
      </c>
      <c r="V214">
        <f>IF($J214&gt;MAX('Match Log'!$A$4:$A$1510),NA(),IFERROR(LOOKUP(2,1/(('Match Log'!$D$4:$D$1510=$V$24)*('Match Log'!$A$4:$A$1510&lt;=$J214)),'Match Log'!$N$4:$N$1510),NA()))</f>
        <v>1012.1303999492304</v>
      </c>
      <c r="W214">
        <f>IF($J214&gt;MAX('Match Log'!$A$4:$A$1510),NA(),IFERROR(LOOKUP(2,1/(('Match Log'!$D$4:$D$1510=$W$24)*('Match Log'!$A$4:$A$1510&lt;=$J214)),'Match Log'!$N$4:$N$1510),NA()))</f>
        <v>1080.3830919749923</v>
      </c>
      <c r="X214" t="e">
        <f>IF($J214&gt;MAX('Match Log'!$A$4:$A$1510),NA(),IFERROR(LOOKUP(2,1/(('Match Log'!$D$4:$D$1510=$X$24)*('Match Log'!$A$4:$A$1510&lt;=$J214)),'Match Log'!$N$4:$N$1510),NA()))</f>
        <v>#N/A</v>
      </c>
      <c r="Y214" t="str">
        <f t="shared" ca="1" si="25"/>
        <v/>
      </c>
    </row>
    <row r="215" spans="1:25" x14ac:dyDescent="0.2">
      <c r="A215">
        <v>191</v>
      </c>
      <c r="B215" s="138">
        <f>IFERROR(INDEX('Match Log'!$B$4:$B$1510,MATCH($A215,'Match Log'!$A$4:$A$1510,0)),"")</f>
        <v>46243</v>
      </c>
      <c r="C215" t="str">
        <f>IFERROR(INDEX('Match Log'!$C$4:$C$1510,MATCH($A215,'Match Log'!$A$4:$A$1510,0)),"")</f>
        <v>Mario Golf</v>
      </c>
      <c r="D215" t="str">
        <f t="array" ref="D215">IFERROR(_xlfn.TEXTJOIN(" + ",TRUE(),IF(('Match Log'!$A$4:$A$1510=$A215)*('Match Log'!$E$4:$E$1510="Win"),'Match Log'!$D$4:$D$1510,"")),IFERROR(LOOKUP(2,1/(('Match Log'!$A$4:$A$1510=$A215)*('Match Log'!$E$4:$E$1510="Win")),'Match Log'!$D$4:$D$1510),""))</f>
        <v>Shawn</v>
      </c>
      <c r="E215" s="139">
        <f>IFERROR(INDEX('Match Log'!$F$4:$F$1510,MATCH($A215,'Match Log'!$A$4:$A$1510,0)),"")</f>
        <v>2</v>
      </c>
      <c r="F215">
        <f>IFERROR(SUMIFS('Match Log'!$I$4:$I$1510,'Match Log'!$A$4:$A$1510,$A215,'Match Log'!$E$4:$E$1510,"Win"),"")</f>
        <v>0.69767441860465118</v>
      </c>
      <c r="G215">
        <f t="shared" si="23"/>
        <v>-0.39534883720930236</v>
      </c>
      <c r="H215" t="str">
        <f t="array" ref="H215">IFERROR(IF(COUNTIFS('Match Log'!$A$4:$A$1510,$A215,'Match Log'!$E$4:$E$1510,"Win")&gt;1,_xlfn.TEXTJOIN(" + ",TRUE(),IF(('Match Log'!$A$4:$A$1510=$A215)*('Match Log'!$E$4:$E$1510="Loss"),'Match Log'!$D$4:$D$1510,"")),IF($E215=2,LOOKUP(2,1/(('Match Log'!$A$4:$A$1510=$A215)*('Match Log'!$E$4:$E$1510="Loss")),'Match Log'!$D$4:$D$1510),"the field")),"")</f>
        <v>Oscar</v>
      </c>
      <c r="I215">
        <f t="shared" si="24"/>
        <v>-0.39553983720930236</v>
      </c>
      <c r="J215">
        <v>191</v>
      </c>
      <c r="K215">
        <f>IF($J215&gt;MAX('Match Log'!$A$4:$A$1510),NA(),IFERROR(LOOKUP(2,1/(('Match Log'!$D$4:$D$1510=$K$24)*('Match Log'!$A$4:$A$1510&lt;=$J215)),'Match Log'!$N$4:$N$1510),NA()))</f>
        <v>1009.8261046694705</v>
      </c>
      <c r="L215">
        <f>IF($J215&gt;MAX('Match Log'!$A$4:$A$1510),NA(),IFERROR(LOOKUP(2,1/(('Match Log'!$D$4:$D$1510=$L$24)*('Match Log'!$A$4:$A$1510&lt;=$J215)),'Match Log'!$N$4:$N$1510),NA()))</f>
        <v>1029.5175965335138</v>
      </c>
      <c r="M215">
        <f>IF($J215&gt;MAX('Match Log'!$A$4:$A$1510),NA(),IFERROR(LOOKUP(2,1/(('Match Log'!$D$4:$D$1510=$M$24)*('Match Log'!$A$4:$A$1510&lt;=$J215)),'Match Log'!$N$4:$N$1510),NA()))</f>
        <v>1037.8197114720938</v>
      </c>
      <c r="N215">
        <f>IF($J215&gt;MAX('Match Log'!$A$4:$A$1510),NA(),IFERROR(LOOKUP(2,1/(('Match Log'!$D$4:$D$1510=$N$24)*('Match Log'!$A$4:$A$1510&lt;=$J215)),'Match Log'!$N$4:$N$1510),NA()))</f>
        <v>973.19705892757202</v>
      </c>
      <c r="O215">
        <f>IF($J215&gt;MAX('Match Log'!$A$4:$A$1510),NA(),IFERROR(LOOKUP(2,1/(('Match Log'!$D$4:$D$1510=$O$24)*('Match Log'!$A$4:$A$1510&lt;=$J215)),'Match Log'!$N$4:$N$1510),NA()))</f>
        <v>1093.6015451357737</v>
      </c>
      <c r="P215">
        <f>IF($J215&gt;MAX('Match Log'!$A$4:$A$1510),NA(),IFERROR(LOOKUP(2,1/(('Match Log'!$D$4:$D$1510=$P$24)*('Match Log'!$A$4:$A$1510&lt;=$J215)),'Match Log'!$N$4:$N$1510),NA()))</f>
        <v>1142.6518506237364</v>
      </c>
      <c r="Q215">
        <f>IF($J215&gt;MAX('Match Log'!$A$4:$A$1510),NA(),IFERROR(LOOKUP(2,1/(('Match Log'!$D$4:$D$1510=$Q$24)*('Match Log'!$A$4:$A$1510&lt;=$J215)),'Match Log'!$N$4:$N$1510),NA()))</f>
        <v>1050.2393073123574</v>
      </c>
      <c r="R215">
        <f>IF($J215&gt;MAX('Match Log'!$A$4:$A$1510),NA(),IFERROR(LOOKUP(2,1/(('Match Log'!$D$4:$D$1510=$R$24)*('Match Log'!$A$4:$A$1510&lt;=$J215)),'Match Log'!$N$4:$N$1510),NA()))</f>
        <v>1154.3708401956087</v>
      </c>
      <c r="S215">
        <f>IF($J215&gt;MAX('Match Log'!$A$4:$A$1510),NA(),IFERROR(LOOKUP(2,1/(('Match Log'!$D$4:$D$1510=$S$24)*('Match Log'!$A$4:$A$1510&lt;=$J215)),'Match Log'!$N$4:$N$1510),NA()))</f>
        <v>1241.7029363250533</v>
      </c>
      <c r="T215">
        <f>IF($J215&gt;MAX('Match Log'!$A$4:$A$1510),NA(),IFERROR(LOOKUP(2,1/(('Match Log'!$D$4:$D$1510=$T$24)*('Match Log'!$A$4:$A$1510&lt;=$J215)),'Match Log'!$N$4:$N$1510),NA()))</f>
        <v>862.22294373677494</v>
      </c>
      <c r="U215">
        <f>IF($J215&gt;MAX('Match Log'!$A$4:$A$1510),NA(),IFERROR(LOOKUP(2,1/(('Match Log'!$D$4:$D$1510=$U$24)*('Match Log'!$A$4:$A$1510&lt;=$J215)),'Match Log'!$N$4:$N$1510),NA()))</f>
        <v>1054.3366131438215</v>
      </c>
      <c r="V215">
        <f>IF($J215&gt;MAX('Match Log'!$A$4:$A$1510),NA(),IFERROR(LOOKUP(2,1/(('Match Log'!$D$4:$D$1510=$V$24)*('Match Log'!$A$4:$A$1510&lt;=$J215)),'Match Log'!$N$4:$N$1510),NA()))</f>
        <v>1012.1303999492304</v>
      </c>
      <c r="W215">
        <f>IF($J215&gt;MAX('Match Log'!$A$4:$A$1510),NA(),IFERROR(LOOKUP(2,1/(('Match Log'!$D$4:$D$1510=$W$24)*('Match Log'!$A$4:$A$1510&lt;=$J215)),'Match Log'!$N$4:$N$1510),NA()))</f>
        <v>1080.3830919749923</v>
      </c>
      <c r="X215" t="e">
        <f>IF($J215&gt;MAX('Match Log'!$A$4:$A$1510),NA(),IFERROR(LOOKUP(2,1/(('Match Log'!$D$4:$D$1510=$X$24)*('Match Log'!$A$4:$A$1510&lt;=$J215)),'Match Log'!$N$4:$N$1510),NA()))</f>
        <v>#N/A</v>
      </c>
      <c r="Y215" t="str">
        <f t="shared" ca="1" si="25"/>
        <v/>
      </c>
    </row>
    <row r="216" spans="1:25" x14ac:dyDescent="0.2">
      <c r="A216">
        <v>192</v>
      </c>
      <c r="B216" s="138">
        <f>IFERROR(INDEX('Match Log'!$B$4:$B$1510,MATCH($A216,'Match Log'!$A$4:$A$1510,0)),"")</f>
        <v>46247</v>
      </c>
      <c r="C216" t="str">
        <f>IFERROR(INDEX('Match Log'!$C$4:$C$1510,MATCH($A216,'Match Log'!$A$4:$A$1510,0)),"")</f>
        <v>Mario Kart</v>
      </c>
      <c r="D216" t="str">
        <f t="array" ref="D216">IFERROR(_xlfn.TEXTJOIN(" + ",TRUE(),IF(('Match Log'!$A$4:$A$1510=$A216)*('Match Log'!$E$4:$E$1510="Win"),'Match Log'!$D$4:$D$1510,"")),IFERROR(LOOKUP(2,1/(('Match Log'!$A$4:$A$1510=$A216)*('Match Log'!$E$4:$E$1510="Win")),'Match Log'!$D$4:$D$1510),""))</f>
        <v>Josh</v>
      </c>
      <c r="E216" s="139">
        <f>IFERROR(INDEX('Match Log'!$F$4:$F$1510,MATCH($A216,'Match Log'!$A$4:$A$1510,0)),"")</f>
        <v>2</v>
      </c>
      <c r="F216">
        <f>IFERROR(SUMIFS('Match Log'!$I$4:$I$1510,'Match Log'!$A$4:$A$1510,$A216,'Match Log'!$E$4:$E$1510,"Win"),"")</f>
        <v>0.8666666666666667</v>
      </c>
      <c r="G216">
        <f t="shared" si="23"/>
        <v>-0.73333333333333339</v>
      </c>
      <c r="H216" t="str">
        <f t="array" ref="H216">IFERROR(IF(COUNTIFS('Match Log'!$A$4:$A$1510,$A216,'Match Log'!$E$4:$E$1510,"Win")&gt;1,_xlfn.TEXTJOIN(" + ",TRUE(),IF(('Match Log'!$A$4:$A$1510=$A216)*('Match Log'!$E$4:$E$1510="Loss"),'Match Log'!$D$4:$D$1510,"")),IF($E216=2,LOOKUP(2,1/(('Match Log'!$A$4:$A$1510=$A216)*('Match Log'!$E$4:$E$1510="Loss")),'Match Log'!$D$4:$D$1510),"the field")),"")</f>
        <v>Shawn</v>
      </c>
      <c r="I216">
        <f t="shared" si="24"/>
        <v>-0.73352533333333336</v>
      </c>
      <c r="J216">
        <v>192</v>
      </c>
      <c r="K216">
        <f>IF($J216&gt;MAX('Match Log'!$A$4:$A$1510),NA(),IFERROR(LOOKUP(2,1/(('Match Log'!$D$4:$D$1510=$K$24)*('Match Log'!$A$4:$A$1510&lt;=$J216)),'Match Log'!$N$4:$N$1510),NA()))</f>
        <v>1009.8261046694705</v>
      </c>
      <c r="L216">
        <f>IF($J216&gt;MAX('Match Log'!$A$4:$A$1510),NA(),IFERROR(LOOKUP(2,1/(('Match Log'!$D$4:$D$1510=$L$24)*('Match Log'!$A$4:$A$1510&lt;=$J216)),'Match Log'!$N$4:$N$1510),NA()))</f>
        <v>1029.5175965335138</v>
      </c>
      <c r="M216">
        <f>IF($J216&gt;MAX('Match Log'!$A$4:$A$1510),NA(),IFERROR(LOOKUP(2,1/(('Match Log'!$D$4:$D$1510=$M$24)*('Match Log'!$A$4:$A$1510&lt;=$J216)),'Match Log'!$N$4:$N$1510),NA()))</f>
        <v>1037.8197114720938</v>
      </c>
      <c r="N216">
        <f>IF($J216&gt;MAX('Match Log'!$A$4:$A$1510),NA(),IFERROR(LOOKUP(2,1/(('Match Log'!$D$4:$D$1510=$N$24)*('Match Log'!$A$4:$A$1510&lt;=$J216)),'Match Log'!$N$4:$N$1510),NA()))</f>
        <v>973.19705892757202</v>
      </c>
      <c r="O216">
        <f>IF($J216&gt;MAX('Match Log'!$A$4:$A$1510),NA(),IFERROR(LOOKUP(2,1/(('Match Log'!$D$4:$D$1510=$O$24)*('Match Log'!$A$4:$A$1510&lt;=$J216)),'Match Log'!$N$4:$N$1510),NA()))</f>
        <v>1105.2429483962926</v>
      </c>
      <c r="P216">
        <f>IF($J216&gt;MAX('Match Log'!$A$4:$A$1510),NA(),IFERROR(LOOKUP(2,1/(('Match Log'!$D$4:$D$1510=$P$24)*('Match Log'!$A$4:$A$1510&lt;=$J216)),'Match Log'!$N$4:$N$1510),NA()))</f>
        <v>1131.0104473632175</v>
      </c>
      <c r="Q216">
        <f>IF($J216&gt;MAX('Match Log'!$A$4:$A$1510),NA(),IFERROR(LOOKUP(2,1/(('Match Log'!$D$4:$D$1510=$Q$24)*('Match Log'!$A$4:$A$1510&lt;=$J216)),'Match Log'!$N$4:$N$1510),NA()))</f>
        <v>1050.2393073123574</v>
      </c>
      <c r="R216">
        <f>IF($J216&gt;MAX('Match Log'!$A$4:$A$1510),NA(),IFERROR(LOOKUP(2,1/(('Match Log'!$D$4:$D$1510=$R$24)*('Match Log'!$A$4:$A$1510&lt;=$J216)),'Match Log'!$N$4:$N$1510),NA()))</f>
        <v>1154.3708401956087</v>
      </c>
      <c r="S216">
        <f>IF($J216&gt;MAX('Match Log'!$A$4:$A$1510),NA(),IFERROR(LOOKUP(2,1/(('Match Log'!$D$4:$D$1510=$S$24)*('Match Log'!$A$4:$A$1510&lt;=$J216)),'Match Log'!$N$4:$N$1510),NA()))</f>
        <v>1241.7029363250533</v>
      </c>
      <c r="T216">
        <f>IF($J216&gt;MAX('Match Log'!$A$4:$A$1510),NA(),IFERROR(LOOKUP(2,1/(('Match Log'!$D$4:$D$1510=$T$24)*('Match Log'!$A$4:$A$1510&lt;=$J216)),'Match Log'!$N$4:$N$1510),NA()))</f>
        <v>862.22294373677494</v>
      </c>
      <c r="U216">
        <f>IF($J216&gt;MAX('Match Log'!$A$4:$A$1510),NA(),IFERROR(LOOKUP(2,1/(('Match Log'!$D$4:$D$1510=$U$24)*('Match Log'!$A$4:$A$1510&lt;=$J216)),'Match Log'!$N$4:$N$1510),NA()))</f>
        <v>1054.3366131438215</v>
      </c>
      <c r="V216">
        <f>IF($J216&gt;MAX('Match Log'!$A$4:$A$1510),NA(),IFERROR(LOOKUP(2,1/(('Match Log'!$D$4:$D$1510=$V$24)*('Match Log'!$A$4:$A$1510&lt;=$J216)),'Match Log'!$N$4:$N$1510),NA()))</f>
        <v>1012.1303999492304</v>
      </c>
      <c r="W216">
        <f>IF($J216&gt;MAX('Match Log'!$A$4:$A$1510),NA(),IFERROR(LOOKUP(2,1/(('Match Log'!$D$4:$D$1510=$W$24)*('Match Log'!$A$4:$A$1510&lt;=$J216)),'Match Log'!$N$4:$N$1510),NA()))</f>
        <v>1080.3830919749923</v>
      </c>
      <c r="X216" t="e">
        <f>IF($J216&gt;MAX('Match Log'!$A$4:$A$1510),NA(),IFERROR(LOOKUP(2,1/(('Match Log'!$D$4:$D$1510=$X$24)*('Match Log'!$A$4:$A$1510&lt;=$J216)),'Match Log'!$N$4:$N$1510),NA()))</f>
        <v>#N/A</v>
      </c>
      <c r="Y216" t="str">
        <f t="shared" ca="1" si="25"/>
        <v/>
      </c>
    </row>
    <row r="217" spans="1:25" x14ac:dyDescent="0.2">
      <c r="A217">
        <v>193</v>
      </c>
      <c r="B217" s="138">
        <f>IFERROR(INDEX('Match Log'!$B$4:$B$1510,MATCH($A217,'Match Log'!$A$4:$A$1510,0)),"")</f>
        <v>46247</v>
      </c>
      <c r="C217" t="str">
        <f>IFERROR(INDEX('Match Log'!$C$4:$C$1510,MATCH($A217,'Match Log'!$A$4:$A$1510,0)),"")</f>
        <v>Pool</v>
      </c>
      <c r="D217" t="str">
        <f t="array" ref="D217">IFERROR(_xlfn.TEXTJOIN(" + ",TRUE(),IF(('Match Log'!$A$4:$A$1510=$A217)*('Match Log'!$E$4:$E$1510="Win"),'Match Log'!$D$4:$D$1510,"")),IFERROR(LOOKUP(2,1/(('Match Log'!$A$4:$A$1510=$A217)*('Match Log'!$E$4:$E$1510="Win")),'Match Log'!$D$4:$D$1510),""))</f>
        <v>Shawn</v>
      </c>
      <c r="E217" s="139">
        <f>IFERROR(INDEX('Match Log'!$F$4:$F$1510,MATCH($A217,'Match Log'!$A$4:$A$1510,0)),"")</f>
        <v>2</v>
      </c>
      <c r="F217">
        <f>IFERROR(SUMIFS('Match Log'!$I$4:$I$1510,'Match Log'!$A$4:$A$1510,$A217,'Match Log'!$E$4:$E$1510,"Win"),"")</f>
        <v>0.60000000000000009</v>
      </c>
      <c r="G217">
        <f t="shared" ref="G217:G280" si="26">IF($D217="","",1-$F217*$E217)</f>
        <v>-0.20000000000000018</v>
      </c>
      <c r="H217" t="str">
        <f t="array" ref="H217">IFERROR(IF(COUNTIFS('Match Log'!$A$4:$A$1510,$A217,'Match Log'!$E$4:$E$1510,"Win")&gt;1,_xlfn.TEXTJOIN(" + ",TRUE(),IF(('Match Log'!$A$4:$A$1510=$A217)*('Match Log'!$E$4:$E$1510="Loss"),'Match Log'!$D$4:$D$1510,"")),IF($E217=2,LOOKUP(2,1/(('Match Log'!$A$4:$A$1510=$A217)*('Match Log'!$E$4:$E$1510="Loss")),'Match Log'!$D$4:$D$1510),"the field")),"")</f>
        <v>Josh</v>
      </c>
      <c r="I217">
        <f t="shared" ref="I217:I280" si="27">IF($G217="","",$G217-$A217/1000000)</f>
        <v>-0.20019300000000018</v>
      </c>
      <c r="J217">
        <v>193</v>
      </c>
      <c r="K217">
        <f>IF($J217&gt;MAX('Match Log'!$A$4:$A$1510),NA(),IFERROR(LOOKUP(2,1/(('Match Log'!$D$4:$D$1510=$K$24)*('Match Log'!$A$4:$A$1510&lt;=$J217)),'Match Log'!$N$4:$N$1510),NA()))</f>
        <v>1009.8261046694705</v>
      </c>
      <c r="L217">
        <f>IF($J217&gt;MAX('Match Log'!$A$4:$A$1510),NA(),IFERROR(LOOKUP(2,1/(('Match Log'!$D$4:$D$1510=$L$24)*('Match Log'!$A$4:$A$1510&lt;=$J217)),'Match Log'!$N$4:$N$1510),NA()))</f>
        <v>1029.5175965335138</v>
      </c>
      <c r="M217">
        <f>IF($J217&gt;MAX('Match Log'!$A$4:$A$1510),NA(),IFERROR(LOOKUP(2,1/(('Match Log'!$D$4:$D$1510=$M$24)*('Match Log'!$A$4:$A$1510&lt;=$J217)),'Match Log'!$N$4:$N$1510),NA()))</f>
        <v>1037.8197114720938</v>
      </c>
      <c r="N217">
        <f>IF($J217&gt;MAX('Match Log'!$A$4:$A$1510),NA(),IFERROR(LOOKUP(2,1/(('Match Log'!$D$4:$D$1510=$N$24)*('Match Log'!$A$4:$A$1510&lt;=$J217)),'Match Log'!$N$4:$N$1510),NA()))</f>
        <v>973.19705892757202</v>
      </c>
      <c r="O217">
        <f>IF($J217&gt;MAX('Match Log'!$A$4:$A$1510),NA(),IFERROR(LOOKUP(2,1/(('Match Log'!$D$4:$D$1510=$O$24)*('Match Log'!$A$4:$A$1510&lt;=$J217)),'Match Log'!$N$4:$N$1510),NA()))</f>
        <v>1086.5492161544241</v>
      </c>
      <c r="P217">
        <f>IF($J217&gt;MAX('Match Log'!$A$4:$A$1510),NA(),IFERROR(LOOKUP(2,1/(('Match Log'!$D$4:$D$1510=$P$24)*('Match Log'!$A$4:$A$1510&lt;=$J217)),'Match Log'!$N$4:$N$1510),NA()))</f>
        <v>1149.704179605086</v>
      </c>
      <c r="Q217">
        <f>IF($J217&gt;MAX('Match Log'!$A$4:$A$1510),NA(),IFERROR(LOOKUP(2,1/(('Match Log'!$D$4:$D$1510=$Q$24)*('Match Log'!$A$4:$A$1510&lt;=$J217)),'Match Log'!$N$4:$N$1510),NA()))</f>
        <v>1050.2393073123574</v>
      </c>
      <c r="R217">
        <f>IF($J217&gt;MAX('Match Log'!$A$4:$A$1510),NA(),IFERROR(LOOKUP(2,1/(('Match Log'!$D$4:$D$1510=$R$24)*('Match Log'!$A$4:$A$1510&lt;=$J217)),'Match Log'!$N$4:$N$1510),NA()))</f>
        <v>1154.3708401956087</v>
      </c>
      <c r="S217">
        <f>IF($J217&gt;MAX('Match Log'!$A$4:$A$1510),NA(),IFERROR(LOOKUP(2,1/(('Match Log'!$D$4:$D$1510=$S$24)*('Match Log'!$A$4:$A$1510&lt;=$J217)),'Match Log'!$N$4:$N$1510),NA()))</f>
        <v>1241.7029363250533</v>
      </c>
      <c r="T217">
        <f>IF($J217&gt;MAX('Match Log'!$A$4:$A$1510),NA(),IFERROR(LOOKUP(2,1/(('Match Log'!$D$4:$D$1510=$T$24)*('Match Log'!$A$4:$A$1510&lt;=$J217)),'Match Log'!$N$4:$N$1510),NA()))</f>
        <v>862.22294373677494</v>
      </c>
      <c r="U217">
        <f>IF($J217&gt;MAX('Match Log'!$A$4:$A$1510),NA(),IFERROR(LOOKUP(2,1/(('Match Log'!$D$4:$D$1510=$U$24)*('Match Log'!$A$4:$A$1510&lt;=$J217)),'Match Log'!$N$4:$N$1510),NA()))</f>
        <v>1054.3366131438215</v>
      </c>
      <c r="V217">
        <f>IF($J217&gt;MAX('Match Log'!$A$4:$A$1510),NA(),IFERROR(LOOKUP(2,1/(('Match Log'!$D$4:$D$1510=$V$24)*('Match Log'!$A$4:$A$1510&lt;=$J217)),'Match Log'!$N$4:$N$1510),NA()))</f>
        <v>1012.1303999492304</v>
      </c>
      <c r="W217">
        <f>IF($J217&gt;MAX('Match Log'!$A$4:$A$1510),NA(),IFERROR(LOOKUP(2,1/(('Match Log'!$D$4:$D$1510=$W$24)*('Match Log'!$A$4:$A$1510&lt;=$J217)),'Match Log'!$N$4:$N$1510),NA()))</f>
        <v>1080.3830919749923</v>
      </c>
      <c r="X217" t="e">
        <f>IF($J217&gt;MAX('Match Log'!$A$4:$A$1510),NA(),IFERROR(LOOKUP(2,1/(('Match Log'!$D$4:$D$1510=$X$24)*('Match Log'!$A$4:$A$1510&lt;=$J217)),'Match Log'!$N$4:$N$1510),NA()))</f>
        <v>#N/A</v>
      </c>
      <c r="Y217" t="str">
        <f t="shared" ref="Y217:Y280" ca="1" si="28">IF(AND($B217&lt;&gt;"",$B217&gt;=$B$5,$I217&lt;&gt;""),$I217,"")</f>
        <v/>
      </c>
    </row>
    <row r="218" spans="1:25" x14ac:dyDescent="0.2">
      <c r="A218">
        <v>194</v>
      </c>
      <c r="B218" s="138">
        <f>IFERROR(INDEX('Match Log'!$B$4:$B$1510,MATCH($A218,'Match Log'!$A$4:$A$1510,0)),"")</f>
        <v>46247</v>
      </c>
      <c r="C218" t="str">
        <f>IFERROR(INDEX('Match Log'!$C$4:$C$1510,MATCH($A218,'Match Log'!$A$4:$A$1510,0)),"")</f>
        <v>Car racing arcade</v>
      </c>
      <c r="D218" t="str">
        <f t="array" ref="D218">IFERROR(_xlfn.TEXTJOIN(" + ",TRUE(),IF(('Match Log'!$A$4:$A$1510=$A218)*('Match Log'!$E$4:$E$1510="Win"),'Match Log'!$D$4:$D$1510,"")),IFERROR(LOOKUP(2,1/(('Match Log'!$A$4:$A$1510=$A218)*('Match Log'!$E$4:$E$1510="Win")),'Match Log'!$D$4:$D$1510),""))</f>
        <v>Josh</v>
      </c>
      <c r="E218" s="139">
        <f>IFERROR(INDEX('Match Log'!$F$4:$F$1510,MATCH($A218,'Match Log'!$A$4:$A$1510,0)),"")</f>
        <v>2</v>
      </c>
      <c r="F218">
        <f>IFERROR(SUMIFS('Match Log'!$I$4:$I$1510,'Match Log'!$A$4:$A$1510,$A218,'Match Log'!$E$4:$E$1510,"Win"),"")</f>
        <v>0.33333333333333331</v>
      </c>
      <c r="G218">
        <f t="shared" si="26"/>
        <v>0.33333333333333337</v>
      </c>
      <c r="H218" t="str">
        <f t="array" ref="H218">IFERROR(IF(COUNTIFS('Match Log'!$A$4:$A$1510,$A218,'Match Log'!$E$4:$E$1510,"Win")&gt;1,_xlfn.TEXTJOIN(" + ",TRUE(),IF(('Match Log'!$A$4:$A$1510=$A218)*('Match Log'!$E$4:$E$1510="Loss"),'Match Log'!$D$4:$D$1510,"")),IF($E218=2,LOOKUP(2,1/(('Match Log'!$A$4:$A$1510=$A218)*('Match Log'!$E$4:$E$1510="Loss")),'Match Log'!$D$4:$D$1510),"the field")),"")</f>
        <v>Shawn</v>
      </c>
      <c r="I218">
        <f t="shared" si="27"/>
        <v>0.33313933333333334</v>
      </c>
      <c r="J218">
        <v>194</v>
      </c>
      <c r="K218">
        <f>IF($J218&gt;MAX('Match Log'!$A$4:$A$1510),NA(),IFERROR(LOOKUP(2,1/(('Match Log'!$D$4:$D$1510=$K$24)*('Match Log'!$A$4:$A$1510&lt;=$J218)),'Match Log'!$N$4:$N$1510),NA()))</f>
        <v>1009.8261046694705</v>
      </c>
      <c r="L218">
        <f>IF($J218&gt;MAX('Match Log'!$A$4:$A$1510),NA(),IFERROR(LOOKUP(2,1/(('Match Log'!$D$4:$D$1510=$L$24)*('Match Log'!$A$4:$A$1510&lt;=$J218)),'Match Log'!$N$4:$N$1510),NA()))</f>
        <v>1029.5175965335138</v>
      </c>
      <c r="M218">
        <f>IF($J218&gt;MAX('Match Log'!$A$4:$A$1510),NA(),IFERROR(LOOKUP(2,1/(('Match Log'!$D$4:$D$1510=$M$24)*('Match Log'!$A$4:$A$1510&lt;=$J218)),'Match Log'!$N$4:$N$1510),NA()))</f>
        <v>1037.8197114720938</v>
      </c>
      <c r="N218">
        <f>IF($J218&gt;MAX('Match Log'!$A$4:$A$1510),NA(),IFERROR(LOOKUP(2,1/(('Match Log'!$D$4:$D$1510=$N$24)*('Match Log'!$A$4:$A$1510&lt;=$J218)),'Match Log'!$N$4:$N$1510),NA()))</f>
        <v>973.19705892757202</v>
      </c>
      <c r="O218">
        <f>IF($J218&gt;MAX('Match Log'!$A$4:$A$1510),NA(),IFERROR(LOOKUP(2,1/(('Match Log'!$D$4:$D$1510=$O$24)*('Match Log'!$A$4:$A$1510&lt;=$J218)),'Match Log'!$N$4:$N$1510),NA()))</f>
        <v>1114.8544803212776</v>
      </c>
      <c r="P218">
        <f>IF($J218&gt;MAX('Match Log'!$A$4:$A$1510),NA(),IFERROR(LOOKUP(2,1/(('Match Log'!$D$4:$D$1510=$P$24)*('Match Log'!$A$4:$A$1510&lt;=$J218)),'Match Log'!$N$4:$N$1510),NA()))</f>
        <v>1121.3989154382325</v>
      </c>
      <c r="Q218">
        <f>IF($J218&gt;MAX('Match Log'!$A$4:$A$1510),NA(),IFERROR(LOOKUP(2,1/(('Match Log'!$D$4:$D$1510=$Q$24)*('Match Log'!$A$4:$A$1510&lt;=$J218)),'Match Log'!$N$4:$N$1510),NA()))</f>
        <v>1050.2393073123574</v>
      </c>
      <c r="R218">
        <f>IF($J218&gt;MAX('Match Log'!$A$4:$A$1510),NA(),IFERROR(LOOKUP(2,1/(('Match Log'!$D$4:$D$1510=$R$24)*('Match Log'!$A$4:$A$1510&lt;=$J218)),'Match Log'!$N$4:$N$1510),NA()))</f>
        <v>1154.3708401956087</v>
      </c>
      <c r="S218">
        <f>IF($J218&gt;MAX('Match Log'!$A$4:$A$1510),NA(),IFERROR(LOOKUP(2,1/(('Match Log'!$D$4:$D$1510=$S$24)*('Match Log'!$A$4:$A$1510&lt;=$J218)),'Match Log'!$N$4:$N$1510),NA()))</f>
        <v>1241.7029363250533</v>
      </c>
      <c r="T218">
        <f>IF($J218&gt;MAX('Match Log'!$A$4:$A$1510),NA(),IFERROR(LOOKUP(2,1/(('Match Log'!$D$4:$D$1510=$T$24)*('Match Log'!$A$4:$A$1510&lt;=$J218)),'Match Log'!$N$4:$N$1510),NA()))</f>
        <v>862.22294373677494</v>
      </c>
      <c r="U218">
        <f>IF($J218&gt;MAX('Match Log'!$A$4:$A$1510),NA(),IFERROR(LOOKUP(2,1/(('Match Log'!$D$4:$D$1510=$U$24)*('Match Log'!$A$4:$A$1510&lt;=$J218)),'Match Log'!$N$4:$N$1510),NA()))</f>
        <v>1054.3366131438215</v>
      </c>
      <c r="V218">
        <f>IF($J218&gt;MAX('Match Log'!$A$4:$A$1510),NA(),IFERROR(LOOKUP(2,1/(('Match Log'!$D$4:$D$1510=$V$24)*('Match Log'!$A$4:$A$1510&lt;=$J218)),'Match Log'!$N$4:$N$1510),NA()))</f>
        <v>1012.1303999492304</v>
      </c>
      <c r="W218">
        <f>IF($J218&gt;MAX('Match Log'!$A$4:$A$1510),NA(),IFERROR(LOOKUP(2,1/(('Match Log'!$D$4:$D$1510=$W$24)*('Match Log'!$A$4:$A$1510&lt;=$J218)),'Match Log'!$N$4:$N$1510),NA()))</f>
        <v>1080.3830919749923</v>
      </c>
      <c r="X218" t="e">
        <f>IF($J218&gt;MAX('Match Log'!$A$4:$A$1510),NA(),IFERROR(LOOKUP(2,1/(('Match Log'!$D$4:$D$1510=$X$24)*('Match Log'!$A$4:$A$1510&lt;=$J218)),'Match Log'!$N$4:$N$1510),NA()))</f>
        <v>#N/A</v>
      </c>
      <c r="Y218" t="str">
        <f t="shared" ca="1" si="28"/>
        <v/>
      </c>
    </row>
    <row r="219" spans="1:25" x14ac:dyDescent="0.2">
      <c r="A219">
        <v>195</v>
      </c>
      <c r="B219" s="138">
        <f>IFERROR(INDEX('Match Log'!$B$4:$B$1510,MATCH($A219,'Match Log'!$A$4:$A$1510,0)),"")</f>
        <v>46247</v>
      </c>
      <c r="C219" t="str">
        <f>IFERROR(INDEX('Match Log'!$C$4:$C$1510,MATCH($A219,'Match Log'!$A$4:$A$1510,0)),"")</f>
        <v>Car racing arcade</v>
      </c>
      <c r="D219" t="str">
        <f t="array" ref="D219">IFERROR(_xlfn.TEXTJOIN(" + ",TRUE(),IF(('Match Log'!$A$4:$A$1510=$A219)*('Match Log'!$E$4:$E$1510="Win"),'Match Log'!$D$4:$D$1510,"")),IFERROR(LOOKUP(2,1/(('Match Log'!$A$4:$A$1510=$A219)*('Match Log'!$E$4:$E$1510="Win")),'Match Log'!$D$4:$D$1510),""))</f>
        <v>Shawn</v>
      </c>
      <c r="E219" s="139">
        <f>IFERROR(INDEX('Match Log'!$F$4:$F$1510,MATCH($A219,'Match Log'!$A$4:$A$1510,0)),"")</f>
        <v>2</v>
      </c>
      <c r="F219">
        <f>IFERROR(SUMIFS('Match Log'!$I$4:$I$1510,'Match Log'!$A$4:$A$1510,$A219,'Match Log'!$E$4:$E$1510,"Win"),"")</f>
        <v>0.45454545454545447</v>
      </c>
      <c r="G219">
        <f t="shared" si="26"/>
        <v>9.090909090909105E-2</v>
      </c>
      <c r="H219" t="str">
        <f t="array" ref="H219">IFERROR(IF(COUNTIFS('Match Log'!$A$4:$A$1510,$A219,'Match Log'!$E$4:$E$1510,"Win")&gt;1,_xlfn.TEXTJOIN(" + ",TRUE(),IF(('Match Log'!$A$4:$A$1510=$A219)*('Match Log'!$E$4:$E$1510="Loss"),'Match Log'!$D$4:$D$1510,"")),IF($E219=2,LOOKUP(2,1/(('Match Log'!$A$4:$A$1510=$A219)*('Match Log'!$E$4:$E$1510="Loss")),'Match Log'!$D$4:$D$1510),"the field")),"")</f>
        <v>Josh</v>
      </c>
      <c r="I219">
        <f t="shared" si="27"/>
        <v>9.071409090909105E-2</v>
      </c>
      <c r="J219">
        <v>195</v>
      </c>
      <c r="K219">
        <f>IF($J219&gt;MAX('Match Log'!$A$4:$A$1510),NA(),IFERROR(LOOKUP(2,1/(('Match Log'!$D$4:$D$1510=$K$24)*('Match Log'!$A$4:$A$1510&lt;=$J219)),'Match Log'!$N$4:$N$1510),NA()))</f>
        <v>1009.8261046694705</v>
      </c>
      <c r="L219">
        <f>IF($J219&gt;MAX('Match Log'!$A$4:$A$1510),NA(),IFERROR(LOOKUP(2,1/(('Match Log'!$D$4:$D$1510=$L$24)*('Match Log'!$A$4:$A$1510&lt;=$J219)),'Match Log'!$N$4:$N$1510),NA()))</f>
        <v>1029.5175965335138</v>
      </c>
      <c r="M219">
        <f>IF($J219&gt;MAX('Match Log'!$A$4:$A$1510),NA(),IFERROR(LOOKUP(2,1/(('Match Log'!$D$4:$D$1510=$M$24)*('Match Log'!$A$4:$A$1510&lt;=$J219)),'Match Log'!$N$4:$N$1510),NA()))</f>
        <v>1037.8197114720938</v>
      </c>
      <c r="N219">
        <f>IF($J219&gt;MAX('Match Log'!$A$4:$A$1510),NA(),IFERROR(LOOKUP(2,1/(('Match Log'!$D$4:$D$1510=$N$24)*('Match Log'!$A$4:$A$1510&lt;=$J219)),'Match Log'!$N$4:$N$1510),NA()))</f>
        <v>973.19705892757202</v>
      </c>
      <c r="O219">
        <f>IF($J219&gt;MAX('Match Log'!$A$4:$A$1510),NA(),IFERROR(LOOKUP(2,1/(('Match Log'!$D$4:$D$1510=$O$24)*('Match Log'!$A$4:$A$1510&lt;=$J219)),'Match Log'!$N$4:$N$1510),NA()))</f>
        <v>1093.708815325225</v>
      </c>
      <c r="P219">
        <f>IF($J219&gt;MAX('Match Log'!$A$4:$A$1510),NA(),IFERROR(LOOKUP(2,1/(('Match Log'!$D$4:$D$1510=$P$24)*('Match Log'!$A$4:$A$1510&lt;=$J219)),'Match Log'!$N$4:$N$1510),NA()))</f>
        <v>1142.5445804342853</v>
      </c>
      <c r="Q219">
        <f>IF($J219&gt;MAX('Match Log'!$A$4:$A$1510),NA(),IFERROR(LOOKUP(2,1/(('Match Log'!$D$4:$D$1510=$Q$24)*('Match Log'!$A$4:$A$1510&lt;=$J219)),'Match Log'!$N$4:$N$1510),NA()))</f>
        <v>1050.2393073123574</v>
      </c>
      <c r="R219">
        <f>IF($J219&gt;MAX('Match Log'!$A$4:$A$1510),NA(),IFERROR(LOOKUP(2,1/(('Match Log'!$D$4:$D$1510=$R$24)*('Match Log'!$A$4:$A$1510&lt;=$J219)),'Match Log'!$N$4:$N$1510),NA()))</f>
        <v>1154.3708401956087</v>
      </c>
      <c r="S219">
        <f>IF($J219&gt;MAX('Match Log'!$A$4:$A$1510),NA(),IFERROR(LOOKUP(2,1/(('Match Log'!$D$4:$D$1510=$S$24)*('Match Log'!$A$4:$A$1510&lt;=$J219)),'Match Log'!$N$4:$N$1510),NA()))</f>
        <v>1241.7029363250533</v>
      </c>
      <c r="T219">
        <f>IF($J219&gt;MAX('Match Log'!$A$4:$A$1510),NA(),IFERROR(LOOKUP(2,1/(('Match Log'!$D$4:$D$1510=$T$24)*('Match Log'!$A$4:$A$1510&lt;=$J219)),'Match Log'!$N$4:$N$1510),NA()))</f>
        <v>862.22294373677494</v>
      </c>
      <c r="U219">
        <f>IF($J219&gt;MAX('Match Log'!$A$4:$A$1510),NA(),IFERROR(LOOKUP(2,1/(('Match Log'!$D$4:$D$1510=$U$24)*('Match Log'!$A$4:$A$1510&lt;=$J219)),'Match Log'!$N$4:$N$1510),NA()))</f>
        <v>1054.3366131438215</v>
      </c>
      <c r="V219">
        <f>IF($J219&gt;MAX('Match Log'!$A$4:$A$1510),NA(),IFERROR(LOOKUP(2,1/(('Match Log'!$D$4:$D$1510=$V$24)*('Match Log'!$A$4:$A$1510&lt;=$J219)),'Match Log'!$N$4:$N$1510),NA()))</f>
        <v>1012.1303999492304</v>
      </c>
      <c r="W219">
        <f>IF($J219&gt;MAX('Match Log'!$A$4:$A$1510),NA(),IFERROR(LOOKUP(2,1/(('Match Log'!$D$4:$D$1510=$W$24)*('Match Log'!$A$4:$A$1510&lt;=$J219)),'Match Log'!$N$4:$N$1510),NA()))</f>
        <v>1080.3830919749923</v>
      </c>
      <c r="X219" t="e">
        <f>IF($J219&gt;MAX('Match Log'!$A$4:$A$1510),NA(),IFERROR(LOOKUP(2,1/(('Match Log'!$D$4:$D$1510=$X$24)*('Match Log'!$A$4:$A$1510&lt;=$J219)),'Match Log'!$N$4:$N$1510),NA()))</f>
        <v>#N/A</v>
      </c>
      <c r="Y219" t="str">
        <f t="shared" ca="1" si="28"/>
        <v/>
      </c>
    </row>
    <row r="220" spans="1:25" x14ac:dyDescent="0.2">
      <c r="A220">
        <v>196</v>
      </c>
      <c r="B220" s="138">
        <f>IFERROR(INDEX('Match Log'!$B$4:$B$1510,MATCH($A220,'Match Log'!$A$4:$A$1510,0)),"")</f>
        <v>46247</v>
      </c>
      <c r="C220" t="str">
        <f>IFERROR(INDEX('Match Log'!$C$4:$C$1510,MATCH($A220,'Match Log'!$A$4:$A$1510,0)),"")</f>
        <v>Shooting game arcade</v>
      </c>
      <c r="D220" t="str">
        <f t="array" ref="D220">IFERROR(_xlfn.TEXTJOIN(" + ",TRUE(),IF(('Match Log'!$A$4:$A$1510=$A220)*('Match Log'!$E$4:$E$1510="Win"),'Match Log'!$D$4:$D$1510,"")),IFERROR(LOOKUP(2,1/(('Match Log'!$A$4:$A$1510=$A220)*('Match Log'!$E$4:$E$1510="Win")),'Match Log'!$D$4:$D$1510),""))</f>
        <v>Shawn</v>
      </c>
      <c r="E220" s="139">
        <f>IFERROR(INDEX('Match Log'!$F$4:$F$1510,MATCH($A220,'Match Log'!$A$4:$A$1510,0)),"")</f>
        <v>2</v>
      </c>
      <c r="F220">
        <f>IFERROR(SUMIFS('Match Log'!$I$4:$I$1510,'Match Log'!$A$4:$A$1510,$A220,'Match Log'!$E$4:$E$1510,"Win"),"")</f>
        <v>0.4285714285714286</v>
      </c>
      <c r="G220">
        <f t="shared" si="26"/>
        <v>0.14285714285714279</v>
      </c>
      <c r="H220" t="str">
        <f t="array" ref="H220">IFERROR(IF(COUNTIFS('Match Log'!$A$4:$A$1510,$A220,'Match Log'!$E$4:$E$1510,"Win")&gt;1,_xlfn.TEXTJOIN(" + ",TRUE(),IF(('Match Log'!$A$4:$A$1510=$A220)*('Match Log'!$E$4:$E$1510="Loss"),'Match Log'!$D$4:$D$1510,"")),IF($E220=2,LOOKUP(2,1/(('Match Log'!$A$4:$A$1510=$A220)*('Match Log'!$E$4:$E$1510="Loss")),'Match Log'!$D$4:$D$1510),"the field")),"")</f>
        <v>Josh</v>
      </c>
      <c r="I220">
        <f t="shared" si="27"/>
        <v>0.14266114285714279</v>
      </c>
      <c r="J220">
        <v>196</v>
      </c>
      <c r="K220">
        <f>IF($J220&gt;MAX('Match Log'!$A$4:$A$1510),NA(),IFERROR(LOOKUP(2,1/(('Match Log'!$D$4:$D$1510=$K$24)*('Match Log'!$A$4:$A$1510&lt;=$J220)),'Match Log'!$N$4:$N$1510),NA()))</f>
        <v>1009.8261046694705</v>
      </c>
      <c r="L220">
        <f>IF($J220&gt;MAX('Match Log'!$A$4:$A$1510),NA(),IFERROR(LOOKUP(2,1/(('Match Log'!$D$4:$D$1510=$L$24)*('Match Log'!$A$4:$A$1510&lt;=$J220)),'Match Log'!$N$4:$N$1510),NA()))</f>
        <v>1029.5175965335138</v>
      </c>
      <c r="M220">
        <f>IF($J220&gt;MAX('Match Log'!$A$4:$A$1510),NA(),IFERROR(LOOKUP(2,1/(('Match Log'!$D$4:$D$1510=$M$24)*('Match Log'!$A$4:$A$1510&lt;=$J220)),'Match Log'!$N$4:$N$1510),NA()))</f>
        <v>1037.8197114720938</v>
      </c>
      <c r="N220">
        <f>IF($J220&gt;MAX('Match Log'!$A$4:$A$1510),NA(),IFERROR(LOOKUP(2,1/(('Match Log'!$D$4:$D$1510=$N$24)*('Match Log'!$A$4:$A$1510&lt;=$J220)),'Match Log'!$N$4:$N$1510),NA()))</f>
        <v>973.19705892757202</v>
      </c>
      <c r="O220">
        <f>IF($J220&gt;MAX('Match Log'!$A$4:$A$1510),NA(),IFERROR(LOOKUP(2,1/(('Match Log'!$D$4:$D$1510=$O$24)*('Match Log'!$A$4:$A$1510&lt;=$J220)),'Match Log'!$N$4:$N$1510),NA()))</f>
        <v>1073.667457834282</v>
      </c>
      <c r="P220">
        <f>IF($J220&gt;MAX('Match Log'!$A$4:$A$1510),NA(),IFERROR(LOOKUP(2,1/(('Match Log'!$D$4:$D$1510=$P$24)*('Match Log'!$A$4:$A$1510&lt;=$J220)),'Match Log'!$N$4:$N$1510),NA()))</f>
        <v>1162.5859379252283</v>
      </c>
      <c r="Q220">
        <f>IF($J220&gt;MAX('Match Log'!$A$4:$A$1510),NA(),IFERROR(LOOKUP(2,1/(('Match Log'!$D$4:$D$1510=$Q$24)*('Match Log'!$A$4:$A$1510&lt;=$J220)),'Match Log'!$N$4:$N$1510),NA()))</f>
        <v>1050.2393073123574</v>
      </c>
      <c r="R220">
        <f>IF($J220&gt;MAX('Match Log'!$A$4:$A$1510),NA(),IFERROR(LOOKUP(2,1/(('Match Log'!$D$4:$D$1510=$R$24)*('Match Log'!$A$4:$A$1510&lt;=$J220)),'Match Log'!$N$4:$N$1510),NA()))</f>
        <v>1154.3708401956087</v>
      </c>
      <c r="S220">
        <f>IF($J220&gt;MAX('Match Log'!$A$4:$A$1510),NA(),IFERROR(LOOKUP(2,1/(('Match Log'!$D$4:$D$1510=$S$24)*('Match Log'!$A$4:$A$1510&lt;=$J220)),'Match Log'!$N$4:$N$1510),NA()))</f>
        <v>1241.7029363250533</v>
      </c>
      <c r="T220">
        <f>IF($J220&gt;MAX('Match Log'!$A$4:$A$1510),NA(),IFERROR(LOOKUP(2,1/(('Match Log'!$D$4:$D$1510=$T$24)*('Match Log'!$A$4:$A$1510&lt;=$J220)),'Match Log'!$N$4:$N$1510),NA()))</f>
        <v>862.22294373677494</v>
      </c>
      <c r="U220">
        <f>IF($J220&gt;MAX('Match Log'!$A$4:$A$1510),NA(),IFERROR(LOOKUP(2,1/(('Match Log'!$D$4:$D$1510=$U$24)*('Match Log'!$A$4:$A$1510&lt;=$J220)),'Match Log'!$N$4:$N$1510),NA()))</f>
        <v>1054.3366131438215</v>
      </c>
      <c r="V220">
        <f>IF($J220&gt;MAX('Match Log'!$A$4:$A$1510),NA(),IFERROR(LOOKUP(2,1/(('Match Log'!$D$4:$D$1510=$V$24)*('Match Log'!$A$4:$A$1510&lt;=$J220)),'Match Log'!$N$4:$N$1510),NA()))</f>
        <v>1012.1303999492304</v>
      </c>
      <c r="W220">
        <f>IF($J220&gt;MAX('Match Log'!$A$4:$A$1510),NA(),IFERROR(LOOKUP(2,1/(('Match Log'!$D$4:$D$1510=$W$24)*('Match Log'!$A$4:$A$1510&lt;=$J220)),'Match Log'!$N$4:$N$1510),NA()))</f>
        <v>1080.3830919749923</v>
      </c>
      <c r="X220" t="e">
        <f>IF($J220&gt;MAX('Match Log'!$A$4:$A$1510),NA(),IFERROR(LOOKUP(2,1/(('Match Log'!$D$4:$D$1510=$X$24)*('Match Log'!$A$4:$A$1510&lt;=$J220)),'Match Log'!$N$4:$N$1510),NA()))</f>
        <v>#N/A</v>
      </c>
      <c r="Y220" t="str">
        <f t="shared" ca="1" si="28"/>
        <v/>
      </c>
    </row>
    <row r="221" spans="1:25" x14ac:dyDescent="0.2">
      <c r="A221">
        <v>197</v>
      </c>
      <c r="B221" s="138">
        <f>IFERROR(INDEX('Match Log'!$B$4:$B$1510,MATCH($A221,'Match Log'!$A$4:$A$1510,0)),"")</f>
        <v>46247</v>
      </c>
      <c r="C221" t="str">
        <f>IFERROR(INDEX('Match Log'!$C$4:$C$1510,MATCH($A221,'Match Log'!$A$4:$A$1510,0)),"")</f>
        <v>Basketball arcade</v>
      </c>
      <c r="D221" t="str">
        <f t="array" ref="D221">IFERROR(_xlfn.TEXTJOIN(" + ",TRUE(),IF(('Match Log'!$A$4:$A$1510=$A221)*('Match Log'!$E$4:$E$1510="Win"),'Match Log'!$D$4:$D$1510,"")),IFERROR(LOOKUP(2,1/(('Match Log'!$A$4:$A$1510=$A221)*('Match Log'!$E$4:$E$1510="Win")),'Match Log'!$D$4:$D$1510),""))</f>
        <v>Josh</v>
      </c>
      <c r="E221" s="139">
        <f>IFERROR(INDEX('Match Log'!$F$4:$F$1510,MATCH($A221,'Match Log'!$A$4:$A$1510,0)),"")</f>
        <v>2</v>
      </c>
      <c r="F221">
        <f>IFERROR(SUMIFS('Match Log'!$I$4:$I$1510,'Match Log'!$A$4:$A$1510,$A221,'Match Log'!$E$4:$E$1510,"Win"),"")</f>
        <v>0.4</v>
      </c>
      <c r="G221">
        <f t="shared" si="26"/>
        <v>0.19999999999999996</v>
      </c>
      <c r="H221" t="str">
        <f t="array" ref="H221">IFERROR(IF(COUNTIFS('Match Log'!$A$4:$A$1510,$A221,'Match Log'!$E$4:$E$1510,"Win")&gt;1,_xlfn.TEXTJOIN(" + ",TRUE(),IF(('Match Log'!$A$4:$A$1510=$A221)*('Match Log'!$E$4:$E$1510="Loss"),'Match Log'!$D$4:$D$1510,"")),IF($E221=2,LOOKUP(2,1/(('Match Log'!$A$4:$A$1510=$A221)*('Match Log'!$E$4:$E$1510="Loss")),'Match Log'!$D$4:$D$1510),"the field")),"")</f>
        <v>Shawn</v>
      </c>
      <c r="I221">
        <f t="shared" si="27"/>
        <v>0.19980299999999995</v>
      </c>
      <c r="J221">
        <v>197</v>
      </c>
      <c r="K221">
        <f>IF($J221&gt;MAX('Match Log'!$A$4:$A$1510),NA(),IFERROR(LOOKUP(2,1/(('Match Log'!$D$4:$D$1510=$K$24)*('Match Log'!$A$4:$A$1510&lt;=$J221)),'Match Log'!$N$4:$N$1510),NA()))</f>
        <v>1009.8261046694705</v>
      </c>
      <c r="L221">
        <f>IF($J221&gt;MAX('Match Log'!$A$4:$A$1510),NA(),IFERROR(LOOKUP(2,1/(('Match Log'!$D$4:$D$1510=$L$24)*('Match Log'!$A$4:$A$1510&lt;=$J221)),'Match Log'!$N$4:$N$1510),NA()))</f>
        <v>1029.5175965335138</v>
      </c>
      <c r="M221">
        <f>IF($J221&gt;MAX('Match Log'!$A$4:$A$1510),NA(),IFERROR(LOOKUP(2,1/(('Match Log'!$D$4:$D$1510=$M$24)*('Match Log'!$A$4:$A$1510&lt;=$J221)),'Match Log'!$N$4:$N$1510),NA()))</f>
        <v>1037.8197114720938</v>
      </c>
      <c r="N221">
        <f>IF($J221&gt;MAX('Match Log'!$A$4:$A$1510),NA(),IFERROR(LOOKUP(2,1/(('Match Log'!$D$4:$D$1510=$N$24)*('Match Log'!$A$4:$A$1510&lt;=$J221)),'Match Log'!$N$4:$N$1510),NA()))</f>
        <v>973.19705892757202</v>
      </c>
      <c r="O221">
        <f>IF($J221&gt;MAX('Match Log'!$A$4:$A$1510),NA(),IFERROR(LOOKUP(2,1/(('Match Log'!$D$4:$D$1510=$O$24)*('Match Log'!$A$4:$A$1510&lt;=$J221)),'Match Log'!$N$4:$N$1510),NA()))</f>
        <v>1101.4566735360377</v>
      </c>
      <c r="P221">
        <f>IF($J221&gt;MAX('Match Log'!$A$4:$A$1510),NA(),IFERROR(LOOKUP(2,1/(('Match Log'!$D$4:$D$1510=$P$24)*('Match Log'!$A$4:$A$1510&lt;=$J221)),'Match Log'!$N$4:$N$1510),NA()))</f>
        <v>1134.7967222234727</v>
      </c>
      <c r="Q221">
        <f>IF($J221&gt;MAX('Match Log'!$A$4:$A$1510),NA(),IFERROR(LOOKUP(2,1/(('Match Log'!$D$4:$D$1510=$Q$24)*('Match Log'!$A$4:$A$1510&lt;=$J221)),'Match Log'!$N$4:$N$1510),NA()))</f>
        <v>1050.2393073123574</v>
      </c>
      <c r="R221">
        <f>IF($J221&gt;MAX('Match Log'!$A$4:$A$1510),NA(),IFERROR(LOOKUP(2,1/(('Match Log'!$D$4:$D$1510=$R$24)*('Match Log'!$A$4:$A$1510&lt;=$J221)),'Match Log'!$N$4:$N$1510),NA()))</f>
        <v>1154.3708401956087</v>
      </c>
      <c r="S221">
        <f>IF($J221&gt;MAX('Match Log'!$A$4:$A$1510),NA(),IFERROR(LOOKUP(2,1/(('Match Log'!$D$4:$D$1510=$S$24)*('Match Log'!$A$4:$A$1510&lt;=$J221)),'Match Log'!$N$4:$N$1510),NA()))</f>
        <v>1241.7029363250533</v>
      </c>
      <c r="T221">
        <f>IF($J221&gt;MAX('Match Log'!$A$4:$A$1510),NA(),IFERROR(LOOKUP(2,1/(('Match Log'!$D$4:$D$1510=$T$24)*('Match Log'!$A$4:$A$1510&lt;=$J221)),'Match Log'!$N$4:$N$1510),NA()))</f>
        <v>862.22294373677494</v>
      </c>
      <c r="U221">
        <f>IF($J221&gt;MAX('Match Log'!$A$4:$A$1510),NA(),IFERROR(LOOKUP(2,1/(('Match Log'!$D$4:$D$1510=$U$24)*('Match Log'!$A$4:$A$1510&lt;=$J221)),'Match Log'!$N$4:$N$1510),NA()))</f>
        <v>1054.3366131438215</v>
      </c>
      <c r="V221">
        <f>IF($J221&gt;MAX('Match Log'!$A$4:$A$1510),NA(),IFERROR(LOOKUP(2,1/(('Match Log'!$D$4:$D$1510=$V$24)*('Match Log'!$A$4:$A$1510&lt;=$J221)),'Match Log'!$N$4:$N$1510),NA()))</f>
        <v>1012.1303999492304</v>
      </c>
      <c r="W221">
        <f>IF($J221&gt;MAX('Match Log'!$A$4:$A$1510),NA(),IFERROR(LOOKUP(2,1/(('Match Log'!$D$4:$D$1510=$W$24)*('Match Log'!$A$4:$A$1510&lt;=$J221)),'Match Log'!$N$4:$N$1510),NA()))</f>
        <v>1080.3830919749923</v>
      </c>
      <c r="X221" t="e">
        <f>IF($J221&gt;MAX('Match Log'!$A$4:$A$1510),NA(),IFERROR(LOOKUP(2,1/(('Match Log'!$D$4:$D$1510=$X$24)*('Match Log'!$A$4:$A$1510&lt;=$J221)),'Match Log'!$N$4:$N$1510),NA()))</f>
        <v>#N/A</v>
      </c>
      <c r="Y221" t="str">
        <f t="shared" ca="1" si="28"/>
        <v/>
      </c>
    </row>
    <row r="222" spans="1:25" x14ac:dyDescent="0.2">
      <c r="A222">
        <v>198</v>
      </c>
      <c r="B222" s="138">
        <f>IFERROR(INDEX('Match Log'!$B$4:$B$1510,MATCH($A222,'Match Log'!$A$4:$A$1510,0)),"")</f>
        <v>46247</v>
      </c>
      <c r="C222" t="str">
        <f>IFERROR(INDEX('Match Log'!$C$4:$C$1510,MATCH($A222,'Match Log'!$A$4:$A$1510,0)),"")</f>
        <v>Basketball arcade</v>
      </c>
      <c r="D222" t="str">
        <f t="array" ref="D222">IFERROR(_xlfn.TEXTJOIN(" + ",TRUE(),IF(('Match Log'!$A$4:$A$1510=$A222)*('Match Log'!$E$4:$E$1510="Win"),'Match Log'!$D$4:$D$1510,"")),IFERROR(LOOKUP(2,1/(('Match Log'!$A$4:$A$1510=$A222)*('Match Log'!$E$4:$E$1510="Win")),'Match Log'!$D$4:$D$1510),""))</f>
        <v>Shawn</v>
      </c>
      <c r="E222" s="139">
        <f>IFERROR(INDEX('Match Log'!$F$4:$F$1510,MATCH($A222,'Match Log'!$A$4:$A$1510,0)),"")</f>
        <v>2</v>
      </c>
      <c r="F222">
        <f>IFERROR(SUMIFS('Match Log'!$I$4:$I$1510,'Match Log'!$A$4:$A$1510,$A222,'Match Log'!$E$4:$E$1510,"Win"),"")</f>
        <v>0.4</v>
      </c>
      <c r="G222">
        <f t="shared" si="26"/>
        <v>0.19999999999999996</v>
      </c>
      <c r="H222" t="str">
        <f t="array" ref="H222">IFERROR(IF(COUNTIFS('Match Log'!$A$4:$A$1510,$A222,'Match Log'!$E$4:$E$1510,"Win")&gt;1,_xlfn.TEXTJOIN(" + ",TRUE(),IF(('Match Log'!$A$4:$A$1510=$A222)*('Match Log'!$E$4:$E$1510="Loss"),'Match Log'!$D$4:$D$1510,"")),IF($E222=2,LOOKUP(2,1/(('Match Log'!$A$4:$A$1510=$A222)*('Match Log'!$E$4:$E$1510="Loss")),'Match Log'!$D$4:$D$1510),"the field")),"")</f>
        <v>Josh</v>
      </c>
      <c r="I222">
        <f t="shared" si="27"/>
        <v>0.19980199999999995</v>
      </c>
      <c r="J222">
        <v>198</v>
      </c>
      <c r="K222">
        <f>IF($J222&gt;MAX('Match Log'!$A$4:$A$1510),NA(),IFERROR(LOOKUP(2,1/(('Match Log'!$D$4:$D$1510=$K$24)*('Match Log'!$A$4:$A$1510&lt;=$J222)),'Match Log'!$N$4:$N$1510),NA()))</f>
        <v>1009.8261046694705</v>
      </c>
      <c r="L222">
        <f>IF($J222&gt;MAX('Match Log'!$A$4:$A$1510),NA(),IFERROR(LOOKUP(2,1/(('Match Log'!$D$4:$D$1510=$L$24)*('Match Log'!$A$4:$A$1510&lt;=$J222)),'Match Log'!$N$4:$N$1510),NA()))</f>
        <v>1029.5175965335138</v>
      </c>
      <c r="M222">
        <f>IF($J222&gt;MAX('Match Log'!$A$4:$A$1510),NA(),IFERROR(LOOKUP(2,1/(('Match Log'!$D$4:$D$1510=$M$24)*('Match Log'!$A$4:$A$1510&lt;=$J222)),'Match Log'!$N$4:$N$1510),NA()))</f>
        <v>1037.8197114720938</v>
      </c>
      <c r="N222">
        <f>IF($J222&gt;MAX('Match Log'!$A$4:$A$1510),NA(),IFERROR(LOOKUP(2,1/(('Match Log'!$D$4:$D$1510=$N$24)*('Match Log'!$A$4:$A$1510&lt;=$J222)),'Match Log'!$N$4:$N$1510),NA()))</f>
        <v>973.19705892757202</v>
      </c>
      <c r="O222">
        <f>IF($J222&gt;MAX('Match Log'!$A$4:$A$1510),NA(),IFERROR(LOOKUP(2,1/(('Match Log'!$D$4:$D$1510=$O$24)*('Match Log'!$A$4:$A$1510&lt;=$J222)),'Match Log'!$N$4:$N$1510),NA()))</f>
        <v>1079.8513147600966</v>
      </c>
      <c r="P222">
        <f>IF($J222&gt;MAX('Match Log'!$A$4:$A$1510),NA(),IFERROR(LOOKUP(2,1/(('Match Log'!$D$4:$D$1510=$P$24)*('Match Log'!$A$4:$A$1510&lt;=$J222)),'Match Log'!$N$4:$N$1510),NA()))</f>
        <v>1156.402080999414</v>
      </c>
      <c r="Q222">
        <f>IF($J222&gt;MAX('Match Log'!$A$4:$A$1510),NA(),IFERROR(LOOKUP(2,1/(('Match Log'!$D$4:$D$1510=$Q$24)*('Match Log'!$A$4:$A$1510&lt;=$J222)),'Match Log'!$N$4:$N$1510),NA()))</f>
        <v>1050.2393073123574</v>
      </c>
      <c r="R222">
        <f>IF($J222&gt;MAX('Match Log'!$A$4:$A$1510),NA(),IFERROR(LOOKUP(2,1/(('Match Log'!$D$4:$D$1510=$R$24)*('Match Log'!$A$4:$A$1510&lt;=$J222)),'Match Log'!$N$4:$N$1510),NA()))</f>
        <v>1154.3708401956087</v>
      </c>
      <c r="S222">
        <f>IF($J222&gt;MAX('Match Log'!$A$4:$A$1510),NA(),IFERROR(LOOKUP(2,1/(('Match Log'!$D$4:$D$1510=$S$24)*('Match Log'!$A$4:$A$1510&lt;=$J222)),'Match Log'!$N$4:$N$1510),NA()))</f>
        <v>1241.7029363250533</v>
      </c>
      <c r="T222">
        <f>IF($J222&gt;MAX('Match Log'!$A$4:$A$1510),NA(),IFERROR(LOOKUP(2,1/(('Match Log'!$D$4:$D$1510=$T$24)*('Match Log'!$A$4:$A$1510&lt;=$J222)),'Match Log'!$N$4:$N$1510),NA()))</f>
        <v>862.22294373677494</v>
      </c>
      <c r="U222">
        <f>IF($J222&gt;MAX('Match Log'!$A$4:$A$1510),NA(),IFERROR(LOOKUP(2,1/(('Match Log'!$D$4:$D$1510=$U$24)*('Match Log'!$A$4:$A$1510&lt;=$J222)),'Match Log'!$N$4:$N$1510),NA()))</f>
        <v>1054.3366131438215</v>
      </c>
      <c r="V222">
        <f>IF($J222&gt;MAX('Match Log'!$A$4:$A$1510),NA(),IFERROR(LOOKUP(2,1/(('Match Log'!$D$4:$D$1510=$V$24)*('Match Log'!$A$4:$A$1510&lt;=$J222)),'Match Log'!$N$4:$N$1510),NA()))</f>
        <v>1012.1303999492304</v>
      </c>
      <c r="W222">
        <f>IF($J222&gt;MAX('Match Log'!$A$4:$A$1510),NA(),IFERROR(LOOKUP(2,1/(('Match Log'!$D$4:$D$1510=$W$24)*('Match Log'!$A$4:$A$1510&lt;=$J222)),'Match Log'!$N$4:$N$1510),NA()))</f>
        <v>1080.3830919749923</v>
      </c>
      <c r="X222" t="e">
        <f>IF($J222&gt;MAX('Match Log'!$A$4:$A$1510),NA(),IFERROR(LOOKUP(2,1/(('Match Log'!$D$4:$D$1510=$X$24)*('Match Log'!$A$4:$A$1510&lt;=$J222)),'Match Log'!$N$4:$N$1510),NA()))</f>
        <v>#N/A</v>
      </c>
      <c r="Y222" t="str">
        <f t="shared" ca="1" si="28"/>
        <v/>
      </c>
    </row>
    <row r="223" spans="1:25" x14ac:dyDescent="0.2">
      <c r="A223">
        <v>199</v>
      </c>
      <c r="B223" s="138">
        <f>IFERROR(INDEX('Match Log'!$B$4:$B$1510,MATCH($A223,'Match Log'!$A$4:$A$1510,0)),"")</f>
        <v>46247</v>
      </c>
      <c r="C223" t="str">
        <f>IFERROR(INDEX('Match Log'!$C$4:$C$1510,MATCH($A223,'Match Log'!$A$4:$A$1510,0)),"")</f>
        <v>Basketball arcade</v>
      </c>
      <c r="D223" t="str">
        <f t="array" ref="D223">IFERROR(_xlfn.TEXTJOIN(" + ",TRUE(),IF(('Match Log'!$A$4:$A$1510=$A223)*('Match Log'!$E$4:$E$1510="Win"),'Match Log'!$D$4:$D$1510,"")),IFERROR(LOOKUP(2,1/(('Match Log'!$A$4:$A$1510=$A223)*('Match Log'!$E$4:$E$1510="Win")),'Match Log'!$D$4:$D$1510),""))</f>
        <v>Josh</v>
      </c>
      <c r="E223" s="139">
        <f>IFERROR(INDEX('Match Log'!$F$4:$F$1510,MATCH($A223,'Match Log'!$A$4:$A$1510,0)),"")</f>
        <v>2</v>
      </c>
      <c r="F223">
        <f>IFERROR(SUMIFS('Match Log'!$I$4:$I$1510,'Match Log'!$A$4:$A$1510,$A223,'Match Log'!$E$4:$E$1510,"Win"),"")</f>
        <v>0.44444444444444448</v>
      </c>
      <c r="G223">
        <f t="shared" si="26"/>
        <v>0.11111111111111105</v>
      </c>
      <c r="H223" t="str">
        <f t="array" ref="H223">IFERROR(IF(COUNTIFS('Match Log'!$A$4:$A$1510,$A223,'Match Log'!$E$4:$E$1510,"Win")&gt;1,_xlfn.TEXTJOIN(" + ",TRUE(),IF(('Match Log'!$A$4:$A$1510=$A223)*('Match Log'!$E$4:$E$1510="Loss"),'Match Log'!$D$4:$D$1510,"")),IF($E223=2,LOOKUP(2,1/(('Match Log'!$A$4:$A$1510=$A223)*('Match Log'!$E$4:$E$1510="Loss")),'Match Log'!$D$4:$D$1510),"the field")),"")</f>
        <v>Shawn</v>
      </c>
      <c r="I223">
        <f t="shared" si="27"/>
        <v>0.11091211111111104</v>
      </c>
      <c r="J223">
        <v>199</v>
      </c>
      <c r="K223">
        <f>IF($J223&gt;MAX('Match Log'!$A$4:$A$1510),NA(),IFERROR(LOOKUP(2,1/(('Match Log'!$D$4:$D$1510=$K$24)*('Match Log'!$A$4:$A$1510&lt;=$J223)),'Match Log'!$N$4:$N$1510),NA()))</f>
        <v>1009.8261046694705</v>
      </c>
      <c r="L223">
        <f>IF($J223&gt;MAX('Match Log'!$A$4:$A$1510),NA(),IFERROR(LOOKUP(2,1/(('Match Log'!$D$4:$D$1510=$L$24)*('Match Log'!$A$4:$A$1510&lt;=$J223)),'Match Log'!$N$4:$N$1510),NA()))</f>
        <v>1029.5175965335138</v>
      </c>
      <c r="M223">
        <f>IF($J223&gt;MAX('Match Log'!$A$4:$A$1510),NA(),IFERROR(LOOKUP(2,1/(('Match Log'!$D$4:$D$1510=$M$24)*('Match Log'!$A$4:$A$1510&lt;=$J223)),'Match Log'!$N$4:$N$1510),NA()))</f>
        <v>1037.8197114720938</v>
      </c>
      <c r="N223">
        <f>IF($J223&gt;MAX('Match Log'!$A$4:$A$1510),NA(),IFERROR(LOOKUP(2,1/(('Match Log'!$D$4:$D$1510=$N$24)*('Match Log'!$A$4:$A$1510&lt;=$J223)),'Match Log'!$N$4:$N$1510),NA()))</f>
        <v>973.19705892757202</v>
      </c>
      <c r="O223">
        <f>IF($J223&gt;MAX('Match Log'!$A$4:$A$1510),NA(),IFERROR(LOOKUP(2,1/(('Match Log'!$D$4:$D$1510=$O$24)*('Match Log'!$A$4:$A$1510&lt;=$J223)),'Match Log'!$N$4:$N$1510),NA()))</f>
        <v>1105.4909851862215</v>
      </c>
      <c r="P223">
        <f>IF($J223&gt;MAX('Match Log'!$A$4:$A$1510),NA(),IFERROR(LOOKUP(2,1/(('Match Log'!$D$4:$D$1510=$P$24)*('Match Log'!$A$4:$A$1510&lt;=$J223)),'Match Log'!$N$4:$N$1510),NA()))</f>
        <v>1130.7624105732891</v>
      </c>
      <c r="Q223">
        <f>IF($J223&gt;MAX('Match Log'!$A$4:$A$1510),NA(),IFERROR(LOOKUP(2,1/(('Match Log'!$D$4:$D$1510=$Q$24)*('Match Log'!$A$4:$A$1510&lt;=$J223)),'Match Log'!$N$4:$N$1510),NA()))</f>
        <v>1050.2393073123574</v>
      </c>
      <c r="R223">
        <f>IF($J223&gt;MAX('Match Log'!$A$4:$A$1510),NA(),IFERROR(LOOKUP(2,1/(('Match Log'!$D$4:$D$1510=$R$24)*('Match Log'!$A$4:$A$1510&lt;=$J223)),'Match Log'!$N$4:$N$1510),NA()))</f>
        <v>1154.3708401956087</v>
      </c>
      <c r="S223">
        <f>IF($J223&gt;MAX('Match Log'!$A$4:$A$1510),NA(),IFERROR(LOOKUP(2,1/(('Match Log'!$D$4:$D$1510=$S$24)*('Match Log'!$A$4:$A$1510&lt;=$J223)),'Match Log'!$N$4:$N$1510),NA()))</f>
        <v>1241.7029363250533</v>
      </c>
      <c r="T223">
        <f>IF($J223&gt;MAX('Match Log'!$A$4:$A$1510),NA(),IFERROR(LOOKUP(2,1/(('Match Log'!$D$4:$D$1510=$T$24)*('Match Log'!$A$4:$A$1510&lt;=$J223)),'Match Log'!$N$4:$N$1510),NA()))</f>
        <v>862.22294373677494</v>
      </c>
      <c r="U223">
        <f>IF($J223&gt;MAX('Match Log'!$A$4:$A$1510),NA(),IFERROR(LOOKUP(2,1/(('Match Log'!$D$4:$D$1510=$U$24)*('Match Log'!$A$4:$A$1510&lt;=$J223)),'Match Log'!$N$4:$N$1510),NA()))</f>
        <v>1054.3366131438215</v>
      </c>
      <c r="V223">
        <f>IF($J223&gt;MAX('Match Log'!$A$4:$A$1510),NA(),IFERROR(LOOKUP(2,1/(('Match Log'!$D$4:$D$1510=$V$24)*('Match Log'!$A$4:$A$1510&lt;=$J223)),'Match Log'!$N$4:$N$1510),NA()))</f>
        <v>1012.1303999492304</v>
      </c>
      <c r="W223">
        <f>IF($J223&gt;MAX('Match Log'!$A$4:$A$1510),NA(),IFERROR(LOOKUP(2,1/(('Match Log'!$D$4:$D$1510=$W$24)*('Match Log'!$A$4:$A$1510&lt;=$J223)),'Match Log'!$N$4:$N$1510),NA()))</f>
        <v>1080.3830919749923</v>
      </c>
      <c r="X223" t="e">
        <f>IF($J223&gt;MAX('Match Log'!$A$4:$A$1510),NA(),IFERROR(LOOKUP(2,1/(('Match Log'!$D$4:$D$1510=$X$24)*('Match Log'!$A$4:$A$1510&lt;=$J223)),'Match Log'!$N$4:$N$1510),NA()))</f>
        <v>#N/A</v>
      </c>
      <c r="Y223" t="str">
        <f t="shared" ca="1" si="28"/>
        <v/>
      </c>
    </row>
    <row r="224" spans="1:25" x14ac:dyDescent="0.2">
      <c r="A224">
        <v>200</v>
      </c>
      <c r="B224" s="138">
        <f>IFERROR(INDEX('Match Log'!$B$4:$B$1510,MATCH($A224,'Match Log'!$A$4:$A$1510,0)),"")</f>
        <v>46247</v>
      </c>
      <c r="C224" t="str">
        <f>IFERROR(INDEX('Match Log'!$C$4:$C$1510,MATCH($A224,'Match Log'!$A$4:$A$1510,0)),"")</f>
        <v>Mario Kart</v>
      </c>
      <c r="D224" t="str">
        <f t="array" ref="D224">IFERROR(_xlfn.TEXTJOIN(" + ",TRUE(),IF(('Match Log'!$A$4:$A$1510=$A224)*('Match Log'!$E$4:$E$1510="Win"),'Match Log'!$D$4:$D$1510,"")),IFERROR(LOOKUP(2,1/(('Match Log'!$A$4:$A$1510=$A224)*('Match Log'!$E$4:$E$1510="Win")),'Match Log'!$D$4:$D$1510),""))</f>
        <v>Josh</v>
      </c>
      <c r="E224" s="139">
        <f>IFERROR(INDEX('Match Log'!$F$4:$F$1510,MATCH($A224,'Match Log'!$A$4:$A$1510,0)),"")</f>
        <v>2</v>
      </c>
      <c r="F224">
        <f>IFERROR(SUMIFS('Match Log'!$I$4:$I$1510,'Match Log'!$A$4:$A$1510,$A224,'Match Log'!$E$4:$E$1510,"Win"),"")</f>
        <v>0.90322580645161299</v>
      </c>
      <c r="G224">
        <f t="shared" si="26"/>
        <v>-0.80645161290322598</v>
      </c>
      <c r="H224" t="str">
        <f t="array" ref="H224">IFERROR(IF(COUNTIFS('Match Log'!$A$4:$A$1510,$A224,'Match Log'!$E$4:$E$1510,"Win")&gt;1,_xlfn.TEXTJOIN(" + ",TRUE(),IF(('Match Log'!$A$4:$A$1510=$A224)*('Match Log'!$E$4:$E$1510="Loss"),'Match Log'!$D$4:$D$1510,"")),IF($E224=2,LOOKUP(2,1/(('Match Log'!$A$4:$A$1510=$A224)*('Match Log'!$E$4:$E$1510="Loss")),'Match Log'!$D$4:$D$1510),"the field")),"")</f>
        <v>Shawn</v>
      </c>
      <c r="I224">
        <f t="shared" si="27"/>
        <v>-0.80665161290322596</v>
      </c>
      <c r="J224">
        <v>200</v>
      </c>
      <c r="K224">
        <f>IF($J224&gt;MAX('Match Log'!$A$4:$A$1510),NA(),IFERROR(LOOKUP(2,1/(('Match Log'!$D$4:$D$1510=$K$24)*('Match Log'!$A$4:$A$1510&lt;=$J224)),'Match Log'!$N$4:$N$1510),NA()))</f>
        <v>1009.8261046694705</v>
      </c>
      <c r="L224">
        <f>IF($J224&gt;MAX('Match Log'!$A$4:$A$1510),NA(),IFERROR(LOOKUP(2,1/(('Match Log'!$D$4:$D$1510=$L$24)*('Match Log'!$A$4:$A$1510&lt;=$J224)),'Match Log'!$N$4:$N$1510),NA()))</f>
        <v>1029.5175965335138</v>
      </c>
      <c r="M224">
        <f>IF($J224&gt;MAX('Match Log'!$A$4:$A$1510),NA(),IFERROR(LOOKUP(2,1/(('Match Log'!$D$4:$D$1510=$M$24)*('Match Log'!$A$4:$A$1510&lt;=$J224)),'Match Log'!$N$4:$N$1510),NA()))</f>
        <v>1037.8197114720938</v>
      </c>
      <c r="N224">
        <f>IF($J224&gt;MAX('Match Log'!$A$4:$A$1510),NA(),IFERROR(LOOKUP(2,1/(('Match Log'!$D$4:$D$1510=$N$24)*('Match Log'!$A$4:$A$1510&lt;=$J224)),'Match Log'!$N$4:$N$1510),NA()))</f>
        <v>973.19705892757202</v>
      </c>
      <c r="O224">
        <f>IF($J224&gt;MAX('Match Log'!$A$4:$A$1510),NA(),IFERROR(LOOKUP(2,1/(('Match Log'!$D$4:$D$1510=$O$24)*('Match Log'!$A$4:$A$1510&lt;=$J224)),'Match Log'!$N$4:$N$1510),NA()))</f>
        <v>1116.2299240497011</v>
      </c>
      <c r="P224">
        <f>IF($J224&gt;MAX('Match Log'!$A$4:$A$1510),NA(),IFERROR(LOOKUP(2,1/(('Match Log'!$D$4:$D$1510=$P$24)*('Match Log'!$A$4:$A$1510&lt;=$J224)),'Match Log'!$N$4:$N$1510),NA()))</f>
        <v>1120.0234717098094</v>
      </c>
      <c r="Q224">
        <f>IF($J224&gt;MAX('Match Log'!$A$4:$A$1510),NA(),IFERROR(LOOKUP(2,1/(('Match Log'!$D$4:$D$1510=$Q$24)*('Match Log'!$A$4:$A$1510&lt;=$J224)),'Match Log'!$N$4:$N$1510),NA()))</f>
        <v>1050.2393073123574</v>
      </c>
      <c r="R224">
        <f>IF($J224&gt;MAX('Match Log'!$A$4:$A$1510),NA(),IFERROR(LOOKUP(2,1/(('Match Log'!$D$4:$D$1510=$R$24)*('Match Log'!$A$4:$A$1510&lt;=$J224)),'Match Log'!$N$4:$N$1510),NA()))</f>
        <v>1154.3708401956087</v>
      </c>
      <c r="S224">
        <f>IF($J224&gt;MAX('Match Log'!$A$4:$A$1510),NA(),IFERROR(LOOKUP(2,1/(('Match Log'!$D$4:$D$1510=$S$24)*('Match Log'!$A$4:$A$1510&lt;=$J224)),'Match Log'!$N$4:$N$1510),NA()))</f>
        <v>1241.7029363250533</v>
      </c>
      <c r="T224">
        <f>IF($J224&gt;MAX('Match Log'!$A$4:$A$1510),NA(),IFERROR(LOOKUP(2,1/(('Match Log'!$D$4:$D$1510=$T$24)*('Match Log'!$A$4:$A$1510&lt;=$J224)),'Match Log'!$N$4:$N$1510),NA()))</f>
        <v>862.22294373677494</v>
      </c>
      <c r="U224">
        <f>IF($J224&gt;MAX('Match Log'!$A$4:$A$1510),NA(),IFERROR(LOOKUP(2,1/(('Match Log'!$D$4:$D$1510=$U$24)*('Match Log'!$A$4:$A$1510&lt;=$J224)),'Match Log'!$N$4:$N$1510),NA()))</f>
        <v>1054.3366131438215</v>
      </c>
      <c r="V224">
        <f>IF($J224&gt;MAX('Match Log'!$A$4:$A$1510),NA(),IFERROR(LOOKUP(2,1/(('Match Log'!$D$4:$D$1510=$V$24)*('Match Log'!$A$4:$A$1510&lt;=$J224)),'Match Log'!$N$4:$N$1510),NA()))</f>
        <v>1012.1303999492304</v>
      </c>
      <c r="W224">
        <f>IF($J224&gt;MAX('Match Log'!$A$4:$A$1510),NA(),IFERROR(LOOKUP(2,1/(('Match Log'!$D$4:$D$1510=$W$24)*('Match Log'!$A$4:$A$1510&lt;=$J224)),'Match Log'!$N$4:$N$1510),NA()))</f>
        <v>1080.3830919749923</v>
      </c>
      <c r="X224" t="e">
        <f>IF($J224&gt;MAX('Match Log'!$A$4:$A$1510),NA(),IFERROR(LOOKUP(2,1/(('Match Log'!$D$4:$D$1510=$X$24)*('Match Log'!$A$4:$A$1510&lt;=$J224)),'Match Log'!$N$4:$N$1510),NA()))</f>
        <v>#N/A</v>
      </c>
      <c r="Y224" t="str">
        <f t="shared" ca="1" si="28"/>
        <v/>
      </c>
    </row>
    <row r="225" spans="1:25" x14ac:dyDescent="0.2">
      <c r="A225">
        <v>201</v>
      </c>
      <c r="B225" s="138">
        <f>IFERROR(INDEX('Match Log'!$B$4:$B$1510,MATCH($A225,'Match Log'!$A$4:$A$1510,0)),"")</f>
        <v>46247</v>
      </c>
      <c r="C225" t="str">
        <f>IFERROR(INDEX('Match Log'!$C$4:$C$1510,MATCH($A225,'Match Log'!$A$4:$A$1510,0)),"")</f>
        <v>Mario Kart</v>
      </c>
      <c r="D225" t="str">
        <f t="array" ref="D225">IFERROR(_xlfn.TEXTJOIN(" + ",TRUE(),IF(('Match Log'!$A$4:$A$1510=$A225)*('Match Log'!$E$4:$E$1510="Win"),'Match Log'!$D$4:$D$1510,"")),IFERROR(LOOKUP(2,1/(('Match Log'!$A$4:$A$1510=$A225)*('Match Log'!$E$4:$E$1510="Win")),'Match Log'!$D$4:$D$1510),""))</f>
        <v>Josh</v>
      </c>
      <c r="E225" s="139">
        <f>IFERROR(INDEX('Match Log'!$F$4:$F$1510,MATCH($A225,'Match Log'!$A$4:$A$1510,0)),"")</f>
        <v>2</v>
      </c>
      <c r="F225">
        <f>IFERROR(SUMIFS('Match Log'!$I$4:$I$1510,'Match Log'!$A$4:$A$1510,$A225,'Match Log'!$E$4:$E$1510,"Win"),"")</f>
        <v>0.91836734693877553</v>
      </c>
      <c r="G225">
        <f t="shared" si="26"/>
        <v>-0.83673469387755106</v>
      </c>
      <c r="H225" t="str">
        <f t="array" ref="H225">IFERROR(IF(COUNTIFS('Match Log'!$A$4:$A$1510,$A225,'Match Log'!$E$4:$E$1510,"Win")&gt;1,_xlfn.TEXTJOIN(" + ",TRUE(),IF(('Match Log'!$A$4:$A$1510=$A225)*('Match Log'!$E$4:$E$1510="Loss"),'Match Log'!$D$4:$D$1510,"")),IF($E225=2,LOOKUP(2,1/(('Match Log'!$A$4:$A$1510=$A225)*('Match Log'!$E$4:$E$1510="Loss")),'Match Log'!$D$4:$D$1510),"the field")),"")</f>
        <v>Shawn</v>
      </c>
      <c r="I225">
        <f t="shared" si="27"/>
        <v>-0.83693569387755107</v>
      </c>
      <c r="J225">
        <v>201</v>
      </c>
      <c r="K225">
        <f>IF($J225&gt;MAX('Match Log'!$A$4:$A$1510),NA(),IFERROR(LOOKUP(2,1/(('Match Log'!$D$4:$D$1510=$K$24)*('Match Log'!$A$4:$A$1510&lt;=$J225)),'Match Log'!$N$4:$N$1510),NA()))</f>
        <v>1009.8261046694705</v>
      </c>
      <c r="L225">
        <f>IF($J225&gt;MAX('Match Log'!$A$4:$A$1510),NA(),IFERROR(LOOKUP(2,1/(('Match Log'!$D$4:$D$1510=$L$24)*('Match Log'!$A$4:$A$1510&lt;=$J225)),'Match Log'!$N$4:$N$1510),NA()))</f>
        <v>1029.5175965335138</v>
      </c>
      <c r="M225">
        <f>IF($J225&gt;MAX('Match Log'!$A$4:$A$1510),NA(),IFERROR(LOOKUP(2,1/(('Match Log'!$D$4:$D$1510=$M$24)*('Match Log'!$A$4:$A$1510&lt;=$J225)),'Match Log'!$N$4:$N$1510),NA()))</f>
        <v>1037.8197114720938</v>
      </c>
      <c r="N225">
        <f>IF($J225&gt;MAX('Match Log'!$A$4:$A$1510),NA(),IFERROR(LOOKUP(2,1/(('Match Log'!$D$4:$D$1510=$N$24)*('Match Log'!$A$4:$A$1510&lt;=$J225)),'Match Log'!$N$4:$N$1510),NA()))</f>
        <v>973.19705892757202</v>
      </c>
      <c r="O225">
        <f>IF($J225&gt;MAX('Match Log'!$A$4:$A$1510),NA(),IFERROR(LOOKUP(2,1/(('Match Log'!$D$4:$D$1510=$O$24)*('Match Log'!$A$4:$A$1510&lt;=$J225)),'Match Log'!$N$4:$N$1510),NA()))</f>
        <v>1126.2782967340261</v>
      </c>
      <c r="P225">
        <f>IF($J225&gt;MAX('Match Log'!$A$4:$A$1510),NA(),IFERROR(LOOKUP(2,1/(('Match Log'!$D$4:$D$1510=$P$24)*('Match Log'!$A$4:$A$1510&lt;=$J225)),'Match Log'!$N$4:$N$1510),NA()))</f>
        <v>1109.9750990254845</v>
      </c>
      <c r="Q225">
        <f>IF($J225&gt;MAX('Match Log'!$A$4:$A$1510),NA(),IFERROR(LOOKUP(2,1/(('Match Log'!$D$4:$D$1510=$Q$24)*('Match Log'!$A$4:$A$1510&lt;=$J225)),'Match Log'!$N$4:$N$1510),NA()))</f>
        <v>1050.2393073123574</v>
      </c>
      <c r="R225">
        <f>IF($J225&gt;MAX('Match Log'!$A$4:$A$1510),NA(),IFERROR(LOOKUP(2,1/(('Match Log'!$D$4:$D$1510=$R$24)*('Match Log'!$A$4:$A$1510&lt;=$J225)),'Match Log'!$N$4:$N$1510),NA()))</f>
        <v>1154.3708401956087</v>
      </c>
      <c r="S225">
        <f>IF($J225&gt;MAX('Match Log'!$A$4:$A$1510),NA(),IFERROR(LOOKUP(2,1/(('Match Log'!$D$4:$D$1510=$S$24)*('Match Log'!$A$4:$A$1510&lt;=$J225)),'Match Log'!$N$4:$N$1510),NA()))</f>
        <v>1241.7029363250533</v>
      </c>
      <c r="T225">
        <f>IF($J225&gt;MAX('Match Log'!$A$4:$A$1510),NA(),IFERROR(LOOKUP(2,1/(('Match Log'!$D$4:$D$1510=$T$24)*('Match Log'!$A$4:$A$1510&lt;=$J225)),'Match Log'!$N$4:$N$1510),NA()))</f>
        <v>862.22294373677494</v>
      </c>
      <c r="U225">
        <f>IF($J225&gt;MAX('Match Log'!$A$4:$A$1510),NA(),IFERROR(LOOKUP(2,1/(('Match Log'!$D$4:$D$1510=$U$24)*('Match Log'!$A$4:$A$1510&lt;=$J225)),'Match Log'!$N$4:$N$1510),NA()))</f>
        <v>1054.3366131438215</v>
      </c>
      <c r="V225">
        <f>IF($J225&gt;MAX('Match Log'!$A$4:$A$1510),NA(),IFERROR(LOOKUP(2,1/(('Match Log'!$D$4:$D$1510=$V$24)*('Match Log'!$A$4:$A$1510&lt;=$J225)),'Match Log'!$N$4:$N$1510),NA()))</f>
        <v>1012.1303999492304</v>
      </c>
      <c r="W225">
        <f>IF($J225&gt;MAX('Match Log'!$A$4:$A$1510),NA(),IFERROR(LOOKUP(2,1/(('Match Log'!$D$4:$D$1510=$W$24)*('Match Log'!$A$4:$A$1510&lt;=$J225)),'Match Log'!$N$4:$N$1510),NA()))</f>
        <v>1080.3830919749923</v>
      </c>
      <c r="X225" t="e">
        <f>IF($J225&gt;MAX('Match Log'!$A$4:$A$1510),NA(),IFERROR(LOOKUP(2,1/(('Match Log'!$D$4:$D$1510=$X$24)*('Match Log'!$A$4:$A$1510&lt;=$J225)),'Match Log'!$N$4:$N$1510),NA()))</f>
        <v>#N/A</v>
      </c>
      <c r="Y225" t="str">
        <f t="shared" ca="1" si="28"/>
        <v/>
      </c>
    </row>
    <row r="226" spans="1:25" x14ac:dyDescent="0.2">
      <c r="A226">
        <v>202</v>
      </c>
      <c r="B226" s="138">
        <f>IFERROR(INDEX('Match Log'!$B$4:$B$1510,MATCH($A226,'Match Log'!$A$4:$A$1510,0)),"")</f>
        <v>46247</v>
      </c>
      <c r="C226" t="str">
        <f>IFERROR(INDEX('Match Log'!$C$4:$C$1510,MATCH($A226,'Match Log'!$A$4:$A$1510,0)),"")</f>
        <v>Chess</v>
      </c>
      <c r="D226" t="str">
        <f t="array" ref="D226">IFERROR(_xlfn.TEXTJOIN(" + ",TRUE(),IF(('Match Log'!$A$4:$A$1510=$A226)*('Match Log'!$E$4:$E$1510="Win"),'Match Log'!$D$4:$D$1510,"")),IFERROR(LOOKUP(2,1/(('Match Log'!$A$4:$A$1510=$A226)*('Match Log'!$E$4:$E$1510="Win")),'Match Log'!$D$4:$D$1510),""))</f>
        <v>Shawn</v>
      </c>
      <c r="E226" s="139">
        <f>IFERROR(INDEX('Match Log'!$F$4:$F$1510,MATCH($A226,'Match Log'!$A$4:$A$1510,0)),"")</f>
        <v>2</v>
      </c>
      <c r="F226">
        <f>IFERROR(SUMIFS('Match Log'!$I$4:$I$1510,'Match Log'!$A$4:$A$1510,$A226,'Match Log'!$E$4:$E$1510,"Win"),"")</f>
        <v>0.8</v>
      </c>
      <c r="G226">
        <f t="shared" si="26"/>
        <v>-0.60000000000000009</v>
      </c>
      <c r="H226" t="str">
        <f t="array" ref="H226">IFERROR(IF(COUNTIFS('Match Log'!$A$4:$A$1510,$A226,'Match Log'!$E$4:$E$1510,"Win")&gt;1,_xlfn.TEXTJOIN(" + ",TRUE(),IF(('Match Log'!$A$4:$A$1510=$A226)*('Match Log'!$E$4:$E$1510="Loss"),'Match Log'!$D$4:$D$1510,"")),IF($E226=2,LOOKUP(2,1/(('Match Log'!$A$4:$A$1510=$A226)*('Match Log'!$E$4:$E$1510="Loss")),'Match Log'!$D$4:$D$1510),"the field")),"")</f>
        <v>Daniel (Ferret)</v>
      </c>
      <c r="I226">
        <f t="shared" si="27"/>
        <v>-0.60020200000000012</v>
      </c>
      <c r="J226">
        <v>202</v>
      </c>
      <c r="K226">
        <f>IF($J226&gt;MAX('Match Log'!$A$4:$A$1510),NA(),IFERROR(LOOKUP(2,1/(('Match Log'!$D$4:$D$1510=$K$24)*('Match Log'!$A$4:$A$1510&lt;=$J226)),'Match Log'!$N$4:$N$1510),NA()))</f>
        <v>1009.8261046694705</v>
      </c>
      <c r="L226">
        <f>IF($J226&gt;MAX('Match Log'!$A$4:$A$1510),NA(),IFERROR(LOOKUP(2,1/(('Match Log'!$D$4:$D$1510=$L$24)*('Match Log'!$A$4:$A$1510&lt;=$J226)),'Match Log'!$N$4:$N$1510),NA()))</f>
        <v>1029.5175965335138</v>
      </c>
      <c r="M226">
        <f>IF($J226&gt;MAX('Match Log'!$A$4:$A$1510),NA(),IFERROR(LOOKUP(2,1/(('Match Log'!$D$4:$D$1510=$M$24)*('Match Log'!$A$4:$A$1510&lt;=$J226)),'Match Log'!$N$4:$N$1510),NA()))</f>
        <v>1037.8197114720938</v>
      </c>
      <c r="N226">
        <f>IF($J226&gt;MAX('Match Log'!$A$4:$A$1510),NA(),IFERROR(LOOKUP(2,1/(('Match Log'!$D$4:$D$1510=$N$24)*('Match Log'!$A$4:$A$1510&lt;=$J226)),'Match Log'!$N$4:$N$1510),NA()))</f>
        <v>973.19705892757202</v>
      </c>
      <c r="O226">
        <f>IF($J226&gt;MAX('Match Log'!$A$4:$A$1510),NA(),IFERROR(LOOKUP(2,1/(('Match Log'!$D$4:$D$1510=$O$24)*('Match Log'!$A$4:$A$1510&lt;=$J226)),'Match Log'!$N$4:$N$1510),NA()))</f>
        <v>1126.2782967340261</v>
      </c>
      <c r="P226">
        <f>IF($J226&gt;MAX('Match Log'!$A$4:$A$1510),NA(),IFERROR(LOOKUP(2,1/(('Match Log'!$D$4:$D$1510=$P$24)*('Match Log'!$A$4:$A$1510&lt;=$J226)),'Match Log'!$N$4:$N$1510),NA()))</f>
        <v>1128.14195520974</v>
      </c>
      <c r="Q226">
        <f>IF($J226&gt;MAX('Match Log'!$A$4:$A$1510),NA(),IFERROR(LOOKUP(2,1/(('Match Log'!$D$4:$D$1510=$Q$24)*('Match Log'!$A$4:$A$1510&lt;=$J226)),'Match Log'!$N$4:$N$1510),NA()))</f>
        <v>1050.2393073123574</v>
      </c>
      <c r="R226">
        <f>IF($J226&gt;MAX('Match Log'!$A$4:$A$1510),NA(),IFERROR(LOOKUP(2,1/(('Match Log'!$D$4:$D$1510=$R$24)*('Match Log'!$A$4:$A$1510&lt;=$J226)),'Match Log'!$N$4:$N$1510),NA()))</f>
        <v>1136.2039840113532</v>
      </c>
      <c r="S226">
        <f>IF($J226&gt;MAX('Match Log'!$A$4:$A$1510),NA(),IFERROR(LOOKUP(2,1/(('Match Log'!$D$4:$D$1510=$S$24)*('Match Log'!$A$4:$A$1510&lt;=$J226)),'Match Log'!$N$4:$N$1510),NA()))</f>
        <v>1241.7029363250533</v>
      </c>
      <c r="T226">
        <f>IF($J226&gt;MAX('Match Log'!$A$4:$A$1510),NA(),IFERROR(LOOKUP(2,1/(('Match Log'!$D$4:$D$1510=$T$24)*('Match Log'!$A$4:$A$1510&lt;=$J226)),'Match Log'!$N$4:$N$1510),NA()))</f>
        <v>862.22294373677494</v>
      </c>
      <c r="U226">
        <f>IF($J226&gt;MAX('Match Log'!$A$4:$A$1510),NA(),IFERROR(LOOKUP(2,1/(('Match Log'!$D$4:$D$1510=$U$24)*('Match Log'!$A$4:$A$1510&lt;=$J226)),'Match Log'!$N$4:$N$1510),NA()))</f>
        <v>1054.3366131438215</v>
      </c>
      <c r="V226">
        <f>IF($J226&gt;MAX('Match Log'!$A$4:$A$1510),NA(),IFERROR(LOOKUP(2,1/(('Match Log'!$D$4:$D$1510=$V$24)*('Match Log'!$A$4:$A$1510&lt;=$J226)),'Match Log'!$N$4:$N$1510),NA()))</f>
        <v>1012.1303999492304</v>
      </c>
      <c r="W226">
        <f>IF($J226&gt;MAX('Match Log'!$A$4:$A$1510),NA(),IFERROR(LOOKUP(2,1/(('Match Log'!$D$4:$D$1510=$W$24)*('Match Log'!$A$4:$A$1510&lt;=$J226)),'Match Log'!$N$4:$N$1510),NA()))</f>
        <v>1080.3830919749923</v>
      </c>
      <c r="X226" t="e">
        <f>IF($J226&gt;MAX('Match Log'!$A$4:$A$1510),NA(),IFERROR(LOOKUP(2,1/(('Match Log'!$D$4:$D$1510=$X$24)*('Match Log'!$A$4:$A$1510&lt;=$J226)),'Match Log'!$N$4:$N$1510),NA()))</f>
        <v>#N/A</v>
      </c>
      <c r="Y226" t="str">
        <f t="shared" ca="1" si="28"/>
        <v/>
      </c>
    </row>
    <row r="227" spans="1:25" x14ac:dyDescent="0.2">
      <c r="A227">
        <v>203</v>
      </c>
      <c r="B227" s="138">
        <f>IFERROR(INDEX('Match Log'!$B$4:$B$1510,MATCH($A227,'Match Log'!$A$4:$A$1510,0)),"")</f>
        <v>46249</v>
      </c>
      <c r="C227" t="str">
        <f>IFERROR(INDEX('Match Log'!$C$4:$C$1510,MATCH($A227,'Match Log'!$A$4:$A$1510,0)),"")</f>
        <v>Darts</v>
      </c>
      <c r="D227" t="str">
        <f t="array" ref="D227">IFERROR(_xlfn.TEXTJOIN(" + ",TRUE(),IF(('Match Log'!$A$4:$A$1510=$A227)*('Match Log'!$E$4:$E$1510="Win"),'Match Log'!$D$4:$D$1510,"")),IFERROR(LOOKUP(2,1/(('Match Log'!$A$4:$A$1510=$A227)*('Match Log'!$E$4:$E$1510="Win")),'Match Log'!$D$4:$D$1510),""))</f>
        <v>Daniel (Ferret)</v>
      </c>
      <c r="E227" s="139">
        <f>IFERROR(INDEX('Match Log'!$F$4:$F$1510,MATCH($A227,'Match Log'!$A$4:$A$1510,0)),"")</f>
        <v>3</v>
      </c>
      <c r="F227">
        <f>IFERROR(SUMIFS('Match Log'!$I$4:$I$1510,'Match Log'!$A$4:$A$1510,$A227,'Match Log'!$E$4:$E$1510,"Win"),"")</f>
        <v>0.33333333333333337</v>
      </c>
      <c r="G227">
        <f t="shared" si="26"/>
        <v>0</v>
      </c>
      <c r="H227" t="str">
        <f t="array" ref="H227">IFERROR(IF(COUNTIFS('Match Log'!$A$4:$A$1510,$A227,'Match Log'!$E$4:$E$1510,"Win")&gt;1,_xlfn.TEXTJOIN(" + ",TRUE(),IF(('Match Log'!$A$4:$A$1510=$A227)*('Match Log'!$E$4:$E$1510="Loss"),'Match Log'!$D$4:$D$1510,"")),IF($E227=2,LOOKUP(2,1/(('Match Log'!$A$4:$A$1510=$A227)*('Match Log'!$E$4:$E$1510="Loss")),'Match Log'!$D$4:$D$1510),"the field")),"")</f>
        <v>the field</v>
      </c>
      <c r="I227">
        <f t="shared" si="27"/>
        <v>-2.03E-4</v>
      </c>
      <c r="J227">
        <v>203</v>
      </c>
      <c r="K227">
        <f>IF($J227&gt;MAX('Match Log'!$A$4:$A$1510),NA(),IFERROR(LOOKUP(2,1/(('Match Log'!$D$4:$D$1510=$K$24)*('Match Log'!$A$4:$A$1510&lt;=$J227)),'Match Log'!$N$4:$N$1510),NA()))</f>
        <v>1009.8261046694705</v>
      </c>
      <c r="L227">
        <f>IF($J227&gt;MAX('Match Log'!$A$4:$A$1510),NA(),IFERROR(LOOKUP(2,1/(('Match Log'!$D$4:$D$1510=$L$24)*('Match Log'!$A$4:$A$1510&lt;=$J227)),'Match Log'!$N$4:$N$1510),NA()))</f>
        <v>1029.5175965335138</v>
      </c>
      <c r="M227">
        <f>IF($J227&gt;MAX('Match Log'!$A$4:$A$1510),NA(),IFERROR(LOOKUP(2,1/(('Match Log'!$D$4:$D$1510=$M$24)*('Match Log'!$A$4:$A$1510&lt;=$J227)),'Match Log'!$N$4:$N$1510),NA()))</f>
        <v>1037.8197114720938</v>
      </c>
      <c r="N227">
        <f>IF($J227&gt;MAX('Match Log'!$A$4:$A$1510),NA(),IFERROR(LOOKUP(2,1/(('Match Log'!$D$4:$D$1510=$N$24)*('Match Log'!$A$4:$A$1510&lt;=$J227)),'Match Log'!$N$4:$N$1510),NA()))</f>
        <v>973.19705892757202</v>
      </c>
      <c r="O227">
        <f>IF($J227&gt;MAX('Match Log'!$A$4:$A$1510),NA(),IFERROR(LOOKUP(2,1/(('Match Log'!$D$4:$D$1510=$O$24)*('Match Log'!$A$4:$A$1510&lt;=$J227)),'Match Log'!$N$4:$N$1510),NA()))</f>
        <v>1126.2782967340261</v>
      </c>
      <c r="P227">
        <f>IF($J227&gt;MAX('Match Log'!$A$4:$A$1510),NA(),IFERROR(LOOKUP(2,1/(('Match Log'!$D$4:$D$1510=$P$24)*('Match Log'!$A$4:$A$1510&lt;=$J227)),'Match Log'!$N$4:$N$1510),NA()))</f>
        <v>1128.14195520974</v>
      </c>
      <c r="Q227">
        <f>IF($J227&gt;MAX('Match Log'!$A$4:$A$1510),NA(),IFERROR(LOOKUP(2,1/(('Match Log'!$D$4:$D$1510=$Q$24)*('Match Log'!$A$4:$A$1510&lt;=$J227)),'Match Log'!$N$4:$N$1510),NA()))</f>
        <v>1050.2393073123574</v>
      </c>
      <c r="R227">
        <f>IF($J227&gt;MAX('Match Log'!$A$4:$A$1510),NA(),IFERROR(LOOKUP(2,1/(('Match Log'!$D$4:$D$1510=$R$24)*('Match Log'!$A$4:$A$1510&lt;=$J227)),'Match Log'!$N$4:$N$1510),NA()))</f>
        <v>1158.8538735009363</v>
      </c>
      <c r="S227">
        <f>IF($J227&gt;MAX('Match Log'!$A$4:$A$1510),NA(),IFERROR(LOOKUP(2,1/(('Match Log'!$D$4:$D$1510=$S$24)*('Match Log'!$A$4:$A$1510&lt;=$J227)),'Match Log'!$N$4:$N$1510),NA()))</f>
        <v>1241.7029363250533</v>
      </c>
      <c r="T227">
        <f>IF($J227&gt;MAX('Match Log'!$A$4:$A$1510),NA(),IFERROR(LOOKUP(2,1/(('Match Log'!$D$4:$D$1510=$T$24)*('Match Log'!$A$4:$A$1510&lt;=$J227)),'Match Log'!$N$4:$N$1510),NA()))</f>
        <v>862.22294373677494</v>
      </c>
      <c r="U227">
        <f>IF($J227&gt;MAX('Match Log'!$A$4:$A$1510),NA(),IFERROR(LOOKUP(2,1/(('Match Log'!$D$4:$D$1510=$U$24)*('Match Log'!$A$4:$A$1510&lt;=$J227)),'Match Log'!$N$4:$N$1510),NA()))</f>
        <v>1054.3366131438215</v>
      </c>
      <c r="V227">
        <f>IF($J227&gt;MAX('Match Log'!$A$4:$A$1510),NA(),IFERROR(LOOKUP(2,1/(('Match Log'!$D$4:$D$1510=$V$24)*('Match Log'!$A$4:$A$1510&lt;=$J227)),'Match Log'!$N$4:$N$1510),NA()))</f>
        <v>1007.2999120335604</v>
      </c>
      <c r="W227">
        <f>IF($J227&gt;MAX('Match Log'!$A$4:$A$1510),NA(),IFERROR(LOOKUP(2,1/(('Match Log'!$D$4:$D$1510=$W$24)*('Match Log'!$A$4:$A$1510&lt;=$J227)),'Match Log'!$N$4:$N$1510),NA()))</f>
        <v>1071.5636904010794</v>
      </c>
      <c r="X227" t="e">
        <f>IF($J227&gt;MAX('Match Log'!$A$4:$A$1510),NA(),IFERROR(LOOKUP(2,1/(('Match Log'!$D$4:$D$1510=$X$24)*('Match Log'!$A$4:$A$1510&lt;=$J227)),'Match Log'!$N$4:$N$1510),NA()))</f>
        <v>#N/A</v>
      </c>
      <c r="Y227" t="str">
        <f t="shared" ca="1" si="28"/>
        <v/>
      </c>
    </row>
    <row r="228" spans="1:25" x14ac:dyDescent="0.2">
      <c r="A228">
        <v>204</v>
      </c>
      <c r="B228" s="138">
        <f>IFERROR(INDEX('Match Log'!$B$4:$B$1510,MATCH($A228,'Match Log'!$A$4:$A$1510,0)),"")</f>
        <v>46249</v>
      </c>
      <c r="C228" t="str">
        <f>IFERROR(INDEX('Match Log'!$C$4:$C$1510,MATCH($A228,'Match Log'!$A$4:$A$1510,0)),"")</f>
        <v>Darts</v>
      </c>
      <c r="D228" t="str">
        <f t="array" ref="D228">IFERROR(_xlfn.TEXTJOIN(" + ",TRUE(),IF(('Match Log'!$A$4:$A$1510=$A228)*('Match Log'!$E$4:$E$1510="Win"),'Match Log'!$D$4:$D$1510,"")),IFERROR(LOOKUP(2,1/(('Match Log'!$A$4:$A$1510=$A228)*('Match Log'!$E$4:$E$1510="Win")),'Match Log'!$D$4:$D$1510),""))</f>
        <v>Daniel (Ferret)</v>
      </c>
      <c r="E228" s="139">
        <f>IFERROR(INDEX('Match Log'!$F$4:$F$1510,MATCH($A228,'Match Log'!$A$4:$A$1510,0)),"")</f>
        <v>2</v>
      </c>
      <c r="F228">
        <f>IFERROR(SUMIFS('Match Log'!$I$4:$I$1510,'Match Log'!$A$4:$A$1510,$A228,'Match Log'!$E$4:$E$1510,"Win"),"")</f>
        <v>0.57142857142857151</v>
      </c>
      <c r="G228">
        <f t="shared" si="26"/>
        <v>-0.14285714285714302</v>
      </c>
      <c r="H228" t="str">
        <f t="array" ref="H228">IFERROR(IF(COUNTIFS('Match Log'!$A$4:$A$1510,$A228,'Match Log'!$E$4:$E$1510,"Win")&gt;1,_xlfn.TEXTJOIN(" + ",TRUE(),IF(('Match Log'!$A$4:$A$1510=$A228)*('Match Log'!$E$4:$E$1510="Loss"),'Match Log'!$D$4:$D$1510,"")),IF($E228=2,LOOKUP(2,1/(('Match Log'!$A$4:$A$1510=$A228)*('Match Log'!$E$4:$E$1510="Loss")),'Match Log'!$D$4:$D$1510),"the field")),"")</f>
        <v>Dylan A</v>
      </c>
      <c r="I228">
        <f t="shared" si="27"/>
        <v>-0.14306114285714303</v>
      </c>
      <c r="J228">
        <v>204</v>
      </c>
      <c r="K228">
        <f>IF($J228&gt;MAX('Match Log'!$A$4:$A$1510),NA(),IFERROR(LOOKUP(2,1/(('Match Log'!$D$4:$D$1510=$K$24)*('Match Log'!$A$4:$A$1510&lt;=$J228)),'Match Log'!$N$4:$N$1510),NA()))</f>
        <v>1009.8261046694705</v>
      </c>
      <c r="L228">
        <f>IF($J228&gt;MAX('Match Log'!$A$4:$A$1510),NA(),IFERROR(LOOKUP(2,1/(('Match Log'!$D$4:$D$1510=$L$24)*('Match Log'!$A$4:$A$1510&lt;=$J228)),'Match Log'!$N$4:$N$1510),NA()))</f>
        <v>1029.5175965335138</v>
      </c>
      <c r="M228">
        <f>IF($J228&gt;MAX('Match Log'!$A$4:$A$1510),NA(),IFERROR(LOOKUP(2,1/(('Match Log'!$D$4:$D$1510=$M$24)*('Match Log'!$A$4:$A$1510&lt;=$J228)),'Match Log'!$N$4:$N$1510),NA()))</f>
        <v>1037.8197114720938</v>
      </c>
      <c r="N228">
        <f>IF($J228&gt;MAX('Match Log'!$A$4:$A$1510),NA(),IFERROR(LOOKUP(2,1/(('Match Log'!$D$4:$D$1510=$N$24)*('Match Log'!$A$4:$A$1510&lt;=$J228)),'Match Log'!$N$4:$N$1510),NA()))</f>
        <v>973.19705892757202</v>
      </c>
      <c r="O228">
        <f>IF($J228&gt;MAX('Match Log'!$A$4:$A$1510),NA(),IFERROR(LOOKUP(2,1/(('Match Log'!$D$4:$D$1510=$O$24)*('Match Log'!$A$4:$A$1510&lt;=$J228)),'Match Log'!$N$4:$N$1510),NA()))</f>
        <v>1126.2782967340261</v>
      </c>
      <c r="P228">
        <f>IF($J228&gt;MAX('Match Log'!$A$4:$A$1510),NA(),IFERROR(LOOKUP(2,1/(('Match Log'!$D$4:$D$1510=$P$24)*('Match Log'!$A$4:$A$1510&lt;=$J228)),'Match Log'!$N$4:$N$1510),NA()))</f>
        <v>1128.14195520974</v>
      </c>
      <c r="Q228">
        <f>IF($J228&gt;MAX('Match Log'!$A$4:$A$1510),NA(),IFERROR(LOOKUP(2,1/(('Match Log'!$D$4:$D$1510=$Q$24)*('Match Log'!$A$4:$A$1510&lt;=$J228)),'Match Log'!$N$4:$N$1510),NA()))</f>
        <v>1050.2393073123574</v>
      </c>
      <c r="R228">
        <f>IF($J228&gt;MAX('Match Log'!$A$4:$A$1510),NA(),IFERROR(LOOKUP(2,1/(('Match Log'!$D$4:$D$1510=$R$24)*('Match Log'!$A$4:$A$1510&lt;=$J228)),'Match Log'!$N$4:$N$1510),NA()))</f>
        <v>1176.3000871969889</v>
      </c>
      <c r="S228">
        <f>IF($J228&gt;MAX('Match Log'!$A$4:$A$1510),NA(),IFERROR(LOOKUP(2,1/(('Match Log'!$D$4:$D$1510=$S$24)*('Match Log'!$A$4:$A$1510&lt;=$J228)),'Match Log'!$N$4:$N$1510),NA()))</f>
        <v>1241.7029363250533</v>
      </c>
      <c r="T228">
        <f>IF($J228&gt;MAX('Match Log'!$A$4:$A$1510),NA(),IFERROR(LOOKUP(2,1/(('Match Log'!$D$4:$D$1510=$T$24)*('Match Log'!$A$4:$A$1510&lt;=$J228)),'Match Log'!$N$4:$N$1510),NA()))</f>
        <v>862.22294373677494</v>
      </c>
      <c r="U228">
        <f>IF($J228&gt;MAX('Match Log'!$A$4:$A$1510),NA(),IFERROR(LOOKUP(2,1/(('Match Log'!$D$4:$D$1510=$U$24)*('Match Log'!$A$4:$A$1510&lt;=$J228)),'Match Log'!$N$4:$N$1510),NA()))</f>
        <v>1054.3366131438215</v>
      </c>
      <c r="V228">
        <f>IF($J228&gt;MAX('Match Log'!$A$4:$A$1510),NA(),IFERROR(LOOKUP(2,1/(('Match Log'!$D$4:$D$1510=$V$24)*('Match Log'!$A$4:$A$1510&lt;=$J228)),'Match Log'!$N$4:$N$1510),NA()))</f>
        <v>1007.2999120335604</v>
      </c>
      <c r="W228">
        <f>IF($J228&gt;MAX('Match Log'!$A$4:$A$1510),NA(),IFERROR(LOOKUP(2,1/(('Match Log'!$D$4:$D$1510=$W$24)*('Match Log'!$A$4:$A$1510&lt;=$J228)),'Match Log'!$N$4:$N$1510),NA()))</f>
        <v>1054.1174767050268</v>
      </c>
      <c r="X228" t="e">
        <f>IF($J228&gt;MAX('Match Log'!$A$4:$A$1510),NA(),IFERROR(LOOKUP(2,1/(('Match Log'!$D$4:$D$1510=$X$24)*('Match Log'!$A$4:$A$1510&lt;=$J228)),'Match Log'!$N$4:$N$1510),NA()))</f>
        <v>#N/A</v>
      </c>
      <c r="Y228" t="str">
        <f t="shared" ca="1" si="28"/>
        <v/>
      </c>
    </row>
    <row r="229" spans="1:25" x14ac:dyDescent="0.2">
      <c r="A229">
        <v>205</v>
      </c>
      <c r="B229" s="138">
        <f>IFERROR(INDEX('Match Log'!$B$4:$B$1510,MATCH($A229,'Match Log'!$A$4:$A$1510,0)),"")</f>
        <v>46249</v>
      </c>
      <c r="C229" t="str">
        <f>IFERROR(INDEX('Match Log'!$C$4:$C$1510,MATCH($A229,'Match Log'!$A$4:$A$1510,0)),"")</f>
        <v>Darts</v>
      </c>
      <c r="D229" t="str">
        <f t="array" ref="D229">IFERROR(_xlfn.TEXTJOIN(" + ",TRUE(),IF(('Match Log'!$A$4:$A$1510=$A229)*('Match Log'!$E$4:$E$1510="Win"),'Match Log'!$D$4:$D$1510,"")),IFERROR(LOOKUP(2,1/(('Match Log'!$A$4:$A$1510=$A229)*('Match Log'!$E$4:$E$1510="Win")),'Match Log'!$D$4:$D$1510),""))</f>
        <v>Dean M</v>
      </c>
      <c r="E229" s="139">
        <f>IFERROR(INDEX('Match Log'!$F$4:$F$1510,MATCH($A229,'Match Log'!$A$4:$A$1510,0)),"")</f>
        <v>3</v>
      </c>
      <c r="F229">
        <f>IFERROR(SUMIFS('Match Log'!$I$4:$I$1510,'Match Log'!$A$4:$A$1510,$A229,'Match Log'!$E$4:$E$1510,"Win"),"")</f>
        <v>0.17857142857142858</v>
      </c>
      <c r="G229">
        <f t="shared" si="26"/>
        <v>0.4642857142857143</v>
      </c>
      <c r="H229" t="str">
        <f t="array" ref="H229">IFERROR(IF(COUNTIFS('Match Log'!$A$4:$A$1510,$A229,'Match Log'!$E$4:$E$1510,"Win")&gt;1,_xlfn.TEXTJOIN(" + ",TRUE(),IF(('Match Log'!$A$4:$A$1510=$A229)*('Match Log'!$E$4:$E$1510="Loss"),'Match Log'!$D$4:$D$1510,"")),IF($E229=2,LOOKUP(2,1/(('Match Log'!$A$4:$A$1510=$A229)*('Match Log'!$E$4:$E$1510="Loss")),'Match Log'!$D$4:$D$1510),"the field")),"")</f>
        <v>the field</v>
      </c>
      <c r="I229">
        <f t="shared" si="27"/>
        <v>0.46408071428571429</v>
      </c>
      <c r="J229">
        <v>205</v>
      </c>
      <c r="K229">
        <f>IF($J229&gt;MAX('Match Log'!$A$4:$A$1510),NA(),IFERROR(LOOKUP(2,1/(('Match Log'!$D$4:$D$1510=$K$24)*('Match Log'!$A$4:$A$1510&lt;=$J229)),'Match Log'!$N$4:$N$1510),NA()))</f>
        <v>1009.8261046694705</v>
      </c>
      <c r="L229">
        <f>IF($J229&gt;MAX('Match Log'!$A$4:$A$1510),NA(),IFERROR(LOOKUP(2,1/(('Match Log'!$D$4:$D$1510=$L$24)*('Match Log'!$A$4:$A$1510&lt;=$J229)),'Match Log'!$N$4:$N$1510),NA()))</f>
        <v>1029.5175965335138</v>
      </c>
      <c r="M229">
        <f>IF($J229&gt;MAX('Match Log'!$A$4:$A$1510),NA(),IFERROR(LOOKUP(2,1/(('Match Log'!$D$4:$D$1510=$M$24)*('Match Log'!$A$4:$A$1510&lt;=$J229)),'Match Log'!$N$4:$N$1510),NA()))</f>
        <v>1037.8197114720938</v>
      </c>
      <c r="N229">
        <f>IF($J229&gt;MAX('Match Log'!$A$4:$A$1510),NA(),IFERROR(LOOKUP(2,1/(('Match Log'!$D$4:$D$1510=$N$24)*('Match Log'!$A$4:$A$1510&lt;=$J229)),'Match Log'!$N$4:$N$1510),NA()))</f>
        <v>973.19705892757202</v>
      </c>
      <c r="O229">
        <f>IF($J229&gt;MAX('Match Log'!$A$4:$A$1510),NA(),IFERROR(LOOKUP(2,1/(('Match Log'!$D$4:$D$1510=$O$24)*('Match Log'!$A$4:$A$1510&lt;=$J229)),'Match Log'!$N$4:$N$1510),NA()))</f>
        <v>1126.2782967340261</v>
      </c>
      <c r="P229">
        <f>IF($J229&gt;MAX('Match Log'!$A$4:$A$1510),NA(),IFERROR(LOOKUP(2,1/(('Match Log'!$D$4:$D$1510=$P$24)*('Match Log'!$A$4:$A$1510&lt;=$J229)),'Match Log'!$N$4:$N$1510),NA()))</f>
        <v>1128.14195520974</v>
      </c>
      <c r="Q229">
        <f>IF($J229&gt;MAX('Match Log'!$A$4:$A$1510),NA(),IFERROR(LOOKUP(2,1/(('Match Log'!$D$4:$D$1510=$Q$24)*('Match Log'!$A$4:$A$1510&lt;=$J229)),'Match Log'!$N$4:$N$1510),NA()))</f>
        <v>1050.2393073123574</v>
      </c>
      <c r="R229">
        <f>IF($J229&gt;MAX('Match Log'!$A$4:$A$1510),NA(),IFERROR(LOOKUP(2,1/(('Match Log'!$D$4:$D$1510=$R$24)*('Match Log'!$A$4:$A$1510&lt;=$J229)),'Match Log'!$N$4:$N$1510),NA()))</f>
        <v>1161.8808194203373</v>
      </c>
      <c r="S229">
        <f>IF($J229&gt;MAX('Match Log'!$A$4:$A$1510),NA(),IFERROR(LOOKUP(2,1/(('Match Log'!$D$4:$D$1510=$S$24)*('Match Log'!$A$4:$A$1510&lt;=$J229)),'Match Log'!$N$4:$N$1510),NA()))</f>
        <v>1241.7029363250533</v>
      </c>
      <c r="T229">
        <f>IF($J229&gt;MAX('Match Log'!$A$4:$A$1510),NA(),IFERROR(LOOKUP(2,1/(('Match Log'!$D$4:$D$1510=$T$24)*('Match Log'!$A$4:$A$1510&lt;=$J229)),'Match Log'!$N$4:$N$1510),NA()))</f>
        <v>862.22294373677494</v>
      </c>
      <c r="U229">
        <f>IF($J229&gt;MAX('Match Log'!$A$4:$A$1510),NA(),IFERROR(LOOKUP(2,1/(('Match Log'!$D$4:$D$1510=$U$24)*('Match Log'!$A$4:$A$1510&lt;=$J229)),'Match Log'!$N$4:$N$1510),NA()))</f>
        <v>1054.3366131438215</v>
      </c>
      <c r="V229">
        <f>IF($J229&gt;MAX('Match Log'!$A$4:$A$1510),NA(),IFERROR(LOOKUP(2,1/(('Match Log'!$D$4:$D$1510=$V$24)*('Match Log'!$A$4:$A$1510&lt;=$J229)),'Match Log'!$N$4:$N$1510),NA()))</f>
        <v>1039.8908937155766</v>
      </c>
      <c r="W229">
        <f>IF($J229&gt;MAX('Match Log'!$A$4:$A$1510),NA(),IFERROR(LOOKUP(2,1/(('Match Log'!$D$4:$D$1510=$W$24)*('Match Log'!$A$4:$A$1510&lt;=$J229)),'Match Log'!$N$4:$N$1510),NA()))</f>
        <v>1044.9457627996621</v>
      </c>
      <c r="X229" t="e">
        <f>IF($J229&gt;MAX('Match Log'!$A$4:$A$1510),NA(),IFERROR(LOOKUP(2,1/(('Match Log'!$D$4:$D$1510=$X$24)*('Match Log'!$A$4:$A$1510&lt;=$J229)),'Match Log'!$N$4:$N$1510),NA()))</f>
        <v>#N/A</v>
      </c>
      <c r="Y229" t="str">
        <f t="shared" ca="1" si="28"/>
        <v/>
      </c>
    </row>
    <row r="230" spans="1:25" x14ac:dyDescent="0.2">
      <c r="A230">
        <v>206</v>
      </c>
      <c r="B230" s="137">
        <f>IFERROR(INDEX('Match Log'!$B$4:$B$1510,MATCH($A230,'Match Log'!$A$4:$A$1510,0)),"")</f>
        <v>46249</v>
      </c>
      <c r="C230" t="str">
        <f>IFERROR(INDEX('Match Log'!$C$4:$C$1510,MATCH($A230,'Match Log'!$A$4:$A$1510,0)),"")</f>
        <v>Cards</v>
      </c>
      <c r="D230" t="str">
        <f t="array" ref="D230">IFERROR(_xlfn.TEXTJOIN(" + ",TRUE(),IF(('Match Log'!$A$4:$A$1510=$A230)*('Match Log'!$E$4:$E$1510="Win"),'Match Log'!$D$4:$D$1510,"")),IFERROR(LOOKUP(2,1/(('Match Log'!$A$4:$A$1510=$A230)*('Match Log'!$E$4:$E$1510="Win")),'Match Log'!$D$4:$D$1510),""))</f>
        <v>Dean M</v>
      </c>
      <c r="E230" s="139">
        <f>IFERROR(INDEX('Match Log'!$F$4:$F$1510,MATCH($A230,'Match Log'!$A$4:$A$1510,0)),"")</f>
        <v>3</v>
      </c>
      <c r="F230">
        <f>IFERROR(SUMIFS('Match Log'!$I$4:$I$1510,'Match Log'!$A$4:$A$1510,$A230,'Match Log'!$E$4:$E$1510,"Win"),"")</f>
        <v>0.33333333333333331</v>
      </c>
      <c r="G230">
        <f t="shared" si="26"/>
        <v>0</v>
      </c>
      <c r="H230" t="str">
        <f t="array" ref="H230">IFERROR(IF(COUNTIFS('Match Log'!$A$4:$A$1510,$A230,'Match Log'!$E$4:$E$1510,"Win")&gt;1,_xlfn.TEXTJOIN(" + ",TRUE(),IF(('Match Log'!$A$4:$A$1510=$A230)*('Match Log'!$E$4:$E$1510="Loss"),'Match Log'!$D$4:$D$1510,"")),IF($E230=2,LOOKUP(2,1/(('Match Log'!$A$4:$A$1510=$A230)*('Match Log'!$E$4:$E$1510="Loss")),'Match Log'!$D$4:$D$1510),"the field")),"")</f>
        <v>the field</v>
      </c>
      <c r="I230">
        <f t="shared" si="27"/>
        <v>-2.0599999999999999E-4</v>
      </c>
      <c r="J230">
        <v>206</v>
      </c>
      <c r="K230">
        <f>IF($J230&gt;MAX('Match Log'!$A$4:$A$1510),NA(),IFERROR(LOOKUP(2,1/(('Match Log'!$D$4:$D$1510=$K$24)*('Match Log'!$A$4:$A$1510&lt;=$J230)),'Match Log'!$N$4:$N$1510),NA()))</f>
        <v>1009.8261046694705</v>
      </c>
      <c r="L230">
        <f>IF($J230&gt;MAX('Match Log'!$A$4:$A$1510),NA(),IFERROR(LOOKUP(2,1/(('Match Log'!$D$4:$D$1510=$L$24)*('Match Log'!$A$4:$A$1510&lt;=$J230)),'Match Log'!$N$4:$N$1510),NA()))</f>
        <v>1029.5175965335138</v>
      </c>
      <c r="M230">
        <f>IF($J230&gt;MAX('Match Log'!$A$4:$A$1510),NA(),IFERROR(LOOKUP(2,1/(('Match Log'!$D$4:$D$1510=$M$24)*('Match Log'!$A$4:$A$1510&lt;=$J230)),'Match Log'!$N$4:$N$1510),NA()))</f>
        <v>1037.8197114720938</v>
      </c>
      <c r="N230">
        <f>IF($J230&gt;MAX('Match Log'!$A$4:$A$1510),NA(),IFERROR(LOOKUP(2,1/(('Match Log'!$D$4:$D$1510=$N$24)*('Match Log'!$A$4:$A$1510&lt;=$J230)),'Match Log'!$N$4:$N$1510),NA()))</f>
        <v>973.19705892757202</v>
      </c>
      <c r="O230">
        <f>IF($J230&gt;MAX('Match Log'!$A$4:$A$1510),NA(),IFERROR(LOOKUP(2,1/(('Match Log'!$D$4:$D$1510=$O$24)*('Match Log'!$A$4:$A$1510&lt;=$J230)),'Match Log'!$N$4:$N$1510),NA()))</f>
        <v>1126.2782967340261</v>
      </c>
      <c r="P230">
        <f>IF($J230&gt;MAX('Match Log'!$A$4:$A$1510),NA(),IFERROR(LOOKUP(2,1/(('Match Log'!$D$4:$D$1510=$P$24)*('Match Log'!$A$4:$A$1510&lt;=$J230)),'Match Log'!$N$4:$N$1510),NA()))</f>
        <v>1128.14195520974</v>
      </c>
      <c r="Q230">
        <f>IF($J230&gt;MAX('Match Log'!$A$4:$A$1510),NA(),IFERROR(LOOKUP(2,1/(('Match Log'!$D$4:$D$1510=$Q$24)*('Match Log'!$A$4:$A$1510&lt;=$J230)),'Match Log'!$N$4:$N$1510),NA()))</f>
        <v>1050.2393073123574</v>
      </c>
      <c r="R230">
        <f>IF($J230&gt;MAX('Match Log'!$A$4:$A$1510),NA(),IFERROR(LOOKUP(2,1/(('Match Log'!$D$4:$D$1510=$R$24)*('Match Log'!$A$4:$A$1510&lt;=$J230)),'Match Log'!$N$4:$N$1510),NA()))</f>
        <v>1150.1819056851418</v>
      </c>
      <c r="S230">
        <f>IF($J230&gt;MAX('Match Log'!$A$4:$A$1510),NA(),IFERROR(LOOKUP(2,1/(('Match Log'!$D$4:$D$1510=$S$24)*('Match Log'!$A$4:$A$1510&lt;=$J230)),'Match Log'!$N$4:$N$1510),NA()))</f>
        <v>1241.7029363250533</v>
      </c>
      <c r="T230">
        <f>IF($J230&gt;MAX('Match Log'!$A$4:$A$1510),NA(),IFERROR(LOOKUP(2,1/(('Match Log'!$D$4:$D$1510=$T$24)*('Match Log'!$A$4:$A$1510&lt;=$J230)),'Match Log'!$N$4:$N$1510),NA()))</f>
        <v>862.22294373677494</v>
      </c>
      <c r="U230">
        <f>IF($J230&gt;MAX('Match Log'!$A$4:$A$1510),NA(),IFERROR(LOOKUP(2,1/(('Match Log'!$D$4:$D$1510=$U$24)*('Match Log'!$A$4:$A$1510&lt;=$J230)),'Match Log'!$N$4:$N$1510),NA()))</f>
        <v>1054.3366131438215</v>
      </c>
      <c r="V230">
        <f>IF($J230&gt;MAX('Match Log'!$A$4:$A$1510),NA(),IFERROR(LOOKUP(2,1/(('Match Log'!$D$4:$D$1510=$V$24)*('Match Log'!$A$4:$A$1510&lt;=$J230)),'Match Log'!$N$4:$N$1510),NA()))</f>
        <v>1069.7061919009641</v>
      </c>
      <c r="W230">
        <f>IF($J230&gt;MAX('Match Log'!$A$4:$A$1510),NA(),IFERROR(LOOKUP(2,1/(('Match Log'!$D$4:$D$1510=$W$24)*('Match Log'!$A$4:$A$1510&lt;=$J230)),'Match Log'!$N$4:$N$1510),NA()))</f>
        <v>1035.8293783494698</v>
      </c>
      <c r="X230" t="e">
        <f>IF($J230&gt;MAX('Match Log'!$A$4:$A$1510),NA(),IFERROR(LOOKUP(2,1/(('Match Log'!$D$4:$D$1510=$X$24)*('Match Log'!$A$4:$A$1510&lt;=$J230)),'Match Log'!$N$4:$N$1510),NA()))</f>
        <v>#N/A</v>
      </c>
      <c r="Y230" t="str">
        <f t="shared" ca="1" si="28"/>
        <v/>
      </c>
    </row>
    <row r="231" spans="1:25" x14ac:dyDescent="0.2">
      <c r="A231">
        <v>207</v>
      </c>
      <c r="B231">
        <f>IFERROR(INDEX('Match Log'!$B$4:$B$1510,MATCH($A231,'Match Log'!$A$4:$A$1510,0)),"")</f>
        <v>46249</v>
      </c>
      <c r="C231" t="str">
        <f>IFERROR(INDEX('Match Log'!$C$4:$C$1510,MATCH($A231,'Match Log'!$A$4:$A$1510,0)),"")</f>
        <v>Cards</v>
      </c>
      <c r="D231" t="str">
        <f t="array" ref="D231">IFERROR(_xlfn.TEXTJOIN(" + ",TRUE(),IF(('Match Log'!$A$4:$A$1510=$A231)*('Match Log'!$E$4:$E$1510="Win"),'Match Log'!$D$4:$D$1510,"")),IFERROR(LOOKUP(2,1/(('Match Log'!$A$4:$A$1510=$A231)*('Match Log'!$E$4:$E$1510="Win")),'Match Log'!$D$4:$D$1510),""))</f>
        <v>Daniel (Ferret)</v>
      </c>
      <c r="E231">
        <f>IFERROR(INDEX('Match Log'!$F$4:$F$1510,MATCH($A231,'Match Log'!$A$4:$A$1510,0)),"")</f>
        <v>3</v>
      </c>
      <c r="F231">
        <f>IFERROR(SUMIFS('Match Log'!$I$4:$I$1510,'Match Log'!$A$4:$A$1510,$A231,'Match Log'!$E$4:$E$1510,"Win"),"")</f>
        <v>0.25</v>
      </c>
      <c r="G231">
        <f t="shared" si="26"/>
        <v>0.25</v>
      </c>
      <c r="H231" t="str">
        <f t="array" ref="H231">IFERROR(IF(COUNTIFS('Match Log'!$A$4:$A$1510,$A231,'Match Log'!$E$4:$E$1510,"Win")&gt;1,_xlfn.TEXTJOIN(" + ",TRUE(),IF(('Match Log'!$A$4:$A$1510=$A231)*('Match Log'!$E$4:$E$1510="Loss"),'Match Log'!$D$4:$D$1510,"")),IF($E231=2,LOOKUP(2,1/(('Match Log'!$A$4:$A$1510=$A231)*('Match Log'!$E$4:$E$1510="Loss")),'Match Log'!$D$4:$D$1510),"the field")),"")</f>
        <v>the field</v>
      </c>
      <c r="I231">
        <f t="shared" si="27"/>
        <v>0.24979299999999999</v>
      </c>
      <c r="J231">
        <v>207</v>
      </c>
      <c r="K231">
        <f>IF($J231&gt;MAX('Match Log'!$A$4:$A$1510),NA(),IFERROR(LOOKUP(2,1/(('Match Log'!$D$4:$D$1510=$K$24)*('Match Log'!$A$4:$A$1510&lt;=$J231)),'Match Log'!$N$4:$N$1510),NA()))</f>
        <v>1009.8261046694705</v>
      </c>
      <c r="L231">
        <f>IF($J231&gt;MAX('Match Log'!$A$4:$A$1510),NA(),IFERROR(LOOKUP(2,1/(('Match Log'!$D$4:$D$1510=$L$24)*('Match Log'!$A$4:$A$1510&lt;=$J231)),'Match Log'!$N$4:$N$1510),NA()))</f>
        <v>1029.5175965335138</v>
      </c>
      <c r="M231">
        <f>IF($J231&gt;MAX('Match Log'!$A$4:$A$1510),NA(),IFERROR(LOOKUP(2,1/(('Match Log'!$D$4:$D$1510=$M$24)*('Match Log'!$A$4:$A$1510&lt;=$J231)),'Match Log'!$N$4:$N$1510),NA()))</f>
        <v>1037.8197114720938</v>
      </c>
      <c r="N231">
        <f>IF($J231&gt;MAX('Match Log'!$A$4:$A$1510),NA(),IFERROR(LOOKUP(2,1/(('Match Log'!$D$4:$D$1510=$N$24)*('Match Log'!$A$4:$A$1510&lt;=$J231)),'Match Log'!$N$4:$N$1510),NA()))</f>
        <v>973.19705892757202</v>
      </c>
      <c r="O231">
        <f>IF($J231&gt;MAX('Match Log'!$A$4:$A$1510),NA(),IFERROR(LOOKUP(2,1/(('Match Log'!$D$4:$D$1510=$O$24)*('Match Log'!$A$4:$A$1510&lt;=$J231)),'Match Log'!$N$4:$N$1510),NA()))</f>
        <v>1126.2782967340261</v>
      </c>
      <c r="P231">
        <f>IF($J231&gt;MAX('Match Log'!$A$4:$A$1510),NA(),IFERROR(LOOKUP(2,1/(('Match Log'!$D$4:$D$1510=$P$24)*('Match Log'!$A$4:$A$1510&lt;=$J231)),'Match Log'!$N$4:$N$1510),NA()))</f>
        <v>1128.14195520974</v>
      </c>
      <c r="Q231">
        <f>IF($J231&gt;MAX('Match Log'!$A$4:$A$1510),NA(),IFERROR(LOOKUP(2,1/(('Match Log'!$D$4:$D$1510=$Q$24)*('Match Log'!$A$4:$A$1510&lt;=$J231)),'Match Log'!$N$4:$N$1510),NA()))</f>
        <v>1050.2393073123574</v>
      </c>
      <c r="R231">
        <f>IF($J231&gt;MAX('Match Log'!$A$4:$A$1510),NA(),IFERROR(LOOKUP(2,1/(('Match Log'!$D$4:$D$1510=$R$24)*('Match Log'!$A$4:$A$1510&lt;=$J231)),'Match Log'!$N$4:$N$1510),NA()))</f>
        <v>1174.6047590171261</v>
      </c>
      <c r="S231">
        <f>IF($J231&gt;MAX('Match Log'!$A$4:$A$1510),NA(),IFERROR(LOOKUP(2,1/(('Match Log'!$D$4:$D$1510=$S$24)*('Match Log'!$A$4:$A$1510&lt;=$J231)),'Match Log'!$N$4:$N$1510),NA()))</f>
        <v>1241.7029363250533</v>
      </c>
      <c r="T231">
        <f>IF($J231&gt;MAX('Match Log'!$A$4:$A$1510),NA(),IFERROR(LOOKUP(2,1/(('Match Log'!$D$4:$D$1510=$T$24)*('Match Log'!$A$4:$A$1510&lt;=$J231)),'Match Log'!$N$4:$N$1510),NA()))</f>
        <v>862.22294373677494</v>
      </c>
      <c r="U231">
        <f>IF($J231&gt;MAX('Match Log'!$A$4:$A$1510),NA(),IFERROR(LOOKUP(2,1/(('Match Log'!$D$4:$D$1510=$U$24)*('Match Log'!$A$4:$A$1510&lt;=$J231)),'Match Log'!$N$4:$N$1510),NA()))</f>
        <v>1054.3366131438215</v>
      </c>
      <c r="V231">
        <f>IF($J231&gt;MAX('Match Log'!$A$4:$A$1510),NA(),IFERROR(LOOKUP(2,1/(('Match Log'!$D$4:$D$1510=$V$24)*('Match Log'!$A$4:$A$1510&lt;=$J231)),'Match Log'!$N$4:$N$1510),NA()))</f>
        <v>1060.1425339766872</v>
      </c>
      <c r="W231">
        <f>IF($J231&gt;MAX('Match Log'!$A$4:$A$1510),NA(),IFERROR(LOOKUP(2,1/(('Match Log'!$D$4:$D$1510=$W$24)*('Match Log'!$A$4:$A$1510&lt;=$J231)),'Match Log'!$N$4:$N$1510),NA()))</f>
        <v>1029.9701829417625</v>
      </c>
      <c r="X231" t="e">
        <f>IF($J231&gt;MAX('Match Log'!$A$4:$A$1510),NA(),IFERROR(LOOKUP(2,1/(('Match Log'!$D$4:$D$1510=$X$24)*('Match Log'!$A$4:$A$1510&lt;=$J231)),'Match Log'!$N$4:$N$1510),NA()))</f>
        <v>#N/A</v>
      </c>
      <c r="Y231" t="str">
        <f t="shared" ca="1" si="28"/>
        <v/>
      </c>
    </row>
    <row r="232" spans="1:25" x14ac:dyDescent="0.2">
      <c r="A232">
        <v>208</v>
      </c>
      <c r="B232">
        <f>IFERROR(INDEX('Match Log'!$B$4:$B$1510,MATCH($A232,'Match Log'!$A$4:$A$1510,0)),"")</f>
        <v>46249</v>
      </c>
      <c r="C232" t="str">
        <f>IFERROR(INDEX('Match Log'!$C$4:$C$1510,MATCH($A232,'Match Log'!$A$4:$A$1510,0)),"")</f>
        <v>Cards</v>
      </c>
      <c r="D232" t="str">
        <f t="array" ref="D232">IFERROR(_xlfn.TEXTJOIN(" + ",TRUE(),IF(('Match Log'!$A$4:$A$1510=$A232)*('Match Log'!$E$4:$E$1510="Win"),'Match Log'!$D$4:$D$1510,"")),IFERROR(LOOKUP(2,1/(('Match Log'!$A$4:$A$1510=$A232)*('Match Log'!$E$4:$E$1510="Win")),'Match Log'!$D$4:$D$1510),""))</f>
        <v>Dean M</v>
      </c>
      <c r="E232">
        <f>IFERROR(INDEX('Match Log'!$F$4:$F$1510,MATCH($A232,'Match Log'!$A$4:$A$1510,0)),"")</f>
        <v>3</v>
      </c>
      <c r="F232">
        <f>IFERROR(SUMIFS('Match Log'!$I$4:$I$1510,'Match Log'!$A$4:$A$1510,$A232,'Match Log'!$E$4:$E$1510,"Win"),"")</f>
        <v>0.4</v>
      </c>
      <c r="G232">
        <f t="shared" si="26"/>
        <v>-0.20000000000000018</v>
      </c>
      <c r="H232" t="str">
        <f t="array" ref="H232">IFERROR(IF(COUNTIFS('Match Log'!$A$4:$A$1510,$A232,'Match Log'!$E$4:$E$1510,"Win")&gt;1,_xlfn.TEXTJOIN(" + ",TRUE(),IF(('Match Log'!$A$4:$A$1510=$A232)*('Match Log'!$E$4:$E$1510="Loss"),'Match Log'!$D$4:$D$1510,"")),IF($E232=2,LOOKUP(2,1/(('Match Log'!$A$4:$A$1510=$A232)*('Match Log'!$E$4:$E$1510="Loss")),'Match Log'!$D$4:$D$1510),"the field")),"")</f>
        <v>the field</v>
      </c>
      <c r="I232">
        <f t="shared" si="27"/>
        <v>-0.20020800000000019</v>
      </c>
      <c r="J232">
        <v>208</v>
      </c>
      <c r="K232">
        <f>IF($J232&gt;MAX('Match Log'!$A$4:$A$1510),NA(),IFERROR(LOOKUP(2,1/(('Match Log'!$D$4:$D$1510=$K$24)*('Match Log'!$A$4:$A$1510&lt;=$J232)),'Match Log'!$N$4:$N$1510),NA()))</f>
        <v>1009.8261046694705</v>
      </c>
      <c r="L232">
        <f>IF($J232&gt;MAX('Match Log'!$A$4:$A$1510),NA(),IFERROR(LOOKUP(2,1/(('Match Log'!$D$4:$D$1510=$L$24)*('Match Log'!$A$4:$A$1510&lt;=$J232)),'Match Log'!$N$4:$N$1510),NA()))</f>
        <v>1029.5175965335138</v>
      </c>
      <c r="M232">
        <f>IF($J232&gt;MAX('Match Log'!$A$4:$A$1510),NA(),IFERROR(LOOKUP(2,1/(('Match Log'!$D$4:$D$1510=$M$24)*('Match Log'!$A$4:$A$1510&lt;=$J232)),'Match Log'!$N$4:$N$1510),NA()))</f>
        <v>1037.8197114720938</v>
      </c>
      <c r="N232">
        <f>IF($J232&gt;MAX('Match Log'!$A$4:$A$1510),NA(),IFERROR(LOOKUP(2,1/(('Match Log'!$D$4:$D$1510=$N$24)*('Match Log'!$A$4:$A$1510&lt;=$J232)),'Match Log'!$N$4:$N$1510),NA()))</f>
        <v>973.19705892757202</v>
      </c>
      <c r="O232">
        <f>IF($J232&gt;MAX('Match Log'!$A$4:$A$1510),NA(),IFERROR(LOOKUP(2,1/(('Match Log'!$D$4:$D$1510=$O$24)*('Match Log'!$A$4:$A$1510&lt;=$J232)),'Match Log'!$N$4:$N$1510),NA()))</f>
        <v>1126.2782967340261</v>
      </c>
      <c r="P232">
        <f>IF($J232&gt;MAX('Match Log'!$A$4:$A$1510),NA(),IFERROR(LOOKUP(2,1/(('Match Log'!$D$4:$D$1510=$P$24)*('Match Log'!$A$4:$A$1510&lt;=$J232)),'Match Log'!$N$4:$N$1510),NA()))</f>
        <v>1128.14195520974</v>
      </c>
      <c r="Q232">
        <f>IF($J232&gt;MAX('Match Log'!$A$4:$A$1510),NA(),IFERROR(LOOKUP(2,1/(('Match Log'!$D$4:$D$1510=$Q$24)*('Match Log'!$A$4:$A$1510&lt;=$J232)),'Match Log'!$N$4:$N$1510),NA()))</f>
        <v>1050.2393073123574</v>
      </c>
      <c r="R232">
        <f>IF($J232&gt;MAX('Match Log'!$A$4:$A$1510),NA(),IFERROR(LOOKUP(2,1/(('Match Log'!$D$4:$D$1510=$R$24)*('Match Log'!$A$4:$A$1510&lt;=$J232)),'Match Log'!$N$4:$N$1510),NA()))</f>
        <v>1162.9493207083763</v>
      </c>
      <c r="S232">
        <f>IF($J232&gt;MAX('Match Log'!$A$4:$A$1510),NA(),IFERROR(LOOKUP(2,1/(('Match Log'!$D$4:$D$1510=$S$24)*('Match Log'!$A$4:$A$1510&lt;=$J232)),'Match Log'!$N$4:$N$1510),NA()))</f>
        <v>1241.7029363250533</v>
      </c>
      <c r="T232">
        <f>IF($J232&gt;MAX('Match Log'!$A$4:$A$1510),NA(),IFERROR(LOOKUP(2,1/(('Match Log'!$D$4:$D$1510=$T$24)*('Match Log'!$A$4:$A$1510&lt;=$J232)),'Match Log'!$N$4:$N$1510),NA()))</f>
        <v>862.22294373677494</v>
      </c>
      <c r="U232">
        <f>IF($J232&gt;MAX('Match Log'!$A$4:$A$1510),NA(),IFERROR(LOOKUP(2,1/(('Match Log'!$D$4:$D$1510=$U$24)*('Match Log'!$A$4:$A$1510&lt;=$J232)),'Match Log'!$N$4:$N$1510),NA()))</f>
        <v>1054.3366131438215</v>
      </c>
      <c r="V232">
        <f>IF($J232&gt;MAX('Match Log'!$A$4:$A$1510),NA(),IFERROR(LOOKUP(2,1/(('Match Log'!$D$4:$D$1510=$V$24)*('Match Log'!$A$4:$A$1510&lt;=$J232)),'Match Log'!$N$4:$N$1510),NA()))</f>
        <v>1087.5488947064855</v>
      </c>
      <c r="W232">
        <f>IF($J232&gt;MAX('Match Log'!$A$4:$A$1510),NA(),IFERROR(LOOKUP(2,1/(('Match Log'!$D$4:$D$1510=$W$24)*('Match Log'!$A$4:$A$1510&lt;=$J232)),'Match Log'!$N$4:$N$1510),NA()))</f>
        <v>1023.2192605207141</v>
      </c>
      <c r="X232" t="e">
        <f>IF($J232&gt;MAX('Match Log'!$A$4:$A$1510),NA(),IFERROR(LOOKUP(2,1/(('Match Log'!$D$4:$D$1510=$X$24)*('Match Log'!$A$4:$A$1510&lt;=$J232)),'Match Log'!$N$4:$N$1510),NA()))</f>
        <v>#N/A</v>
      </c>
      <c r="Y232" t="str">
        <f t="shared" ca="1" si="28"/>
        <v/>
      </c>
    </row>
    <row r="233" spans="1:25" x14ac:dyDescent="0.2">
      <c r="A233">
        <v>209</v>
      </c>
      <c r="B233">
        <f>IFERROR(INDEX('Match Log'!$B$4:$B$1510,MATCH($A233,'Match Log'!$A$4:$A$1510,0)),"")</f>
        <v>46253</v>
      </c>
      <c r="C233" t="str">
        <f>IFERROR(INDEX('Match Log'!$C$4:$C$1510,MATCH($A233,'Match Log'!$A$4:$A$1510,0)),"")</f>
        <v>Putt Putt</v>
      </c>
      <c r="D233" t="str">
        <f t="array" ref="D233">IFERROR(_xlfn.TEXTJOIN(" + ",TRUE(),IF(('Match Log'!$A$4:$A$1510=$A233)*('Match Log'!$E$4:$E$1510="Win"),'Match Log'!$D$4:$D$1510,"")),IFERROR(LOOKUP(2,1/(('Match Log'!$A$4:$A$1510=$A233)*('Match Log'!$E$4:$E$1510="Win")),'Match Log'!$D$4:$D$1510),""))</f>
        <v>Josh</v>
      </c>
      <c r="E233">
        <f>IFERROR(INDEX('Match Log'!$F$4:$F$1510,MATCH($A233,'Match Log'!$A$4:$A$1510,0)),"")</f>
        <v>2</v>
      </c>
      <c r="F233">
        <f>IFERROR(SUMIFS('Match Log'!$I$4:$I$1510,'Match Log'!$A$4:$A$1510,$A233,'Match Log'!$E$4:$E$1510,"Win"),"")</f>
        <v>0.57142857142857151</v>
      </c>
      <c r="G233">
        <f t="shared" si="26"/>
        <v>-0.14285714285714302</v>
      </c>
      <c r="H233" t="str">
        <f t="array" ref="H233">IFERROR(IF(COUNTIFS('Match Log'!$A$4:$A$1510,$A233,'Match Log'!$E$4:$E$1510,"Win")&gt;1,_xlfn.TEXTJOIN(" + ",TRUE(),IF(('Match Log'!$A$4:$A$1510=$A233)*('Match Log'!$E$4:$E$1510="Loss"),'Match Log'!$D$4:$D$1510,"")),IF($E233=2,LOOKUP(2,1/(('Match Log'!$A$4:$A$1510=$A233)*('Match Log'!$E$4:$E$1510="Loss")),'Match Log'!$D$4:$D$1510),"the field")),"")</f>
        <v>Daniel (Ferret)</v>
      </c>
      <c r="I233">
        <f t="shared" si="27"/>
        <v>-0.143066142857143</v>
      </c>
      <c r="J233">
        <v>209</v>
      </c>
      <c r="K233">
        <f>IF($J233&gt;MAX('Match Log'!$A$4:$A$1510),NA(),IFERROR(LOOKUP(2,1/(('Match Log'!$D$4:$D$1510=$K$24)*('Match Log'!$A$4:$A$1510&lt;=$J233)),'Match Log'!$N$4:$N$1510),NA()))</f>
        <v>1009.8261046694705</v>
      </c>
      <c r="L233">
        <f>IF($J233&gt;MAX('Match Log'!$A$4:$A$1510),NA(),IFERROR(LOOKUP(2,1/(('Match Log'!$D$4:$D$1510=$L$24)*('Match Log'!$A$4:$A$1510&lt;=$J233)),'Match Log'!$N$4:$N$1510),NA()))</f>
        <v>1029.5175965335138</v>
      </c>
      <c r="M233">
        <f>IF($J233&gt;MAX('Match Log'!$A$4:$A$1510),NA(),IFERROR(LOOKUP(2,1/(('Match Log'!$D$4:$D$1510=$M$24)*('Match Log'!$A$4:$A$1510&lt;=$J233)),'Match Log'!$N$4:$N$1510),NA()))</f>
        <v>1037.8197114720938</v>
      </c>
      <c r="N233">
        <f>IF($J233&gt;MAX('Match Log'!$A$4:$A$1510),NA(),IFERROR(LOOKUP(2,1/(('Match Log'!$D$4:$D$1510=$N$24)*('Match Log'!$A$4:$A$1510&lt;=$J233)),'Match Log'!$N$4:$N$1510),NA()))</f>
        <v>973.19705892757202</v>
      </c>
      <c r="O233">
        <f>IF($J233&gt;MAX('Match Log'!$A$4:$A$1510),NA(),IFERROR(LOOKUP(2,1/(('Match Log'!$D$4:$D$1510=$O$24)*('Match Log'!$A$4:$A$1510&lt;=$J233)),'Match Log'!$N$4:$N$1510),NA()))</f>
        <v>1149.9353289756921</v>
      </c>
      <c r="P233">
        <f>IF($J233&gt;MAX('Match Log'!$A$4:$A$1510),NA(),IFERROR(LOOKUP(2,1/(('Match Log'!$D$4:$D$1510=$P$24)*('Match Log'!$A$4:$A$1510&lt;=$J233)),'Match Log'!$N$4:$N$1510),NA()))</f>
        <v>1128.14195520974</v>
      </c>
      <c r="Q233">
        <f>IF($J233&gt;MAX('Match Log'!$A$4:$A$1510),NA(),IFERROR(LOOKUP(2,1/(('Match Log'!$D$4:$D$1510=$Q$24)*('Match Log'!$A$4:$A$1510&lt;=$J233)),'Match Log'!$N$4:$N$1510),NA()))</f>
        <v>1050.2393073123574</v>
      </c>
      <c r="R233">
        <f>IF($J233&gt;MAX('Match Log'!$A$4:$A$1510),NA(),IFERROR(LOOKUP(2,1/(('Match Log'!$D$4:$D$1510=$R$24)*('Match Log'!$A$4:$A$1510&lt;=$J233)),'Match Log'!$N$4:$N$1510),NA()))</f>
        <v>1139.2922884667103</v>
      </c>
      <c r="S233">
        <f>IF($J233&gt;MAX('Match Log'!$A$4:$A$1510),NA(),IFERROR(LOOKUP(2,1/(('Match Log'!$D$4:$D$1510=$S$24)*('Match Log'!$A$4:$A$1510&lt;=$J233)),'Match Log'!$N$4:$N$1510),NA()))</f>
        <v>1241.7029363250533</v>
      </c>
      <c r="T233">
        <f>IF($J233&gt;MAX('Match Log'!$A$4:$A$1510),NA(),IFERROR(LOOKUP(2,1/(('Match Log'!$D$4:$D$1510=$T$24)*('Match Log'!$A$4:$A$1510&lt;=$J233)),'Match Log'!$N$4:$N$1510),NA()))</f>
        <v>862.22294373677494</v>
      </c>
      <c r="U233">
        <f>IF($J233&gt;MAX('Match Log'!$A$4:$A$1510),NA(),IFERROR(LOOKUP(2,1/(('Match Log'!$D$4:$D$1510=$U$24)*('Match Log'!$A$4:$A$1510&lt;=$J233)),'Match Log'!$N$4:$N$1510),NA()))</f>
        <v>1054.3366131438215</v>
      </c>
      <c r="V233">
        <f>IF($J233&gt;MAX('Match Log'!$A$4:$A$1510),NA(),IFERROR(LOOKUP(2,1/(('Match Log'!$D$4:$D$1510=$V$24)*('Match Log'!$A$4:$A$1510&lt;=$J233)),'Match Log'!$N$4:$N$1510),NA()))</f>
        <v>1087.5488947064855</v>
      </c>
      <c r="W233">
        <f>IF($J233&gt;MAX('Match Log'!$A$4:$A$1510),NA(),IFERROR(LOOKUP(2,1/(('Match Log'!$D$4:$D$1510=$W$24)*('Match Log'!$A$4:$A$1510&lt;=$J233)),'Match Log'!$N$4:$N$1510),NA()))</f>
        <v>1023.2192605207141</v>
      </c>
      <c r="X233" t="e">
        <f>IF($J233&gt;MAX('Match Log'!$A$4:$A$1510),NA(),IFERROR(LOOKUP(2,1/(('Match Log'!$D$4:$D$1510=$X$24)*('Match Log'!$A$4:$A$1510&lt;=$J233)),'Match Log'!$N$4:$N$1510),NA()))</f>
        <v>#N/A</v>
      </c>
      <c r="Y233" t="str">
        <f t="shared" ca="1" si="28"/>
        <v/>
      </c>
    </row>
    <row r="234" spans="1:25" x14ac:dyDescent="0.2">
      <c r="A234">
        <v>210</v>
      </c>
      <c r="B234">
        <f>IFERROR(INDEX('Match Log'!$B$4:$B$1510,MATCH($A234,'Match Log'!$A$4:$A$1510,0)),"")</f>
        <v>46253</v>
      </c>
      <c r="C234" t="str">
        <f>IFERROR(INDEX('Match Log'!$C$4:$C$1510,MATCH($A234,'Match Log'!$A$4:$A$1510,0)),"")</f>
        <v>Basketball arcade</v>
      </c>
      <c r="D234" t="str">
        <f t="array" ref="D234">IFERROR(_xlfn.TEXTJOIN(" + ",TRUE(),IF(('Match Log'!$A$4:$A$1510=$A234)*('Match Log'!$E$4:$E$1510="Win"),'Match Log'!$D$4:$D$1510,"")),IFERROR(LOOKUP(2,1/(('Match Log'!$A$4:$A$1510=$A234)*('Match Log'!$E$4:$E$1510="Win")),'Match Log'!$D$4:$D$1510),""))</f>
        <v>Daniel (Ferret)</v>
      </c>
      <c r="E234">
        <f>IFERROR(INDEX('Match Log'!$F$4:$F$1510,MATCH($A234,'Match Log'!$A$4:$A$1510,0)),"")</f>
        <v>2</v>
      </c>
      <c r="F234">
        <f>IFERROR(SUMIFS('Match Log'!$I$4:$I$1510,'Match Log'!$A$4:$A$1510,$A234,'Match Log'!$E$4:$E$1510,"Win"),"")</f>
        <v>0.57142857142857151</v>
      </c>
      <c r="G234">
        <f t="shared" si="26"/>
        <v>-0.14285714285714302</v>
      </c>
      <c r="H234" t="str">
        <f t="array" ref="H234">IFERROR(IF(COUNTIFS('Match Log'!$A$4:$A$1510,$A234,'Match Log'!$E$4:$E$1510,"Win")&gt;1,_xlfn.TEXTJOIN(" + ",TRUE(),IF(('Match Log'!$A$4:$A$1510=$A234)*('Match Log'!$E$4:$E$1510="Loss"),'Match Log'!$D$4:$D$1510,"")),IF($E234=2,LOOKUP(2,1/(('Match Log'!$A$4:$A$1510=$A234)*('Match Log'!$E$4:$E$1510="Loss")),'Match Log'!$D$4:$D$1510),"the field")),"")</f>
        <v>Josh</v>
      </c>
      <c r="I234">
        <f t="shared" si="27"/>
        <v>-0.143067142857143</v>
      </c>
      <c r="J234">
        <v>210</v>
      </c>
      <c r="K234">
        <f>IF($J234&gt;MAX('Match Log'!$A$4:$A$1510),NA(),IFERROR(LOOKUP(2,1/(('Match Log'!$D$4:$D$1510=$K$24)*('Match Log'!$A$4:$A$1510&lt;=$J234)),'Match Log'!$N$4:$N$1510),NA()))</f>
        <v>1009.8261046694705</v>
      </c>
      <c r="L234">
        <f>IF($J234&gt;MAX('Match Log'!$A$4:$A$1510),NA(),IFERROR(LOOKUP(2,1/(('Match Log'!$D$4:$D$1510=$L$24)*('Match Log'!$A$4:$A$1510&lt;=$J234)),'Match Log'!$N$4:$N$1510),NA()))</f>
        <v>1029.5175965335138</v>
      </c>
      <c r="M234">
        <f>IF($J234&gt;MAX('Match Log'!$A$4:$A$1510),NA(),IFERROR(LOOKUP(2,1/(('Match Log'!$D$4:$D$1510=$M$24)*('Match Log'!$A$4:$A$1510&lt;=$J234)),'Match Log'!$N$4:$N$1510),NA()))</f>
        <v>1037.8197114720938</v>
      </c>
      <c r="N234">
        <f>IF($J234&gt;MAX('Match Log'!$A$4:$A$1510),NA(),IFERROR(LOOKUP(2,1/(('Match Log'!$D$4:$D$1510=$N$24)*('Match Log'!$A$4:$A$1510&lt;=$J234)),'Match Log'!$N$4:$N$1510),NA()))</f>
        <v>973.19705892757202</v>
      </c>
      <c r="O234">
        <f>IF($J234&gt;MAX('Match Log'!$A$4:$A$1510),NA(),IFERROR(LOOKUP(2,1/(('Match Log'!$D$4:$D$1510=$O$24)*('Match Log'!$A$4:$A$1510&lt;=$J234)),'Match Log'!$N$4:$N$1510),NA()))</f>
        <v>1130.2636711201264</v>
      </c>
      <c r="P234">
        <f>IF($J234&gt;MAX('Match Log'!$A$4:$A$1510),NA(),IFERROR(LOOKUP(2,1/(('Match Log'!$D$4:$D$1510=$P$24)*('Match Log'!$A$4:$A$1510&lt;=$J234)),'Match Log'!$N$4:$N$1510),NA()))</f>
        <v>1128.14195520974</v>
      </c>
      <c r="Q234">
        <f>IF($J234&gt;MAX('Match Log'!$A$4:$A$1510),NA(),IFERROR(LOOKUP(2,1/(('Match Log'!$D$4:$D$1510=$Q$24)*('Match Log'!$A$4:$A$1510&lt;=$J234)),'Match Log'!$N$4:$N$1510),NA()))</f>
        <v>1050.2393073123574</v>
      </c>
      <c r="R234">
        <f>IF($J234&gt;MAX('Match Log'!$A$4:$A$1510),NA(),IFERROR(LOOKUP(2,1/(('Match Log'!$D$4:$D$1510=$R$24)*('Match Log'!$A$4:$A$1510&lt;=$J234)),'Match Log'!$N$4:$N$1510),NA()))</f>
        <v>1158.9639463222759</v>
      </c>
      <c r="S234">
        <f>IF($J234&gt;MAX('Match Log'!$A$4:$A$1510),NA(),IFERROR(LOOKUP(2,1/(('Match Log'!$D$4:$D$1510=$S$24)*('Match Log'!$A$4:$A$1510&lt;=$J234)),'Match Log'!$N$4:$N$1510),NA()))</f>
        <v>1241.7029363250533</v>
      </c>
      <c r="T234">
        <f>IF($J234&gt;MAX('Match Log'!$A$4:$A$1510),NA(),IFERROR(LOOKUP(2,1/(('Match Log'!$D$4:$D$1510=$T$24)*('Match Log'!$A$4:$A$1510&lt;=$J234)),'Match Log'!$N$4:$N$1510),NA()))</f>
        <v>862.22294373677494</v>
      </c>
      <c r="U234">
        <f>IF($J234&gt;MAX('Match Log'!$A$4:$A$1510),NA(),IFERROR(LOOKUP(2,1/(('Match Log'!$D$4:$D$1510=$U$24)*('Match Log'!$A$4:$A$1510&lt;=$J234)),'Match Log'!$N$4:$N$1510),NA()))</f>
        <v>1054.3366131438215</v>
      </c>
      <c r="V234">
        <f>IF($J234&gt;MAX('Match Log'!$A$4:$A$1510),NA(),IFERROR(LOOKUP(2,1/(('Match Log'!$D$4:$D$1510=$V$24)*('Match Log'!$A$4:$A$1510&lt;=$J234)),'Match Log'!$N$4:$N$1510),NA()))</f>
        <v>1087.5488947064855</v>
      </c>
      <c r="W234">
        <f>IF($J234&gt;MAX('Match Log'!$A$4:$A$1510),NA(),IFERROR(LOOKUP(2,1/(('Match Log'!$D$4:$D$1510=$W$24)*('Match Log'!$A$4:$A$1510&lt;=$J234)),'Match Log'!$N$4:$N$1510),NA()))</f>
        <v>1023.2192605207141</v>
      </c>
      <c r="X234" t="e">
        <f>IF($J234&gt;MAX('Match Log'!$A$4:$A$1510),NA(),IFERROR(LOOKUP(2,1/(('Match Log'!$D$4:$D$1510=$X$24)*('Match Log'!$A$4:$A$1510&lt;=$J234)),'Match Log'!$N$4:$N$1510),NA()))</f>
        <v>#N/A</v>
      </c>
      <c r="Y234" t="str">
        <f t="shared" ca="1" si="28"/>
        <v/>
      </c>
    </row>
    <row r="235" spans="1:25" x14ac:dyDescent="0.2">
      <c r="A235">
        <v>211</v>
      </c>
      <c r="B235">
        <f>IFERROR(INDEX('Match Log'!$B$4:$B$1510,MATCH($A235,'Match Log'!$A$4:$A$1510,0)),"")</f>
        <v>46253</v>
      </c>
      <c r="C235" t="str">
        <f>IFERROR(INDEX('Match Log'!$C$4:$C$1510,MATCH($A235,'Match Log'!$A$4:$A$1510,0)),"")</f>
        <v>Mario Kart</v>
      </c>
      <c r="D235" t="str">
        <f t="array" ref="D235">IFERROR(_xlfn.TEXTJOIN(" + ",TRUE(),IF(('Match Log'!$A$4:$A$1510=$A235)*('Match Log'!$E$4:$E$1510="Win"),'Match Log'!$D$4:$D$1510,"")),IFERROR(LOOKUP(2,1/(('Match Log'!$A$4:$A$1510=$A235)*('Match Log'!$E$4:$E$1510="Win")),'Match Log'!$D$4:$D$1510),""))</f>
        <v>Josh</v>
      </c>
      <c r="E235">
        <f>IFERROR(INDEX('Match Log'!$F$4:$F$1510,MATCH($A235,'Match Log'!$A$4:$A$1510,0)),"")</f>
        <v>2</v>
      </c>
      <c r="F235">
        <f>IFERROR(SUMIFS('Match Log'!$I$4:$I$1510,'Match Log'!$A$4:$A$1510,$A235,'Match Log'!$E$4:$E$1510,"Win"),"")</f>
        <v>0.57142857142857151</v>
      </c>
      <c r="G235">
        <f t="shared" si="26"/>
        <v>-0.14285714285714302</v>
      </c>
      <c r="H235" t="str">
        <f t="array" ref="H235">IFERROR(IF(COUNTIFS('Match Log'!$A$4:$A$1510,$A235,'Match Log'!$E$4:$E$1510,"Win")&gt;1,_xlfn.TEXTJOIN(" + ",TRUE(),IF(('Match Log'!$A$4:$A$1510=$A235)*('Match Log'!$E$4:$E$1510="Loss"),'Match Log'!$D$4:$D$1510,"")),IF($E235=2,LOOKUP(2,1/(('Match Log'!$A$4:$A$1510=$A235)*('Match Log'!$E$4:$E$1510="Loss")),'Match Log'!$D$4:$D$1510),"the field")),"")</f>
        <v>Daniel (Ferret)</v>
      </c>
      <c r="I235">
        <f t="shared" si="27"/>
        <v>-0.143068142857143</v>
      </c>
      <c r="J235">
        <v>211</v>
      </c>
      <c r="K235">
        <f>IF($J235&gt;MAX('Match Log'!$A$4:$A$1510),NA(),IFERROR(LOOKUP(2,1/(('Match Log'!$D$4:$D$1510=$K$24)*('Match Log'!$A$4:$A$1510&lt;=$J235)),'Match Log'!$N$4:$N$1510),NA()))</f>
        <v>1009.8261046694705</v>
      </c>
      <c r="L235">
        <f>IF($J235&gt;MAX('Match Log'!$A$4:$A$1510),NA(),IFERROR(LOOKUP(2,1/(('Match Log'!$D$4:$D$1510=$L$24)*('Match Log'!$A$4:$A$1510&lt;=$J235)),'Match Log'!$N$4:$N$1510),NA()))</f>
        <v>1029.5175965335138</v>
      </c>
      <c r="M235">
        <f>IF($J235&gt;MAX('Match Log'!$A$4:$A$1510),NA(),IFERROR(LOOKUP(2,1/(('Match Log'!$D$4:$D$1510=$M$24)*('Match Log'!$A$4:$A$1510&lt;=$J235)),'Match Log'!$N$4:$N$1510),NA()))</f>
        <v>1037.8197114720938</v>
      </c>
      <c r="N235">
        <f>IF($J235&gt;MAX('Match Log'!$A$4:$A$1510),NA(),IFERROR(LOOKUP(2,1/(('Match Log'!$D$4:$D$1510=$N$24)*('Match Log'!$A$4:$A$1510&lt;=$J235)),'Match Log'!$N$4:$N$1510),NA()))</f>
        <v>973.19705892757202</v>
      </c>
      <c r="O235">
        <f>IF($J235&gt;MAX('Match Log'!$A$4:$A$1510),NA(),IFERROR(LOOKUP(2,1/(('Match Log'!$D$4:$D$1510=$O$24)*('Match Log'!$A$4:$A$1510&lt;=$J235)),'Match Log'!$N$4:$N$1510),NA()))</f>
        <v>1151.9362992191511</v>
      </c>
      <c r="P235">
        <f>IF($J235&gt;MAX('Match Log'!$A$4:$A$1510),NA(),IFERROR(LOOKUP(2,1/(('Match Log'!$D$4:$D$1510=$P$24)*('Match Log'!$A$4:$A$1510&lt;=$J235)),'Match Log'!$N$4:$N$1510),NA()))</f>
        <v>1128.14195520974</v>
      </c>
      <c r="Q235">
        <f>IF($J235&gt;MAX('Match Log'!$A$4:$A$1510),NA(),IFERROR(LOOKUP(2,1/(('Match Log'!$D$4:$D$1510=$Q$24)*('Match Log'!$A$4:$A$1510&lt;=$J235)),'Match Log'!$N$4:$N$1510),NA()))</f>
        <v>1050.2393073123574</v>
      </c>
      <c r="R235">
        <f>IF($J235&gt;MAX('Match Log'!$A$4:$A$1510),NA(),IFERROR(LOOKUP(2,1/(('Match Log'!$D$4:$D$1510=$R$24)*('Match Log'!$A$4:$A$1510&lt;=$J235)),'Match Log'!$N$4:$N$1510),NA()))</f>
        <v>1137.2913182232512</v>
      </c>
      <c r="S235">
        <f>IF($J235&gt;MAX('Match Log'!$A$4:$A$1510),NA(),IFERROR(LOOKUP(2,1/(('Match Log'!$D$4:$D$1510=$S$24)*('Match Log'!$A$4:$A$1510&lt;=$J235)),'Match Log'!$N$4:$N$1510),NA()))</f>
        <v>1241.7029363250533</v>
      </c>
      <c r="T235">
        <f>IF($J235&gt;MAX('Match Log'!$A$4:$A$1510),NA(),IFERROR(LOOKUP(2,1/(('Match Log'!$D$4:$D$1510=$T$24)*('Match Log'!$A$4:$A$1510&lt;=$J235)),'Match Log'!$N$4:$N$1510),NA()))</f>
        <v>862.22294373677494</v>
      </c>
      <c r="U235">
        <f>IF($J235&gt;MAX('Match Log'!$A$4:$A$1510),NA(),IFERROR(LOOKUP(2,1/(('Match Log'!$D$4:$D$1510=$U$24)*('Match Log'!$A$4:$A$1510&lt;=$J235)),'Match Log'!$N$4:$N$1510),NA()))</f>
        <v>1054.3366131438215</v>
      </c>
      <c r="V235">
        <f>IF($J235&gt;MAX('Match Log'!$A$4:$A$1510),NA(),IFERROR(LOOKUP(2,1/(('Match Log'!$D$4:$D$1510=$V$24)*('Match Log'!$A$4:$A$1510&lt;=$J235)),'Match Log'!$N$4:$N$1510),NA()))</f>
        <v>1087.5488947064855</v>
      </c>
      <c r="W235">
        <f>IF($J235&gt;MAX('Match Log'!$A$4:$A$1510),NA(),IFERROR(LOOKUP(2,1/(('Match Log'!$D$4:$D$1510=$W$24)*('Match Log'!$A$4:$A$1510&lt;=$J235)),'Match Log'!$N$4:$N$1510),NA()))</f>
        <v>1023.2192605207141</v>
      </c>
      <c r="X235" t="e">
        <f>IF($J235&gt;MAX('Match Log'!$A$4:$A$1510),NA(),IFERROR(LOOKUP(2,1/(('Match Log'!$D$4:$D$1510=$X$24)*('Match Log'!$A$4:$A$1510&lt;=$J235)),'Match Log'!$N$4:$N$1510),NA()))</f>
        <v>#N/A</v>
      </c>
      <c r="Y235" t="str">
        <f t="shared" ca="1" si="28"/>
        <v/>
      </c>
    </row>
    <row r="236" spans="1:25" x14ac:dyDescent="0.2">
      <c r="A236">
        <v>212</v>
      </c>
      <c r="B236">
        <f>IFERROR(INDEX('Match Log'!$B$4:$B$1510,MATCH($A236,'Match Log'!$A$4:$A$1510,0)),"")</f>
        <v>46253</v>
      </c>
      <c r="C236" t="str">
        <f>IFERROR(INDEX('Match Log'!$C$4:$C$1510,MATCH($A236,'Match Log'!$A$4:$A$1510,0)),"")</f>
        <v>Mario Kart</v>
      </c>
      <c r="D236" t="str">
        <f t="array" ref="D236">IFERROR(_xlfn.TEXTJOIN(" + ",TRUE(),IF(('Match Log'!$A$4:$A$1510=$A236)*('Match Log'!$E$4:$E$1510="Win"),'Match Log'!$D$4:$D$1510,"")),IFERROR(LOOKUP(2,1/(('Match Log'!$A$4:$A$1510=$A236)*('Match Log'!$E$4:$E$1510="Win")),'Match Log'!$D$4:$D$1510),""))</f>
        <v>Daniel (Ferret)</v>
      </c>
      <c r="E236">
        <f>IFERROR(INDEX('Match Log'!$F$4:$F$1510,MATCH($A236,'Match Log'!$A$4:$A$1510,0)),"")</f>
        <v>2</v>
      </c>
      <c r="F236">
        <f>IFERROR(SUMIFS('Match Log'!$I$4:$I$1510,'Match Log'!$A$4:$A$1510,$A236,'Match Log'!$E$4:$E$1510,"Win"),"")</f>
        <v>0.37499999999999994</v>
      </c>
      <c r="G236">
        <f t="shared" si="26"/>
        <v>0.25000000000000011</v>
      </c>
      <c r="H236" t="str">
        <f t="array" ref="H236">IFERROR(IF(COUNTIFS('Match Log'!$A$4:$A$1510,$A236,'Match Log'!$E$4:$E$1510,"Win")&gt;1,_xlfn.TEXTJOIN(" + ",TRUE(),IF(('Match Log'!$A$4:$A$1510=$A236)*('Match Log'!$E$4:$E$1510="Loss"),'Match Log'!$D$4:$D$1510,"")),IF($E236=2,LOOKUP(2,1/(('Match Log'!$A$4:$A$1510=$A236)*('Match Log'!$E$4:$E$1510="Loss")),'Match Log'!$D$4:$D$1510),"the field")),"")</f>
        <v>Josh</v>
      </c>
      <c r="I236">
        <f t="shared" si="27"/>
        <v>0.24978800000000012</v>
      </c>
      <c r="J236">
        <v>212</v>
      </c>
      <c r="K236">
        <f>IF($J236&gt;MAX('Match Log'!$A$4:$A$1510),NA(),IFERROR(LOOKUP(2,1/(('Match Log'!$D$4:$D$1510=$K$24)*('Match Log'!$A$4:$A$1510&lt;=$J236)),'Match Log'!$N$4:$N$1510),NA()))</f>
        <v>1009.8261046694705</v>
      </c>
      <c r="L236">
        <f>IF($J236&gt;MAX('Match Log'!$A$4:$A$1510),NA(),IFERROR(LOOKUP(2,1/(('Match Log'!$D$4:$D$1510=$L$24)*('Match Log'!$A$4:$A$1510&lt;=$J236)),'Match Log'!$N$4:$N$1510),NA()))</f>
        <v>1029.5175965335138</v>
      </c>
      <c r="M236">
        <f>IF($J236&gt;MAX('Match Log'!$A$4:$A$1510),NA(),IFERROR(LOOKUP(2,1/(('Match Log'!$D$4:$D$1510=$M$24)*('Match Log'!$A$4:$A$1510&lt;=$J236)),'Match Log'!$N$4:$N$1510),NA()))</f>
        <v>1037.8197114720938</v>
      </c>
      <c r="N236">
        <f>IF($J236&gt;MAX('Match Log'!$A$4:$A$1510),NA(),IFERROR(LOOKUP(2,1/(('Match Log'!$D$4:$D$1510=$N$24)*('Match Log'!$A$4:$A$1510&lt;=$J236)),'Match Log'!$N$4:$N$1510),NA()))</f>
        <v>973.19705892757202</v>
      </c>
      <c r="O236">
        <f>IF($J236&gt;MAX('Match Log'!$A$4:$A$1510),NA(),IFERROR(LOOKUP(2,1/(('Match Log'!$D$4:$D$1510=$O$24)*('Match Log'!$A$4:$A$1510&lt;=$J236)),'Match Log'!$N$4:$N$1510),NA()))</f>
        <v>1127.0912099892591</v>
      </c>
      <c r="P236">
        <f>IF($J236&gt;MAX('Match Log'!$A$4:$A$1510),NA(),IFERROR(LOOKUP(2,1/(('Match Log'!$D$4:$D$1510=$P$24)*('Match Log'!$A$4:$A$1510&lt;=$J236)),'Match Log'!$N$4:$N$1510),NA()))</f>
        <v>1128.14195520974</v>
      </c>
      <c r="Q236">
        <f>IF($J236&gt;MAX('Match Log'!$A$4:$A$1510),NA(),IFERROR(LOOKUP(2,1/(('Match Log'!$D$4:$D$1510=$Q$24)*('Match Log'!$A$4:$A$1510&lt;=$J236)),'Match Log'!$N$4:$N$1510),NA()))</f>
        <v>1050.2393073123574</v>
      </c>
      <c r="R236">
        <f>IF($J236&gt;MAX('Match Log'!$A$4:$A$1510),NA(),IFERROR(LOOKUP(2,1/(('Match Log'!$D$4:$D$1510=$R$24)*('Match Log'!$A$4:$A$1510&lt;=$J236)),'Match Log'!$N$4:$N$1510),NA()))</f>
        <v>1162.1364074531432</v>
      </c>
      <c r="S236">
        <f>IF($J236&gt;MAX('Match Log'!$A$4:$A$1510),NA(),IFERROR(LOOKUP(2,1/(('Match Log'!$D$4:$D$1510=$S$24)*('Match Log'!$A$4:$A$1510&lt;=$J236)),'Match Log'!$N$4:$N$1510),NA()))</f>
        <v>1241.7029363250533</v>
      </c>
      <c r="T236">
        <f>IF($J236&gt;MAX('Match Log'!$A$4:$A$1510),NA(),IFERROR(LOOKUP(2,1/(('Match Log'!$D$4:$D$1510=$T$24)*('Match Log'!$A$4:$A$1510&lt;=$J236)),'Match Log'!$N$4:$N$1510),NA()))</f>
        <v>862.22294373677494</v>
      </c>
      <c r="U236">
        <f>IF($J236&gt;MAX('Match Log'!$A$4:$A$1510),NA(),IFERROR(LOOKUP(2,1/(('Match Log'!$D$4:$D$1510=$U$24)*('Match Log'!$A$4:$A$1510&lt;=$J236)),'Match Log'!$N$4:$N$1510),NA()))</f>
        <v>1054.3366131438215</v>
      </c>
      <c r="V236">
        <f>IF($J236&gt;MAX('Match Log'!$A$4:$A$1510),NA(),IFERROR(LOOKUP(2,1/(('Match Log'!$D$4:$D$1510=$V$24)*('Match Log'!$A$4:$A$1510&lt;=$J236)),'Match Log'!$N$4:$N$1510),NA()))</f>
        <v>1087.5488947064855</v>
      </c>
      <c r="W236">
        <f>IF($J236&gt;MAX('Match Log'!$A$4:$A$1510),NA(),IFERROR(LOOKUP(2,1/(('Match Log'!$D$4:$D$1510=$W$24)*('Match Log'!$A$4:$A$1510&lt;=$J236)),'Match Log'!$N$4:$N$1510),NA()))</f>
        <v>1023.2192605207141</v>
      </c>
      <c r="X236" t="e">
        <f>IF($J236&gt;MAX('Match Log'!$A$4:$A$1510),NA(),IFERROR(LOOKUP(2,1/(('Match Log'!$D$4:$D$1510=$X$24)*('Match Log'!$A$4:$A$1510&lt;=$J236)),'Match Log'!$N$4:$N$1510),NA()))</f>
        <v>#N/A</v>
      </c>
      <c r="Y236" t="str">
        <f t="shared" ca="1" si="28"/>
        <v/>
      </c>
    </row>
    <row r="237" spans="1:25" x14ac:dyDescent="0.2">
      <c r="A237">
        <v>213</v>
      </c>
      <c r="B237">
        <f>IFERROR(INDEX('Match Log'!$B$4:$B$1510,MATCH($A237,'Match Log'!$A$4:$A$1510,0)),"")</f>
        <v>46253</v>
      </c>
      <c r="C237" t="str">
        <f>IFERROR(INDEX('Match Log'!$C$4:$C$1510,MATCH($A237,'Match Log'!$A$4:$A$1510,0)),"")</f>
        <v>Air Hockey</v>
      </c>
      <c r="D237" t="str">
        <f t="array" ref="D237">IFERROR(_xlfn.TEXTJOIN(" + ",TRUE(),IF(('Match Log'!$A$4:$A$1510=$A237)*('Match Log'!$E$4:$E$1510="Win"),'Match Log'!$D$4:$D$1510,"")),IFERROR(LOOKUP(2,1/(('Match Log'!$A$4:$A$1510=$A237)*('Match Log'!$E$4:$E$1510="Win")),'Match Log'!$D$4:$D$1510),""))</f>
        <v>Josh</v>
      </c>
      <c r="E237">
        <f>IFERROR(INDEX('Match Log'!$F$4:$F$1510,MATCH($A237,'Match Log'!$A$4:$A$1510,0)),"")</f>
        <v>2</v>
      </c>
      <c r="F237">
        <f>IFERROR(SUMIFS('Match Log'!$I$4:$I$1510,'Match Log'!$A$4:$A$1510,$A237,'Match Log'!$E$4:$E$1510,"Win"),"")</f>
        <v>0.5</v>
      </c>
      <c r="G237">
        <f t="shared" si="26"/>
        <v>0</v>
      </c>
      <c r="H237" t="str">
        <f t="array" ref="H237">IFERROR(IF(COUNTIFS('Match Log'!$A$4:$A$1510,$A237,'Match Log'!$E$4:$E$1510,"Win")&gt;1,_xlfn.TEXTJOIN(" + ",TRUE(),IF(('Match Log'!$A$4:$A$1510=$A237)*('Match Log'!$E$4:$E$1510="Loss"),'Match Log'!$D$4:$D$1510,"")),IF($E237=2,LOOKUP(2,1/(('Match Log'!$A$4:$A$1510=$A237)*('Match Log'!$E$4:$E$1510="Loss")),'Match Log'!$D$4:$D$1510),"the field")),"")</f>
        <v>Daniel (Ferret)</v>
      </c>
      <c r="I237">
        <f t="shared" si="27"/>
        <v>-2.13E-4</v>
      </c>
      <c r="J237">
        <v>213</v>
      </c>
      <c r="K237">
        <f>IF($J237&gt;MAX('Match Log'!$A$4:$A$1510),NA(),IFERROR(LOOKUP(2,1/(('Match Log'!$D$4:$D$1510=$K$24)*('Match Log'!$A$4:$A$1510&lt;=$J237)),'Match Log'!$N$4:$N$1510),NA()))</f>
        <v>1009.8261046694705</v>
      </c>
      <c r="L237">
        <f>IF($J237&gt;MAX('Match Log'!$A$4:$A$1510),NA(),IFERROR(LOOKUP(2,1/(('Match Log'!$D$4:$D$1510=$L$24)*('Match Log'!$A$4:$A$1510&lt;=$J237)),'Match Log'!$N$4:$N$1510),NA()))</f>
        <v>1029.5175965335138</v>
      </c>
      <c r="M237">
        <f>IF($J237&gt;MAX('Match Log'!$A$4:$A$1510),NA(),IFERROR(LOOKUP(2,1/(('Match Log'!$D$4:$D$1510=$M$24)*('Match Log'!$A$4:$A$1510&lt;=$J237)),'Match Log'!$N$4:$N$1510),NA()))</f>
        <v>1037.8197114720938</v>
      </c>
      <c r="N237">
        <f>IF($J237&gt;MAX('Match Log'!$A$4:$A$1510),NA(),IFERROR(LOOKUP(2,1/(('Match Log'!$D$4:$D$1510=$N$24)*('Match Log'!$A$4:$A$1510&lt;=$J237)),'Match Log'!$N$4:$N$1510),NA()))</f>
        <v>973.19705892757202</v>
      </c>
      <c r="O237">
        <f>IF($J237&gt;MAX('Match Log'!$A$4:$A$1510),NA(),IFERROR(LOOKUP(2,1/(('Match Log'!$D$4:$D$1510=$O$24)*('Match Log'!$A$4:$A$1510&lt;=$J237)),'Match Log'!$N$4:$N$1510),NA()))</f>
        <v>1150.6996497060745</v>
      </c>
      <c r="P237">
        <f>IF($J237&gt;MAX('Match Log'!$A$4:$A$1510),NA(),IFERROR(LOOKUP(2,1/(('Match Log'!$D$4:$D$1510=$P$24)*('Match Log'!$A$4:$A$1510&lt;=$J237)),'Match Log'!$N$4:$N$1510),NA()))</f>
        <v>1128.14195520974</v>
      </c>
      <c r="Q237">
        <f>IF($J237&gt;MAX('Match Log'!$A$4:$A$1510),NA(),IFERROR(LOOKUP(2,1/(('Match Log'!$D$4:$D$1510=$Q$24)*('Match Log'!$A$4:$A$1510&lt;=$J237)),'Match Log'!$N$4:$N$1510),NA()))</f>
        <v>1050.2393073123574</v>
      </c>
      <c r="R237">
        <f>IF($J237&gt;MAX('Match Log'!$A$4:$A$1510),NA(),IFERROR(LOOKUP(2,1/(('Match Log'!$D$4:$D$1510=$R$24)*('Match Log'!$A$4:$A$1510&lt;=$J237)),'Match Log'!$N$4:$N$1510),NA()))</f>
        <v>1138.5279677363278</v>
      </c>
      <c r="S237">
        <f>IF($J237&gt;MAX('Match Log'!$A$4:$A$1510),NA(),IFERROR(LOOKUP(2,1/(('Match Log'!$D$4:$D$1510=$S$24)*('Match Log'!$A$4:$A$1510&lt;=$J237)),'Match Log'!$N$4:$N$1510),NA()))</f>
        <v>1241.7029363250533</v>
      </c>
      <c r="T237">
        <f>IF($J237&gt;MAX('Match Log'!$A$4:$A$1510),NA(),IFERROR(LOOKUP(2,1/(('Match Log'!$D$4:$D$1510=$T$24)*('Match Log'!$A$4:$A$1510&lt;=$J237)),'Match Log'!$N$4:$N$1510),NA()))</f>
        <v>862.22294373677494</v>
      </c>
      <c r="U237">
        <f>IF($J237&gt;MAX('Match Log'!$A$4:$A$1510),NA(),IFERROR(LOOKUP(2,1/(('Match Log'!$D$4:$D$1510=$U$24)*('Match Log'!$A$4:$A$1510&lt;=$J237)),'Match Log'!$N$4:$N$1510),NA()))</f>
        <v>1054.3366131438215</v>
      </c>
      <c r="V237">
        <f>IF($J237&gt;MAX('Match Log'!$A$4:$A$1510),NA(),IFERROR(LOOKUP(2,1/(('Match Log'!$D$4:$D$1510=$V$24)*('Match Log'!$A$4:$A$1510&lt;=$J237)),'Match Log'!$N$4:$N$1510),NA()))</f>
        <v>1087.5488947064855</v>
      </c>
      <c r="W237">
        <f>IF($J237&gt;MAX('Match Log'!$A$4:$A$1510),NA(),IFERROR(LOOKUP(2,1/(('Match Log'!$D$4:$D$1510=$W$24)*('Match Log'!$A$4:$A$1510&lt;=$J237)),'Match Log'!$N$4:$N$1510),NA()))</f>
        <v>1023.2192605207141</v>
      </c>
      <c r="X237" t="e">
        <f>IF($J237&gt;MAX('Match Log'!$A$4:$A$1510),NA(),IFERROR(LOOKUP(2,1/(('Match Log'!$D$4:$D$1510=$X$24)*('Match Log'!$A$4:$A$1510&lt;=$J237)),'Match Log'!$N$4:$N$1510),NA()))</f>
        <v>#N/A</v>
      </c>
      <c r="Y237" t="str">
        <f t="shared" ca="1" si="28"/>
        <v/>
      </c>
    </row>
    <row r="238" spans="1:25" x14ac:dyDescent="0.2">
      <c r="A238">
        <v>214</v>
      </c>
      <c r="B238">
        <f>IFERROR(INDEX('Match Log'!$B$4:$B$1510,MATCH($A238,'Match Log'!$A$4:$A$1510,0)),"")</f>
        <v>46253</v>
      </c>
      <c r="C238" t="str">
        <f>IFERROR(INDEX('Match Log'!$C$4:$C$1510,MATCH($A238,'Match Log'!$A$4:$A$1510,0)),"")</f>
        <v>Air Hockey</v>
      </c>
      <c r="D238" t="str">
        <f t="array" ref="D238">IFERROR(_xlfn.TEXTJOIN(" + ",TRUE(),IF(('Match Log'!$A$4:$A$1510=$A238)*('Match Log'!$E$4:$E$1510="Win"),'Match Log'!$D$4:$D$1510,"")),IFERROR(LOOKUP(2,1/(('Match Log'!$A$4:$A$1510=$A238)*('Match Log'!$E$4:$E$1510="Win")),'Match Log'!$D$4:$D$1510),""))</f>
        <v>Daniel (Ferret)</v>
      </c>
      <c r="E238">
        <f>IFERROR(INDEX('Match Log'!$F$4:$F$1510,MATCH($A238,'Match Log'!$A$4:$A$1510,0)),"")</f>
        <v>2</v>
      </c>
      <c r="F238">
        <f>IFERROR(SUMIFS('Match Log'!$I$4:$I$1510,'Match Log'!$A$4:$A$1510,$A238,'Match Log'!$E$4:$E$1510,"Win"),"")</f>
        <v>0.33333333333333331</v>
      </c>
      <c r="G238">
        <f t="shared" si="26"/>
        <v>0.33333333333333337</v>
      </c>
      <c r="H238" t="str">
        <f t="array" ref="H238">IFERROR(IF(COUNTIFS('Match Log'!$A$4:$A$1510,$A238,'Match Log'!$E$4:$E$1510,"Win")&gt;1,_xlfn.TEXTJOIN(" + ",TRUE(),IF(('Match Log'!$A$4:$A$1510=$A238)*('Match Log'!$E$4:$E$1510="Loss"),'Match Log'!$D$4:$D$1510,"")),IF($E238=2,LOOKUP(2,1/(('Match Log'!$A$4:$A$1510=$A238)*('Match Log'!$E$4:$E$1510="Loss")),'Match Log'!$D$4:$D$1510),"the field")),"")</f>
        <v>Josh</v>
      </c>
      <c r="I238">
        <f t="shared" si="27"/>
        <v>0.33311933333333338</v>
      </c>
      <c r="J238">
        <v>214</v>
      </c>
      <c r="K238">
        <f>IF($J238&gt;MAX('Match Log'!$A$4:$A$1510),NA(),IFERROR(LOOKUP(2,1/(('Match Log'!$D$4:$D$1510=$K$24)*('Match Log'!$A$4:$A$1510&lt;=$J238)),'Match Log'!$N$4:$N$1510),NA()))</f>
        <v>1009.8261046694705</v>
      </c>
      <c r="L238">
        <f>IF($J238&gt;MAX('Match Log'!$A$4:$A$1510),NA(),IFERROR(LOOKUP(2,1/(('Match Log'!$D$4:$D$1510=$L$24)*('Match Log'!$A$4:$A$1510&lt;=$J238)),'Match Log'!$N$4:$N$1510),NA()))</f>
        <v>1029.5175965335138</v>
      </c>
      <c r="M238">
        <f>IF($J238&gt;MAX('Match Log'!$A$4:$A$1510),NA(),IFERROR(LOOKUP(2,1/(('Match Log'!$D$4:$D$1510=$M$24)*('Match Log'!$A$4:$A$1510&lt;=$J238)),'Match Log'!$N$4:$N$1510),NA()))</f>
        <v>1037.8197114720938</v>
      </c>
      <c r="N238">
        <f>IF($J238&gt;MAX('Match Log'!$A$4:$A$1510),NA(),IFERROR(LOOKUP(2,1/(('Match Log'!$D$4:$D$1510=$N$24)*('Match Log'!$A$4:$A$1510&lt;=$J238)),'Match Log'!$N$4:$N$1510),NA()))</f>
        <v>973.19705892757202</v>
      </c>
      <c r="O238">
        <f>IF($J238&gt;MAX('Match Log'!$A$4:$A$1510),NA(),IFERROR(LOOKUP(2,1/(('Match Log'!$D$4:$D$1510=$O$24)*('Match Log'!$A$4:$A$1510&lt;=$J238)),'Match Log'!$N$4:$N$1510),NA()))</f>
        <v>1125.9874060938848</v>
      </c>
      <c r="P238">
        <f>IF($J238&gt;MAX('Match Log'!$A$4:$A$1510),NA(),IFERROR(LOOKUP(2,1/(('Match Log'!$D$4:$D$1510=$P$24)*('Match Log'!$A$4:$A$1510&lt;=$J238)),'Match Log'!$N$4:$N$1510),NA()))</f>
        <v>1128.14195520974</v>
      </c>
      <c r="Q238">
        <f>IF($J238&gt;MAX('Match Log'!$A$4:$A$1510),NA(),IFERROR(LOOKUP(2,1/(('Match Log'!$D$4:$D$1510=$Q$24)*('Match Log'!$A$4:$A$1510&lt;=$J238)),'Match Log'!$N$4:$N$1510),NA()))</f>
        <v>1050.2393073123574</v>
      </c>
      <c r="R238">
        <f>IF($J238&gt;MAX('Match Log'!$A$4:$A$1510),NA(),IFERROR(LOOKUP(2,1/(('Match Log'!$D$4:$D$1510=$R$24)*('Match Log'!$A$4:$A$1510&lt;=$J238)),'Match Log'!$N$4:$N$1510),NA()))</f>
        <v>1163.2402113485175</v>
      </c>
      <c r="S238">
        <f>IF($J238&gt;MAX('Match Log'!$A$4:$A$1510),NA(),IFERROR(LOOKUP(2,1/(('Match Log'!$D$4:$D$1510=$S$24)*('Match Log'!$A$4:$A$1510&lt;=$J238)),'Match Log'!$N$4:$N$1510),NA()))</f>
        <v>1241.7029363250533</v>
      </c>
      <c r="T238">
        <f>IF($J238&gt;MAX('Match Log'!$A$4:$A$1510),NA(),IFERROR(LOOKUP(2,1/(('Match Log'!$D$4:$D$1510=$T$24)*('Match Log'!$A$4:$A$1510&lt;=$J238)),'Match Log'!$N$4:$N$1510),NA()))</f>
        <v>862.22294373677494</v>
      </c>
      <c r="U238">
        <f>IF($J238&gt;MAX('Match Log'!$A$4:$A$1510),NA(),IFERROR(LOOKUP(2,1/(('Match Log'!$D$4:$D$1510=$U$24)*('Match Log'!$A$4:$A$1510&lt;=$J238)),'Match Log'!$N$4:$N$1510),NA()))</f>
        <v>1054.3366131438215</v>
      </c>
      <c r="V238">
        <f>IF($J238&gt;MAX('Match Log'!$A$4:$A$1510),NA(),IFERROR(LOOKUP(2,1/(('Match Log'!$D$4:$D$1510=$V$24)*('Match Log'!$A$4:$A$1510&lt;=$J238)),'Match Log'!$N$4:$N$1510),NA()))</f>
        <v>1087.5488947064855</v>
      </c>
      <c r="W238">
        <f>IF($J238&gt;MAX('Match Log'!$A$4:$A$1510),NA(),IFERROR(LOOKUP(2,1/(('Match Log'!$D$4:$D$1510=$W$24)*('Match Log'!$A$4:$A$1510&lt;=$J238)),'Match Log'!$N$4:$N$1510),NA()))</f>
        <v>1023.2192605207141</v>
      </c>
      <c r="X238" t="e">
        <f>IF($J238&gt;MAX('Match Log'!$A$4:$A$1510),NA(),IFERROR(LOOKUP(2,1/(('Match Log'!$D$4:$D$1510=$X$24)*('Match Log'!$A$4:$A$1510&lt;=$J238)),'Match Log'!$N$4:$N$1510),NA()))</f>
        <v>#N/A</v>
      </c>
      <c r="Y238" t="str">
        <f t="shared" ca="1" si="28"/>
        <v/>
      </c>
    </row>
    <row r="239" spans="1:25" x14ac:dyDescent="0.2">
      <c r="A239">
        <v>215</v>
      </c>
      <c r="B239">
        <f>IFERROR(INDEX('Match Log'!$B$4:$B$1510,MATCH($A239,'Match Log'!$A$4:$A$1510,0)),"")</f>
        <v>46253</v>
      </c>
      <c r="C239" t="str">
        <f>IFERROR(INDEX('Match Log'!$C$4:$C$1510,MATCH($A239,'Match Log'!$A$4:$A$1510,0)),"")</f>
        <v>Air Hockey</v>
      </c>
      <c r="D239" t="str">
        <f t="array" ref="D239">IFERROR(_xlfn.TEXTJOIN(" + ",TRUE(),IF(('Match Log'!$A$4:$A$1510=$A239)*('Match Log'!$E$4:$E$1510="Win"),'Match Log'!$D$4:$D$1510,"")),IFERROR(LOOKUP(2,1/(('Match Log'!$A$4:$A$1510=$A239)*('Match Log'!$E$4:$E$1510="Win")),'Match Log'!$D$4:$D$1510),""))</f>
        <v>Josh</v>
      </c>
      <c r="E239">
        <f>IFERROR(INDEX('Match Log'!$F$4:$F$1510,MATCH($A239,'Match Log'!$A$4:$A$1510,0)),"")</f>
        <v>2</v>
      </c>
      <c r="F239">
        <f>IFERROR(SUMIFS('Match Log'!$I$4:$I$1510,'Match Log'!$A$4:$A$1510,$A239,'Match Log'!$E$4:$E$1510,"Win"),"")</f>
        <v>0.5</v>
      </c>
      <c r="G239">
        <f t="shared" si="26"/>
        <v>0</v>
      </c>
      <c r="H239" t="str">
        <f t="array" ref="H239">IFERROR(IF(COUNTIFS('Match Log'!$A$4:$A$1510,$A239,'Match Log'!$E$4:$E$1510,"Win")&gt;1,_xlfn.TEXTJOIN(" + ",TRUE(),IF(('Match Log'!$A$4:$A$1510=$A239)*('Match Log'!$E$4:$E$1510="Loss"),'Match Log'!$D$4:$D$1510,"")),IF($E239=2,LOOKUP(2,1/(('Match Log'!$A$4:$A$1510=$A239)*('Match Log'!$E$4:$E$1510="Loss")),'Match Log'!$D$4:$D$1510),"the field")),"")</f>
        <v>Daniel (Ferret)</v>
      </c>
      <c r="I239">
        <f t="shared" si="27"/>
        <v>-2.1499999999999999E-4</v>
      </c>
      <c r="J239">
        <v>215</v>
      </c>
      <c r="K239">
        <f>IF($J239&gt;MAX('Match Log'!$A$4:$A$1510),NA(),IFERROR(LOOKUP(2,1/(('Match Log'!$D$4:$D$1510=$K$24)*('Match Log'!$A$4:$A$1510&lt;=$J239)),'Match Log'!$N$4:$N$1510),NA()))</f>
        <v>1009.8261046694705</v>
      </c>
      <c r="L239">
        <f>IF($J239&gt;MAX('Match Log'!$A$4:$A$1510),NA(),IFERROR(LOOKUP(2,1/(('Match Log'!$D$4:$D$1510=$L$24)*('Match Log'!$A$4:$A$1510&lt;=$J239)),'Match Log'!$N$4:$N$1510),NA()))</f>
        <v>1029.5175965335138</v>
      </c>
      <c r="M239">
        <f>IF($J239&gt;MAX('Match Log'!$A$4:$A$1510),NA(),IFERROR(LOOKUP(2,1/(('Match Log'!$D$4:$D$1510=$M$24)*('Match Log'!$A$4:$A$1510&lt;=$J239)),'Match Log'!$N$4:$N$1510),NA()))</f>
        <v>1037.8197114720938</v>
      </c>
      <c r="N239">
        <f>IF($J239&gt;MAX('Match Log'!$A$4:$A$1510),NA(),IFERROR(LOOKUP(2,1/(('Match Log'!$D$4:$D$1510=$N$24)*('Match Log'!$A$4:$A$1510&lt;=$J239)),'Match Log'!$N$4:$N$1510),NA()))</f>
        <v>973.19705892757202</v>
      </c>
      <c r="O239">
        <f>IF($J239&gt;MAX('Match Log'!$A$4:$A$1510),NA(),IFERROR(LOOKUP(2,1/(('Match Log'!$D$4:$D$1510=$O$24)*('Match Log'!$A$4:$A$1510&lt;=$J239)),'Match Log'!$N$4:$N$1510),NA()))</f>
        <v>1149.2488494838333</v>
      </c>
      <c r="P239">
        <f>IF($J239&gt;MAX('Match Log'!$A$4:$A$1510),NA(),IFERROR(LOOKUP(2,1/(('Match Log'!$D$4:$D$1510=$P$24)*('Match Log'!$A$4:$A$1510&lt;=$J239)),'Match Log'!$N$4:$N$1510),NA()))</f>
        <v>1128.14195520974</v>
      </c>
      <c r="Q239">
        <f>IF($J239&gt;MAX('Match Log'!$A$4:$A$1510),NA(),IFERROR(LOOKUP(2,1/(('Match Log'!$D$4:$D$1510=$Q$24)*('Match Log'!$A$4:$A$1510&lt;=$J239)),'Match Log'!$N$4:$N$1510),NA()))</f>
        <v>1050.2393073123574</v>
      </c>
      <c r="R239">
        <f>IF($J239&gt;MAX('Match Log'!$A$4:$A$1510),NA(),IFERROR(LOOKUP(2,1/(('Match Log'!$D$4:$D$1510=$R$24)*('Match Log'!$A$4:$A$1510&lt;=$J239)),'Match Log'!$N$4:$N$1510),NA()))</f>
        <v>1139.9787679585691</v>
      </c>
      <c r="S239">
        <f>IF($J239&gt;MAX('Match Log'!$A$4:$A$1510),NA(),IFERROR(LOOKUP(2,1/(('Match Log'!$D$4:$D$1510=$S$24)*('Match Log'!$A$4:$A$1510&lt;=$J239)),'Match Log'!$N$4:$N$1510),NA()))</f>
        <v>1241.7029363250533</v>
      </c>
      <c r="T239">
        <f>IF($J239&gt;MAX('Match Log'!$A$4:$A$1510),NA(),IFERROR(LOOKUP(2,1/(('Match Log'!$D$4:$D$1510=$T$24)*('Match Log'!$A$4:$A$1510&lt;=$J239)),'Match Log'!$N$4:$N$1510),NA()))</f>
        <v>862.22294373677494</v>
      </c>
      <c r="U239">
        <f>IF($J239&gt;MAX('Match Log'!$A$4:$A$1510),NA(),IFERROR(LOOKUP(2,1/(('Match Log'!$D$4:$D$1510=$U$24)*('Match Log'!$A$4:$A$1510&lt;=$J239)),'Match Log'!$N$4:$N$1510),NA()))</f>
        <v>1054.3366131438215</v>
      </c>
      <c r="V239">
        <f>IF($J239&gt;MAX('Match Log'!$A$4:$A$1510),NA(),IFERROR(LOOKUP(2,1/(('Match Log'!$D$4:$D$1510=$V$24)*('Match Log'!$A$4:$A$1510&lt;=$J239)),'Match Log'!$N$4:$N$1510),NA()))</f>
        <v>1087.5488947064855</v>
      </c>
      <c r="W239">
        <f>IF($J239&gt;MAX('Match Log'!$A$4:$A$1510),NA(),IFERROR(LOOKUP(2,1/(('Match Log'!$D$4:$D$1510=$W$24)*('Match Log'!$A$4:$A$1510&lt;=$J239)),'Match Log'!$N$4:$N$1510),NA()))</f>
        <v>1023.2192605207141</v>
      </c>
      <c r="X239" t="e">
        <f>IF($J239&gt;MAX('Match Log'!$A$4:$A$1510),NA(),IFERROR(LOOKUP(2,1/(('Match Log'!$D$4:$D$1510=$X$24)*('Match Log'!$A$4:$A$1510&lt;=$J239)),'Match Log'!$N$4:$N$1510),NA()))</f>
        <v>#N/A</v>
      </c>
      <c r="Y239" t="str">
        <f t="shared" ca="1" si="28"/>
        <v/>
      </c>
    </row>
    <row r="240" spans="1:25" x14ac:dyDescent="0.2">
      <c r="A240">
        <v>216</v>
      </c>
      <c r="B240">
        <f>IFERROR(INDEX('Match Log'!$B$4:$B$1510,MATCH($A240,'Match Log'!$A$4:$A$1510,0)),"")</f>
        <v>46253</v>
      </c>
      <c r="C240" t="str">
        <f>IFERROR(INDEX('Match Log'!$C$4:$C$1510,MATCH($A240,'Match Log'!$A$4:$A$1510,0)),"")</f>
        <v>Cards</v>
      </c>
      <c r="D240" t="str">
        <f t="array" ref="D240">IFERROR(_xlfn.TEXTJOIN(" + ",TRUE(),IF(('Match Log'!$A$4:$A$1510=$A240)*('Match Log'!$E$4:$E$1510="Win"),'Match Log'!$D$4:$D$1510,"")),IFERROR(LOOKUP(2,1/(('Match Log'!$A$4:$A$1510=$A240)*('Match Log'!$E$4:$E$1510="Win")),'Match Log'!$D$4:$D$1510),""))</f>
        <v>Josh</v>
      </c>
      <c r="E240">
        <f>IFERROR(INDEX('Match Log'!$F$4:$F$1510,MATCH($A240,'Match Log'!$A$4:$A$1510,0)),"")</f>
        <v>2</v>
      </c>
      <c r="F240">
        <f>IFERROR(SUMIFS('Match Log'!$I$4:$I$1510,'Match Log'!$A$4:$A$1510,$A240,'Match Log'!$E$4:$E$1510,"Win"),"")</f>
        <v>0.55555555555555558</v>
      </c>
      <c r="G240">
        <f t="shared" si="26"/>
        <v>-0.11111111111111116</v>
      </c>
      <c r="H240" t="str">
        <f t="array" ref="H240">IFERROR(IF(COUNTIFS('Match Log'!$A$4:$A$1510,$A240,'Match Log'!$E$4:$E$1510,"Win")&gt;1,_xlfn.TEXTJOIN(" + ",TRUE(),IF(('Match Log'!$A$4:$A$1510=$A240)*('Match Log'!$E$4:$E$1510="Loss"),'Match Log'!$D$4:$D$1510,"")),IF($E240=2,LOOKUP(2,1/(('Match Log'!$A$4:$A$1510=$A240)*('Match Log'!$E$4:$E$1510="Loss")),'Match Log'!$D$4:$D$1510),"the field")),"")</f>
        <v>Daniel (Ferret)</v>
      </c>
      <c r="I240">
        <f t="shared" si="27"/>
        <v>-0.11132711111111115</v>
      </c>
      <c r="J240">
        <v>216</v>
      </c>
      <c r="K240">
        <f>IF($J240&gt;MAX('Match Log'!$A$4:$A$1510),NA(),IFERROR(LOOKUP(2,1/(('Match Log'!$D$4:$D$1510=$K$24)*('Match Log'!$A$4:$A$1510&lt;=$J240)),'Match Log'!$N$4:$N$1510),NA()))</f>
        <v>1009.8261046694705</v>
      </c>
      <c r="L240">
        <f>IF($J240&gt;MAX('Match Log'!$A$4:$A$1510),NA(),IFERROR(LOOKUP(2,1/(('Match Log'!$D$4:$D$1510=$L$24)*('Match Log'!$A$4:$A$1510&lt;=$J240)),'Match Log'!$N$4:$N$1510),NA()))</f>
        <v>1029.5175965335138</v>
      </c>
      <c r="M240">
        <f>IF($J240&gt;MAX('Match Log'!$A$4:$A$1510),NA(),IFERROR(LOOKUP(2,1/(('Match Log'!$D$4:$D$1510=$M$24)*('Match Log'!$A$4:$A$1510&lt;=$J240)),'Match Log'!$N$4:$N$1510),NA()))</f>
        <v>1037.8197114720938</v>
      </c>
      <c r="N240">
        <f>IF($J240&gt;MAX('Match Log'!$A$4:$A$1510),NA(),IFERROR(LOOKUP(2,1/(('Match Log'!$D$4:$D$1510=$N$24)*('Match Log'!$A$4:$A$1510&lt;=$J240)),'Match Log'!$N$4:$N$1510),NA()))</f>
        <v>973.19705892757202</v>
      </c>
      <c r="O240">
        <f>IF($J240&gt;MAX('Match Log'!$A$4:$A$1510),NA(),IFERROR(LOOKUP(2,1/(('Match Log'!$D$4:$D$1510=$O$24)*('Match Log'!$A$4:$A$1510&lt;=$J240)),'Match Log'!$N$4:$N$1510),NA()))</f>
        <v>1167.7763272901359</v>
      </c>
      <c r="P240">
        <f>IF($J240&gt;MAX('Match Log'!$A$4:$A$1510),NA(),IFERROR(LOOKUP(2,1/(('Match Log'!$D$4:$D$1510=$P$24)*('Match Log'!$A$4:$A$1510&lt;=$J240)),'Match Log'!$N$4:$N$1510),NA()))</f>
        <v>1128.14195520974</v>
      </c>
      <c r="Q240">
        <f>IF($J240&gt;MAX('Match Log'!$A$4:$A$1510),NA(),IFERROR(LOOKUP(2,1/(('Match Log'!$D$4:$D$1510=$Q$24)*('Match Log'!$A$4:$A$1510&lt;=$J240)),'Match Log'!$N$4:$N$1510),NA()))</f>
        <v>1050.2393073123574</v>
      </c>
      <c r="R240">
        <f>IF($J240&gt;MAX('Match Log'!$A$4:$A$1510),NA(),IFERROR(LOOKUP(2,1/(('Match Log'!$D$4:$D$1510=$R$24)*('Match Log'!$A$4:$A$1510&lt;=$J240)),'Match Log'!$N$4:$N$1510),NA()))</f>
        <v>1121.4512901522664</v>
      </c>
      <c r="S240">
        <f>IF($J240&gt;MAX('Match Log'!$A$4:$A$1510),NA(),IFERROR(LOOKUP(2,1/(('Match Log'!$D$4:$D$1510=$S$24)*('Match Log'!$A$4:$A$1510&lt;=$J240)),'Match Log'!$N$4:$N$1510),NA()))</f>
        <v>1241.7029363250533</v>
      </c>
      <c r="T240">
        <f>IF($J240&gt;MAX('Match Log'!$A$4:$A$1510),NA(),IFERROR(LOOKUP(2,1/(('Match Log'!$D$4:$D$1510=$T$24)*('Match Log'!$A$4:$A$1510&lt;=$J240)),'Match Log'!$N$4:$N$1510),NA()))</f>
        <v>862.22294373677494</v>
      </c>
      <c r="U240">
        <f>IF($J240&gt;MAX('Match Log'!$A$4:$A$1510),NA(),IFERROR(LOOKUP(2,1/(('Match Log'!$D$4:$D$1510=$U$24)*('Match Log'!$A$4:$A$1510&lt;=$J240)),'Match Log'!$N$4:$N$1510),NA()))</f>
        <v>1054.3366131438215</v>
      </c>
      <c r="V240">
        <f>IF($J240&gt;MAX('Match Log'!$A$4:$A$1510),NA(),IFERROR(LOOKUP(2,1/(('Match Log'!$D$4:$D$1510=$V$24)*('Match Log'!$A$4:$A$1510&lt;=$J240)),'Match Log'!$N$4:$N$1510),NA()))</f>
        <v>1087.5488947064855</v>
      </c>
      <c r="W240">
        <f>IF($J240&gt;MAX('Match Log'!$A$4:$A$1510),NA(),IFERROR(LOOKUP(2,1/(('Match Log'!$D$4:$D$1510=$W$24)*('Match Log'!$A$4:$A$1510&lt;=$J240)),'Match Log'!$N$4:$N$1510),NA()))</f>
        <v>1023.2192605207141</v>
      </c>
      <c r="X240" t="e">
        <f>IF($J240&gt;MAX('Match Log'!$A$4:$A$1510),NA(),IFERROR(LOOKUP(2,1/(('Match Log'!$D$4:$D$1510=$X$24)*('Match Log'!$A$4:$A$1510&lt;=$J240)),'Match Log'!$N$4:$N$1510),NA()))</f>
        <v>#N/A</v>
      </c>
      <c r="Y240" t="str">
        <f t="shared" ca="1" si="28"/>
        <v/>
      </c>
    </row>
    <row r="241" spans="1:25" x14ac:dyDescent="0.2">
      <c r="A241">
        <v>217</v>
      </c>
      <c r="B241">
        <f>IFERROR(INDEX('Match Log'!$B$4:$B$1510,MATCH($A241,'Match Log'!$A$4:$A$1510,0)),"")</f>
        <v>46253</v>
      </c>
      <c r="C241" t="str">
        <f>IFERROR(INDEX('Match Log'!$C$4:$C$1510,MATCH($A241,'Match Log'!$A$4:$A$1510,0)),"")</f>
        <v>Cards</v>
      </c>
      <c r="D241" t="str">
        <f t="array" ref="D241">IFERROR(_xlfn.TEXTJOIN(" + ",TRUE(),IF(('Match Log'!$A$4:$A$1510=$A241)*('Match Log'!$E$4:$E$1510="Win"),'Match Log'!$D$4:$D$1510,"")),IFERROR(LOOKUP(2,1/(('Match Log'!$A$4:$A$1510=$A241)*('Match Log'!$E$4:$E$1510="Win")),'Match Log'!$D$4:$D$1510),""))</f>
        <v>Daniel (Ferret)</v>
      </c>
      <c r="E241">
        <f>IFERROR(INDEX('Match Log'!$F$4:$F$1510,MATCH($A241,'Match Log'!$A$4:$A$1510,0)),"")</f>
        <v>2</v>
      </c>
      <c r="F241">
        <f>IFERROR(SUMIFS('Match Log'!$I$4:$I$1510,'Match Log'!$A$4:$A$1510,$A241,'Match Log'!$E$4:$E$1510,"Win"),"")</f>
        <v>0.33333333333333331</v>
      </c>
      <c r="G241">
        <f t="shared" si="26"/>
        <v>0.33333333333333337</v>
      </c>
      <c r="H241" t="str">
        <f t="array" ref="H241">IFERROR(IF(COUNTIFS('Match Log'!$A$4:$A$1510,$A241,'Match Log'!$E$4:$E$1510,"Win")&gt;1,_xlfn.TEXTJOIN(" + ",TRUE(),IF(('Match Log'!$A$4:$A$1510=$A241)*('Match Log'!$E$4:$E$1510="Loss"),'Match Log'!$D$4:$D$1510,"")),IF($E241=2,LOOKUP(2,1/(('Match Log'!$A$4:$A$1510=$A241)*('Match Log'!$E$4:$E$1510="Loss")),'Match Log'!$D$4:$D$1510),"the field")),"")</f>
        <v>Josh</v>
      </c>
      <c r="I241">
        <f t="shared" si="27"/>
        <v>0.33311633333333335</v>
      </c>
      <c r="J241">
        <v>217</v>
      </c>
      <c r="K241">
        <f>IF($J241&gt;MAX('Match Log'!$A$4:$A$1510),NA(),IFERROR(LOOKUP(2,1/(('Match Log'!$D$4:$D$1510=$K$24)*('Match Log'!$A$4:$A$1510&lt;=$J241)),'Match Log'!$N$4:$N$1510),NA()))</f>
        <v>1009.8261046694705</v>
      </c>
      <c r="L241">
        <f>IF($J241&gt;MAX('Match Log'!$A$4:$A$1510),NA(),IFERROR(LOOKUP(2,1/(('Match Log'!$D$4:$D$1510=$L$24)*('Match Log'!$A$4:$A$1510&lt;=$J241)),'Match Log'!$N$4:$N$1510),NA()))</f>
        <v>1029.5175965335138</v>
      </c>
      <c r="M241">
        <f>IF($J241&gt;MAX('Match Log'!$A$4:$A$1510),NA(),IFERROR(LOOKUP(2,1/(('Match Log'!$D$4:$D$1510=$M$24)*('Match Log'!$A$4:$A$1510&lt;=$J241)),'Match Log'!$N$4:$N$1510),NA()))</f>
        <v>1037.8197114720938</v>
      </c>
      <c r="N241">
        <f>IF($J241&gt;MAX('Match Log'!$A$4:$A$1510),NA(),IFERROR(LOOKUP(2,1/(('Match Log'!$D$4:$D$1510=$N$24)*('Match Log'!$A$4:$A$1510&lt;=$J241)),'Match Log'!$N$4:$N$1510),NA()))</f>
        <v>973.19705892757202</v>
      </c>
      <c r="O241">
        <f>IF($J241&gt;MAX('Match Log'!$A$4:$A$1510),NA(),IFERROR(LOOKUP(2,1/(('Match Log'!$D$4:$D$1510=$O$24)*('Match Log'!$A$4:$A$1510&lt;=$J241)),'Match Log'!$N$4:$N$1510),NA()))</f>
        <v>1140.0730632887894</v>
      </c>
      <c r="P241">
        <f>IF($J241&gt;MAX('Match Log'!$A$4:$A$1510),NA(),IFERROR(LOOKUP(2,1/(('Match Log'!$D$4:$D$1510=$P$24)*('Match Log'!$A$4:$A$1510&lt;=$J241)),'Match Log'!$N$4:$N$1510),NA()))</f>
        <v>1128.14195520974</v>
      </c>
      <c r="Q241">
        <f>IF($J241&gt;MAX('Match Log'!$A$4:$A$1510),NA(),IFERROR(LOOKUP(2,1/(('Match Log'!$D$4:$D$1510=$Q$24)*('Match Log'!$A$4:$A$1510&lt;=$J241)),'Match Log'!$N$4:$N$1510),NA()))</f>
        <v>1050.2393073123574</v>
      </c>
      <c r="R241">
        <f>IF($J241&gt;MAX('Match Log'!$A$4:$A$1510),NA(),IFERROR(LOOKUP(2,1/(('Match Log'!$D$4:$D$1510=$R$24)*('Match Log'!$A$4:$A$1510&lt;=$J241)),'Match Log'!$N$4:$N$1510),NA()))</f>
        <v>1149.1545541536129</v>
      </c>
      <c r="S241">
        <f>IF($J241&gt;MAX('Match Log'!$A$4:$A$1510),NA(),IFERROR(LOOKUP(2,1/(('Match Log'!$D$4:$D$1510=$S$24)*('Match Log'!$A$4:$A$1510&lt;=$J241)),'Match Log'!$N$4:$N$1510),NA()))</f>
        <v>1241.7029363250533</v>
      </c>
      <c r="T241">
        <f>IF($J241&gt;MAX('Match Log'!$A$4:$A$1510),NA(),IFERROR(LOOKUP(2,1/(('Match Log'!$D$4:$D$1510=$T$24)*('Match Log'!$A$4:$A$1510&lt;=$J241)),'Match Log'!$N$4:$N$1510),NA()))</f>
        <v>862.22294373677494</v>
      </c>
      <c r="U241">
        <f>IF($J241&gt;MAX('Match Log'!$A$4:$A$1510),NA(),IFERROR(LOOKUP(2,1/(('Match Log'!$D$4:$D$1510=$U$24)*('Match Log'!$A$4:$A$1510&lt;=$J241)),'Match Log'!$N$4:$N$1510),NA()))</f>
        <v>1054.3366131438215</v>
      </c>
      <c r="V241">
        <f>IF($J241&gt;MAX('Match Log'!$A$4:$A$1510),NA(),IFERROR(LOOKUP(2,1/(('Match Log'!$D$4:$D$1510=$V$24)*('Match Log'!$A$4:$A$1510&lt;=$J241)),'Match Log'!$N$4:$N$1510),NA()))</f>
        <v>1087.5488947064855</v>
      </c>
      <c r="W241">
        <f>IF($J241&gt;MAX('Match Log'!$A$4:$A$1510),NA(),IFERROR(LOOKUP(2,1/(('Match Log'!$D$4:$D$1510=$W$24)*('Match Log'!$A$4:$A$1510&lt;=$J241)),'Match Log'!$N$4:$N$1510),NA()))</f>
        <v>1023.2192605207141</v>
      </c>
      <c r="X241" t="e">
        <f>IF($J241&gt;MAX('Match Log'!$A$4:$A$1510),NA(),IFERROR(LOOKUP(2,1/(('Match Log'!$D$4:$D$1510=$X$24)*('Match Log'!$A$4:$A$1510&lt;=$J241)),'Match Log'!$N$4:$N$1510),NA()))</f>
        <v>#N/A</v>
      </c>
      <c r="Y241" t="str">
        <f t="shared" ca="1" si="28"/>
        <v/>
      </c>
    </row>
    <row r="242" spans="1:25" x14ac:dyDescent="0.2">
      <c r="A242">
        <v>218</v>
      </c>
      <c r="B242">
        <f>IFERROR(INDEX('Match Log'!$B$4:$B$1510,MATCH($A242,'Match Log'!$A$4:$A$1510,0)),"")</f>
        <v>46253</v>
      </c>
      <c r="C242" t="str">
        <f>IFERROR(INDEX('Match Log'!$C$4:$C$1510,MATCH($A242,'Match Log'!$A$4:$A$1510,0)),"")</f>
        <v>Cards</v>
      </c>
      <c r="D242" t="str">
        <f t="array" ref="D242">IFERROR(_xlfn.TEXTJOIN(" + ",TRUE(),IF(('Match Log'!$A$4:$A$1510=$A242)*('Match Log'!$E$4:$E$1510="Win"),'Match Log'!$D$4:$D$1510,"")),IFERROR(LOOKUP(2,1/(('Match Log'!$A$4:$A$1510=$A242)*('Match Log'!$E$4:$E$1510="Win")),'Match Log'!$D$4:$D$1510),""))</f>
        <v>Josh</v>
      </c>
      <c r="E242">
        <f>IFERROR(INDEX('Match Log'!$F$4:$F$1510,MATCH($A242,'Match Log'!$A$4:$A$1510,0)),"")</f>
        <v>2</v>
      </c>
      <c r="F242">
        <f>IFERROR(SUMIFS('Match Log'!$I$4:$I$1510,'Match Log'!$A$4:$A$1510,$A242,'Match Log'!$E$4:$E$1510,"Win"),"")</f>
        <v>0.53846153846153844</v>
      </c>
      <c r="G242">
        <f t="shared" si="26"/>
        <v>-7.6923076923076872E-2</v>
      </c>
      <c r="H242" t="str">
        <f t="array" ref="H242">IFERROR(IF(COUNTIFS('Match Log'!$A$4:$A$1510,$A242,'Match Log'!$E$4:$E$1510,"Win")&gt;1,_xlfn.TEXTJOIN(" + ",TRUE(),IF(('Match Log'!$A$4:$A$1510=$A242)*('Match Log'!$E$4:$E$1510="Loss"),'Match Log'!$D$4:$D$1510,"")),IF($E242=2,LOOKUP(2,1/(('Match Log'!$A$4:$A$1510=$A242)*('Match Log'!$E$4:$E$1510="Loss")),'Match Log'!$D$4:$D$1510),"the field")),"")</f>
        <v>Daniel (Ferret)</v>
      </c>
      <c r="I242">
        <f t="shared" si="27"/>
        <v>-7.7141076923076868E-2</v>
      </c>
      <c r="J242">
        <v>218</v>
      </c>
      <c r="K242">
        <f>IF($J242&gt;MAX('Match Log'!$A$4:$A$1510),NA(),IFERROR(LOOKUP(2,1/(('Match Log'!$D$4:$D$1510=$K$24)*('Match Log'!$A$4:$A$1510&lt;=$J242)),'Match Log'!$N$4:$N$1510),NA()))</f>
        <v>1009.8261046694705</v>
      </c>
      <c r="L242">
        <f>IF($J242&gt;MAX('Match Log'!$A$4:$A$1510),NA(),IFERROR(LOOKUP(2,1/(('Match Log'!$D$4:$D$1510=$L$24)*('Match Log'!$A$4:$A$1510&lt;=$J242)),'Match Log'!$N$4:$N$1510),NA()))</f>
        <v>1029.5175965335138</v>
      </c>
      <c r="M242">
        <f>IF($J242&gt;MAX('Match Log'!$A$4:$A$1510),NA(),IFERROR(LOOKUP(2,1/(('Match Log'!$D$4:$D$1510=$M$24)*('Match Log'!$A$4:$A$1510&lt;=$J242)),'Match Log'!$N$4:$N$1510),NA()))</f>
        <v>1037.8197114720938</v>
      </c>
      <c r="N242">
        <f>IF($J242&gt;MAX('Match Log'!$A$4:$A$1510),NA(),IFERROR(LOOKUP(2,1/(('Match Log'!$D$4:$D$1510=$N$24)*('Match Log'!$A$4:$A$1510&lt;=$J242)),'Match Log'!$N$4:$N$1510),NA()))</f>
        <v>973.19705892757202</v>
      </c>
      <c r="O242">
        <f>IF($J242&gt;MAX('Match Log'!$A$4:$A$1510),NA(),IFERROR(LOOKUP(2,1/(('Match Log'!$D$4:$D$1510=$O$24)*('Match Log'!$A$4:$A$1510&lt;=$J242)),'Match Log'!$N$4:$N$1510),NA()))</f>
        <v>1160.5037612585397</v>
      </c>
      <c r="P242">
        <f>IF($J242&gt;MAX('Match Log'!$A$4:$A$1510),NA(),IFERROR(LOOKUP(2,1/(('Match Log'!$D$4:$D$1510=$P$24)*('Match Log'!$A$4:$A$1510&lt;=$J242)),'Match Log'!$N$4:$N$1510),NA()))</f>
        <v>1128.14195520974</v>
      </c>
      <c r="Q242">
        <f>IF($J242&gt;MAX('Match Log'!$A$4:$A$1510),NA(),IFERROR(LOOKUP(2,1/(('Match Log'!$D$4:$D$1510=$Q$24)*('Match Log'!$A$4:$A$1510&lt;=$J242)),'Match Log'!$N$4:$N$1510),NA()))</f>
        <v>1050.2393073123574</v>
      </c>
      <c r="R242">
        <f>IF($J242&gt;MAX('Match Log'!$A$4:$A$1510),NA(),IFERROR(LOOKUP(2,1/(('Match Log'!$D$4:$D$1510=$R$24)*('Match Log'!$A$4:$A$1510&lt;=$J242)),'Match Log'!$N$4:$N$1510),NA()))</f>
        <v>1128.7238561838626</v>
      </c>
      <c r="S242">
        <f>IF($J242&gt;MAX('Match Log'!$A$4:$A$1510),NA(),IFERROR(LOOKUP(2,1/(('Match Log'!$D$4:$D$1510=$S$24)*('Match Log'!$A$4:$A$1510&lt;=$J242)),'Match Log'!$N$4:$N$1510),NA()))</f>
        <v>1241.7029363250533</v>
      </c>
      <c r="T242">
        <f>IF($J242&gt;MAX('Match Log'!$A$4:$A$1510),NA(),IFERROR(LOOKUP(2,1/(('Match Log'!$D$4:$D$1510=$T$24)*('Match Log'!$A$4:$A$1510&lt;=$J242)),'Match Log'!$N$4:$N$1510),NA()))</f>
        <v>862.22294373677494</v>
      </c>
      <c r="U242">
        <f>IF($J242&gt;MAX('Match Log'!$A$4:$A$1510),NA(),IFERROR(LOOKUP(2,1/(('Match Log'!$D$4:$D$1510=$U$24)*('Match Log'!$A$4:$A$1510&lt;=$J242)),'Match Log'!$N$4:$N$1510),NA()))</f>
        <v>1054.3366131438215</v>
      </c>
      <c r="V242">
        <f>IF($J242&gt;MAX('Match Log'!$A$4:$A$1510),NA(),IFERROR(LOOKUP(2,1/(('Match Log'!$D$4:$D$1510=$V$24)*('Match Log'!$A$4:$A$1510&lt;=$J242)),'Match Log'!$N$4:$N$1510),NA()))</f>
        <v>1087.5488947064855</v>
      </c>
      <c r="W242">
        <f>IF($J242&gt;MAX('Match Log'!$A$4:$A$1510),NA(),IFERROR(LOOKUP(2,1/(('Match Log'!$D$4:$D$1510=$W$24)*('Match Log'!$A$4:$A$1510&lt;=$J242)),'Match Log'!$N$4:$N$1510),NA()))</f>
        <v>1023.2192605207141</v>
      </c>
      <c r="X242" t="e">
        <f>IF($J242&gt;MAX('Match Log'!$A$4:$A$1510),NA(),IFERROR(LOOKUP(2,1/(('Match Log'!$D$4:$D$1510=$X$24)*('Match Log'!$A$4:$A$1510&lt;=$J242)),'Match Log'!$N$4:$N$1510),NA()))</f>
        <v>#N/A</v>
      </c>
      <c r="Y242" t="str">
        <f t="shared" ca="1" si="28"/>
        <v/>
      </c>
    </row>
    <row r="243" spans="1:25" x14ac:dyDescent="0.2">
      <c r="A243">
        <v>219</v>
      </c>
      <c r="B243">
        <f>IFERROR(INDEX('Match Log'!$B$4:$B$1510,MATCH($A243,'Match Log'!$A$4:$A$1510,0)),"")</f>
        <v>46253</v>
      </c>
      <c r="C243" t="str">
        <f>IFERROR(INDEX('Match Log'!$C$4:$C$1510,MATCH($A243,'Match Log'!$A$4:$A$1510,0)),"")</f>
        <v>Cards</v>
      </c>
      <c r="D243" t="str">
        <f t="array" ref="D243">IFERROR(_xlfn.TEXTJOIN(" + ",TRUE(),IF(('Match Log'!$A$4:$A$1510=$A243)*('Match Log'!$E$4:$E$1510="Win"),'Match Log'!$D$4:$D$1510,"")),IFERROR(LOOKUP(2,1/(('Match Log'!$A$4:$A$1510=$A243)*('Match Log'!$E$4:$E$1510="Win")),'Match Log'!$D$4:$D$1510),""))</f>
        <v>Daniel (Ferret)</v>
      </c>
      <c r="E243">
        <f>IFERROR(INDEX('Match Log'!$F$4:$F$1510,MATCH($A243,'Match Log'!$A$4:$A$1510,0)),"")</f>
        <v>2</v>
      </c>
      <c r="F243">
        <f>IFERROR(SUMIFS('Match Log'!$I$4:$I$1510,'Match Log'!$A$4:$A$1510,$A243,'Match Log'!$E$4:$E$1510,"Win"),"")</f>
        <v>0.38461538461538464</v>
      </c>
      <c r="G243">
        <f t="shared" si="26"/>
        <v>0.23076923076923073</v>
      </c>
      <c r="H243" t="str">
        <f t="array" ref="H243">IFERROR(IF(COUNTIFS('Match Log'!$A$4:$A$1510,$A243,'Match Log'!$E$4:$E$1510,"Win")&gt;1,_xlfn.TEXTJOIN(" + ",TRUE(),IF(('Match Log'!$A$4:$A$1510=$A243)*('Match Log'!$E$4:$E$1510="Loss"),'Match Log'!$D$4:$D$1510,"")),IF($E243=2,LOOKUP(2,1/(('Match Log'!$A$4:$A$1510=$A243)*('Match Log'!$E$4:$E$1510="Loss")),'Match Log'!$D$4:$D$1510),"the field")),"")</f>
        <v>Josh</v>
      </c>
      <c r="I243">
        <f t="shared" si="27"/>
        <v>0.23055023076923073</v>
      </c>
      <c r="J243">
        <v>219</v>
      </c>
      <c r="K243">
        <f>IF($J243&gt;MAX('Match Log'!$A$4:$A$1510),NA(),IFERROR(LOOKUP(2,1/(('Match Log'!$D$4:$D$1510=$K$24)*('Match Log'!$A$4:$A$1510&lt;=$J243)),'Match Log'!$N$4:$N$1510),NA()))</f>
        <v>1009.8261046694705</v>
      </c>
      <c r="L243">
        <f>IF($J243&gt;MAX('Match Log'!$A$4:$A$1510),NA(),IFERROR(LOOKUP(2,1/(('Match Log'!$D$4:$D$1510=$L$24)*('Match Log'!$A$4:$A$1510&lt;=$J243)),'Match Log'!$N$4:$N$1510),NA()))</f>
        <v>1029.5175965335138</v>
      </c>
      <c r="M243">
        <f>IF($J243&gt;MAX('Match Log'!$A$4:$A$1510),NA(),IFERROR(LOOKUP(2,1/(('Match Log'!$D$4:$D$1510=$M$24)*('Match Log'!$A$4:$A$1510&lt;=$J243)),'Match Log'!$N$4:$N$1510),NA()))</f>
        <v>1037.8197114720938</v>
      </c>
      <c r="N243">
        <f>IF($J243&gt;MAX('Match Log'!$A$4:$A$1510),NA(),IFERROR(LOOKUP(2,1/(('Match Log'!$D$4:$D$1510=$N$24)*('Match Log'!$A$4:$A$1510&lt;=$J243)),'Match Log'!$N$4:$N$1510),NA()))</f>
        <v>973.19705892757202</v>
      </c>
      <c r="O243">
        <f>IF($J243&gt;MAX('Match Log'!$A$4:$A$1510),NA(),IFERROR(LOOKUP(2,1/(('Match Log'!$D$4:$D$1510=$O$24)*('Match Log'!$A$4:$A$1510&lt;=$J243)),'Match Log'!$N$4:$N$1510),NA()))</f>
        <v>1134.6037932358347</v>
      </c>
      <c r="P243">
        <f>IF($J243&gt;MAX('Match Log'!$A$4:$A$1510),NA(),IFERROR(LOOKUP(2,1/(('Match Log'!$D$4:$D$1510=$P$24)*('Match Log'!$A$4:$A$1510&lt;=$J243)),'Match Log'!$N$4:$N$1510),NA()))</f>
        <v>1128.14195520974</v>
      </c>
      <c r="Q243">
        <f>IF($J243&gt;MAX('Match Log'!$A$4:$A$1510),NA(),IFERROR(LOOKUP(2,1/(('Match Log'!$D$4:$D$1510=$Q$24)*('Match Log'!$A$4:$A$1510&lt;=$J243)),'Match Log'!$N$4:$N$1510),NA()))</f>
        <v>1050.2393073123574</v>
      </c>
      <c r="R243">
        <f>IF($J243&gt;MAX('Match Log'!$A$4:$A$1510),NA(),IFERROR(LOOKUP(2,1/(('Match Log'!$D$4:$D$1510=$R$24)*('Match Log'!$A$4:$A$1510&lt;=$J243)),'Match Log'!$N$4:$N$1510),NA()))</f>
        <v>1154.6238242065676</v>
      </c>
      <c r="S243">
        <f>IF($J243&gt;MAX('Match Log'!$A$4:$A$1510),NA(),IFERROR(LOOKUP(2,1/(('Match Log'!$D$4:$D$1510=$S$24)*('Match Log'!$A$4:$A$1510&lt;=$J243)),'Match Log'!$N$4:$N$1510),NA()))</f>
        <v>1241.7029363250533</v>
      </c>
      <c r="T243">
        <f>IF($J243&gt;MAX('Match Log'!$A$4:$A$1510),NA(),IFERROR(LOOKUP(2,1/(('Match Log'!$D$4:$D$1510=$T$24)*('Match Log'!$A$4:$A$1510&lt;=$J243)),'Match Log'!$N$4:$N$1510),NA()))</f>
        <v>862.22294373677494</v>
      </c>
      <c r="U243">
        <f>IF($J243&gt;MAX('Match Log'!$A$4:$A$1510),NA(),IFERROR(LOOKUP(2,1/(('Match Log'!$D$4:$D$1510=$U$24)*('Match Log'!$A$4:$A$1510&lt;=$J243)),'Match Log'!$N$4:$N$1510),NA()))</f>
        <v>1054.3366131438215</v>
      </c>
      <c r="V243">
        <f>IF($J243&gt;MAX('Match Log'!$A$4:$A$1510),NA(),IFERROR(LOOKUP(2,1/(('Match Log'!$D$4:$D$1510=$V$24)*('Match Log'!$A$4:$A$1510&lt;=$J243)),'Match Log'!$N$4:$N$1510),NA()))</f>
        <v>1087.5488947064855</v>
      </c>
      <c r="W243">
        <f>IF($J243&gt;MAX('Match Log'!$A$4:$A$1510),NA(),IFERROR(LOOKUP(2,1/(('Match Log'!$D$4:$D$1510=$W$24)*('Match Log'!$A$4:$A$1510&lt;=$J243)),'Match Log'!$N$4:$N$1510),NA()))</f>
        <v>1023.2192605207141</v>
      </c>
      <c r="X243" t="e">
        <f>IF($J243&gt;MAX('Match Log'!$A$4:$A$1510),NA(),IFERROR(LOOKUP(2,1/(('Match Log'!$D$4:$D$1510=$X$24)*('Match Log'!$A$4:$A$1510&lt;=$J243)),'Match Log'!$N$4:$N$1510),NA()))</f>
        <v>#N/A</v>
      </c>
      <c r="Y243" t="str">
        <f t="shared" ca="1" si="28"/>
        <v/>
      </c>
    </row>
    <row r="244" spans="1:25" x14ac:dyDescent="0.2">
      <c r="A244">
        <v>220</v>
      </c>
      <c r="B244">
        <f>IFERROR(INDEX('Match Log'!$B$4:$B$1510,MATCH($A244,'Match Log'!$A$4:$A$1510,0)),"")</f>
        <v>46253</v>
      </c>
      <c r="C244" t="str">
        <f>IFERROR(INDEX('Match Log'!$C$4:$C$1510,MATCH($A244,'Match Log'!$A$4:$A$1510,0)),"")</f>
        <v>Cards</v>
      </c>
      <c r="D244" t="str">
        <f t="array" ref="D244">IFERROR(_xlfn.TEXTJOIN(" + ",TRUE(),IF(('Match Log'!$A$4:$A$1510=$A244)*('Match Log'!$E$4:$E$1510="Win"),'Match Log'!$D$4:$D$1510,"")),IFERROR(LOOKUP(2,1/(('Match Log'!$A$4:$A$1510=$A244)*('Match Log'!$E$4:$E$1510="Win")),'Match Log'!$D$4:$D$1510),""))</f>
        <v>Josh</v>
      </c>
      <c r="E244">
        <f>IFERROR(INDEX('Match Log'!$F$4:$F$1510,MATCH($A244,'Match Log'!$A$4:$A$1510,0)),"")</f>
        <v>2</v>
      </c>
      <c r="F244">
        <f>IFERROR(SUMIFS('Match Log'!$I$4:$I$1510,'Match Log'!$A$4:$A$1510,$A244,'Match Log'!$E$4:$E$1510,"Win"),"")</f>
        <v>0.52941176470588236</v>
      </c>
      <c r="G244">
        <f t="shared" si="26"/>
        <v>-5.8823529411764719E-2</v>
      </c>
      <c r="H244" t="str">
        <f t="array" ref="H244">IFERROR(IF(COUNTIFS('Match Log'!$A$4:$A$1510,$A244,'Match Log'!$E$4:$E$1510,"Win")&gt;1,_xlfn.TEXTJOIN(" + ",TRUE(),IF(('Match Log'!$A$4:$A$1510=$A244)*('Match Log'!$E$4:$E$1510="Loss"),'Match Log'!$D$4:$D$1510,"")),IF($E244=2,LOOKUP(2,1/(('Match Log'!$A$4:$A$1510=$A244)*('Match Log'!$E$4:$E$1510="Loss")),'Match Log'!$D$4:$D$1510),"the field")),"")</f>
        <v>Daniel (Ferret)</v>
      </c>
      <c r="I244">
        <f t="shared" si="27"/>
        <v>-5.9043529411764717E-2</v>
      </c>
      <c r="J244">
        <v>220</v>
      </c>
      <c r="K244">
        <f>IF($J244&gt;MAX('Match Log'!$A$4:$A$1510),NA(),IFERROR(LOOKUP(2,1/(('Match Log'!$D$4:$D$1510=$K$24)*('Match Log'!$A$4:$A$1510&lt;=$J244)),'Match Log'!$N$4:$N$1510),NA()))</f>
        <v>1009.8261046694705</v>
      </c>
      <c r="L244">
        <f>IF($J244&gt;MAX('Match Log'!$A$4:$A$1510),NA(),IFERROR(LOOKUP(2,1/(('Match Log'!$D$4:$D$1510=$L$24)*('Match Log'!$A$4:$A$1510&lt;=$J244)),'Match Log'!$N$4:$N$1510),NA()))</f>
        <v>1029.5175965335138</v>
      </c>
      <c r="M244">
        <f>IF($J244&gt;MAX('Match Log'!$A$4:$A$1510),NA(),IFERROR(LOOKUP(2,1/(('Match Log'!$D$4:$D$1510=$M$24)*('Match Log'!$A$4:$A$1510&lt;=$J244)),'Match Log'!$N$4:$N$1510),NA()))</f>
        <v>1037.8197114720938</v>
      </c>
      <c r="N244">
        <f>IF($J244&gt;MAX('Match Log'!$A$4:$A$1510),NA(),IFERROR(LOOKUP(2,1/(('Match Log'!$D$4:$D$1510=$N$24)*('Match Log'!$A$4:$A$1510&lt;=$J244)),'Match Log'!$N$4:$N$1510),NA()))</f>
        <v>973.19705892757202</v>
      </c>
      <c r="O244">
        <f>IF($J244&gt;MAX('Match Log'!$A$4:$A$1510),NA(),IFERROR(LOOKUP(2,1/(('Match Log'!$D$4:$D$1510=$O$24)*('Match Log'!$A$4:$A$1510&lt;=$J244)),'Match Log'!$N$4:$N$1510),NA()))</f>
        <v>1155.9112046633588</v>
      </c>
      <c r="P244">
        <f>IF($J244&gt;MAX('Match Log'!$A$4:$A$1510),NA(),IFERROR(LOOKUP(2,1/(('Match Log'!$D$4:$D$1510=$P$24)*('Match Log'!$A$4:$A$1510&lt;=$J244)),'Match Log'!$N$4:$N$1510),NA()))</f>
        <v>1128.14195520974</v>
      </c>
      <c r="Q244">
        <f>IF($J244&gt;MAX('Match Log'!$A$4:$A$1510),NA(),IFERROR(LOOKUP(2,1/(('Match Log'!$D$4:$D$1510=$Q$24)*('Match Log'!$A$4:$A$1510&lt;=$J244)),'Match Log'!$N$4:$N$1510),NA()))</f>
        <v>1050.2393073123574</v>
      </c>
      <c r="R244">
        <f>IF($J244&gt;MAX('Match Log'!$A$4:$A$1510),NA(),IFERROR(LOOKUP(2,1/(('Match Log'!$D$4:$D$1510=$R$24)*('Match Log'!$A$4:$A$1510&lt;=$J244)),'Match Log'!$N$4:$N$1510),NA()))</f>
        <v>1133.3164127790435</v>
      </c>
      <c r="S244">
        <f>IF($J244&gt;MAX('Match Log'!$A$4:$A$1510),NA(),IFERROR(LOOKUP(2,1/(('Match Log'!$D$4:$D$1510=$S$24)*('Match Log'!$A$4:$A$1510&lt;=$J244)),'Match Log'!$N$4:$N$1510),NA()))</f>
        <v>1241.7029363250533</v>
      </c>
      <c r="T244">
        <f>IF($J244&gt;MAX('Match Log'!$A$4:$A$1510),NA(),IFERROR(LOOKUP(2,1/(('Match Log'!$D$4:$D$1510=$T$24)*('Match Log'!$A$4:$A$1510&lt;=$J244)),'Match Log'!$N$4:$N$1510),NA()))</f>
        <v>862.22294373677494</v>
      </c>
      <c r="U244">
        <f>IF($J244&gt;MAX('Match Log'!$A$4:$A$1510),NA(),IFERROR(LOOKUP(2,1/(('Match Log'!$D$4:$D$1510=$U$24)*('Match Log'!$A$4:$A$1510&lt;=$J244)),'Match Log'!$N$4:$N$1510),NA()))</f>
        <v>1054.3366131438215</v>
      </c>
      <c r="V244">
        <f>IF($J244&gt;MAX('Match Log'!$A$4:$A$1510),NA(),IFERROR(LOOKUP(2,1/(('Match Log'!$D$4:$D$1510=$V$24)*('Match Log'!$A$4:$A$1510&lt;=$J244)),'Match Log'!$N$4:$N$1510),NA()))</f>
        <v>1087.5488947064855</v>
      </c>
      <c r="W244">
        <f>IF($J244&gt;MAX('Match Log'!$A$4:$A$1510),NA(),IFERROR(LOOKUP(2,1/(('Match Log'!$D$4:$D$1510=$W$24)*('Match Log'!$A$4:$A$1510&lt;=$J244)),'Match Log'!$N$4:$N$1510),NA()))</f>
        <v>1023.2192605207141</v>
      </c>
      <c r="X244" t="e">
        <f>IF($J244&gt;MAX('Match Log'!$A$4:$A$1510),NA(),IFERROR(LOOKUP(2,1/(('Match Log'!$D$4:$D$1510=$X$24)*('Match Log'!$A$4:$A$1510&lt;=$J244)),'Match Log'!$N$4:$N$1510),NA()))</f>
        <v>#N/A</v>
      </c>
      <c r="Y244" t="str">
        <f t="shared" ca="1" si="28"/>
        <v/>
      </c>
    </row>
    <row r="245" spans="1:25" x14ac:dyDescent="0.2">
      <c r="A245">
        <v>221</v>
      </c>
      <c r="B245">
        <f>IFERROR(INDEX('Match Log'!$B$4:$B$1510,MATCH($A245,'Match Log'!$A$4:$A$1510,0)),"")</f>
        <v>46255</v>
      </c>
      <c r="C245" t="str">
        <f>IFERROR(INDEX('Match Log'!$C$4:$C$1510,MATCH($A245,'Match Log'!$A$4:$A$1510,0)),"")</f>
        <v>Table Tennis</v>
      </c>
      <c r="D245" t="str">
        <f t="array" ref="D245">IFERROR(_xlfn.TEXTJOIN(" + ",TRUE(),IF(('Match Log'!$A$4:$A$1510=$A245)*('Match Log'!$E$4:$E$1510="Win"),'Match Log'!$D$4:$D$1510,"")),IFERROR(LOOKUP(2,1/(('Match Log'!$A$4:$A$1510=$A245)*('Match Log'!$E$4:$E$1510="Win")),'Match Log'!$D$4:$D$1510),""))</f>
        <v>Shawn</v>
      </c>
      <c r="E245">
        <f>IFERROR(INDEX('Match Log'!$F$4:$F$1510,MATCH($A245,'Match Log'!$A$4:$A$1510,0)),"")</f>
        <v>2</v>
      </c>
      <c r="F245">
        <f>IFERROR(SUMIFS('Match Log'!$I$4:$I$1510,'Match Log'!$A$4:$A$1510,$A245,'Match Log'!$E$4:$E$1510,"Win"),"")</f>
        <v>0.63157894736842102</v>
      </c>
      <c r="G245">
        <f t="shared" si="26"/>
        <v>-0.26315789473684204</v>
      </c>
      <c r="H245" t="str">
        <f t="array" ref="H245">IFERROR(IF(COUNTIFS('Match Log'!$A$4:$A$1510,$A245,'Match Log'!$E$4:$E$1510,"Win")&gt;1,_xlfn.TEXTJOIN(" + ",TRUE(),IF(('Match Log'!$A$4:$A$1510=$A245)*('Match Log'!$E$4:$E$1510="Loss"),'Match Log'!$D$4:$D$1510,"")),IF($E245=2,LOOKUP(2,1/(('Match Log'!$A$4:$A$1510=$A245)*('Match Log'!$E$4:$E$1510="Loss")),'Match Log'!$D$4:$D$1510),"the field")),"")</f>
        <v>Aaron</v>
      </c>
      <c r="I245">
        <f t="shared" si="27"/>
        <v>-0.26337889473684206</v>
      </c>
      <c r="J245">
        <v>221</v>
      </c>
      <c r="K245">
        <f>IF($J245&gt;MAX('Match Log'!$A$4:$A$1510),NA(),IFERROR(LOOKUP(2,1/(('Match Log'!$D$4:$D$1510=$K$24)*('Match Log'!$A$4:$A$1510&lt;=$J245)),'Match Log'!$N$4:$N$1510),NA()))</f>
        <v>993.63537728419408</v>
      </c>
      <c r="L245">
        <f>IF($J245&gt;MAX('Match Log'!$A$4:$A$1510),NA(),IFERROR(LOOKUP(2,1/(('Match Log'!$D$4:$D$1510=$L$24)*('Match Log'!$A$4:$A$1510&lt;=$J245)),'Match Log'!$N$4:$N$1510),NA()))</f>
        <v>1029.5175965335138</v>
      </c>
      <c r="M245">
        <f>IF($J245&gt;MAX('Match Log'!$A$4:$A$1510),NA(),IFERROR(LOOKUP(2,1/(('Match Log'!$D$4:$D$1510=$M$24)*('Match Log'!$A$4:$A$1510&lt;=$J245)),'Match Log'!$N$4:$N$1510),NA()))</f>
        <v>1037.8197114720938</v>
      </c>
      <c r="N245">
        <f>IF($J245&gt;MAX('Match Log'!$A$4:$A$1510),NA(),IFERROR(LOOKUP(2,1/(('Match Log'!$D$4:$D$1510=$N$24)*('Match Log'!$A$4:$A$1510&lt;=$J245)),'Match Log'!$N$4:$N$1510),NA()))</f>
        <v>973.19705892757202</v>
      </c>
      <c r="O245">
        <f>IF($J245&gt;MAX('Match Log'!$A$4:$A$1510),NA(),IFERROR(LOOKUP(2,1/(('Match Log'!$D$4:$D$1510=$O$24)*('Match Log'!$A$4:$A$1510&lt;=$J245)),'Match Log'!$N$4:$N$1510),NA()))</f>
        <v>1155.9112046633588</v>
      </c>
      <c r="P245">
        <f>IF($J245&gt;MAX('Match Log'!$A$4:$A$1510),NA(),IFERROR(LOOKUP(2,1/(('Match Log'!$D$4:$D$1510=$P$24)*('Match Log'!$A$4:$A$1510&lt;=$J245)),'Match Log'!$N$4:$N$1510),NA()))</f>
        <v>1144.3326825950164</v>
      </c>
      <c r="Q245">
        <f>IF($J245&gt;MAX('Match Log'!$A$4:$A$1510),NA(),IFERROR(LOOKUP(2,1/(('Match Log'!$D$4:$D$1510=$Q$24)*('Match Log'!$A$4:$A$1510&lt;=$J245)),'Match Log'!$N$4:$N$1510),NA()))</f>
        <v>1050.2393073123574</v>
      </c>
      <c r="R245">
        <f>IF($J245&gt;MAX('Match Log'!$A$4:$A$1510),NA(),IFERROR(LOOKUP(2,1/(('Match Log'!$D$4:$D$1510=$R$24)*('Match Log'!$A$4:$A$1510&lt;=$J245)),'Match Log'!$N$4:$N$1510),NA()))</f>
        <v>1133.3164127790435</v>
      </c>
      <c r="S245">
        <f>IF($J245&gt;MAX('Match Log'!$A$4:$A$1510),NA(),IFERROR(LOOKUP(2,1/(('Match Log'!$D$4:$D$1510=$S$24)*('Match Log'!$A$4:$A$1510&lt;=$J245)),'Match Log'!$N$4:$N$1510),NA()))</f>
        <v>1241.7029363250533</v>
      </c>
      <c r="T245">
        <f>IF($J245&gt;MAX('Match Log'!$A$4:$A$1510),NA(),IFERROR(LOOKUP(2,1/(('Match Log'!$D$4:$D$1510=$T$24)*('Match Log'!$A$4:$A$1510&lt;=$J245)),'Match Log'!$N$4:$N$1510),NA()))</f>
        <v>862.22294373677494</v>
      </c>
      <c r="U245">
        <f>IF($J245&gt;MAX('Match Log'!$A$4:$A$1510),NA(),IFERROR(LOOKUP(2,1/(('Match Log'!$D$4:$D$1510=$U$24)*('Match Log'!$A$4:$A$1510&lt;=$J245)),'Match Log'!$N$4:$N$1510),NA()))</f>
        <v>1054.3366131438215</v>
      </c>
      <c r="V245">
        <f>IF($J245&gt;MAX('Match Log'!$A$4:$A$1510),NA(),IFERROR(LOOKUP(2,1/(('Match Log'!$D$4:$D$1510=$V$24)*('Match Log'!$A$4:$A$1510&lt;=$J245)),'Match Log'!$N$4:$N$1510),NA()))</f>
        <v>1087.5488947064855</v>
      </c>
      <c r="W245">
        <f>IF($J245&gt;MAX('Match Log'!$A$4:$A$1510),NA(),IFERROR(LOOKUP(2,1/(('Match Log'!$D$4:$D$1510=$W$24)*('Match Log'!$A$4:$A$1510&lt;=$J245)),'Match Log'!$N$4:$N$1510),NA()))</f>
        <v>1023.2192605207141</v>
      </c>
      <c r="X245" t="e">
        <f>IF($J245&gt;MAX('Match Log'!$A$4:$A$1510),NA(),IFERROR(LOOKUP(2,1/(('Match Log'!$D$4:$D$1510=$X$24)*('Match Log'!$A$4:$A$1510&lt;=$J245)),'Match Log'!$N$4:$N$1510),NA()))</f>
        <v>#N/A</v>
      </c>
      <c r="Y245" t="str">
        <f t="shared" ca="1" si="28"/>
        <v/>
      </c>
    </row>
    <row r="246" spans="1:25" x14ac:dyDescent="0.2">
      <c r="A246">
        <v>222</v>
      </c>
      <c r="B246">
        <f>IFERROR(INDEX('Match Log'!$B$4:$B$1510,MATCH($A246,'Match Log'!$A$4:$A$1510,0)),"")</f>
        <v>46255</v>
      </c>
      <c r="C246" t="str">
        <f>IFERROR(INDEX('Match Log'!$C$4:$C$1510,MATCH($A246,'Match Log'!$A$4:$A$1510,0)),"")</f>
        <v>Table Tennis</v>
      </c>
      <c r="D246" t="str">
        <f t="array" ref="D246">IFERROR(_xlfn.TEXTJOIN(" + ",TRUE(),IF(('Match Log'!$A$4:$A$1510=$A246)*('Match Log'!$E$4:$E$1510="Win"),'Match Log'!$D$4:$D$1510,"")),IFERROR(LOOKUP(2,1/(('Match Log'!$A$4:$A$1510=$A246)*('Match Log'!$E$4:$E$1510="Win")),'Match Log'!$D$4:$D$1510),""))</f>
        <v>Shawn</v>
      </c>
      <c r="E246">
        <f>IFERROR(INDEX('Match Log'!$F$4:$F$1510,MATCH($A246,'Match Log'!$A$4:$A$1510,0)),"")</f>
        <v>2</v>
      </c>
      <c r="F246">
        <f>IFERROR(SUMIFS('Match Log'!$I$4:$I$1510,'Match Log'!$A$4:$A$1510,$A246,'Match Log'!$E$4:$E$1510,"Win"),"")</f>
        <v>0.68627450980392157</v>
      </c>
      <c r="G246">
        <f t="shared" si="26"/>
        <v>-0.37254901960784315</v>
      </c>
      <c r="H246" t="str">
        <f t="array" ref="H246">IFERROR(IF(COUNTIFS('Match Log'!$A$4:$A$1510,$A246,'Match Log'!$E$4:$E$1510,"Win")&gt;1,_xlfn.TEXTJOIN(" + ",TRUE(),IF(('Match Log'!$A$4:$A$1510=$A246)*('Match Log'!$E$4:$E$1510="Loss"),'Match Log'!$D$4:$D$1510,"")),IF($E246=2,LOOKUP(2,1/(('Match Log'!$A$4:$A$1510=$A246)*('Match Log'!$E$4:$E$1510="Loss")),'Match Log'!$D$4:$D$1510),"the field")),"")</f>
        <v>Aaron</v>
      </c>
      <c r="I246">
        <f t="shared" si="27"/>
        <v>-0.37277101960784315</v>
      </c>
      <c r="J246">
        <v>222</v>
      </c>
      <c r="K246">
        <f>IF($J246&gt;MAX('Match Log'!$A$4:$A$1510),NA(),IFERROR(LOOKUP(2,1/(('Match Log'!$D$4:$D$1510=$K$24)*('Match Log'!$A$4:$A$1510&lt;=$J246)),'Match Log'!$N$4:$N$1510),NA()))</f>
        <v>979.25599558985527</v>
      </c>
      <c r="L246">
        <f>IF($J246&gt;MAX('Match Log'!$A$4:$A$1510),NA(),IFERROR(LOOKUP(2,1/(('Match Log'!$D$4:$D$1510=$L$24)*('Match Log'!$A$4:$A$1510&lt;=$J246)),'Match Log'!$N$4:$N$1510),NA()))</f>
        <v>1029.5175965335138</v>
      </c>
      <c r="M246">
        <f>IF($J246&gt;MAX('Match Log'!$A$4:$A$1510),NA(),IFERROR(LOOKUP(2,1/(('Match Log'!$D$4:$D$1510=$M$24)*('Match Log'!$A$4:$A$1510&lt;=$J246)),'Match Log'!$N$4:$N$1510),NA()))</f>
        <v>1037.8197114720938</v>
      </c>
      <c r="N246">
        <f>IF($J246&gt;MAX('Match Log'!$A$4:$A$1510),NA(),IFERROR(LOOKUP(2,1/(('Match Log'!$D$4:$D$1510=$N$24)*('Match Log'!$A$4:$A$1510&lt;=$J246)),'Match Log'!$N$4:$N$1510),NA()))</f>
        <v>973.19705892757202</v>
      </c>
      <c r="O246">
        <f>IF($J246&gt;MAX('Match Log'!$A$4:$A$1510),NA(),IFERROR(LOOKUP(2,1/(('Match Log'!$D$4:$D$1510=$O$24)*('Match Log'!$A$4:$A$1510&lt;=$J246)),'Match Log'!$N$4:$N$1510),NA()))</f>
        <v>1155.9112046633588</v>
      </c>
      <c r="P246">
        <f>IF($J246&gt;MAX('Match Log'!$A$4:$A$1510),NA(),IFERROR(LOOKUP(2,1/(('Match Log'!$D$4:$D$1510=$P$24)*('Match Log'!$A$4:$A$1510&lt;=$J246)),'Match Log'!$N$4:$N$1510),NA()))</f>
        <v>1158.7120642893551</v>
      </c>
      <c r="Q246">
        <f>IF($J246&gt;MAX('Match Log'!$A$4:$A$1510),NA(),IFERROR(LOOKUP(2,1/(('Match Log'!$D$4:$D$1510=$Q$24)*('Match Log'!$A$4:$A$1510&lt;=$J246)),'Match Log'!$N$4:$N$1510),NA()))</f>
        <v>1050.2393073123574</v>
      </c>
      <c r="R246">
        <f>IF($J246&gt;MAX('Match Log'!$A$4:$A$1510),NA(),IFERROR(LOOKUP(2,1/(('Match Log'!$D$4:$D$1510=$R$24)*('Match Log'!$A$4:$A$1510&lt;=$J246)),'Match Log'!$N$4:$N$1510),NA()))</f>
        <v>1133.3164127790435</v>
      </c>
      <c r="S246">
        <f>IF($J246&gt;MAX('Match Log'!$A$4:$A$1510),NA(),IFERROR(LOOKUP(2,1/(('Match Log'!$D$4:$D$1510=$S$24)*('Match Log'!$A$4:$A$1510&lt;=$J246)),'Match Log'!$N$4:$N$1510),NA()))</f>
        <v>1241.7029363250533</v>
      </c>
      <c r="T246">
        <f>IF($J246&gt;MAX('Match Log'!$A$4:$A$1510),NA(),IFERROR(LOOKUP(2,1/(('Match Log'!$D$4:$D$1510=$T$24)*('Match Log'!$A$4:$A$1510&lt;=$J246)),'Match Log'!$N$4:$N$1510),NA()))</f>
        <v>862.22294373677494</v>
      </c>
      <c r="U246">
        <f>IF($J246&gt;MAX('Match Log'!$A$4:$A$1510),NA(),IFERROR(LOOKUP(2,1/(('Match Log'!$D$4:$D$1510=$U$24)*('Match Log'!$A$4:$A$1510&lt;=$J246)),'Match Log'!$N$4:$N$1510),NA()))</f>
        <v>1054.3366131438215</v>
      </c>
      <c r="V246">
        <f>IF($J246&gt;MAX('Match Log'!$A$4:$A$1510),NA(),IFERROR(LOOKUP(2,1/(('Match Log'!$D$4:$D$1510=$V$24)*('Match Log'!$A$4:$A$1510&lt;=$J246)),'Match Log'!$N$4:$N$1510),NA()))</f>
        <v>1087.5488947064855</v>
      </c>
      <c r="W246">
        <f>IF($J246&gt;MAX('Match Log'!$A$4:$A$1510),NA(),IFERROR(LOOKUP(2,1/(('Match Log'!$D$4:$D$1510=$W$24)*('Match Log'!$A$4:$A$1510&lt;=$J246)),'Match Log'!$N$4:$N$1510),NA()))</f>
        <v>1023.2192605207141</v>
      </c>
      <c r="X246" t="e">
        <f>IF($J246&gt;MAX('Match Log'!$A$4:$A$1510),NA(),IFERROR(LOOKUP(2,1/(('Match Log'!$D$4:$D$1510=$X$24)*('Match Log'!$A$4:$A$1510&lt;=$J246)),'Match Log'!$N$4:$N$1510),NA()))</f>
        <v>#N/A</v>
      </c>
      <c r="Y246" t="str">
        <f t="shared" ca="1" si="28"/>
        <v/>
      </c>
    </row>
    <row r="247" spans="1:25" x14ac:dyDescent="0.2">
      <c r="A247">
        <v>223</v>
      </c>
      <c r="B247">
        <f>IFERROR(INDEX('Match Log'!$B$4:$B$1510,MATCH($A247,'Match Log'!$A$4:$A$1510,0)),"")</f>
        <v>46255</v>
      </c>
      <c r="C247" t="str">
        <f>IFERROR(INDEX('Match Log'!$C$4:$C$1510,MATCH($A247,'Match Log'!$A$4:$A$1510,0)),"")</f>
        <v>Table Tennis</v>
      </c>
      <c r="D247" t="str">
        <f t="array" ref="D247">IFERROR(_xlfn.TEXTJOIN(" + ",TRUE(),IF(('Match Log'!$A$4:$A$1510=$A247)*('Match Log'!$E$4:$E$1510="Win"),'Match Log'!$D$4:$D$1510,"")),IFERROR(LOOKUP(2,1/(('Match Log'!$A$4:$A$1510=$A247)*('Match Log'!$E$4:$E$1510="Win")),'Match Log'!$D$4:$D$1510),""))</f>
        <v>Shawn</v>
      </c>
      <c r="E247">
        <f>IFERROR(INDEX('Match Log'!$F$4:$F$1510,MATCH($A247,'Match Log'!$A$4:$A$1510,0)),"")</f>
        <v>2</v>
      </c>
      <c r="F247">
        <f>IFERROR(SUMIFS('Match Log'!$I$4:$I$1510,'Match Log'!$A$4:$A$1510,$A247,'Match Log'!$E$4:$E$1510,"Win"),"")</f>
        <v>0.72727272727272729</v>
      </c>
      <c r="G247">
        <f t="shared" si="26"/>
        <v>-0.45454545454545459</v>
      </c>
      <c r="H247" t="str">
        <f t="array" ref="H247">IFERROR(IF(COUNTIFS('Match Log'!$A$4:$A$1510,$A247,'Match Log'!$E$4:$E$1510,"Win")&gt;1,_xlfn.TEXTJOIN(" + ",TRUE(),IF(('Match Log'!$A$4:$A$1510=$A247)*('Match Log'!$E$4:$E$1510="Loss"),'Match Log'!$D$4:$D$1510,"")),IF($E247=2,LOOKUP(2,1/(('Match Log'!$A$4:$A$1510=$A247)*('Match Log'!$E$4:$E$1510="Loss")),'Match Log'!$D$4:$D$1510),"the field")),"")</f>
        <v>Aaron</v>
      </c>
      <c r="I247">
        <f t="shared" si="27"/>
        <v>-0.45476845454545456</v>
      </c>
      <c r="J247">
        <v>223</v>
      </c>
      <c r="K247">
        <f>IF($J247&gt;MAX('Match Log'!$A$4:$A$1510),NA(),IFERROR(LOOKUP(2,1/(('Match Log'!$D$4:$D$1510=$K$24)*('Match Log'!$A$4:$A$1510&lt;=$J247)),'Match Log'!$N$4:$N$1510),NA()))</f>
        <v>966.33007104089506</v>
      </c>
      <c r="L247">
        <f>IF($J247&gt;MAX('Match Log'!$A$4:$A$1510),NA(),IFERROR(LOOKUP(2,1/(('Match Log'!$D$4:$D$1510=$L$24)*('Match Log'!$A$4:$A$1510&lt;=$J247)),'Match Log'!$N$4:$N$1510),NA()))</f>
        <v>1029.5175965335138</v>
      </c>
      <c r="M247">
        <f>IF($J247&gt;MAX('Match Log'!$A$4:$A$1510),NA(),IFERROR(LOOKUP(2,1/(('Match Log'!$D$4:$D$1510=$M$24)*('Match Log'!$A$4:$A$1510&lt;=$J247)),'Match Log'!$N$4:$N$1510),NA()))</f>
        <v>1037.8197114720938</v>
      </c>
      <c r="N247">
        <f>IF($J247&gt;MAX('Match Log'!$A$4:$A$1510),NA(),IFERROR(LOOKUP(2,1/(('Match Log'!$D$4:$D$1510=$N$24)*('Match Log'!$A$4:$A$1510&lt;=$J247)),'Match Log'!$N$4:$N$1510),NA()))</f>
        <v>973.19705892757202</v>
      </c>
      <c r="O247">
        <f>IF($J247&gt;MAX('Match Log'!$A$4:$A$1510),NA(),IFERROR(LOOKUP(2,1/(('Match Log'!$D$4:$D$1510=$O$24)*('Match Log'!$A$4:$A$1510&lt;=$J247)),'Match Log'!$N$4:$N$1510),NA()))</f>
        <v>1155.9112046633588</v>
      </c>
      <c r="P247">
        <f>IF($J247&gt;MAX('Match Log'!$A$4:$A$1510),NA(),IFERROR(LOOKUP(2,1/(('Match Log'!$D$4:$D$1510=$P$24)*('Match Log'!$A$4:$A$1510&lt;=$J247)),'Match Log'!$N$4:$N$1510),NA()))</f>
        <v>1171.6379888383153</v>
      </c>
      <c r="Q247">
        <f>IF($J247&gt;MAX('Match Log'!$A$4:$A$1510),NA(),IFERROR(LOOKUP(2,1/(('Match Log'!$D$4:$D$1510=$Q$24)*('Match Log'!$A$4:$A$1510&lt;=$J247)),'Match Log'!$N$4:$N$1510),NA()))</f>
        <v>1050.2393073123574</v>
      </c>
      <c r="R247">
        <f>IF($J247&gt;MAX('Match Log'!$A$4:$A$1510),NA(),IFERROR(LOOKUP(2,1/(('Match Log'!$D$4:$D$1510=$R$24)*('Match Log'!$A$4:$A$1510&lt;=$J247)),'Match Log'!$N$4:$N$1510),NA()))</f>
        <v>1133.3164127790435</v>
      </c>
      <c r="S247">
        <f>IF($J247&gt;MAX('Match Log'!$A$4:$A$1510),NA(),IFERROR(LOOKUP(2,1/(('Match Log'!$D$4:$D$1510=$S$24)*('Match Log'!$A$4:$A$1510&lt;=$J247)),'Match Log'!$N$4:$N$1510),NA()))</f>
        <v>1241.7029363250533</v>
      </c>
      <c r="T247">
        <f>IF($J247&gt;MAX('Match Log'!$A$4:$A$1510),NA(),IFERROR(LOOKUP(2,1/(('Match Log'!$D$4:$D$1510=$T$24)*('Match Log'!$A$4:$A$1510&lt;=$J247)),'Match Log'!$N$4:$N$1510),NA()))</f>
        <v>862.22294373677494</v>
      </c>
      <c r="U247">
        <f>IF($J247&gt;MAX('Match Log'!$A$4:$A$1510),NA(),IFERROR(LOOKUP(2,1/(('Match Log'!$D$4:$D$1510=$U$24)*('Match Log'!$A$4:$A$1510&lt;=$J247)),'Match Log'!$N$4:$N$1510),NA()))</f>
        <v>1054.3366131438215</v>
      </c>
      <c r="V247">
        <f>IF($J247&gt;MAX('Match Log'!$A$4:$A$1510),NA(),IFERROR(LOOKUP(2,1/(('Match Log'!$D$4:$D$1510=$V$24)*('Match Log'!$A$4:$A$1510&lt;=$J247)),'Match Log'!$N$4:$N$1510),NA()))</f>
        <v>1087.5488947064855</v>
      </c>
      <c r="W247">
        <f>IF($J247&gt;MAX('Match Log'!$A$4:$A$1510),NA(),IFERROR(LOOKUP(2,1/(('Match Log'!$D$4:$D$1510=$W$24)*('Match Log'!$A$4:$A$1510&lt;=$J247)),'Match Log'!$N$4:$N$1510),NA()))</f>
        <v>1023.2192605207141</v>
      </c>
      <c r="X247" t="e">
        <f>IF($J247&gt;MAX('Match Log'!$A$4:$A$1510),NA(),IFERROR(LOOKUP(2,1/(('Match Log'!$D$4:$D$1510=$X$24)*('Match Log'!$A$4:$A$1510&lt;=$J247)),'Match Log'!$N$4:$N$1510),NA()))</f>
        <v>#N/A</v>
      </c>
      <c r="Y247" t="str">
        <f t="shared" ca="1" si="28"/>
        <v/>
      </c>
    </row>
    <row r="248" spans="1:25" x14ac:dyDescent="0.2">
      <c r="A248">
        <v>224</v>
      </c>
      <c r="B248">
        <f>IFERROR(INDEX('Match Log'!$B$4:$B$1510,MATCH($A248,'Match Log'!$A$4:$A$1510,0)),"")</f>
        <v>46255</v>
      </c>
      <c r="C248" t="str">
        <f>IFERROR(INDEX('Match Log'!$C$4:$C$1510,MATCH($A248,'Match Log'!$A$4:$A$1510,0)),"")</f>
        <v>Table Tennis</v>
      </c>
      <c r="D248" t="str">
        <f t="array" ref="D248">IFERROR(_xlfn.TEXTJOIN(" + ",TRUE(),IF(('Match Log'!$A$4:$A$1510=$A248)*('Match Log'!$E$4:$E$1510="Win"),'Match Log'!$D$4:$D$1510,"")),IFERROR(LOOKUP(2,1/(('Match Log'!$A$4:$A$1510=$A248)*('Match Log'!$E$4:$E$1510="Win")),'Match Log'!$D$4:$D$1510),""))</f>
        <v>Aaron</v>
      </c>
      <c r="E248">
        <f>IFERROR(INDEX('Match Log'!$F$4:$F$1510,MATCH($A248,'Match Log'!$A$4:$A$1510,0)),"")</f>
        <v>2</v>
      </c>
      <c r="F248">
        <f>IFERROR(SUMIFS('Match Log'!$I$4:$I$1510,'Match Log'!$A$4:$A$1510,$A248,'Match Log'!$E$4:$E$1510,"Win"),"")</f>
        <v>0.24096385542168675</v>
      </c>
      <c r="G248">
        <f t="shared" si="26"/>
        <v>0.51807228915662651</v>
      </c>
      <c r="H248" t="str">
        <f t="array" ref="H248">IFERROR(IF(COUNTIFS('Match Log'!$A$4:$A$1510,$A248,'Match Log'!$E$4:$E$1510,"Win")&gt;1,_xlfn.TEXTJOIN(" + ",TRUE(),IF(('Match Log'!$A$4:$A$1510=$A248)*('Match Log'!$E$4:$E$1510="Loss"),'Match Log'!$D$4:$D$1510,"")),IF($E248=2,LOOKUP(2,1/(('Match Log'!$A$4:$A$1510=$A248)*('Match Log'!$E$4:$E$1510="Loss")),'Match Log'!$D$4:$D$1510),"the field")),"")</f>
        <v>Shawn</v>
      </c>
      <c r="I248">
        <f t="shared" si="27"/>
        <v>0.51784828915662651</v>
      </c>
      <c r="J248">
        <v>224</v>
      </c>
      <c r="K248">
        <f>IF($J248&gt;MAX('Match Log'!$A$4:$A$1510),NA(),IFERROR(LOOKUP(2,1/(('Match Log'!$D$4:$D$1510=$K$24)*('Match Log'!$A$4:$A$1510&lt;=$J248)),'Match Log'!$N$4:$N$1510),NA()))</f>
        <v>998.59915265937127</v>
      </c>
      <c r="L248">
        <f>IF($J248&gt;MAX('Match Log'!$A$4:$A$1510),NA(),IFERROR(LOOKUP(2,1/(('Match Log'!$D$4:$D$1510=$L$24)*('Match Log'!$A$4:$A$1510&lt;=$J248)),'Match Log'!$N$4:$N$1510),NA()))</f>
        <v>1029.5175965335138</v>
      </c>
      <c r="M248">
        <f>IF($J248&gt;MAX('Match Log'!$A$4:$A$1510),NA(),IFERROR(LOOKUP(2,1/(('Match Log'!$D$4:$D$1510=$M$24)*('Match Log'!$A$4:$A$1510&lt;=$J248)),'Match Log'!$N$4:$N$1510),NA()))</f>
        <v>1037.8197114720938</v>
      </c>
      <c r="N248">
        <f>IF($J248&gt;MAX('Match Log'!$A$4:$A$1510),NA(),IFERROR(LOOKUP(2,1/(('Match Log'!$D$4:$D$1510=$N$24)*('Match Log'!$A$4:$A$1510&lt;=$J248)),'Match Log'!$N$4:$N$1510),NA()))</f>
        <v>973.19705892757202</v>
      </c>
      <c r="O248">
        <f>IF($J248&gt;MAX('Match Log'!$A$4:$A$1510),NA(),IFERROR(LOOKUP(2,1/(('Match Log'!$D$4:$D$1510=$O$24)*('Match Log'!$A$4:$A$1510&lt;=$J248)),'Match Log'!$N$4:$N$1510),NA()))</f>
        <v>1155.9112046633588</v>
      </c>
      <c r="P248">
        <f>IF($J248&gt;MAX('Match Log'!$A$4:$A$1510),NA(),IFERROR(LOOKUP(2,1/(('Match Log'!$D$4:$D$1510=$P$24)*('Match Log'!$A$4:$A$1510&lt;=$J248)),'Match Log'!$N$4:$N$1510),NA()))</f>
        <v>1139.3689072198392</v>
      </c>
      <c r="Q248">
        <f>IF($J248&gt;MAX('Match Log'!$A$4:$A$1510),NA(),IFERROR(LOOKUP(2,1/(('Match Log'!$D$4:$D$1510=$Q$24)*('Match Log'!$A$4:$A$1510&lt;=$J248)),'Match Log'!$N$4:$N$1510),NA()))</f>
        <v>1050.2393073123574</v>
      </c>
      <c r="R248">
        <f>IF($J248&gt;MAX('Match Log'!$A$4:$A$1510),NA(),IFERROR(LOOKUP(2,1/(('Match Log'!$D$4:$D$1510=$R$24)*('Match Log'!$A$4:$A$1510&lt;=$J248)),'Match Log'!$N$4:$N$1510),NA()))</f>
        <v>1133.3164127790435</v>
      </c>
      <c r="S248">
        <f>IF($J248&gt;MAX('Match Log'!$A$4:$A$1510),NA(),IFERROR(LOOKUP(2,1/(('Match Log'!$D$4:$D$1510=$S$24)*('Match Log'!$A$4:$A$1510&lt;=$J248)),'Match Log'!$N$4:$N$1510),NA()))</f>
        <v>1241.7029363250533</v>
      </c>
      <c r="T248">
        <f>IF($J248&gt;MAX('Match Log'!$A$4:$A$1510),NA(),IFERROR(LOOKUP(2,1/(('Match Log'!$D$4:$D$1510=$T$24)*('Match Log'!$A$4:$A$1510&lt;=$J248)),'Match Log'!$N$4:$N$1510),NA()))</f>
        <v>862.22294373677494</v>
      </c>
      <c r="U248">
        <f>IF($J248&gt;MAX('Match Log'!$A$4:$A$1510),NA(),IFERROR(LOOKUP(2,1/(('Match Log'!$D$4:$D$1510=$U$24)*('Match Log'!$A$4:$A$1510&lt;=$J248)),'Match Log'!$N$4:$N$1510),NA()))</f>
        <v>1054.3366131438215</v>
      </c>
      <c r="V248">
        <f>IF($J248&gt;MAX('Match Log'!$A$4:$A$1510),NA(),IFERROR(LOOKUP(2,1/(('Match Log'!$D$4:$D$1510=$V$24)*('Match Log'!$A$4:$A$1510&lt;=$J248)),'Match Log'!$N$4:$N$1510),NA()))</f>
        <v>1087.5488947064855</v>
      </c>
      <c r="W248">
        <f>IF($J248&gt;MAX('Match Log'!$A$4:$A$1510),NA(),IFERROR(LOOKUP(2,1/(('Match Log'!$D$4:$D$1510=$W$24)*('Match Log'!$A$4:$A$1510&lt;=$J248)),'Match Log'!$N$4:$N$1510),NA()))</f>
        <v>1023.2192605207141</v>
      </c>
      <c r="X248" t="e">
        <f>IF($J248&gt;MAX('Match Log'!$A$4:$A$1510),NA(),IFERROR(LOOKUP(2,1/(('Match Log'!$D$4:$D$1510=$X$24)*('Match Log'!$A$4:$A$1510&lt;=$J248)),'Match Log'!$N$4:$N$1510),NA()))</f>
        <v>#N/A</v>
      </c>
      <c r="Y248" t="str">
        <f t="shared" ca="1" si="28"/>
        <v/>
      </c>
    </row>
    <row r="249" spans="1:25" x14ac:dyDescent="0.2">
      <c r="A249">
        <v>225</v>
      </c>
      <c r="B249">
        <f>IFERROR(INDEX('Match Log'!$B$4:$B$1510,MATCH($A249,'Match Log'!$A$4:$A$1510,0)),"")</f>
        <v>46255</v>
      </c>
      <c r="C249" t="str">
        <f>IFERROR(INDEX('Match Log'!$C$4:$C$1510,MATCH($A249,'Match Log'!$A$4:$A$1510,0)),"")</f>
        <v>Darts</v>
      </c>
      <c r="D249" t="str">
        <f t="array" ref="D249">IFERROR(_xlfn.TEXTJOIN(" + ",TRUE(),IF(('Match Log'!$A$4:$A$1510=$A249)*('Match Log'!$E$4:$E$1510="Win"),'Match Log'!$D$4:$D$1510,"")),IFERROR(LOOKUP(2,1/(('Match Log'!$A$4:$A$1510=$A249)*('Match Log'!$E$4:$E$1510="Win")),'Match Log'!$D$4:$D$1510),""))</f>
        <v>Shawn</v>
      </c>
      <c r="E249">
        <f>IFERROR(INDEX('Match Log'!$F$4:$F$1510,MATCH($A249,'Match Log'!$A$4:$A$1510,0)),"")</f>
        <v>5</v>
      </c>
      <c r="F249">
        <f>IFERROR(SUMIFS('Match Log'!$I$4:$I$1510,'Match Log'!$A$4:$A$1510,$A249,'Match Log'!$E$4:$E$1510,"Win"),"")</f>
        <v>0.19230769230769229</v>
      </c>
      <c r="G249">
        <f t="shared" si="26"/>
        <v>3.8461538461538547E-2</v>
      </c>
      <c r="H249" t="str">
        <f t="array" ref="H249">IFERROR(IF(COUNTIFS('Match Log'!$A$4:$A$1510,$A249,'Match Log'!$E$4:$E$1510,"Win")&gt;1,_xlfn.TEXTJOIN(" + ",TRUE(),IF(('Match Log'!$A$4:$A$1510=$A249)*('Match Log'!$E$4:$E$1510="Loss"),'Match Log'!$D$4:$D$1510,"")),IF($E249=2,LOOKUP(2,1/(('Match Log'!$A$4:$A$1510=$A249)*('Match Log'!$E$4:$E$1510="Loss")),'Match Log'!$D$4:$D$1510),"the field")),"")</f>
        <v>the field</v>
      </c>
      <c r="I249">
        <f t="shared" si="27"/>
        <v>3.8236538461538544E-2</v>
      </c>
      <c r="J249">
        <v>225</v>
      </c>
      <c r="K249">
        <f>IF($J249&gt;MAX('Match Log'!$A$4:$A$1510),NA(),IFERROR(LOOKUP(2,1/(('Match Log'!$D$4:$D$1510=$K$24)*('Match Log'!$A$4:$A$1510&lt;=$J249)),'Match Log'!$N$4:$N$1510),NA()))</f>
        <v>998.40890404640857</v>
      </c>
      <c r="L249">
        <f>IF($J249&gt;MAX('Match Log'!$A$4:$A$1510),NA(),IFERROR(LOOKUP(2,1/(('Match Log'!$D$4:$D$1510=$L$24)*('Match Log'!$A$4:$A$1510&lt;=$J249)),'Match Log'!$N$4:$N$1510),NA()))</f>
        <v>1029.5175965335138</v>
      </c>
      <c r="M249">
        <f>IF($J249&gt;MAX('Match Log'!$A$4:$A$1510),NA(),IFERROR(LOOKUP(2,1/(('Match Log'!$D$4:$D$1510=$M$24)*('Match Log'!$A$4:$A$1510&lt;=$J249)),'Match Log'!$N$4:$N$1510),NA()))</f>
        <v>1037.8197114720938</v>
      </c>
      <c r="N249">
        <f>IF($J249&gt;MAX('Match Log'!$A$4:$A$1510),NA(),IFERROR(LOOKUP(2,1/(('Match Log'!$D$4:$D$1510=$N$24)*('Match Log'!$A$4:$A$1510&lt;=$J249)),'Match Log'!$N$4:$N$1510),NA()))</f>
        <v>973.19705892757202</v>
      </c>
      <c r="O249">
        <f>IF($J249&gt;MAX('Match Log'!$A$4:$A$1510),NA(),IFERROR(LOOKUP(2,1/(('Match Log'!$D$4:$D$1510=$O$24)*('Match Log'!$A$4:$A$1510&lt;=$J249)),'Match Log'!$N$4:$N$1510),NA()))</f>
        <v>1155.9112046633588</v>
      </c>
      <c r="P249">
        <f>IF($J249&gt;MAX('Match Log'!$A$4:$A$1510),NA(),IFERROR(LOOKUP(2,1/(('Match Log'!$D$4:$D$1510=$P$24)*('Match Log'!$A$4:$A$1510&lt;=$J249)),'Match Log'!$N$4:$N$1510),NA()))</f>
        <v>1169.8542413378943</v>
      </c>
      <c r="Q249">
        <f>IF($J249&gt;MAX('Match Log'!$A$4:$A$1510),NA(),IFERROR(LOOKUP(2,1/(('Match Log'!$D$4:$D$1510=$Q$24)*('Match Log'!$A$4:$A$1510&lt;=$J249)),'Match Log'!$N$4:$N$1510),NA()))</f>
        <v>1049.4907965916093</v>
      </c>
      <c r="R249">
        <f>IF($J249&gt;MAX('Match Log'!$A$4:$A$1510),NA(),IFERROR(LOOKUP(2,1/(('Match Log'!$D$4:$D$1510=$R$24)*('Match Log'!$A$4:$A$1510&lt;=$J249)),'Match Log'!$N$4:$N$1510),NA()))</f>
        <v>1131.6326426372293</v>
      </c>
      <c r="S249">
        <f>IF($J249&gt;MAX('Match Log'!$A$4:$A$1510),NA(),IFERROR(LOOKUP(2,1/(('Match Log'!$D$4:$D$1510=$S$24)*('Match Log'!$A$4:$A$1510&lt;=$J249)),'Match Log'!$N$4:$N$1510),NA()))</f>
        <v>1238.8401316825232</v>
      </c>
      <c r="T249">
        <f>IF($J249&gt;MAX('Match Log'!$A$4:$A$1510),NA(),IFERROR(LOOKUP(2,1/(('Match Log'!$D$4:$D$1510=$T$24)*('Match Log'!$A$4:$A$1510&lt;=$J249)),'Match Log'!$N$4:$N$1510),NA()))</f>
        <v>862.22294373677494</v>
      </c>
      <c r="U249">
        <f>IF($J249&gt;MAX('Match Log'!$A$4:$A$1510),NA(),IFERROR(LOOKUP(2,1/(('Match Log'!$D$4:$D$1510=$U$24)*('Match Log'!$A$4:$A$1510&lt;=$J249)),'Match Log'!$N$4:$N$1510),NA()))</f>
        <v>1054.3366131438215</v>
      </c>
      <c r="V249">
        <f>IF($J249&gt;MAX('Match Log'!$A$4:$A$1510),NA(),IFERROR(LOOKUP(2,1/(('Match Log'!$D$4:$D$1510=$V$24)*('Match Log'!$A$4:$A$1510&lt;=$J249)),'Match Log'!$N$4:$N$1510),NA()))</f>
        <v>1087.5488947064855</v>
      </c>
      <c r="W249">
        <f>IF($J249&gt;MAX('Match Log'!$A$4:$A$1510),NA(),IFERROR(LOOKUP(2,1/(('Match Log'!$D$4:$D$1510=$W$24)*('Match Log'!$A$4:$A$1510&lt;=$J249)),'Match Log'!$N$4:$N$1510),NA()))</f>
        <v>1023.2192605207141</v>
      </c>
      <c r="X249" t="e">
        <f>IF($J249&gt;MAX('Match Log'!$A$4:$A$1510),NA(),IFERROR(LOOKUP(2,1/(('Match Log'!$D$4:$D$1510=$X$24)*('Match Log'!$A$4:$A$1510&lt;=$J249)),'Match Log'!$N$4:$N$1510),NA()))</f>
        <v>#N/A</v>
      </c>
      <c r="Y249" t="str">
        <f t="shared" ca="1" si="28"/>
        <v/>
      </c>
    </row>
    <row r="250" spans="1:25" x14ac:dyDescent="0.2">
      <c r="A250">
        <v>226</v>
      </c>
      <c r="B250">
        <f>IFERROR(INDEX('Match Log'!$B$4:$B$1510,MATCH($A250,'Match Log'!$A$4:$A$1510,0)),"")</f>
        <v>46255</v>
      </c>
      <c r="C250" t="str">
        <f>IFERROR(INDEX('Match Log'!$C$4:$C$1510,MATCH($A250,'Match Log'!$A$4:$A$1510,0)),"")</f>
        <v>Darts</v>
      </c>
      <c r="D250" t="str">
        <f t="array" ref="D250">IFERROR(_xlfn.TEXTJOIN(" + ",TRUE(),IF(('Match Log'!$A$4:$A$1510=$A250)*('Match Log'!$E$4:$E$1510="Win"),'Match Log'!$D$4:$D$1510,"")),IFERROR(LOOKUP(2,1/(('Match Log'!$A$4:$A$1510=$A250)*('Match Log'!$E$4:$E$1510="Win")),'Match Log'!$D$4:$D$1510),""))</f>
        <v>Aaron</v>
      </c>
      <c r="E250">
        <f>IFERROR(INDEX('Match Log'!$F$4:$F$1510,MATCH($A250,'Match Log'!$A$4:$A$1510,0)),"")</f>
        <v>5</v>
      </c>
      <c r="F250">
        <f>IFERROR(SUMIFS('Match Log'!$I$4:$I$1510,'Match Log'!$A$4:$A$1510,$A250,'Match Log'!$E$4:$E$1510,"Win"),"")</f>
        <v>0.18461538461538463</v>
      </c>
      <c r="G250">
        <f t="shared" si="26"/>
        <v>7.6923076923076872E-2</v>
      </c>
      <c r="H250" t="str">
        <f t="array" ref="H250">IFERROR(IF(COUNTIFS('Match Log'!$A$4:$A$1510,$A250,'Match Log'!$E$4:$E$1510,"Win")&gt;1,_xlfn.TEXTJOIN(" + ",TRUE(),IF(('Match Log'!$A$4:$A$1510=$A250)*('Match Log'!$E$4:$E$1510="Loss"),'Match Log'!$D$4:$D$1510,"")),IF($E250=2,LOOKUP(2,1/(('Match Log'!$A$4:$A$1510=$A250)*('Match Log'!$E$4:$E$1510="Loss")),'Match Log'!$D$4:$D$1510),"the field")),"")</f>
        <v>the field</v>
      </c>
      <c r="I250">
        <f t="shared" si="27"/>
        <v>7.6697076923076868E-2</v>
      </c>
      <c r="J250">
        <v>226</v>
      </c>
      <c r="K250">
        <f>IF($J250&gt;MAX('Match Log'!$A$4:$A$1510),NA(),IFERROR(LOOKUP(2,1/(('Match Log'!$D$4:$D$1510=$K$24)*('Match Log'!$A$4:$A$1510&lt;=$J250)),'Match Log'!$N$4:$N$1510),NA()))</f>
        <v>1033.9646217721859</v>
      </c>
      <c r="L250">
        <f>IF($J250&gt;MAX('Match Log'!$A$4:$A$1510),NA(),IFERROR(LOOKUP(2,1/(('Match Log'!$D$4:$D$1510=$L$24)*('Match Log'!$A$4:$A$1510&lt;=$J250)),'Match Log'!$N$4:$N$1510),NA()))</f>
        <v>1029.5175965335138</v>
      </c>
      <c r="M250">
        <f>IF($J250&gt;MAX('Match Log'!$A$4:$A$1510),NA(),IFERROR(LOOKUP(2,1/(('Match Log'!$D$4:$D$1510=$M$24)*('Match Log'!$A$4:$A$1510&lt;=$J250)),'Match Log'!$N$4:$N$1510),NA()))</f>
        <v>1037.8197114720938</v>
      </c>
      <c r="N250">
        <f>IF($J250&gt;MAX('Match Log'!$A$4:$A$1510),NA(),IFERROR(LOOKUP(2,1/(('Match Log'!$D$4:$D$1510=$N$24)*('Match Log'!$A$4:$A$1510&lt;=$J250)),'Match Log'!$N$4:$N$1510),NA()))</f>
        <v>973.19705892757202</v>
      </c>
      <c r="O250">
        <f>IF($J250&gt;MAX('Match Log'!$A$4:$A$1510),NA(),IFERROR(LOOKUP(2,1/(('Match Log'!$D$4:$D$1510=$O$24)*('Match Log'!$A$4:$A$1510&lt;=$J250)),'Match Log'!$N$4:$N$1510),NA()))</f>
        <v>1155.9112046633588</v>
      </c>
      <c r="P250">
        <f>IF($J250&gt;MAX('Match Log'!$A$4:$A$1510),NA(),IFERROR(LOOKUP(2,1/(('Match Log'!$D$4:$D$1510=$P$24)*('Match Log'!$A$4:$A$1510&lt;=$J250)),'Match Log'!$N$4:$N$1510),NA()))</f>
        <v>1166.2670395371886</v>
      </c>
      <c r="Q250">
        <f>IF($J250&gt;MAX('Match Log'!$A$4:$A$1510),NA(),IFERROR(LOOKUP(2,1/(('Match Log'!$D$4:$D$1510=$Q$24)*('Match Log'!$A$4:$A$1510&lt;=$J250)),'Match Log'!$N$4:$N$1510),NA()))</f>
        <v>1048.1574415742446</v>
      </c>
      <c r="R250">
        <f>IF($J250&gt;MAX('Match Log'!$A$4:$A$1510),NA(),IFERROR(LOOKUP(2,1/(('Match Log'!$D$4:$D$1510=$R$24)*('Match Log'!$A$4:$A$1510&lt;=$J250)),'Match Log'!$N$4:$N$1510),NA()))</f>
        <v>1128.9242997285369</v>
      </c>
      <c r="S250">
        <f>IF($J250&gt;MAX('Match Log'!$A$4:$A$1510),NA(),IFERROR(LOOKUP(2,1/(('Match Log'!$D$4:$D$1510=$S$24)*('Match Log'!$A$4:$A$1510&lt;=$J250)),'Match Log'!$N$4:$N$1510),NA()))</f>
        <v>1235.9133136835089</v>
      </c>
      <c r="T250">
        <f>IF($J250&gt;MAX('Match Log'!$A$4:$A$1510),NA(),IFERROR(LOOKUP(2,1/(('Match Log'!$D$4:$D$1510=$T$24)*('Match Log'!$A$4:$A$1510&lt;=$J250)),'Match Log'!$N$4:$N$1510),NA()))</f>
        <v>862.22294373677494</v>
      </c>
      <c r="U250">
        <f>IF($J250&gt;MAX('Match Log'!$A$4:$A$1510),NA(),IFERROR(LOOKUP(2,1/(('Match Log'!$D$4:$D$1510=$U$24)*('Match Log'!$A$4:$A$1510&lt;=$J250)),'Match Log'!$N$4:$N$1510),NA()))</f>
        <v>1054.3366131438215</v>
      </c>
      <c r="V250">
        <f>IF($J250&gt;MAX('Match Log'!$A$4:$A$1510),NA(),IFERROR(LOOKUP(2,1/(('Match Log'!$D$4:$D$1510=$V$24)*('Match Log'!$A$4:$A$1510&lt;=$J250)),'Match Log'!$N$4:$N$1510),NA()))</f>
        <v>1087.5488947064855</v>
      </c>
      <c r="W250">
        <f>IF($J250&gt;MAX('Match Log'!$A$4:$A$1510),NA(),IFERROR(LOOKUP(2,1/(('Match Log'!$D$4:$D$1510=$W$24)*('Match Log'!$A$4:$A$1510&lt;=$J250)),'Match Log'!$N$4:$N$1510),NA()))</f>
        <v>1023.2192605207141</v>
      </c>
      <c r="X250" t="e">
        <f>IF($J250&gt;MAX('Match Log'!$A$4:$A$1510),NA(),IFERROR(LOOKUP(2,1/(('Match Log'!$D$4:$D$1510=$X$24)*('Match Log'!$A$4:$A$1510&lt;=$J250)),'Match Log'!$N$4:$N$1510),NA()))</f>
        <v>#N/A</v>
      </c>
      <c r="Y250" t="str">
        <f t="shared" ca="1" si="28"/>
        <v/>
      </c>
    </row>
    <row r="251" spans="1:25" x14ac:dyDescent="0.2">
      <c r="A251">
        <v>227</v>
      </c>
      <c r="B251">
        <f>IFERROR(INDEX('Match Log'!$B$4:$B$1510,MATCH($A251,'Match Log'!$A$4:$A$1510,0)),"")</f>
        <v>46255</v>
      </c>
      <c r="C251" t="str">
        <f>IFERROR(INDEX('Match Log'!$C$4:$C$1510,MATCH($A251,'Match Log'!$A$4:$A$1510,0)),"")</f>
        <v>HORSE - Basketball</v>
      </c>
      <c r="D251" t="str">
        <f t="array" ref="D251">IFERROR(_xlfn.TEXTJOIN(" + ",TRUE(),IF(('Match Log'!$A$4:$A$1510=$A251)*('Match Log'!$E$4:$E$1510="Win"),'Match Log'!$D$4:$D$1510,"")),IFERROR(LOOKUP(2,1/(('Match Log'!$A$4:$A$1510=$A251)*('Match Log'!$E$4:$E$1510="Win")),'Match Log'!$D$4:$D$1510),""))</f>
        <v>Shawn</v>
      </c>
      <c r="E251">
        <f>IFERROR(INDEX('Match Log'!$F$4:$F$1510,MATCH($A251,'Match Log'!$A$4:$A$1510,0)),"")</f>
        <v>4</v>
      </c>
      <c r="F251">
        <f>IFERROR(SUMIFS('Match Log'!$I$4:$I$1510,'Match Log'!$A$4:$A$1510,$A251,'Match Log'!$E$4:$E$1510,"Win"),"")</f>
        <v>0.25</v>
      </c>
      <c r="G251">
        <f t="shared" si="26"/>
        <v>0</v>
      </c>
      <c r="H251" t="str">
        <f t="array" ref="H251">IFERROR(IF(COUNTIFS('Match Log'!$A$4:$A$1510,$A251,'Match Log'!$E$4:$E$1510,"Win")&gt;1,_xlfn.TEXTJOIN(" + ",TRUE(),IF(('Match Log'!$A$4:$A$1510=$A251)*('Match Log'!$E$4:$E$1510="Loss"),'Match Log'!$D$4:$D$1510,"")),IF($E251=2,LOOKUP(2,1/(('Match Log'!$A$4:$A$1510=$A251)*('Match Log'!$E$4:$E$1510="Loss")),'Match Log'!$D$4:$D$1510),"the field")),"")</f>
        <v>the field</v>
      </c>
      <c r="I251">
        <f t="shared" si="27"/>
        <v>-2.2699999999999999E-4</v>
      </c>
      <c r="J251">
        <v>227</v>
      </c>
      <c r="K251">
        <f>IF($J251&gt;MAX('Match Log'!$A$4:$A$1510),NA(),IFERROR(LOOKUP(2,1/(('Match Log'!$D$4:$D$1510=$K$24)*('Match Log'!$A$4:$A$1510&lt;=$J251)),'Match Log'!$N$4:$N$1510),NA()))</f>
        <v>1031.5694185161383</v>
      </c>
      <c r="L251">
        <f>IF($J251&gt;MAX('Match Log'!$A$4:$A$1510),NA(),IFERROR(LOOKUP(2,1/(('Match Log'!$D$4:$D$1510=$L$24)*('Match Log'!$A$4:$A$1510&lt;=$J251)),'Match Log'!$N$4:$N$1510),NA()))</f>
        <v>1029.5175965335138</v>
      </c>
      <c r="M251">
        <f>IF($J251&gt;MAX('Match Log'!$A$4:$A$1510),NA(),IFERROR(LOOKUP(2,1/(('Match Log'!$D$4:$D$1510=$M$24)*('Match Log'!$A$4:$A$1510&lt;=$J251)),'Match Log'!$N$4:$N$1510),NA()))</f>
        <v>1037.8197114720938</v>
      </c>
      <c r="N251">
        <f>IF($J251&gt;MAX('Match Log'!$A$4:$A$1510),NA(),IFERROR(LOOKUP(2,1/(('Match Log'!$D$4:$D$1510=$N$24)*('Match Log'!$A$4:$A$1510&lt;=$J251)),'Match Log'!$N$4:$N$1510),NA()))</f>
        <v>973.19705892757202</v>
      </c>
      <c r="O251">
        <f>IF($J251&gt;MAX('Match Log'!$A$4:$A$1510),NA(),IFERROR(LOOKUP(2,1/(('Match Log'!$D$4:$D$1510=$O$24)*('Match Log'!$A$4:$A$1510&lt;=$J251)),'Match Log'!$N$4:$N$1510),NA()))</f>
        <v>1155.9112046633588</v>
      </c>
      <c r="P251">
        <f>IF($J251&gt;MAX('Match Log'!$A$4:$A$1510),NA(),IFERROR(LOOKUP(2,1/(('Match Log'!$D$4:$D$1510=$P$24)*('Match Log'!$A$4:$A$1510&lt;=$J251)),'Match Log'!$N$4:$N$1510),NA()))</f>
        <v>1193.81289056218</v>
      </c>
      <c r="Q251">
        <f>IF($J251&gt;MAX('Match Log'!$A$4:$A$1510),NA(),IFERROR(LOOKUP(2,1/(('Match Log'!$D$4:$D$1510=$Q$24)*('Match Log'!$A$4:$A$1510&lt;=$J251)),'Match Log'!$N$4:$N$1510),NA()))</f>
        <v>1048.1574415742446</v>
      </c>
      <c r="R251">
        <f>IF($J251&gt;MAX('Match Log'!$A$4:$A$1510),NA(),IFERROR(LOOKUP(2,1/(('Match Log'!$D$4:$D$1510=$R$24)*('Match Log'!$A$4:$A$1510&lt;=$J251)),'Match Log'!$N$4:$N$1510),NA()))</f>
        <v>1125.162001428029</v>
      </c>
      <c r="S251">
        <f>IF($J251&gt;MAX('Match Log'!$A$4:$A$1510),NA(),IFERROR(LOOKUP(2,1/(('Match Log'!$D$4:$D$1510=$S$24)*('Match Log'!$A$4:$A$1510&lt;=$J251)),'Match Log'!$N$4:$N$1510),NA()))</f>
        <v>1230.5249642150727</v>
      </c>
      <c r="T251">
        <f>IF($J251&gt;MAX('Match Log'!$A$4:$A$1510),NA(),IFERROR(LOOKUP(2,1/(('Match Log'!$D$4:$D$1510=$T$24)*('Match Log'!$A$4:$A$1510&lt;=$J251)),'Match Log'!$N$4:$N$1510),NA()))</f>
        <v>862.22294373677494</v>
      </c>
      <c r="U251">
        <f>IF($J251&gt;MAX('Match Log'!$A$4:$A$1510),NA(),IFERROR(LOOKUP(2,1/(('Match Log'!$D$4:$D$1510=$U$24)*('Match Log'!$A$4:$A$1510&lt;=$J251)),'Match Log'!$N$4:$N$1510),NA()))</f>
        <v>1054.3366131438215</v>
      </c>
      <c r="V251">
        <f>IF($J251&gt;MAX('Match Log'!$A$4:$A$1510),NA(),IFERROR(LOOKUP(2,1/(('Match Log'!$D$4:$D$1510=$V$24)*('Match Log'!$A$4:$A$1510&lt;=$J251)),'Match Log'!$N$4:$N$1510),NA()))</f>
        <v>1087.5488947064855</v>
      </c>
      <c r="W251">
        <f>IF($J251&gt;MAX('Match Log'!$A$4:$A$1510),NA(),IFERROR(LOOKUP(2,1/(('Match Log'!$D$4:$D$1510=$W$24)*('Match Log'!$A$4:$A$1510&lt;=$J251)),'Match Log'!$N$4:$N$1510),NA()))</f>
        <v>1023.2192605207141</v>
      </c>
      <c r="X251" t="e">
        <f>IF($J251&gt;MAX('Match Log'!$A$4:$A$1510),NA(),IFERROR(LOOKUP(2,1/(('Match Log'!$D$4:$D$1510=$X$24)*('Match Log'!$A$4:$A$1510&lt;=$J251)),'Match Log'!$N$4:$N$1510),NA()))</f>
        <v>#N/A</v>
      </c>
      <c r="Y251" t="str">
        <f t="shared" ca="1" si="28"/>
        <v/>
      </c>
    </row>
    <row r="252" spans="1:25" x14ac:dyDescent="0.2">
      <c r="A252">
        <v>228</v>
      </c>
      <c r="B252">
        <f>IFERROR(INDEX('Match Log'!$B$4:$B$1510,MATCH($A252,'Match Log'!$A$4:$A$1510,0)),"")</f>
        <v>46255</v>
      </c>
      <c r="C252" t="str">
        <f>IFERROR(INDEX('Match Log'!$C$4:$C$1510,MATCH($A252,'Match Log'!$A$4:$A$1510,0)),"")</f>
        <v>HORSE - Basketball</v>
      </c>
      <c r="D252" t="str">
        <f t="array" ref="D252">IFERROR(_xlfn.TEXTJOIN(" + ",TRUE(),IF(('Match Log'!$A$4:$A$1510=$A252)*('Match Log'!$E$4:$E$1510="Win"),'Match Log'!$D$4:$D$1510,"")),IFERROR(LOOKUP(2,1/(('Match Log'!$A$4:$A$1510=$A252)*('Match Log'!$E$4:$E$1510="Win")),'Match Log'!$D$4:$D$1510),""))</f>
        <v>Shawn</v>
      </c>
      <c r="E252">
        <f>IFERROR(INDEX('Match Log'!$F$4:$F$1510,MATCH($A252,'Match Log'!$A$4:$A$1510,0)),"")</f>
        <v>4</v>
      </c>
      <c r="F252">
        <f>IFERROR(SUMIFS('Match Log'!$I$4:$I$1510,'Match Log'!$A$4:$A$1510,$A252,'Match Log'!$E$4:$E$1510,"Win"),"")</f>
        <v>0.4</v>
      </c>
      <c r="G252">
        <f t="shared" si="26"/>
        <v>-0.60000000000000009</v>
      </c>
      <c r="H252" t="str">
        <f t="array" ref="H252">IFERROR(IF(COUNTIFS('Match Log'!$A$4:$A$1510,$A252,'Match Log'!$E$4:$E$1510,"Win")&gt;1,_xlfn.TEXTJOIN(" + ",TRUE(),IF(('Match Log'!$A$4:$A$1510=$A252)*('Match Log'!$E$4:$E$1510="Loss"),'Match Log'!$D$4:$D$1510,"")),IF($E252=2,LOOKUP(2,1/(('Match Log'!$A$4:$A$1510=$A252)*('Match Log'!$E$4:$E$1510="Loss")),'Match Log'!$D$4:$D$1510),"the field")),"")</f>
        <v>the field</v>
      </c>
      <c r="I252">
        <f t="shared" si="27"/>
        <v>-0.60022800000000009</v>
      </c>
      <c r="J252">
        <v>228</v>
      </c>
      <c r="K252">
        <f>IF($J252&gt;MAX('Match Log'!$A$4:$A$1510),NA(),IFERROR(LOOKUP(2,1/(('Match Log'!$D$4:$D$1510=$K$24)*('Match Log'!$A$4:$A$1510&lt;=$J252)),'Match Log'!$N$4:$N$1510),NA()))</f>
        <v>1029.8596447389739</v>
      </c>
      <c r="L252">
        <f>IF($J252&gt;MAX('Match Log'!$A$4:$A$1510),NA(),IFERROR(LOOKUP(2,1/(('Match Log'!$D$4:$D$1510=$L$24)*('Match Log'!$A$4:$A$1510&lt;=$J252)),'Match Log'!$N$4:$N$1510),NA()))</f>
        <v>1029.5175965335138</v>
      </c>
      <c r="M252">
        <f>IF($J252&gt;MAX('Match Log'!$A$4:$A$1510),NA(),IFERROR(LOOKUP(2,1/(('Match Log'!$D$4:$D$1510=$M$24)*('Match Log'!$A$4:$A$1510&lt;=$J252)),'Match Log'!$N$4:$N$1510),NA()))</f>
        <v>1037.8197114720938</v>
      </c>
      <c r="N252">
        <f>IF($J252&gt;MAX('Match Log'!$A$4:$A$1510),NA(),IFERROR(LOOKUP(2,1/(('Match Log'!$D$4:$D$1510=$N$24)*('Match Log'!$A$4:$A$1510&lt;=$J252)),'Match Log'!$N$4:$N$1510),NA()))</f>
        <v>973.19705892757202</v>
      </c>
      <c r="O252">
        <f>IF($J252&gt;MAX('Match Log'!$A$4:$A$1510),NA(),IFERROR(LOOKUP(2,1/(('Match Log'!$D$4:$D$1510=$O$24)*('Match Log'!$A$4:$A$1510&lt;=$J252)),'Match Log'!$N$4:$N$1510),NA()))</f>
        <v>1155.9112046633588</v>
      </c>
      <c r="P252">
        <f>IF($J252&gt;MAX('Match Log'!$A$4:$A$1510),NA(),IFERROR(LOOKUP(2,1/(('Match Log'!$D$4:$D$1510=$P$24)*('Match Log'!$A$4:$A$1510&lt;=$J252)),'Match Log'!$N$4:$N$1510),NA()))</f>
        <v>1218.4801654446578</v>
      </c>
      <c r="Q252">
        <f>IF($J252&gt;MAX('Match Log'!$A$4:$A$1510),NA(),IFERROR(LOOKUP(2,1/(('Match Log'!$D$4:$D$1510=$Q$24)*('Match Log'!$A$4:$A$1510&lt;=$J252)),'Match Log'!$N$4:$N$1510),NA()))</f>
        <v>1048.1574415742446</v>
      </c>
      <c r="R252">
        <f>IF($J252&gt;MAX('Match Log'!$A$4:$A$1510),NA(),IFERROR(LOOKUP(2,1/(('Match Log'!$D$4:$D$1510=$R$24)*('Match Log'!$A$4:$A$1510&lt;=$J252)),'Match Log'!$N$4:$N$1510),NA()))</f>
        <v>1122.3520439918057</v>
      </c>
      <c r="S252">
        <f>IF($J252&gt;MAX('Match Log'!$A$4:$A$1510),NA(),IFERROR(LOOKUP(2,1/(('Match Log'!$D$4:$D$1510=$S$24)*('Match Log'!$A$4:$A$1510&lt;=$J252)),'Match Log'!$N$4:$N$1510),NA()))</f>
        <v>1226.3774205459829</v>
      </c>
      <c r="T252">
        <f>IF($J252&gt;MAX('Match Log'!$A$4:$A$1510),NA(),IFERROR(LOOKUP(2,1/(('Match Log'!$D$4:$D$1510=$T$24)*('Match Log'!$A$4:$A$1510&lt;=$J252)),'Match Log'!$N$4:$N$1510),NA()))</f>
        <v>862.22294373677494</v>
      </c>
      <c r="U252">
        <f>IF($J252&gt;MAX('Match Log'!$A$4:$A$1510),NA(),IFERROR(LOOKUP(2,1/(('Match Log'!$D$4:$D$1510=$U$24)*('Match Log'!$A$4:$A$1510&lt;=$J252)),'Match Log'!$N$4:$N$1510),NA()))</f>
        <v>1054.3366131438215</v>
      </c>
      <c r="V252">
        <f>IF($J252&gt;MAX('Match Log'!$A$4:$A$1510),NA(),IFERROR(LOOKUP(2,1/(('Match Log'!$D$4:$D$1510=$V$24)*('Match Log'!$A$4:$A$1510&lt;=$J252)),'Match Log'!$N$4:$N$1510),NA()))</f>
        <v>1087.5488947064855</v>
      </c>
      <c r="W252">
        <f>IF($J252&gt;MAX('Match Log'!$A$4:$A$1510),NA(),IFERROR(LOOKUP(2,1/(('Match Log'!$D$4:$D$1510=$W$24)*('Match Log'!$A$4:$A$1510&lt;=$J252)),'Match Log'!$N$4:$N$1510),NA()))</f>
        <v>1023.2192605207141</v>
      </c>
      <c r="X252" t="e">
        <f>IF($J252&gt;MAX('Match Log'!$A$4:$A$1510),NA(),IFERROR(LOOKUP(2,1/(('Match Log'!$D$4:$D$1510=$X$24)*('Match Log'!$A$4:$A$1510&lt;=$J252)),'Match Log'!$N$4:$N$1510),NA()))</f>
        <v>#N/A</v>
      </c>
      <c r="Y252" t="str">
        <f t="shared" ca="1" si="28"/>
        <v/>
      </c>
    </row>
    <row r="253" spans="1:25" x14ac:dyDescent="0.2">
      <c r="A253">
        <v>229</v>
      </c>
      <c r="B253">
        <f>IFERROR(INDEX('Match Log'!$B$4:$B$1510,MATCH($A253,'Match Log'!$A$4:$A$1510,0)),"")</f>
        <v>46255</v>
      </c>
      <c r="C253" t="str">
        <f>IFERROR(INDEX('Match Log'!$C$4:$C$1510,MATCH($A253,'Match Log'!$A$4:$A$1510,0)),"")</f>
        <v>Table Tennis</v>
      </c>
      <c r="D253" t="str">
        <f t="array" ref="D253">IFERROR(_xlfn.TEXTJOIN(" + ",TRUE(),IF(('Match Log'!$A$4:$A$1510=$A253)*('Match Log'!$E$4:$E$1510="Win"),'Match Log'!$D$4:$D$1510,"")),IFERROR(LOOKUP(2,1/(('Match Log'!$A$4:$A$1510=$A253)*('Match Log'!$E$4:$E$1510="Win")),'Match Log'!$D$4:$D$1510),""))</f>
        <v>Aaron</v>
      </c>
      <c r="E253">
        <f>IFERROR(INDEX('Match Log'!$F$4:$F$1510,MATCH($A253,'Match Log'!$A$4:$A$1510,0)),"")</f>
        <v>2</v>
      </c>
      <c r="F253">
        <f>IFERROR(SUMIFS('Match Log'!$I$4:$I$1510,'Match Log'!$A$4:$A$1510,$A253,'Match Log'!$E$4:$E$1510,"Win"),"")</f>
        <v>0.6</v>
      </c>
      <c r="G253">
        <f t="shared" si="26"/>
        <v>-0.19999999999999996</v>
      </c>
      <c r="H253" t="str">
        <f t="array" ref="H253">IFERROR(IF(COUNTIFS('Match Log'!$A$4:$A$1510,$A253,'Match Log'!$E$4:$E$1510,"Win")&gt;1,_xlfn.TEXTJOIN(" + ",TRUE(),IF(('Match Log'!$A$4:$A$1510=$A253)*('Match Log'!$E$4:$E$1510="Loss"),'Match Log'!$D$4:$D$1510,"")),IF($E253=2,LOOKUP(2,1/(('Match Log'!$A$4:$A$1510=$A253)*('Match Log'!$E$4:$E$1510="Loss")),'Match Log'!$D$4:$D$1510),"the field")),"")</f>
        <v>David</v>
      </c>
      <c r="I253">
        <f t="shared" si="27"/>
        <v>-0.20022899999999996</v>
      </c>
      <c r="J253">
        <v>229</v>
      </c>
      <c r="K253">
        <f>IF($J253&gt;MAX('Match Log'!$A$4:$A$1510),NA(),IFERROR(LOOKUP(2,1/(('Match Log'!$D$4:$D$1510=$K$24)*('Match Log'!$A$4:$A$1510&lt;=$J253)),'Match Log'!$N$4:$N$1510),NA()))</f>
        <v>1048.5531649441446</v>
      </c>
      <c r="L253">
        <f>IF($J253&gt;MAX('Match Log'!$A$4:$A$1510),NA(),IFERROR(LOOKUP(2,1/(('Match Log'!$D$4:$D$1510=$L$24)*('Match Log'!$A$4:$A$1510&lt;=$J253)),'Match Log'!$N$4:$N$1510),NA()))</f>
        <v>1029.5175965335138</v>
      </c>
      <c r="M253">
        <f>IF($J253&gt;MAX('Match Log'!$A$4:$A$1510),NA(),IFERROR(LOOKUP(2,1/(('Match Log'!$D$4:$D$1510=$M$24)*('Match Log'!$A$4:$A$1510&lt;=$J253)),'Match Log'!$N$4:$N$1510),NA()))</f>
        <v>1037.8197114720938</v>
      </c>
      <c r="N253">
        <f>IF($J253&gt;MAX('Match Log'!$A$4:$A$1510),NA(),IFERROR(LOOKUP(2,1/(('Match Log'!$D$4:$D$1510=$N$24)*('Match Log'!$A$4:$A$1510&lt;=$J253)),'Match Log'!$N$4:$N$1510),NA()))</f>
        <v>954.50353872240123</v>
      </c>
      <c r="O253">
        <f>IF($J253&gt;MAX('Match Log'!$A$4:$A$1510),NA(),IFERROR(LOOKUP(2,1/(('Match Log'!$D$4:$D$1510=$O$24)*('Match Log'!$A$4:$A$1510&lt;=$J253)),'Match Log'!$N$4:$N$1510),NA()))</f>
        <v>1155.9112046633588</v>
      </c>
      <c r="P253">
        <f>IF($J253&gt;MAX('Match Log'!$A$4:$A$1510),NA(),IFERROR(LOOKUP(2,1/(('Match Log'!$D$4:$D$1510=$P$24)*('Match Log'!$A$4:$A$1510&lt;=$J253)),'Match Log'!$N$4:$N$1510),NA()))</f>
        <v>1218.4801654446578</v>
      </c>
      <c r="Q253">
        <f>IF($J253&gt;MAX('Match Log'!$A$4:$A$1510),NA(),IFERROR(LOOKUP(2,1/(('Match Log'!$D$4:$D$1510=$Q$24)*('Match Log'!$A$4:$A$1510&lt;=$J253)),'Match Log'!$N$4:$N$1510),NA()))</f>
        <v>1048.1574415742446</v>
      </c>
      <c r="R253">
        <f>IF($J253&gt;MAX('Match Log'!$A$4:$A$1510),NA(),IFERROR(LOOKUP(2,1/(('Match Log'!$D$4:$D$1510=$R$24)*('Match Log'!$A$4:$A$1510&lt;=$J253)),'Match Log'!$N$4:$N$1510),NA()))</f>
        <v>1122.3520439918057</v>
      </c>
      <c r="S253">
        <f>IF($J253&gt;MAX('Match Log'!$A$4:$A$1510),NA(),IFERROR(LOOKUP(2,1/(('Match Log'!$D$4:$D$1510=$S$24)*('Match Log'!$A$4:$A$1510&lt;=$J253)),'Match Log'!$N$4:$N$1510),NA()))</f>
        <v>1226.3774205459829</v>
      </c>
      <c r="T253">
        <f>IF($J253&gt;MAX('Match Log'!$A$4:$A$1510),NA(),IFERROR(LOOKUP(2,1/(('Match Log'!$D$4:$D$1510=$T$24)*('Match Log'!$A$4:$A$1510&lt;=$J253)),'Match Log'!$N$4:$N$1510),NA()))</f>
        <v>862.22294373677494</v>
      </c>
      <c r="U253">
        <f>IF($J253&gt;MAX('Match Log'!$A$4:$A$1510),NA(),IFERROR(LOOKUP(2,1/(('Match Log'!$D$4:$D$1510=$U$24)*('Match Log'!$A$4:$A$1510&lt;=$J253)),'Match Log'!$N$4:$N$1510),NA()))</f>
        <v>1054.3366131438215</v>
      </c>
      <c r="V253">
        <f>IF($J253&gt;MAX('Match Log'!$A$4:$A$1510),NA(),IFERROR(LOOKUP(2,1/(('Match Log'!$D$4:$D$1510=$V$24)*('Match Log'!$A$4:$A$1510&lt;=$J253)),'Match Log'!$N$4:$N$1510),NA()))</f>
        <v>1087.5488947064855</v>
      </c>
      <c r="W253">
        <f>IF($J253&gt;MAX('Match Log'!$A$4:$A$1510),NA(),IFERROR(LOOKUP(2,1/(('Match Log'!$D$4:$D$1510=$W$24)*('Match Log'!$A$4:$A$1510&lt;=$J253)),'Match Log'!$N$4:$N$1510),NA()))</f>
        <v>1023.2192605207141</v>
      </c>
      <c r="X253" t="e">
        <f>IF($J253&gt;MAX('Match Log'!$A$4:$A$1510),NA(),IFERROR(LOOKUP(2,1/(('Match Log'!$D$4:$D$1510=$X$24)*('Match Log'!$A$4:$A$1510&lt;=$J253)),'Match Log'!$N$4:$N$1510),NA()))</f>
        <v>#N/A</v>
      </c>
      <c r="Y253" t="str">
        <f t="shared" ca="1" si="28"/>
        <v/>
      </c>
    </row>
    <row r="254" spans="1:25" x14ac:dyDescent="0.2">
      <c r="A254">
        <v>230</v>
      </c>
      <c r="B254">
        <f>IFERROR(INDEX('Match Log'!$B$4:$B$1510,MATCH($A254,'Match Log'!$A$4:$A$1510,0)),"")</f>
        <v>46255</v>
      </c>
      <c r="C254" t="str">
        <f>IFERROR(INDEX('Match Log'!$C$4:$C$1510,MATCH($A254,'Match Log'!$A$4:$A$1510,0)),"")</f>
        <v>Table Tennis</v>
      </c>
      <c r="D254" t="str">
        <f t="array" ref="D254">IFERROR(_xlfn.TEXTJOIN(" + ",TRUE(),IF(('Match Log'!$A$4:$A$1510=$A254)*('Match Log'!$E$4:$E$1510="Win"),'Match Log'!$D$4:$D$1510,"")),IFERROR(LOOKUP(2,1/(('Match Log'!$A$4:$A$1510=$A254)*('Match Log'!$E$4:$E$1510="Win")),'Match Log'!$D$4:$D$1510),""))</f>
        <v>Aaron</v>
      </c>
      <c r="E254">
        <f>IFERROR(INDEX('Match Log'!$F$4:$F$1510,MATCH($A254,'Match Log'!$A$4:$A$1510,0)),"")</f>
        <v>2</v>
      </c>
      <c r="F254">
        <f>IFERROR(SUMIFS('Match Log'!$I$4:$I$1510,'Match Log'!$A$4:$A$1510,$A254,'Match Log'!$E$4:$E$1510,"Win"),"")</f>
        <v>0.66666666666666663</v>
      </c>
      <c r="G254">
        <f t="shared" si="26"/>
        <v>-0.33333333333333326</v>
      </c>
      <c r="H254" t="str">
        <f t="array" ref="H254">IFERROR(IF(COUNTIFS('Match Log'!$A$4:$A$1510,$A254,'Match Log'!$E$4:$E$1510,"Win")&gt;1,_xlfn.TEXTJOIN(" + ",TRUE(),IF(('Match Log'!$A$4:$A$1510=$A254)*('Match Log'!$E$4:$E$1510="Loss"),'Match Log'!$D$4:$D$1510,"")),IF($E254=2,LOOKUP(2,1/(('Match Log'!$A$4:$A$1510=$A254)*('Match Log'!$E$4:$E$1510="Loss")),'Match Log'!$D$4:$D$1510),"the field")),"")</f>
        <v>Daniel (Ferret)</v>
      </c>
      <c r="I254">
        <f t="shared" si="27"/>
        <v>-0.33356333333333327</v>
      </c>
      <c r="J254">
        <v>230</v>
      </c>
      <c r="K254">
        <f>IF($J254&gt;MAX('Match Log'!$A$4:$A$1510),NA(),IFERROR(LOOKUP(2,1/(('Match Log'!$D$4:$D$1510=$K$24)*('Match Log'!$A$4:$A$1510&lt;=$J254)),'Match Log'!$N$4:$N$1510),NA()))</f>
        <v>1068.3883063494509</v>
      </c>
      <c r="L254">
        <f>IF($J254&gt;MAX('Match Log'!$A$4:$A$1510),NA(),IFERROR(LOOKUP(2,1/(('Match Log'!$D$4:$D$1510=$L$24)*('Match Log'!$A$4:$A$1510&lt;=$J254)),'Match Log'!$N$4:$N$1510),NA()))</f>
        <v>1029.5175965335138</v>
      </c>
      <c r="M254">
        <f>IF($J254&gt;MAX('Match Log'!$A$4:$A$1510),NA(),IFERROR(LOOKUP(2,1/(('Match Log'!$D$4:$D$1510=$M$24)*('Match Log'!$A$4:$A$1510&lt;=$J254)),'Match Log'!$N$4:$N$1510),NA()))</f>
        <v>1037.8197114720938</v>
      </c>
      <c r="N254">
        <f>IF($J254&gt;MAX('Match Log'!$A$4:$A$1510),NA(),IFERROR(LOOKUP(2,1/(('Match Log'!$D$4:$D$1510=$N$24)*('Match Log'!$A$4:$A$1510&lt;=$J254)),'Match Log'!$N$4:$N$1510),NA()))</f>
        <v>954.50353872240123</v>
      </c>
      <c r="O254">
        <f>IF($J254&gt;MAX('Match Log'!$A$4:$A$1510),NA(),IFERROR(LOOKUP(2,1/(('Match Log'!$D$4:$D$1510=$O$24)*('Match Log'!$A$4:$A$1510&lt;=$J254)),'Match Log'!$N$4:$N$1510),NA()))</f>
        <v>1155.9112046633588</v>
      </c>
      <c r="P254">
        <f>IF($J254&gt;MAX('Match Log'!$A$4:$A$1510),NA(),IFERROR(LOOKUP(2,1/(('Match Log'!$D$4:$D$1510=$P$24)*('Match Log'!$A$4:$A$1510&lt;=$J254)),'Match Log'!$N$4:$N$1510),NA()))</f>
        <v>1218.4801654446578</v>
      </c>
      <c r="Q254">
        <f>IF($J254&gt;MAX('Match Log'!$A$4:$A$1510),NA(),IFERROR(LOOKUP(2,1/(('Match Log'!$D$4:$D$1510=$Q$24)*('Match Log'!$A$4:$A$1510&lt;=$J254)),'Match Log'!$N$4:$N$1510),NA()))</f>
        <v>1048.1574415742446</v>
      </c>
      <c r="R254">
        <f>IF($J254&gt;MAX('Match Log'!$A$4:$A$1510),NA(),IFERROR(LOOKUP(2,1/(('Match Log'!$D$4:$D$1510=$R$24)*('Match Log'!$A$4:$A$1510&lt;=$J254)),'Match Log'!$N$4:$N$1510),NA()))</f>
        <v>1102.5169025864993</v>
      </c>
      <c r="S254">
        <f>IF($J254&gt;MAX('Match Log'!$A$4:$A$1510),NA(),IFERROR(LOOKUP(2,1/(('Match Log'!$D$4:$D$1510=$S$24)*('Match Log'!$A$4:$A$1510&lt;=$J254)),'Match Log'!$N$4:$N$1510),NA()))</f>
        <v>1226.3774205459829</v>
      </c>
      <c r="T254">
        <f>IF($J254&gt;MAX('Match Log'!$A$4:$A$1510),NA(),IFERROR(LOOKUP(2,1/(('Match Log'!$D$4:$D$1510=$T$24)*('Match Log'!$A$4:$A$1510&lt;=$J254)),'Match Log'!$N$4:$N$1510),NA()))</f>
        <v>862.22294373677494</v>
      </c>
      <c r="U254">
        <f>IF($J254&gt;MAX('Match Log'!$A$4:$A$1510),NA(),IFERROR(LOOKUP(2,1/(('Match Log'!$D$4:$D$1510=$U$24)*('Match Log'!$A$4:$A$1510&lt;=$J254)),'Match Log'!$N$4:$N$1510),NA()))</f>
        <v>1054.3366131438215</v>
      </c>
      <c r="V254">
        <f>IF($J254&gt;MAX('Match Log'!$A$4:$A$1510),NA(),IFERROR(LOOKUP(2,1/(('Match Log'!$D$4:$D$1510=$V$24)*('Match Log'!$A$4:$A$1510&lt;=$J254)),'Match Log'!$N$4:$N$1510),NA()))</f>
        <v>1087.5488947064855</v>
      </c>
      <c r="W254">
        <f>IF($J254&gt;MAX('Match Log'!$A$4:$A$1510),NA(),IFERROR(LOOKUP(2,1/(('Match Log'!$D$4:$D$1510=$W$24)*('Match Log'!$A$4:$A$1510&lt;=$J254)),'Match Log'!$N$4:$N$1510),NA()))</f>
        <v>1023.2192605207141</v>
      </c>
      <c r="X254" t="e">
        <f>IF($J254&gt;MAX('Match Log'!$A$4:$A$1510),NA(),IFERROR(LOOKUP(2,1/(('Match Log'!$D$4:$D$1510=$X$24)*('Match Log'!$A$4:$A$1510&lt;=$J254)),'Match Log'!$N$4:$N$1510),NA()))</f>
        <v>#N/A</v>
      </c>
      <c r="Y254" t="str">
        <f t="shared" ca="1" si="28"/>
        <v/>
      </c>
    </row>
    <row r="255" spans="1:25" x14ac:dyDescent="0.2">
      <c r="A255">
        <v>231</v>
      </c>
      <c r="B255">
        <f>IFERROR(INDEX('Match Log'!$B$4:$B$1510,MATCH($A255,'Match Log'!$A$4:$A$1510,0)),"")</f>
        <v>46255</v>
      </c>
      <c r="C255" t="str">
        <f>IFERROR(INDEX('Match Log'!$C$4:$C$1510,MATCH($A255,'Match Log'!$A$4:$A$1510,0)),"")</f>
        <v>Table Tennis</v>
      </c>
      <c r="D255" t="str">
        <f t="array" ref="D255">IFERROR(_xlfn.TEXTJOIN(" + ",TRUE(),IF(('Match Log'!$A$4:$A$1510=$A255)*('Match Log'!$E$4:$E$1510="Win"),'Match Log'!$D$4:$D$1510,"")),IFERROR(LOOKUP(2,1/(('Match Log'!$A$4:$A$1510=$A255)*('Match Log'!$E$4:$E$1510="Win")),'Match Log'!$D$4:$D$1510),""))</f>
        <v>Aaron</v>
      </c>
      <c r="E255">
        <f>IFERROR(INDEX('Match Log'!$F$4:$F$1510,MATCH($A255,'Match Log'!$A$4:$A$1510,0)),"")</f>
        <v>2</v>
      </c>
      <c r="F255">
        <f>IFERROR(SUMIFS('Match Log'!$I$4:$I$1510,'Match Log'!$A$4:$A$1510,$A255,'Match Log'!$E$4:$E$1510,"Win"),"")</f>
        <v>0.41176470588235292</v>
      </c>
      <c r="G255">
        <f t="shared" si="26"/>
        <v>0.17647058823529416</v>
      </c>
      <c r="H255" t="str">
        <f t="array" ref="H255">IFERROR(IF(COUNTIFS('Match Log'!$A$4:$A$1510,$A255,'Match Log'!$E$4:$E$1510,"Win")&gt;1,_xlfn.TEXTJOIN(" + ",TRUE(),IF(('Match Log'!$A$4:$A$1510=$A255)*('Match Log'!$E$4:$E$1510="Loss"),'Match Log'!$D$4:$D$1510,"")),IF($E255=2,LOOKUP(2,1/(('Match Log'!$A$4:$A$1510=$A255)*('Match Log'!$E$4:$E$1510="Loss")),'Match Log'!$D$4:$D$1510),"the field")),"")</f>
        <v>Dean B</v>
      </c>
      <c r="I255">
        <f t="shared" si="27"/>
        <v>0.17623958823529415</v>
      </c>
      <c r="J255">
        <v>231</v>
      </c>
      <c r="K255">
        <f>IF($J255&gt;MAX('Match Log'!$A$4:$A$1510),NA(),IFERROR(LOOKUP(2,1/(('Match Log'!$D$4:$D$1510=$K$24)*('Match Log'!$A$4:$A$1510&lt;=$J255)),'Match Log'!$N$4:$N$1510),NA()))</f>
        <v>1096.1885586622006</v>
      </c>
      <c r="L255">
        <f>IF($J255&gt;MAX('Match Log'!$A$4:$A$1510),NA(),IFERROR(LOOKUP(2,1/(('Match Log'!$D$4:$D$1510=$L$24)*('Match Log'!$A$4:$A$1510&lt;=$J255)),'Match Log'!$N$4:$N$1510),NA()))</f>
        <v>1029.5175965335138</v>
      </c>
      <c r="M255">
        <f>IF($J255&gt;MAX('Match Log'!$A$4:$A$1510),NA(),IFERROR(LOOKUP(2,1/(('Match Log'!$D$4:$D$1510=$M$24)*('Match Log'!$A$4:$A$1510&lt;=$J255)),'Match Log'!$N$4:$N$1510),NA()))</f>
        <v>1037.8197114720938</v>
      </c>
      <c r="N255">
        <f>IF($J255&gt;MAX('Match Log'!$A$4:$A$1510),NA(),IFERROR(LOOKUP(2,1/(('Match Log'!$D$4:$D$1510=$N$24)*('Match Log'!$A$4:$A$1510&lt;=$J255)),'Match Log'!$N$4:$N$1510),NA()))</f>
        <v>954.50353872240123</v>
      </c>
      <c r="O255">
        <f>IF($J255&gt;MAX('Match Log'!$A$4:$A$1510),NA(),IFERROR(LOOKUP(2,1/(('Match Log'!$D$4:$D$1510=$O$24)*('Match Log'!$A$4:$A$1510&lt;=$J255)),'Match Log'!$N$4:$N$1510),NA()))</f>
        <v>1155.9112046633588</v>
      </c>
      <c r="P255">
        <f>IF($J255&gt;MAX('Match Log'!$A$4:$A$1510),NA(),IFERROR(LOOKUP(2,1/(('Match Log'!$D$4:$D$1510=$P$24)*('Match Log'!$A$4:$A$1510&lt;=$J255)),'Match Log'!$N$4:$N$1510),NA()))</f>
        <v>1218.4801654446578</v>
      </c>
      <c r="Q255">
        <f>IF($J255&gt;MAX('Match Log'!$A$4:$A$1510),NA(),IFERROR(LOOKUP(2,1/(('Match Log'!$D$4:$D$1510=$Q$24)*('Match Log'!$A$4:$A$1510&lt;=$J255)),'Match Log'!$N$4:$N$1510),NA()))</f>
        <v>1048.1574415742446</v>
      </c>
      <c r="R255">
        <f>IF($J255&gt;MAX('Match Log'!$A$4:$A$1510),NA(),IFERROR(LOOKUP(2,1/(('Match Log'!$D$4:$D$1510=$R$24)*('Match Log'!$A$4:$A$1510&lt;=$J255)),'Match Log'!$N$4:$N$1510),NA()))</f>
        <v>1102.5169025864993</v>
      </c>
      <c r="S255">
        <f>IF($J255&gt;MAX('Match Log'!$A$4:$A$1510),NA(),IFERROR(LOOKUP(2,1/(('Match Log'!$D$4:$D$1510=$S$24)*('Match Log'!$A$4:$A$1510&lt;=$J255)),'Match Log'!$N$4:$N$1510),NA()))</f>
        <v>1198.5771682332331</v>
      </c>
      <c r="T255">
        <f>IF($J255&gt;MAX('Match Log'!$A$4:$A$1510),NA(),IFERROR(LOOKUP(2,1/(('Match Log'!$D$4:$D$1510=$T$24)*('Match Log'!$A$4:$A$1510&lt;=$J255)),'Match Log'!$N$4:$N$1510),NA()))</f>
        <v>862.22294373677494</v>
      </c>
      <c r="U255">
        <f>IF($J255&gt;MAX('Match Log'!$A$4:$A$1510),NA(),IFERROR(LOOKUP(2,1/(('Match Log'!$D$4:$D$1510=$U$24)*('Match Log'!$A$4:$A$1510&lt;=$J255)),'Match Log'!$N$4:$N$1510),NA()))</f>
        <v>1054.3366131438215</v>
      </c>
      <c r="V255">
        <f>IF($J255&gt;MAX('Match Log'!$A$4:$A$1510),NA(),IFERROR(LOOKUP(2,1/(('Match Log'!$D$4:$D$1510=$V$24)*('Match Log'!$A$4:$A$1510&lt;=$J255)),'Match Log'!$N$4:$N$1510),NA()))</f>
        <v>1087.5488947064855</v>
      </c>
      <c r="W255">
        <f>IF($J255&gt;MAX('Match Log'!$A$4:$A$1510),NA(),IFERROR(LOOKUP(2,1/(('Match Log'!$D$4:$D$1510=$W$24)*('Match Log'!$A$4:$A$1510&lt;=$J255)),'Match Log'!$N$4:$N$1510),NA()))</f>
        <v>1023.2192605207141</v>
      </c>
      <c r="X255" t="e">
        <f>IF($J255&gt;MAX('Match Log'!$A$4:$A$1510),NA(),IFERROR(LOOKUP(2,1/(('Match Log'!$D$4:$D$1510=$X$24)*('Match Log'!$A$4:$A$1510&lt;=$J255)),'Match Log'!$N$4:$N$1510),NA()))</f>
        <v>#N/A</v>
      </c>
      <c r="Y255" t="str">
        <f t="shared" ca="1" si="28"/>
        <v/>
      </c>
    </row>
    <row r="256" spans="1:25" x14ac:dyDescent="0.2">
      <c r="A256">
        <v>232</v>
      </c>
      <c r="B256">
        <f>IFERROR(INDEX('Match Log'!$B$4:$B$1510,MATCH($A256,'Match Log'!$A$4:$A$1510,0)),"")</f>
        <v>46255</v>
      </c>
      <c r="C256" t="str">
        <f>IFERROR(INDEX('Match Log'!$C$4:$C$1510,MATCH($A256,'Match Log'!$A$4:$A$1510,0)),"")</f>
        <v>Table Tennis</v>
      </c>
      <c r="D256" t="str">
        <f t="array" ref="D256">IFERROR(_xlfn.TEXTJOIN(" + ",TRUE(),IF(('Match Log'!$A$4:$A$1510=$A256)*('Match Log'!$E$4:$E$1510="Win"),'Match Log'!$D$4:$D$1510,"")),IFERROR(LOOKUP(2,1/(('Match Log'!$A$4:$A$1510=$A256)*('Match Log'!$E$4:$E$1510="Win")),'Match Log'!$D$4:$D$1510),""))</f>
        <v>Aaron</v>
      </c>
      <c r="E256">
        <f>IFERROR(INDEX('Match Log'!$F$4:$F$1510,MATCH($A256,'Match Log'!$A$4:$A$1510,0)),"")</f>
        <v>2</v>
      </c>
      <c r="F256">
        <f>IFERROR(SUMIFS('Match Log'!$I$4:$I$1510,'Match Log'!$A$4:$A$1510,$A256,'Match Log'!$E$4:$E$1510,"Win"),"")</f>
        <v>0.73170731707317072</v>
      </c>
      <c r="G256">
        <f t="shared" si="26"/>
        <v>-0.46341463414634143</v>
      </c>
      <c r="H256" t="str">
        <f t="array" ref="H256">IFERROR(IF(COUNTIFS('Match Log'!$A$4:$A$1510,$A256,'Match Log'!$E$4:$E$1510,"Win")&gt;1,_xlfn.TEXTJOIN(" + ",TRUE(),IF(('Match Log'!$A$4:$A$1510=$A256)*('Match Log'!$E$4:$E$1510="Loss"),'Match Log'!$D$4:$D$1510,"")),IF($E256=2,LOOKUP(2,1/(('Match Log'!$A$4:$A$1510=$A256)*('Match Log'!$E$4:$E$1510="Loss")),'Match Log'!$D$4:$D$1510),"the field")),"")</f>
        <v>Simon</v>
      </c>
      <c r="I256">
        <f t="shared" si="27"/>
        <v>-0.46364663414634144</v>
      </c>
      <c r="J256">
        <v>232</v>
      </c>
      <c r="K256">
        <f>IF($J256&gt;MAX('Match Log'!$A$4:$A$1510),NA(),IFERROR(LOOKUP(2,1/(('Match Log'!$D$4:$D$1510=$K$24)*('Match Log'!$A$4:$A$1510&lt;=$J256)),'Match Log'!$N$4:$N$1510),NA()))</f>
        <v>1113.4602449464203</v>
      </c>
      <c r="L256">
        <f>IF($J256&gt;MAX('Match Log'!$A$4:$A$1510),NA(),IFERROR(LOOKUP(2,1/(('Match Log'!$D$4:$D$1510=$L$24)*('Match Log'!$A$4:$A$1510&lt;=$J256)),'Match Log'!$N$4:$N$1510),NA()))</f>
        <v>1029.5175965335138</v>
      </c>
      <c r="M256">
        <f>IF($J256&gt;MAX('Match Log'!$A$4:$A$1510),NA(),IFERROR(LOOKUP(2,1/(('Match Log'!$D$4:$D$1510=$M$24)*('Match Log'!$A$4:$A$1510&lt;=$J256)),'Match Log'!$N$4:$N$1510),NA()))</f>
        <v>1037.8197114720938</v>
      </c>
      <c r="N256">
        <f>IF($J256&gt;MAX('Match Log'!$A$4:$A$1510),NA(),IFERROR(LOOKUP(2,1/(('Match Log'!$D$4:$D$1510=$N$24)*('Match Log'!$A$4:$A$1510&lt;=$J256)),'Match Log'!$N$4:$N$1510),NA()))</f>
        <v>954.50353872240123</v>
      </c>
      <c r="O256">
        <f>IF($J256&gt;MAX('Match Log'!$A$4:$A$1510),NA(),IFERROR(LOOKUP(2,1/(('Match Log'!$D$4:$D$1510=$O$24)*('Match Log'!$A$4:$A$1510&lt;=$J256)),'Match Log'!$N$4:$N$1510),NA()))</f>
        <v>1155.9112046633588</v>
      </c>
      <c r="P256">
        <f>IF($J256&gt;MAX('Match Log'!$A$4:$A$1510),NA(),IFERROR(LOOKUP(2,1/(('Match Log'!$D$4:$D$1510=$P$24)*('Match Log'!$A$4:$A$1510&lt;=$J256)),'Match Log'!$N$4:$N$1510),NA()))</f>
        <v>1218.4801654446578</v>
      </c>
      <c r="Q256">
        <f>IF($J256&gt;MAX('Match Log'!$A$4:$A$1510),NA(),IFERROR(LOOKUP(2,1/(('Match Log'!$D$4:$D$1510=$Q$24)*('Match Log'!$A$4:$A$1510&lt;=$J256)),'Match Log'!$N$4:$N$1510),NA()))</f>
        <v>1030.8857552900249</v>
      </c>
      <c r="R256">
        <f>IF($J256&gt;MAX('Match Log'!$A$4:$A$1510),NA(),IFERROR(LOOKUP(2,1/(('Match Log'!$D$4:$D$1510=$R$24)*('Match Log'!$A$4:$A$1510&lt;=$J256)),'Match Log'!$N$4:$N$1510),NA()))</f>
        <v>1102.5169025864993</v>
      </c>
      <c r="S256">
        <f>IF($J256&gt;MAX('Match Log'!$A$4:$A$1510),NA(),IFERROR(LOOKUP(2,1/(('Match Log'!$D$4:$D$1510=$S$24)*('Match Log'!$A$4:$A$1510&lt;=$J256)),'Match Log'!$N$4:$N$1510),NA()))</f>
        <v>1198.5771682332331</v>
      </c>
      <c r="T256">
        <f>IF($J256&gt;MAX('Match Log'!$A$4:$A$1510),NA(),IFERROR(LOOKUP(2,1/(('Match Log'!$D$4:$D$1510=$T$24)*('Match Log'!$A$4:$A$1510&lt;=$J256)),'Match Log'!$N$4:$N$1510),NA()))</f>
        <v>862.22294373677494</v>
      </c>
      <c r="U256">
        <f>IF($J256&gt;MAX('Match Log'!$A$4:$A$1510),NA(),IFERROR(LOOKUP(2,1/(('Match Log'!$D$4:$D$1510=$U$24)*('Match Log'!$A$4:$A$1510&lt;=$J256)),'Match Log'!$N$4:$N$1510),NA()))</f>
        <v>1054.3366131438215</v>
      </c>
      <c r="V256">
        <f>IF($J256&gt;MAX('Match Log'!$A$4:$A$1510),NA(),IFERROR(LOOKUP(2,1/(('Match Log'!$D$4:$D$1510=$V$24)*('Match Log'!$A$4:$A$1510&lt;=$J256)),'Match Log'!$N$4:$N$1510),NA()))</f>
        <v>1087.5488947064855</v>
      </c>
      <c r="W256">
        <f>IF($J256&gt;MAX('Match Log'!$A$4:$A$1510),NA(),IFERROR(LOOKUP(2,1/(('Match Log'!$D$4:$D$1510=$W$24)*('Match Log'!$A$4:$A$1510&lt;=$J256)),'Match Log'!$N$4:$N$1510),NA()))</f>
        <v>1023.2192605207141</v>
      </c>
      <c r="X256" t="e">
        <f>IF($J256&gt;MAX('Match Log'!$A$4:$A$1510),NA(),IFERROR(LOOKUP(2,1/(('Match Log'!$D$4:$D$1510=$X$24)*('Match Log'!$A$4:$A$1510&lt;=$J256)),'Match Log'!$N$4:$N$1510),NA()))</f>
        <v>#N/A</v>
      </c>
      <c r="Y256" t="str">
        <f t="shared" ca="1" si="28"/>
        <v/>
      </c>
    </row>
    <row r="257" spans="1:25" x14ac:dyDescent="0.2">
      <c r="A257">
        <v>233</v>
      </c>
      <c r="B257">
        <f>IFERROR(INDEX('Match Log'!$B$4:$B$1510,MATCH($A257,'Match Log'!$A$4:$A$1510,0)),"")</f>
        <v>46255</v>
      </c>
      <c r="C257" t="str">
        <f>IFERROR(INDEX('Match Log'!$C$4:$C$1510,MATCH($A257,'Match Log'!$A$4:$A$1510,0)),"")</f>
        <v>Table Tennis</v>
      </c>
      <c r="D257" t="str">
        <f t="array" ref="D257">IFERROR(_xlfn.TEXTJOIN(" + ",TRUE(),IF(('Match Log'!$A$4:$A$1510=$A257)*('Match Log'!$E$4:$E$1510="Win"),'Match Log'!$D$4:$D$1510,"")),IFERROR(LOOKUP(2,1/(('Match Log'!$A$4:$A$1510=$A257)*('Match Log'!$E$4:$E$1510="Win")),'Match Log'!$D$4:$D$1510),""))</f>
        <v>Daniel (Ferret)</v>
      </c>
      <c r="E257">
        <f>IFERROR(INDEX('Match Log'!$F$4:$F$1510,MATCH($A257,'Match Log'!$A$4:$A$1510,0)),"")</f>
        <v>2</v>
      </c>
      <c r="F257">
        <f>IFERROR(SUMIFS('Match Log'!$I$4:$I$1510,'Match Log'!$A$4:$A$1510,$A257,'Match Log'!$E$4:$E$1510,"Win"),"")</f>
        <v>0.54545454545454541</v>
      </c>
      <c r="G257">
        <f t="shared" si="26"/>
        <v>-9.0909090909090828E-2</v>
      </c>
      <c r="H257" t="str">
        <f t="array" ref="H257">IFERROR(IF(COUNTIFS('Match Log'!$A$4:$A$1510,$A257,'Match Log'!$E$4:$E$1510,"Win")&gt;1,_xlfn.TEXTJOIN(" + ",TRUE(),IF(('Match Log'!$A$4:$A$1510=$A257)*('Match Log'!$E$4:$E$1510="Loss"),'Match Log'!$D$4:$D$1510,"")),IF($E257=2,LOOKUP(2,1/(('Match Log'!$A$4:$A$1510=$A257)*('Match Log'!$E$4:$E$1510="Loss")),'Match Log'!$D$4:$D$1510),"the field")),"")</f>
        <v>Simon</v>
      </c>
      <c r="I257">
        <f t="shared" si="27"/>
        <v>-9.1142090909090825E-2</v>
      </c>
      <c r="J257">
        <v>233</v>
      </c>
      <c r="K257">
        <f>IF($J257&gt;MAX('Match Log'!$A$4:$A$1510),NA(),IFERROR(LOOKUP(2,1/(('Match Log'!$D$4:$D$1510=$K$24)*('Match Log'!$A$4:$A$1510&lt;=$J257)),'Match Log'!$N$4:$N$1510),NA()))</f>
        <v>1113.4602449464203</v>
      </c>
      <c r="L257">
        <f>IF($J257&gt;MAX('Match Log'!$A$4:$A$1510),NA(),IFERROR(LOOKUP(2,1/(('Match Log'!$D$4:$D$1510=$L$24)*('Match Log'!$A$4:$A$1510&lt;=$J257)),'Match Log'!$N$4:$N$1510),NA()))</f>
        <v>1029.5175965335138</v>
      </c>
      <c r="M257">
        <f>IF($J257&gt;MAX('Match Log'!$A$4:$A$1510),NA(),IFERROR(LOOKUP(2,1/(('Match Log'!$D$4:$D$1510=$M$24)*('Match Log'!$A$4:$A$1510&lt;=$J257)),'Match Log'!$N$4:$N$1510),NA()))</f>
        <v>1037.8197114720938</v>
      </c>
      <c r="N257">
        <f>IF($J257&gt;MAX('Match Log'!$A$4:$A$1510),NA(),IFERROR(LOOKUP(2,1/(('Match Log'!$D$4:$D$1510=$N$24)*('Match Log'!$A$4:$A$1510&lt;=$J257)),'Match Log'!$N$4:$N$1510),NA()))</f>
        <v>954.50353872240123</v>
      </c>
      <c r="O257">
        <f>IF($J257&gt;MAX('Match Log'!$A$4:$A$1510),NA(),IFERROR(LOOKUP(2,1/(('Match Log'!$D$4:$D$1510=$O$24)*('Match Log'!$A$4:$A$1510&lt;=$J257)),'Match Log'!$N$4:$N$1510),NA()))</f>
        <v>1155.9112046633588</v>
      </c>
      <c r="P257">
        <f>IF($J257&gt;MAX('Match Log'!$A$4:$A$1510),NA(),IFERROR(LOOKUP(2,1/(('Match Log'!$D$4:$D$1510=$P$24)*('Match Log'!$A$4:$A$1510&lt;=$J257)),'Match Log'!$N$4:$N$1510),NA()))</f>
        <v>1218.4801654446578</v>
      </c>
      <c r="Q257">
        <f>IF($J257&gt;MAX('Match Log'!$A$4:$A$1510),NA(),IFERROR(LOOKUP(2,1/(('Match Log'!$D$4:$D$1510=$Q$24)*('Match Log'!$A$4:$A$1510&lt;=$J257)),'Match Log'!$N$4:$N$1510),NA()))</f>
        <v>1009.6534267547827</v>
      </c>
      <c r="R257">
        <f>IF($J257&gt;MAX('Match Log'!$A$4:$A$1510),NA(),IFERROR(LOOKUP(2,1/(('Match Log'!$D$4:$D$1510=$R$24)*('Match Log'!$A$4:$A$1510&lt;=$J257)),'Match Log'!$N$4:$N$1510),NA()))</f>
        <v>1123.7492311217416</v>
      </c>
      <c r="S257">
        <f>IF($J257&gt;MAX('Match Log'!$A$4:$A$1510),NA(),IFERROR(LOOKUP(2,1/(('Match Log'!$D$4:$D$1510=$S$24)*('Match Log'!$A$4:$A$1510&lt;=$J257)),'Match Log'!$N$4:$N$1510),NA()))</f>
        <v>1198.5771682332331</v>
      </c>
      <c r="T257">
        <f>IF($J257&gt;MAX('Match Log'!$A$4:$A$1510),NA(),IFERROR(LOOKUP(2,1/(('Match Log'!$D$4:$D$1510=$T$24)*('Match Log'!$A$4:$A$1510&lt;=$J257)),'Match Log'!$N$4:$N$1510),NA()))</f>
        <v>862.22294373677494</v>
      </c>
      <c r="U257">
        <f>IF($J257&gt;MAX('Match Log'!$A$4:$A$1510),NA(),IFERROR(LOOKUP(2,1/(('Match Log'!$D$4:$D$1510=$U$24)*('Match Log'!$A$4:$A$1510&lt;=$J257)),'Match Log'!$N$4:$N$1510),NA()))</f>
        <v>1054.3366131438215</v>
      </c>
      <c r="V257">
        <f>IF($J257&gt;MAX('Match Log'!$A$4:$A$1510),NA(),IFERROR(LOOKUP(2,1/(('Match Log'!$D$4:$D$1510=$V$24)*('Match Log'!$A$4:$A$1510&lt;=$J257)),'Match Log'!$N$4:$N$1510),NA()))</f>
        <v>1087.5488947064855</v>
      </c>
      <c r="W257">
        <f>IF($J257&gt;MAX('Match Log'!$A$4:$A$1510),NA(),IFERROR(LOOKUP(2,1/(('Match Log'!$D$4:$D$1510=$W$24)*('Match Log'!$A$4:$A$1510&lt;=$J257)),'Match Log'!$N$4:$N$1510),NA()))</f>
        <v>1023.2192605207141</v>
      </c>
      <c r="X257" t="e">
        <f>IF($J257&gt;MAX('Match Log'!$A$4:$A$1510),NA(),IFERROR(LOOKUP(2,1/(('Match Log'!$D$4:$D$1510=$X$24)*('Match Log'!$A$4:$A$1510&lt;=$J257)),'Match Log'!$N$4:$N$1510),NA()))</f>
        <v>#N/A</v>
      </c>
      <c r="Y257" t="str">
        <f t="shared" ca="1" si="28"/>
        <v/>
      </c>
    </row>
    <row r="258" spans="1:25" x14ac:dyDescent="0.2">
      <c r="A258">
        <v>234</v>
      </c>
      <c r="B258">
        <f>IFERROR(INDEX('Match Log'!$B$4:$B$1510,MATCH($A258,'Match Log'!$A$4:$A$1510,0)),"")</f>
        <v>46255</v>
      </c>
      <c r="C258" t="str">
        <f>IFERROR(INDEX('Match Log'!$C$4:$C$1510,MATCH($A258,'Match Log'!$A$4:$A$1510,0)),"")</f>
        <v>Table Tennis</v>
      </c>
      <c r="D258" t="str">
        <f t="array" ref="D258">IFERROR(_xlfn.TEXTJOIN(" + ",TRUE(),IF(('Match Log'!$A$4:$A$1510=$A258)*('Match Log'!$E$4:$E$1510="Win"),'Match Log'!$D$4:$D$1510,"")),IFERROR(LOOKUP(2,1/(('Match Log'!$A$4:$A$1510=$A258)*('Match Log'!$E$4:$E$1510="Win")),'Match Log'!$D$4:$D$1510),""))</f>
        <v>Daniel (Ferret)</v>
      </c>
      <c r="E258">
        <f>IFERROR(INDEX('Match Log'!$F$4:$F$1510,MATCH($A258,'Match Log'!$A$4:$A$1510,0)),"")</f>
        <v>2</v>
      </c>
      <c r="F258">
        <f>IFERROR(SUMIFS('Match Log'!$I$4:$I$1510,'Match Log'!$A$4:$A$1510,$A258,'Match Log'!$E$4:$E$1510,"Win"),"")</f>
        <v>0.55102040816326525</v>
      </c>
      <c r="G258">
        <f t="shared" si="26"/>
        <v>-0.1020408163265305</v>
      </c>
      <c r="H258" t="str">
        <f t="array" ref="H258">IFERROR(IF(COUNTIFS('Match Log'!$A$4:$A$1510,$A258,'Match Log'!$E$4:$E$1510,"Win")&gt;1,_xlfn.TEXTJOIN(" + ",TRUE(),IF(('Match Log'!$A$4:$A$1510=$A258)*('Match Log'!$E$4:$E$1510="Loss"),'Match Log'!$D$4:$D$1510,"")),IF($E258=2,LOOKUP(2,1/(('Match Log'!$A$4:$A$1510=$A258)*('Match Log'!$E$4:$E$1510="Loss")),'Match Log'!$D$4:$D$1510),"the field")),"")</f>
        <v>David</v>
      </c>
      <c r="I258">
        <f t="shared" si="27"/>
        <v>-0.1022748163265305</v>
      </c>
      <c r="J258">
        <v>234</v>
      </c>
      <c r="K258">
        <f>IF($J258&gt;MAX('Match Log'!$A$4:$A$1510),NA(),IFERROR(LOOKUP(2,1/(('Match Log'!$D$4:$D$1510=$K$24)*('Match Log'!$A$4:$A$1510&lt;=$J258)),'Match Log'!$N$4:$N$1510),NA()))</f>
        <v>1113.4602449464203</v>
      </c>
      <c r="L258">
        <f>IF($J258&gt;MAX('Match Log'!$A$4:$A$1510),NA(),IFERROR(LOOKUP(2,1/(('Match Log'!$D$4:$D$1510=$L$24)*('Match Log'!$A$4:$A$1510&lt;=$J258)),'Match Log'!$N$4:$N$1510),NA()))</f>
        <v>1029.5175965335138</v>
      </c>
      <c r="M258">
        <f>IF($J258&gt;MAX('Match Log'!$A$4:$A$1510),NA(),IFERROR(LOOKUP(2,1/(('Match Log'!$D$4:$D$1510=$M$24)*('Match Log'!$A$4:$A$1510&lt;=$J258)),'Match Log'!$N$4:$N$1510),NA()))</f>
        <v>1037.8197114720938</v>
      </c>
      <c r="N258">
        <f>IF($J258&gt;MAX('Match Log'!$A$4:$A$1510),NA(),IFERROR(LOOKUP(2,1/(('Match Log'!$D$4:$D$1510=$N$24)*('Match Log'!$A$4:$A$1510&lt;=$J258)),'Match Log'!$N$4:$N$1510),NA()))</f>
        <v>936.10900253184627</v>
      </c>
      <c r="O258">
        <f>IF($J258&gt;MAX('Match Log'!$A$4:$A$1510),NA(),IFERROR(LOOKUP(2,1/(('Match Log'!$D$4:$D$1510=$O$24)*('Match Log'!$A$4:$A$1510&lt;=$J258)),'Match Log'!$N$4:$N$1510),NA()))</f>
        <v>1155.9112046633588</v>
      </c>
      <c r="P258">
        <f>IF($J258&gt;MAX('Match Log'!$A$4:$A$1510),NA(),IFERROR(LOOKUP(2,1/(('Match Log'!$D$4:$D$1510=$P$24)*('Match Log'!$A$4:$A$1510&lt;=$J258)),'Match Log'!$N$4:$N$1510),NA()))</f>
        <v>1218.4801654446578</v>
      </c>
      <c r="Q258">
        <f>IF($J258&gt;MAX('Match Log'!$A$4:$A$1510),NA(),IFERROR(LOOKUP(2,1/(('Match Log'!$D$4:$D$1510=$Q$24)*('Match Log'!$A$4:$A$1510&lt;=$J258)),'Match Log'!$N$4:$N$1510),NA()))</f>
        <v>1009.6534267547827</v>
      </c>
      <c r="R258">
        <f>IF($J258&gt;MAX('Match Log'!$A$4:$A$1510),NA(),IFERROR(LOOKUP(2,1/(('Match Log'!$D$4:$D$1510=$R$24)*('Match Log'!$A$4:$A$1510&lt;=$J258)),'Match Log'!$N$4:$N$1510),NA()))</f>
        <v>1142.1437673122964</v>
      </c>
      <c r="S258">
        <f>IF($J258&gt;MAX('Match Log'!$A$4:$A$1510),NA(),IFERROR(LOOKUP(2,1/(('Match Log'!$D$4:$D$1510=$S$24)*('Match Log'!$A$4:$A$1510&lt;=$J258)),'Match Log'!$N$4:$N$1510),NA()))</f>
        <v>1198.5771682332331</v>
      </c>
      <c r="T258">
        <f>IF($J258&gt;MAX('Match Log'!$A$4:$A$1510),NA(),IFERROR(LOOKUP(2,1/(('Match Log'!$D$4:$D$1510=$T$24)*('Match Log'!$A$4:$A$1510&lt;=$J258)),'Match Log'!$N$4:$N$1510),NA()))</f>
        <v>862.22294373677494</v>
      </c>
      <c r="U258">
        <f>IF($J258&gt;MAX('Match Log'!$A$4:$A$1510),NA(),IFERROR(LOOKUP(2,1/(('Match Log'!$D$4:$D$1510=$U$24)*('Match Log'!$A$4:$A$1510&lt;=$J258)),'Match Log'!$N$4:$N$1510),NA()))</f>
        <v>1054.3366131438215</v>
      </c>
      <c r="V258">
        <f>IF($J258&gt;MAX('Match Log'!$A$4:$A$1510),NA(),IFERROR(LOOKUP(2,1/(('Match Log'!$D$4:$D$1510=$V$24)*('Match Log'!$A$4:$A$1510&lt;=$J258)),'Match Log'!$N$4:$N$1510),NA()))</f>
        <v>1087.5488947064855</v>
      </c>
      <c r="W258">
        <f>IF($J258&gt;MAX('Match Log'!$A$4:$A$1510),NA(),IFERROR(LOOKUP(2,1/(('Match Log'!$D$4:$D$1510=$W$24)*('Match Log'!$A$4:$A$1510&lt;=$J258)),'Match Log'!$N$4:$N$1510),NA()))</f>
        <v>1023.2192605207141</v>
      </c>
      <c r="X258" t="e">
        <f>IF($J258&gt;MAX('Match Log'!$A$4:$A$1510),NA(),IFERROR(LOOKUP(2,1/(('Match Log'!$D$4:$D$1510=$X$24)*('Match Log'!$A$4:$A$1510&lt;=$J258)),'Match Log'!$N$4:$N$1510),NA()))</f>
        <v>#N/A</v>
      </c>
      <c r="Y258" t="str">
        <f t="shared" ca="1" si="28"/>
        <v/>
      </c>
    </row>
    <row r="259" spans="1:25" x14ac:dyDescent="0.2">
      <c r="A259">
        <v>235</v>
      </c>
      <c r="B259">
        <f>IFERROR(INDEX('Match Log'!$B$4:$B$1510,MATCH($A259,'Match Log'!$A$4:$A$1510,0)),"")</f>
        <v>46255</v>
      </c>
      <c r="C259" t="str">
        <f>IFERROR(INDEX('Match Log'!$C$4:$C$1510,MATCH($A259,'Match Log'!$A$4:$A$1510,0)),"")</f>
        <v>Table Tennis</v>
      </c>
      <c r="D259" t="str">
        <f t="array" ref="D259">IFERROR(_xlfn.TEXTJOIN(" + ",TRUE(),IF(('Match Log'!$A$4:$A$1510=$A259)*('Match Log'!$E$4:$E$1510="Win"),'Match Log'!$D$4:$D$1510,"")),IFERROR(LOOKUP(2,1/(('Match Log'!$A$4:$A$1510=$A259)*('Match Log'!$E$4:$E$1510="Win")),'Match Log'!$D$4:$D$1510),""))</f>
        <v>Dean B</v>
      </c>
      <c r="E259">
        <f>IFERROR(INDEX('Match Log'!$F$4:$F$1510,MATCH($A259,'Match Log'!$A$4:$A$1510,0)),"")</f>
        <v>2</v>
      </c>
      <c r="F259">
        <f>IFERROR(SUMIFS('Match Log'!$I$4:$I$1510,'Match Log'!$A$4:$A$1510,$A259,'Match Log'!$E$4:$E$1510,"Win"),"")</f>
        <v>0.65217391304347827</v>
      </c>
      <c r="G259">
        <f t="shared" si="26"/>
        <v>-0.30434782608695654</v>
      </c>
      <c r="H259" t="str">
        <f t="array" ref="H259">IFERROR(IF(COUNTIFS('Match Log'!$A$4:$A$1510,$A259,'Match Log'!$E$4:$E$1510,"Win")&gt;1,_xlfn.TEXTJOIN(" + ",TRUE(),IF(('Match Log'!$A$4:$A$1510=$A259)*('Match Log'!$E$4:$E$1510="Loss"),'Match Log'!$D$4:$D$1510,"")),IF($E259=2,LOOKUP(2,1/(('Match Log'!$A$4:$A$1510=$A259)*('Match Log'!$E$4:$E$1510="Loss")),'Match Log'!$D$4:$D$1510),"the field")),"")</f>
        <v>Daniel (Ferret)</v>
      </c>
      <c r="I259">
        <f t="shared" si="27"/>
        <v>-0.30458282608695653</v>
      </c>
      <c r="J259">
        <v>235</v>
      </c>
      <c r="K259">
        <f>IF($J259&gt;MAX('Match Log'!$A$4:$A$1510),NA(),IFERROR(LOOKUP(2,1/(('Match Log'!$D$4:$D$1510=$K$24)*('Match Log'!$A$4:$A$1510&lt;=$J259)),'Match Log'!$N$4:$N$1510),NA()))</f>
        <v>1113.4602449464203</v>
      </c>
      <c r="L259">
        <f>IF($J259&gt;MAX('Match Log'!$A$4:$A$1510),NA(),IFERROR(LOOKUP(2,1/(('Match Log'!$D$4:$D$1510=$L$24)*('Match Log'!$A$4:$A$1510&lt;=$J259)),'Match Log'!$N$4:$N$1510),NA()))</f>
        <v>1029.5175965335138</v>
      </c>
      <c r="M259">
        <f>IF($J259&gt;MAX('Match Log'!$A$4:$A$1510),NA(),IFERROR(LOOKUP(2,1/(('Match Log'!$D$4:$D$1510=$M$24)*('Match Log'!$A$4:$A$1510&lt;=$J259)),'Match Log'!$N$4:$N$1510),NA()))</f>
        <v>1037.8197114720938</v>
      </c>
      <c r="N259">
        <f>IF($J259&gt;MAX('Match Log'!$A$4:$A$1510),NA(),IFERROR(LOOKUP(2,1/(('Match Log'!$D$4:$D$1510=$N$24)*('Match Log'!$A$4:$A$1510&lt;=$J259)),'Match Log'!$N$4:$N$1510),NA()))</f>
        <v>936.10900253184627</v>
      </c>
      <c r="O259">
        <f>IF($J259&gt;MAX('Match Log'!$A$4:$A$1510),NA(),IFERROR(LOOKUP(2,1/(('Match Log'!$D$4:$D$1510=$O$24)*('Match Log'!$A$4:$A$1510&lt;=$J259)),'Match Log'!$N$4:$N$1510),NA()))</f>
        <v>1155.9112046633588</v>
      </c>
      <c r="P259">
        <f>IF($J259&gt;MAX('Match Log'!$A$4:$A$1510),NA(),IFERROR(LOOKUP(2,1/(('Match Log'!$D$4:$D$1510=$P$24)*('Match Log'!$A$4:$A$1510&lt;=$J259)),'Match Log'!$N$4:$N$1510),NA()))</f>
        <v>1218.4801654446578</v>
      </c>
      <c r="Q259">
        <f>IF($J259&gt;MAX('Match Log'!$A$4:$A$1510),NA(),IFERROR(LOOKUP(2,1/(('Match Log'!$D$4:$D$1510=$Q$24)*('Match Log'!$A$4:$A$1510&lt;=$J259)),'Match Log'!$N$4:$N$1510),NA()))</f>
        <v>1009.6534267547827</v>
      </c>
      <c r="R259">
        <f>IF($J259&gt;MAX('Match Log'!$A$4:$A$1510),NA(),IFERROR(LOOKUP(2,1/(('Match Log'!$D$4:$D$1510=$R$24)*('Match Log'!$A$4:$A$1510&lt;=$J259)),'Match Log'!$N$4:$N$1510),NA()))</f>
        <v>1126.0150269392918</v>
      </c>
      <c r="S259">
        <f>IF($J259&gt;MAX('Match Log'!$A$4:$A$1510),NA(),IFERROR(LOOKUP(2,1/(('Match Log'!$D$4:$D$1510=$S$24)*('Match Log'!$A$4:$A$1510&lt;=$J259)),'Match Log'!$N$4:$N$1510),NA()))</f>
        <v>1214.7059086062377</v>
      </c>
      <c r="T259">
        <f>IF($J259&gt;MAX('Match Log'!$A$4:$A$1510),NA(),IFERROR(LOOKUP(2,1/(('Match Log'!$D$4:$D$1510=$T$24)*('Match Log'!$A$4:$A$1510&lt;=$J259)),'Match Log'!$N$4:$N$1510),NA()))</f>
        <v>862.22294373677494</v>
      </c>
      <c r="U259">
        <f>IF($J259&gt;MAX('Match Log'!$A$4:$A$1510),NA(),IFERROR(LOOKUP(2,1/(('Match Log'!$D$4:$D$1510=$U$24)*('Match Log'!$A$4:$A$1510&lt;=$J259)),'Match Log'!$N$4:$N$1510),NA()))</f>
        <v>1054.3366131438215</v>
      </c>
      <c r="V259">
        <f>IF($J259&gt;MAX('Match Log'!$A$4:$A$1510),NA(),IFERROR(LOOKUP(2,1/(('Match Log'!$D$4:$D$1510=$V$24)*('Match Log'!$A$4:$A$1510&lt;=$J259)),'Match Log'!$N$4:$N$1510),NA()))</f>
        <v>1087.5488947064855</v>
      </c>
      <c r="W259">
        <f>IF($J259&gt;MAX('Match Log'!$A$4:$A$1510),NA(),IFERROR(LOOKUP(2,1/(('Match Log'!$D$4:$D$1510=$W$24)*('Match Log'!$A$4:$A$1510&lt;=$J259)),'Match Log'!$N$4:$N$1510),NA()))</f>
        <v>1023.2192605207141</v>
      </c>
      <c r="X259" t="e">
        <f>IF($J259&gt;MAX('Match Log'!$A$4:$A$1510),NA(),IFERROR(LOOKUP(2,1/(('Match Log'!$D$4:$D$1510=$X$24)*('Match Log'!$A$4:$A$1510&lt;=$J259)),'Match Log'!$N$4:$N$1510),NA()))</f>
        <v>#N/A</v>
      </c>
      <c r="Y259" t="str">
        <f t="shared" ca="1" si="28"/>
        <v/>
      </c>
    </row>
    <row r="260" spans="1:25" x14ac:dyDescent="0.2">
      <c r="A260">
        <v>236</v>
      </c>
      <c r="B260">
        <f>IFERROR(INDEX('Match Log'!$B$4:$B$1510,MATCH($A260,'Match Log'!$A$4:$A$1510,0)),"")</f>
        <v>46255</v>
      </c>
      <c r="C260" t="str">
        <f>IFERROR(INDEX('Match Log'!$C$4:$C$1510,MATCH($A260,'Match Log'!$A$4:$A$1510,0)),"")</f>
        <v>Darts</v>
      </c>
      <c r="D260" t="str">
        <f t="array" ref="D260">IFERROR(_xlfn.TEXTJOIN(" + ",TRUE(),IF(('Match Log'!$A$4:$A$1510=$A260)*('Match Log'!$E$4:$E$1510="Win"),'Match Log'!$D$4:$D$1510,"")),IFERROR(LOOKUP(2,1/(('Match Log'!$A$4:$A$1510=$A260)*('Match Log'!$E$4:$E$1510="Win")),'Match Log'!$D$4:$D$1510),""))</f>
        <v>David</v>
      </c>
      <c r="E260">
        <f>IFERROR(INDEX('Match Log'!$F$4:$F$1510,MATCH($A260,'Match Log'!$A$4:$A$1510,0)),"")</f>
        <v>3</v>
      </c>
      <c r="F260">
        <f>IFERROR(SUMIFS('Match Log'!$I$4:$I$1510,'Match Log'!$A$4:$A$1510,$A260,'Match Log'!$E$4:$E$1510,"Win"),"")</f>
        <v>0.5</v>
      </c>
      <c r="G260">
        <f t="shared" si="26"/>
        <v>-0.5</v>
      </c>
      <c r="H260" t="str">
        <f t="array" ref="H260">IFERROR(IF(COUNTIFS('Match Log'!$A$4:$A$1510,$A260,'Match Log'!$E$4:$E$1510,"Win")&gt;1,_xlfn.TEXTJOIN(" + ",TRUE(),IF(('Match Log'!$A$4:$A$1510=$A260)*('Match Log'!$E$4:$E$1510="Loss"),'Match Log'!$D$4:$D$1510,"")),IF($E260=2,LOOKUP(2,1/(('Match Log'!$A$4:$A$1510=$A260)*('Match Log'!$E$4:$E$1510="Loss")),'Match Log'!$D$4:$D$1510),"the field")),"")</f>
        <v>the field</v>
      </c>
      <c r="I260">
        <f t="shared" si="27"/>
        <v>-0.50023600000000001</v>
      </c>
      <c r="J260">
        <v>236</v>
      </c>
      <c r="K260">
        <f>IF($J260&gt;MAX('Match Log'!$A$4:$A$1510),NA(),IFERROR(LOOKUP(2,1/(('Match Log'!$D$4:$D$1510=$K$24)*('Match Log'!$A$4:$A$1510&lt;=$J260)),'Match Log'!$N$4:$N$1510),NA()))</f>
        <v>1113.4602449464203</v>
      </c>
      <c r="L260">
        <f>IF($J260&gt;MAX('Match Log'!$A$4:$A$1510),NA(),IFERROR(LOOKUP(2,1/(('Match Log'!$D$4:$D$1510=$L$24)*('Match Log'!$A$4:$A$1510&lt;=$J260)),'Match Log'!$N$4:$N$1510),NA()))</f>
        <v>1029.5175965335138</v>
      </c>
      <c r="M260">
        <f>IF($J260&gt;MAX('Match Log'!$A$4:$A$1510),NA(),IFERROR(LOOKUP(2,1/(('Match Log'!$D$4:$D$1510=$M$24)*('Match Log'!$A$4:$A$1510&lt;=$J260)),'Match Log'!$N$4:$N$1510),NA()))</f>
        <v>1037.8197114720938</v>
      </c>
      <c r="N260">
        <f>IF($J260&gt;MAX('Match Log'!$A$4:$A$1510),NA(),IFERROR(LOOKUP(2,1/(('Match Log'!$D$4:$D$1510=$N$24)*('Match Log'!$A$4:$A$1510&lt;=$J260)),'Match Log'!$N$4:$N$1510),NA()))</f>
        <v>967.0680704525214</v>
      </c>
      <c r="O260">
        <f>IF($J260&gt;MAX('Match Log'!$A$4:$A$1510),NA(),IFERROR(LOOKUP(2,1/(('Match Log'!$D$4:$D$1510=$O$24)*('Match Log'!$A$4:$A$1510&lt;=$J260)),'Match Log'!$N$4:$N$1510),NA()))</f>
        <v>1155.9112046633588</v>
      </c>
      <c r="P260">
        <f>IF($J260&gt;MAX('Match Log'!$A$4:$A$1510),NA(),IFERROR(LOOKUP(2,1/(('Match Log'!$D$4:$D$1510=$P$24)*('Match Log'!$A$4:$A$1510&lt;=$J260)),'Match Log'!$N$4:$N$1510),NA()))</f>
        <v>1218.4801654446578</v>
      </c>
      <c r="Q260">
        <f>IF($J260&gt;MAX('Match Log'!$A$4:$A$1510),NA(),IFERROR(LOOKUP(2,1/(('Match Log'!$D$4:$D$1510=$Q$24)*('Match Log'!$A$4:$A$1510&lt;=$J260)),'Match Log'!$N$4:$N$1510),NA()))</f>
        <v>1000.0962683458113</v>
      </c>
      <c r="R260">
        <f>IF($J260&gt;MAX('Match Log'!$A$4:$A$1510),NA(),IFERROR(LOOKUP(2,1/(('Match Log'!$D$4:$D$1510=$R$24)*('Match Log'!$A$4:$A$1510&lt;=$J260)),'Match Log'!$N$4:$N$1510),NA()))</f>
        <v>1126.0150269392918</v>
      </c>
      <c r="S260">
        <f>IF($J260&gt;MAX('Match Log'!$A$4:$A$1510),NA(),IFERROR(LOOKUP(2,1/(('Match Log'!$D$4:$D$1510=$S$24)*('Match Log'!$A$4:$A$1510&lt;=$J260)),'Match Log'!$N$4:$N$1510),NA()))</f>
        <v>1202.303999094534</v>
      </c>
      <c r="T260">
        <f>IF($J260&gt;MAX('Match Log'!$A$4:$A$1510),NA(),IFERROR(LOOKUP(2,1/(('Match Log'!$D$4:$D$1510=$T$24)*('Match Log'!$A$4:$A$1510&lt;=$J260)),'Match Log'!$N$4:$N$1510),NA()))</f>
        <v>862.22294373677494</v>
      </c>
      <c r="U260">
        <f>IF($J260&gt;MAX('Match Log'!$A$4:$A$1510),NA(),IFERROR(LOOKUP(2,1/(('Match Log'!$D$4:$D$1510=$U$24)*('Match Log'!$A$4:$A$1510&lt;=$J260)),'Match Log'!$N$4:$N$1510),NA()))</f>
        <v>1054.3366131438215</v>
      </c>
      <c r="V260">
        <f>IF($J260&gt;MAX('Match Log'!$A$4:$A$1510),NA(),IFERROR(LOOKUP(2,1/(('Match Log'!$D$4:$D$1510=$V$24)*('Match Log'!$A$4:$A$1510&lt;=$J260)),'Match Log'!$N$4:$N$1510),NA()))</f>
        <v>1087.5488947064855</v>
      </c>
      <c r="W260">
        <f>IF($J260&gt;MAX('Match Log'!$A$4:$A$1510),NA(),IFERROR(LOOKUP(2,1/(('Match Log'!$D$4:$D$1510=$W$24)*('Match Log'!$A$4:$A$1510&lt;=$J260)),'Match Log'!$N$4:$N$1510),NA()))</f>
        <v>1023.2192605207141</v>
      </c>
      <c r="X260" t="e">
        <f>IF($J260&gt;MAX('Match Log'!$A$4:$A$1510),NA(),IFERROR(LOOKUP(2,1/(('Match Log'!$D$4:$D$1510=$X$24)*('Match Log'!$A$4:$A$1510&lt;=$J260)),'Match Log'!$N$4:$N$1510),NA()))</f>
        <v>#N/A</v>
      </c>
      <c r="Y260" t="str">
        <f t="shared" ca="1" si="28"/>
        <v/>
      </c>
    </row>
    <row r="261" spans="1:25" x14ac:dyDescent="0.2">
      <c r="A261">
        <v>237</v>
      </c>
      <c r="B261">
        <f>IFERROR(INDEX('Match Log'!$B$4:$B$1510,MATCH($A261,'Match Log'!$A$4:$A$1510,0)),"")</f>
        <v>46255</v>
      </c>
      <c r="C261" t="str">
        <f>IFERROR(INDEX('Match Log'!$C$4:$C$1510,MATCH($A261,'Match Log'!$A$4:$A$1510,0)),"")</f>
        <v>Table Tennis</v>
      </c>
      <c r="D261" t="str">
        <f t="array" ref="D261">IFERROR(_xlfn.TEXTJOIN(" + ",TRUE(),IF(('Match Log'!$A$4:$A$1510=$A261)*('Match Log'!$E$4:$E$1510="Win"),'Match Log'!$D$4:$D$1510,"")),IFERROR(LOOKUP(2,1/(('Match Log'!$A$4:$A$1510=$A261)*('Match Log'!$E$4:$E$1510="Win")),'Match Log'!$D$4:$D$1510),""))</f>
        <v>Aaron</v>
      </c>
      <c r="E261">
        <f>IFERROR(INDEX('Match Log'!$F$4:$F$1510,MATCH($A261,'Match Log'!$A$4:$A$1510,0)),"")</f>
        <v>2</v>
      </c>
      <c r="F261">
        <f>IFERROR(SUMIFS('Match Log'!$I$4:$I$1510,'Match Log'!$A$4:$A$1510,$A261,'Match Log'!$E$4:$E$1510,"Win"),"")</f>
        <v>0.74468085106382975</v>
      </c>
      <c r="G261">
        <f t="shared" si="26"/>
        <v>-0.4893617021276595</v>
      </c>
      <c r="H261" t="str">
        <f t="array" ref="H261">IFERROR(IF(COUNTIFS('Match Log'!$A$4:$A$1510,$A261,'Match Log'!$E$4:$E$1510,"Win")&gt;1,_xlfn.TEXTJOIN(" + ",TRUE(),IF(('Match Log'!$A$4:$A$1510=$A261)*('Match Log'!$E$4:$E$1510="Loss"),'Match Log'!$D$4:$D$1510,"")),IF($E261=2,LOOKUP(2,1/(('Match Log'!$A$4:$A$1510=$A261)*('Match Log'!$E$4:$E$1510="Loss")),'Match Log'!$D$4:$D$1510),"the field")),"")</f>
        <v>David</v>
      </c>
      <c r="I261">
        <f t="shared" si="27"/>
        <v>-0.48959870212765949</v>
      </c>
      <c r="J261">
        <v>237</v>
      </c>
      <c r="K261">
        <f>IF($J261&gt;MAX('Match Log'!$A$4:$A$1510),NA(),IFERROR(LOOKUP(2,1/(('Match Log'!$D$4:$D$1510=$K$24)*('Match Log'!$A$4:$A$1510&lt;=$J261)),'Match Log'!$N$4:$N$1510),NA()))</f>
        <v>1126.8172296086038</v>
      </c>
      <c r="L261">
        <f>IF($J261&gt;MAX('Match Log'!$A$4:$A$1510),NA(),IFERROR(LOOKUP(2,1/(('Match Log'!$D$4:$D$1510=$L$24)*('Match Log'!$A$4:$A$1510&lt;=$J261)),'Match Log'!$N$4:$N$1510),NA()))</f>
        <v>1029.5175965335138</v>
      </c>
      <c r="M261">
        <f>IF($J261&gt;MAX('Match Log'!$A$4:$A$1510),NA(),IFERROR(LOOKUP(2,1/(('Match Log'!$D$4:$D$1510=$M$24)*('Match Log'!$A$4:$A$1510&lt;=$J261)),'Match Log'!$N$4:$N$1510),NA()))</f>
        <v>1037.8197114720938</v>
      </c>
      <c r="N261">
        <f>IF($J261&gt;MAX('Match Log'!$A$4:$A$1510),NA(),IFERROR(LOOKUP(2,1/(('Match Log'!$D$4:$D$1510=$N$24)*('Match Log'!$A$4:$A$1510&lt;=$J261)),'Match Log'!$N$4:$N$1510),NA()))</f>
        <v>953.71108579033785</v>
      </c>
      <c r="O261">
        <f>IF($J261&gt;MAX('Match Log'!$A$4:$A$1510),NA(),IFERROR(LOOKUP(2,1/(('Match Log'!$D$4:$D$1510=$O$24)*('Match Log'!$A$4:$A$1510&lt;=$J261)),'Match Log'!$N$4:$N$1510),NA()))</f>
        <v>1155.9112046633588</v>
      </c>
      <c r="P261">
        <f>IF($J261&gt;MAX('Match Log'!$A$4:$A$1510),NA(),IFERROR(LOOKUP(2,1/(('Match Log'!$D$4:$D$1510=$P$24)*('Match Log'!$A$4:$A$1510&lt;=$J261)),'Match Log'!$N$4:$N$1510),NA()))</f>
        <v>1218.4801654446578</v>
      </c>
      <c r="Q261">
        <f>IF($J261&gt;MAX('Match Log'!$A$4:$A$1510),NA(),IFERROR(LOOKUP(2,1/(('Match Log'!$D$4:$D$1510=$Q$24)*('Match Log'!$A$4:$A$1510&lt;=$J261)),'Match Log'!$N$4:$N$1510),NA()))</f>
        <v>1000.0962683458113</v>
      </c>
      <c r="R261">
        <f>IF($J261&gt;MAX('Match Log'!$A$4:$A$1510),NA(),IFERROR(LOOKUP(2,1/(('Match Log'!$D$4:$D$1510=$R$24)*('Match Log'!$A$4:$A$1510&lt;=$J261)),'Match Log'!$N$4:$N$1510),NA()))</f>
        <v>1126.0150269392918</v>
      </c>
      <c r="S261">
        <f>IF($J261&gt;MAX('Match Log'!$A$4:$A$1510),NA(),IFERROR(LOOKUP(2,1/(('Match Log'!$D$4:$D$1510=$S$24)*('Match Log'!$A$4:$A$1510&lt;=$J261)),'Match Log'!$N$4:$N$1510),NA()))</f>
        <v>1202.303999094534</v>
      </c>
      <c r="T261">
        <f>IF($J261&gt;MAX('Match Log'!$A$4:$A$1510),NA(),IFERROR(LOOKUP(2,1/(('Match Log'!$D$4:$D$1510=$T$24)*('Match Log'!$A$4:$A$1510&lt;=$J261)),'Match Log'!$N$4:$N$1510),NA()))</f>
        <v>862.22294373677494</v>
      </c>
      <c r="U261">
        <f>IF($J261&gt;MAX('Match Log'!$A$4:$A$1510),NA(),IFERROR(LOOKUP(2,1/(('Match Log'!$D$4:$D$1510=$U$24)*('Match Log'!$A$4:$A$1510&lt;=$J261)),'Match Log'!$N$4:$N$1510),NA()))</f>
        <v>1054.3366131438215</v>
      </c>
      <c r="V261">
        <f>IF($J261&gt;MAX('Match Log'!$A$4:$A$1510),NA(),IFERROR(LOOKUP(2,1/(('Match Log'!$D$4:$D$1510=$V$24)*('Match Log'!$A$4:$A$1510&lt;=$J261)),'Match Log'!$N$4:$N$1510),NA()))</f>
        <v>1087.5488947064855</v>
      </c>
      <c r="W261">
        <f>IF($J261&gt;MAX('Match Log'!$A$4:$A$1510),NA(),IFERROR(LOOKUP(2,1/(('Match Log'!$D$4:$D$1510=$W$24)*('Match Log'!$A$4:$A$1510&lt;=$J261)),'Match Log'!$N$4:$N$1510),NA()))</f>
        <v>1023.2192605207141</v>
      </c>
      <c r="X261" t="e">
        <f>IF($J261&gt;MAX('Match Log'!$A$4:$A$1510),NA(),IFERROR(LOOKUP(2,1/(('Match Log'!$D$4:$D$1510=$X$24)*('Match Log'!$A$4:$A$1510&lt;=$J261)),'Match Log'!$N$4:$N$1510),NA()))</f>
        <v>#N/A</v>
      </c>
      <c r="Y261" t="str">
        <f t="shared" ca="1" si="28"/>
        <v/>
      </c>
    </row>
    <row r="262" spans="1:25" x14ac:dyDescent="0.2">
      <c r="A262">
        <v>238</v>
      </c>
      <c r="B262">
        <f>IFERROR(INDEX('Match Log'!$B$4:$B$1510,MATCH($A262,'Match Log'!$A$4:$A$1510,0)),"")</f>
        <v>46255</v>
      </c>
      <c r="C262" t="str">
        <f>IFERROR(INDEX('Match Log'!$C$4:$C$1510,MATCH($A262,'Match Log'!$A$4:$A$1510,0)),"")</f>
        <v>Table Tennis</v>
      </c>
      <c r="D262" t="str">
        <f t="array" ref="D262">IFERROR(_xlfn.TEXTJOIN(" + ",TRUE(),IF(('Match Log'!$A$4:$A$1510=$A262)*('Match Log'!$E$4:$E$1510="Win"),'Match Log'!$D$4:$D$1510,"")),IFERROR(LOOKUP(2,1/(('Match Log'!$A$4:$A$1510=$A262)*('Match Log'!$E$4:$E$1510="Win")),'Match Log'!$D$4:$D$1510),""))</f>
        <v>Shawn</v>
      </c>
      <c r="E262">
        <f>IFERROR(INDEX('Match Log'!$F$4:$F$1510,MATCH($A262,'Match Log'!$A$4:$A$1510,0)),"")</f>
        <v>2</v>
      </c>
      <c r="F262">
        <f>IFERROR(SUMIFS('Match Log'!$I$4:$I$1510,'Match Log'!$A$4:$A$1510,$A262,'Match Log'!$E$4:$E$1510,"Win"),"")</f>
        <v>0.57073170731707312</v>
      </c>
      <c r="G262">
        <f t="shared" si="26"/>
        <v>-0.14146341463414625</v>
      </c>
      <c r="H262" t="str">
        <f t="array" ref="H262">IFERROR(IF(COUNTIFS('Match Log'!$A$4:$A$1510,$A262,'Match Log'!$E$4:$E$1510,"Win")&gt;1,_xlfn.TEXTJOIN(" + ",TRUE(),IF(('Match Log'!$A$4:$A$1510=$A262)*('Match Log'!$E$4:$E$1510="Loss"),'Match Log'!$D$4:$D$1510,"")),IF($E262=2,LOOKUP(2,1/(('Match Log'!$A$4:$A$1510=$A262)*('Match Log'!$E$4:$E$1510="Loss")),'Match Log'!$D$4:$D$1510),"the field")),"")</f>
        <v>Aaron</v>
      </c>
      <c r="I262">
        <f t="shared" si="27"/>
        <v>-0.14170141463414623</v>
      </c>
      <c r="J262">
        <v>238</v>
      </c>
      <c r="K262">
        <f>IF($J262&gt;MAX('Match Log'!$A$4:$A$1510),NA(),IFERROR(LOOKUP(2,1/(('Match Log'!$D$4:$D$1510=$K$24)*('Match Log'!$A$4:$A$1510&lt;=$J262)),'Match Log'!$N$4:$N$1510),NA()))</f>
        <v>1108.2187408763546</v>
      </c>
      <c r="L262">
        <f>IF($J262&gt;MAX('Match Log'!$A$4:$A$1510),NA(),IFERROR(LOOKUP(2,1/(('Match Log'!$D$4:$D$1510=$L$24)*('Match Log'!$A$4:$A$1510&lt;=$J262)),'Match Log'!$N$4:$N$1510),NA()))</f>
        <v>1029.5175965335138</v>
      </c>
      <c r="M262">
        <f>IF($J262&gt;MAX('Match Log'!$A$4:$A$1510),NA(),IFERROR(LOOKUP(2,1/(('Match Log'!$D$4:$D$1510=$M$24)*('Match Log'!$A$4:$A$1510&lt;=$J262)),'Match Log'!$N$4:$N$1510),NA()))</f>
        <v>1037.8197114720938</v>
      </c>
      <c r="N262">
        <f>IF($J262&gt;MAX('Match Log'!$A$4:$A$1510),NA(),IFERROR(LOOKUP(2,1/(('Match Log'!$D$4:$D$1510=$N$24)*('Match Log'!$A$4:$A$1510&lt;=$J262)),'Match Log'!$N$4:$N$1510),NA()))</f>
        <v>953.71108579033785</v>
      </c>
      <c r="O262">
        <f>IF($J262&gt;MAX('Match Log'!$A$4:$A$1510),NA(),IFERROR(LOOKUP(2,1/(('Match Log'!$D$4:$D$1510=$O$24)*('Match Log'!$A$4:$A$1510&lt;=$J262)),'Match Log'!$N$4:$N$1510),NA()))</f>
        <v>1155.9112046633588</v>
      </c>
      <c r="P262">
        <f>IF($J262&gt;MAX('Match Log'!$A$4:$A$1510),NA(),IFERROR(LOOKUP(2,1/(('Match Log'!$D$4:$D$1510=$P$24)*('Match Log'!$A$4:$A$1510&lt;=$J262)),'Match Log'!$N$4:$N$1510),NA()))</f>
        <v>1237.0786541769071</v>
      </c>
      <c r="Q262">
        <f>IF($J262&gt;MAX('Match Log'!$A$4:$A$1510),NA(),IFERROR(LOOKUP(2,1/(('Match Log'!$D$4:$D$1510=$Q$24)*('Match Log'!$A$4:$A$1510&lt;=$J262)),'Match Log'!$N$4:$N$1510),NA()))</f>
        <v>1000.0962683458113</v>
      </c>
      <c r="R262">
        <f>IF($J262&gt;MAX('Match Log'!$A$4:$A$1510),NA(),IFERROR(LOOKUP(2,1/(('Match Log'!$D$4:$D$1510=$R$24)*('Match Log'!$A$4:$A$1510&lt;=$J262)),'Match Log'!$N$4:$N$1510),NA()))</f>
        <v>1126.0150269392918</v>
      </c>
      <c r="S262">
        <f>IF($J262&gt;MAX('Match Log'!$A$4:$A$1510),NA(),IFERROR(LOOKUP(2,1/(('Match Log'!$D$4:$D$1510=$S$24)*('Match Log'!$A$4:$A$1510&lt;=$J262)),'Match Log'!$N$4:$N$1510),NA()))</f>
        <v>1202.303999094534</v>
      </c>
      <c r="T262">
        <f>IF($J262&gt;MAX('Match Log'!$A$4:$A$1510),NA(),IFERROR(LOOKUP(2,1/(('Match Log'!$D$4:$D$1510=$T$24)*('Match Log'!$A$4:$A$1510&lt;=$J262)),'Match Log'!$N$4:$N$1510),NA()))</f>
        <v>862.22294373677494</v>
      </c>
      <c r="U262">
        <f>IF($J262&gt;MAX('Match Log'!$A$4:$A$1510),NA(),IFERROR(LOOKUP(2,1/(('Match Log'!$D$4:$D$1510=$U$24)*('Match Log'!$A$4:$A$1510&lt;=$J262)),'Match Log'!$N$4:$N$1510),NA()))</f>
        <v>1054.3366131438215</v>
      </c>
      <c r="V262">
        <f>IF($J262&gt;MAX('Match Log'!$A$4:$A$1510),NA(),IFERROR(LOOKUP(2,1/(('Match Log'!$D$4:$D$1510=$V$24)*('Match Log'!$A$4:$A$1510&lt;=$J262)),'Match Log'!$N$4:$N$1510),NA()))</f>
        <v>1087.5488947064855</v>
      </c>
      <c r="W262">
        <f>IF($J262&gt;MAX('Match Log'!$A$4:$A$1510),NA(),IFERROR(LOOKUP(2,1/(('Match Log'!$D$4:$D$1510=$W$24)*('Match Log'!$A$4:$A$1510&lt;=$J262)),'Match Log'!$N$4:$N$1510),NA()))</f>
        <v>1023.2192605207141</v>
      </c>
      <c r="X262" t="e">
        <f>IF($J262&gt;MAX('Match Log'!$A$4:$A$1510),NA(),IFERROR(LOOKUP(2,1/(('Match Log'!$D$4:$D$1510=$X$24)*('Match Log'!$A$4:$A$1510&lt;=$J262)),'Match Log'!$N$4:$N$1510),NA()))</f>
        <v>#N/A</v>
      </c>
      <c r="Y262" t="str">
        <f t="shared" ca="1" si="28"/>
        <v/>
      </c>
    </row>
    <row r="263" spans="1:25" x14ac:dyDescent="0.2">
      <c r="A263">
        <v>239</v>
      </c>
      <c r="B263">
        <f>IFERROR(INDEX('Match Log'!$B$4:$B$1510,MATCH($A263,'Match Log'!$A$4:$A$1510,0)),"")</f>
        <v>46255</v>
      </c>
      <c r="C263" t="str">
        <f>IFERROR(INDEX('Match Log'!$C$4:$C$1510,MATCH($A263,'Match Log'!$A$4:$A$1510,0)),"")</f>
        <v>Table Tennis</v>
      </c>
      <c r="D263" t="str">
        <f t="array" ref="D263">IFERROR(_xlfn.TEXTJOIN(" + ",TRUE(),IF(('Match Log'!$A$4:$A$1510=$A263)*('Match Log'!$E$4:$E$1510="Win"),'Match Log'!$D$4:$D$1510,"")),IFERROR(LOOKUP(2,1/(('Match Log'!$A$4:$A$1510=$A263)*('Match Log'!$E$4:$E$1510="Win")),'Match Log'!$D$4:$D$1510),""))</f>
        <v>Shawn</v>
      </c>
      <c r="E263">
        <f>IFERROR(INDEX('Match Log'!$F$4:$F$1510,MATCH($A263,'Match Log'!$A$4:$A$1510,0)),"")</f>
        <v>2</v>
      </c>
      <c r="F263">
        <f>IFERROR(SUMIFS('Match Log'!$I$4:$I$1510,'Match Log'!$A$4:$A$1510,$A263,'Match Log'!$E$4:$E$1510,"Win"),"")</f>
        <v>0.73033707865168551</v>
      </c>
      <c r="G263">
        <f t="shared" si="26"/>
        <v>-0.46067415730337102</v>
      </c>
      <c r="H263" t="str">
        <f t="array" ref="H263">IFERROR(IF(COUNTIFS('Match Log'!$A$4:$A$1510,$A263,'Match Log'!$E$4:$E$1510,"Win")&gt;1,_xlfn.TEXTJOIN(" + ",TRUE(),IF(('Match Log'!$A$4:$A$1510=$A263)*('Match Log'!$E$4:$E$1510="Loss"),'Match Log'!$D$4:$D$1510,"")),IF($E263=2,LOOKUP(2,1/(('Match Log'!$A$4:$A$1510=$A263)*('Match Log'!$E$4:$E$1510="Loss")),'Match Log'!$D$4:$D$1510),"the field")),"")</f>
        <v>Daniel (Ferret)</v>
      </c>
      <c r="I263">
        <f t="shared" si="27"/>
        <v>-0.46091315730337101</v>
      </c>
      <c r="J263">
        <v>239</v>
      </c>
      <c r="K263">
        <f>IF($J263&gt;MAX('Match Log'!$A$4:$A$1510),NA(),IFERROR(LOOKUP(2,1/(('Match Log'!$D$4:$D$1510=$K$24)*('Match Log'!$A$4:$A$1510&lt;=$J263)),'Match Log'!$N$4:$N$1510),NA()))</f>
        <v>1108.2187408763546</v>
      </c>
      <c r="L263">
        <f>IF($J263&gt;MAX('Match Log'!$A$4:$A$1510),NA(),IFERROR(LOOKUP(2,1/(('Match Log'!$D$4:$D$1510=$L$24)*('Match Log'!$A$4:$A$1510&lt;=$J263)),'Match Log'!$N$4:$N$1510),NA()))</f>
        <v>1029.5175965335138</v>
      </c>
      <c r="M263">
        <f>IF($J263&gt;MAX('Match Log'!$A$4:$A$1510),NA(),IFERROR(LOOKUP(2,1/(('Match Log'!$D$4:$D$1510=$M$24)*('Match Log'!$A$4:$A$1510&lt;=$J263)),'Match Log'!$N$4:$N$1510),NA()))</f>
        <v>1037.8197114720938</v>
      </c>
      <c r="N263">
        <f>IF($J263&gt;MAX('Match Log'!$A$4:$A$1510),NA(),IFERROR(LOOKUP(2,1/(('Match Log'!$D$4:$D$1510=$N$24)*('Match Log'!$A$4:$A$1510&lt;=$J263)),'Match Log'!$N$4:$N$1510),NA()))</f>
        <v>953.71108579033785</v>
      </c>
      <c r="O263">
        <f>IF($J263&gt;MAX('Match Log'!$A$4:$A$1510),NA(),IFERROR(LOOKUP(2,1/(('Match Log'!$D$4:$D$1510=$O$24)*('Match Log'!$A$4:$A$1510&lt;=$J263)),'Match Log'!$N$4:$N$1510),NA()))</f>
        <v>1155.9112046633588</v>
      </c>
      <c r="P263">
        <f>IF($J263&gt;MAX('Match Log'!$A$4:$A$1510),NA(),IFERROR(LOOKUP(2,1/(('Match Log'!$D$4:$D$1510=$P$24)*('Match Log'!$A$4:$A$1510&lt;=$J263)),'Match Log'!$N$4:$N$1510),NA()))</f>
        <v>1250.105456388731</v>
      </c>
      <c r="Q263">
        <f>IF($J263&gt;MAX('Match Log'!$A$4:$A$1510),NA(),IFERROR(LOOKUP(2,1/(('Match Log'!$D$4:$D$1510=$Q$24)*('Match Log'!$A$4:$A$1510&lt;=$J263)),'Match Log'!$N$4:$N$1510),NA()))</f>
        <v>1000.0962683458113</v>
      </c>
      <c r="R263">
        <f>IF($J263&gt;MAX('Match Log'!$A$4:$A$1510),NA(),IFERROR(LOOKUP(2,1/(('Match Log'!$D$4:$D$1510=$R$24)*('Match Log'!$A$4:$A$1510&lt;=$J263)),'Match Log'!$N$4:$N$1510),NA()))</f>
        <v>1112.9882247274679</v>
      </c>
      <c r="S263">
        <f>IF($J263&gt;MAX('Match Log'!$A$4:$A$1510),NA(),IFERROR(LOOKUP(2,1/(('Match Log'!$D$4:$D$1510=$S$24)*('Match Log'!$A$4:$A$1510&lt;=$J263)),'Match Log'!$N$4:$N$1510),NA()))</f>
        <v>1202.303999094534</v>
      </c>
      <c r="T263">
        <f>IF($J263&gt;MAX('Match Log'!$A$4:$A$1510),NA(),IFERROR(LOOKUP(2,1/(('Match Log'!$D$4:$D$1510=$T$24)*('Match Log'!$A$4:$A$1510&lt;=$J263)),'Match Log'!$N$4:$N$1510),NA()))</f>
        <v>862.22294373677494</v>
      </c>
      <c r="U263">
        <f>IF($J263&gt;MAX('Match Log'!$A$4:$A$1510),NA(),IFERROR(LOOKUP(2,1/(('Match Log'!$D$4:$D$1510=$U$24)*('Match Log'!$A$4:$A$1510&lt;=$J263)),'Match Log'!$N$4:$N$1510),NA()))</f>
        <v>1054.3366131438215</v>
      </c>
      <c r="V263">
        <f>IF($J263&gt;MAX('Match Log'!$A$4:$A$1510),NA(),IFERROR(LOOKUP(2,1/(('Match Log'!$D$4:$D$1510=$V$24)*('Match Log'!$A$4:$A$1510&lt;=$J263)),'Match Log'!$N$4:$N$1510),NA()))</f>
        <v>1087.5488947064855</v>
      </c>
      <c r="W263">
        <f>IF($J263&gt;MAX('Match Log'!$A$4:$A$1510),NA(),IFERROR(LOOKUP(2,1/(('Match Log'!$D$4:$D$1510=$W$24)*('Match Log'!$A$4:$A$1510&lt;=$J263)),'Match Log'!$N$4:$N$1510),NA()))</f>
        <v>1023.2192605207141</v>
      </c>
      <c r="X263" t="e">
        <f>IF($J263&gt;MAX('Match Log'!$A$4:$A$1510),NA(),IFERROR(LOOKUP(2,1/(('Match Log'!$D$4:$D$1510=$X$24)*('Match Log'!$A$4:$A$1510&lt;=$J263)),'Match Log'!$N$4:$N$1510),NA()))</f>
        <v>#N/A</v>
      </c>
      <c r="Y263" t="str">
        <f t="shared" ca="1" si="28"/>
        <v/>
      </c>
    </row>
    <row r="264" spans="1:25" x14ac:dyDescent="0.2">
      <c r="A264">
        <v>240</v>
      </c>
      <c r="B264">
        <f>IFERROR(INDEX('Match Log'!$B$4:$B$1510,MATCH($A264,'Match Log'!$A$4:$A$1510,0)),"")</f>
        <v>46255</v>
      </c>
      <c r="C264" t="str">
        <f>IFERROR(INDEX('Match Log'!$C$4:$C$1510,MATCH($A264,'Match Log'!$A$4:$A$1510,0)),"")</f>
        <v>Table Tennis</v>
      </c>
      <c r="D264" t="str">
        <f t="array" ref="D264">IFERROR(_xlfn.TEXTJOIN(" + ",TRUE(),IF(('Match Log'!$A$4:$A$1510=$A264)*('Match Log'!$E$4:$E$1510="Win"),'Match Log'!$D$4:$D$1510,"")),IFERROR(LOOKUP(2,1/(('Match Log'!$A$4:$A$1510=$A264)*('Match Log'!$E$4:$E$1510="Win")),'Match Log'!$D$4:$D$1510),""))</f>
        <v>Aaron</v>
      </c>
      <c r="E264">
        <f>IFERROR(INDEX('Match Log'!$F$4:$F$1510,MATCH($A264,'Match Log'!$A$4:$A$1510,0)),"")</f>
        <v>2</v>
      </c>
      <c r="F264">
        <f>IFERROR(SUMIFS('Match Log'!$I$4:$I$1510,'Match Log'!$A$4:$A$1510,$A264,'Match Log'!$E$4:$E$1510,"Win"),"")</f>
        <v>0.66666666666666663</v>
      </c>
      <c r="G264">
        <f t="shared" si="26"/>
        <v>-0.33333333333333326</v>
      </c>
      <c r="H264" t="str">
        <f t="array" ref="H264">IFERROR(IF(COUNTIFS('Match Log'!$A$4:$A$1510,$A264,'Match Log'!$E$4:$E$1510,"Win")&gt;1,_xlfn.TEXTJOIN(" + ",TRUE(),IF(('Match Log'!$A$4:$A$1510=$A264)*('Match Log'!$E$4:$E$1510="Loss"),'Match Log'!$D$4:$D$1510,"")),IF($E264=2,LOOKUP(2,1/(('Match Log'!$A$4:$A$1510=$A264)*('Match Log'!$E$4:$E$1510="Loss")),'Match Log'!$D$4:$D$1510),"the field")),"")</f>
        <v>Daniel (Ferret)</v>
      </c>
      <c r="I264">
        <f t="shared" si="27"/>
        <v>-0.33357333333333328</v>
      </c>
      <c r="J264">
        <v>240</v>
      </c>
      <c r="K264">
        <f>IF($J264&gt;MAX('Match Log'!$A$4:$A$1510),NA(),IFERROR(LOOKUP(2,1/(('Match Log'!$D$4:$D$1510=$K$24)*('Match Log'!$A$4:$A$1510&lt;=$J264)),'Match Log'!$N$4:$N$1510),NA()))</f>
        <v>1125.0258579056335</v>
      </c>
      <c r="L264">
        <f>IF($J264&gt;MAX('Match Log'!$A$4:$A$1510),NA(),IFERROR(LOOKUP(2,1/(('Match Log'!$D$4:$D$1510=$L$24)*('Match Log'!$A$4:$A$1510&lt;=$J264)),'Match Log'!$N$4:$N$1510),NA()))</f>
        <v>1029.5175965335138</v>
      </c>
      <c r="M264">
        <f>IF($J264&gt;MAX('Match Log'!$A$4:$A$1510),NA(),IFERROR(LOOKUP(2,1/(('Match Log'!$D$4:$D$1510=$M$24)*('Match Log'!$A$4:$A$1510&lt;=$J264)),'Match Log'!$N$4:$N$1510),NA()))</f>
        <v>1037.8197114720938</v>
      </c>
      <c r="N264">
        <f>IF($J264&gt;MAX('Match Log'!$A$4:$A$1510),NA(),IFERROR(LOOKUP(2,1/(('Match Log'!$D$4:$D$1510=$N$24)*('Match Log'!$A$4:$A$1510&lt;=$J264)),'Match Log'!$N$4:$N$1510),NA()))</f>
        <v>953.71108579033785</v>
      </c>
      <c r="O264">
        <f>IF($J264&gt;MAX('Match Log'!$A$4:$A$1510),NA(),IFERROR(LOOKUP(2,1/(('Match Log'!$D$4:$D$1510=$O$24)*('Match Log'!$A$4:$A$1510&lt;=$J264)),'Match Log'!$N$4:$N$1510),NA()))</f>
        <v>1155.9112046633588</v>
      </c>
      <c r="P264">
        <f>IF($J264&gt;MAX('Match Log'!$A$4:$A$1510),NA(),IFERROR(LOOKUP(2,1/(('Match Log'!$D$4:$D$1510=$P$24)*('Match Log'!$A$4:$A$1510&lt;=$J264)),'Match Log'!$N$4:$N$1510),NA()))</f>
        <v>1250.105456388731</v>
      </c>
      <c r="Q264">
        <f>IF($J264&gt;MAX('Match Log'!$A$4:$A$1510),NA(),IFERROR(LOOKUP(2,1/(('Match Log'!$D$4:$D$1510=$Q$24)*('Match Log'!$A$4:$A$1510&lt;=$J264)),'Match Log'!$N$4:$N$1510),NA()))</f>
        <v>1000.0962683458113</v>
      </c>
      <c r="R264">
        <f>IF($J264&gt;MAX('Match Log'!$A$4:$A$1510),NA(),IFERROR(LOOKUP(2,1/(('Match Log'!$D$4:$D$1510=$R$24)*('Match Log'!$A$4:$A$1510&lt;=$J264)),'Match Log'!$N$4:$N$1510),NA()))</f>
        <v>1096.181107698189</v>
      </c>
      <c r="S264">
        <f>IF($J264&gt;MAX('Match Log'!$A$4:$A$1510),NA(),IFERROR(LOOKUP(2,1/(('Match Log'!$D$4:$D$1510=$S$24)*('Match Log'!$A$4:$A$1510&lt;=$J264)),'Match Log'!$N$4:$N$1510),NA()))</f>
        <v>1202.303999094534</v>
      </c>
      <c r="T264">
        <f>IF($J264&gt;MAX('Match Log'!$A$4:$A$1510),NA(),IFERROR(LOOKUP(2,1/(('Match Log'!$D$4:$D$1510=$T$24)*('Match Log'!$A$4:$A$1510&lt;=$J264)),'Match Log'!$N$4:$N$1510),NA()))</f>
        <v>862.22294373677494</v>
      </c>
      <c r="U264">
        <f>IF($J264&gt;MAX('Match Log'!$A$4:$A$1510),NA(),IFERROR(LOOKUP(2,1/(('Match Log'!$D$4:$D$1510=$U$24)*('Match Log'!$A$4:$A$1510&lt;=$J264)),'Match Log'!$N$4:$N$1510),NA()))</f>
        <v>1054.3366131438215</v>
      </c>
      <c r="V264">
        <f>IF($J264&gt;MAX('Match Log'!$A$4:$A$1510),NA(),IFERROR(LOOKUP(2,1/(('Match Log'!$D$4:$D$1510=$V$24)*('Match Log'!$A$4:$A$1510&lt;=$J264)),'Match Log'!$N$4:$N$1510),NA()))</f>
        <v>1087.5488947064855</v>
      </c>
      <c r="W264">
        <f>IF($J264&gt;MAX('Match Log'!$A$4:$A$1510),NA(),IFERROR(LOOKUP(2,1/(('Match Log'!$D$4:$D$1510=$W$24)*('Match Log'!$A$4:$A$1510&lt;=$J264)),'Match Log'!$N$4:$N$1510),NA()))</f>
        <v>1023.2192605207141</v>
      </c>
      <c r="X264" t="e">
        <f>IF($J264&gt;MAX('Match Log'!$A$4:$A$1510),NA(),IFERROR(LOOKUP(2,1/(('Match Log'!$D$4:$D$1510=$X$24)*('Match Log'!$A$4:$A$1510&lt;=$J264)),'Match Log'!$N$4:$N$1510),NA()))</f>
        <v>#N/A</v>
      </c>
      <c r="Y264" t="str">
        <f t="shared" ca="1" si="28"/>
        <v/>
      </c>
    </row>
    <row r="265" spans="1:25" x14ac:dyDescent="0.2">
      <c r="A265">
        <v>241</v>
      </c>
      <c r="B265">
        <f>IFERROR(INDEX('Match Log'!$B$4:$B$1510,MATCH($A265,'Match Log'!$A$4:$A$1510,0)),"")</f>
        <v>46255</v>
      </c>
      <c r="C265" t="str">
        <f>IFERROR(INDEX('Match Log'!$C$4:$C$1510,MATCH($A265,'Match Log'!$A$4:$A$1510,0)),"")</f>
        <v>Darts</v>
      </c>
      <c r="D265" t="str">
        <f t="array" ref="D265">IFERROR(_xlfn.TEXTJOIN(" + ",TRUE(),IF(('Match Log'!$A$4:$A$1510=$A265)*('Match Log'!$E$4:$E$1510="Win"),'Match Log'!$D$4:$D$1510,"")),IFERROR(LOOKUP(2,1/(('Match Log'!$A$4:$A$1510=$A265)*('Match Log'!$E$4:$E$1510="Win")),'Match Log'!$D$4:$D$1510),""))</f>
        <v>Dean B</v>
      </c>
      <c r="E265">
        <f>IFERROR(INDEX('Match Log'!$F$4:$F$1510,MATCH($A265,'Match Log'!$A$4:$A$1510,0)),"")</f>
        <v>2</v>
      </c>
      <c r="F265">
        <f>IFERROR(SUMIFS('Match Log'!$I$4:$I$1510,'Match Log'!$A$4:$A$1510,$A265,'Match Log'!$E$4:$E$1510,"Win"),"")</f>
        <v>0.23076923076923078</v>
      </c>
      <c r="G265">
        <f t="shared" si="26"/>
        <v>0.53846153846153844</v>
      </c>
      <c r="H265" t="str">
        <f t="array" ref="H265">IFERROR(IF(COUNTIFS('Match Log'!$A$4:$A$1510,$A265,'Match Log'!$E$4:$E$1510,"Win")&gt;1,_xlfn.TEXTJOIN(" + ",TRUE(),IF(('Match Log'!$A$4:$A$1510=$A265)*('Match Log'!$E$4:$E$1510="Loss"),'Match Log'!$D$4:$D$1510,"")),IF($E265=2,LOOKUP(2,1/(('Match Log'!$A$4:$A$1510=$A265)*('Match Log'!$E$4:$E$1510="Loss")),'Match Log'!$D$4:$D$1510),"the field")),"")</f>
        <v>David</v>
      </c>
      <c r="I265">
        <f t="shared" si="27"/>
        <v>0.53822053846153839</v>
      </c>
      <c r="J265">
        <v>241</v>
      </c>
      <c r="K265">
        <f>IF($J265&gt;MAX('Match Log'!$A$4:$A$1510),NA(),IFERROR(LOOKUP(2,1/(('Match Log'!$D$4:$D$1510=$K$24)*('Match Log'!$A$4:$A$1510&lt;=$J265)),'Match Log'!$N$4:$N$1510),NA()))</f>
        <v>1125.0258579056335</v>
      </c>
      <c r="L265">
        <f>IF($J265&gt;MAX('Match Log'!$A$4:$A$1510),NA(),IFERROR(LOOKUP(2,1/(('Match Log'!$D$4:$D$1510=$L$24)*('Match Log'!$A$4:$A$1510&lt;=$J265)),'Match Log'!$N$4:$N$1510),NA()))</f>
        <v>1029.5175965335138</v>
      </c>
      <c r="M265">
        <f>IF($J265&gt;MAX('Match Log'!$A$4:$A$1510),NA(),IFERROR(LOOKUP(2,1/(('Match Log'!$D$4:$D$1510=$M$24)*('Match Log'!$A$4:$A$1510&lt;=$J265)),'Match Log'!$N$4:$N$1510),NA()))</f>
        <v>1037.8197114720938</v>
      </c>
      <c r="N265">
        <f>IF($J265&gt;MAX('Match Log'!$A$4:$A$1510),NA(),IFERROR(LOOKUP(2,1/(('Match Log'!$D$4:$D$1510=$N$24)*('Match Log'!$A$4:$A$1510&lt;=$J265)),'Match Log'!$N$4:$N$1510),NA()))</f>
        <v>935.23568912688131</v>
      </c>
      <c r="O265">
        <f>IF($J265&gt;MAX('Match Log'!$A$4:$A$1510),NA(),IFERROR(LOOKUP(2,1/(('Match Log'!$D$4:$D$1510=$O$24)*('Match Log'!$A$4:$A$1510&lt;=$J265)),'Match Log'!$N$4:$N$1510),NA()))</f>
        <v>1155.9112046633588</v>
      </c>
      <c r="P265">
        <f>IF($J265&gt;MAX('Match Log'!$A$4:$A$1510),NA(),IFERROR(LOOKUP(2,1/(('Match Log'!$D$4:$D$1510=$P$24)*('Match Log'!$A$4:$A$1510&lt;=$J265)),'Match Log'!$N$4:$N$1510),NA()))</f>
        <v>1250.105456388731</v>
      </c>
      <c r="Q265">
        <f>IF($J265&gt;MAX('Match Log'!$A$4:$A$1510),NA(),IFERROR(LOOKUP(2,1/(('Match Log'!$D$4:$D$1510=$Q$24)*('Match Log'!$A$4:$A$1510&lt;=$J265)),'Match Log'!$N$4:$N$1510),NA()))</f>
        <v>1000.0962683458113</v>
      </c>
      <c r="R265">
        <f>IF($J265&gt;MAX('Match Log'!$A$4:$A$1510),NA(),IFERROR(LOOKUP(2,1/(('Match Log'!$D$4:$D$1510=$R$24)*('Match Log'!$A$4:$A$1510&lt;=$J265)),'Match Log'!$N$4:$N$1510),NA()))</f>
        <v>1096.181107698189</v>
      </c>
      <c r="S265">
        <f>IF($J265&gt;MAX('Match Log'!$A$4:$A$1510),NA(),IFERROR(LOOKUP(2,1/(('Match Log'!$D$4:$D$1510=$S$24)*('Match Log'!$A$4:$A$1510&lt;=$J265)),'Match Log'!$N$4:$N$1510),NA()))</f>
        <v>1220.7793957579906</v>
      </c>
      <c r="T265">
        <f>IF($J265&gt;MAX('Match Log'!$A$4:$A$1510),NA(),IFERROR(LOOKUP(2,1/(('Match Log'!$D$4:$D$1510=$T$24)*('Match Log'!$A$4:$A$1510&lt;=$J265)),'Match Log'!$N$4:$N$1510),NA()))</f>
        <v>862.22294373677494</v>
      </c>
      <c r="U265">
        <f>IF($J265&gt;MAX('Match Log'!$A$4:$A$1510),NA(),IFERROR(LOOKUP(2,1/(('Match Log'!$D$4:$D$1510=$U$24)*('Match Log'!$A$4:$A$1510&lt;=$J265)),'Match Log'!$N$4:$N$1510),NA()))</f>
        <v>1054.3366131438215</v>
      </c>
      <c r="V265">
        <f>IF($J265&gt;MAX('Match Log'!$A$4:$A$1510),NA(),IFERROR(LOOKUP(2,1/(('Match Log'!$D$4:$D$1510=$V$24)*('Match Log'!$A$4:$A$1510&lt;=$J265)),'Match Log'!$N$4:$N$1510),NA()))</f>
        <v>1087.5488947064855</v>
      </c>
      <c r="W265">
        <f>IF($J265&gt;MAX('Match Log'!$A$4:$A$1510),NA(),IFERROR(LOOKUP(2,1/(('Match Log'!$D$4:$D$1510=$W$24)*('Match Log'!$A$4:$A$1510&lt;=$J265)),'Match Log'!$N$4:$N$1510),NA()))</f>
        <v>1023.2192605207141</v>
      </c>
      <c r="X265" t="e">
        <f>IF($J265&gt;MAX('Match Log'!$A$4:$A$1510),NA(),IFERROR(LOOKUP(2,1/(('Match Log'!$D$4:$D$1510=$X$24)*('Match Log'!$A$4:$A$1510&lt;=$J265)),'Match Log'!$N$4:$N$1510),NA()))</f>
        <v>#N/A</v>
      </c>
      <c r="Y265" t="str">
        <f t="shared" ca="1" si="28"/>
        <v/>
      </c>
    </row>
    <row r="266" spans="1:25" x14ac:dyDescent="0.2">
      <c r="A266">
        <v>242</v>
      </c>
      <c r="B266">
        <f>IFERROR(INDEX('Match Log'!$B$4:$B$1510,MATCH($A266,'Match Log'!$A$4:$A$1510,0)),"")</f>
        <v>46256</v>
      </c>
      <c r="C266" t="str">
        <f>IFERROR(INDEX('Match Log'!$C$4:$C$1510,MATCH($A266,'Match Log'!$A$4:$A$1510,0)),"")</f>
        <v>FIFA</v>
      </c>
      <c r="D266" t="str">
        <f t="array" ref="D266">IFERROR(_xlfn.TEXTJOIN(" + ",TRUE(),IF(('Match Log'!$A$4:$A$1510=$A266)*('Match Log'!$E$4:$E$1510="Win"),'Match Log'!$D$4:$D$1510,"")),IFERROR(LOOKUP(2,1/(('Match Log'!$A$4:$A$1510=$A266)*('Match Log'!$E$4:$E$1510="Win")),'Match Log'!$D$4:$D$1510),""))</f>
        <v>Daniel (Ferret)</v>
      </c>
      <c r="E266">
        <f>IFERROR(INDEX('Match Log'!$F$4:$F$1510,MATCH($A266,'Match Log'!$A$4:$A$1510,0)),"")</f>
        <v>2</v>
      </c>
      <c r="F266">
        <f>IFERROR(SUMIFS('Match Log'!$I$4:$I$1510,'Match Log'!$A$4:$A$1510,$A266,'Match Log'!$E$4:$E$1510,"Win"),"")</f>
        <v>0.5</v>
      </c>
      <c r="G266">
        <f t="shared" si="26"/>
        <v>0</v>
      </c>
      <c r="H266" t="str">
        <f t="array" ref="H266">IFERROR(IF(COUNTIFS('Match Log'!$A$4:$A$1510,$A266,'Match Log'!$E$4:$E$1510,"Win")&gt;1,_xlfn.TEXTJOIN(" + ",TRUE(),IF(('Match Log'!$A$4:$A$1510=$A266)*('Match Log'!$E$4:$E$1510="Loss"),'Match Log'!$D$4:$D$1510,"")),IF($E266=2,LOOKUP(2,1/(('Match Log'!$A$4:$A$1510=$A266)*('Match Log'!$E$4:$E$1510="Loss")),'Match Log'!$D$4:$D$1510),"the field")),"")</f>
        <v>Shawn</v>
      </c>
      <c r="I266">
        <f t="shared" si="27"/>
        <v>-2.42E-4</v>
      </c>
      <c r="J266">
        <v>242</v>
      </c>
      <c r="K266">
        <f>IF($J266&gt;MAX('Match Log'!$A$4:$A$1510),NA(),IFERROR(LOOKUP(2,1/(('Match Log'!$D$4:$D$1510=$K$24)*('Match Log'!$A$4:$A$1510&lt;=$J266)),'Match Log'!$N$4:$N$1510),NA()))</f>
        <v>1125.0258579056335</v>
      </c>
      <c r="L266">
        <f>IF($J266&gt;MAX('Match Log'!$A$4:$A$1510),NA(),IFERROR(LOOKUP(2,1/(('Match Log'!$D$4:$D$1510=$L$24)*('Match Log'!$A$4:$A$1510&lt;=$J266)),'Match Log'!$N$4:$N$1510),NA()))</f>
        <v>1029.5175965335138</v>
      </c>
      <c r="M266">
        <f>IF($J266&gt;MAX('Match Log'!$A$4:$A$1510),NA(),IFERROR(LOOKUP(2,1/(('Match Log'!$D$4:$D$1510=$M$24)*('Match Log'!$A$4:$A$1510&lt;=$J266)),'Match Log'!$N$4:$N$1510),NA()))</f>
        <v>1037.8197114720938</v>
      </c>
      <c r="N266">
        <f>IF($J266&gt;MAX('Match Log'!$A$4:$A$1510),NA(),IFERROR(LOOKUP(2,1/(('Match Log'!$D$4:$D$1510=$N$24)*('Match Log'!$A$4:$A$1510&lt;=$J266)),'Match Log'!$N$4:$N$1510),NA()))</f>
        <v>935.23568912688131</v>
      </c>
      <c r="O266">
        <f>IF($J266&gt;MAX('Match Log'!$A$4:$A$1510),NA(),IFERROR(LOOKUP(2,1/(('Match Log'!$D$4:$D$1510=$O$24)*('Match Log'!$A$4:$A$1510&lt;=$J266)),'Match Log'!$N$4:$N$1510),NA()))</f>
        <v>1155.9112046633588</v>
      </c>
      <c r="P266">
        <f>IF($J266&gt;MAX('Match Log'!$A$4:$A$1510),NA(),IFERROR(LOOKUP(2,1/(('Match Log'!$D$4:$D$1510=$P$24)*('Match Log'!$A$4:$A$1510&lt;=$J266)),'Match Log'!$N$4:$N$1510),NA()))</f>
        <v>1228.3483348720479</v>
      </c>
      <c r="Q266">
        <f>IF($J266&gt;MAX('Match Log'!$A$4:$A$1510),NA(),IFERROR(LOOKUP(2,1/(('Match Log'!$D$4:$D$1510=$Q$24)*('Match Log'!$A$4:$A$1510&lt;=$J266)),'Match Log'!$N$4:$N$1510),NA()))</f>
        <v>1000.0962683458113</v>
      </c>
      <c r="R266">
        <f>IF($J266&gt;MAX('Match Log'!$A$4:$A$1510),NA(),IFERROR(LOOKUP(2,1/(('Match Log'!$D$4:$D$1510=$R$24)*('Match Log'!$A$4:$A$1510&lt;=$J266)),'Match Log'!$N$4:$N$1510),NA()))</f>
        <v>1117.9382292148721</v>
      </c>
      <c r="S266">
        <f>IF($J266&gt;MAX('Match Log'!$A$4:$A$1510),NA(),IFERROR(LOOKUP(2,1/(('Match Log'!$D$4:$D$1510=$S$24)*('Match Log'!$A$4:$A$1510&lt;=$J266)),'Match Log'!$N$4:$N$1510),NA()))</f>
        <v>1220.7793957579906</v>
      </c>
      <c r="T266">
        <f>IF($J266&gt;MAX('Match Log'!$A$4:$A$1510),NA(),IFERROR(LOOKUP(2,1/(('Match Log'!$D$4:$D$1510=$T$24)*('Match Log'!$A$4:$A$1510&lt;=$J266)),'Match Log'!$N$4:$N$1510),NA()))</f>
        <v>862.22294373677494</v>
      </c>
      <c r="U266">
        <f>IF($J266&gt;MAX('Match Log'!$A$4:$A$1510),NA(),IFERROR(LOOKUP(2,1/(('Match Log'!$D$4:$D$1510=$U$24)*('Match Log'!$A$4:$A$1510&lt;=$J266)),'Match Log'!$N$4:$N$1510),NA()))</f>
        <v>1054.3366131438215</v>
      </c>
      <c r="V266">
        <f>IF($J266&gt;MAX('Match Log'!$A$4:$A$1510),NA(),IFERROR(LOOKUP(2,1/(('Match Log'!$D$4:$D$1510=$V$24)*('Match Log'!$A$4:$A$1510&lt;=$J266)),'Match Log'!$N$4:$N$1510),NA()))</f>
        <v>1087.5488947064855</v>
      </c>
      <c r="W266">
        <f>IF($J266&gt;MAX('Match Log'!$A$4:$A$1510),NA(),IFERROR(LOOKUP(2,1/(('Match Log'!$D$4:$D$1510=$W$24)*('Match Log'!$A$4:$A$1510&lt;=$J266)),'Match Log'!$N$4:$N$1510),NA()))</f>
        <v>1023.2192605207141</v>
      </c>
      <c r="X266" t="e">
        <f>IF($J266&gt;MAX('Match Log'!$A$4:$A$1510),NA(),IFERROR(LOOKUP(2,1/(('Match Log'!$D$4:$D$1510=$X$24)*('Match Log'!$A$4:$A$1510&lt;=$J266)),'Match Log'!$N$4:$N$1510),NA()))</f>
        <v>#N/A</v>
      </c>
      <c r="Y266" t="str">
        <f t="shared" ca="1" si="28"/>
        <v/>
      </c>
    </row>
    <row r="267" spans="1:25" x14ac:dyDescent="0.2">
      <c r="A267">
        <v>243</v>
      </c>
      <c r="B267">
        <f>IFERROR(INDEX('Match Log'!$B$4:$B$1510,MATCH($A267,'Match Log'!$A$4:$A$1510,0)),"")</f>
        <v>46256</v>
      </c>
      <c r="C267" t="str">
        <f>IFERROR(INDEX('Match Log'!$C$4:$C$1510,MATCH($A267,'Match Log'!$A$4:$A$1510,0)),"")</f>
        <v>FIFA</v>
      </c>
      <c r="D267" t="str">
        <f t="array" ref="D267">IFERROR(_xlfn.TEXTJOIN(" + ",TRUE(),IF(('Match Log'!$A$4:$A$1510=$A267)*('Match Log'!$E$4:$E$1510="Win"),'Match Log'!$D$4:$D$1510,"")),IFERROR(LOOKUP(2,1/(('Match Log'!$A$4:$A$1510=$A267)*('Match Log'!$E$4:$E$1510="Win")),'Match Log'!$D$4:$D$1510),""))</f>
        <v>Aaron</v>
      </c>
      <c r="E267">
        <f>IFERROR(INDEX('Match Log'!$F$4:$F$1510,MATCH($A267,'Match Log'!$A$4:$A$1510,0)),"")</f>
        <v>2</v>
      </c>
      <c r="F267">
        <f>IFERROR(SUMIFS('Match Log'!$I$4:$I$1510,'Match Log'!$A$4:$A$1510,$A267,'Match Log'!$E$4:$E$1510,"Win"),"")</f>
        <v>0.58823529411764697</v>
      </c>
      <c r="G267">
        <f t="shared" si="26"/>
        <v>-0.17647058823529393</v>
      </c>
      <c r="H267" t="str">
        <f t="array" ref="H267">IFERROR(IF(COUNTIFS('Match Log'!$A$4:$A$1510,$A267,'Match Log'!$E$4:$E$1510,"Win")&gt;1,_xlfn.TEXTJOIN(" + ",TRUE(),IF(('Match Log'!$A$4:$A$1510=$A267)*('Match Log'!$E$4:$E$1510="Loss"),'Match Log'!$D$4:$D$1510,"")),IF($E267=2,LOOKUP(2,1/(('Match Log'!$A$4:$A$1510=$A267)*('Match Log'!$E$4:$E$1510="Loss")),'Match Log'!$D$4:$D$1510),"the field")),"")</f>
        <v>Daniel (Ferret)</v>
      </c>
      <c r="I267">
        <f t="shared" si="27"/>
        <v>-0.17671358823529393</v>
      </c>
      <c r="J267">
        <v>243</v>
      </c>
      <c r="K267">
        <f>IF($J267&gt;MAX('Match Log'!$A$4:$A$1510),NA(),IFERROR(LOOKUP(2,1/(('Match Log'!$D$4:$D$1510=$K$24)*('Match Log'!$A$4:$A$1510&lt;=$J267)),'Match Log'!$N$4:$N$1510),NA()))</f>
        <v>1144.1416313722275</v>
      </c>
      <c r="L267">
        <f>IF($J267&gt;MAX('Match Log'!$A$4:$A$1510),NA(),IFERROR(LOOKUP(2,1/(('Match Log'!$D$4:$D$1510=$L$24)*('Match Log'!$A$4:$A$1510&lt;=$J267)),'Match Log'!$N$4:$N$1510),NA()))</f>
        <v>1029.5175965335138</v>
      </c>
      <c r="M267">
        <f>IF($J267&gt;MAX('Match Log'!$A$4:$A$1510),NA(),IFERROR(LOOKUP(2,1/(('Match Log'!$D$4:$D$1510=$M$24)*('Match Log'!$A$4:$A$1510&lt;=$J267)),'Match Log'!$N$4:$N$1510),NA()))</f>
        <v>1037.8197114720938</v>
      </c>
      <c r="N267">
        <f>IF($J267&gt;MAX('Match Log'!$A$4:$A$1510),NA(),IFERROR(LOOKUP(2,1/(('Match Log'!$D$4:$D$1510=$N$24)*('Match Log'!$A$4:$A$1510&lt;=$J267)),'Match Log'!$N$4:$N$1510),NA()))</f>
        <v>935.23568912688131</v>
      </c>
      <c r="O267">
        <f>IF($J267&gt;MAX('Match Log'!$A$4:$A$1510),NA(),IFERROR(LOOKUP(2,1/(('Match Log'!$D$4:$D$1510=$O$24)*('Match Log'!$A$4:$A$1510&lt;=$J267)),'Match Log'!$N$4:$N$1510),NA()))</f>
        <v>1155.9112046633588</v>
      </c>
      <c r="P267">
        <f>IF($J267&gt;MAX('Match Log'!$A$4:$A$1510),NA(),IFERROR(LOOKUP(2,1/(('Match Log'!$D$4:$D$1510=$P$24)*('Match Log'!$A$4:$A$1510&lt;=$J267)),'Match Log'!$N$4:$N$1510),NA()))</f>
        <v>1228.3483348720479</v>
      </c>
      <c r="Q267">
        <f>IF($J267&gt;MAX('Match Log'!$A$4:$A$1510),NA(),IFERROR(LOOKUP(2,1/(('Match Log'!$D$4:$D$1510=$Q$24)*('Match Log'!$A$4:$A$1510&lt;=$J267)),'Match Log'!$N$4:$N$1510),NA()))</f>
        <v>1000.0962683458113</v>
      </c>
      <c r="R267">
        <f>IF($J267&gt;MAX('Match Log'!$A$4:$A$1510),NA(),IFERROR(LOOKUP(2,1/(('Match Log'!$D$4:$D$1510=$R$24)*('Match Log'!$A$4:$A$1510&lt;=$J267)),'Match Log'!$N$4:$N$1510),NA()))</f>
        <v>1098.8224557482781</v>
      </c>
      <c r="S267">
        <f>IF($J267&gt;MAX('Match Log'!$A$4:$A$1510),NA(),IFERROR(LOOKUP(2,1/(('Match Log'!$D$4:$D$1510=$S$24)*('Match Log'!$A$4:$A$1510&lt;=$J267)),'Match Log'!$N$4:$N$1510),NA()))</f>
        <v>1220.7793957579906</v>
      </c>
      <c r="T267">
        <f>IF($J267&gt;MAX('Match Log'!$A$4:$A$1510),NA(),IFERROR(LOOKUP(2,1/(('Match Log'!$D$4:$D$1510=$T$24)*('Match Log'!$A$4:$A$1510&lt;=$J267)),'Match Log'!$N$4:$N$1510),NA()))</f>
        <v>862.22294373677494</v>
      </c>
      <c r="U267">
        <f>IF($J267&gt;MAX('Match Log'!$A$4:$A$1510),NA(),IFERROR(LOOKUP(2,1/(('Match Log'!$D$4:$D$1510=$U$24)*('Match Log'!$A$4:$A$1510&lt;=$J267)),'Match Log'!$N$4:$N$1510),NA()))</f>
        <v>1054.3366131438215</v>
      </c>
      <c r="V267">
        <f>IF($J267&gt;MAX('Match Log'!$A$4:$A$1510),NA(),IFERROR(LOOKUP(2,1/(('Match Log'!$D$4:$D$1510=$V$24)*('Match Log'!$A$4:$A$1510&lt;=$J267)),'Match Log'!$N$4:$N$1510),NA()))</f>
        <v>1087.5488947064855</v>
      </c>
      <c r="W267">
        <f>IF($J267&gt;MAX('Match Log'!$A$4:$A$1510),NA(),IFERROR(LOOKUP(2,1/(('Match Log'!$D$4:$D$1510=$W$24)*('Match Log'!$A$4:$A$1510&lt;=$J267)),'Match Log'!$N$4:$N$1510),NA()))</f>
        <v>1023.2192605207141</v>
      </c>
      <c r="X267" t="e">
        <f>IF($J267&gt;MAX('Match Log'!$A$4:$A$1510),NA(),IFERROR(LOOKUP(2,1/(('Match Log'!$D$4:$D$1510=$X$24)*('Match Log'!$A$4:$A$1510&lt;=$J267)),'Match Log'!$N$4:$N$1510),NA()))</f>
        <v>#N/A</v>
      </c>
      <c r="Y267" t="str">
        <f t="shared" ca="1" si="28"/>
        <v/>
      </c>
    </row>
    <row r="268" spans="1:25" x14ac:dyDescent="0.2">
      <c r="A268">
        <v>244</v>
      </c>
      <c r="B268">
        <f>IFERROR(INDEX('Match Log'!$B$4:$B$1510,MATCH($A268,'Match Log'!$A$4:$A$1510,0)),"")</f>
        <v>46256</v>
      </c>
      <c r="C268" t="str">
        <f>IFERROR(INDEX('Match Log'!$C$4:$C$1510,MATCH($A268,'Match Log'!$A$4:$A$1510,0)),"")</f>
        <v>FIFA</v>
      </c>
      <c r="D268" t="str">
        <f t="array" ref="D268">IFERROR(_xlfn.TEXTJOIN(" + ",TRUE(),IF(('Match Log'!$A$4:$A$1510=$A268)*('Match Log'!$E$4:$E$1510="Win"),'Match Log'!$D$4:$D$1510,"")),IFERROR(LOOKUP(2,1/(('Match Log'!$A$4:$A$1510=$A268)*('Match Log'!$E$4:$E$1510="Win")),'Match Log'!$D$4:$D$1510),""))</f>
        <v>Aaron</v>
      </c>
      <c r="E268">
        <f>IFERROR(INDEX('Match Log'!$F$4:$F$1510,MATCH($A268,'Match Log'!$A$4:$A$1510,0)),"")</f>
        <v>2</v>
      </c>
      <c r="F268">
        <f>IFERROR(SUMIFS('Match Log'!$I$4:$I$1510,'Match Log'!$A$4:$A$1510,$A268,'Match Log'!$E$4:$E$1510,"Win"),"")</f>
        <v>0.64705882352941169</v>
      </c>
      <c r="G268">
        <f t="shared" si="26"/>
        <v>-0.29411764705882337</v>
      </c>
      <c r="H268" t="str">
        <f t="array" ref="H268">IFERROR(IF(COUNTIFS('Match Log'!$A$4:$A$1510,$A268,'Match Log'!$E$4:$E$1510,"Win")&gt;1,_xlfn.TEXTJOIN(" + ",TRUE(),IF(('Match Log'!$A$4:$A$1510=$A268)*('Match Log'!$E$4:$E$1510="Loss"),'Match Log'!$D$4:$D$1510,"")),IF($E268=2,LOOKUP(2,1/(('Match Log'!$A$4:$A$1510=$A268)*('Match Log'!$E$4:$E$1510="Loss")),'Match Log'!$D$4:$D$1510),"the field")),"")</f>
        <v>Oscar</v>
      </c>
      <c r="I268">
        <f t="shared" si="27"/>
        <v>-0.29436164705882339</v>
      </c>
      <c r="J268">
        <v>244</v>
      </c>
      <c r="K268">
        <f>IF($J268&gt;MAX('Match Log'!$A$4:$A$1510),NA(),IFERROR(LOOKUP(2,1/(('Match Log'!$D$4:$D$1510=$K$24)*('Match Log'!$A$4:$A$1510&lt;=$J268)),'Match Log'!$N$4:$N$1510),NA()))</f>
        <v>1160.9445376129238</v>
      </c>
      <c r="L268">
        <f>IF($J268&gt;MAX('Match Log'!$A$4:$A$1510),NA(),IFERROR(LOOKUP(2,1/(('Match Log'!$D$4:$D$1510=$L$24)*('Match Log'!$A$4:$A$1510&lt;=$J268)),'Match Log'!$N$4:$N$1510),NA()))</f>
        <v>1029.5175965335138</v>
      </c>
      <c r="M268">
        <f>IF($J268&gt;MAX('Match Log'!$A$4:$A$1510),NA(),IFERROR(LOOKUP(2,1/(('Match Log'!$D$4:$D$1510=$M$24)*('Match Log'!$A$4:$A$1510&lt;=$J268)),'Match Log'!$N$4:$N$1510),NA()))</f>
        <v>1037.8197114720938</v>
      </c>
      <c r="N268">
        <f>IF($J268&gt;MAX('Match Log'!$A$4:$A$1510),NA(),IFERROR(LOOKUP(2,1/(('Match Log'!$D$4:$D$1510=$N$24)*('Match Log'!$A$4:$A$1510&lt;=$J268)),'Match Log'!$N$4:$N$1510),NA()))</f>
        <v>935.23568912688131</v>
      </c>
      <c r="O268">
        <f>IF($J268&gt;MAX('Match Log'!$A$4:$A$1510),NA(),IFERROR(LOOKUP(2,1/(('Match Log'!$D$4:$D$1510=$O$24)*('Match Log'!$A$4:$A$1510&lt;=$J268)),'Match Log'!$N$4:$N$1510),NA()))</f>
        <v>1155.9112046633588</v>
      </c>
      <c r="P268">
        <f>IF($J268&gt;MAX('Match Log'!$A$4:$A$1510),NA(),IFERROR(LOOKUP(2,1/(('Match Log'!$D$4:$D$1510=$P$24)*('Match Log'!$A$4:$A$1510&lt;=$J268)),'Match Log'!$N$4:$N$1510),NA()))</f>
        <v>1228.3483348720479</v>
      </c>
      <c r="Q268">
        <f>IF($J268&gt;MAX('Match Log'!$A$4:$A$1510),NA(),IFERROR(LOOKUP(2,1/(('Match Log'!$D$4:$D$1510=$Q$24)*('Match Log'!$A$4:$A$1510&lt;=$J268)),'Match Log'!$N$4:$N$1510),NA()))</f>
        <v>1000.0962683458113</v>
      </c>
      <c r="R268">
        <f>IF($J268&gt;MAX('Match Log'!$A$4:$A$1510),NA(),IFERROR(LOOKUP(2,1/(('Match Log'!$D$4:$D$1510=$R$24)*('Match Log'!$A$4:$A$1510&lt;=$J268)),'Match Log'!$N$4:$N$1510),NA()))</f>
        <v>1098.8224557482781</v>
      </c>
      <c r="S268">
        <f>IF($J268&gt;MAX('Match Log'!$A$4:$A$1510),NA(),IFERROR(LOOKUP(2,1/(('Match Log'!$D$4:$D$1510=$S$24)*('Match Log'!$A$4:$A$1510&lt;=$J268)),'Match Log'!$N$4:$N$1510),NA()))</f>
        <v>1220.7793957579906</v>
      </c>
      <c r="T268">
        <f>IF($J268&gt;MAX('Match Log'!$A$4:$A$1510),NA(),IFERROR(LOOKUP(2,1/(('Match Log'!$D$4:$D$1510=$T$24)*('Match Log'!$A$4:$A$1510&lt;=$J268)),'Match Log'!$N$4:$N$1510),NA()))</f>
        <v>862.22294373677494</v>
      </c>
      <c r="U268">
        <f>IF($J268&gt;MAX('Match Log'!$A$4:$A$1510),NA(),IFERROR(LOOKUP(2,1/(('Match Log'!$D$4:$D$1510=$U$24)*('Match Log'!$A$4:$A$1510&lt;=$J268)),'Match Log'!$N$4:$N$1510),NA()))</f>
        <v>1037.5337069031252</v>
      </c>
      <c r="V268">
        <f>IF($J268&gt;MAX('Match Log'!$A$4:$A$1510),NA(),IFERROR(LOOKUP(2,1/(('Match Log'!$D$4:$D$1510=$V$24)*('Match Log'!$A$4:$A$1510&lt;=$J268)),'Match Log'!$N$4:$N$1510),NA()))</f>
        <v>1087.5488947064855</v>
      </c>
      <c r="W268">
        <f>IF($J268&gt;MAX('Match Log'!$A$4:$A$1510),NA(),IFERROR(LOOKUP(2,1/(('Match Log'!$D$4:$D$1510=$W$24)*('Match Log'!$A$4:$A$1510&lt;=$J268)),'Match Log'!$N$4:$N$1510),NA()))</f>
        <v>1023.2192605207141</v>
      </c>
      <c r="X268" t="e">
        <f>IF($J268&gt;MAX('Match Log'!$A$4:$A$1510),NA(),IFERROR(LOOKUP(2,1/(('Match Log'!$D$4:$D$1510=$X$24)*('Match Log'!$A$4:$A$1510&lt;=$J268)),'Match Log'!$N$4:$N$1510),NA()))</f>
        <v>#N/A</v>
      </c>
      <c r="Y268" t="str">
        <f t="shared" ca="1" si="28"/>
        <v/>
      </c>
    </row>
    <row r="269" spans="1:25" x14ac:dyDescent="0.2">
      <c r="A269">
        <v>245</v>
      </c>
      <c r="B269">
        <f>IFERROR(INDEX('Match Log'!$B$4:$B$1510,MATCH($A269,'Match Log'!$A$4:$A$1510,0)),"")</f>
        <v>46256</v>
      </c>
      <c r="C269" t="str">
        <f>IFERROR(INDEX('Match Log'!$C$4:$C$1510,MATCH($A269,'Match Log'!$A$4:$A$1510,0)),"")</f>
        <v>HORSE - Basketball</v>
      </c>
      <c r="D269" t="str">
        <f t="array" ref="D269">IFERROR(_xlfn.TEXTJOIN(" + ",TRUE(),IF(('Match Log'!$A$4:$A$1510=$A269)*('Match Log'!$E$4:$E$1510="Win"),'Match Log'!$D$4:$D$1510,"")),IFERROR(LOOKUP(2,1/(('Match Log'!$A$4:$A$1510=$A269)*('Match Log'!$E$4:$E$1510="Win")),'Match Log'!$D$4:$D$1510),""))</f>
        <v>Shawn</v>
      </c>
      <c r="E269">
        <f>IFERROR(INDEX('Match Log'!$F$4:$F$1510,MATCH($A269,'Match Log'!$A$4:$A$1510,0)),"")</f>
        <v>4</v>
      </c>
      <c r="F269">
        <f>IFERROR(SUMIFS('Match Log'!$I$4:$I$1510,'Match Log'!$A$4:$A$1510,$A269,'Match Log'!$E$4:$E$1510,"Win"),"")</f>
        <v>0.42857142857142855</v>
      </c>
      <c r="G269">
        <f t="shared" si="26"/>
        <v>-0.71428571428571419</v>
      </c>
      <c r="H269" t="str">
        <f t="array" ref="H269">IFERROR(IF(COUNTIFS('Match Log'!$A$4:$A$1510,$A269,'Match Log'!$E$4:$E$1510,"Win")&gt;1,_xlfn.TEXTJOIN(" + ",TRUE(),IF(('Match Log'!$A$4:$A$1510=$A269)*('Match Log'!$E$4:$E$1510="Loss"),'Match Log'!$D$4:$D$1510,"")),IF($E269=2,LOOKUP(2,1/(('Match Log'!$A$4:$A$1510=$A269)*('Match Log'!$E$4:$E$1510="Loss")),'Match Log'!$D$4:$D$1510),"the field")),"")</f>
        <v>the field</v>
      </c>
      <c r="I269">
        <f t="shared" si="27"/>
        <v>-0.71453071428571424</v>
      </c>
      <c r="J269">
        <v>245</v>
      </c>
      <c r="K269">
        <f>IF($J269&gt;MAX('Match Log'!$A$4:$A$1510),NA(),IFERROR(LOOKUP(2,1/(('Match Log'!$D$4:$D$1510=$K$24)*('Match Log'!$A$4:$A$1510&lt;=$J269)),'Match Log'!$N$4:$N$1510),NA()))</f>
        <v>1158.8083419783811</v>
      </c>
      <c r="L269">
        <f>IF($J269&gt;MAX('Match Log'!$A$4:$A$1510),NA(),IFERROR(LOOKUP(2,1/(('Match Log'!$D$4:$D$1510=$L$24)*('Match Log'!$A$4:$A$1510&lt;=$J269)),'Match Log'!$N$4:$N$1510),NA()))</f>
        <v>1029.5175965335138</v>
      </c>
      <c r="M269">
        <f>IF($J269&gt;MAX('Match Log'!$A$4:$A$1510),NA(),IFERROR(LOOKUP(2,1/(('Match Log'!$D$4:$D$1510=$M$24)*('Match Log'!$A$4:$A$1510&lt;=$J269)),'Match Log'!$N$4:$N$1510),NA()))</f>
        <v>1037.8197114720938</v>
      </c>
      <c r="N269">
        <f>IF($J269&gt;MAX('Match Log'!$A$4:$A$1510),NA(),IFERROR(LOOKUP(2,1/(('Match Log'!$D$4:$D$1510=$N$24)*('Match Log'!$A$4:$A$1510&lt;=$J269)),'Match Log'!$N$4:$N$1510),NA()))</f>
        <v>935.23568912688131</v>
      </c>
      <c r="O269">
        <f>IF($J269&gt;MAX('Match Log'!$A$4:$A$1510),NA(),IFERROR(LOOKUP(2,1/(('Match Log'!$D$4:$D$1510=$O$24)*('Match Log'!$A$4:$A$1510&lt;=$J269)),'Match Log'!$N$4:$N$1510),NA()))</f>
        <v>1155.9112046633588</v>
      </c>
      <c r="P269">
        <f>IF($J269&gt;MAX('Match Log'!$A$4:$A$1510),NA(),IFERROR(LOOKUP(2,1/(('Match Log'!$D$4:$D$1510=$P$24)*('Match Log'!$A$4:$A$1510&lt;=$J269)),'Match Log'!$N$4:$N$1510),NA()))</f>
        <v>1250.7724427482369</v>
      </c>
      <c r="Q269">
        <f>IF($J269&gt;MAX('Match Log'!$A$4:$A$1510),NA(),IFERROR(LOOKUP(2,1/(('Match Log'!$D$4:$D$1510=$Q$24)*('Match Log'!$A$4:$A$1510&lt;=$J269)),'Match Log'!$N$4:$N$1510),NA()))</f>
        <v>1000.0962683458113</v>
      </c>
      <c r="R269">
        <f>IF($J269&gt;MAX('Match Log'!$A$4:$A$1510),NA(),IFERROR(LOOKUP(2,1/(('Match Log'!$D$4:$D$1510=$R$24)*('Match Log'!$A$4:$A$1510&lt;=$J269)),'Match Log'!$N$4:$N$1510),NA()))</f>
        <v>1097.3299717541172</v>
      </c>
      <c r="S269">
        <f>IF($J269&gt;MAX('Match Log'!$A$4:$A$1510),NA(),IFERROR(LOOKUP(2,1/(('Match Log'!$D$4:$D$1510=$S$24)*('Match Log'!$A$4:$A$1510&lt;=$J269)),'Match Log'!$N$4:$N$1510),NA()))</f>
        <v>1220.7793957579906</v>
      </c>
      <c r="T269">
        <f>IF($J269&gt;MAX('Match Log'!$A$4:$A$1510),NA(),IFERROR(LOOKUP(2,1/(('Match Log'!$D$4:$D$1510=$T$24)*('Match Log'!$A$4:$A$1510&lt;=$J269)),'Match Log'!$N$4:$N$1510),NA()))</f>
        <v>862.22294373677494</v>
      </c>
      <c r="U269">
        <f>IF($J269&gt;MAX('Match Log'!$A$4:$A$1510),NA(),IFERROR(LOOKUP(2,1/(('Match Log'!$D$4:$D$1510=$U$24)*('Match Log'!$A$4:$A$1510&lt;=$J269)),'Match Log'!$N$4:$N$1510),NA()))</f>
        <v>1034.7382786556395</v>
      </c>
      <c r="V269">
        <f>IF($J269&gt;MAX('Match Log'!$A$4:$A$1510),NA(),IFERROR(LOOKUP(2,1/(('Match Log'!$D$4:$D$1510=$V$24)*('Match Log'!$A$4:$A$1510&lt;=$J269)),'Match Log'!$N$4:$N$1510),NA()))</f>
        <v>1087.5488947064855</v>
      </c>
      <c r="W269">
        <f>IF($J269&gt;MAX('Match Log'!$A$4:$A$1510),NA(),IFERROR(LOOKUP(2,1/(('Match Log'!$D$4:$D$1510=$W$24)*('Match Log'!$A$4:$A$1510&lt;=$J269)),'Match Log'!$N$4:$N$1510),NA()))</f>
        <v>1023.2192605207141</v>
      </c>
      <c r="X269" t="e">
        <f>IF($J269&gt;MAX('Match Log'!$A$4:$A$1510),NA(),IFERROR(LOOKUP(2,1/(('Match Log'!$D$4:$D$1510=$X$24)*('Match Log'!$A$4:$A$1510&lt;=$J269)),'Match Log'!$N$4:$N$1510),NA()))</f>
        <v>#N/A</v>
      </c>
      <c r="Y269" t="str">
        <f t="shared" ca="1" si="28"/>
        <v/>
      </c>
    </row>
    <row r="270" spans="1:25" x14ac:dyDescent="0.2">
      <c r="A270">
        <v>246</v>
      </c>
      <c r="B270">
        <f>IFERROR(INDEX('Match Log'!$B$4:$B$1510,MATCH($A270,'Match Log'!$A$4:$A$1510,0)),"")</f>
        <v>46256</v>
      </c>
      <c r="C270" t="str">
        <f>IFERROR(INDEX('Match Log'!$C$4:$C$1510,MATCH($A270,'Match Log'!$A$4:$A$1510,0)),"")</f>
        <v>Darts</v>
      </c>
      <c r="D270" t="str">
        <f t="array" ref="D270">IFERROR(_xlfn.TEXTJOIN(" + ",TRUE(),IF(('Match Log'!$A$4:$A$1510=$A270)*('Match Log'!$E$4:$E$1510="Win"),'Match Log'!$D$4:$D$1510,"")),IFERROR(LOOKUP(2,1/(('Match Log'!$A$4:$A$1510=$A270)*('Match Log'!$E$4:$E$1510="Win")),'Match Log'!$D$4:$D$1510),""))</f>
        <v>Shawn</v>
      </c>
      <c r="E270">
        <f>IFERROR(INDEX('Match Log'!$F$4:$F$1510,MATCH($A270,'Match Log'!$A$4:$A$1510,0)),"")</f>
        <v>4</v>
      </c>
      <c r="F270">
        <f>IFERROR(SUMIFS('Match Log'!$I$4:$I$1510,'Match Log'!$A$4:$A$1510,$A270,'Match Log'!$E$4:$E$1510,"Win"),"")</f>
        <v>0.25925925925925924</v>
      </c>
      <c r="G270">
        <f t="shared" si="26"/>
        <v>-3.7037037037036979E-2</v>
      </c>
      <c r="H270" t="str">
        <f t="array" ref="H270">IFERROR(IF(COUNTIFS('Match Log'!$A$4:$A$1510,$A270,'Match Log'!$E$4:$E$1510,"Win")&gt;1,_xlfn.TEXTJOIN(" + ",TRUE(),IF(('Match Log'!$A$4:$A$1510=$A270)*('Match Log'!$E$4:$E$1510="Loss"),'Match Log'!$D$4:$D$1510,"")),IF($E270=2,LOOKUP(2,1/(('Match Log'!$A$4:$A$1510=$A270)*('Match Log'!$E$4:$E$1510="Loss")),'Match Log'!$D$4:$D$1510),"the field")),"")</f>
        <v>the field</v>
      </c>
      <c r="I270">
        <f t="shared" si="27"/>
        <v>-3.7283037037036983E-2</v>
      </c>
      <c r="J270">
        <v>246</v>
      </c>
      <c r="K270">
        <f>IF($J270&gt;MAX('Match Log'!$A$4:$A$1510),NA(),IFERROR(LOOKUP(2,1/(('Match Log'!$D$4:$D$1510=$K$24)*('Match Log'!$A$4:$A$1510&lt;=$J270)),'Match Log'!$N$4:$N$1510),NA()))</f>
        <v>1155.1214009505036</v>
      </c>
      <c r="L270">
        <f>IF($J270&gt;MAX('Match Log'!$A$4:$A$1510),NA(),IFERROR(LOOKUP(2,1/(('Match Log'!$D$4:$D$1510=$L$24)*('Match Log'!$A$4:$A$1510&lt;=$J270)),'Match Log'!$N$4:$N$1510),NA()))</f>
        <v>1029.5175965335138</v>
      </c>
      <c r="M270">
        <f>IF($J270&gt;MAX('Match Log'!$A$4:$A$1510),NA(),IFERROR(LOOKUP(2,1/(('Match Log'!$D$4:$D$1510=$M$24)*('Match Log'!$A$4:$A$1510&lt;=$J270)),'Match Log'!$N$4:$N$1510),NA()))</f>
        <v>1037.8197114720938</v>
      </c>
      <c r="N270">
        <f>IF($J270&gt;MAX('Match Log'!$A$4:$A$1510),NA(),IFERROR(LOOKUP(2,1/(('Match Log'!$D$4:$D$1510=$N$24)*('Match Log'!$A$4:$A$1510&lt;=$J270)),'Match Log'!$N$4:$N$1510),NA()))</f>
        <v>935.23568912688131</v>
      </c>
      <c r="O270">
        <f>IF($J270&gt;MAX('Match Log'!$A$4:$A$1510),NA(),IFERROR(LOOKUP(2,1/(('Match Log'!$D$4:$D$1510=$O$24)*('Match Log'!$A$4:$A$1510&lt;=$J270)),'Match Log'!$N$4:$N$1510),NA()))</f>
        <v>1155.9112046633588</v>
      </c>
      <c r="P270">
        <f>IF($J270&gt;MAX('Match Log'!$A$4:$A$1510),NA(),IFERROR(LOOKUP(2,1/(('Match Log'!$D$4:$D$1510=$P$24)*('Match Log'!$A$4:$A$1510&lt;=$J270)),'Match Log'!$N$4:$N$1510),NA()))</f>
        <v>1275.9494146070692</v>
      </c>
      <c r="Q270">
        <f>IF($J270&gt;MAX('Match Log'!$A$4:$A$1510),NA(),IFERROR(LOOKUP(2,1/(('Match Log'!$D$4:$D$1510=$Q$24)*('Match Log'!$A$4:$A$1510&lt;=$J270)),'Match Log'!$N$4:$N$1510),NA()))</f>
        <v>1000.0962683458113</v>
      </c>
      <c r="R270">
        <f>IF($J270&gt;MAX('Match Log'!$A$4:$A$1510),NA(),IFERROR(LOOKUP(2,1/(('Match Log'!$D$4:$D$1510=$R$24)*('Match Log'!$A$4:$A$1510&lt;=$J270)),'Match Log'!$N$4:$N$1510),NA()))</f>
        <v>1094.6594964990859</v>
      </c>
      <c r="S270">
        <f>IF($J270&gt;MAX('Match Log'!$A$4:$A$1510),NA(),IFERROR(LOOKUP(2,1/(('Match Log'!$D$4:$D$1510=$S$24)*('Match Log'!$A$4:$A$1510&lt;=$J270)),'Match Log'!$N$4:$N$1510),NA()))</f>
        <v>1220.7793957579906</v>
      </c>
      <c r="T270">
        <f>IF($J270&gt;MAX('Match Log'!$A$4:$A$1510),NA(),IFERROR(LOOKUP(2,1/(('Match Log'!$D$4:$D$1510=$T$24)*('Match Log'!$A$4:$A$1510&lt;=$J270)),'Match Log'!$N$4:$N$1510),NA()))</f>
        <v>862.22294373677494</v>
      </c>
      <c r="U270">
        <f>IF($J270&gt;MAX('Match Log'!$A$4:$A$1510),NA(),IFERROR(LOOKUP(2,1/(('Match Log'!$D$4:$D$1510=$U$24)*('Match Log'!$A$4:$A$1510&lt;=$J270)),'Match Log'!$N$4:$N$1510),NA()))</f>
        <v>1031.9187230797161</v>
      </c>
      <c r="V270">
        <f>IF($J270&gt;MAX('Match Log'!$A$4:$A$1510),NA(),IFERROR(LOOKUP(2,1/(('Match Log'!$D$4:$D$1510=$V$24)*('Match Log'!$A$4:$A$1510&lt;=$J270)),'Match Log'!$N$4:$N$1510),NA()))</f>
        <v>1087.5488947064855</v>
      </c>
      <c r="W270">
        <f>IF($J270&gt;MAX('Match Log'!$A$4:$A$1510),NA(),IFERROR(LOOKUP(2,1/(('Match Log'!$D$4:$D$1510=$W$24)*('Match Log'!$A$4:$A$1510&lt;=$J270)),'Match Log'!$N$4:$N$1510),NA()))</f>
        <v>1023.2192605207141</v>
      </c>
      <c r="X270" t="e">
        <f>IF($J270&gt;MAX('Match Log'!$A$4:$A$1510),NA(),IFERROR(LOOKUP(2,1/(('Match Log'!$D$4:$D$1510=$X$24)*('Match Log'!$A$4:$A$1510&lt;=$J270)),'Match Log'!$N$4:$N$1510),NA()))</f>
        <v>#N/A</v>
      </c>
      <c r="Y270" t="str">
        <f t="shared" ca="1" si="28"/>
        <v/>
      </c>
    </row>
    <row r="271" spans="1:25" x14ac:dyDescent="0.2">
      <c r="A271">
        <v>247</v>
      </c>
      <c r="B271">
        <f>IFERROR(INDEX('Match Log'!$B$4:$B$1510,MATCH($A271,'Match Log'!$A$4:$A$1510,0)),"")</f>
        <v>46256</v>
      </c>
      <c r="C271" t="str">
        <f>IFERROR(INDEX('Match Log'!$C$4:$C$1510,MATCH($A271,'Match Log'!$A$4:$A$1510,0)),"")</f>
        <v>Putt Putt</v>
      </c>
      <c r="D271" t="str">
        <f t="array" ref="D271">IFERROR(_xlfn.TEXTJOIN(" + ",TRUE(),IF(('Match Log'!$A$4:$A$1510=$A271)*('Match Log'!$E$4:$E$1510="Win"),'Match Log'!$D$4:$D$1510,"")),IFERROR(LOOKUP(2,1/(('Match Log'!$A$4:$A$1510=$A271)*('Match Log'!$E$4:$E$1510="Win")),'Match Log'!$D$4:$D$1510),""))</f>
        <v>Shawn</v>
      </c>
      <c r="E271">
        <f>IFERROR(INDEX('Match Log'!$F$4:$F$1510,MATCH($A271,'Match Log'!$A$4:$A$1510,0)),"")</f>
        <v>4</v>
      </c>
      <c r="F271">
        <f>IFERROR(SUMIFS('Match Log'!$I$4:$I$1510,'Match Log'!$A$4:$A$1510,$A271,'Match Log'!$E$4:$E$1510,"Win"),"")</f>
        <v>0.33333333333333337</v>
      </c>
      <c r="G271">
        <f t="shared" si="26"/>
        <v>-0.33333333333333348</v>
      </c>
      <c r="H271" t="str">
        <f t="array" ref="H271">IFERROR(IF(COUNTIFS('Match Log'!$A$4:$A$1510,$A271,'Match Log'!$E$4:$E$1510,"Win")&gt;1,_xlfn.TEXTJOIN(" + ",TRUE(),IF(('Match Log'!$A$4:$A$1510=$A271)*('Match Log'!$E$4:$E$1510="Loss"),'Match Log'!$D$4:$D$1510,"")),IF($E271=2,LOOKUP(2,1/(('Match Log'!$A$4:$A$1510=$A271)*('Match Log'!$E$4:$E$1510="Loss")),'Match Log'!$D$4:$D$1510),"the field")),"")</f>
        <v>the field</v>
      </c>
      <c r="I271">
        <f t="shared" si="27"/>
        <v>-0.33358033333333348</v>
      </c>
      <c r="J271">
        <v>247</v>
      </c>
      <c r="K271">
        <f>IF($J271&gt;MAX('Match Log'!$A$4:$A$1510),NA(),IFERROR(LOOKUP(2,1/(('Match Log'!$D$4:$D$1510=$K$24)*('Match Log'!$A$4:$A$1510&lt;=$J271)),'Match Log'!$N$4:$N$1510),NA()))</f>
        <v>1152.2051118735219</v>
      </c>
      <c r="L271">
        <f>IF($J271&gt;MAX('Match Log'!$A$4:$A$1510),NA(),IFERROR(LOOKUP(2,1/(('Match Log'!$D$4:$D$1510=$L$24)*('Match Log'!$A$4:$A$1510&lt;=$J271)),'Match Log'!$N$4:$N$1510),NA()))</f>
        <v>1029.5175965335138</v>
      </c>
      <c r="M271">
        <f>IF($J271&gt;MAX('Match Log'!$A$4:$A$1510),NA(),IFERROR(LOOKUP(2,1/(('Match Log'!$D$4:$D$1510=$M$24)*('Match Log'!$A$4:$A$1510&lt;=$J271)),'Match Log'!$N$4:$N$1510),NA()))</f>
        <v>1037.8197114720938</v>
      </c>
      <c r="N271">
        <f>IF($J271&gt;MAX('Match Log'!$A$4:$A$1510),NA(),IFERROR(LOOKUP(2,1/(('Match Log'!$D$4:$D$1510=$N$24)*('Match Log'!$A$4:$A$1510&lt;=$J271)),'Match Log'!$N$4:$N$1510),NA()))</f>
        <v>935.23568912688131</v>
      </c>
      <c r="O271">
        <f>IF($J271&gt;MAX('Match Log'!$A$4:$A$1510),NA(),IFERROR(LOOKUP(2,1/(('Match Log'!$D$4:$D$1510=$O$24)*('Match Log'!$A$4:$A$1510&lt;=$J271)),'Match Log'!$N$4:$N$1510),NA()))</f>
        <v>1155.9112046633588</v>
      </c>
      <c r="P271">
        <f>IF($J271&gt;MAX('Match Log'!$A$4:$A$1510),NA(),IFERROR(LOOKUP(2,1/(('Match Log'!$D$4:$D$1510=$P$24)*('Match Log'!$A$4:$A$1510&lt;=$J271)),'Match Log'!$N$4:$N$1510),NA()))</f>
        <v>1298.5797170910987</v>
      </c>
      <c r="Q271">
        <f>IF($J271&gt;MAX('Match Log'!$A$4:$A$1510),NA(),IFERROR(LOOKUP(2,1/(('Match Log'!$D$4:$D$1510=$Q$24)*('Match Log'!$A$4:$A$1510&lt;=$J271)),'Match Log'!$N$4:$N$1510),NA()))</f>
        <v>1000.0962683458113</v>
      </c>
      <c r="R271">
        <f>IF($J271&gt;MAX('Match Log'!$A$4:$A$1510),NA(),IFERROR(LOOKUP(2,1/(('Match Log'!$D$4:$D$1510=$R$24)*('Match Log'!$A$4:$A$1510&lt;=$J271)),'Match Log'!$N$4:$N$1510),NA()))</f>
        <v>1092.4746538245972</v>
      </c>
      <c r="S271">
        <f>IF($J271&gt;MAX('Match Log'!$A$4:$A$1510),NA(),IFERROR(LOOKUP(2,1/(('Match Log'!$D$4:$D$1510=$S$24)*('Match Log'!$A$4:$A$1510&lt;=$J271)),'Match Log'!$N$4:$N$1510),NA()))</f>
        <v>1220.7793957579906</v>
      </c>
      <c r="T271">
        <f>IF($J271&gt;MAX('Match Log'!$A$4:$A$1510),NA(),IFERROR(LOOKUP(2,1/(('Match Log'!$D$4:$D$1510=$T$24)*('Match Log'!$A$4:$A$1510&lt;=$J271)),'Match Log'!$N$4:$N$1510),NA()))</f>
        <v>862.22294373677494</v>
      </c>
      <c r="U271">
        <f>IF($J271&gt;MAX('Match Log'!$A$4:$A$1510),NA(),IFERROR(LOOKUP(2,1/(('Match Log'!$D$4:$D$1510=$U$24)*('Match Log'!$A$4:$A$1510&lt;=$J271)),'Match Log'!$N$4:$N$1510),NA()))</f>
        <v>1030.389552347157</v>
      </c>
      <c r="V271">
        <f>IF($J271&gt;MAX('Match Log'!$A$4:$A$1510),NA(),IFERROR(LOOKUP(2,1/(('Match Log'!$D$4:$D$1510=$V$24)*('Match Log'!$A$4:$A$1510&lt;=$J271)),'Match Log'!$N$4:$N$1510),NA()))</f>
        <v>1087.5488947064855</v>
      </c>
      <c r="W271">
        <f>IF($J271&gt;MAX('Match Log'!$A$4:$A$1510),NA(),IFERROR(LOOKUP(2,1/(('Match Log'!$D$4:$D$1510=$W$24)*('Match Log'!$A$4:$A$1510&lt;=$J271)),'Match Log'!$N$4:$N$1510),NA()))</f>
        <v>1023.2192605207141</v>
      </c>
      <c r="X271" t="e">
        <f>IF($J271&gt;MAX('Match Log'!$A$4:$A$1510),NA(),IFERROR(LOOKUP(2,1/(('Match Log'!$D$4:$D$1510=$X$24)*('Match Log'!$A$4:$A$1510&lt;=$J271)),'Match Log'!$N$4:$N$1510),NA()))</f>
        <v>#N/A</v>
      </c>
      <c r="Y271" t="str">
        <f t="shared" ca="1" si="28"/>
        <v/>
      </c>
    </row>
    <row r="272" spans="1:25" x14ac:dyDescent="0.2">
      <c r="A272">
        <v>248</v>
      </c>
      <c r="B272">
        <f>IFERROR(INDEX('Match Log'!$B$4:$B$1510,MATCH($A272,'Match Log'!$A$4:$A$1510,0)),"")</f>
        <v>46256</v>
      </c>
      <c r="C272" t="str">
        <f>IFERROR(INDEX('Match Log'!$C$4:$C$1510,MATCH($A272,'Match Log'!$A$4:$A$1510,0)),"")</f>
        <v>Golf</v>
      </c>
      <c r="D272" t="str">
        <f t="array" ref="D272">IFERROR(_xlfn.TEXTJOIN(" + ",TRUE(),IF(('Match Log'!$A$4:$A$1510=$A272)*('Match Log'!$E$4:$E$1510="Win"),'Match Log'!$D$4:$D$1510,"")),IFERROR(LOOKUP(2,1/(('Match Log'!$A$4:$A$1510=$A272)*('Match Log'!$E$4:$E$1510="Win")),'Match Log'!$D$4:$D$1510),""))</f>
        <v>Shawn</v>
      </c>
      <c r="E272">
        <f>IFERROR(INDEX('Match Log'!$F$4:$F$1510,MATCH($A272,'Match Log'!$A$4:$A$1510,0)),"")</f>
        <v>5</v>
      </c>
      <c r="F272">
        <f>IFERROR(SUMIFS('Match Log'!$I$4:$I$1510,'Match Log'!$A$4:$A$1510,$A272,'Match Log'!$E$4:$E$1510,"Win"),"")</f>
        <v>0.2</v>
      </c>
      <c r="G272">
        <f t="shared" si="26"/>
        <v>0</v>
      </c>
      <c r="H272" t="str">
        <f t="array" ref="H272">IFERROR(IF(COUNTIFS('Match Log'!$A$4:$A$1510,$A272,'Match Log'!$E$4:$E$1510,"Win")&gt;1,_xlfn.TEXTJOIN(" + ",TRUE(),IF(('Match Log'!$A$4:$A$1510=$A272)*('Match Log'!$E$4:$E$1510="Loss"),'Match Log'!$D$4:$D$1510,"")),IF($E272=2,LOOKUP(2,1/(('Match Log'!$A$4:$A$1510=$A272)*('Match Log'!$E$4:$E$1510="Loss")),'Match Log'!$D$4:$D$1510),"the field")),"")</f>
        <v>the field</v>
      </c>
      <c r="I272">
        <f t="shared" si="27"/>
        <v>-2.4800000000000001E-4</v>
      </c>
      <c r="J272">
        <v>248</v>
      </c>
      <c r="K272">
        <f>IF($J272&gt;MAX('Match Log'!$A$4:$A$1510),NA(),IFERROR(LOOKUP(2,1/(('Match Log'!$D$4:$D$1510=$K$24)*('Match Log'!$A$4:$A$1510&lt;=$J272)),'Match Log'!$N$4:$N$1510),NA()))</f>
        <v>1152.3972119926909</v>
      </c>
      <c r="L272">
        <f>IF($J272&gt;MAX('Match Log'!$A$4:$A$1510),NA(),IFERROR(LOOKUP(2,1/(('Match Log'!$D$4:$D$1510=$L$24)*('Match Log'!$A$4:$A$1510&lt;=$J272)),'Match Log'!$N$4:$N$1510),NA()))</f>
        <v>1029.5175965335138</v>
      </c>
      <c r="M272">
        <f>IF($J272&gt;MAX('Match Log'!$A$4:$A$1510),NA(),IFERROR(LOOKUP(2,1/(('Match Log'!$D$4:$D$1510=$M$24)*('Match Log'!$A$4:$A$1510&lt;=$J272)),'Match Log'!$N$4:$N$1510),NA()))</f>
        <v>1038.9615659593956</v>
      </c>
      <c r="N272">
        <f>IF($J272&gt;MAX('Match Log'!$A$4:$A$1510),NA(),IFERROR(LOOKUP(2,1/(('Match Log'!$D$4:$D$1510=$N$24)*('Match Log'!$A$4:$A$1510&lt;=$J272)),'Match Log'!$N$4:$N$1510),NA()))</f>
        <v>935.23568912688131</v>
      </c>
      <c r="O272">
        <f>IF($J272&gt;MAX('Match Log'!$A$4:$A$1510),NA(),IFERROR(LOOKUP(2,1/(('Match Log'!$D$4:$D$1510=$O$24)*('Match Log'!$A$4:$A$1510&lt;=$J272)),'Match Log'!$N$4:$N$1510),NA()))</f>
        <v>1155.9112046633588</v>
      </c>
      <c r="P272">
        <f>IF($J272&gt;MAX('Match Log'!$A$4:$A$1510),NA(),IFERROR(LOOKUP(2,1/(('Match Log'!$D$4:$D$1510=$P$24)*('Match Log'!$A$4:$A$1510&lt;=$J272)),'Match Log'!$N$4:$N$1510),NA()))</f>
        <v>1320.3247754026727</v>
      </c>
      <c r="Q272">
        <f>IF($J272&gt;MAX('Match Log'!$A$4:$A$1510),NA(),IFERROR(LOOKUP(2,1/(('Match Log'!$D$4:$D$1510=$Q$24)*('Match Log'!$A$4:$A$1510&lt;=$J272)),'Match Log'!$N$4:$N$1510),NA()))</f>
        <v>1000.0962683458113</v>
      </c>
      <c r="R272">
        <f>IF($J272&gt;MAX('Match Log'!$A$4:$A$1510),NA(),IFERROR(LOOKUP(2,1/(('Match Log'!$D$4:$D$1510=$R$24)*('Match Log'!$A$4:$A$1510&lt;=$J272)),'Match Log'!$N$4:$N$1510),NA()))</f>
        <v>1093.203478308739</v>
      </c>
      <c r="S272">
        <f>IF($J272&gt;MAX('Match Log'!$A$4:$A$1510),NA(),IFERROR(LOOKUP(2,1/(('Match Log'!$D$4:$D$1510=$S$24)*('Match Log'!$A$4:$A$1510&lt;=$J272)),'Match Log'!$N$4:$N$1510),NA()))</f>
        <v>1220.7793957579906</v>
      </c>
      <c r="T272">
        <f>IF($J272&gt;MAX('Match Log'!$A$4:$A$1510),NA(),IFERROR(LOOKUP(2,1/(('Match Log'!$D$4:$D$1510=$T$24)*('Match Log'!$A$4:$A$1510&lt;=$J272)),'Match Log'!$N$4:$N$1510),NA()))</f>
        <v>862.22294373677494</v>
      </c>
      <c r="U272">
        <f>IF($J272&gt;MAX('Match Log'!$A$4:$A$1510),NA(),IFERROR(LOOKUP(2,1/(('Match Log'!$D$4:$D$1510=$U$24)*('Match Log'!$A$4:$A$1510&lt;=$J272)),'Match Log'!$N$4:$N$1510),NA()))</f>
        <v>1031.5817149449704</v>
      </c>
      <c r="V272">
        <f>IF($J272&gt;MAX('Match Log'!$A$4:$A$1510),NA(),IFERROR(LOOKUP(2,1/(('Match Log'!$D$4:$D$1510=$V$24)*('Match Log'!$A$4:$A$1510&lt;=$J272)),'Match Log'!$N$4:$N$1510),NA()))</f>
        <v>1087.5488947064855</v>
      </c>
      <c r="W272">
        <f>IF($J272&gt;MAX('Match Log'!$A$4:$A$1510),NA(),IFERROR(LOOKUP(2,1/(('Match Log'!$D$4:$D$1510=$W$24)*('Match Log'!$A$4:$A$1510&lt;=$J272)),'Match Log'!$N$4:$N$1510),NA()))</f>
        <v>1023.2192605207141</v>
      </c>
      <c r="X272" t="e">
        <f>IF($J272&gt;MAX('Match Log'!$A$4:$A$1510),NA(),IFERROR(LOOKUP(2,1/(('Match Log'!$D$4:$D$1510=$X$24)*('Match Log'!$A$4:$A$1510&lt;=$J272)),'Match Log'!$N$4:$N$1510),NA()))</f>
        <v>#N/A</v>
      </c>
      <c r="Y272" t="str">
        <f t="shared" ca="1" si="28"/>
        <v/>
      </c>
    </row>
    <row r="273" spans="1:25" x14ac:dyDescent="0.2">
      <c r="A273">
        <v>249</v>
      </c>
      <c r="B273">
        <f>IFERROR(INDEX('Match Log'!$B$4:$B$1510,MATCH($A273,'Match Log'!$A$4:$A$1510,0)),"")</f>
        <v>46256</v>
      </c>
      <c r="C273" t="str">
        <f>IFERROR(INDEX('Match Log'!$C$4:$C$1510,MATCH($A273,'Match Log'!$A$4:$A$1510,0)),"")</f>
        <v>Table Tennis</v>
      </c>
      <c r="D273" t="str">
        <f t="array" ref="D273">IFERROR(_xlfn.TEXTJOIN(" + ",TRUE(),IF(('Match Log'!$A$4:$A$1510=$A273)*('Match Log'!$E$4:$E$1510="Win"),'Match Log'!$D$4:$D$1510,"")),IFERROR(LOOKUP(2,1/(('Match Log'!$A$4:$A$1510=$A273)*('Match Log'!$E$4:$E$1510="Win")),'Match Log'!$D$4:$D$1510),""))</f>
        <v>Shawn</v>
      </c>
      <c r="E273">
        <f>IFERROR(INDEX('Match Log'!$F$4:$F$1510,MATCH($A273,'Match Log'!$A$4:$A$1510,0)),"")</f>
        <v>2</v>
      </c>
      <c r="F273">
        <f>IFERROR(SUMIFS('Match Log'!$I$4:$I$1510,'Match Log'!$A$4:$A$1510,$A273,'Match Log'!$E$4:$E$1510,"Win"),"")</f>
        <v>0.58510638297872342</v>
      </c>
      <c r="G273">
        <f t="shared" si="26"/>
        <v>-0.17021276595744683</v>
      </c>
      <c r="H273" t="str">
        <f t="array" ref="H273">IFERROR(IF(COUNTIFS('Match Log'!$A$4:$A$1510,$A273,'Match Log'!$E$4:$E$1510,"Win")&gt;1,_xlfn.TEXTJOIN(" + ",TRUE(),IF(('Match Log'!$A$4:$A$1510=$A273)*('Match Log'!$E$4:$E$1510="Loss"),'Match Log'!$D$4:$D$1510,"")),IF($E273=2,LOOKUP(2,1/(('Match Log'!$A$4:$A$1510=$A273)*('Match Log'!$E$4:$E$1510="Loss")),'Match Log'!$D$4:$D$1510),"the field")),"")</f>
        <v>Aaron</v>
      </c>
      <c r="I273">
        <f t="shared" si="27"/>
        <v>-0.17046176595744683</v>
      </c>
      <c r="J273">
        <v>249</v>
      </c>
      <c r="K273">
        <f>IF($J273&gt;MAX('Match Log'!$A$4:$A$1510),NA(),IFERROR(LOOKUP(2,1/(('Match Log'!$D$4:$D$1510=$K$24)*('Match Log'!$A$4:$A$1510&lt;=$J273)),'Match Log'!$N$4:$N$1510),NA()))</f>
        <v>1135.7280475314915</v>
      </c>
      <c r="L273">
        <f>IF($J273&gt;MAX('Match Log'!$A$4:$A$1510),NA(),IFERROR(LOOKUP(2,1/(('Match Log'!$D$4:$D$1510=$L$24)*('Match Log'!$A$4:$A$1510&lt;=$J273)),'Match Log'!$N$4:$N$1510),NA()))</f>
        <v>1029.5175965335138</v>
      </c>
      <c r="M273">
        <f>IF($J273&gt;MAX('Match Log'!$A$4:$A$1510),NA(),IFERROR(LOOKUP(2,1/(('Match Log'!$D$4:$D$1510=$M$24)*('Match Log'!$A$4:$A$1510&lt;=$J273)),'Match Log'!$N$4:$N$1510),NA()))</f>
        <v>1038.9615659593956</v>
      </c>
      <c r="N273">
        <f>IF($J273&gt;MAX('Match Log'!$A$4:$A$1510),NA(),IFERROR(LOOKUP(2,1/(('Match Log'!$D$4:$D$1510=$N$24)*('Match Log'!$A$4:$A$1510&lt;=$J273)),'Match Log'!$N$4:$N$1510),NA()))</f>
        <v>935.23568912688131</v>
      </c>
      <c r="O273">
        <f>IF($J273&gt;MAX('Match Log'!$A$4:$A$1510),NA(),IFERROR(LOOKUP(2,1/(('Match Log'!$D$4:$D$1510=$O$24)*('Match Log'!$A$4:$A$1510&lt;=$J273)),'Match Log'!$N$4:$N$1510),NA()))</f>
        <v>1155.9112046633588</v>
      </c>
      <c r="P273">
        <f>IF($J273&gt;MAX('Match Log'!$A$4:$A$1510),NA(),IFERROR(LOOKUP(2,1/(('Match Log'!$D$4:$D$1510=$P$24)*('Match Log'!$A$4:$A$1510&lt;=$J273)),'Match Log'!$N$4:$N$1510),NA()))</f>
        <v>1336.9939398638721</v>
      </c>
      <c r="Q273">
        <f>IF($J273&gt;MAX('Match Log'!$A$4:$A$1510),NA(),IFERROR(LOOKUP(2,1/(('Match Log'!$D$4:$D$1510=$Q$24)*('Match Log'!$A$4:$A$1510&lt;=$J273)),'Match Log'!$N$4:$N$1510),NA()))</f>
        <v>1000.0962683458113</v>
      </c>
      <c r="R273">
        <f>IF($J273&gt;MAX('Match Log'!$A$4:$A$1510),NA(),IFERROR(LOOKUP(2,1/(('Match Log'!$D$4:$D$1510=$R$24)*('Match Log'!$A$4:$A$1510&lt;=$J273)),'Match Log'!$N$4:$N$1510),NA()))</f>
        <v>1093.203478308739</v>
      </c>
      <c r="S273">
        <f>IF($J273&gt;MAX('Match Log'!$A$4:$A$1510),NA(),IFERROR(LOOKUP(2,1/(('Match Log'!$D$4:$D$1510=$S$24)*('Match Log'!$A$4:$A$1510&lt;=$J273)),'Match Log'!$N$4:$N$1510),NA()))</f>
        <v>1220.7793957579906</v>
      </c>
      <c r="T273">
        <f>IF($J273&gt;MAX('Match Log'!$A$4:$A$1510),NA(),IFERROR(LOOKUP(2,1/(('Match Log'!$D$4:$D$1510=$T$24)*('Match Log'!$A$4:$A$1510&lt;=$J273)),'Match Log'!$N$4:$N$1510),NA()))</f>
        <v>862.22294373677494</v>
      </c>
      <c r="U273">
        <f>IF($J273&gt;MAX('Match Log'!$A$4:$A$1510),NA(),IFERROR(LOOKUP(2,1/(('Match Log'!$D$4:$D$1510=$U$24)*('Match Log'!$A$4:$A$1510&lt;=$J273)),'Match Log'!$N$4:$N$1510),NA()))</f>
        <v>1031.5817149449704</v>
      </c>
      <c r="V273">
        <f>IF($J273&gt;MAX('Match Log'!$A$4:$A$1510),NA(),IFERROR(LOOKUP(2,1/(('Match Log'!$D$4:$D$1510=$V$24)*('Match Log'!$A$4:$A$1510&lt;=$J273)),'Match Log'!$N$4:$N$1510),NA()))</f>
        <v>1087.5488947064855</v>
      </c>
      <c r="W273">
        <f>IF($J273&gt;MAX('Match Log'!$A$4:$A$1510),NA(),IFERROR(LOOKUP(2,1/(('Match Log'!$D$4:$D$1510=$W$24)*('Match Log'!$A$4:$A$1510&lt;=$J273)),'Match Log'!$N$4:$N$1510),NA()))</f>
        <v>1023.2192605207141</v>
      </c>
      <c r="X273" t="e">
        <f>IF($J273&gt;MAX('Match Log'!$A$4:$A$1510),NA(),IFERROR(LOOKUP(2,1/(('Match Log'!$D$4:$D$1510=$X$24)*('Match Log'!$A$4:$A$1510&lt;=$J273)),'Match Log'!$N$4:$N$1510),NA()))</f>
        <v>#N/A</v>
      </c>
      <c r="Y273" t="str">
        <f t="shared" ca="1" si="28"/>
        <v/>
      </c>
    </row>
    <row r="274" spans="1:25" x14ac:dyDescent="0.2">
      <c r="A274">
        <v>250</v>
      </c>
      <c r="B274">
        <f>IFERROR(INDEX('Match Log'!$B$4:$B$1510,MATCH($A274,'Match Log'!$A$4:$A$1510,0)),"")</f>
        <v>46256</v>
      </c>
      <c r="C274" t="str">
        <f>IFERROR(INDEX('Match Log'!$C$4:$C$1510,MATCH($A274,'Match Log'!$A$4:$A$1510,0)),"")</f>
        <v>Table Tennis</v>
      </c>
      <c r="D274" t="str">
        <f t="array" ref="D274">IFERROR(_xlfn.TEXTJOIN(" + ",TRUE(),IF(('Match Log'!$A$4:$A$1510=$A274)*('Match Log'!$E$4:$E$1510="Win"),'Match Log'!$D$4:$D$1510,"")),IFERROR(LOOKUP(2,1/(('Match Log'!$A$4:$A$1510=$A274)*('Match Log'!$E$4:$E$1510="Win")),'Match Log'!$D$4:$D$1510),""))</f>
        <v>Aaron</v>
      </c>
      <c r="E274">
        <f>IFERROR(INDEX('Match Log'!$F$4:$F$1510,MATCH($A274,'Match Log'!$A$4:$A$1510,0)),"")</f>
        <v>2</v>
      </c>
      <c r="F274">
        <f>IFERROR(SUMIFS('Match Log'!$I$4:$I$1510,'Match Log'!$A$4:$A$1510,$A274,'Match Log'!$E$4:$E$1510,"Win"),"")</f>
        <v>0.39622641509433959</v>
      </c>
      <c r="G274">
        <f t="shared" si="26"/>
        <v>0.20754716981132082</v>
      </c>
      <c r="H274" t="str">
        <f t="array" ref="H274">IFERROR(IF(COUNTIFS('Match Log'!$A$4:$A$1510,$A274,'Match Log'!$E$4:$E$1510,"Win")&gt;1,_xlfn.TEXTJOIN(" + ",TRUE(),IF(('Match Log'!$A$4:$A$1510=$A274)*('Match Log'!$E$4:$E$1510="Loss"),'Match Log'!$D$4:$D$1510,"")),IF($E274=2,LOOKUP(2,1/(('Match Log'!$A$4:$A$1510=$A274)*('Match Log'!$E$4:$E$1510="Loss")),'Match Log'!$D$4:$D$1510),"the field")),"")</f>
        <v>Shawn</v>
      </c>
      <c r="I274">
        <f t="shared" si="27"/>
        <v>0.20729716981132082</v>
      </c>
      <c r="J274">
        <v>250</v>
      </c>
      <c r="K274">
        <f>IF($J274&gt;MAX('Match Log'!$A$4:$A$1510),NA(),IFERROR(LOOKUP(2,1/(('Match Log'!$D$4:$D$1510=$K$24)*('Match Log'!$A$4:$A$1510&lt;=$J274)),'Match Log'!$N$4:$N$1510),NA()))</f>
        <v>1164.3754993006537</v>
      </c>
      <c r="L274">
        <f>IF($J274&gt;MAX('Match Log'!$A$4:$A$1510),NA(),IFERROR(LOOKUP(2,1/(('Match Log'!$D$4:$D$1510=$L$24)*('Match Log'!$A$4:$A$1510&lt;=$J274)),'Match Log'!$N$4:$N$1510),NA()))</f>
        <v>1029.5175965335138</v>
      </c>
      <c r="M274">
        <f>IF($J274&gt;MAX('Match Log'!$A$4:$A$1510),NA(),IFERROR(LOOKUP(2,1/(('Match Log'!$D$4:$D$1510=$M$24)*('Match Log'!$A$4:$A$1510&lt;=$J274)),'Match Log'!$N$4:$N$1510),NA()))</f>
        <v>1038.9615659593956</v>
      </c>
      <c r="N274">
        <f>IF($J274&gt;MAX('Match Log'!$A$4:$A$1510),NA(),IFERROR(LOOKUP(2,1/(('Match Log'!$D$4:$D$1510=$N$24)*('Match Log'!$A$4:$A$1510&lt;=$J274)),'Match Log'!$N$4:$N$1510),NA()))</f>
        <v>935.23568912688131</v>
      </c>
      <c r="O274">
        <f>IF($J274&gt;MAX('Match Log'!$A$4:$A$1510),NA(),IFERROR(LOOKUP(2,1/(('Match Log'!$D$4:$D$1510=$O$24)*('Match Log'!$A$4:$A$1510&lt;=$J274)),'Match Log'!$N$4:$N$1510),NA()))</f>
        <v>1155.9112046633588</v>
      </c>
      <c r="P274">
        <f>IF($J274&gt;MAX('Match Log'!$A$4:$A$1510),NA(),IFERROR(LOOKUP(2,1/(('Match Log'!$D$4:$D$1510=$P$24)*('Match Log'!$A$4:$A$1510&lt;=$J274)),'Match Log'!$N$4:$N$1510),NA()))</f>
        <v>1308.3464880947099</v>
      </c>
      <c r="Q274">
        <f>IF($J274&gt;MAX('Match Log'!$A$4:$A$1510),NA(),IFERROR(LOOKUP(2,1/(('Match Log'!$D$4:$D$1510=$Q$24)*('Match Log'!$A$4:$A$1510&lt;=$J274)),'Match Log'!$N$4:$N$1510),NA()))</f>
        <v>1000.0962683458113</v>
      </c>
      <c r="R274">
        <f>IF($J274&gt;MAX('Match Log'!$A$4:$A$1510),NA(),IFERROR(LOOKUP(2,1/(('Match Log'!$D$4:$D$1510=$R$24)*('Match Log'!$A$4:$A$1510&lt;=$J274)),'Match Log'!$N$4:$N$1510),NA()))</f>
        <v>1093.203478308739</v>
      </c>
      <c r="S274">
        <f>IF($J274&gt;MAX('Match Log'!$A$4:$A$1510),NA(),IFERROR(LOOKUP(2,1/(('Match Log'!$D$4:$D$1510=$S$24)*('Match Log'!$A$4:$A$1510&lt;=$J274)),'Match Log'!$N$4:$N$1510),NA()))</f>
        <v>1220.7793957579906</v>
      </c>
      <c r="T274">
        <f>IF($J274&gt;MAX('Match Log'!$A$4:$A$1510),NA(),IFERROR(LOOKUP(2,1/(('Match Log'!$D$4:$D$1510=$T$24)*('Match Log'!$A$4:$A$1510&lt;=$J274)),'Match Log'!$N$4:$N$1510),NA()))</f>
        <v>862.22294373677494</v>
      </c>
      <c r="U274">
        <f>IF($J274&gt;MAX('Match Log'!$A$4:$A$1510),NA(),IFERROR(LOOKUP(2,1/(('Match Log'!$D$4:$D$1510=$U$24)*('Match Log'!$A$4:$A$1510&lt;=$J274)),'Match Log'!$N$4:$N$1510),NA()))</f>
        <v>1031.5817149449704</v>
      </c>
      <c r="V274">
        <f>IF($J274&gt;MAX('Match Log'!$A$4:$A$1510),NA(),IFERROR(LOOKUP(2,1/(('Match Log'!$D$4:$D$1510=$V$24)*('Match Log'!$A$4:$A$1510&lt;=$J274)),'Match Log'!$N$4:$N$1510),NA()))</f>
        <v>1087.5488947064855</v>
      </c>
      <c r="W274">
        <f>IF($J274&gt;MAX('Match Log'!$A$4:$A$1510),NA(),IFERROR(LOOKUP(2,1/(('Match Log'!$D$4:$D$1510=$W$24)*('Match Log'!$A$4:$A$1510&lt;=$J274)),'Match Log'!$N$4:$N$1510),NA()))</f>
        <v>1023.2192605207141</v>
      </c>
      <c r="X274" t="e">
        <f>IF($J274&gt;MAX('Match Log'!$A$4:$A$1510),NA(),IFERROR(LOOKUP(2,1/(('Match Log'!$D$4:$D$1510=$X$24)*('Match Log'!$A$4:$A$1510&lt;=$J274)),'Match Log'!$N$4:$N$1510),NA()))</f>
        <v>#N/A</v>
      </c>
      <c r="Y274" t="str">
        <f t="shared" ca="1" si="28"/>
        <v/>
      </c>
    </row>
    <row r="275" spans="1:25" x14ac:dyDescent="0.2">
      <c r="A275">
        <v>251</v>
      </c>
      <c r="B275">
        <f>IFERROR(INDEX('Match Log'!$B$4:$B$1510,MATCH($A275,'Match Log'!$A$4:$A$1510,0)),"")</f>
        <v>46256</v>
      </c>
      <c r="C275" t="str">
        <f>IFERROR(INDEX('Match Log'!$C$4:$C$1510,MATCH($A275,'Match Log'!$A$4:$A$1510,0)),"")</f>
        <v>Table Tennis</v>
      </c>
      <c r="D275" t="str">
        <f t="array" ref="D275">IFERROR(_xlfn.TEXTJOIN(" + ",TRUE(),IF(('Match Log'!$A$4:$A$1510=$A275)*('Match Log'!$E$4:$E$1510="Win"),'Match Log'!$D$4:$D$1510,"")),IFERROR(LOOKUP(2,1/(('Match Log'!$A$4:$A$1510=$A275)*('Match Log'!$E$4:$E$1510="Win")),'Match Log'!$D$4:$D$1510),""))</f>
        <v>Aaron</v>
      </c>
      <c r="E275">
        <f>IFERROR(INDEX('Match Log'!$F$4:$F$1510,MATCH($A275,'Match Log'!$A$4:$A$1510,0)),"")</f>
        <v>2</v>
      </c>
      <c r="F275">
        <f>IFERROR(SUMIFS('Match Log'!$I$4:$I$1510,'Match Log'!$A$4:$A$1510,$A275,'Match Log'!$E$4:$E$1510,"Win"),"")</f>
        <v>0.68807339449541283</v>
      </c>
      <c r="G275">
        <f t="shared" si="26"/>
        <v>-0.37614678899082565</v>
      </c>
      <c r="H275" t="str">
        <f t="array" ref="H275">IFERROR(IF(COUNTIFS('Match Log'!$A$4:$A$1510,$A275,'Match Log'!$E$4:$E$1510,"Win")&gt;1,_xlfn.TEXTJOIN(" + ",TRUE(),IF(('Match Log'!$A$4:$A$1510=$A275)*('Match Log'!$E$4:$E$1510="Loss"),'Match Log'!$D$4:$D$1510,"")),IF($E275=2,LOOKUP(2,1/(('Match Log'!$A$4:$A$1510=$A275)*('Match Log'!$E$4:$E$1510="Loss")),'Match Log'!$D$4:$D$1510),"the field")),"")</f>
        <v>Daniel (Ferret)</v>
      </c>
      <c r="I275">
        <f t="shared" si="27"/>
        <v>-0.37639778899082565</v>
      </c>
      <c r="J275">
        <v>251</v>
      </c>
      <c r="K275">
        <f>IF($J275&gt;MAX('Match Log'!$A$4:$A$1510),NA(),IFERROR(LOOKUP(2,1/(('Match Log'!$D$4:$D$1510=$K$24)*('Match Log'!$A$4:$A$1510&lt;=$J275)),'Match Log'!$N$4:$N$1510),NA()))</f>
        <v>1179.1580813671098</v>
      </c>
      <c r="L275">
        <f>IF($J275&gt;MAX('Match Log'!$A$4:$A$1510),NA(),IFERROR(LOOKUP(2,1/(('Match Log'!$D$4:$D$1510=$L$24)*('Match Log'!$A$4:$A$1510&lt;=$J275)),'Match Log'!$N$4:$N$1510),NA()))</f>
        <v>1029.5175965335138</v>
      </c>
      <c r="M275">
        <f>IF($J275&gt;MAX('Match Log'!$A$4:$A$1510),NA(),IFERROR(LOOKUP(2,1/(('Match Log'!$D$4:$D$1510=$M$24)*('Match Log'!$A$4:$A$1510&lt;=$J275)),'Match Log'!$N$4:$N$1510),NA()))</f>
        <v>1038.9615659593956</v>
      </c>
      <c r="N275">
        <f>IF($J275&gt;MAX('Match Log'!$A$4:$A$1510),NA(),IFERROR(LOOKUP(2,1/(('Match Log'!$D$4:$D$1510=$N$24)*('Match Log'!$A$4:$A$1510&lt;=$J275)),'Match Log'!$N$4:$N$1510),NA()))</f>
        <v>935.23568912688131</v>
      </c>
      <c r="O275">
        <f>IF($J275&gt;MAX('Match Log'!$A$4:$A$1510),NA(),IFERROR(LOOKUP(2,1/(('Match Log'!$D$4:$D$1510=$O$24)*('Match Log'!$A$4:$A$1510&lt;=$J275)),'Match Log'!$N$4:$N$1510),NA()))</f>
        <v>1155.9112046633588</v>
      </c>
      <c r="P275">
        <f>IF($J275&gt;MAX('Match Log'!$A$4:$A$1510),NA(),IFERROR(LOOKUP(2,1/(('Match Log'!$D$4:$D$1510=$P$24)*('Match Log'!$A$4:$A$1510&lt;=$J275)),'Match Log'!$N$4:$N$1510),NA()))</f>
        <v>1308.3464880947099</v>
      </c>
      <c r="Q275">
        <f>IF($J275&gt;MAX('Match Log'!$A$4:$A$1510),NA(),IFERROR(LOOKUP(2,1/(('Match Log'!$D$4:$D$1510=$Q$24)*('Match Log'!$A$4:$A$1510&lt;=$J275)),'Match Log'!$N$4:$N$1510),NA()))</f>
        <v>1000.0962683458113</v>
      </c>
      <c r="R275">
        <f>IF($J275&gt;MAX('Match Log'!$A$4:$A$1510),NA(),IFERROR(LOOKUP(2,1/(('Match Log'!$D$4:$D$1510=$R$24)*('Match Log'!$A$4:$A$1510&lt;=$J275)),'Match Log'!$N$4:$N$1510),NA()))</f>
        <v>1078.4208962422829</v>
      </c>
      <c r="S275">
        <f>IF($J275&gt;MAX('Match Log'!$A$4:$A$1510),NA(),IFERROR(LOOKUP(2,1/(('Match Log'!$D$4:$D$1510=$S$24)*('Match Log'!$A$4:$A$1510&lt;=$J275)),'Match Log'!$N$4:$N$1510),NA()))</f>
        <v>1220.7793957579906</v>
      </c>
      <c r="T275">
        <f>IF($J275&gt;MAX('Match Log'!$A$4:$A$1510),NA(),IFERROR(LOOKUP(2,1/(('Match Log'!$D$4:$D$1510=$T$24)*('Match Log'!$A$4:$A$1510&lt;=$J275)),'Match Log'!$N$4:$N$1510),NA()))</f>
        <v>862.22294373677494</v>
      </c>
      <c r="U275">
        <f>IF($J275&gt;MAX('Match Log'!$A$4:$A$1510),NA(),IFERROR(LOOKUP(2,1/(('Match Log'!$D$4:$D$1510=$U$24)*('Match Log'!$A$4:$A$1510&lt;=$J275)),'Match Log'!$N$4:$N$1510),NA()))</f>
        <v>1031.5817149449704</v>
      </c>
      <c r="V275">
        <f>IF($J275&gt;MAX('Match Log'!$A$4:$A$1510),NA(),IFERROR(LOOKUP(2,1/(('Match Log'!$D$4:$D$1510=$V$24)*('Match Log'!$A$4:$A$1510&lt;=$J275)),'Match Log'!$N$4:$N$1510),NA()))</f>
        <v>1087.5488947064855</v>
      </c>
      <c r="W275">
        <f>IF($J275&gt;MAX('Match Log'!$A$4:$A$1510),NA(),IFERROR(LOOKUP(2,1/(('Match Log'!$D$4:$D$1510=$W$24)*('Match Log'!$A$4:$A$1510&lt;=$J275)),'Match Log'!$N$4:$N$1510),NA()))</f>
        <v>1023.2192605207141</v>
      </c>
      <c r="X275" t="e">
        <f>IF($J275&gt;MAX('Match Log'!$A$4:$A$1510),NA(),IFERROR(LOOKUP(2,1/(('Match Log'!$D$4:$D$1510=$X$24)*('Match Log'!$A$4:$A$1510&lt;=$J275)),'Match Log'!$N$4:$N$1510),NA()))</f>
        <v>#N/A</v>
      </c>
      <c r="Y275" t="str">
        <f t="shared" ca="1" si="28"/>
        <v/>
      </c>
    </row>
    <row r="276" spans="1:25" x14ac:dyDescent="0.2">
      <c r="A276">
        <v>252</v>
      </c>
      <c r="B276">
        <f>IFERROR(INDEX('Match Log'!$B$4:$B$1510,MATCH($A276,'Match Log'!$A$4:$A$1510,0)),"")</f>
        <v>46256</v>
      </c>
      <c r="C276" t="str">
        <f>IFERROR(INDEX('Match Log'!$C$4:$C$1510,MATCH($A276,'Match Log'!$A$4:$A$1510,0)),"")</f>
        <v>Table Tennis</v>
      </c>
      <c r="D276" t="str">
        <f t="array" ref="D276">IFERROR(_xlfn.TEXTJOIN(" + ",TRUE(),IF(('Match Log'!$A$4:$A$1510=$A276)*('Match Log'!$E$4:$E$1510="Win"),'Match Log'!$D$4:$D$1510,"")),IFERROR(LOOKUP(2,1/(('Match Log'!$A$4:$A$1510=$A276)*('Match Log'!$E$4:$E$1510="Win")),'Match Log'!$D$4:$D$1510),""))</f>
        <v>Shawn</v>
      </c>
      <c r="E276">
        <f>IFERROR(INDEX('Match Log'!$F$4:$F$1510,MATCH($A276,'Match Log'!$A$4:$A$1510,0)),"")</f>
        <v>2</v>
      </c>
      <c r="F276">
        <f>IFERROR(SUMIFS('Match Log'!$I$4:$I$1510,'Match Log'!$A$4:$A$1510,$A276,'Match Log'!$E$4:$E$1510,"Win"),"")</f>
        <v>0.76190476190476186</v>
      </c>
      <c r="G276">
        <f t="shared" si="26"/>
        <v>-0.52380952380952372</v>
      </c>
      <c r="H276" t="str">
        <f t="array" ref="H276">IFERROR(IF(COUNTIFS('Match Log'!$A$4:$A$1510,$A276,'Match Log'!$E$4:$E$1510,"Win")&gt;1,_xlfn.TEXTJOIN(" + ",TRUE(),IF(('Match Log'!$A$4:$A$1510=$A276)*('Match Log'!$E$4:$E$1510="Loss"),'Match Log'!$D$4:$D$1510,"")),IF($E276=2,LOOKUP(2,1/(('Match Log'!$A$4:$A$1510=$A276)*('Match Log'!$E$4:$E$1510="Loss")),'Match Log'!$D$4:$D$1510),"the field")),"")</f>
        <v>Daniel (Ferret)</v>
      </c>
      <c r="I276">
        <f t="shared" si="27"/>
        <v>-0.52406152380952375</v>
      </c>
      <c r="J276">
        <v>252</v>
      </c>
      <c r="K276">
        <f>IF($J276&gt;MAX('Match Log'!$A$4:$A$1510),NA(),IFERROR(LOOKUP(2,1/(('Match Log'!$D$4:$D$1510=$K$24)*('Match Log'!$A$4:$A$1510&lt;=$J276)),'Match Log'!$N$4:$N$1510),NA()))</f>
        <v>1179.1580813671098</v>
      </c>
      <c r="L276">
        <f>IF($J276&gt;MAX('Match Log'!$A$4:$A$1510),NA(),IFERROR(LOOKUP(2,1/(('Match Log'!$D$4:$D$1510=$L$24)*('Match Log'!$A$4:$A$1510&lt;=$J276)),'Match Log'!$N$4:$N$1510),NA()))</f>
        <v>1029.5175965335138</v>
      </c>
      <c r="M276">
        <f>IF($J276&gt;MAX('Match Log'!$A$4:$A$1510),NA(),IFERROR(LOOKUP(2,1/(('Match Log'!$D$4:$D$1510=$M$24)*('Match Log'!$A$4:$A$1510&lt;=$J276)),'Match Log'!$N$4:$N$1510),NA()))</f>
        <v>1038.9615659593956</v>
      </c>
      <c r="N276">
        <f>IF($J276&gt;MAX('Match Log'!$A$4:$A$1510),NA(),IFERROR(LOOKUP(2,1/(('Match Log'!$D$4:$D$1510=$N$24)*('Match Log'!$A$4:$A$1510&lt;=$J276)),'Match Log'!$N$4:$N$1510),NA()))</f>
        <v>935.23568912688131</v>
      </c>
      <c r="O276">
        <f>IF($J276&gt;MAX('Match Log'!$A$4:$A$1510),NA(),IFERROR(LOOKUP(2,1/(('Match Log'!$D$4:$D$1510=$O$24)*('Match Log'!$A$4:$A$1510&lt;=$J276)),'Match Log'!$N$4:$N$1510),NA()))</f>
        <v>1155.9112046633588</v>
      </c>
      <c r="P276">
        <f>IF($J276&gt;MAX('Match Log'!$A$4:$A$1510),NA(),IFERROR(LOOKUP(2,1/(('Match Log'!$D$4:$D$1510=$P$24)*('Match Log'!$A$4:$A$1510&lt;=$J276)),'Match Log'!$N$4:$N$1510),NA()))</f>
        <v>1318.8644233980281</v>
      </c>
      <c r="Q276">
        <f>IF($J276&gt;MAX('Match Log'!$A$4:$A$1510),NA(),IFERROR(LOOKUP(2,1/(('Match Log'!$D$4:$D$1510=$Q$24)*('Match Log'!$A$4:$A$1510&lt;=$J276)),'Match Log'!$N$4:$N$1510),NA()))</f>
        <v>1000.0962683458113</v>
      </c>
      <c r="R276">
        <f>IF($J276&gt;MAX('Match Log'!$A$4:$A$1510),NA(),IFERROR(LOOKUP(2,1/(('Match Log'!$D$4:$D$1510=$R$24)*('Match Log'!$A$4:$A$1510&lt;=$J276)),'Match Log'!$N$4:$N$1510),NA()))</f>
        <v>1067.9029609389647</v>
      </c>
      <c r="S276">
        <f>IF($J276&gt;MAX('Match Log'!$A$4:$A$1510),NA(),IFERROR(LOOKUP(2,1/(('Match Log'!$D$4:$D$1510=$S$24)*('Match Log'!$A$4:$A$1510&lt;=$J276)),'Match Log'!$N$4:$N$1510),NA()))</f>
        <v>1220.7793957579906</v>
      </c>
      <c r="T276">
        <f>IF($J276&gt;MAX('Match Log'!$A$4:$A$1510),NA(),IFERROR(LOOKUP(2,1/(('Match Log'!$D$4:$D$1510=$T$24)*('Match Log'!$A$4:$A$1510&lt;=$J276)),'Match Log'!$N$4:$N$1510),NA()))</f>
        <v>862.22294373677494</v>
      </c>
      <c r="U276">
        <f>IF($J276&gt;MAX('Match Log'!$A$4:$A$1510),NA(),IFERROR(LOOKUP(2,1/(('Match Log'!$D$4:$D$1510=$U$24)*('Match Log'!$A$4:$A$1510&lt;=$J276)),'Match Log'!$N$4:$N$1510),NA()))</f>
        <v>1031.5817149449704</v>
      </c>
      <c r="V276">
        <f>IF($J276&gt;MAX('Match Log'!$A$4:$A$1510),NA(),IFERROR(LOOKUP(2,1/(('Match Log'!$D$4:$D$1510=$V$24)*('Match Log'!$A$4:$A$1510&lt;=$J276)),'Match Log'!$N$4:$N$1510),NA()))</f>
        <v>1087.5488947064855</v>
      </c>
      <c r="W276">
        <f>IF($J276&gt;MAX('Match Log'!$A$4:$A$1510),NA(),IFERROR(LOOKUP(2,1/(('Match Log'!$D$4:$D$1510=$W$24)*('Match Log'!$A$4:$A$1510&lt;=$J276)),'Match Log'!$N$4:$N$1510),NA()))</f>
        <v>1023.2192605207141</v>
      </c>
      <c r="X276" t="e">
        <f>IF($J276&gt;MAX('Match Log'!$A$4:$A$1510),NA(),IFERROR(LOOKUP(2,1/(('Match Log'!$D$4:$D$1510=$X$24)*('Match Log'!$A$4:$A$1510&lt;=$J276)),'Match Log'!$N$4:$N$1510),NA()))</f>
        <v>#N/A</v>
      </c>
      <c r="Y276" t="str">
        <f t="shared" ca="1" si="28"/>
        <v/>
      </c>
    </row>
    <row r="277" spans="1:25" x14ac:dyDescent="0.2">
      <c r="A277">
        <v>253</v>
      </c>
      <c r="B277">
        <f>IFERROR(INDEX('Match Log'!$B$4:$B$1510,MATCH($A277,'Match Log'!$A$4:$A$1510,0)),"")</f>
        <v>46256</v>
      </c>
      <c r="C277" t="str">
        <f>IFERROR(INDEX('Match Log'!$C$4:$C$1510,MATCH($A277,'Match Log'!$A$4:$A$1510,0)),"")</f>
        <v>Table Tennis</v>
      </c>
      <c r="D277" t="str">
        <f t="array" ref="D277">IFERROR(_xlfn.TEXTJOIN(" + ",TRUE(),IF(('Match Log'!$A$4:$A$1510=$A277)*('Match Log'!$E$4:$E$1510="Win"),'Match Log'!$D$4:$D$1510,"")),IFERROR(LOOKUP(2,1/(('Match Log'!$A$4:$A$1510=$A277)*('Match Log'!$E$4:$E$1510="Win")),'Match Log'!$D$4:$D$1510),""))</f>
        <v>Shawn</v>
      </c>
      <c r="E277">
        <f>IFERROR(INDEX('Match Log'!$F$4:$F$1510,MATCH($A277,'Match Log'!$A$4:$A$1510,0)),"")</f>
        <v>2</v>
      </c>
      <c r="F277">
        <f>IFERROR(SUMIFS('Match Log'!$I$4:$I$1510,'Match Log'!$A$4:$A$1510,$A277,'Match Log'!$E$4:$E$1510,"Win"),"")</f>
        <v>0.77543859649122804</v>
      </c>
      <c r="G277">
        <f t="shared" si="26"/>
        <v>-0.55087719298245608</v>
      </c>
      <c r="H277" t="str">
        <f t="array" ref="H277">IFERROR(IF(COUNTIFS('Match Log'!$A$4:$A$1510,$A277,'Match Log'!$E$4:$E$1510,"Win")&gt;1,_xlfn.TEXTJOIN(" + ",TRUE(),IF(('Match Log'!$A$4:$A$1510=$A277)*('Match Log'!$E$4:$E$1510="Loss"),'Match Log'!$D$4:$D$1510,"")),IF($E277=2,LOOKUP(2,1/(('Match Log'!$A$4:$A$1510=$A277)*('Match Log'!$E$4:$E$1510="Loss")),'Match Log'!$D$4:$D$1510),"the field")),"")</f>
        <v>Daniel (Ferret)</v>
      </c>
      <c r="I277">
        <f t="shared" si="27"/>
        <v>-0.55113019298245602</v>
      </c>
      <c r="J277">
        <v>253</v>
      </c>
      <c r="K277">
        <f>IF($J277&gt;MAX('Match Log'!$A$4:$A$1510),NA(),IFERROR(LOOKUP(2,1/(('Match Log'!$D$4:$D$1510=$K$24)*('Match Log'!$A$4:$A$1510&lt;=$J277)),'Match Log'!$N$4:$N$1510),NA()))</f>
        <v>1179.1580813671098</v>
      </c>
      <c r="L277">
        <f>IF($J277&gt;MAX('Match Log'!$A$4:$A$1510),NA(),IFERROR(LOOKUP(2,1/(('Match Log'!$D$4:$D$1510=$L$24)*('Match Log'!$A$4:$A$1510&lt;=$J277)),'Match Log'!$N$4:$N$1510),NA()))</f>
        <v>1029.5175965335138</v>
      </c>
      <c r="M277">
        <f>IF($J277&gt;MAX('Match Log'!$A$4:$A$1510),NA(),IFERROR(LOOKUP(2,1/(('Match Log'!$D$4:$D$1510=$M$24)*('Match Log'!$A$4:$A$1510&lt;=$J277)),'Match Log'!$N$4:$N$1510),NA()))</f>
        <v>1038.9615659593956</v>
      </c>
      <c r="N277">
        <f>IF($J277&gt;MAX('Match Log'!$A$4:$A$1510),NA(),IFERROR(LOOKUP(2,1/(('Match Log'!$D$4:$D$1510=$N$24)*('Match Log'!$A$4:$A$1510&lt;=$J277)),'Match Log'!$N$4:$N$1510),NA()))</f>
        <v>935.23568912688131</v>
      </c>
      <c r="O277">
        <f>IF($J277&gt;MAX('Match Log'!$A$4:$A$1510),NA(),IFERROR(LOOKUP(2,1/(('Match Log'!$D$4:$D$1510=$O$24)*('Match Log'!$A$4:$A$1510&lt;=$J277)),'Match Log'!$N$4:$N$1510),NA()))</f>
        <v>1155.9112046633588</v>
      </c>
      <c r="P277">
        <f>IF($J277&gt;MAX('Match Log'!$A$4:$A$1510),NA(),IFERROR(LOOKUP(2,1/(('Match Log'!$D$4:$D$1510=$P$24)*('Match Log'!$A$4:$A$1510&lt;=$J277)),'Match Log'!$N$4:$N$1510),NA()))</f>
        <v>1328.675447821626</v>
      </c>
      <c r="Q277">
        <f>IF($J277&gt;MAX('Match Log'!$A$4:$A$1510),NA(),IFERROR(LOOKUP(2,1/(('Match Log'!$D$4:$D$1510=$Q$24)*('Match Log'!$A$4:$A$1510&lt;=$J277)),'Match Log'!$N$4:$N$1510),NA()))</f>
        <v>1000.0962683458113</v>
      </c>
      <c r="R277">
        <f>IF($J277&gt;MAX('Match Log'!$A$4:$A$1510),NA(),IFERROR(LOOKUP(2,1/(('Match Log'!$D$4:$D$1510=$R$24)*('Match Log'!$A$4:$A$1510&lt;=$J277)),'Match Log'!$N$4:$N$1510),NA()))</f>
        <v>1058.0919365153668</v>
      </c>
      <c r="S277">
        <f>IF($J277&gt;MAX('Match Log'!$A$4:$A$1510),NA(),IFERROR(LOOKUP(2,1/(('Match Log'!$D$4:$D$1510=$S$24)*('Match Log'!$A$4:$A$1510&lt;=$J277)),'Match Log'!$N$4:$N$1510),NA()))</f>
        <v>1220.7793957579906</v>
      </c>
      <c r="T277">
        <f>IF($J277&gt;MAX('Match Log'!$A$4:$A$1510),NA(),IFERROR(LOOKUP(2,1/(('Match Log'!$D$4:$D$1510=$T$24)*('Match Log'!$A$4:$A$1510&lt;=$J277)),'Match Log'!$N$4:$N$1510),NA()))</f>
        <v>862.22294373677494</v>
      </c>
      <c r="U277">
        <f>IF($J277&gt;MAX('Match Log'!$A$4:$A$1510),NA(),IFERROR(LOOKUP(2,1/(('Match Log'!$D$4:$D$1510=$U$24)*('Match Log'!$A$4:$A$1510&lt;=$J277)),'Match Log'!$N$4:$N$1510),NA()))</f>
        <v>1031.5817149449704</v>
      </c>
      <c r="V277">
        <f>IF($J277&gt;MAX('Match Log'!$A$4:$A$1510),NA(),IFERROR(LOOKUP(2,1/(('Match Log'!$D$4:$D$1510=$V$24)*('Match Log'!$A$4:$A$1510&lt;=$J277)),'Match Log'!$N$4:$N$1510),NA()))</f>
        <v>1087.5488947064855</v>
      </c>
      <c r="W277">
        <f>IF($J277&gt;MAX('Match Log'!$A$4:$A$1510),NA(),IFERROR(LOOKUP(2,1/(('Match Log'!$D$4:$D$1510=$W$24)*('Match Log'!$A$4:$A$1510&lt;=$J277)),'Match Log'!$N$4:$N$1510),NA()))</f>
        <v>1023.2192605207141</v>
      </c>
      <c r="X277" t="e">
        <f>IF($J277&gt;MAX('Match Log'!$A$4:$A$1510),NA(),IFERROR(LOOKUP(2,1/(('Match Log'!$D$4:$D$1510=$X$24)*('Match Log'!$A$4:$A$1510&lt;=$J277)),'Match Log'!$N$4:$N$1510),NA()))</f>
        <v>#N/A</v>
      </c>
      <c r="Y277" t="str">
        <f t="shared" ca="1" si="28"/>
        <v/>
      </c>
    </row>
    <row r="278" spans="1:25" x14ac:dyDescent="0.2">
      <c r="A278">
        <v>254</v>
      </c>
      <c r="B278">
        <f>IFERROR(INDEX('Match Log'!$B$4:$B$1510,MATCH($A278,'Match Log'!$A$4:$A$1510,0)),"")</f>
        <v>46256</v>
      </c>
      <c r="C278" t="str">
        <f>IFERROR(INDEX('Match Log'!$C$4:$C$1510,MATCH($A278,'Match Log'!$A$4:$A$1510,0)),"")</f>
        <v>HORSE - Basketball</v>
      </c>
      <c r="D278" t="str">
        <f t="array" ref="D278">IFERROR(_xlfn.TEXTJOIN(" + ",TRUE(),IF(('Match Log'!$A$4:$A$1510=$A278)*('Match Log'!$E$4:$E$1510="Win"),'Match Log'!$D$4:$D$1510,"")),IFERROR(LOOKUP(2,1/(('Match Log'!$A$4:$A$1510=$A278)*('Match Log'!$E$4:$E$1510="Win")),'Match Log'!$D$4:$D$1510),""))</f>
        <v>Chase</v>
      </c>
      <c r="E278">
        <f>IFERROR(INDEX('Match Log'!$F$4:$F$1510,MATCH($A278,'Match Log'!$A$4:$A$1510,0)),"")</f>
        <v>3</v>
      </c>
      <c r="F278">
        <f>IFERROR(SUMIFS('Match Log'!$I$4:$I$1510,'Match Log'!$A$4:$A$1510,$A278,'Match Log'!$E$4:$E$1510,"Win"),"")</f>
        <v>0.33333333333333331</v>
      </c>
      <c r="G278">
        <f t="shared" si="26"/>
        <v>0</v>
      </c>
      <c r="H278" t="str">
        <f t="array" ref="H278">IFERROR(IF(COUNTIFS('Match Log'!$A$4:$A$1510,$A278,'Match Log'!$E$4:$E$1510,"Win")&gt;1,_xlfn.TEXTJOIN(" + ",TRUE(),IF(('Match Log'!$A$4:$A$1510=$A278)*('Match Log'!$E$4:$E$1510="Loss"),'Match Log'!$D$4:$D$1510,"")),IF($E278=2,LOOKUP(2,1/(('Match Log'!$A$4:$A$1510=$A278)*('Match Log'!$E$4:$E$1510="Loss")),'Match Log'!$D$4:$D$1510),"the field")),"")</f>
        <v>the field</v>
      </c>
      <c r="I278">
        <f t="shared" si="27"/>
        <v>-2.5399999999999999E-4</v>
      </c>
      <c r="J278">
        <v>254</v>
      </c>
      <c r="K278">
        <f>IF($J278&gt;MAX('Match Log'!$A$4:$A$1510),NA(),IFERROR(LOOKUP(2,1/(('Match Log'!$D$4:$D$1510=$K$24)*('Match Log'!$A$4:$A$1510&lt;=$J278)),'Match Log'!$N$4:$N$1510),NA()))</f>
        <v>1179.1580813671098</v>
      </c>
      <c r="L278">
        <f>IF($J278&gt;MAX('Match Log'!$A$4:$A$1510),NA(),IFERROR(LOOKUP(2,1/(('Match Log'!$D$4:$D$1510=$L$24)*('Match Log'!$A$4:$A$1510&lt;=$J278)),'Match Log'!$N$4:$N$1510),NA()))</f>
        <v>1029.5175965335138</v>
      </c>
      <c r="M278">
        <f>IF($J278&gt;MAX('Match Log'!$A$4:$A$1510),NA(),IFERROR(LOOKUP(2,1/(('Match Log'!$D$4:$D$1510=$M$24)*('Match Log'!$A$4:$A$1510&lt;=$J278)),'Match Log'!$N$4:$N$1510),NA()))</f>
        <v>1069.6413263248426</v>
      </c>
      <c r="N278">
        <f>IF($J278&gt;MAX('Match Log'!$A$4:$A$1510),NA(),IFERROR(LOOKUP(2,1/(('Match Log'!$D$4:$D$1510=$N$24)*('Match Log'!$A$4:$A$1510&lt;=$J278)),'Match Log'!$N$4:$N$1510),NA()))</f>
        <v>935.23568912688131</v>
      </c>
      <c r="O278">
        <f>IF($J278&gt;MAX('Match Log'!$A$4:$A$1510),NA(),IFERROR(LOOKUP(2,1/(('Match Log'!$D$4:$D$1510=$O$24)*('Match Log'!$A$4:$A$1510&lt;=$J278)),'Match Log'!$N$4:$N$1510),NA()))</f>
        <v>1155.9112046633588</v>
      </c>
      <c r="P278">
        <f>IF($J278&gt;MAX('Match Log'!$A$4:$A$1510),NA(),IFERROR(LOOKUP(2,1/(('Match Log'!$D$4:$D$1510=$P$24)*('Match Log'!$A$4:$A$1510&lt;=$J278)),'Match Log'!$N$4:$N$1510),NA()))</f>
        <v>1313.4047359185656</v>
      </c>
      <c r="Q278">
        <f>IF($J278&gt;MAX('Match Log'!$A$4:$A$1510),NA(),IFERROR(LOOKUP(2,1/(('Match Log'!$D$4:$D$1510=$Q$24)*('Match Log'!$A$4:$A$1510&lt;=$J278)),'Match Log'!$N$4:$N$1510),NA()))</f>
        <v>1000.0962683458113</v>
      </c>
      <c r="R278">
        <f>IF($J278&gt;MAX('Match Log'!$A$4:$A$1510),NA(),IFERROR(LOOKUP(2,1/(('Match Log'!$D$4:$D$1510=$R$24)*('Match Log'!$A$4:$A$1510&lt;=$J278)),'Match Log'!$N$4:$N$1510),NA()))</f>
        <v>1051.6828880529802</v>
      </c>
      <c r="S278">
        <f>IF($J278&gt;MAX('Match Log'!$A$4:$A$1510),NA(),IFERROR(LOOKUP(2,1/(('Match Log'!$D$4:$D$1510=$S$24)*('Match Log'!$A$4:$A$1510&lt;=$J278)),'Match Log'!$N$4:$N$1510),NA()))</f>
        <v>1220.7793957579906</v>
      </c>
      <c r="T278">
        <f>IF($J278&gt;MAX('Match Log'!$A$4:$A$1510),NA(),IFERROR(LOOKUP(2,1/(('Match Log'!$D$4:$D$1510=$T$24)*('Match Log'!$A$4:$A$1510&lt;=$J278)),'Match Log'!$N$4:$N$1510),NA()))</f>
        <v>862.22294373677494</v>
      </c>
      <c r="U278">
        <f>IF($J278&gt;MAX('Match Log'!$A$4:$A$1510),NA(),IFERROR(LOOKUP(2,1/(('Match Log'!$D$4:$D$1510=$U$24)*('Match Log'!$A$4:$A$1510&lt;=$J278)),'Match Log'!$N$4:$N$1510),NA()))</f>
        <v>1031.5817149449704</v>
      </c>
      <c r="V278">
        <f>IF($J278&gt;MAX('Match Log'!$A$4:$A$1510),NA(),IFERROR(LOOKUP(2,1/(('Match Log'!$D$4:$D$1510=$V$24)*('Match Log'!$A$4:$A$1510&lt;=$J278)),'Match Log'!$N$4:$N$1510),NA()))</f>
        <v>1087.5488947064855</v>
      </c>
      <c r="W278">
        <f>IF($J278&gt;MAX('Match Log'!$A$4:$A$1510),NA(),IFERROR(LOOKUP(2,1/(('Match Log'!$D$4:$D$1510=$W$24)*('Match Log'!$A$4:$A$1510&lt;=$J278)),'Match Log'!$N$4:$N$1510),NA()))</f>
        <v>1023.2192605207141</v>
      </c>
      <c r="X278" t="e">
        <f>IF($J278&gt;MAX('Match Log'!$A$4:$A$1510),NA(),IFERROR(LOOKUP(2,1/(('Match Log'!$D$4:$D$1510=$X$24)*('Match Log'!$A$4:$A$1510&lt;=$J278)),'Match Log'!$N$4:$N$1510),NA()))</f>
        <v>#N/A</v>
      </c>
      <c r="Y278" t="str">
        <f t="shared" ca="1" si="28"/>
        <v/>
      </c>
    </row>
    <row r="279" spans="1:25" x14ac:dyDescent="0.2">
      <c r="A279">
        <v>255</v>
      </c>
      <c r="B279">
        <f>IFERROR(INDEX('Match Log'!$B$4:$B$1510,MATCH($A279,'Match Log'!$A$4:$A$1510,0)),"")</f>
        <v>46256</v>
      </c>
      <c r="C279" t="str">
        <f>IFERROR(INDEX('Match Log'!$C$4:$C$1510,MATCH($A279,'Match Log'!$A$4:$A$1510,0)),"")</f>
        <v>HORSE - Basketball</v>
      </c>
      <c r="D279" t="str">
        <f t="array" ref="D279">IFERROR(_xlfn.TEXTJOIN(" + ",TRUE(),IF(('Match Log'!$A$4:$A$1510=$A279)*('Match Log'!$E$4:$E$1510="Win"),'Match Log'!$D$4:$D$1510,"")),IFERROR(LOOKUP(2,1/(('Match Log'!$A$4:$A$1510=$A279)*('Match Log'!$E$4:$E$1510="Win")),'Match Log'!$D$4:$D$1510),""))</f>
        <v>Chase</v>
      </c>
      <c r="E279">
        <f>IFERROR(INDEX('Match Log'!$F$4:$F$1510,MATCH($A279,'Match Log'!$A$4:$A$1510,0)),"")</f>
        <v>4</v>
      </c>
      <c r="F279">
        <f>IFERROR(SUMIFS('Match Log'!$I$4:$I$1510,'Match Log'!$A$4:$A$1510,$A279,'Match Log'!$E$4:$E$1510,"Win"),"")</f>
        <v>0.39215686274509809</v>
      </c>
      <c r="G279">
        <f t="shared" si="26"/>
        <v>-0.56862745098039236</v>
      </c>
      <c r="H279" t="str">
        <f t="array" ref="H279">IFERROR(IF(COUNTIFS('Match Log'!$A$4:$A$1510,$A279,'Match Log'!$E$4:$E$1510,"Win")&gt;1,_xlfn.TEXTJOIN(" + ",TRUE(),IF(('Match Log'!$A$4:$A$1510=$A279)*('Match Log'!$E$4:$E$1510="Loss"),'Match Log'!$D$4:$D$1510,"")),IF($E279=2,LOOKUP(2,1/(('Match Log'!$A$4:$A$1510=$A279)*('Match Log'!$E$4:$E$1510="Loss")),'Match Log'!$D$4:$D$1510),"the field")),"")</f>
        <v>the field</v>
      </c>
      <c r="I279">
        <f t="shared" si="27"/>
        <v>-0.56888245098039236</v>
      </c>
      <c r="J279">
        <v>255</v>
      </c>
      <c r="K279">
        <f>IF($J279&gt;MAX('Match Log'!$A$4:$A$1510),NA(),IFERROR(LOOKUP(2,1/(('Match Log'!$D$4:$D$1510=$K$24)*('Match Log'!$A$4:$A$1510&lt;=$J279)),'Match Log'!$N$4:$N$1510),NA()))</f>
        <v>1175.7182386609175</v>
      </c>
      <c r="L279">
        <f>IF($J279&gt;MAX('Match Log'!$A$4:$A$1510),NA(),IFERROR(LOOKUP(2,1/(('Match Log'!$D$4:$D$1510=$L$24)*('Match Log'!$A$4:$A$1510&lt;=$J279)),'Match Log'!$N$4:$N$1510),NA()))</f>
        <v>1029.5175965335138</v>
      </c>
      <c r="M279">
        <f>IF($J279&gt;MAX('Match Log'!$A$4:$A$1510),NA(),IFERROR(LOOKUP(2,1/(('Match Log'!$D$4:$D$1510=$M$24)*('Match Log'!$A$4:$A$1510&lt;=$J279)),'Match Log'!$N$4:$N$1510),NA()))</f>
        <v>1098.8851304702137</v>
      </c>
      <c r="N279">
        <f>IF($J279&gt;MAX('Match Log'!$A$4:$A$1510),NA(),IFERROR(LOOKUP(2,1/(('Match Log'!$D$4:$D$1510=$N$24)*('Match Log'!$A$4:$A$1510&lt;=$J279)),'Match Log'!$N$4:$N$1510),NA()))</f>
        <v>935.23568912688131</v>
      </c>
      <c r="O279">
        <f>IF($J279&gt;MAX('Match Log'!$A$4:$A$1510),NA(),IFERROR(LOOKUP(2,1/(('Match Log'!$D$4:$D$1510=$O$24)*('Match Log'!$A$4:$A$1510&lt;=$J279)),'Match Log'!$N$4:$N$1510),NA()))</f>
        <v>1155.9112046633588</v>
      </c>
      <c r="P279">
        <f>IF($J279&gt;MAX('Match Log'!$A$4:$A$1510),NA(),IFERROR(LOOKUP(2,1/(('Match Log'!$D$4:$D$1510=$P$24)*('Match Log'!$A$4:$A$1510&lt;=$J279)),'Match Log'!$N$4:$N$1510),NA()))</f>
        <v>1305.4661007130724</v>
      </c>
      <c r="Q279">
        <f>IF($J279&gt;MAX('Match Log'!$A$4:$A$1510),NA(),IFERROR(LOOKUP(2,1/(('Match Log'!$D$4:$D$1510=$Q$24)*('Match Log'!$A$4:$A$1510&lt;=$J279)),'Match Log'!$N$4:$N$1510),NA()))</f>
        <v>1000.0962683458113</v>
      </c>
      <c r="R279">
        <f>IF($J279&gt;MAX('Match Log'!$A$4:$A$1510),NA(),IFERROR(LOOKUP(2,1/(('Match Log'!$D$4:$D$1510=$R$24)*('Match Log'!$A$4:$A$1510&lt;=$J279)),'Match Log'!$N$4:$N$1510),NA()))</f>
        <v>1049.8175618192947</v>
      </c>
      <c r="S279">
        <f>IF($J279&gt;MAX('Match Log'!$A$4:$A$1510),NA(),IFERROR(LOOKUP(2,1/(('Match Log'!$D$4:$D$1510=$S$24)*('Match Log'!$A$4:$A$1510&lt;=$J279)),'Match Log'!$N$4:$N$1510),NA()))</f>
        <v>1220.7793957579906</v>
      </c>
      <c r="T279">
        <f>IF($J279&gt;MAX('Match Log'!$A$4:$A$1510),NA(),IFERROR(LOOKUP(2,1/(('Match Log'!$D$4:$D$1510=$T$24)*('Match Log'!$A$4:$A$1510&lt;=$J279)),'Match Log'!$N$4:$N$1510),NA()))</f>
        <v>862.22294373677494</v>
      </c>
      <c r="U279">
        <f>IF($J279&gt;MAX('Match Log'!$A$4:$A$1510),NA(),IFERROR(LOOKUP(2,1/(('Match Log'!$D$4:$D$1510=$U$24)*('Match Log'!$A$4:$A$1510&lt;=$J279)),'Match Log'!$N$4:$N$1510),NA()))</f>
        <v>1031.5817149449704</v>
      </c>
      <c r="V279">
        <f>IF($J279&gt;MAX('Match Log'!$A$4:$A$1510),NA(),IFERROR(LOOKUP(2,1/(('Match Log'!$D$4:$D$1510=$V$24)*('Match Log'!$A$4:$A$1510&lt;=$J279)),'Match Log'!$N$4:$N$1510),NA()))</f>
        <v>1087.5488947064855</v>
      </c>
      <c r="W279">
        <f>IF($J279&gt;MAX('Match Log'!$A$4:$A$1510),NA(),IFERROR(LOOKUP(2,1/(('Match Log'!$D$4:$D$1510=$W$24)*('Match Log'!$A$4:$A$1510&lt;=$J279)),'Match Log'!$N$4:$N$1510),NA()))</f>
        <v>1023.2192605207141</v>
      </c>
      <c r="X279" t="e">
        <f>IF($J279&gt;MAX('Match Log'!$A$4:$A$1510),NA(),IFERROR(LOOKUP(2,1/(('Match Log'!$D$4:$D$1510=$X$24)*('Match Log'!$A$4:$A$1510&lt;=$J279)),'Match Log'!$N$4:$N$1510),NA()))</f>
        <v>#N/A</v>
      </c>
      <c r="Y279" t="str">
        <f t="shared" ca="1" si="28"/>
        <v/>
      </c>
    </row>
    <row r="280" spans="1:25" x14ac:dyDescent="0.2">
      <c r="A280">
        <v>256</v>
      </c>
      <c r="B280">
        <f>IFERROR(INDEX('Match Log'!$B$4:$B$1510,MATCH($A280,'Match Log'!$A$4:$A$1510,0)),"")</f>
        <v>46256</v>
      </c>
      <c r="C280" t="str">
        <f>IFERROR(INDEX('Match Log'!$C$4:$C$1510,MATCH($A280,'Match Log'!$A$4:$A$1510,0)),"")</f>
        <v>Darts</v>
      </c>
      <c r="D280" t="str">
        <f t="array" ref="D280">IFERROR(_xlfn.TEXTJOIN(" + ",TRUE(),IF(('Match Log'!$A$4:$A$1510=$A280)*('Match Log'!$E$4:$E$1510="Win"),'Match Log'!$D$4:$D$1510,"")),IFERROR(LOOKUP(2,1/(('Match Log'!$A$4:$A$1510=$A280)*('Match Log'!$E$4:$E$1510="Win")),'Match Log'!$D$4:$D$1510),""))</f>
        <v>Aaron</v>
      </c>
      <c r="E280">
        <f>IFERROR(INDEX('Match Log'!$F$4:$F$1510,MATCH($A280,'Match Log'!$A$4:$A$1510,0)),"")</f>
        <v>3</v>
      </c>
      <c r="F280">
        <f>IFERROR(SUMIFS('Match Log'!$I$4:$I$1510,'Match Log'!$A$4:$A$1510,$A280,'Match Log'!$E$4:$E$1510,"Win"),"")</f>
        <v>0.31168831168831168</v>
      </c>
      <c r="G280">
        <f t="shared" si="26"/>
        <v>6.4935064935064957E-2</v>
      </c>
      <c r="H280" t="str">
        <f t="array" ref="H280">IFERROR(IF(COUNTIFS('Match Log'!$A$4:$A$1510,$A280,'Match Log'!$E$4:$E$1510,"Win")&gt;1,_xlfn.TEXTJOIN(" + ",TRUE(),IF(('Match Log'!$A$4:$A$1510=$A280)*('Match Log'!$E$4:$E$1510="Loss"),'Match Log'!$D$4:$D$1510,"")),IF($E280=2,LOOKUP(2,1/(('Match Log'!$A$4:$A$1510=$A280)*('Match Log'!$E$4:$E$1510="Loss")),'Match Log'!$D$4:$D$1510),"the field")),"")</f>
        <v>the field</v>
      </c>
      <c r="I280">
        <f t="shared" si="27"/>
        <v>6.467906493506495E-2</v>
      </c>
      <c r="J280">
        <v>256</v>
      </c>
      <c r="K280">
        <f>IF($J280&gt;MAX('Match Log'!$A$4:$A$1510),NA(),IFERROR(LOOKUP(2,1/(('Match Log'!$D$4:$D$1510=$K$24)*('Match Log'!$A$4:$A$1510&lt;=$J280)),'Match Log'!$N$4:$N$1510),NA()))</f>
        <v>1203.17976156635</v>
      </c>
      <c r="L280">
        <f>IF($J280&gt;MAX('Match Log'!$A$4:$A$1510),NA(),IFERROR(LOOKUP(2,1/(('Match Log'!$D$4:$D$1510=$L$24)*('Match Log'!$A$4:$A$1510&lt;=$J280)),'Match Log'!$N$4:$N$1510),NA()))</f>
        <v>1029.5175965335138</v>
      </c>
      <c r="M280">
        <f>IF($J280&gt;MAX('Match Log'!$A$4:$A$1510),NA(),IFERROR(LOOKUP(2,1/(('Match Log'!$D$4:$D$1510=$M$24)*('Match Log'!$A$4:$A$1510&lt;=$J280)),'Match Log'!$N$4:$N$1510),NA()))</f>
        <v>1098.8851304702137</v>
      </c>
      <c r="N280">
        <f>IF($J280&gt;MAX('Match Log'!$A$4:$A$1510),NA(),IFERROR(LOOKUP(2,1/(('Match Log'!$D$4:$D$1510=$N$24)*('Match Log'!$A$4:$A$1510&lt;=$J280)),'Match Log'!$N$4:$N$1510),NA()))</f>
        <v>935.23568912688131</v>
      </c>
      <c r="O280">
        <f>IF($J280&gt;MAX('Match Log'!$A$4:$A$1510),NA(),IFERROR(LOOKUP(2,1/(('Match Log'!$D$4:$D$1510=$O$24)*('Match Log'!$A$4:$A$1510&lt;=$J280)),'Match Log'!$N$4:$N$1510),NA()))</f>
        <v>1155.9112046633588</v>
      </c>
      <c r="P280">
        <f>IF($J280&gt;MAX('Match Log'!$A$4:$A$1510),NA(),IFERROR(LOOKUP(2,1/(('Match Log'!$D$4:$D$1510=$P$24)*('Match Log'!$A$4:$A$1510&lt;=$J280)),'Match Log'!$N$4:$N$1510),NA()))</f>
        <v>1293.8016409749487</v>
      </c>
      <c r="Q280">
        <f>IF($J280&gt;MAX('Match Log'!$A$4:$A$1510),NA(),IFERROR(LOOKUP(2,1/(('Match Log'!$D$4:$D$1510=$Q$24)*('Match Log'!$A$4:$A$1510&lt;=$J280)),'Match Log'!$N$4:$N$1510),NA()))</f>
        <v>1000.0962683458113</v>
      </c>
      <c r="R280">
        <f>IF($J280&gt;MAX('Match Log'!$A$4:$A$1510),NA(),IFERROR(LOOKUP(2,1/(('Match Log'!$D$4:$D$1510=$R$24)*('Match Log'!$A$4:$A$1510&lt;=$J280)),'Match Log'!$N$4:$N$1510),NA()))</f>
        <v>1043.0204986519859</v>
      </c>
      <c r="S280">
        <f>IF($J280&gt;MAX('Match Log'!$A$4:$A$1510),NA(),IFERROR(LOOKUP(2,1/(('Match Log'!$D$4:$D$1510=$S$24)*('Match Log'!$A$4:$A$1510&lt;=$J280)),'Match Log'!$N$4:$N$1510),NA()))</f>
        <v>1220.7793957579906</v>
      </c>
      <c r="T280">
        <f>IF($J280&gt;MAX('Match Log'!$A$4:$A$1510),NA(),IFERROR(LOOKUP(2,1/(('Match Log'!$D$4:$D$1510=$T$24)*('Match Log'!$A$4:$A$1510&lt;=$J280)),'Match Log'!$N$4:$N$1510),NA()))</f>
        <v>862.22294373677494</v>
      </c>
      <c r="U280">
        <f>IF($J280&gt;MAX('Match Log'!$A$4:$A$1510),NA(),IFERROR(LOOKUP(2,1/(('Match Log'!$D$4:$D$1510=$U$24)*('Match Log'!$A$4:$A$1510&lt;=$J280)),'Match Log'!$N$4:$N$1510),NA()))</f>
        <v>1031.5817149449704</v>
      </c>
      <c r="V280">
        <f>IF($J280&gt;MAX('Match Log'!$A$4:$A$1510),NA(),IFERROR(LOOKUP(2,1/(('Match Log'!$D$4:$D$1510=$V$24)*('Match Log'!$A$4:$A$1510&lt;=$J280)),'Match Log'!$N$4:$N$1510),NA()))</f>
        <v>1087.5488947064855</v>
      </c>
      <c r="W280">
        <f>IF($J280&gt;MAX('Match Log'!$A$4:$A$1510),NA(),IFERROR(LOOKUP(2,1/(('Match Log'!$D$4:$D$1510=$W$24)*('Match Log'!$A$4:$A$1510&lt;=$J280)),'Match Log'!$N$4:$N$1510),NA()))</f>
        <v>1023.2192605207141</v>
      </c>
      <c r="X280" t="e">
        <f>IF($J280&gt;MAX('Match Log'!$A$4:$A$1510),NA(),IFERROR(LOOKUP(2,1/(('Match Log'!$D$4:$D$1510=$X$24)*('Match Log'!$A$4:$A$1510&lt;=$J280)),'Match Log'!$N$4:$N$1510),NA()))</f>
        <v>#N/A</v>
      </c>
      <c r="Y280" t="str">
        <f t="shared" ca="1" si="28"/>
        <v/>
      </c>
    </row>
    <row r="281" spans="1:25" x14ac:dyDescent="0.2">
      <c r="A281">
        <v>257</v>
      </c>
      <c r="B281">
        <f>IFERROR(INDEX('Match Log'!$B$4:$B$1510,MATCH($A281,'Match Log'!$A$4:$A$1510,0)),"")</f>
        <v>46256</v>
      </c>
      <c r="C281" t="str">
        <f>IFERROR(INDEX('Match Log'!$C$4:$C$1510,MATCH($A281,'Match Log'!$A$4:$A$1510,0)),"")</f>
        <v>Darts</v>
      </c>
      <c r="D281" t="str">
        <f t="array" ref="D281">IFERROR(_xlfn.TEXTJOIN(" + ",TRUE(),IF(('Match Log'!$A$4:$A$1510=$A281)*('Match Log'!$E$4:$E$1510="Win"),'Match Log'!$D$4:$D$1510,"")),IFERROR(LOOKUP(2,1/(('Match Log'!$A$4:$A$1510=$A281)*('Match Log'!$E$4:$E$1510="Win")),'Match Log'!$D$4:$D$1510),""))</f>
        <v>Aaron</v>
      </c>
      <c r="E281">
        <f>IFERROR(INDEX('Match Log'!$F$4:$F$1510,MATCH($A281,'Match Log'!$A$4:$A$1510,0)),"")</f>
        <v>3</v>
      </c>
      <c r="F281">
        <f>IFERROR(SUMIFS('Match Log'!$I$4:$I$1510,'Match Log'!$A$4:$A$1510,$A281,'Match Log'!$E$4:$E$1510,"Win"),"")</f>
        <v>0.375</v>
      </c>
      <c r="G281">
        <f t="shared" ref="G281:G344" si="29">IF($D281="","",1-$F281*$E281)</f>
        <v>-0.125</v>
      </c>
      <c r="H281" t="str">
        <f t="array" ref="H281">IFERROR(IF(COUNTIFS('Match Log'!$A$4:$A$1510,$A281,'Match Log'!$E$4:$E$1510,"Win")&gt;1,_xlfn.TEXTJOIN(" + ",TRUE(),IF(('Match Log'!$A$4:$A$1510=$A281)*('Match Log'!$E$4:$E$1510="Loss"),'Match Log'!$D$4:$D$1510,"")),IF($E281=2,LOOKUP(2,1/(('Match Log'!$A$4:$A$1510=$A281)*('Match Log'!$E$4:$E$1510="Loss")),'Match Log'!$D$4:$D$1510),"the field")),"")</f>
        <v>the field</v>
      </c>
      <c r="I281">
        <f t="shared" ref="I281:I344" si="30">IF($G281="","",$G281-$A281/1000000)</f>
        <v>-0.12525700000000001</v>
      </c>
      <c r="J281">
        <v>257</v>
      </c>
      <c r="K281">
        <f>IF($J281&gt;MAX('Match Log'!$A$4:$A$1510),NA(),IFERROR(LOOKUP(2,1/(('Match Log'!$D$4:$D$1510=$K$24)*('Match Log'!$A$4:$A$1510&lt;=$J281)),'Match Log'!$N$4:$N$1510),NA()))</f>
        <v>1228.5627054776144</v>
      </c>
      <c r="L281">
        <f>IF($J281&gt;MAX('Match Log'!$A$4:$A$1510),NA(),IFERROR(LOOKUP(2,1/(('Match Log'!$D$4:$D$1510=$L$24)*('Match Log'!$A$4:$A$1510&lt;=$J281)),'Match Log'!$N$4:$N$1510),NA()))</f>
        <v>1029.5175965335138</v>
      </c>
      <c r="M281">
        <f>IF($J281&gt;MAX('Match Log'!$A$4:$A$1510),NA(),IFERROR(LOOKUP(2,1/(('Match Log'!$D$4:$D$1510=$M$24)*('Match Log'!$A$4:$A$1510&lt;=$J281)),'Match Log'!$N$4:$N$1510),NA()))</f>
        <v>1098.8851304702137</v>
      </c>
      <c r="N281">
        <f>IF($J281&gt;MAX('Match Log'!$A$4:$A$1510),NA(),IFERROR(LOOKUP(2,1/(('Match Log'!$D$4:$D$1510=$N$24)*('Match Log'!$A$4:$A$1510&lt;=$J281)),'Match Log'!$N$4:$N$1510),NA()))</f>
        <v>935.23568912688131</v>
      </c>
      <c r="O281">
        <f>IF($J281&gt;MAX('Match Log'!$A$4:$A$1510),NA(),IFERROR(LOOKUP(2,1/(('Match Log'!$D$4:$D$1510=$O$24)*('Match Log'!$A$4:$A$1510&lt;=$J281)),'Match Log'!$N$4:$N$1510),NA()))</f>
        <v>1155.9112046633588</v>
      </c>
      <c r="P281">
        <f>IF($J281&gt;MAX('Match Log'!$A$4:$A$1510),NA(),IFERROR(LOOKUP(2,1/(('Match Log'!$D$4:$D$1510=$P$24)*('Match Log'!$A$4:$A$1510&lt;=$J281)),'Match Log'!$N$4:$N$1510),NA()))</f>
        <v>1283.4405154921014</v>
      </c>
      <c r="Q281">
        <f>IF($J281&gt;MAX('Match Log'!$A$4:$A$1510),NA(),IFERROR(LOOKUP(2,1/(('Match Log'!$D$4:$D$1510=$Q$24)*('Match Log'!$A$4:$A$1510&lt;=$J281)),'Match Log'!$N$4:$N$1510),NA()))</f>
        <v>1000.0962683458113</v>
      </c>
      <c r="R281">
        <f>IF($J281&gt;MAX('Match Log'!$A$4:$A$1510),NA(),IFERROR(LOOKUP(2,1/(('Match Log'!$D$4:$D$1510=$R$24)*('Match Log'!$A$4:$A$1510&lt;=$J281)),'Match Log'!$N$4:$N$1510),NA()))</f>
        <v>1036.998680223569</v>
      </c>
      <c r="S281">
        <f>IF($J281&gt;MAX('Match Log'!$A$4:$A$1510),NA(),IFERROR(LOOKUP(2,1/(('Match Log'!$D$4:$D$1510=$S$24)*('Match Log'!$A$4:$A$1510&lt;=$J281)),'Match Log'!$N$4:$N$1510),NA()))</f>
        <v>1220.7793957579906</v>
      </c>
      <c r="T281">
        <f>IF($J281&gt;MAX('Match Log'!$A$4:$A$1510),NA(),IFERROR(LOOKUP(2,1/(('Match Log'!$D$4:$D$1510=$T$24)*('Match Log'!$A$4:$A$1510&lt;=$J281)),'Match Log'!$N$4:$N$1510),NA()))</f>
        <v>862.22294373677494</v>
      </c>
      <c r="U281">
        <f>IF($J281&gt;MAX('Match Log'!$A$4:$A$1510),NA(),IFERROR(LOOKUP(2,1/(('Match Log'!$D$4:$D$1510=$U$24)*('Match Log'!$A$4:$A$1510&lt;=$J281)),'Match Log'!$N$4:$N$1510),NA()))</f>
        <v>1031.5817149449704</v>
      </c>
      <c r="V281">
        <f>IF($J281&gt;MAX('Match Log'!$A$4:$A$1510),NA(),IFERROR(LOOKUP(2,1/(('Match Log'!$D$4:$D$1510=$V$24)*('Match Log'!$A$4:$A$1510&lt;=$J281)),'Match Log'!$N$4:$N$1510),NA()))</f>
        <v>1087.5488947064855</v>
      </c>
      <c r="W281">
        <f>IF($J281&gt;MAX('Match Log'!$A$4:$A$1510),NA(),IFERROR(LOOKUP(2,1/(('Match Log'!$D$4:$D$1510=$W$24)*('Match Log'!$A$4:$A$1510&lt;=$J281)),'Match Log'!$N$4:$N$1510),NA()))</f>
        <v>1023.2192605207141</v>
      </c>
      <c r="X281" t="e">
        <f>IF($J281&gt;MAX('Match Log'!$A$4:$A$1510),NA(),IFERROR(LOOKUP(2,1/(('Match Log'!$D$4:$D$1510=$X$24)*('Match Log'!$A$4:$A$1510&lt;=$J281)),'Match Log'!$N$4:$N$1510),NA()))</f>
        <v>#N/A</v>
      </c>
      <c r="Y281" t="str">
        <f t="shared" ref="Y281:Y344" ca="1" si="31">IF(AND($B281&lt;&gt;"",$B281&gt;=$B$5,$I281&lt;&gt;""),$I281,"")</f>
        <v/>
      </c>
    </row>
    <row r="282" spans="1:25" x14ac:dyDescent="0.2">
      <c r="A282">
        <v>258</v>
      </c>
      <c r="B282">
        <f>IFERROR(INDEX('Match Log'!$B$4:$B$1510,MATCH($A282,'Match Log'!$A$4:$A$1510,0)),"")</f>
        <v>46256</v>
      </c>
      <c r="C282" t="str">
        <f>IFERROR(INDEX('Match Log'!$C$4:$C$1510,MATCH($A282,'Match Log'!$A$4:$A$1510,0)),"")</f>
        <v>Darts</v>
      </c>
      <c r="D282" t="str">
        <f t="array" ref="D282">IFERROR(_xlfn.TEXTJOIN(" + ",TRUE(),IF(('Match Log'!$A$4:$A$1510=$A282)*('Match Log'!$E$4:$E$1510="Win"),'Match Log'!$D$4:$D$1510,"")),IFERROR(LOOKUP(2,1/(('Match Log'!$A$4:$A$1510=$A282)*('Match Log'!$E$4:$E$1510="Win")),'Match Log'!$D$4:$D$1510),""))</f>
        <v>Daniel (Ferret)</v>
      </c>
      <c r="E282">
        <f>IFERROR(INDEX('Match Log'!$F$4:$F$1510,MATCH($A282,'Match Log'!$A$4:$A$1510,0)),"")</f>
        <v>3</v>
      </c>
      <c r="F282">
        <f>IFERROR(SUMIFS('Match Log'!$I$4:$I$1510,'Match Log'!$A$4:$A$1510,$A282,'Match Log'!$E$4:$E$1510,"Win"),"")</f>
        <v>0.23076923076923075</v>
      </c>
      <c r="G282">
        <f t="shared" si="29"/>
        <v>0.30769230769230771</v>
      </c>
      <c r="H282" t="str">
        <f t="array" ref="H282">IFERROR(IF(COUNTIFS('Match Log'!$A$4:$A$1510,$A282,'Match Log'!$E$4:$E$1510,"Win")&gt;1,_xlfn.TEXTJOIN(" + ",TRUE(),IF(('Match Log'!$A$4:$A$1510=$A282)*('Match Log'!$E$4:$E$1510="Loss"),'Match Log'!$D$4:$D$1510,"")),IF($E282=2,LOOKUP(2,1/(('Match Log'!$A$4:$A$1510=$A282)*('Match Log'!$E$4:$E$1510="Loss")),'Match Log'!$D$4:$D$1510),"the field")),"")</f>
        <v>the field</v>
      </c>
      <c r="I282">
        <f t="shared" si="30"/>
        <v>0.30743430769230773</v>
      </c>
      <c r="J282">
        <v>258</v>
      </c>
      <c r="K282">
        <f>IF($J282&gt;MAX('Match Log'!$A$4:$A$1510),NA(),IFERROR(LOOKUP(2,1/(('Match Log'!$D$4:$D$1510=$K$24)*('Match Log'!$A$4:$A$1510&lt;=$J282)),'Match Log'!$N$4:$N$1510),NA()))</f>
        <v>1216.0096405756001</v>
      </c>
      <c r="L282">
        <f>IF($J282&gt;MAX('Match Log'!$A$4:$A$1510),NA(),IFERROR(LOOKUP(2,1/(('Match Log'!$D$4:$D$1510=$L$24)*('Match Log'!$A$4:$A$1510&lt;=$J282)),'Match Log'!$N$4:$N$1510),NA()))</f>
        <v>1029.5175965335138</v>
      </c>
      <c r="M282">
        <f>IF($J282&gt;MAX('Match Log'!$A$4:$A$1510),NA(),IFERROR(LOOKUP(2,1/(('Match Log'!$D$4:$D$1510=$M$24)*('Match Log'!$A$4:$A$1510&lt;=$J282)),'Match Log'!$N$4:$N$1510),NA()))</f>
        <v>1098.8851304702137</v>
      </c>
      <c r="N282">
        <f>IF($J282&gt;MAX('Match Log'!$A$4:$A$1510),NA(),IFERROR(LOOKUP(2,1/(('Match Log'!$D$4:$D$1510=$N$24)*('Match Log'!$A$4:$A$1510&lt;=$J282)),'Match Log'!$N$4:$N$1510),NA()))</f>
        <v>935.23568912688131</v>
      </c>
      <c r="O282">
        <f>IF($J282&gt;MAX('Match Log'!$A$4:$A$1510),NA(),IFERROR(LOOKUP(2,1/(('Match Log'!$D$4:$D$1510=$O$24)*('Match Log'!$A$4:$A$1510&lt;=$J282)),'Match Log'!$N$4:$N$1510),NA()))</f>
        <v>1155.9112046633588</v>
      </c>
      <c r="P282">
        <f>IF($J282&gt;MAX('Match Log'!$A$4:$A$1510),NA(),IFERROR(LOOKUP(2,1/(('Match Log'!$D$4:$D$1510=$P$24)*('Match Log'!$A$4:$A$1510&lt;=$J282)),'Match Log'!$N$4:$N$1510),NA()))</f>
        <v>1271.7992363440153</v>
      </c>
      <c r="Q282">
        <f>IF($J282&gt;MAX('Match Log'!$A$4:$A$1510),NA(),IFERROR(LOOKUP(2,1/(('Match Log'!$D$4:$D$1510=$Q$24)*('Match Log'!$A$4:$A$1510&lt;=$J282)),'Match Log'!$N$4:$N$1510),NA()))</f>
        <v>1000.0962683458113</v>
      </c>
      <c r="R282">
        <f>IF($J282&gt;MAX('Match Log'!$A$4:$A$1510),NA(),IFERROR(LOOKUP(2,1/(('Match Log'!$D$4:$D$1510=$R$24)*('Match Log'!$A$4:$A$1510&lt;=$J282)),'Match Log'!$N$4:$N$1510),NA()))</f>
        <v>1070.1930242736692</v>
      </c>
      <c r="S282">
        <f>IF($J282&gt;MAX('Match Log'!$A$4:$A$1510),NA(),IFERROR(LOOKUP(2,1/(('Match Log'!$D$4:$D$1510=$S$24)*('Match Log'!$A$4:$A$1510&lt;=$J282)),'Match Log'!$N$4:$N$1510),NA()))</f>
        <v>1220.7793957579906</v>
      </c>
      <c r="T282">
        <f>IF($J282&gt;MAX('Match Log'!$A$4:$A$1510),NA(),IFERROR(LOOKUP(2,1/(('Match Log'!$D$4:$D$1510=$T$24)*('Match Log'!$A$4:$A$1510&lt;=$J282)),'Match Log'!$N$4:$N$1510),NA()))</f>
        <v>862.22294373677494</v>
      </c>
      <c r="U282">
        <f>IF($J282&gt;MAX('Match Log'!$A$4:$A$1510),NA(),IFERROR(LOOKUP(2,1/(('Match Log'!$D$4:$D$1510=$U$24)*('Match Log'!$A$4:$A$1510&lt;=$J282)),'Match Log'!$N$4:$N$1510),NA()))</f>
        <v>1031.5817149449704</v>
      </c>
      <c r="V282">
        <f>IF($J282&gt;MAX('Match Log'!$A$4:$A$1510),NA(),IFERROR(LOOKUP(2,1/(('Match Log'!$D$4:$D$1510=$V$24)*('Match Log'!$A$4:$A$1510&lt;=$J282)),'Match Log'!$N$4:$N$1510),NA()))</f>
        <v>1087.5488947064855</v>
      </c>
      <c r="W282">
        <f>IF($J282&gt;MAX('Match Log'!$A$4:$A$1510),NA(),IFERROR(LOOKUP(2,1/(('Match Log'!$D$4:$D$1510=$W$24)*('Match Log'!$A$4:$A$1510&lt;=$J282)),'Match Log'!$N$4:$N$1510),NA()))</f>
        <v>1023.2192605207141</v>
      </c>
      <c r="X282" t="e">
        <f>IF($J282&gt;MAX('Match Log'!$A$4:$A$1510),NA(),IFERROR(LOOKUP(2,1/(('Match Log'!$D$4:$D$1510=$X$24)*('Match Log'!$A$4:$A$1510&lt;=$J282)),'Match Log'!$N$4:$N$1510),NA()))</f>
        <v>#N/A</v>
      </c>
      <c r="Y282" t="str">
        <f t="shared" ca="1" si="31"/>
        <v/>
      </c>
    </row>
    <row r="283" spans="1:25" x14ac:dyDescent="0.2">
      <c r="A283">
        <v>259</v>
      </c>
      <c r="B283">
        <f>IFERROR(INDEX('Match Log'!$B$4:$B$1510,MATCH($A283,'Match Log'!$A$4:$A$1510,0)),"")</f>
        <v>46256</v>
      </c>
      <c r="C283" t="str">
        <f>IFERROR(INDEX('Match Log'!$C$4:$C$1510,MATCH($A283,'Match Log'!$A$4:$A$1510,0)),"")</f>
        <v>Pool</v>
      </c>
      <c r="D283" t="str">
        <f t="array" ref="D283">IFERROR(_xlfn.TEXTJOIN(" + ",TRUE(),IF(('Match Log'!$A$4:$A$1510=$A283)*('Match Log'!$E$4:$E$1510="Win"),'Match Log'!$D$4:$D$1510,"")),IFERROR(LOOKUP(2,1/(('Match Log'!$A$4:$A$1510=$A283)*('Match Log'!$E$4:$E$1510="Win")),'Match Log'!$D$4:$D$1510),""))</f>
        <v>Dean B</v>
      </c>
      <c r="E283">
        <f>IFERROR(INDEX('Match Log'!$F$4:$F$1510,MATCH($A283,'Match Log'!$A$4:$A$1510,0)),"")</f>
        <v>2</v>
      </c>
      <c r="F283">
        <f>IFERROR(SUMIFS('Match Log'!$I$4:$I$1510,'Match Log'!$A$4:$A$1510,$A283,'Match Log'!$E$4:$E$1510,"Win"),"")</f>
        <v>0.52173913043478259</v>
      </c>
      <c r="G283">
        <f t="shared" si="29"/>
        <v>-4.3478260869565188E-2</v>
      </c>
      <c r="H283" t="str">
        <f t="array" ref="H283">IFERROR(IF(COUNTIFS('Match Log'!$A$4:$A$1510,$A283,'Match Log'!$E$4:$E$1510,"Win")&gt;1,_xlfn.TEXTJOIN(" + ",TRUE(),IF(('Match Log'!$A$4:$A$1510=$A283)*('Match Log'!$E$4:$E$1510="Loss"),'Match Log'!$D$4:$D$1510,"")),IF($E283=2,LOOKUP(2,1/(('Match Log'!$A$4:$A$1510=$A283)*('Match Log'!$E$4:$E$1510="Loss")),'Match Log'!$D$4:$D$1510),"the field")),"")</f>
        <v>David</v>
      </c>
      <c r="I283">
        <f t="shared" si="30"/>
        <v>-4.3737260869565191E-2</v>
      </c>
      <c r="J283">
        <v>259</v>
      </c>
      <c r="K283">
        <f>IF($J283&gt;MAX('Match Log'!$A$4:$A$1510),NA(),IFERROR(LOOKUP(2,1/(('Match Log'!$D$4:$D$1510=$K$24)*('Match Log'!$A$4:$A$1510&lt;=$J283)),'Match Log'!$N$4:$N$1510),NA()))</f>
        <v>1216.0096405756001</v>
      </c>
      <c r="L283">
        <f>IF($J283&gt;MAX('Match Log'!$A$4:$A$1510),NA(),IFERROR(LOOKUP(2,1/(('Match Log'!$D$4:$D$1510=$L$24)*('Match Log'!$A$4:$A$1510&lt;=$J283)),'Match Log'!$N$4:$N$1510),NA()))</f>
        <v>1029.5175965335138</v>
      </c>
      <c r="M283">
        <f>IF($J283&gt;MAX('Match Log'!$A$4:$A$1510),NA(),IFERROR(LOOKUP(2,1/(('Match Log'!$D$4:$D$1510=$M$24)*('Match Log'!$A$4:$A$1510&lt;=$J283)),'Match Log'!$N$4:$N$1510),NA()))</f>
        <v>1098.8851304702137</v>
      </c>
      <c r="N283">
        <f>IF($J283&gt;MAX('Match Log'!$A$4:$A$1510),NA(),IFERROR(LOOKUP(2,1/(('Match Log'!$D$4:$D$1510=$N$24)*('Match Log'!$A$4:$A$1510&lt;=$J283)),'Match Log'!$N$4:$N$1510),NA()))</f>
        <v>920.20175877229906</v>
      </c>
      <c r="O283">
        <f>IF($J283&gt;MAX('Match Log'!$A$4:$A$1510),NA(),IFERROR(LOOKUP(2,1/(('Match Log'!$D$4:$D$1510=$O$24)*('Match Log'!$A$4:$A$1510&lt;=$J283)),'Match Log'!$N$4:$N$1510),NA()))</f>
        <v>1155.9112046633588</v>
      </c>
      <c r="P283">
        <f>IF($J283&gt;MAX('Match Log'!$A$4:$A$1510),NA(),IFERROR(LOOKUP(2,1/(('Match Log'!$D$4:$D$1510=$P$24)*('Match Log'!$A$4:$A$1510&lt;=$J283)),'Match Log'!$N$4:$N$1510),NA()))</f>
        <v>1271.7992363440153</v>
      </c>
      <c r="Q283">
        <f>IF($J283&gt;MAX('Match Log'!$A$4:$A$1510),NA(),IFERROR(LOOKUP(2,1/(('Match Log'!$D$4:$D$1510=$Q$24)*('Match Log'!$A$4:$A$1510&lt;=$J283)),'Match Log'!$N$4:$N$1510),NA()))</f>
        <v>1000.0962683458113</v>
      </c>
      <c r="R283">
        <f>IF($J283&gt;MAX('Match Log'!$A$4:$A$1510),NA(),IFERROR(LOOKUP(2,1/(('Match Log'!$D$4:$D$1510=$R$24)*('Match Log'!$A$4:$A$1510&lt;=$J283)),'Match Log'!$N$4:$N$1510),NA()))</f>
        <v>1070.1930242736692</v>
      </c>
      <c r="S283">
        <f>IF($J283&gt;MAX('Match Log'!$A$4:$A$1510),NA(),IFERROR(LOOKUP(2,1/(('Match Log'!$D$4:$D$1510=$S$24)*('Match Log'!$A$4:$A$1510&lt;=$J283)),'Match Log'!$N$4:$N$1510),NA()))</f>
        <v>1235.8133261125729</v>
      </c>
      <c r="T283">
        <f>IF($J283&gt;MAX('Match Log'!$A$4:$A$1510),NA(),IFERROR(LOOKUP(2,1/(('Match Log'!$D$4:$D$1510=$T$24)*('Match Log'!$A$4:$A$1510&lt;=$J283)),'Match Log'!$N$4:$N$1510),NA()))</f>
        <v>862.22294373677494</v>
      </c>
      <c r="U283">
        <f>IF($J283&gt;MAX('Match Log'!$A$4:$A$1510),NA(),IFERROR(LOOKUP(2,1/(('Match Log'!$D$4:$D$1510=$U$24)*('Match Log'!$A$4:$A$1510&lt;=$J283)),'Match Log'!$N$4:$N$1510),NA()))</f>
        <v>1031.5817149449704</v>
      </c>
      <c r="V283">
        <f>IF($J283&gt;MAX('Match Log'!$A$4:$A$1510),NA(),IFERROR(LOOKUP(2,1/(('Match Log'!$D$4:$D$1510=$V$24)*('Match Log'!$A$4:$A$1510&lt;=$J283)),'Match Log'!$N$4:$N$1510),NA()))</f>
        <v>1087.5488947064855</v>
      </c>
      <c r="W283">
        <f>IF($J283&gt;MAX('Match Log'!$A$4:$A$1510),NA(),IFERROR(LOOKUP(2,1/(('Match Log'!$D$4:$D$1510=$W$24)*('Match Log'!$A$4:$A$1510&lt;=$J283)),'Match Log'!$N$4:$N$1510),NA()))</f>
        <v>1023.2192605207141</v>
      </c>
      <c r="X283" t="e">
        <f>IF($J283&gt;MAX('Match Log'!$A$4:$A$1510),NA(),IFERROR(LOOKUP(2,1/(('Match Log'!$D$4:$D$1510=$X$24)*('Match Log'!$A$4:$A$1510&lt;=$J283)),'Match Log'!$N$4:$N$1510),NA()))</f>
        <v>#N/A</v>
      </c>
      <c r="Y283" t="str">
        <f t="shared" ca="1" si="31"/>
        <v/>
      </c>
    </row>
    <row r="284" spans="1:25" x14ac:dyDescent="0.2">
      <c r="A284">
        <v>260</v>
      </c>
      <c r="B284">
        <f>IFERROR(INDEX('Match Log'!$B$4:$B$1510,MATCH($A284,'Match Log'!$A$4:$A$1510,0)),"")</f>
        <v>46256</v>
      </c>
      <c r="C284" t="str">
        <f>IFERROR(INDEX('Match Log'!$C$4:$C$1510,MATCH($A284,'Match Log'!$A$4:$A$1510,0)),"")</f>
        <v>Pool</v>
      </c>
      <c r="D284" t="str">
        <f t="array" ref="D284">IFERROR(_xlfn.TEXTJOIN(" + ",TRUE(),IF(('Match Log'!$A$4:$A$1510=$A284)*('Match Log'!$E$4:$E$1510="Win"),'Match Log'!$D$4:$D$1510,"")),IFERROR(LOOKUP(2,1/(('Match Log'!$A$4:$A$1510=$A284)*('Match Log'!$E$4:$E$1510="Win")),'Match Log'!$D$4:$D$1510),""))</f>
        <v>Dean B</v>
      </c>
      <c r="E284">
        <f>IFERROR(INDEX('Match Log'!$F$4:$F$1510,MATCH($A284,'Match Log'!$A$4:$A$1510,0)),"")</f>
        <v>2</v>
      </c>
      <c r="F284">
        <f>IFERROR(SUMIFS('Match Log'!$I$4:$I$1510,'Match Log'!$A$4:$A$1510,$A284,'Match Log'!$E$4:$E$1510,"Win"),"")</f>
        <v>0.63636363636363635</v>
      </c>
      <c r="G284">
        <f t="shared" si="29"/>
        <v>-0.27272727272727271</v>
      </c>
      <c r="H284" t="str">
        <f t="array" ref="H284">IFERROR(IF(COUNTIFS('Match Log'!$A$4:$A$1510,$A284,'Match Log'!$E$4:$E$1510,"Win")&gt;1,_xlfn.TEXTJOIN(" + ",TRUE(),IF(('Match Log'!$A$4:$A$1510=$A284)*('Match Log'!$E$4:$E$1510="Loss"),'Match Log'!$D$4:$D$1510,"")),IF($E284=2,LOOKUP(2,1/(('Match Log'!$A$4:$A$1510=$A284)*('Match Log'!$E$4:$E$1510="Loss")),'Match Log'!$D$4:$D$1510),"the field")),"")</f>
        <v>David</v>
      </c>
      <c r="I284">
        <f t="shared" si="30"/>
        <v>-0.27298727272727269</v>
      </c>
      <c r="J284">
        <v>260</v>
      </c>
      <c r="K284">
        <f>IF($J284&gt;MAX('Match Log'!$A$4:$A$1510),NA(),IFERROR(LOOKUP(2,1/(('Match Log'!$D$4:$D$1510=$K$24)*('Match Log'!$A$4:$A$1510&lt;=$J284)),'Match Log'!$N$4:$N$1510),NA()))</f>
        <v>1216.0096405756001</v>
      </c>
      <c r="L284">
        <f>IF($J284&gt;MAX('Match Log'!$A$4:$A$1510),NA(),IFERROR(LOOKUP(2,1/(('Match Log'!$D$4:$D$1510=$L$24)*('Match Log'!$A$4:$A$1510&lt;=$J284)),'Match Log'!$N$4:$N$1510),NA()))</f>
        <v>1029.5175965335138</v>
      </c>
      <c r="M284">
        <f>IF($J284&gt;MAX('Match Log'!$A$4:$A$1510),NA(),IFERROR(LOOKUP(2,1/(('Match Log'!$D$4:$D$1510=$M$24)*('Match Log'!$A$4:$A$1510&lt;=$J284)),'Match Log'!$N$4:$N$1510),NA()))</f>
        <v>1098.8851304702137</v>
      </c>
      <c r="N284">
        <f>IF($J284&gt;MAX('Match Log'!$A$4:$A$1510),NA(),IFERROR(LOOKUP(2,1/(('Match Log'!$D$4:$D$1510=$N$24)*('Match Log'!$A$4:$A$1510&lt;=$J284)),'Match Log'!$N$4:$N$1510),NA()))</f>
        <v>907.08627373761465</v>
      </c>
      <c r="O284">
        <f>IF($J284&gt;MAX('Match Log'!$A$4:$A$1510),NA(),IFERROR(LOOKUP(2,1/(('Match Log'!$D$4:$D$1510=$O$24)*('Match Log'!$A$4:$A$1510&lt;=$J284)),'Match Log'!$N$4:$N$1510),NA()))</f>
        <v>1155.9112046633588</v>
      </c>
      <c r="P284">
        <f>IF($J284&gt;MAX('Match Log'!$A$4:$A$1510),NA(),IFERROR(LOOKUP(2,1/(('Match Log'!$D$4:$D$1510=$P$24)*('Match Log'!$A$4:$A$1510&lt;=$J284)),'Match Log'!$N$4:$N$1510),NA()))</f>
        <v>1271.7992363440153</v>
      </c>
      <c r="Q284">
        <f>IF($J284&gt;MAX('Match Log'!$A$4:$A$1510),NA(),IFERROR(LOOKUP(2,1/(('Match Log'!$D$4:$D$1510=$Q$24)*('Match Log'!$A$4:$A$1510&lt;=$J284)),'Match Log'!$N$4:$N$1510),NA()))</f>
        <v>1000.0962683458113</v>
      </c>
      <c r="R284">
        <f>IF($J284&gt;MAX('Match Log'!$A$4:$A$1510),NA(),IFERROR(LOOKUP(2,1/(('Match Log'!$D$4:$D$1510=$R$24)*('Match Log'!$A$4:$A$1510&lt;=$J284)),'Match Log'!$N$4:$N$1510),NA()))</f>
        <v>1070.1930242736692</v>
      </c>
      <c r="S284">
        <f>IF($J284&gt;MAX('Match Log'!$A$4:$A$1510),NA(),IFERROR(LOOKUP(2,1/(('Match Log'!$D$4:$D$1510=$S$24)*('Match Log'!$A$4:$A$1510&lt;=$J284)),'Match Log'!$N$4:$N$1510),NA()))</f>
        <v>1248.9288111472574</v>
      </c>
      <c r="T284">
        <f>IF($J284&gt;MAX('Match Log'!$A$4:$A$1510),NA(),IFERROR(LOOKUP(2,1/(('Match Log'!$D$4:$D$1510=$T$24)*('Match Log'!$A$4:$A$1510&lt;=$J284)),'Match Log'!$N$4:$N$1510),NA()))</f>
        <v>862.22294373677494</v>
      </c>
      <c r="U284">
        <f>IF($J284&gt;MAX('Match Log'!$A$4:$A$1510),NA(),IFERROR(LOOKUP(2,1/(('Match Log'!$D$4:$D$1510=$U$24)*('Match Log'!$A$4:$A$1510&lt;=$J284)),'Match Log'!$N$4:$N$1510),NA()))</f>
        <v>1031.5817149449704</v>
      </c>
      <c r="V284">
        <f>IF($J284&gt;MAX('Match Log'!$A$4:$A$1510),NA(),IFERROR(LOOKUP(2,1/(('Match Log'!$D$4:$D$1510=$V$24)*('Match Log'!$A$4:$A$1510&lt;=$J284)),'Match Log'!$N$4:$N$1510),NA()))</f>
        <v>1087.5488947064855</v>
      </c>
      <c r="W284">
        <f>IF($J284&gt;MAX('Match Log'!$A$4:$A$1510),NA(),IFERROR(LOOKUP(2,1/(('Match Log'!$D$4:$D$1510=$W$24)*('Match Log'!$A$4:$A$1510&lt;=$J284)),'Match Log'!$N$4:$N$1510),NA()))</f>
        <v>1023.2192605207141</v>
      </c>
      <c r="X284" t="e">
        <f>IF($J284&gt;MAX('Match Log'!$A$4:$A$1510),NA(),IFERROR(LOOKUP(2,1/(('Match Log'!$D$4:$D$1510=$X$24)*('Match Log'!$A$4:$A$1510&lt;=$J284)),'Match Log'!$N$4:$N$1510),NA()))</f>
        <v>#N/A</v>
      </c>
      <c r="Y284" t="str">
        <f t="shared" ca="1" si="31"/>
        <v/>
      </c>
    </row>
    <row r="285" spans="1:25" x14ac:dyDescent="0.2">
      <c r="A285">
        <v>261</v>
      </c>
      <c r="B285">
        <f>IFERROR(INDEX('Match Log'!$B$4:$B$1510,MATCH($A285,'Match Log'!$A$4:$A$1510,0)),"")</f>
        <v>46256</v>
      </c>
      <c r="C285" t="str">
        <f>IFERROR(INDEX('Match Log'!$C$4:$C$1510,MATCH($A285,'Match Log'!$A$4:$A$1510,0)),"")</f>
        <v>Darts</v>
      </c>
      <c r="D285" t="str">
        <f t="array" ref="D285">IFERROR(_xlfn.TEXTJOIN(" + ",TRUE(),IF(('Match Log'!$A$4:$A$1510=$A285)*('Match Log'!$E$4:$E$1510="Win"),'Match Log'!$D$4:$D$1510,"")),IFERROR(LOOKUP(2,1/(('Match Log'!$A$4:$A$1510=$A285)*('Match Log'!$E$4:$E$1510="Win")),'Match Log'!$D$4:$D$1510),""))</f>
        <v>Aaron</v>
      </c>
      <c r="E285">
        <f>IFERROR(INDEX('Match Log'!$F$4:$F$1510,MATCH($A285,'Match Log'!$A$4:$A$1510,0)),"")</f>
        <v>5</v>
      </c>
      <c r="F285">
        <f>IFERROR(SUMIFS('Match Log'!$I$4:$I$1510,'Match Log'!$A$4:$A$1510,$A285,'Match Log'!$E$4:$E$1510,"Win"),"")</f>
        <v>0.23843930635838148</v>
      </c>
      <c r="G285">
        <f t="shared" si="29"/>
        <v>-0.19219653179190743</v>
      </c>
      <c r="H285" t="str">
        <f t="array" ref="H285">IFERROR(IF(COUNTIFS('Match Log'!$A$4:$A$1510,$A285,'Match Log'!$E$4:$E$1510,"Win")&gt;1,_xlfn.TEXTJOIN(" + ",TRUE(),IF(('Match Log'!$A$4:$A$1510=$A285)*('Match Log'!$E$4:$E$1510="Loss"),'Match Log'!$D$4:$D$1510,"")),IF($E285=2,LOOKUP(2,1/(('Match Log'!$A$4:$A$1510=$A285)*('Match Log'!$E$4:$E$1510="Loss")),'Match Log'!$D$4:$D$1510),"the field")),"")</f>
        <v>the field</v>
      </c>
      <c r="I285">
        <f t="shared" si="30"/>
        <v>-0.19245753179190744</v>
      </c>
      <c r="J285">
        <v>261</v>
      </c>
      <c r="K285">
        <f>IF($J285&gt;MAX('Match Log'!$A$4:$A$1510),NA(),IFERROR(LOOKUP(2,1/(('Match Log'!$D$4:$D$1510=$K$24)*('Match Log'!$A$4:$A$1510&lt;=$J285)),'Match Log'!$N$4:$N$1510),NA()))</f>
        <v>1242.713611121784</v>
      </c>
      <c r="L285">
        <f>IF($J285&gt;MAX('Match Log'!$A$4:$A$1510),NA(),IFERROR(LOOKUP(2,1/(('Match Log'!$D$4:$D$1510=$L$24)*('Match Log'!$A$4:$A$1510&lt;=$J285)),'Match Log'!$N$4:$N$1510),NA()))</f>
        <v>1029.5175965335138</v>
      </c>
      <c r="M285">
        <f>IF($J285&gt;MAX('Match Log'!$A$4:$A$1510),NA(),IFERROR(LOOKUP(2,1/(('Match Log'!$D$4:$D$1510=$M$24)*('Match Log'!$A$4:$A$1510&lt;=$J285)),'Match Log'!$N$4:$N$1510),NA()))</f>
        <v>1098.8851304702137</v>
      </c>
      <c r="N285">
        <f>IF($J285&gt;MAX('Match Log'!$A$4:$A$1510),NA(),IFERROR(LOOKUP(2,1/(('Match Log'!$D$4:$D$1510=$N$24)*('Match Log'!$A$4:$A$1510&lt;=$J285)),'Match Log'!$N$4:$N$1510),NA()))</f>
        <v>907.03133644117429</v>
      </c>
      <c r="O285">
        <f>IF($J285&gt;MAX('Match Log'!$A$4:$A$1510),NA(),IFERROR(LOOKUP(2,1/(('Match Log'!$D$4:$D$1510=$O$24)*('Match Log'!$A$4:$A$1510&lt;=$J285)),'Match Log'!$N$4:$N$1510),NA()))</f>
        <v>1155.9112046633588</v>
      </c>
      <c r="P285">
        <f>IF($J285&gt;MAX('Match Log'!$A$4:$A$1510),NA(),IFERROR(LOOKUP(2,1/(('Match Log'!$D$4:$D$1510=$P$24)*('Match Log'!$A$4:$A$1510&lt;=$J285)),'Match Log'!$N$4:$N$1510),NA()))</f>
        <v>1270.4696250433808</v>
      </c>
      <c r="Q285">
        <f>IF($J285&gt;MAX('Match Log'!$A$4:$A$1510),NA(),IFERROR(LOOKUP(2,1/(('Match Log'!$D$4:$D$1510=$Q$24)*('Match Log'!$A$4:$A$1510&lt;=$J285)),'Match Log'!$N$4:$N$1510),NA()))</f>
        <v>1000.0962683458113</v>
      </c>
      <c r="R285">
        <f>IF($J285&gt;MAX('Match Log'!$A$4:$A$1510),NA(),IFERROR(LOOKUP(2,1/(('Match Log'!$D$4:$D$1510=$R$24)*('Match Log'!$A$4:$A$1510&lt;=$J285)),'Match Log'!$N$4:$N$1510),NA()))</f>
        <v>1069.9115834559041</v>
      </c>
      <c r="S285">
        <f>IF($J285&gt;MAX('Match Log'!$A$4:$A$1510),NA(),IFERROR(LOOKUP(2,1/(('Match Log'!$D$4:$D$1510=$S$24)*('Match Log'!$A$4:$A$1510&lt;=$J285)),'Match Log'!$N$4:$N$1510),NA()))</f>
        <v>1248.9288111472574</v>
      </c>
      <c r="T285">
        <f>IF($J285&gt;MAX('Match Log'!$A$4:$A$1510),NA(),IFERROR(LOOKUP(2,1/(('Match Log'!$D$4:$D$1510=$T$24)*('Match Log'!$A$4:$A$1510&lt;=$J285)),'Match Log'!$N$4:$N$1510),NA()))</f>
        <v>862.22294373677494</v>
      </c>
      <c r="U285">
        <f>IF($J285&gt;MAX('Match Log'!$A$4:$A$1510),NA(),IFERROR(LOOKUP(2,1/(('Match Log'!$D$4:$D$1510=$U$24)*('Match Log'!$A$4:$A$1510&lt;=$J285)),'Match Log'!$N$4:$N$1510),NA()))</f>
        <v>1031.5437338136264</v>
      </c>
      <c r="V285">
        <f>IF($J285&gt;MAX('Match Log'!$A$4:$A$1510),NA(),IFERROR(LOOKUP(2,1/(('Match Log'!$D$4:$D$1510=$V$24)*('Match Log'!$A$4:$A$1510&lt;=$J285)),'Match Log'!$N$4:$N$1510),NA()))</f>
        <v>1087.5488947064855</v>
      </c>
      <c r="W285">
        <f>IF($J285&gt;MAX('Match Log'!$A$4:$A$1510),NA(),IFERROR(LOOKUP(2,1/(('Match Log'!$D$4:$D$1510=$W$24)*('Match Log'!$A$4:$A$1510&lt;=$J285)),'Match Log'!$N$4:$N$1510),NA()))</f>
        <v>1023.2192605207141</v>
      </c>
      <c r="X285" t="e">
        <f>IF($J285&gt;MAX('Match Log'!$A$4:$A$1510),NA(),IFERROR(LOOKUP(2,1/(('Match Log'!$D$4:$D$1510=$X$24)*('Match Log'!$A$4:$A$1510&lt;=$J285)),'Match Log'!$N$4:$N$1510),NA()))</f>
        <v>#N/A</v>
      </c>
      <c r="Y285" t="str">
        <f t="shared" ca="1" si="31"/>
        <v/>
      </c>
    </row>
    <row r="286" spans="1:25" x14ac:dyDescent="0.2">
      <c r="A286">
        <v>262</v>
      </c>
      <c r="B286">
        <f>IFERROR(INDEX('Match Log'!$B$4:$B$1510,MATCH($A286,'Match Log'!$A$4:$A$1510,0)),"")</f>
        <v>46256</v>
      </c>
      <c r="C286" t="str">
        <f>IFERROR(INDEX('Match Log'!$C$4:$C$1510,MATCH($A286,'Match Log'!$A$4:$A$1510,0)),"")</f>
        <v>Cards</v>
      </c>
      <c r="D286" t="str">
        <f t="array" ref="D286">IFERROR(_xlfn.TEXTJOIN(" + ",TRUE(),IF(('Match Log'!$A$4:$A$1510=$A286)*('Match Log'!$E$4:$E$1510="Win"),'Match Log'!$D$4:$D$1510,"")),IFERROR(LOOKUP(2,1/(('Match Log'!$A$4:$A$1510=$A286)*('Match Log'!$E$4:$E$1510="Win")),'Match Log'!$D$4:$D$1510),""))</f>
        <v>Aaron</v>
      </c>
      <c r="E286">
        <f>IFERROR(INDEX('Match Log'!$F$4:$F$1510,MATCH($A286,'Match Log'!$A$4:$A$1510,0)),"")</f>
        <v>3</v>
      </c>
      <c r="F286">
        <f>IFERROR(SUMIFS('Match Log'!$I$4:$I$1510,'Match Log'!$A$4:$A$1510,$A286,'Match Log'!$E$4:$E$1510,"Win"),"")</f>
        <v>0.35714285714285715</v>
      </c>
      <c r="G286">
        <f t="shared" si="29"/>
        <v>-7.1428571428571397E-2</v>
      </c>
      <c r="H286" t="str">
        <f t="array" ref="H286">IFERROR(IF(COUNTIFS('Match Log'!$A$4:$A$1510,$A286,'Match Log'!$E$4:$E$1510,"Win")&gt;1,_xlfn.TEXTJOIN(" + ",TRUE(),IF(('Match Log'!$A$4:$A$1510=$A286)*('Match Log'!$E$4:$E$1510="Loss"),'Match Log'!$D$4:$D$1510,"")),IF($E286=2,LOOKUP(2,1/(('Match Log'!$A$4:$A$1510=$A286)*('Match Log'!$E$4:$E$1510="Loss")),'Match Log'!$D$4:$D$1510),"the field")),"")</f>
        <v>the field</v>
      </c>
      <c r="I286">
        <f t="shared" si="30"/>
        <v>-7.1690571428571395E-2</v>
      </c>
      <c r="J286">
        <v>262</v>
      </c>
      <c r="K286">
        <f>IF($J286&gt;MAX('Match Log'!$A$4:$A$1510),NA(),IFERROR(LOOKUP(2,1/(('Match Log'!$D$4:$D$1510=$K$24)*('Match Log'!$A$4:$A$1510&lt;=$J286)),'Match Log'!$N$4:$N$1510),NA()))</f>
        <v>1265.5221853966827</v>
      </c>
      <c r="L286">
        <f>IF($J286&gt;MAX('Match Log'!$A$4:$A$1510),NA(),IFERROR(LOOKUP(2,1/(('Match Log'!$D$4:$D$1510=$L$24)*('Match Log'!$A$4:$A$1510&lt;=$J286)),'Match Log'!$N$4:$N$1510),NA()))</f>
        <v>1029.5175965335138</v>
      </c>
      <c r="M286">
        <f>IF($J286&gt;MAX('Match Log'!$A$4:$A$1510),NA(),IFERROR(LOOKUP(2,1/(('Match Log'!$D$4:$D$1510=$M$24)*('Match Log'!$A$4:$A$1510&lt;=$J286)),'Match Log'!$N$4:$N$1510),NA()))</f>
        <v>1098.8851304702137</v>
      </c>
      <c r="N286">
        <f>IF($J286&gt;MAX('Match Log'!$A$4:$A$1510),NA(),IFERROR(LOOKUP(2,1/(('Match Log'!$D$4:$D$1510=$N$24)*('Match Log'!$A$4:$A$1510&lt;=$J286)),'Match Log'!$N$4:$N$1510),NA()))</f>
        <v>907.03133644117429</v>
      </c>
      <c r="O286">
        <f>IF($J286&gt;MAX('Match Log'!$A$4:$A$1510),NA(),IFERROR(LOOKUP(2,1/(('Match Log'!$D$4:$D$1510=$O$24)*('Match Log'!$A$4:$A$1510&lt;=$J286)),'Match Log'!$N$4:$N$1510),NA()))</f>
        <v>1155.9112046633588</v>
      </c>
      <c r="P286">
        <f>IF($J286&gt;MAX('Match Log'!$A$4:$A$1510),NA(),IFERROR(LOOKUP(2,1/(('Match Log'!$D$4:$D$1510=$P$24)*('Match Log'!$A$4:$A$1510&lt;=$J286)),'Match Log'!$N$4:$N$1510),NA()))</f>
        <v>1260.546161075431</v>
      </c>
      <c r="Q286">
        <f>IF($J286&gt;MAX('Match Log'!$A$4:$A$1510),NA(),IFERROR(LOOKUP(2,1/(('Match Log'!$D$4:$D$1510=$Q$24)*('Match Log'!$A$4:$A$1510&lt;=$J286)),'Match Log'!$N$4:$N$1510),NA()))</f>
        <v>1000.0962683458113</v>
      </c>
      <c r="R286">
        <f>IF($J286&gt;MAX('Match Log'!$A$4:$A$1510),NA(),IFERROR(LOOKUP(2,1/(('Match Log'!$D$4:$D$1510=$R$24)*('Match Log'!$A$4:$A$1510&lt;=$J286)),'Match Log'!$N$4:$N$1510),NA()))</f>
        <v>1066.0264731489551</v>
      </c>
      <c r="S286">
        <f>IF($J286&gt;MAX('Match Log'!$A$4:$A$1510),NA(),IFERROR(LOOKUP(2,1/(('Match Log'!$D$4:$D$1510=$S$24)*('Match Log'!$A$4:$A$1510&lt;=$J286)),'Match Log'!$N$4:$N$1510),NA()))</f>
        <v>1248.9288111472574</v>
      </c>
      <c r="T286">
        <f>IF($J286&gt;MAX('Match Log'!$A$4:$A$1510),NA(),IFERROR(LOOKUP(2,1/(('Match Log'!$D$4:$D$1510=$T$24)*('Match Log'!$A$4:$A$1510&lt;=$J286)),'Match Log'!$N$4:$N$1510),NA()))</f>
        <v>862.22294373677494</v>
      </c>
      <c r="U286">
        <f>IF($J286&gt;MAX('Match Log'!$A$4:$A$1510),NA(),IFERROR(LOOKUP(2,1/(('Match Log'!$D$4:$D$1510=$U$24)*('Match Log'!$A$4:$A$1510&lt;=$J286)),'Match Log'!$N$4:$N$1510),NA()))</f>
        <v>1031.5437338136264</v>
      </c>
      <c r="V286">
        <f>IF($J286&gt;MAX('Match Log'!$A$4:$A$1510),NA(),IFERROR(LOOKUP(2,1/(('Match Log'!$D$4:$D$1510=$V$24)*('Match Log'!$A$4:$A$1510&lt;=$J286)),'Match Log'!$N$4:$N$1510),NA()))</f>
        <v>1087.5488947064855</v>
      </c>
      <c r="W286">
        <f>IF($J286&gt;MAX('Match Log'!$A$4:$A$1510),NA(),IFERROR(LOOKUP(2,1/(('Match Log'!$D$4:$D$1510=$W$24)*('Match Log'!$A$4:$A$1510&lt;=$J286)),'Match Log'!$N$4:$N$1510),NA()))</f>
        <v>1023.2192605207141</v>
      </c>
      <c r="X286" t="e">
        <f>IF($J286&gt;MAX('Match Log'!$A$4:$A$1510),NA(),IFERROR(LOOKUP(2,1/(('Match Log'!$D$4:$D$1510=$X$24)*('Match Log'!$A$4:$A$1510&lt;=$J286)),'Match Log'!$N$4:$N$1510),NA()))</f>
        <v>#N/A</v>
      </c>
      <c r="Y286" t="str">
        <f t="shared" ca="1" si="31"/>
        <v/>
      </c>
    </row>
    <row r="287" spans="1:25" x14ac:dyDescent="0.2">
      <c r="A287">
        <v>263</v>
      </c>
      <c r="B287">
        <f>IFERROR(INDEX('Match Log'!$B$4:$B$1510,MATCH($A287,'Match Log'!$A$4:$A$1510,0)),"")</f>
        <v>46256</v>
      </c>
      <c r="C287" t="str">
        <f>IFERROR(INDEX('Match Log'!$C$4:$C$1510,MATCH($A287,'Match Log'!$A$4:$A$1510,0)),"")</f>
        <v>Darts</v>
      </c>
      <c r="D287" t="str">
        <f t="array" ref="D287">IFERROR(_xlfn.TEXTJOIN(" + ",TRUE(),IF(('Match Log'!$A$4:$A$1510=$A287)*('Match Log'!$E$4:$E$1510="Win"),'Match Log'!$D$4:$D$1510,"")),IFERROR(LOOKUP(2,1/(('Match Log'!$A$4:$A$1510=$A287)*('Match Log'!$E$4:$E$1510="Win")),'Match Log'!$D$4:$D$1510),""))</f>
        <v>Oscar</v>
      </c>
      <c r="E287">
        <f>IFERROR(INDEX('Match Log'!$F$4:$F$1510,MATCH($A287,'Match Log'!$A$4:$A$1510,0)),"")</f>
        <v>2</v>
      </c>
      <c r="F287">
        <f>IFERROR(SUMIFS('Match Log'!$I$4:$I$1510,'Match Log'!$A$4:$A$1510,$A287,'Match Log'!$E$4:$E$1510,"Win"),"")</f>
        <v>0.40740740740740738</v>
      </c>
      <c r="G287">
        <f t="shared" si="29"/>
        <v>0.18518518518518523</v>
      </c>
      <c r="H287" t="str">
        <f t="array" ref="H287">IFERROR(IF(COUNTIFS('Match Log'!$A$4:$A$1510,$A287,'Match Log'!$E$4:$E$1510,"Win")&gt;1,_xlfn.TEXTJOIN(" + ",TRUE(),IF(('Match Log'!$A$4:$A$1510=$A287)*('Match Log'!$E$4:$E$1510="Loss"),'Match Log'!$D$4:$D$1510,"")),IF($E287=2,LOOKUP(2,1/(('Match Log'!$A$4:$A$1510=$A287)*('Match Log'!$E$4:$E$1510="Loss")),'Match Log'!$D$4:$D$1510),"the field")),"")</f>
        <v>Shawn</v>
      </c>
      <c r="I287">
        <f t="shared" si="30"/>
        <v>0.18492218518518522</v>
      </c>
      <c r="J287">
        <v>263</v>
      </c>
      <c r="K287">
        <f>IF($J287&gt;MAX('Match Log'!$A$4:$A$1510),NA(),IFERROR(LOOKUP(2,1/(('Match Log'!$D$4:$D$1510=$K$24)*('Match Log'!$A$4:$A$1510&lt;=$J287)),'Match Log'!$N$4:$N$1510),NA()))</f>
        <v>1265.5221853966827</v>
      </c>
      <c r="L287">
        <f>IF($J287&gt;MAX('Match Log'!$A$4:$A$1510),NA(),IFERROR(LOOKUP(2,1/(('Match Log'!$D$4:$D$1510=$L$24)*('Match Log'!$A$4:$A$1510&lt;=$J287)),'Match Log'!$N$4:$N$1510),NA()))</f>
        <v>1029.5175965335138</v>
      </c>
      <c r="M287">
        <f>IF($J287&gt;MAX('Match Log'!$A$4:$A$1510),NA(),IFERROR(LOOKUP(2,1/(('Match Log'!$D$4:$D$1510=$M$24)*('Match Log'!$A$4:$A$1510&lt;=$J287)),'Match Log'!$N$4:$N$1510),NA()))</f>
        <v>1098.8851304702137</v>
      </c>
      <c r="N287">
        <f>IF($J287&gt;MAX('Match Log'!$A$4:$A$1510),NA(),IFERROR(LOOKUP(2,1/(('Match Log'!$D$4:$D$1510=$N$24)*('Match Log'!$A$4:$A$1510&lt;=$J287)),'Match Log'!$N$4:$N$1510),NA()))</f>
        <v>907.03133644117429</v>
      </c>
      <c r="O287">
        <f>IF($J287&gt;MAX('Match Log'!$A$4:$A$1510),NA(),IFERROR(LOOKUP(2,1/(('Match Log'!$D$4:$D$1510=$O$24)*('Match Log'!$A$4:$A$1510&lt;=$J287)),'Match Log'!$N$4:$N$1510),NA()))</f>
        <v>1155.9112046633588</v>
      </c>
      <c r="P287">
        <f>IF($J287&gt;MAX('Match Log'!$A$4:$A$1510),NA(),IFERROR(LOOKUP(2,1/(('Match Log'!$D$4:$D$1510=$P$24)*('Match Log'!$A$4:$A$1510&lt;=$J287)),'Match Log'!$N$4:$N$1510),NA()))</f>
        <v>1234.1697494462214</v>
      </c>
      <c r="Q287">
        <f>IF($J287&gt;MAX('Match Log'!$A$4:$A$1510),NA(),IFERROR(LOOKUP(2,1/(('Match Log'!$D$4:$D$1510=$Q$24)*('Match Log'!$A$4:$A$1510&lt;=$J287)),'Match Log'!$N$4:$N$1510),NA()))</f>
        <v>1000.0962683458113</v>
      </c>
      <c r="R287">
        <f>IF($J287&gt;MAX('Match Log'!$A$4:$A$1510),NA(),IFERROR(LOOKUP(2,1/(('Match Log'!$D$4:$D$1510=$R$24)*('Match Log'!$A$4:$A$1510&lt;=$J287)),'Match Log'!$N$4:$N$1510),NA()))</f>
        <v>1066.0264731489551</v>
      </c>
      <c r="S287">
        <f>IF($J287&gt;MAX('Match Log'!$A$4:$A$1510),NA(),IFERROR(LOOKUP(2,1/(('Match Log'!$D$4:$D$1510=$S$24)*('Match Log'!$A$4:$A$1510&lt;=$J287)),'Match Log'!$N$4:$N$1510),NA()))</f>
        <v>1248.9288111472574</v>
      </c>
      <c r="T287">
        <f>IF($J287&gt;MAX('Match Log'!$A$4:$A$1510),NA(),IFERROR(LOOKUP(2,1/(('Match Log'!$D$4:$D$1510=$T$24)*('Match Log'!$A$4:$A$1510&lt;=$J287)),'Match Log'!$N$4:$N$1510),NA()))</f>
        <v>862.22294373677494</v>
      </c>
      <c r="U287">
        <f>IF($J287&gt;MAX('Match Log'!$A$4:$A$1510),NA(),IFERROR(LOOKUP(2,1/(('Match Log'!$D$4:$D$1510=$U$24)*('Match Log'!$A$4:$A$1510&lt;=$J287)),'Match Log'!$N$4:$N$1510),NA()))</f>
        <v>1057.920145442836</v>
      </c>
      <c r="V287">
        <f>IF($J287&gt;MAX('Match Log'!$A$4:$A$1510),NA(),IFERROR(LOOKUP(2,1/(('Match Log'!$D$4:$D$1510=$V$24)*('Match Log'!$A$4:$A$1510&lt;=$J287)),'Match Log'!$N$4:$N$1510),NA()))</f>
        <v>1087.5488947064855</v>
      </c>
      <c r="W287">
        <f>IF($J287&gt;MAX('Match Log'!$A$4:$A$1510),NA(),IFERROR(LOOKUP(2,1/(('Match Log'!$D$4:$D$1510=$W$24)*('Match Log'!$A$4:$A$1510&lt;=$J287)),'Match Log'!$N$4:$N$1510),NA()))</f>
        <v>1023.2192605207141</v>
      </c>
      <c r="X287" t="e">
        <f>IF($J287&gt;MAX('Match Log'!$A$4:$A$1510),NA(),IFERROR(LOOKUP(2,1/(('Match Log'!$D$4:$D$1510=$X$24)*('Match Log'!$A$4:$A$1510&lt;=$J287)),'Match Log'!$N$4:$N$1510),NA()))</f>
        <v>#N/A</v>
      </c>
      <c r="Y287" t="str">
        <f t="shared" ca="1" si="31"/>
        <v/>
      </c>
    </row>
    <row r="288" spans="1:25" x14ac:dyDescent="0.2">
      <c r="A288">
        <v>264</v>
      </c>
      <c r="B288">
        <f>IFERROR(INDEX('Match Log'!$B$4:$B$1510,MATCH($A288,'Match Log'!$A$4:$A$1510,0)),"")</f>
        <v>46257</v>
      </c>
      <c r="C288" t="str">
        <f>IFERROR(INDEX('Match Log'!$C$4:$C$1510,MATCH($A288,'Match Log'!$A$4:$A$1510,0)),"")</f>
        <v>FIFA</v>
      </c>
      <c r="D288" t="str">
        <f t="array" ref="D288">IFERROR(_xlfn.TEXTJOIN(" + ",TRUE(),IF(('Match Log'!$A$4:$A$1510=$A288)*('Match Log'!$E$4:$E$1510="Win"),'Match Log'!$D$4:$D$1510,"")),IFERROR(LOOKUP(2,1/(('Match Log'!$A$4:$A$1510=$A288)*('Match Log'!$E$4:$E$1510="Win")),'Match Log'!$D$4:$D$1510),""))</f>
        <v>Shawn</v>
      </c>
      <c r="E288">
        <f>IFERROR(INDEX('Match Log'!$F$4:$F$1510,MATCH($A288,'Match Log'!$A$4:$A$1510,0)),"")</f>
        <v>2</v>
      </c>
      <c r="F288">
        <f>IFERROR(SUMIFS('Match Log'!$I$4:$I$1510,'Match Log'!$A$4:$A$1510,$A288,'Match Log'!$E$4:$E$1510,"Win"),"")</f>
        <v>0.4850746268656716</v>
      </c>
      <c r="G288">
        <f t="shared" si="29"/>
        <v>2.9850746268656803E-2</v>
      </c>
      <c r="H288" t="str">
        <f t="array" ref="H288">IFERROR(IF(COUNTIFS('Match Log'!$A$4:$A$1510,$A288,'Match Log'!$E$4:$E$1510,"Win")&gt;1,_xlfn.TEXTJOIN(" + ",TRUE(),IF(('Match Log'!$A$4:$A$1510=$A288)*('Match Log'!$E$4:$E$1510="Loss"),'Match Log'!$D$4:$D$1510,"")),IF($E288=2,LOOKUP(2,1/(('Match Log'!$A$4:$A$1510=$A288)*('Match Log'!$E$4:$E$1510="Loss")),'Match Log'!$D$4:$D$1510),"the field")),"")</f>
        <v>Daniel (Ferret)</v>
      </c>
      <c r="I288">
        <f t="shared" si="30"/>
        <v>2.9586746268656802E-2</v>
      </c>
      <c r="J288">
        <v>264</v>
      </c>
      <c r="K288">
        <f>IF($J288&gt;MAX('Match Log'!$A$4:$A$1510),NA(),IFERROR(LOOKUP(2,1/(('Match Log'!$D$4:$D$1510=$K$24)*('Match Log'!$A$4:$A$1510&lt;=$J288)),'Match Log'!$N$4:$N$1510),NA()))</f>
        <v>1265.5221853966827</v>
      </c>
      <c r="L288">
        <f>IF($J288&gt;MAX('Match Log'!$A$4:$A$1510),NA(),IFERROR(LOOKUP(2,1/(('Match Log'!$D$4:$D$1510=$L$24)*('Match Log'!$A$4:$A$1510&lt;=$J288)),'Match Log'!$N$4:$N$1510),NA()))</f>
        <v>1029.5175965335138</v>
      </c>
      <c r="M288">
        <f>IF($J288&gt;MAX('Match Log'!$A$4:$A$1510),NA(),IFERROR(LOOKUP(2,1/(('Match Log'!$D$4:$D$1510=$M$24)*('Match Log'!$A$4:$A$1510&lt;=$J288)),'Match Log'!$N$4:$N$1510),NA()))</f>
        <v>1098.8851304702137</v>
      </c>
      <c r="N288">
        <f>IF($J288&gt;MAX('Match Log'!$A$4:$A$1510),NA(),IFERROR(LOOKUP(2,1/(('Match Log'!$D$4:$D$1510=$N$24)*('Match Log'!$A$4:$A$1510&lt;=$J288)),'Match Log'!$N$4:$N$1510),NA()))</f>
        <v>907.03133644117429</v>
      </c>
      <c r="O288">
        <f>IF($J288&gt;MAX('Match Log'!$A$4:$A$1510),NA(),IFERROR(LOOKUP(2,1/(('Match Log'!$D$4:$D$1510=$O$24)*('Match Log'!$A$4:$A$1510&lt;=$J288)),'Match Log'!$N$4:$N$1510),NA()))</f>
        <v>1155.9112046633588</v>
      </c>
      <c r="P288">
        <f>IF($J288&gt;MAX('Match Log'!$A$4:$A$1510),NA(),IFERROR(LOOKUP(2,1/(('Match Log'!$D$4:$D$1510=$P$24)*('Match Log'!$A$4:$A$1510&lt;=$J288)),'Match Log'!$N$4:$N$1510),NA()))</f>
        <v>1256.7969133550798</v>
      </c>
      <c r="Q288">
        <f>IF($J288&gt;MAX('Match Log'!$A$4:$A$1510),NA(),IFERROR(LOOKUP(2,1/(('Match Log'!$D$4:$D$1510=$Q$24)*('Match Log'!$A$4:$A$1510&lt;=$J288)),'Match Log'!$N$4:$N$1510),NA()))</f>
        <v>1000.0962683458113</v>
      </c>
      <c r="R288">
        <f>IF($J288&gt;MAX('Match Log'!$A$4:$A$1510),NA(),IFERROR(LOOKUP(2,1/(('Match Log'!$D$4:$D$1510=$R$24)*('Match Log'!$A$4:$A$1510&lt;=$J288)),'Match Log'!$N$4:$N$1510),NA()))</f>
        <v>1043.3993092400967</v>
      </c>
      <c r="S288">
        <f>IF($J288&gt;MAX('Match Log'!$A$4:$A$1510),NA(),IFERROR(LOOKUP(2,1/(('Match Log'!$D$4:$D$1510=$S$24)*('Match Log'!$A$4:$A$1510&lt;=$J288)),'Match Log'!$N$4:$N$1510),NA()))</f>
        <v>1248.9288111472574</v>
      </c>
      <c r="T288">
        <f>IF($J288&gt;MAX('Match Log'!$A$4:$A$1510),NA(),IFERROR(LOOKUP(2,1/(('Match Log'!$D$4:$D$1510=$T$24)*('Match Log'!$A$4:$A$1510&lt;=$J288)),'Match Log'!$N$4:$N$1510),NA()))</f>
        <v>862.22294373677494</v>
      </c>
      <c r="U288">
        <f>IF($J288&gt;MAX('Match Log'!$A$4:$A$1510),NA(),IFERROR(LOOKUP(2,1/(('Match Log'!$D$4:$D$1510=$U$24)*('Match Log'!$A$4:$A$1510&lt;=$J288)),'Match Log'!$N$4:$N$1510),NA()))</f>
        <v>1057.920145442836</v>
      </c>
      <c r="V288">
        <f>IF($J288&gt;MAX('Match Log'!$A$4:$A$1510),NA(),IFERROR(LOOKUP(2,1/(('Match Log'!$D$4:$D$1510=$V$24)*('Match Log'!$A$4:$A$1510&lt;=$J288)),'Match Log'!$N$4:$N$1510),NA()))</f>
        <v>1087.5488947064855</v>
      </c>
      <c r="W288">
        <f>IF($J288&gt;MAX('Match Log'!$A$4:$A$1510),NA(),IFERROR(LOOKUP(2,1/(('Match Log'!$D$4:$D$1510=$W$24)*('Match Log'!$A$4:$A$1510&lt;=$J288)),'Match Log'!$N$4:$N$1510),NA()))</f>
        <v>1023.2192605207141</v>
      </c>
      <c r="X288" t="e">
        <f>IF($J288&gt;MAX('Match Log'!$A$4:$A$1510),NA(),IFERROR(LOOKUP(2,1/(('Match Log'!$D$4:$D$1510=$X$24)*('Match Log'!$A$4:$A$1510&lt;=$J288)),'Match Log'!$N$4:$N$1510),NA()))</f>
        <v>#N/A</v>
      </c>
      <c r="Y288" t="str">
        <f t="shared" ca="1" si="31"/>
        <v/>
      </c>
    </row>
    <row r="289" spans="1:25" x14ac:dyDescent="0.2">
      <c r="A289">
        <v>265</v>
      </c>
      <c r="B289">
        <f>IFERROR(INDEX('Match Log'!$B$4:$B$1510,MATCH($A289,'Match Log'!$A$4:$A$1510,0)),"")</f>
        <v>46257</v>
      </c>
      <c r="C289" t="str">
        <f>IFERROR(INDEX('Match Log'!$C$4:$C$1510,MATCH($A289,'Match Log'!$A$4:$A$1510,0)),"")</f>
        <v>FIFA</v>
      </c>
      <c r="D289" t="str">
        <f t="array" ref="D289">IFERROR(_xlfn.TEXTJOIN(" + ",TRUE(),IF(('Match Log'!$A$4:$A$1510=$A289)*('Match Log'!$E$4:$E$1510="Win"),'Match Log'!$D$4:$D$1510,"")),IFERROR(LOOKUP(2,1/(('Match Log'!$A$4:$A$1510=$A289)*('Match Log'!$E$4:$E$1510="Win")),'Match Log'!$D$4:$D$1510),""))</f>
        <v>Daniel (Ferret)</v>
      </c>
      <c r="E289">
        <f>IFERROR(INDEX('Match Log'!$F$4:$F$1510,MATCH($A289,'Match Log'!$A$4:$A$1510,0)),"")</f>
        <v>2</v>
      </c>
      <c r="F289">
        <f>IFERROR(SUMIFS('Match Log'!$I$4:$I$1510,'Match Log'!$A$4:$A$1510,$A289,'Match Log'!$E$4:$E$1510,"Win"),"")</f>
        <v>0.5625</v>
      </c>
      <c r="G289">
        <f t="shared" si="29"/>
        <v>-0.125</v>
      </c>
      <c r="H289" t="str">
        <f t="array" ref="H289">IFERROR(IF(COUNTIFS('Match Log'!$A$4:$A$1510,$A289,'Match Log'!$E$4:$E$1510,"Win")&gt;1,_xlfn.TEXTJOIN(" + ",TRUE(),IF(('Match Log'!$A$4:$A$1510=$A289)*('Match Log'!$E$4:$E$1510="Loss"),'Match Log'!$D$4:$D$1510,"")),IF($E289=2,LOOKUP(2,1/(('Match Log'!$A$4:$A$1510=$A289)*('Match Log'!$E$4:$E$1510="Loss")),'Match Log'!$D$4:$D$1510),"the field")),"")</f>
        <v>Oscar</v>
      </c>
      <c r="I289">
        <f t="shared" si="30"/>
        <v>-0.12526499999999999</v>
      </c>
      <c r="J289">
        <v>265</v>
      </c>
      <c r="K289">
        <f>IF($J289&gt;MAX('Match Log'!$A$4:$A$1510),NA(),IFERROR(LOOKUP(2,1/(('Match Log'!$D$4:$D$1510=$K$24)*('Match Log'!$A$4:$A$1510&lt;=$J289)),'Match Log'!$N$4:$N$1510),NA()))</f>
        <v>1265.5221853966827</v>
      </c>
      <c r="L289">
        <f>IF($J289&gt;MAX('Match Log'!$A$4:$A$1510),NA(),IFERROR(LOOKUP(2,1/(('Match Log'!$D$4:$D$1510=$L$24)*('Match Log'!$A$4:$A$1510&lt;=$J289)),'Match Log'!$N$4:$N$1510),NA()))</f>
        <v>1029.5175965335138</v>
      </c>
      <c r="M289">
        <f>IF($J289&gt;MAX('Match Log'!$A$4:$A$1510),NA(),IFERROR(LOOKUP(2,1/(('Match Log'!$D$4:$D$1510=$M$24)*('Match Log'!$A$4:$A$1510&lt;=$J289)),'Match Log'!$N$4:$N$1510),NA()))</f>
        <v>1098.8851304702137</v>
      </c>
      <c r="N289">
        <f>IF($J289&gt;MAX('Match Log'!$A$4:$A$1510),NA(),IFERROR(LOOKUP(2,1/(('Match Log'!$D$4:$D$1510=$N$24)*('Match Log'!$A$4:$A$1510&lt;=$J289)),'Match Log'!$N$4:$N$1510),NA()))</f>
        <v>907.03133644117429</v>
      </c>
      <c r="O289">
        <f>IF($J289&gt;MAX('Match Log'!$A$4:$A$1510),NA(),IFERROR(LOOKUP(2,1/(('Match Log'!$D$4:$D$1510=$O$24)*('Match Log'!$A$4:$A$1510&lt;=$J289)),'Match Log'!$N$4:$N$1510),NA()))</f>
        <v>1155.9112046633588</v>
      </c>
      <c r="P289">
        <f>IF($J289&gt;MAX('Match Log'!$A$4:$A$1510),NA(),IFERROR(LOOKUP(2,1/(('Match Log'!$D$4:$D$1510=$P$24)*('Match Log'!$A$4:$A$1510&lt;=$J289)),'Match Log'!$N$4:$N$1510),NA()))</f>
        <v>1256.7969133550798</v>
      </c>
      <c r="Q289">
        <f>IF($J289&gt;MAX('Match Log'!$A$4:$A$1510),NA(),IFERROR(LOOKUP(2,1/(('Match Log'!$D$4:$D$1510=$Q$24)*('Match Log'!$A$4:$A$1510&lt;=$J289)),'Match Log'!$N$4:$N$1510),NA()))</f>
        <v>1000.0962683458113</v>
      </c>
      <c r="R289">
        <f>IF($J289&gt;MAX('Match Log'!$A$4:$A$1510),NA(),IFERROR(LOOKUP(2,1/(('Match Log'!$D$4:$D$1510=$R$24)*('Match Log'!$A$4:$A$1510&lt;=$J289)),'Match Log'!$N$4:$N$1510),NA()))</f>
        <v>1065.4866381556922</v>
      </c>
      <c r="S289">
        <f>IF($J289&gt;MAX('Match Log'!$A$4:$A$1510),NA(),IFERROR(LOOKUP(2,1/(('Match Log'!$D$4:$D$1510=$S$24)*('Match Log'!$A$4:$A$1510&lt;=$J289)),'Match Log'!$N$4:$N$1510),NA()))</f>
        <v>1248.9288111472574</v>
      </c>
      <c r="T289">
        <f>IF($J289&gt;MAX('Match Log'!$A$4:$A$1510),NA(),IFERROR(LOOKUP(2,1/(('Match Log'!$D$4:$D$1510=$T$24)*('Match Log'!$A$4:$A$1510&lt;=$J289)),'Match Log'!$N$4:$N$1510),NA()))</f>
        <v>862.22294373677494</v>
      </c>
      <c r="U289">
        <f>IF($J289&gt;MAX('Match Log'!$A$4:$A$1510),NA(),IFERROR(LOOKUP(2,1/(('Match Log'!$D$4:$D$1510=$U$24)*('Match Log'!$A$4:$A$1510&lt;=$J289)),'Match Log'!$N$4:$N$1510),NA()))</f>
        <v>1035.8328165272405</v>
      </c>
      <c r="V289">
        <f>IF($J289&gt;MAX('Match Log'!$A$4:$A$1510),NA(),IFERROR(LOOKUP(2,1/(('Match Log'!$D$4:$D$1510=$V$24)*('Match Log'!$A$4:$A$1510&lt;=$J289)),'Match Log'!$N$4:$N$1510),NA()))</f>
        <v>1087.5488947064855</v>
      </c>
      <c r="W289">
        <f>IF($J289&gt;MAX('Match Log'!$A$4:$A$1510),NA(),IFERROR(LOOKUP(2,1/(('Match Log'!$D$4:$D$1510=$W$24)*('Match Log'!$A$4:$A$1510&lt;=$J289)),'Match Log'!$N$4:$N$1510),NA()))</f>
        <v>1023.2192605207141</v>
      </c>
      <c r="X289" t="e">
        <f>IF($J289&gt;MAX('Match Log'!$A$4:$A$1510),NA(),IFERROR(LOOKUP(2,1/(('Match Log'!$D$4:$D$1510=$X$24)*('Match Log'!$A$4:$A$1510&lt;=$J289)),'Match Log'!$N$4:$N$1510),NA()))</f>
        <v>#N/A</v>
      </c>
      <c r="Y289" t="str">
        <f t="shared" ca="1" si="31"/>
        <v/>
      </c>
    </row>
    <row r="290" spans="1:25" x14ac:dyDescent="0.2">
      <c r="A290">
        <v>266</v>
      </c>
      <c r="B290">
        <f>IFERROR(INDEX('Match Log'!$B$4:$B$1510,MATCH($A290,'Match Log'!$A$4:$A$1510,0)),"")</f>
        <v>46257</v>
      </c>
      <c r="C290" t="str">
        <f>IFERROR(INDEX('Match Log'!$C$4:$C$1510,MATCH($A290,'Match Log'!$A$4:$A$1510,0)),"")</f>
        <v>FIFA</v>
      </c>
      <c r="D290" t="str">
        <f t="array" ref="D290">IFERROR(_xlfn.TEXTJOIN(" + ",TRUE(),IF(('Match Log'!$A$4:$A$1510=$A290)*('Match Log'!$E$4:$E$1510="Win"),'Match Log'!$D$4:$D$1510,"")),IFERROR(LOOKUP(2,1/(('Match Log'!$A$4:$A$1510=$A290)*('Match Log'!$E$4:$E$1510="Win")),'Match Log'!$D$4:$D$1510),""))</f>
        <v>Oscar</v>
      </c>
      <c r="E290">
        <f>IFERROR(INDEX('Match Log'!$F$4:$F$1510,MATCH($A290,'Match Log'!$A$4:$A$1510,0)),"")</f>
        <v>2</v>
      </c>
      <c r="F290">
        <f>IFERROR(SUMIFS('Match Log'!$I$4:$I$1510,'Match Log'!$A$4:$A$1510,$A290,'Match Log'!$E$4:$E$1510,"Win"),"")</f>
        <v>0.37974683544303794</v>
      </c>
      <c r="G290">
        <f t="shared" si="29"/>
        <v>0.24050632911392411</v>
      </c>
      <c r="H290" t="str">
        <f t="array" ref="H290">IFERROR(IF(COUNTIFS('Match Log'!$A$4:$A$1510,$A290,'Match Log'!$E$4:$E$1510,"Win")&gt;1,_xlfn.TEXTJOIN(" + ",TRUE(),IF(('Match Log'!$A$4:$A$1510=$A290)*('Match Log'!$E$4:$E$1510="Loss"),'Match Log'!$D$4:$D$1510,"")),IF($E290=2,LOOKUP(2,1/(('Match Log'!$A$4:$A$1510=$A290)*('Match Log'!$E$4:$E$1510="Loss")),'Match Log'!$D$4:$D$1510),"the field")),"")</f>
        <v>Daniel (Ferret)</v>
      </c>
      <c r="I290">
        <f t="shared" si="30"/>
        <v>0.24024032911392412</v>
      </c>
      <c r="J290">
        <v>266</v>
      </c>
      <c r="K290">
        <f>IF($J290&gt;MAX('Match Log'!$A$4:$A$1510),NA(),IFERROR(LOOKUP(2,1/(('Match Log'!$D$4:$D$1510=$K$24)*('Match Log'!$A$4:$A$1510&lt;=$J290)),'Match Log'!$N$4:$N$1510),NA()))</f>
        <v>1265.5221853966827</v>
      </c>
      <c r="L290">
        <f>IF($J290&gt;MAX('Match Log'!$A$4:$A$1510),NA(),IFERROR(LOOKUP(2,1/(('Match Log'!$D$4:$D$1510=$L$24)*('Match Log'!$A$4:$A$1510&lt;=$J290)),'Match Log'!$N$4:$N$1510),NA()))</f>
        <v>1029.5175965335138</v>
      </c>
      <c r="M290">
        <f>IF($J290&gt;MAX('Match Log'!$A$4:$A$1510),NA(),IFERROR(LOOKUP(2,1/(('Match Log'!$D$4:$D$1510=$M$24)*('Match Log'!$A$4:$A$1510&lt;=$J290)),'Match Log'!$N$4:$N$1510),NA()))</f>
        <v>1098.8851304702137</v>
      </c>
      <c r="N290">
        <f>IF($J290&gt;MAX('Match Log'!$A$4:$A$1510),NA(),IFERROR(LOOKUP(2,1/(('Match Log'!$D$4:$D$1510=$N$24)*('Match Log'!$A$4:$A$1510&lt;=$J290)),'Match Log'!$N$4:$N$1510),NA()))</f>
        <v>907.03133644117429</v>
      </c>
      <c r="O290">
        <f>IF($J290&gt;MAX('Match Log'!$A$4:$A$1510),NA(),IFERROR(LOOKUP(2,1/(('Match Log'!$D$4:$D$1510=$O$24)*('Match Log'!$A$4:$A$1510&lt;=$J290)),'Match Log'!$N$4:$N$1510),NA()))</f>
        <v>1155.9112046633588</v>
      </c>
      <c r="P290">
        <f>IF($J290&gt;MAX('Match Log'!$A$4:$A$1510),NA(),IFERROR(LOOKUP(2,1/(('Match Log'!$D$4:$D$1510=$P$24)*('Match Log'!$A$4:$A$1510&lt;=$J290)),'Match Log'!$N$4:$N$1510),NA()))</f>
        <v>1256.7969133550798</v>
      </c>
      <c r="Q290">
        <f>IF($J290&gt;MAX('Match Log'!$A$4:$A$1510),NA(),IFERROR(LOOKUP(2,1/(('Match Log'!$D$4:$D$1510=$Q$24)*('Match Log'!$A$4:$A$1510&lt;=$J290)),'Match Log'!$N$4:$N$1510),NA()))</f>
        <v>1000.0962683458113</v>
      </c>
      <c r="R290">
        <f>IF($J290&gt;MAX('Match Log'!$A$4:$A$1510),NA(),IFERROR(LOOKUP(2,1/(('Match Log'!$D$4:$D$1510=$R$24)*('Match Log'!$A$4:$A$1510&lt;=$J290)),'Match Log'!$N$4:$N$1510),NA()))</f>
        <v>1041.0468763978297</v>
      </c>
      <c r="S290">
        <f>IF($J290&gt;MAX('Match Log'!$A$4:$A$1510),NA(),IFERROR(LOOKUP(2,1/(('Match Log'!$D$4:$D$1510=$S$24)*('Match Log'!$A$4:$A$1510&lt;=$J290)),'Match Log'!$N$4:$N$1510),NA()))</f>
        <v>1248.9288111472574</v>
      </c>
      <c r="T290">
        <f>IF($J290&gt;MAX('Match Log'!$A$4:$A$1510),NA(),IFERROR(LOOKUP(2,1/(('Match Log'!$D$4:$D$1510=$T$24)*('Match Log'!$A$4:$A$1510&lt;=$J290)),'Match Log'!$N$4:$N$1510),NA()))</f>
        <v>862.22294373677494</v>
      </c>
      <c r="U290">
        <f>IF($J290&gt;MAX('Match Log'!$A$4:$A$1510),NA(),IFERROR(LOOKUP(2,1/(('Match Log'!$D$4:$D$1510=$U$24)*('Match Log'!$A$4:$A$1510&lt;=$J290)),'Match Log'!$N$4:$N$1510),NA()))</f>
        <v>1060.272578285103</v>
      </c>
      <c r="V290">
        <f>IF($J290&gt;MAX('Match Log'!$A$4:$A$1510),NA(),IFERROR(LOOKUP(2,1/(('Match Log'!$D$4:$D$1510=$V$24)*('Match Log'!$A$4:$A$1510&lt;=$J290)),'Match Log'!$N$4:$N$1510),NA()))</f>
        <v>1087.5488947064855</v>
      </c>
      <c r="W290">
        <f>IF($J290&gt;MAX('Match Log'!$A$4:$A$1510),NA(),IFERROR(LOOKUP(2,1/(('Match Log'!$D$4:$D$1510=$W$24)*('Match Log'!$A$4:$A$1510&lt;=$J290)),'Match Log'!$N$4:$N$1510),NA()))</f>
        <v>1023.2192605207141</v>
      </c>
      <c r="X290" t="e">
        <f>IF($J290&gt;MAX('Match Log'!$A$4:$A$1510),NA(),IFERROR(LOOKUP(2,1/(('Match Log'!$D$4:$D$1510=$X$24)*('Match Log'!$A$4:$A$1510&lt;=$J290)),'Match Log'!$N$4:$N$1510),NA()))</f>
        <v>#N/A</v>
      </c>
      <c r="Y290" t="str">
        <f t="shared" ca="1" si="31"/>
        <v/>
      </c>
    </row>
    <row r="291" spans="1:25" x14ac:dyDescent="0.2">
      <c r="A291">
        <v>267</v>
      </c>
      <c r="B291">
        <f>IFERROR(INDEX('Match Log'!$B$4:$B$1510,MATCH($A291,'Match Log'!$A$4:$A$1510,0)),"")</f>
        <v>46257</v>
      </c>
      <c r="C291" t="str">
        <f>IFERROR(INDEX('Match Log'!$C$4:$C$1510,MATCH($A291,'Match Log'!$A$4:$A$1510,0)),"")</f>
        <v>Table Tennis</v>
      </c>
      <c r="D291" t="str">
        <f t="array" ref="D291">IFERROR(_xlfn.TEXTJOIN(" + ",TRUE(),IF(('Match Log'!$A$4:$A$1510=$A291)*('Match Log'!$E$4:$E$1510="Win"),'Match Log'!$D$4:$D$1510,"")),IFERROR(LOOKUP(2,1/(('Match Log'!$A$4:$A$1510=$A291)*('Match Log'!$E$4:$E$1510="Win")),'Match Log'!$D$4:$D$1510),""))</f>
        <v>Simon</v>
      </c>
      <c r="E291">
        <f>IFERROR(INDEX('Match Log'!$F$4:$F$1510,MATCH($A291,'Match Log'!$A$4:$A$1510,0)),"")</f>
        <v>2</v>
      </c>
      <c r="F291">
        <f>IFERROR(SUMIFS('Match Log'!$I$4:$I$1510,'Match Log'!$A$4:$A$1510,$A291,'Match Log'!$E$4:$E$1510,"Win"),"")</f>
        <v>0.23437499999999997</v>
      </c>
      <c r="G291">
        <f t="shared" si="29"/>
        <v>0.53125</v>
      </c>
      <c r="H291" t="str">
        <f t="array" ref="H291">IFERROR(IF(COUNTIFS('Match Log'!$A$4:$A$1510,$A291,'Match Log'!$E$4:$E$1510,"Win")&gt;1,_xlfn.TEXTJOIN(" + ",TRUE(),IF(('Match Log'!$A$4:$A$1510=$A291)*('Match Log'!$E$4:$E$1510="Loss"),'Match Log'!$D$4:$D$1510,"")),IF($E291=2,LOOKUP(2,1/(('Match Log'!$A$4:$A$1510=$A291)*('Match Log'!$E$4:$E$1510="Loss")),'Match Log'!$D$4:$D$1510),"the field")),"")</f>
        <v>Oscar</v>
      </c>
      <c r="I291">
        <f t="shared" si="30"/>
        <v>0.53098299999999998</v>
      </c>
      <c r="J291">
        <v>267</v>
      </c>
      <c r="K291">
        <f>IF($J291&gt;MAX('Match Log'!$A$4:$A$1510),NA(),IFERROR(LOOKUP(2,1/(('Match Log'!$D$4:$D$1510=$K$24)*('Match Log'!$A$4:$A$1510&lt;=$J291)),'Match Log'!$N$4:$N$1510),NA()))</f>
        <v>1265.5221853966827</v>
      </c>
      <c r="L291">
        <f>IF($J291&gt;MAX('Match Log'!$A$4:$A$1510),NA(),IFERROR(LOOKUP(2,1/(('Match Log'!$D$4:$D$1510=$L$24)*('Match Log'!$A$4:$A$1510&lt;=$J291)),'Match Log'!$N$4:$N$1510),NA()))</f>
        <v>1029.5175965335138</v>
      </c>
      <c r="M291">
        <f>IF($J291&gt;MAX('Match Log'!$A$4:$A$1510),NA(),IFERROR(LOOKUP(2,1/(('Match Log'!$D$4:$D$1510=$M$24)*('Match Log'!$A$4:$A$1510&lt;=$J291)),'Match Log'!$N$4:$N$1510),NA()))</f>
        <v>1098.8851304702137</v>
      </c>
      <c r="N291">
        <f>IF($J291&gt;MAX('Match Log'!$A$4:$A$1510),NA(),IFERROR(LOOKUP(2,1/(('Match Log'!$D$4:$D$1510=$N$24)*('Match Log'!$A$4:$A$1510&lt;=$J291)),'Match Log'!$N$4:$N$1510),NA()))</f>
        <v>907.03133644117429</v>
      </c>
      <c r="O291">
        <f>IF($J291&gt;MAX('Match Log'!$A$4:$A$1510),NA(),IFERROR(LOOKUP(2,1/(('Match Log'!$D$4:$D$1510=$O$24)*('Match Log'!$A$4:$A$1510&lt;=$J291)),'Match Log'!$N$4:$N$1510),NA()))</f>
        <v>1155.9112046633588</v>
      </c>
      <c r="P291">
        <f>IF($J291&gt;MAX('Match Log'!$A$4:$A$1510),NA(),IFERROR(LOOKUP(2,1/(('Match Log'!$D$4:$D$1510=$P$24)*('Match Log'!$A$4:$A$1510&lt;=$J291)),'Match Log'!$N$4:$N$1510),NA()))</f>
        <v>1256.7969133550798</v>
      </c>
      <c r="Q291">
        <f>IF($J291&gt;MAX('Match Log'!$A$4:$A$1510),NA(),IFERROR(LOOKUP(2,1/(('Match Log'!$D$4:$D$1510=$Q$24)*('Match Log'!$A$4:$A$1510&lt;=$J291)),'Match Log'!$N$4:$N$1510),NA()))</f>
        <v>1027.9175097223999</v>
      </c>
      <c r="R291">
        <f>IF($J291&gt;MAX('Match Log'!$A$4:$A$1510),NA(),IFERROR(LOOKUP(2,1/(('Match Log'!$D$4:$D$1510=$R$24)*('Match Log'!$A$4:$A$1510&lt;=$J291)),'Match Log'!$N$4:$N$1510),NA()))</f>
        <v>1041.0468763978297</v>
      </c>
      <c r="S291">
        <f>IF($J291&gt;MAX('Match Log'!$A$4:$A$1510),NA(),IFERROR(LOOKUP(2,1/(('Match Log'!$D$4:$D$1510=$S$24)*('Match Log'!$A$4:$A$1510&lt;=$J291)),'Match Log'!$N$4:$N$1510),NA()))</f>
        <v>1248.9288111472574</v>
      </c>
      <c r="T291">
        <f>IF($J291&gt;MAX('Match Log'!$A$4:$A$1510),NA(),IFERROR(LOOKUP(2,1/(('Match Log'!$D$4:$D$1510=$T$24)*('Match Log'!$A$4:$A$1510&lt;=$J291)),'Match Log'!$N$4:$N$1510),NA()))</f>
        <v>862.22294373677494</v>
      </c>
      <c r="U291">
        <f>IF($J291&gt;MAX('Match Log'!$A$4:$A$1510),NA(),IFERROR(LOOKUP(2,1/(('Match Log'!$D$4:$D$1510=$U$24)*('Match Log'!$A$4:$A$1510&lt;=$J291)),'Match Log'!$N$4:$N$1510),NA()))</f>
        <v>1032.4513369085143</v>
      </c>
      <c r="V291">
        <f>IF($J291&gt;MAX('Match Log'!$A$4:$A$1510),NA(),IFERROR(LOOKUP(2,1/(('Match Log'!$D$4:$D$1510=$V$24)*('Match Log'!$A$4:$A$1510&lt;=$J291)),'Match Log'!$N$4:$N$1510),NA()))</f>
        <v>1087.5488947064855</v>
      </c>
      <c r="W291">
        <f>IF($J291&gt;MAX('Match Log'!$A$4:$A$1510),NA(),IFERROR(LOOKUP(2,1/(('Match Log'!$D$4:$D$1510=$W$24)*('Match Log'!$A$4:$A$1510&lt;=$J291)),'Match Log'!$N$4:$N$1510),NA()))</f>
        <v>1023.2192605207141</v>
      </c>
      <c r="X291" t="e">
        <f>IF($J291&gt;MAX('Match Log'!$A$4:$A$1510),NA(),IFERROR(LOOKUP(2,1/(('Match Log'!$D$4:$D$1510=$X$24)*('Match Log'!$A$4:$A$1510&lt;=$J291)),'Match Log'!$N$4:$N$1510),NA()))</f>
        <v>#N/A</v>
      </c>
      <c r="Y291" t="str">
        <f t="shared" ca="1" si="31"/>
        <v/>
      </c>
    </row>
    <row r="292" spans="1:25" x14ac:dyDescent="0.2">
      <c r="A292">
        <v>268</v>
      </c>
      <c r="B292">
        <f>IFERROR(INDEX('Match Log'!$B$4:$B$1510,MATCH($A292,'Match Log'!$A$4:$A$1510,0)),"")</f>
        <v>46257</v>
      </c>
      <c r="C292" t="str">
        <f>IFERROR(INDEX('Match Log'!$C$4:$C$1510,MATCH($A292,'Match Log'!$A$4:$A$1510,0)),"")</f>
        <v>Table Tennis</v>
      </c>
      <c r="D292" t="str">
        <f t="array" ref="D292">IFERROR(_xlfn.TEXTJOIN(" + ",TRUE(),IF(('Match Log'!$A$4:$A$1510=$A292)*('Match Log'!$E$4:$E$1510="Win"),'Match Log'!$D$4:$D$1510,"")),IFERROR(LOOKUP(2,1/(('Match Log'!$A$4:$A$1510=$A292)*('Match Log'!$E$4:$E$1510="Win")),'Match Log'!$D$4:$D$1510),""))</f>
        <v>Simon</v>
      </c>
      <c r="E292">
        <f>IFERROR(INDEX('Match Log'!$F$4:$F$1510,MATCH($A292,'Match Log'!$A$4:$A$1510,0)),"")</f>
        <v>2</v>
      </c>
      <c r="F292">
        <f>IFERROR(SUMIFS('Match Log'!$I$4:$I$1510,'Match Log'!$A$4:$A$1510,$A292,'Match Log'!$E$4:$E$1510,"Win"),"")</f>
        <v>0.36363636363636365</v>
      </c>
      <c r="G292">
        <f t="shared" si="29"/>
        <v>0.27272727272727271</v>
      </c>
      <c r="H292" t="str">
        <f t="array" ref="H292">IFERROR(IF(COUNTIFS('Match Log'!$A$4:$A$1510,$A292,'Match Log'!$E$4:$E$1510,"Win")&gt;1,_xlfn.TEXTJOIN(" + ",TRUE(),IF(('Match Log'!$A$4:$A$1510=$A292)*('Match Log'!$E$4:$E$1510="Loss"),'Match Log'!$D$4:$D$1510,"")),IF($E292=2,LOOKUP(2,1/(('Match Log'!$A$4:$A$1510=$A292)*('Match Log'!$E$4:$E$1510="Loss")),'Match Log'!$D$4:$D$1510),"the field")),"")</f>
        <v>Oscar</v>
      </c>
      <c r="I292">
        <f t="shared" si="30"/>
        <v>0.27245927272727272</v>
      </c>
      <c r="J292">
        <v>268</v>
      </c>
      <c r="K292">
        <f>IF($J292&gt;MAX('Match Log'!$A$4:$A$1510),NA(),IFERROR(LOOKUP(2,1/(('Match Log'!$D$4:$D$1510=$K$24)*('Match Log'!$A$4:$A$1510&lt;=$J292)),'Match Log'!$N$4:$N$1510),NA()))</f>
        <v>1265.5221853966827</v>
      </c>
      <c r="L292">
        <f>IF($J292&gt;MAX('Match Log'!$A$4:$A$1510),NA(),IFERROR(LOOKUP(2,1/(('Match Log'!$D$4:$D$1510=$L$24)*('Match Log'!$A$4:$A$1510&lt;=$J292)),'Match Log'!$N$4:$N$1510),NA()))</f>
        <v>1029.5175965335138</v>
      </c>
      <c r="M292">
        <f>IF($J292&gt;MAX('Match Log'!$A$4:$A$1510),NA(),IFERROR(LOOKUP(2,1/(('Match Log'!$D$4:$D$1510=$M$24)*('Match Log'!$A$4:$A$1510&lt;=$J292)),'Match Log'!$N$4:$N$1510),NA()))</f>
        <v>1098.8851304702137</v>
      </c>
      <c r="N292">
        <f>IF($J292&gt;MAX('Match Log'!$A$4:$A$1510),NA(),IFERROR(LOOKUP(2,1/(('Match Log'!$D$4:$D$1510=$N$24)*('Match Log'!$A$4:$A$1510&lt;=$J292)),'Match Log'!$N$4:$N$1510),NA()))</f>
        <v>907.03133644117429</v>
      </c>
      <c r="O292">
        <f>IF($J292&gt;MAX('Match Log'!$A$4:$A$1510),NA(),IFERROR(LOOKUP(2,1/(('Match Log'!$D$4:$D$1510=$O$24)*('Match Log'!$A$4:$A$1510&lt;=$J292)),'Match Log'!$N$4:$N$1510),NA()))</f>
        <v>1155.9112046633588</v>
      </c>
      <c r="P292">
        <f>IF($J292&gt;MAX('Match Log'!$A$4:$A$1510),NA(),IFERROR(LOOKUP(2,1/(('Match Log'!$D$4:$D$1510=$P$24)*('Match Log'!$A$4:$A$1510&lt;=$J292)),'Match Log'!$N$4:$N$1510),NA()))</f>
        <v>1256.7969133550798</v>
      </c>
      <c r="Q292">
        <f>IF($J292&gt;MAX('Match Log'!$A$4:$A$1510),NA(),IFERROR(LOOKUP(2,1/(('Match Log'!$D$4:$D$1510=$Q$24)*('Match Log'!$A$4:$A$1510&lt;=$J292)),'Match Log'!$N$4:$N$1510),NA()))</f>
        <v>1052.2545023375583</v>
      </c>
      <c r="R292">
        <f>IF($J292&gt;MAX('Match Log'!$A$4:$A$1510),NA(),IFERROR(LOOKUP(2,1/(('Match Log'!$D$4:$D$1510=$R$24)*('Match Log'!$A$4:$A$1510&lt;=$J292)),'Match Log'!$N$4:$N$1510),NA()))</f>
        <v>1041.0468763978297</v>
      </c>
      <c r="S292">
        <f>IF($J292&gt;MAX('Match Log'!$A$4:$A$1510),NA(),IFERROR(LOOKUP(2,1/(('Match Log'!$D$4:$D$1510=$S$24)*('Match Log'!$A$4:$A$1510&lt;=$J292)),'Match Log'!$N$4:$N$1510),NA()))</f>
        <v>1248.9288111472574</v>
      </c>
      <c r="T292">
        <f>IF($J292&gt;MAX('Match Log'!$A$4:$A$1510),NA(),IFERROR(LOOKUP(2,1/(('Match Log'!$D$4:$D$1510=$T$24)*('Match Log'!$A$4:$A$1510&lt;=$J292)),'Match Log'!$N$4:$N$1510),NA()))</f>
        <v>862.22294373677494</v>
      </c>
      <c r="U292">
        <f>IF($J292&gt;MAX('Match Log'!$A$4:$A$1510),NA(),IFERROR(LOOKUP(2,1/(('Match Log'!$D$4:$D$1510=$U$24)*('Match Log'!$A$4:$A$1510&lt;=$J292)),'Match Log'!$N$4:$N$1510),NA()))</f>
        <v>1008.1143442933559</v>
      </c>
      <c r="V292">
        <f>IF($J292&gt;MAX('Match Log'!$A$4:$A$1510),NA(),IFERROR(LOOKUP(2,1/(('Match Log'!$D$4:$D$1510=$V$24)*('Match Log'!$A$4:$A$1510&lt;=$J292)),'Match Log'!$N$4:$N$1510),NA()))</f>
        <v>1087.5488947064855</v>
      </c>
      <c r="W292">
        <f>IF($J292&gt;MAX('Match Log'!$A$4:$A$1510),NA(),IFERROR(LOOKUP(2,1/(('Match Log'!$D$4:$D$1510=$W$24)*('Match Log'!$A$4:$A$1510&lt;=$J292)),'Match Log'!$N$4:$N$1510),NA()))</f>
        <v>1023.2192605207141</v>
      </c>
      <c r="X292" t="e">
        <f>IF($J292&gt;MAX('Match Log'!$A$4:$A$1510),NA(),IFERROR(LOOKUP(2,1/(('Match Log'!$D$4:$D$1510=$X$24)*('Match Log'!$A$4:$A$1510&lt;=$J292)),'Match Log'!$N$4:$N$1510),NA()))</f>
        <v>#N/A</v>
      </c>
      <c r="Y292" t="str">
        <f t="shared" ca="1" si="31"/>
        <v/>
      </c>
    </row>
    <row r="293" spans="1:25" x14ac:dyDescent="0.2">
      <c r="A293">
        <v>269</v>
      </c>
      <c r="B293">
        <f>IFERROR(INDEX('Match Log'!$B$4:$B$1510,MATCH($A293,'Match Log'!$A$4:$A$1510,0)),"")</f>
        <v>46257</v>
      </c>
      <c r="C293" t="str">
        <f>IFERROR(INDEX('Match Log'!$C$4:$C$1510,MATCH($A293,'Match Log'!$A$4:$A$1510,0)),"")</f>
        <v>Table Tennis</v>
      </c>
      <c r="D293" t="str">
        <f t="array" ref="D293">IFERROR(_xlfn.TEXTJOIN(" + ",TRUE(),IF(('Match Log'!$A$4:$A$1510=$A293)*('Match Log'!$E$4:$E$1510="Win"),'Match Log'!$D$4:$D$1510,"")),IFERROR(LOOKUP(2,1/(('Match Log'!$A$4:$A$1510=$A293)*('Match Log'!$E$4:$E$1510="Win")),'Match Log'!$D$4:$D$1510),""))</f>
        <v>Simon</v>
      </c>
      <c r="E293">
        <f>IFERROR(INDEX('Match Log'!$F$4:$F$1510,MATCH($A293,'Match Log'!$A$4:$A$1510,0)),"")</f>
        <v>2</v>
      </c>
      <c r="F293">
        <f>IFERROR(SUMIFS('Match Log'!$I$4:$I$1510,'Match Log'!$A$4:$A$1510,$A293,'Match Log'!$E$4:$E$1510,"Win"),"")</f>
        <v>0.44736842105263153</v>
      </c>
      <c r="G293">
        <f t="shared" si="29"/>
        <v>0.10526315789473695</v>
      </c>
      <c r="H293" t="str">
        <f t="array" ref="H293">IFERROR(IF(COUNTIFS('Match Log'!$A$4:$A$1510,$A293,'Match Log'!$E$4:$E$1510,"Win")&gt;1,_xlfn.TEXTJOIN(" + ",TRUE(),IF(('Match Log'!$A$4:$A$1510=$A293)*('Match Log'!$E$4:$E$1510="Loss"),'Match Log'!$D$4:$D$1510,"")),IF($E293=2,LOOKUP(2,1/(('Match Log'!$A$4:$A$1510=$A293)*('Match Log'!$E$4:$E$1510="Loss")),'Match Log'!$D$4:$D$1510),"the field")),"")</f>
        <v>Oscar</v>
      </c>
      <c r="I293">
        <f t="shared" si="30"/>
        <v>0.10499415789473694</v>
      </c>
      <c r="J293">
        <v>269</v>
      </c>
      <c r="K293">
        <f>IF($J293&gt;MAX('Match Log'!$A$4:$A$1510),NA(),IFERROR(LOOKUP(2,1/(('Match Log'!$D$4:$D$1510=$K$24)*('Match Log'!$A$4:$A$1510&lt;=$J293)),'Match Log'!$N$4:$N$1510),NA()))</f>
        <v>1265.5221853966827</v>
      </c>
      <c r="L293">
        <f>IF($J293&gt;MAX('Match Log'!$A$4:$A$1510),NA(),IFERROR(LOOKUP(2,1/(('Match Log'!$D$4:$D$1510=$L$24)*('Match Log'!$A$4:$A$1510&lt;=$J293)),'Match Log'!$N$4:$N$1510),NA()))</f>
        <v>1029.5175965335138</v>
      </c>
      <c r="M293">
        <f>IF($J293&gt;MAX('Match Log'!$A$4:$A$1510),NA(),IFERROR(LOOKUP(2,1/(('Match Log'!$D$4:$D$1510=$M$24)*('Match Log'!$A$4:$A$1510&lt;=$J293)),'Match Log'!$N$4:$N$1510),NA()))</f>
        <v>1098.8851304702137</v>
      </c>
      <c r="N293">
        <f>IF($J293&gt;MAX('Match Log'!$A$4:$A$1510),NA(),IFERROR(LOOKUP(2,1/(('Match Log'!$D$4:$D$1510=$N$24)*('Match Log'!$A$4:$A$1510&lt;=$J293)),'Match Log'!$N$4:$N$1510),NA()))</f>
        <v>907.03133644117429</v>
      </c>
      <c r="O293">
        <f>IF($J293&gt;MAX('Match Log'!$A$4:$A$1510),NA(),IFERROR(LOOKUP(2,1/(('Match Log'!$D$4:$D$1510=$O$24)*('Match Log'!$A$4:$A$1510&lt;=$J293)),'Match Log'!$N$4:$N$1510),NA()))</f>
        <v>1155.9112046633588</v>
      </c>
      <c r="P293">
        <f>IF($J293&gt;MAX('Match Log'!$A$4:$A$1510),NA(),IFERROR(LOOKUP(2,1/(('Match Log'!$D$4:$D$1510=$P$24)*('Match Log'!$A$4:$A$1510&lt;=$J293)),'Match Log'!$N$4:$N$1510),NA()))</f>
        <v>1256.7969133550798</v>
      </c>
      <c r="Q293">
        <f>IF($J293&gt;MAX('Match Log'!$A$4:$A$1510),NA(),IFERROR(LOOKUP(2,1/(('Match Log'!$D$4:$D$1510=$Q$24)*('Match Log'!$A$4:$A$1510&lt;=$J293)),'Match Log'!$N$4:$N$1510),NA()))</f>
        <v>1073.8619215789413</v>
      </c>
      <c r="R293">
        <f>IF($J293&gt;MAX('Match Log'!$A$4:$A$1510),NA(),IFERROR(LOOKUP(2,1/(('Match Log'!$D$4:$D$1510=$R$24)*('Match Log'!$A$4:$A$1510&lt;=$J293)),'Match Log'!$N$4:$N$1510),NA()))</f>
        <v>1041.0468763978297</v>
      </c>
      <c r="S293">
        <f>IF($J293&gt;MAX('Match Log'!$A$4:$A$1510),NA(),IFERROR(LOOKUP(2,1/(('Match Log'!$D$4:$D$1510=$S$24)*('Match Log'!$A$4:$A$1510&lt;=$J293)),'Match Log'!$N$4:$N$1510),NA()))</f>
        <v>1248.9288111472574</v>
      </c>
      <c r="T293">
        <f>IF($J293&gt;MAX('Match Log'!$A$4:$A$1510),NA(),IFERROR(LOOKUP(2,1/(('Match Log'!$D$4:$D$1510=$T$24)*('Match Log'!$A$4:$A$1510&lt;=$J293)),'Match Log'!$N$4:$N$1510),NA()))</f>
        <v>862.22294373677494</v>
      </c>
      <c r="U293">
        <f>IF($J293&gt;MAX('Match Log'!$A$4:$A$1510),NA(),IFERROR(LOOKUP(2,1/(('Match Log'!$D$4:$D$1510=$U$24)*('Match Log'!$A$4:$A$1510&lt;=$J293)),'Match Log'!$N$4:$N$1510),NA()))</f>
        <v>986.50692505197298</v>
      </c>
      <c r="V293">
        <f>IF($J293&gt;MAX('Match Log'!$A$4:$A$1510),NA(),IFERROR(LOOKUP(2,1/(('Match Log'!$D$4:$D$1510=$V$24)*('Match Log'!$A$4:$A$1510&lt;=$J293)),'Match Log'!$N$4:$N$1510),NA()))</f>
        <v>1087.5488947064855</v>
      </c>
      <c r="W293">
        <f>IF($J293&gt;MAX('Match Log'!$A$4:$A$1510),NA(),IFERROR(LOOKUP(2,1/(('Match Log'!$D$4:$D$1510=$W$24)*('Match Log'!$A$4:$A$1510&lt;=$J293)),'Match Log'!$N$4:$N$1510),NA()))</f>
        <v>1023.2192605207141</v>
      </c>
      <c r="X293" t="e">
        <f>IF($J293&gt;MAX('Match Log'!$A$4:$A$1510),NA(),IFERROR(LOOKUP(2,1/(('Match Log'!$D$4:$D$1510=$X$24)*('Match Log'!$A$4:$A$1510&lt;=$J293)),'Match Log'!$N$4:$N$1510),NA()))</f>
        <v>#N/A</v>
      </c>
      <c r="Y293" t="str">
        <f t="shared" ca="1" si="31"/>
        <v/>
      </c>
    </row>
    <row r="294" spans="1:25" x14ac:dyDescent="0.2">
      <c r="A294">
        <v>270</v>
      </c>
      <c r="B294">
        <f>IFERROR(INDEX('Match Log'!$B$4:$B$1510,MATCH($A294,'Match Log'!$A$4:$A$1510,0)),"")</f>
        <v>46257</v>
      </c>
      <c r="C294" t="str">
        <f>IFERROR(INDEX('Match Log'!$C$4:$C$1510,MATCH($A294,'Match Log'!$A$4:$A$1510,0)),"")</f>
        <v>Table Tennis</v>
      </c>
      <c r="D294" t="str">
        <f t="array" ref="D294">IFERROR(_xlfn.TEXTJOIN(" + ",TRUE(),IF(('Match Log'!$A$4:$A$1510=$A294)*('Match Log'!$E$4:$E$1510="Win"),'Match Log'!$D$4:$D$1510,"")),IFERROR(LOOKUP(2,1/(('Match Log'!$A$4:$A$1510=$A294)*('Match Log'!$E$4:$E$1510="Win")),'Match Log'!$D$4:$D$1510),""))</f>
        <v>Simon</v>
      </c>
      <c r="E294">
        <f>IFERROR(INDEX('Match Log'!$F$4:$F$1510,MATCH($A294,'Match Log'!$A$4:$A$1510,0)),"")</f>
        <v>2</v>
      </c>
      <c r="F294">
        <f>IFERROR(SUMIFS('Match Log'!$I$4:$I$1510,'Match Log'!$A$4:$A$1510,$A294,'Match Log'!$E$4:$E$1510,"Win"),"")</f>
        <v>0.50704225352112675</v>
      </c>
      <c r="G294">
        <f t="shared" si="29"/>
        <v>-1.4084507042253502E-2</v>
      </c>
      <c r="H294" t="str">
        <f t="array" ref="H294">IFERROR(IF(COUNTIFS('Match Log'!$A$4:$A$1510,$A294,'Match Log'!$E$4:$E$1510,"Win")&gt;1,_xlfn.TEXTJOIN(" + ",TRUE(),IF(('Match Log'!$A$4:$A$1510=$A294)*('Match Log'!$E$4:$E$1510="Loss"),'Match Log'!$D$4:$D$1510,"")),IF($E294=2,LOOKUP(2,1/(('Match Log'!$A$4:$A$1510=$A294)*('Match Log'!$E$4:$E$1510="Loss")),'Match Log'!$D$4:$D$1510),"the field")),"")</f>
        <v>Oscar</v>
      </c>
      <c r="I294">
        <f t="shared" si="30"/>
        <v>-1.4354507042253502E-2</v>
      </c>
      <c r="J294">
        <v>270</v>
      </c>
      <c r="K294">
        <f>IF($J294&gt;MAX('Match Log'!$A$4:$A$1510),NA(),IFERROR(LOOKUP(2,1/(('Match Log'!$D$4:$D$1510=$K$24)*('Match Log'!$A$4:$A$1510&lt;=$J294)),'Match Log'!$N$4:$N$1510),NA()))</f>
        <v>1265.5221853966827</v>
      </c>
      <c r="L294">
        <f>IF($J294&gt;MAX('Match Log'!$A$4:$A$1510),NA(),IFERROR(LOOKUP(2,1/(('Match Log'!$D$4:$D$1510=$L$24)*('Match Log'!$A$4:$A$1510&lt;=$J294)),'Match Log'!$N$4:$N$1510),NA()))</f>
        <v>1029.5175965335138</v>
      </c>
      <c r="M294">
        <f>IF($J294&gt;MAX('Match Log'!$A$4:$A$1510),NA(),IFERROR(LOOKUP(2,1/(('Match Log'!$D$4:$D$1510=$M$24)*('Match Log'!$A$4:$A$1510&lt;=$J294)),'Match Log'!$N$4:$N$1510),NA()))</f>
        <v>1098.8851304702137</v>
      </c>
      <c r="N294">
        <f>IF($J294&gt;MAX('Match Log'!$A$4:$A$1510),NA(),IFERROR(LOOKUP(2,1/(('Match Log'!$D$4:$D$1510=$N$24)*('Match Log'!$A$4:$A$1510&lt;=$J294)),'Match Log'!$N$4:$N$1510),NA()))</f>
        <v>907.03133644117429</v>
      </c>
      <c r="O294">
        <f>IF($J294&gt;MAX('Match Log'!$A$4:$A$1510),NA(),IFERROR(LOOKUP(2,1/(('Match Log'!$D$4:$D$1510=$O$24)*('Match Log'!$A$4:$A$1510&lt;=$J294)),'Match Log'!$N$4:$N$1510),NA()))</f>
        <v>1155.9112046633588</v>
      </c>
      <c r="P294">
        <f>IF($J294&gt;MAX('Match Log'!$A$4:$A$1510),NA(),IFERROR(LOOKUP(2,1/(('Match Log'!$D$4:$D$1510=$P$24)*('Match Log'!$A$4:$A$1510&lt;=$J294)),'Match Log'!$N$4:$N$1510),NA()))</f>
        <v>1256.7969133550798</v>
      </c>
      <c r="Q294">
        <f>IF($J294&gt;MAX('Match Log'!$A$4:$A$1510),NA(),IFERROR(LOOKUP(2,1/(('Match Log'!$D$4:$D$1510=$Q$24)*('Match Log'!$A$4:$A$1510&lt;=$J294)),'Match Log'!$N$4:$N$1510),NA()))</f>
        <v>1093.2353241673586</v>
      </c>
      <c r="R294">
        <f>IF($J294&gt;MAX('Match Log'!$A$4:$A$1510),NA(),IFERROR(LOOKUP(2,1/(('Match Log'!$D$4:$D$1510=$R$24)*('Match Log'!$A$4:$A$1510&lt;=$J294)),'Match Log'!$N$4:$N$1510),NA()))</f>
        <v>1041.0468763978297</v>
      </c>
      <c r="S294">
        <f>IF($J294&gt;MAX('Match Log'!$A$4:$A$1510),NA(),IFERROR(LOOKUP(2,1/(('Match Log'!$D$4:$D$1510=$S$24)*('Match Log'!$A$4:$A$1510&lt;=$J294)),'Match Log'!$N$4:$N$1510),NA()))</f>
        <v>1248.9288111472574</v>
      </c>
      <c r="T294">
        <f>IF($J294&gt;MAX('Match Log'!$A$4:$A$1510),NA(),IFERROR(LOOKUP(2,1/(('Match Log'!$D$4:$D$1510=$T$24)*('Match Log'!$A$4:$A$1510&lt;=$J294)),'Match Log'!$N$4:$N$1510),NA()))</f>
        <v>862.22294373677494</v>
      </c>
      <c r="U294">
        <f>IF($J294&gt;MAX('Match Log'!$A$4:$A$1510),NA(),IFERROR(LOOKUP(2,1/(('Match Log'!$D$4:$D$1510=$U$24)*('Match Log'!$A$4:$A$1510&lt;=$J294)),'Match Log'!$N$4:$N$1510),NA()))</f>
        <v>967.13352246355566</v>
      </c>
      <c r="V294">
        <f>IF($J294&gt;MAX('Match Log'!$A$4:$A$1510),NA(),IFERROR(LOOKUP(2,1/(('Match Log'!$D$4:$D$1510=$V$24)*('Match Log'!$A$4:$A$1510&lt;=$J294)),'Match Log'!$N$4:$N$1510),NA()))</f>
        <v>1087.5488947064855</v>
      </c>
      <c r="W294">
        <f>IF($J294&gt;MAX('Match Log'!$A$4:$A$1510),NA(),IFERROR(LOOKUP(2,1/(('Match Log'!$D$4:$D$1510=$W$24)*('Match Log'!$A$4:$A$1510&lt;=$J294)),'Match Log'!$N$4:$N$1510),NA()))</f>
        <v>1023.2192605207141</v>
      </c>
      <c r="X294" t="e">
        <f>IF($J294&gt;MAX('Match Log'!$A$4:$A$1510),NA(),IFERROR(LOOKUP(2,1/(('Match Log'!$D$4:$D$1510=$X$24)*('Match Log'!$A$4:$A$1510&lt;=$J294)),'Match Log'!$N$4:$N$1510),NA()))</f>
        <v>#N/A</v>
      </c>
      <c r="Y294" t="str">
        <f t="shared" ca="1" si="31"/>
        <v/>
      </c>
    </row>
    <row r="295" spans="1:25" x14ac:dyDescent="0.2">
      <c r="A295">
        <v>271</v>
      </c>
      <c r="B295">
        <f>IFERROR(INDEX('Match Log'!$B$4:$B$1510,MATCH($A295,'Match Log'!$A$4:$A$1510,0)),"")</f>
        <v>46257</v>
      </c>
      <c r="C295" t="str">
        <f>IFERROR(INDEX('Match Log'!$C$4:$C$1510,MATCH($A295,'Match Log'!$A$4:$A$1510,0)),"")</f>
        <v>Table Tennis</v>
      </c>
      <c r="D295" t="str">
        <f t="array" ref="D295">IFERROR(_xlfn.TEXTJOIN(" + ",TRUE(),IF(('Match Log'!$A$4:$A$1510=$A295)*('Match Log'!$E$4:$E$1510="Win"),'Match Log'!$D$4:$D$1510,"")),IFERROR(LOOKUP(2,1/(('Match Log'!$A$4:$A$1510=$A295)*('Match Log'!$E$4:$E$1510="Win")),'Match Log'!$D$4:$D$1510),""))</f>
        <v>Simon</v>
      </c>
      <c r="E295">
        <f>IFERROR(INDEX('Match Log'!$F$4:$F$1510,MATCH($A295,'Match Log'!$A$4:$A$1510,0)),"")</f>
        <v>2</v>
      </c>
      <c r="F295">
        <f>IFERROR(SUMIFS('Match Log'!$I$4:$I$1510,'Match Log'!$A$4:$A$1510,$A295,'Match Log'!$E$4:$E$1510,"Win"),"")</f>
        <v>0.55232558139534882</v>
      </c>
      <c r="G295">
        <f t="shared" si="29"/>
        <v>-0.10465116279069764</v>
      </c>
      <c r="H295" t="str">
        <f t="array" ref="H295">IFERROR(IF(COUNTIFS('Match Log'!$A$4:$A$1510,$A295,'Match Log'!$E$4:$E$1510,"Win")&gt;1,_xlfn.TEXTJOIN(" + ",TRUE(),IF(('Match Log'!$A$4:$A$1510=$A295)*('Match Log'!$E$4:$E$1510="Loss"),'Match Log'!$D$4:$D$1510,"")),IF($E295=2,LOOKUP(2,1/(('Match Log'!$A$4:$A$1510=$A295)*('Match Log'!$E$4:$E$1510="Loss")),'Match Log'!$D$4:$D$1510),"the field")),"")</f>
        <v>Oscar</v>
      </c>
      <c r="I295">
        <f t="shared" si="30"/>
        <v>-0.10492216279069763</v>
      </c>
      <c r="J295">
        <v>271</v>
      </c>
      <c r="K295">
        <f>IF($J295&gt;MAX('Match Log'!$A$4:$A$1510),NA(),IFERROR(LOOKUP(2,1/(('Match Log'!$D$4:$D$1510=$K$24)*('Match Log'!$A$4:$A$1510&lt;=$J295)),'Match Log'!$N$4:$N$1510),NA()))</f>
        <v>1265.5221853966827</v>
      </c>
      <c r="L295">
        <f>IF($J295&gt;MAX('Match Log'!$A$4:$A$1510),NA(),IFERROR(LOOKUP(2,1/(('Match Log'!$D$4:$D$1510=$L$24)*('Match Log'!$A$4:$A$1510&lt;=$J295)),'Match Log'!$N$4:$N$1510),NA()))</f>
        <v>1029.5175965335138</v>
      </c>
      <c r="M295">
        <f>IF($J295&gt;MAX('Match Log'!$A$4:$A$1510),NA(),IFERROR(LOOKUP(2,1/(('Match Log'!$D$4:$D$1510=$M$24)*('Match Log'!$A$4:$A$1510&lt;=$J295)),'Match Log'!$N$4:$N$1510),NA()))</f>
        <v>1098.8851304702137</v>
      </c>
      <c r="N295">
        <f>IF($J295&gt;MAX('Match Log'!$A$4:$A$1510),NA(),IFERROR(LOOKUP(2,1/(('Match Log'!$D$4:$D$1510=$N$24)*('Match Log'!$A$4:$A$1510&lt;=$J295)),'Match Log'!$N$4:$N$1510),NA()))</f>
        <v>907.03133644117429</v>
      </c>
      <c r="O295">
        <f>IF($J295&gt;MAX('Match Log'!$A$4:$A$1510),NA(),IFERROR(LOOKUP(2,1/(('Match Log'!$D$4:$D$1510=$O$24)*('Match Log'!$A$4:$A$1510&lt;=$J295)),'Match Log'!$N$4:$N$1510),NA()))</f>
        <v>1155.9112046633588</v>
      </c>
      <c r="P295">
        <f>IF($J295&gt;MAX('Match Log'!$A$4:$A$1510),NA(),IFERROR(LOOKUP(2,1/(('Match Log'!$D$4:$D$1510=$P$24)*('Match Log'!$A$4:$A$1510&lt;=$J295)),'Match Log'!$N$4:$N$1510),NA()))</f>
        <v>1256.7969133550798</v>
      </c>
      <c r="Q295">
        <f>IF($J295&gt;MAX('Match Log'!$A$4:$A$1510),NA(),IFERROR(LOOKUP(2,1/(('Match Log'!$D$4:$D$1510=$Q$24)*('Match Log'!$A$4:$A$1510&lt;=$J295)),'Match Log'!$N$4:$N$1510),NA()))</f>
        <v>1110.7425533765304</v>
      </c>
      <c r="R295">
        <f>IF($J295&gt;MAX('Match Log'!$A$4:$A$1510),NA(),IFERROR(LOOKUP(2,1/(('Match Log'!$D$4:$D$1510=$R$24)*('Match Log'!$A$4:$A$1510&lt;=$J295)),'Match Log'!$N$4:$N$1510),NA()))</f>
        <v>1041.0468763978297</v>
      </c>
      <c r="S295">
        <f>IF($J295&gt;MAX('Match Log'!$A$4:$A$1510),NA(),IFERROR(LOOKUP(2,1/(('Match Log'!$D$4:$D$1510=$S$24)*('Match Log'!$A$4:$A$1510&lt;=$J295)),'Match Log'!$N$4:$N$1510),NA()))</f>
        <v>1248.9288111472574</v>
      </c>
      <c r="T295">
        <f>IF($J295&gt;MAX('Match Log'!$A$4:$A$1510),NA(),IFERROR(LOOKUP(2,1/(('Match Log'!$D$4:$D$1510=$T$24)*('Match Log'!$A$4:$A$1510&lt;=$J295)),'Match Log'!$N$4:$N$1510),NA()))</f>
        <v>862.22294373677494</v>
      </c>
      <c r="U295">
        <f>IF($J295&gt;MAX('Match Log'!$A$4:$A$1510),NA(),IFERROR(LOOKUP(2,1/(('Match Log'!$D$4:$D$1510=$U$24)*('Match Log'!$A$4:$A$1510&lt;=$J295)),'Match Log'!$N$4:$N$1510),NA()))</f>
        <v>949.62629325438388</v>
      </c>
      <c r="V295">
        <f>IF($J295&gt;MAX('Match Log'!$A$4:$A$1510),NA(),IFERROR(LOOKUP(2,1/(('Match Log'!$D$4:$D$1510=$V$24)*('Match Log'!$A$4:$A$1510&lt;=$J295)),'Match Log'!$N$4:$N$1510),NA()))</f>
        <v>1087.5488947064855</v>
      </c>
      <c r="W295">
        <f>IF($J295&gt;MAX('Match Log'!$A$4:$A$1510),NA(),IFERROR(LOOKUP(2,1/(('Match Log'!$D$4:$D$1510=$W$24)*('Match Log'!$A$4:$A$1510&lt;=$J295)),'Match Log'!$N$4:$N$1510),NA()))</f>
        <v>1023.2192605207141</v>
      </c>
      <c r="X295" t="e">
        <f>IF($J295&gt;MAX('Match Log'!$A$4:$A$1510),NA(),IFERROR(LOOKUP(2,1/(('Match Log'!$D$4:$D$1510=$X$24)*('Match Log'!$A$4:$A$1510&lt;=$J295)),'Match Log'!$N$4:$N$1510),NA()))</f>
        <v>#N/A</v>
      </c>
      <c r="Y295" t="str">
        <f t="shared" ca="1" si="31"/>
        <v/>
      </c>
    </row>
    <row r="296" spans="1:25" x14ac:dyDescent="0.2">
      <c r="A296">
        <v>272</v>
      </c>
      <c r="B296">
        <f>IFERROR(INDEX('Match Log'!$B$4:$B$1510,MATCH($A296,'Match Log'!$A$4:$A$1510,0)),"")</f>
        <v>46257</v>
      </c>
      <c r="C296" t="str">
        <f>IFERROR(INDEX('Match Log'!$C$4:$C$1510,MATCH($A296,'Match Log'!$A$4:$A$1510,0)),"")</f>
        <v>HORSE - Basketball</v>
      </c>
      <c r="D296" t="str">
        <f t="array" ref="D296">IFERROR(_xlfn.TEXTJOIN(" + ",TRUE(),IF(('Match Log'!$A$4:$A$1510=$A296)*('Match Log'!$E$4:$E$1510="Win"),'Match Log'!$D$4:$D$1510,"")),IFERROR(LOOKUP(2,1/(('Match Log'!$A$4:$A$1510=$A296)*('Match Log'!$E$4:$E$1510="Win")),'Match Log'!$D$4:$D$1510),""))</f>
        <v>Shawn</v>
      </c>
      <c r="E296">
        <f>IFERROR(INDEX('Match Log'!$F$4:$F$1510,MATCH($A296,'Match Log'!$A$4:$A$1510,0)),"")</f>
        <v>2</v>
      </c>
      <c r="F296">
        <f>IFERROR(SUMIFS('Match Log'!$I$4:$I$1510,'Match Log'!$A$4:$A$1510,$A296,'Match Log'!$E$4:$E$1510,"Win"),"")</f>
        <v>0.8</v>
      </c>
      <c r="G296">
        <f t="shared" si="29"/>
        <v>-0.60000000000000009</v>
      </c>
      <c r="H296" t="str">
        <f t="array" ref="H296">IFERROR(IF(COUNTIFS('Match Log'!$A$4:$A$1510,$A296,'Match Log'!$E$4:$E$1510,"Win")&gt;1,_xlfn.TEXTJOIN(" + ",TRUE(),IF(('Match Log'!$A$4:$A$1510=$A296)*('Match Log'!$E$4:$E$1510="Loss"),'Match Log'!$D$4:$D$1510,"")),IF($E296=2,LOOKUP(2,1/(('Match Log'!$A$4:$A$1510=$A296)*('Match Log'!$E$4:$E$1510="Loss")),'Match Log'!$D$4:$D$1510),"the field")),"")</f>
        <v>Daniel (Ferret)</v>
      </c>
      <c r="I296">
        <f t="shared" si="30"/>
        <v>-0.60027200000000014</v>
      </c>
      <c r="J296">
        <v>272</v>
      </c>
      <c r="K296">
        <f>IF($J296&gt;MAX('Match Log'!$A$4:$A$1510),NA(),IFERROR(LOOKUP(2,1/(('Match Log'!$D$4:$D$1510=$K$24)*('Match Log'!$A$4:$A$1510&lt;=$J296)),'Match Log'!$N$4:$N$1510),NA()))</f>
        <v>1265.5221853966827</v>
      </c>
      <c r="L296">
        <f>IF($J296&gt;MAX('Match Log'!$A$4:$A$1510),NA(),IFERROR(LOOKUP(2,1/(('Match Log'!$D$4:$D$1510=$L$24)*('Match Log'!$A$4:$A$1510&lt;=$J296)),'Match Log'!$N$4:$N$1510),NA()))</f>
        <v>1029.5175965335138</v>
      </c>
      <c r="M296">
        <f>IF($J296&gt;MAX('Match Log'!$A$4:$A$1510),NA(),IFERROR(LOOKUP(2,1/(('Match Log'!$D$4:$D$1510=$M$24)*('Match Log'!$A$4:$A$1510&lt;=$J296)),'Match Log'!$N$4:$N$1510),NA()))</f>
        <v>1098.8851304702137</v>
      </c>
      <c r="N296">
        <f>IF($J296&gt;MAX('Match Log'!$A$4:$A$1510),NA(),IFERROR(LOOKUP(2,1/(('Match Log'!$D$4:$D$1510=$N$24)*('Match Log'!$A$4:$A$1510&lt;=$J296)),'Match Log'!$N$4:$N$1510),NA()))</f>
        <v>907.03133644117429</v>
      </c>
      <c r="O296">
        <f>IF($J296&gt;MAX('Match Log'!$A$4:$A$1510),NA(),IFERROR(LOOKUP(2,1/(('Match Log'!$D$4:$D$1510=$O$24)*('Match Log'!$A$4:$A$1510&lt;=$J296)),'Match Log'!$N$4:$N$1510),NA()))</f>
        <v>1155.9112046633588</v>
      </c>
      <c r="P296">
        <f>IF($J296&gt;MAX('Match Log'!$A$4:$A$1510),NA(),IFERROR(LOOKUP(2,1/(('Match Log'!$D$4:$D$1510=$P$24)*('Match Log'!$A$4:$A$1510&lt;=$J296)),'Match Log'!$N$4:$N$1510),NA()))</f>
        <v>1269.1999146767641</v>
      </c>
      <c r="Q296">
        <f>IF($J296&gt;MAX('Match Log'!$A$4:$A$1510),NA(),IFERROR(LOOKUP(2,1/(('Match Log'!$D$4:$D$1510=$Q$24)*('Match Log'!$A$4:$A$1510&lt;=$J296)),'Match Log'!$N$4:$N$1510),NA()))</f>
        <v>1110.7425533765304</v>
      </c>
      <c r="R296">
        <f>IF($J296&gt;MAX('Match Log'!$A$4:$A$1510),NA(),IFERROR(LOOKUP(2,1/(('Match Log'!$D$4:$D$1510=$R$24)*('Match Log'!$A$4:$A$1510&lt;=$J296)),'Match Log'!$N$4:$N$1510),NA()))</f>
        <v>1028.6438750761454</v>
      </c>
      <c r="S296">
        <f>IF($J296&gt;MAX('Match Log'!$A$4:$A$1510),NA(),IFERROR(LOOKUP(2,1/(('Match Log'!$D$4:$D$1510=$S$24)*('Match Log'!$A$4:$A$1510&lt;=$J296)),'Match Log'!$N$4:$N$1510),NA()))</f>
        <v>1248.9288111472574</v>
      </c>
      <c r="T296">
        <f>IF($J296&gt;MAX('Match Log'!$A$4:$A$1510),NA(),IFERROR(LOOKUP(2,1/(('Match Log'!$D$4:$D$1510=$T$24)*('Match Log'!$A$4:$A$1510&lt;=$J296)),'Match Log'!$N$4:$N$1510),NA()))</f>
        <v>862.22294373677494</v>
      </c>
      <c r="U296">
        <f>IF($J296&gt;MAX('Match Log'!$A$4:$A$1510),NA(),IFERROR(LOOKUP(2,1/(('Match Log'!$D$4:$D$1510=$U$24)*('Match Log'!$A$4:$A$1510&lt;=$J296)),'Match Log'!$N$4:$N$1510),NA()))</f>
        <v>949.62629325438388</v>
      </c>
      <c r="V296">
        <f>IF($J296&gt;MAX('Match Log'!$A$4:$A$1510),NA(),IFERROR(LOOKUP(2,1/(('Match Log'!$D$4:$D$1510=$V$24)*('Match Log'!$A$4:$A$1510&lt;=$J296)),'Match Log'!$N$4:$N$1510),NA()))</f>
        <v>1087.5488947064855</v>
      </c>
      <c r="W296">
        <f>IF($J296&gt;MAX('Match Log'!$A$4:$A$1510),NA(),IFERROR(LOOKUP(2,1/(('Match Log'!$D$4:$D$1510=$W$24)*('Match Log'!$A$4:$A$1510&lt;=$J296)),'Match Log'!$N$4:$N$1510),NA()))</f>
        <v>1023.2192605207141</v>
      </c>
      <c r="X296" t="e">
        <f>IF($J296&gt;MAX('Match Log'!$A$4:$A$1510),NA(),IFERROR(LOOKUP(2,1/(('Match Log'!$D$4:$D$1510=$X$24)*('Match Log'!$A$4:$A$1510&lt;=$J296)),'Match Log'!$N$4:$N$1510),NA()))</f>
        <v>#N/A</v>
      </c>
      <c r="Y296" t="str">
        <f t="shared" ca="1" si="31"/>
        <v/>
      </c>
    </row>
    <row r="297" spans="1:25" x14ac:dyDescent="0.2">
      <c r="A297">
        <v>273</v>
      </c>
      <c r="B297">
        <f>IFERROR(INDEX('Match Log'!$B$4:$B$1510,MATCH($A297,'Match Log'!$A$4:$A$1510,0)),"")</f>
        <v>46257</v>
      </c>
      <c r="C297" t="str">
        <f>IFERROR(INDEX('Match Log'!$C$4:$C$1510,MATCH($A297,'Match Log'!$A$4:$A$1510,0)),"")</f>
        <v>HORSE - Basketball</v>
      </c>
      <c r="D297" t="str">
        <f t="array" ref="D297">IFERROR(_xlfn.TEXTJOIN(" + ",TRUE(),IF(('Match Log'!$A$4:$A$1510=$A297)*('Match Log'!$E$4:$E$1510="Win"),'Match Log'!$D$4:$D$1510,"")),IFERROR(LOOKUP(2,1/(('Match Log'!$A$4:$A$1510=$A297)*('Match Log'!$E$4:$E$1510="Win")),'Match Log'!$D$4:$D$1510),""))</f>
        <v>Shawn</v>
      </c>
      <c r="E297">
        <f>IFERROR(INDEX('Match Log'!$F$4:$F$1510,MATCH($A297,'Match Log'!$A$4:$A$1510,0)),"")</f>
        <v>2</v>
      </c>
      <c r="F297">
        <f>IFERROR(SUMIFS('Match Log'!$I$4:$I$1510,'Match Log'!$A$4:$A$1510,$A297,'Match Log'!$E$4:$E$1510,"Win"),"")</f>
        <v>0.83333333333333337</v>
      </c>
      <c r="G297">
        <f t="shared" si="29"/>
        <v>-0.66666666666666674</v>
      </c>
      <c r="H297" t="str">
        <f t="array" ref="H297">IFERROR(IF(COUNTIFS('Match Log'!$A$4:$A$1510,$A297,'Match Log'!$E$4:$E$1510,"Win")&gt;1,_xlfn.TEXTJOIN(" + ",TRUE(),IF(('Match Log'!$A$4:$A$1510=$A297)*('Match Log'!$E$4:$E$1510="Loss"),'Match Log'!$D$4:$D$1510,"")),IF($E297=2,LOOKUP(2,1/(('Match Log'!$A$4:$A$1510=$A297)*('Match Log'!$E$4:$E$1510="Loss")),'Match Log'!$D$4:$D$1510),"the field")),"")</f>
        <v>Daniel (Ferret)</v>
      </c>
      <c r="I297">
        <f t="shared" si="30"/>
        <v>-0.66693966666666671</v>
      </c>
      <c r="J297">
        <v>273</v>
      </c>
      <c r="K297">
        <f>IF($J297&gt;MAX('Match Log'!$A$4:$A$1510),NA(),IFERROR(LOOKUP(2,1/(('Match Log'!$D$4:$D$1510=$K$24)*('Match Log'!$A$4:$A$1510&lt;=$J297)),'Match Log'!$N$4:$N$1510),NA()))</f>
        <v>1265.5221853966827</v>
      </c>
      <c r="L297">
        <f>IF($J297&gt;MAX('Match Log'!$A$4:$A$1510),NA(),IFERROR(LOOKUP(2,1/(('Match Log'!$D$4:$D$1510=$L$24)*('Match Log'!$A$4:$A$1510&lt;=$J297)),'Match Log'!$N$4:$N$1510),NA()))</f>
        <v>1029.5175965335138</v>
      </c>
      <c r="M297">
        <f>IF($J297&gt;MAX('Match Log'!$A$4:$A$1510),NA(),IFERROR(LOOKUP(2,1/(('Match Log'!$D$4:$D$1510=$M$24)*('Match Log'!$A$4:$A$1510&lt;=$J297)),'Match Log'!$N$4:$N$1510),NA()))</f>
        <v>1098.8851304702137</v>
      </c>
      <c r="N297">
        <f>IF($J297&gt;MAX('Match Log'!$A$4:$A$1510),NA(),IFERROR(LOOKUP(2,1/(('Match Log'!$D$4:$D$1510=$N$24)*('Match Log'!$A$4:$A$1510&lt;=$J297)),'Match Log'!$N$4:$N$1510),NA()))</f>
        <v>907.03133644117429</v>
      </c>
      <c r="O297">
        <f>IF($J297&gt;MAX('Match Log'!$A$4:$A$1510),NA(),IFERROR(LOOKUP(2,1/(('Match Log'!$D$4:$D$1510=$O$24)*('Match Log'!$A$4:$A$1510&lt;=$J297)),'Match Log'!$N$4:$N$1510),NA()))</f>
        <v>1155.9112046633588</v>
      </c>
      <c r="P297">
        <f>IF($J297&gt;MAX('Match Log'!$A$4:$A$1510),NA(),IFERROR(LOOKUP(2,1/(('Match Log'!$D$4:$D$1510=$P$24)*('Match Log'!$A$4:$A$1510&lt;=$J297)),'Match Log'!$N$4:$N$1510),NA()))</f>
        <v>1280.4791002349882</v>
      </c>
      <c r="Q297">
        <f>IF($J297&gt;MAX('Match Log'!$A$4:$A$1510),NA(),IFERROR(LOOKUP(2,1/(('Match Log'!$D$4:$D$1510=$Q$24)*('Match Log'!$A$4:$A$1510&lt;=$J297)),'Match Log'!$N$4:$N$1510),NA()))</f>
        <v>1110.7425533765304</v>
      </c>
      <c r="R297">
        <f>IF($J297&gt;MAX('Match Log'!$A$4:$A$1510),NA(),IFERROR(LOOKUP(2,1/(('Match Log'!$D$4:$D$1510=$R$24)*('Match Log'!$A$4:$A$1510&lt;=$J297)),'Match Log'!$N$4:$N$1510),NA()))</f>
        <v>1017.3646895179213</v>
      </c>
      <c r="S297">
        <f>IF($J297&gt;MAX('Match Log'!$A$4:$A$1510),NA(),IFERROR(LOOKUP(2,1/(('Match Log'!$D$4:$D$1510=$S$24)*('Match Log'!$A$4:$A$1510&lt;=$J297)),'Match Log'!$N$4:$N$1510),NA()))</f>
        <v>1248.9288111472574</v>
      </c>
      <c r="T297">
        <f>IF($J297&gt;MAX('Match Log'!$A$4:$A$1510),NA(),IFERROR(LOOKUP(2,1/(('Match Log'!$D$4:$D$1510=$T$24)*('Match Log'!$A$4:$A$1510&lt;=$J297)),'Match Log'!$N$4:$N$1510),NA()))</f>
        <v>862.22294373677494</v>
      </c>
      <c r="U297">
        <f>IF($J297&gt;MAX('Match Log'!$A$4:$A$1510),NA(),IFERROR(LOOKUP(2,1/(('Match Log'!$D$4:$D$1510=$U$24)*('Match Log'!$A$4:$A$1510&lt;=$J297)),'Match Log'!$N$4:$N$1510),NA()))</f>
        <v>949.62629325438388</v>
      </c>
      <c r="V297">
        <f>IF($J297&gt;MAX('Match Log'!$A$4:$A$1510),NA(),IFERROR(LOOKUP(2,1/(('Match Log'!$D$4:$D$1510=$V$24)*('Match Log'!$A$4:$A$1510&lt;=$J297)),'Match Log'!$N$4:$N$1510),NA()))</f>
        <v>1087.5488947064855</v>
      </c>
      <c r="W297">
        <f>IF($J297&gt;MAX('Match Log'!$A$4:$A$1510),NA(),IFERROR(LOOKUP(2,1/(('Match Log'!$D$4:$D$1510=$W$24)*('Match Log'!$A$4:$A$1510&lt;=$J297)),'Match Log'!$N$4:$N$1510),NA()))</f>
        <v>1023.2192605207141</v>
      </c>
      <c r="X297" t="e">
        <f>IF($J297&gt;MAX('Match Log'!$A$4:$A$1510),NA(),IFERROR(LOOKUP(2,1/(('Match Log'!$D$4:$D$1510=$X$24)*('Match Log'!$A$4:$A$1510&lt;=$J297)),'Match Log'!$N$4:$N$1510),NA()))</f>
        <v>#N/A</v>
      </c>
      <c r="Y297" t="str">
        <f t="shared" ca="1" si="31"/>
        <v/>
      </c>
    </row>
    <row r="298" spans="1:25" x14ac:dyDescent="0.2">
      <c r="A298">
        <v>274</v>
      </c>
      <c r="B298">
        <f>IFERROR(INDEX('Match Log'!$B$4:$B$1510,MATCH($A298,'Match Log'!$A$4:$A$1510,0)),"")</f>
        <v>46260</v>
      </c>
      <c r="C298" t="str">
        <f>IFERROR(INDEX('Match Log'!$C$4:$C$1510,MATCH($A298,'Match Log'!$A$4:$A$1510,0)),"")</f>
        <v>FIFA</v>
      </c>
      <c r="D298" t="str">
        <f t="array" ref="D298">IFERROR(_xlfn.TEXTJOIN(" + ",TRUE(),IF(('Match Log'!$A$4:$A$1510=$A298)*('Match Log'!$E$4:$E$1510="Win"),'Match Log'!$D$4:$D$1510,"")),IFERROR(LOOKUP(2,1/(('Match Log'!$A$4:$A$1510=$A298)*('Match Log'!$E$4:$E$1510="Win")),'Match Log'!$D$4:$D$1510),""))</f>
        <v>Oscar</v>
      </c>
      <c r="E298">
        <f>IFERROR(INDEX('Match Log'!$F$4:$F$1510,MATCH($A298,'Match Log'!$A$4:$A$1510,0)),"")</f>
        <v>2</v>
      </c>
      <c r="F298">
        <f>IFERROR(SUMIFS('Match Log'!$I$4:$I$1510,'Match Log'!$A$4:$A$1510,$A298,'Match Log'!$E$4:$E$1510,"Win"),"")</f>
        <v>0.42857142857142855</v>
      </c>
      <c r="G298">
        <f t="shared" si="29"/>
        <v>0.1428571428571429</v>
      </c>
      <c r="H298" t="str">
        <f t="array" ref="H298">IFERROR(IF(COUNTIFS('Match Log'!$A$4:$A$1510,$A298,'Match Log'!$E$4:$E$1510,"Win")&gt;1,_xlfn.TEXTJOIN(" + ",TRUE(),IF(('Match Log'!$A$4:$A$1510=$A298)*('Match Log'!$E$4:$E$1510="Loss"),'Match Log'!$D$4:$D$1510,"")),IF($E298=2,LOOKUP(2,1/(('Match Log'!$A$4:$A$1510=$A298)*('Match Log'!$E$4:$E$1510="Loss")),'Match Log'!$D$4:$D$1510),"the field")),"")</f>
        <v>Simon</v>
      </c>
      <c r="I298">
        <f t="shared" si="30"/>
        <v>0.14258314285714291</v>
      </c>
      <c r="J298">
        <v>274</v>
      </c>
      <c r="K298">
        <f>IF($J298&gt;MAX('Match Log'!$A$4:$A$1510),NA(),IFERROR(LOOKUP(2,1/(('Match Log'!$D$4:$D$1510=$K$24)*('Match Log'!$A$4:$A$1510&lt;=$J298)),'Match Log'!$N$4:$N$1510),NA()))</f>
        <v>1265.5221853966827</v>
      </c>
      <c r="L298">
        <f>IF($J298&gt;MAX('Match Log'!$A$4:$A$1510),NA(),IFERROR(LOOKUP(2,1/(('Match Log'!$D$4:$D$1510=$L$24)*('Match Log'!$A$4:$A$1510&lt;=$J298)),'Match Log'!$N$4:$N$1510),NA()))</f>
        <v>1029.5175965335138</v>
      </c>
      <c r="M298">
        <f>IF($J298&gt;MAX('Match Log'!$A$4:$A$1510),NA(),IFERROR(LOOKUP(2,1/(('Match Log'!$D$4:$D$1510=$M$24)*('Match Log'!$A$4:$A$1510&lt;=$J298)),'Match Log'!$N$4:$N$1510),NA()))</f>
        <v>1098.8851304702137</v>
      </c>
      <c r="N298">
        <f>IF($J298&gt;MAX('Match Log'!$A$4:$A$1510),NA(),IFERROR(LOOKUP(2,1/(('Match Log'!$D$4:$D$1510=$N$24)*('Match Log'!$A$4:$A$1510&lt;=$J298)),'Match Log'!$N$4:$N$1510),NA()))</f>
        <v>907.03133644117429</v>
      </c>
      <c r="O298">
        <f>IF($J298&gt;MAX('Match Log'!$A$4:$A$1510),NA(),IFERROR(LOOKUP(2,1/(('Match Log'!$D$4:$D$1510=$O$24)*('Match Log'!$A$4:$A$1510&lt;=$J298)),'Match Log'!$N$4:$N$1510),NA()))</f>
        <v>1155.9112046633588</v>
      </c>
      <c r="P298">
        <f>IF($J298&gt;MAX('Match Log'!$A$4:$A$1510),NA(),IFERROR(LOOKUP(2,1/(('Match Log'!$D$4:$D$1510=$P$24)*('Match Log'!$A$4:$A$1510&lt;=$J298)),'Match Log'!$N$4:$N$1510),NA()))</f>
        <v>1280.4791002349882</v>
      </c>
      <c r="Q298">
        <f>IF($J298&gt;MAX('Match Log'!$A$4:$A$1510),NA(),IFERROR(LOOKUP(2,1/(('Match Log'!$D$4:$D$1510=$Q$24)*('Match Log'!$A$4:$A$1510&lt;=$J298)),'Match Log'!$N$4:$N$1510),NA()))</f>
        <v>1081.4620470838852</v>
      </c>
      <c r="R298">
        <f>IF($J298&gt;MAX('Match Log'!$A$4:$A$1510),NA(),IFERROR(LOOKUP(2,1/(('Match Log'!$D$4:$D$1510=$R$24)*('Match Log'!$A$4:$A$1510&lt;=$J298)),'Match Log'!$N$4:$N$1510),NA()))</f>
        <v>1017.3646895179213</v>
      </c>
      <c r="S298">
        <f>IF($J298&gt;MAX('Match Log'!$A$4:$A$1510),NA(),IFERROR(LOOKUP(2,1/(('Match Log'!$D$4:$D$1510=$S$24)*('Match Log'!$A$4:$A$1510&lt;=$J298)),'Match Log'!$N$4:$N$1510),NA()))</f>
        <v>1248.9288111472574</v>
      </c>
      <c r="T298">
        <f>IF($J298&gt;MAX('Match Log'!$A$4:$A$1510),NA(),IFERROR(LOOKUP(2,1/(('Match Log'!$D$4:$D$1510=$T$24)*('Match Log'!$A$4:$A$1510&lt;=$J298)),'Match Log'!$N$4:$N$1510),NA()))</f>
        <v>862.22294373677494</v>
      </c>
      <c r="U298">
        <f>IF($J298&gt;MAX('Match Log'!$A$4:$A$1510),NA(),IFERROR(LOOKUP(2,1/(('Match Log'!$D$4:$D$1510=$U$24)*('Match Log'!$A$4:$A$1510&lt;=$J298)),'Match Log'!$N$4:$N$1510),NA()))</f>
        <v>978.90679954702898</v>
      </c>
      <c r="V298">
        <f>IF($J298&gt;MAX('Match Log'!$A$4:$A$1510),NA(),IFERROR(LOOKUP(2,1/(('Match Log'!$D$4:$D$1510=$V$24)*('Match Log'!$A$4:$A$1510&lt;=$J298)),'Match Log'!$N$4:$N$1510),NA()))</f>
        <v>1087.5488947064855</v>
      </c>
      <c r="W298">
        <f>IF($J298&gt;MAX('Match Log'!$A$4:$A$1510),NA(),IFERROR(LOOKUP(2,1/(('Match Log'!$D$4:$D$1510=$W$24)*('Match Log'!$A$4:$A$1510&lt;=$J298)),'Match Log'!$N$4:$N$1510),NA()))</f>
        <v>1023.2192605207141</v>
      </c>
      <c r="X298" t="e">
        <f>IF($J298&gt;MAX('Match Log'!$A$4:$A$1510),NA(),IFERROR(LOOKUP(2,1/(('Match Log'!$D$4:$D$1510=$X$24)*('Match Log'!$A$4:$A$1510&lt;=$J298)),'Match Log'!$N$4:$N$1510),NA()))</f>
        <v>#N/A</v>
      </c>
      <c r="Y298" t="str">
        <f t="shared" ca="1" si="31"/>
        <v/>
      </c>
    </row>
    <row r="299" spans="1:25" x14ac:dyDescent="0.2">
      <c r="A299">
        <v>275</v>
      </c>
      <c r="B299">
        <f>IFERROR(INDEX('Match Log'!$B$4:$B$1510,MATCH($A299,'Match Log'!$A$4:$A$1510,0)),"")</f>
        <v>46260</v>
      </c>
      <c r="C299" t="str">
        <f>IFERROR(INDEX('Match Log'!$C$4:$C$1510,MATCH($A299,'Match Log'!$A$4:$A$1510,0)),"")</f>
        <v>Cards</v>
      </c>
      <c r="D299" t="str">
        <f t="array" ref="D299">IFERROR(_xlfn.TEXTJOIN(" + ",TRUE(),IF(('Match Log'!$A$4:$A$1510=$A299)*('Match Log'!$E$4:$E$1510="Win"),'Match Log'!$D$4:$D$1510,"")),IFERROR(LOOKUP(2,1/(('Match Log'!$A$4:$A$1510=$A299)*('Match Log'!$E$4:$E$1510="Win")),'Match Log'!$D$4:$D$1510),""))</f>
        <v>Simon</v>
      </c>
      <c r="E299">
        <f>IFERROR(INDEX('Match Log'!$F$4:$F$1510,MATCH($A299,'Match Log'!$A$4:$A$1510,0)),"")</f>
        <v>3</v>
      </c>
      <c r="F299">
        <f>IFERROR(SUMIFS('Match Log'!$I$4:$I$1510,'Match Log'!$A$4:$A$1510,$A299,'Match Log'!$E$4:$E$1510,"Win"),"")</f>
        <v>0.375</v>
      </c>
      <c r="G299">
        <f t="shared" si="29"/>
        <v>-0.125</v>
      </c>
      <c r="H299" t="str">
        <f t="array" ref="H299">IFERROR(IF(COUNTIFS('Match Log'!$A$4:$A$1510,$A299,'Match Log'!$E$4:$E$1510,"Win")&gt;1,_xlfn.TEXTJOIN(" + ",TRUE(),IF(('Match Log'!$A$4:$A$1510=$A299)*('Match Log'!$E$4:$E$1510="Loss"),'Match Log'!$D$4:$D$1510,"")),IF($E299=2,LOOKUP(2,1/(('Match Log'!$A$4:$A$1510=$A299)*('Match Log'!$E$4:$E$1510="Loss")),'Match Log'!$D$4:$D$1510),"the field")),"")</f>
        <v>the field</v>
      </c>
      <c r="I299">
        <f t="shared" si="30"/>
        <v>-0.125275</v>
      </c>
      <c r="J299">
        <v>275</v>
      </c>
      <c r="K299">
        <f>IF($J299&gt;MAX('Match Log'!$A$4:$A$1510),NA(),IFERROR(LOOKUP(2,1/(('Match Log'!$D$4:$D$1510=$K$24)*('Match Log'!$A$4:$A$1510&lt;=$J299)),'Match Log'!$N$4:$N$1510),NA()))</f>
        <v>1265.5221853966827</v>
      </c>
      <c r="L299">
        <f>IF($J299&gt;MAX('Match Log'!$A$4:$A$1510),NA(),IFERROR(LOOKUP(2,1/(('Match Log'!$D$4:$D$1510=$L$24)*('Match Log'!$A$4:$A$1510&lt;=$J299)),'Match Log'!$N$4:$N$1510),NA()))</f>
        <v>1029.5175965335138</v>
      </c>
      <c r="M299">
        <f>IF($J299&gt;MAX('Match Log'!$A$4:$A$1510),NA(),IFERROR(LOOKUP(2,1/(('Match Log'!$D$4:$D$1510=$M$24)*('Match Log'!$A$4:$A$1510&lt;=$J299)),'Match Log'!$N$4:$N$1510),NA()))</f>
        <v>1098.8851304702137</v>
      </c>
      <c r="N299">
        <f>IF($J299&gt;MAX('Match Log'!$A$4:$A$1510),NA(),IFERROR(LOOKUP(2,1/(('Match Log'!$D$4:$D$1510=$N$24)*('Match Log'!$A$4:$A$1510&lt;=$J299)),'Match Log'!$N$4:$N$1510),NA()))</f>
        <v>907.03133644117429</v>
      </c>
      <c r="O299">
        <f>IF($J299&gt;MAX('Match Log'!$A$4:$A$1510),NA(),IFERROR(LOOKUP(2,1/(('Match Log'!$D$4:$D$1510=$O$24)*('Match Log'!$A$4:$A$1510&lt;=$J299)),'Match Log'!$N$4:$N$1510),NA()))</f>
        <v>1155.9112046633588</v>
      </c>
      <c r="P299">
        <f>IF($J299&gt;MAX('Match Log'!$A$4:$A$1510),NA(),IFERROR(LOOKUP(2,1/(('Match Log'!$D$4:$D$1510=$P$24)*('Match Log'!$A$4:$A$1510&lt;=$J299)),'Match Log'!$N$4:$N$1510),NA()))</f>
        <v>1269.2069507127815</v>
      </c>
      <c r="Q299">
        <f>IF($J299&gt;MAX('Match Log'!$A$4:$A$1510),NA(),IFERROR(LOOKUP(2,1/(('Match Log'!$D$4:$D$1510=$Q$24)*('Match Log'!$A$4:$A$1510&lt;=$J299)),'Match Log'!$N$4:$N$1510),NA()))</f>
        <v>1108.9390493953028</v>
      </c>
      <c r="R299">
        <f>IF($J299&gt;MAX('Match Log'!$A$4:$A$1510),NA(),IFERROR(LOOKUP(2,1/(('Match Log'!$D$4:$D$1510=$R$24)*('Match Log'!$A$4:$A$1510&lt;=$J299)),'Match Log'!$N$4:$N$1510),NA()))</f>
        <v>1017.3646895179213</v>
      </c>
      <c r="S299">
        <f>IF($J299&gt;MAX('Match Log'!$A$4:$A$1510),NA(),IFERROR(LOOKUP(2,1/(('Match Log'!$D$4:$D$1510=$S$24)*('Match Log'!$A$4:$A$1510&lt;=$J299)),'Match Log'!$N$4:$N$1510),NA()))</f>
        <v>1248.9288111472574</v>
      </c>
      <c r="T299">
        <f>IF($J299&gt;MAX('Match Log'!$A$4:$A$1510),NA(),IFERROR(LOOKUP(2,1/(('Match Log'!$D$4:$D$1510=$T$24)*('Match Log'!$A$4:$A$1510&lt;=$J299)),'Match Log'!$N$4:$N$1510),NA()))</f>
        <v>862.22294373677494</v>
      </c>
      <c r="U299">
        <f>IF($J299&gt;MAX('Match Log'!$A$4:$A$1510),NA(),IFERROR(LOOKUP(2,1/(('Match Log'!$D$4:$D$1510=$U$24)*('Match Log'!$A$4:$A$1510&lt;=$J299)),'Match Log'!$N$4:$N$1510),NA()))</f>
        <v>971.70194675781806</v>
      </c>
      <c r="V299">
        <f>IF($J299&gt;MAX('Match Log'!$A$4:$A$1510),NA(),IFERROR(LOOKUP(2,1/(('Match Log'!$D$4:$D$1510=$V$24)*('Match Log'!$A$4:$A$1510&lt;=$J299)),'Match Log'!$N$4:$N$1510),NA()))</f>
        <v>1087.5488947064855</v>
      </c>
      <c r="W299">
        <f>IF($J299&gt;MAX('Match Log'!$A$4:$A$1510),NA(),IFERROR(LOOKUP(2,1/(('Match Log'!$D$4:$D$1510=$W$24)*('Match Log'!$A$4:$A$1510&lt;=$J299)),'Match Log'!$N$4:$N$1510),NA()))</f>
        <v>1023.2192605207141</v>
      </c>
      <c r="X299" t="e">
        <f>IF($J299&gt;MAX('Match Log'!$A$4:$A$1510),NA(),IFERROR(LOOKUP(2,1/(('Match Log'!$D$4:$D$1510=$X$24)*('Match Log'!$A$4:$A$1510&lt;=$J299)),'Match Log'!$N$4:$N$1510),NA()))</f>
        <v>#N/A</v>
      </c>
      <c r="Y299" t="str">
        <f t="shared" ca="1" si="31"/>
        <v/>
      </c>
    </row>
    <row r="300" spans="1:25" x14ac:dyDescent="0.2">
      <c r="A300">
        <v>276</v>
      </c>
      <c r="B300">
        <f>IFERROR(INDEX('Match Log'!$B$4:$B$1510,MATCH($A300,'Match Log'!$A$4:$A$1510,0)),"")</f>
        <v>46260</v>
      </c>
      <c r="C300" t="str">
        <f>IFERROR(INDEX('Match Log'!$C$4:$C$1510,MATCH($A300,'Match Log'!$A$4:$A$1510,0)),"")</f>
        <v>Cards</v>
      </c>
      <c r="D300" t="str">
        <f t="array" ref="D300">IFERROR(_xlfn.TEXTJOIN(" + ",TRUE(),IF(('Match Log'!$A$4:$A$1510=$A300)*('Match Log'!$E$4:$E$1510="Win"),'Match Log'!$D$4:$D$1510,"")),IFERROR(LOOKUP(2,1/(('Match Log'!$A$4:$A$1510=$A300)*('Match Log'!$E$4:$E$1510="Win")),'Match Log'!$D$4:$D$1510),""))</f>
        <v>Shawn</v>
      </c>
      <c r="E300">
        <f>IFERROR(INDEX('Match Log'!$F$4:$F$1510,MATCH($A300,'Match Log'!$A$4:$A$1510,0)),"")</f>
        <v>3</v>
      </c>
      <c r="F300">
        <f>IFERROR(SUMIFS('Match Log'!$I$4:$I$1510,'Match Log'!$A$4:$A$1510,$A300,'Match Log'!$E$4:$E$1510,"Win"),"")</f>
        <v>0.2</v>
      </c>
      <c r="G300">
        <f t="shared" si="29"/>
        <v>0.39999999999999991</v>
      </c>
      <c r="H300" t="str">
        <f t="array" ref="H300">IFERROR(IF(COUNTIFS('Match Log'!$A$4:$A$1510,$A300,'Match Log'!$E$4:$E$1510,"Win")&gt;1,_xlfn.TEXTJOIN(" + ",TRUE(),IF(('Match Log'!$A$4:$A$1510=$A300)*('Match Log'!$E$4:$E$1510="Loss"),'Match Log'!$D$4:$D$1510,"")),IF($E300=2,LOOKUP(2,1/(('Match Log'!$A$4:$A$1510=$A300)*('Match Log'!$E$4:$E$1510="Loss")),'Match Log'!$D$4:$D$1510),"the field")),"")</f>
        <v>the field</v>
      </c>
      <c r="I300">
        <f t="shared" si="30"/>
        <v>0.39972399999999991</v>
      </c>
      <c r="J300">
        <v>276</v>
      </c>
      <c r="K300">
        <f>IF($J300&gt;MAX('Match Log'!$A$4:$A$1510),NA(),IFERROR(LOOKUP(2,1/(('Match Log'!$D$4:$D$1510=$K$24)*('Match Log'!$A$4:$A$1510&lt;=$J300)),'Match Log'!$N$4:$N$1510),NA()))</f>
        <v>1265.5221853966827</v>
      </c>
      <c r="L300">
        <f>IF($J300&gt;MAX('Match Log'!$A$4:$A$1510),NA(),IFERROR(LOOKUP(2,1/(('Match Log'!$D$4:$D$1510=$L$24)*('Match Log'!$A$4:$A$1510&lt;=$J300)),'Match Log'!$N$4:$N$1510),NA()))</f>
        <v>1029.5175965335138</v>
      </c>
      <c r="M300">
        <f>IF($J300&gt;MAX('Match Log'!$A$4:$A$1510),NA(),IFERROR(LOOKUP(2,1/(('Match Log'!$D$4:$D$1510=$M$24)*('Match Log'!$A$4:$A$1510&lt;=$J300)),'Match Log'!$N$4:$N$1510),NA()))</f>
        <v>1098.8851304702137</v>
      </c>
      <c r="N300">
        <f>IF($J300&gt;MAX('Match Log'!$A$4:$A$1510),NA(),IFERROR(LOOKUP(2,1/(('Match Log'!$D$4:$D$1510=$N$24)*('Match Log'!$A$4:$A$1510&lt;=$J300)),'Match Log'!$N$4:$N$1510),NA()))</f>
        <v>907.03133644117429</v>
      </c>
      <c r="O300">
        <f>IF($J300&gt;MAX('Match Log'!$A$4:$A$1510),NA(),IFERROR(LOOKUP(2,1/(('Match Log'!$D$4:$D$1510=$O$24)*('Match Log'!$A$4:$A$1510&lt;=$J300)),'Match Log'!$N$4:$N$1510),NA()))</f>
        <v>1155.9112046633588</v>
      </c>
      <c r="P300">
        <f>IF($J300&gt;MAX('Match Log'!$A$4:$A$1510),NA(),IFERROR(LOOKUP(2,1/(('Match Log'!$D$4:$D$1510=$P$24)*('Match Log'!$A$4:$A$1510&lt;=$J300)),'Match Log'!$N$4:$N$1510),NA()))</f>
        <v>1291.3210854006168</v>
      </c>
      <c r="Q300">
        <f>IF($J300&gt;MAX('Match Log'!$A$4:$A$1510),NA(),IFERROR(LOOKUP(2,1/(('Match Log'!$D$4:$D$1510=$Q$24)*('Match Log'!$A$4:$A$1510&lt;=$J300)),'Match Log'!$N$4:$N$1510),NA()))</f>
        <v>1099.6597362825432</v>
      </c>
      <c r="R300">
        <f>IF($J300&gt;MAX('Match Log'!$A$4:$A$1510),NA(),IFERROR(LOOKUP(2,1/(('Match Log'!$D$4:$D$1510=$R$24)*('Match Log'!$A$4:$A$1510&lt;=$J300)),'Match Log'!$N$4:$N$1510),NA()))</f>
        <v>1017.3646895179213</v>
      </c>
      <c r="S300">
        <f>IF($J300&gt;MAX('Match Log'!$A$4:$A$1510),NA(),IFERROR(LOOKUP(2,1/(('Match Log'!$D$4:$D$1510=$S$24)*('Match Log'!$A$4:$A$1510&lt;=$J300)),'Match Log'!$N$4:$N$1510),NA()))</f>
        <v>1248.9288111472574</v>
      </c>
      <c r="T300">
        <f>IF($J300&gt;MAX('Match Log'!$A$4:$A$1510),NA(),IFERROR(LOOKUP(2,1/(('Match Log'!$D$4:$D$1510=$T$24)*('Match Log'!$A$4:$A$1510&lt;=$J300)),'Match Log'!$N$4:$N$1510),NA()))</f>
        <v>862.22294373677494</v>
      </c>
      <c r="U300">
        <f>IF($J300&gt;MAX('Match Log'!$A$4:$A$1510),NA(),IFERROR(LOOKUP(2,1/(('Match Log'!$D$4:$D$1510=$U$24)*('Match Log'!$A$4:$A$1510&lt;=$J300)),'Match Log'!$N$4:$N$1510),NA()))</f>
        <v>967.86712518274226</v>
      </c>
      <c r="V300">
        <f>IF($J300&gt;MAX('Match Log'!$A$4:$A$1510),NA(),IFERROR(LOOKUP(2,1/(('Match Log'!$D$4:$D$1510=$V$24)*('Match Log'!$A$4:$A$1510&lt;=$J300)),'Match Log'!$N$4:$N$1510),NA()))</f>
        <v>1087.5488947064855</v>
      </c>
      <c r="W300">
        <f>IF($J300&gt;MAX('Match Log'!$A$4:$A$1510),NA(),IFERROR(LOOKUP(2,1/(('Match Log'!$D$4:$D$1510=$W$24)*('Match Log'!$A$4:$A$1510&lt;=$J300)),'Match Log'!$N$4:$N$1510),NA()))</f>
        <v>1023.2192605207141</v>
      </c>
      <c r="X300" t="e">
        <f>IF($J300&gt;MAX('Match Log'!$A$4:$A$1510),NA(),IFERROR(LOOKUP(2,1/(('Match Log'!$D$4:$D$1510=$X$24)*('Match Log'!$A$4:$A$1510&lt;=$J300)),'Match Log'!$N$4:$N$1510),NA()))</f>
        <v>#N/A</v>
      </c>
      <c r="Y300" t="str">
        <f t="shared" ca="1" si="31"/>
        <v/>
      </c>
    </row>
    <row r="301" spans="1:25" x14ac:dyDescent="0.2">
      <c r="A301">
        <v>277</v>
      </c>
      <c r="B301">
        <f>IFERROR(INDEX('Match Log'!$B$4:$B$1510,MATCH($A301,'Match Log'!$A$4:$A$1510,0)),"")</f>
        <v>46264</v>
      </c>
      <c r="C301" t="str">
        <f>IFERROR(INDEX('Match Log'!$C$4:$C$1510,MATCH($A301,'Match Log'!$A$4:$A$1510,0)),"")</f>
        <v>Chess</v>
      </c>
      <c r="D301" t="str">
        <f t="array" ref="D301">IFERROR(_xlfn.TEXTJOIN(" + ",TRUE(),IF(('Match Log'!$A$4:$A$1510=$A301)*('Match Log'!$E$4:$E$1510="Win"),'Match Log'!$D$4:$D$1510,"")),IFERROR(LOOKUP(2,1/(('Match Log'!$A$4:$A$1510=$A301)*('Match Log'!$E$4:$E$1510="Win")),'Match Log'!$D$4:$D$1510),""))</f>
        <v>Shawn</v>
      </c>
      <c r="E301">
        <f>IFERROR(INDEX('Match Log'!$F$4:$F$1510,MATCH($A301,'Match Log'!$A$4:$A$1510,0)),"")</f>
        <v>2</v>
      </c>
      <c r="F301">
        <f>IFERROR(SUMIFS('Match Log'!$I$4:$I$1510,'Match Log'!$A$4:$A$1510,$A301,'Match Log'!$E$4:$E$1510,"Win"),"")</f>
        <v>0.83333333333333337</v>
      </c>
      <c r="G301">
        <f t="shared" si="29"/>
        <v>-0.66666666666666674</v>
      </c>
      <c r="H301" t="str">
        <f t="array" ref="H301">IFERROR(IF(COUNTIFS('Match Log'!$A$4:$A$1510,$A301,'Match Log'!$E$4:$E$1510,"Win")&gt;1,_xlfn.TEXTJOIN(" + ",TRUE(),IF(('Match Log'!$A$4:$A$1510=$A301)*('Match Log'!$E$4:$E$1510="Loss"),'Match Log'!$D$4:$D$1510,"")),IF($E301=2,LOOKUP(2,1/(('Match Log'!$A$4:$A$1510=$A301)*('Match Log'!$E$4:$E$1510="Loss")),'Match Log'!$D$4:$D$1510),"the field")),"")</f>
        <v>Daniel (Ferret)</v>
      </c>
      <c r="I301">
        <f t="shared" si="30"/>
        <v>-0.66694366666666671</v>
      </c>
      <c r="J301">
        <v>277</v>
      </c>
      <c r="K301">
        <f>IF($J301&gt;MAX('Match Log'!$A$4:$A$1510),NA(),IFERROR(LOOKUP(2,1/(('Match Log'!$D$4:$D$1510=$K$24)*('Match Log'!$A$4:$A$1510&lt;=$J301)),'Match Log'!$N$4:$N$1510),NA()))</f>
        <v>1265.5221853966827</v>
      </c>
      <c r="L301">
        <f>IF($J301&gt;MAX('Match Log'!$A$4:$A$1510),NA(),IFERROR(LOOKUP(2,1/(('Match Log'!$D$4:$D$1510=$L$24)*('Match Log'!$A$4:$A$1510&lt;=$J301)),'Match Log'!$N$4:$N$1510),NA()))</f>
        <v>1029.5175965335138</v>
      </c>
      <c r="M301">
        <f>IF($J301&gt;MAX('Match Log'!$A$4:$A$1510),NA(),IFERROR(LOOKUP(2,1/(('Match Log'!$D$4:$D$1510=$M$24)*('Match Log'!$A$4:$A$1510&lt;=$J301)),'Match Log'!$N$4:$N$1510),NA()))</f>
        <v>1098.8851304702137</v>
      </c>
      <c r="N301">
        <f>IF($J301&gt;MAX('Match Log'!$A$4:$A$1510),NA(),IFERROR(LOOKUP(2,1/(('Match Log'!$D$4:$D$1510=$N$24)*('Match Log'!$A$4:$A$1510&lt;=$J301)),'Match Log'!$N$4:$N$1510),NA()))</f>
        <v>907.03133644117429</v>
      </c>
      <c r="O301">
        <f>IF($J301&gt;MAX('Match Log'!$A$4:$A$1510),NA(),IFERROR(LOOKUP(2,1/(('Match Log'!$D$4:$D$1510=$O$24)*('Match Log'!$A$4:$A$1510&lt;=$J301)),'Match Log'!$N$4:$N$1510),NA()))</f>
        <v>1155.9112046633588</v>
      </c>
      <c r="P301">
        <f>IF($J301&gt;MAX('Match Log'!$A$4:$A$1510),NA(),IFERROR(LOOKUP(2,1/(('Match Log'!$D$4:$D$1510=$P$24)*('Match Log'!$A$4:$A$1510&lt;=$J301)),'Match Log'!$N$4:$N$1510),NA()))</f>
        <v>1300.9488632874916</v>
      </c>
      <c r="Q301">
        <f>IF($J301&gt;MAX('Match Log'!$A$4:$A$1510),NA(),IFERROR(LOOKUP(2,1/(('Match Log'!$D$4:$D$1510=$Q$24)*('Match Log'!$A$4:$A$1510&lt;=$J301)),'Match Log'!$N$4:$N$1510),NA()))</f>
        <v>1099.6597362825432</v>
      </c>
      <c r="R301">
        <f>IF($J301&gt;MAX('Match Log'!$A$4:$A$1510),NA(),IFERROR(LOOKUP(2,1/(('Match Log'!$D$4:$D$1510=$R$24)*('Match Log'!$A$4:$A$1510&lt;=$J301)),'Match Log'!$N$4:$N$1510),NA()))</f>
        <v>1007.7369116310465</v>
      </c>
      <c r="S301">
        <f>IF($J301&gt;MAX('Match Log'!$A$4:$A$1510),NA(),IFERROR(LOOKUP(2,1/(('Match Log'!$D$4:$D$1510=$S$24)*('Match Log'!$A$4:$A$1510&lt;=$J301)),'Match Log'!$N$4:$N$1510),NA()))</f>
        <v>1248.9288111472574</v>
      </c>
      <c r="T301">
        <f>IF($J301&gt;MAX('Match Log'!$A$4:$A$1510),NA(),IFERROR(LOOKUP(2,1/(('Match Log'!$D$4:$D$1510=$T$24)*('Match Log'!$A$4:$A$1510&lt;=$J301)),'Match Log'!$N$4:$N$1510),NA()))</f>
        <v>862.22294373677494</v>
      </c>
      <c r="U301">
        <f>IF($J301&gt;MAX('Match Log'!$A$4:$A$1510),NA(),IFERROR(LOOKUP(2,1/(('Match Log'!$D$4:$D$1510=$U$24)*('Match Log'!$A$4:$A$1510&lt;=$J301)),'Match Log'!$N$4:$N$1510),NA()))</f>
        <v>967.86712518274226</v>
      </c>
      <c r="V301">
        <f>IF($J301&gt;MAX('Match Log'!$A$4:$A$1510),NA(),IFERROR(LOOKUP(2,1/(('Match Log'!$D$4:$D$1510=$V$24)*('Match Log'!$A$4:$A$1510&lt;=$J301)),'Match Log'!$N$4:$N$1510),NA()))</f>
        <v>1087.5488947064855</v>
      </c>
      <c r="W301">
        <f>IF($J301&gt;MAX('Match Log'!$A$4:$A$1510),NA(),IFERROR(LOOKUP(2,1/(('Match Log'!$D$4:$D$1510=$W$24)*('Match Log'!$A$4:$A$1510&lt;=$J301)),'Match Log'!$N$4:$N$1510),NA()))</f>
        <v>1023.2192605207141</v>
      </c>
      <c r="X301" t="e">
        <f>IF($J301&gt;MAX('Match Log'!$A$4:$A$1510),NA(),IFERROR(LOOKUP(2,1/(('Match Log'!$D$4:$D$1510=$X$24)*('Match Log'!$A$4:$A$1510&lt;=$J301)),'Match Log'!$N$4:$N$1510),NA()))</f>
        <v>#N/A</v>
      </c>
      <c r="Y301" t="str">
        <f t="shared" ca="1" si="31"/>
        <v/>
      </c>
    </row>
    <row r="302" spans="1:25" x14ac:dyDescent="0.2">
      <c r="A302">
        <v>278</v>
      </c>
      <c r="B302">
        <f>IFERROR(INDEX('Match Log'!$B$4:$B$1510,MATCH($A302,'Match Log'!$A$4:$A$1510,0)),"")</f>
        <v>46271</v>
      </c>
      <c r="C302" t="str">
        <f>IFERROR(INDEX('Match Log'!$C$4:$C$1510,MATCH($A302,'Match Log'!$A$4:$A$1510,0)),"")</f>
        <v>Back Yard Putt Putt</v>
      </c>
      <c r="D302" t="str">
        <f t="array" ref="D302">IFERROR(_xlfn.TEXTJOIN(" + ",TRUE(),IF(('Match Log'!$A$4:$A$1510=$A302)*('Match Log'!$E$4:$E$1510="Win"),'Match Log'!$D$4:$D$1510,"")),IFERROR(LOOKUP(2,1/(('Match Log'!$A$4:$A$1510=$A302)*('Match Log'!$E$4:$E$1510="Win")),'Match Log'!$D$4:$D$1510),""))</f>
        <v>Shawn</v>
      </c>
      <c r="E302">
        <f>IFERROR(INDEX('Match Log'!$F$4:$F$1510,MATCH($A302,'Match Log'!$A$4:$A$1510,0)),"")</f>
        <v>3</v>
      </c>
      <c r="F302">
        <f>IFERROR(SUMIFS('Match Log'!$I$4:$I$1510,'Match Log'!$A$4:$A$1510,$A302,'Match Log'!$E$4:$E$1510,"Win"),"")</f>
        <v>0.33333333333333331</v>
      </c>
      <c r="G302">
        <f t="shared" si="29"/>
        <v>0</v>
      </c>
      <c r="H302" t="str">
        <f t="array" ref="H302">IFERROR(IF(COUNTIFS('Match Log'!$A$4:$A$1510,$A302,'Match Log'!$E$4:$E$1510,"Win")&gt;1,_xlfn.TEXTJOIN(" + ",TRUE(),IF(('Match Log'!$A$4:$A$1510=$A302)*('Match Log'!$E$4:$E$1510="Loss"),'Match Log'!$D$4:$D$1510,"")),IF($E302=2,LOOKUP(2,1/(('Match Log'!$A$4:$A$1510=$A302)*('Match Log'!$E$4:$E$1510="Loss")),'Match Log'!$D$4:$D$1510),"the field")),"")</f>
        <v>the field</v>
      </c>
      <c r="I302">
        <f t="shared" si="30"/>
        <v>-2.7799999999999998E-4</v>
      </c>
      <c r="J302">
        <v>278</v>
      </c>
      <c r="K302">
        <f>IF($J302&gt;MAX('Match Log'!$A$4:$A$1510),NA(),IFERROR(LOOKUP(2,1/(('Match Log'!$D$4:$D$1510=$K$24)*('Match Log'!$A$4:$A$1510&lt;=$J302)),'Match Log'!$N$4:$N$1510),NA()))</f>
        <v>1265.5221853966827</v>
      </c>
      <c r="L302">
        <f>IF($J302&gt;MAX('Match Log'!$A$4:$A$1510),NA(),IFERROR(LOOKUP(2,1/(('Match Log'!$D$4:$D$1510=$L$24)*('Match Log'!$A$4:$A$1510&lt;=$J302)),'Match Log'!$N$4:$N$1510),NA()))</f>
        <v>1029.5175965335138</v>
      </c>
      <c r="M302">
        <f>IF($J302&gt;MAX('Match Log'!$A$4:$A$1510),NA(),IFERROR(LOOKUP(2,1/(('Match Log'!$D$4:$D$1510=$M$24)*('Match Log'!$A$4:$A$1510&lt;=$J302)),'Match Log'!$N$4:$N$1510),NA()))</f>
        <v>1098.8851304702137</v>
      </c>
      <c r="N302">
        <f>IF($J302&gt;MAX('Match Log'!$A$4:$A$1510),NA(),IFERROR(LOOKUP(2,1/(('Match Log'!$D$4:$D$1510=$N$24)*('Match Log'!$A$4:$A$1510&lt;=$J302)),'Match Log'!$N$4:$N$1510),NA()))</f>
        <v>907.03133644117429</v>
      </c>
      <c r="O302">
        <f>IF($J302&gt;MAX('Match Log'!$A$4:$A$1510),NA(),IFERROR(LOOKUP(2,1/(('Match Log'!$D$4:$D$1510=$O$24)*('Match Log'!$A$4:$A$1510&lt;=$J302)),'Match Log'!$N$4:$N$1510),NA()))</f>
        <v>1155.9112046633588</v>
      </c>
      <c r="P302">
        <f>IF($J302&gt;MAX('Match Log'!$A$4:$A$1510),NA(),IFERROR(LOOKUP(2,1/(('Match Log'!$D$4:$D$1510=$P$24)*('Match Log'!$A$4:$A$1510&lt;=$J302)),'Match Log'!$N$4:$N$1510),NA()))</f>
        <v>1317.8217591924433</v>
      </c>
      <c r="Q302">
        <f>IF($J302&gt;MAX('Match Log'!$A$4:$A$1510),NA(),IFERROR(LOOKUP(2,1/(('Match Log'!$D$4:$D$1510=$Q$24)*('Match Log'!$A$4:$A$1510&lt;=$J302)),'Match Log'!$N$4:$N$1510),NA()))</f>
        <v>1094.8373178296154</v>
      </c>
      <c r="R302">
        <f>IF($J302&gt;MAX('Match Log'!$A$4:$A$1510),NA(),IFERROR(LOOKUP(2,1/(('Match Log'!$D$4:$D$1510=$R$24)*('Match Log'!$A$4:$A$1510&lt;=$J302)),'Match Log'!$N$4:$N$1510),NA()))</f>
        <v>1007.7369116310465</v>
      </c>
      <c r="S302">
        <f>IF($J302&gt;MAX('Match Log'!$A$4:$A$1510),NA(),IFERROR(LOOKUP(2,1/(('Match Log'!$D$4:$D$1510=$S$24)*('Match Log'!$A$4:$A$1510&lt;=$J302)),'Match Log'!$N$4:$N$1510),NA()))</f>
        <v>1248.9288111472574</v>
      </c>
      <c r="T302">
        <f>IF($J302&gt;MAX('Match Log'!$A$4:$A$1510),NA(),IFERROR(LOOKUP(2,1/(('Match Log'!$D$4:$D$1510=$T$24)*('Match Log'!$A$4:$A$1510&lt;=$J302)),'Match Log'!$N$4:$N$1510),NA()))</f>
        <v>862.22294373677494</v>
      </c>
      <c r="U302">
        <f>IF($J302&gt;MAX('Match Log'!$A$4:$A$1510),NA(),IFERROR(LOOKUP(2,1/(('Match Log'!$D$4:$D$1510=$U$24)*('Match Log'!$A$4:$A$1510&lt;=$J302)),'Match Log'!$N$4:$N$1510),NA()))</f>
        <v>964.8166477307185</v>
      </c>
      <c r="V302">
        <f>IF($J302&gt;MAX('Match Log'!$A$4:$A$1510),NA(),IFERROR(LOOKUP(2,1/(('Match Log'!$D$4:$D$1510=$V$24)*('Match Log'!$A$4:$A$1510&lt;=$J302)),'Match Log'!$N$4:$N$1510),NA()))</f>
        <v>1087.5488947064855</v>
      </c>
      <c r="W302">
        <f>IF($J302&gt;MAX('Match Log'!$A$4:$A$1510),NA(),IFERROR(LOOKUP(2,1/(('Match Log'!$D$4:$D$1510=$W$24)*('Match Log'!$A$4:$A$1510&lt;=$J302)),'Match Log'!$N$4:$N$1510),NA()))</f>
        <v>1023.2192605207141</v>
      </c>
      <c r="X302" t="e">
        <f>IF($J302&gt;MAX('Match Log'!$A$4:$A$1510),NA(),IFERROR(LOOKUP(2,1/(('Match Log'!$D$4:$D$1510=$X$24)*('Match Log'!$A$4:$A$1510&lt;=$J302)),'Match Log'!$N$4:$N$1510),NA()))</f>
        <v>#N/A</v>
      </c>
      <c r="Y302" t="str">
        <f t="shared" ca="1" si="31"/>
        <v/>
      </c>
    </row>
    <row r="303" spans="1:25" x14ac:dyDescent="0.2">
      <c r="A303">
        <v>279</v>
      </c>
      <c r="B303">
        <f>IFERROR(INDEX('Match Log'!$B$4:$B$1510,MATCH($A303,'Match Log'!$A$4:$A$1510,0)),"")</f>
        <v>46271</v>
      </c>
      <c r="C303" t="str">
        <f>IFERROR(INDEX('Match Log'!$C$4:$C$1510,MATCH($A303,'Match Log'!$A$4:$A$1510,0)),"")</f>
        <v>Back Yard Putt Putt</v>
      </c>
      <c r="D303" t="str">
        <f t="array" ref="D303">IFERROR(_xlfn.TEXTJOIN(" + ",TRUE(),IF(('Match Log'!$A$4:$A$1510=$A303)*('Match Log'!$E$4:$E$1510="Win"),'Match Log'!$D$4:$D$1510,"")),IFERROR(LOOKUP(2,1/(('Match Log'!$A$4:$A$1510=$A303)*('Match Log'!$E$4:$E$1510="Win")),'Match Log'!$D$4:$D$1510),""))</f>
        <v>Simon</v>
      </c>
      <c r="E303">
        <f>IFERROR(INDEX('Match Log'!$F$4:$F$1510,MATCH($A303,'Match Log'!$A$4:$A$1510,0)),"")</f>
        <v>3</v>
      </c>
      <c r="F303">
        <f>IFERROR(SUMIFS('Match Log'!$I$4:$I$1510,'Match Log'!$A$4:$A$1510,$A303,'Match Log'!$E$4:$E$1510,"Win"),"")</f>
        <v>0.25</v>
      </c>
      <c r="G303">
        <f t="shared" si="29"/>
        <v>0.25</v>
      </c>
      <c r="H303" t="str">
        <f t="array" ref="H303">IFERROR(IF(COUNTIFS('Match Log'!$A$4:$A$1510,$A303,'Match Log'!$E$4:$E$1510,"Win")&gt;1,_xlfn.TEXTJOIN(" + ",TRUE(),IF(('Match Log'!$A$4:$A$1510=$A303)*('Match Log'!$E$4:$E$1510="Loss"),'Match Log'!$D$4:$D$1510,"")),IF($E303=2,LOOKUP(2,1/(('Match Log'!$A$4:$A$1510=$A303)*('Match Log'!$E$4:$E$1510="Loss")),'Match Log'!$D$4:$D$1510),"the field")),"")</f>
        <v>the field</v>
      </c>
      <c r="I303">
        <f t="shared" si="30"/>
        <v>0.249721</v>
      </c>
      <c r="J303">
        <v>279</v>
      </c>
      <c r="K303">
        <f>IF($J303&gt;MAX('Match Log'!$A$4:$A$1510),NA(),IFERROR(LOOKUP(2,1/(('Match Log'!$D$4:$D$1510=$K$24)*('Match Log'!$A$4:$A$1510&lt;=$J303)),'Match Log'!$N$4:$N$1510),NA()))</f>
        <v>1265.5221853966827</v>
      </c>
      <c r="L303">
        <f>IF($J303&gt;MAX('Match Log'!$A$4:$A$1510),NA(),IFERROR(LOOKUP(2,1/(('Match Log'!$D$4:$D$1510=$L$24)*('Match Log'!$A$4:$A$1510&lt;=$J303)),'Match Log'!$N$4:$N$1510),NA()))</f>
        <v>1029.5175965335138</v>
      </c>
      <c r="M303">
        <f>IF($J303&gt;MAX('Match Log'!$A$4:$A$1510),NA(),IFERROR(LOOKUP(2,1/(('Match Log'!$D$4:$D$1510=$M$24)*('Match Log'!$A$4:$A$1510&lt;=$J303)),'Match Log'!$N$4:$N$1510),NA()))</f>
        <v>1098.8851304702137</v>
      </c>
      <c r="N303">
        <f>IF($J303&gt;MAX('Match Log'!$A$4:$A$1510),NA(),IFERROR(LOOKUP(2,1/(('Match Log'!$D$4:$D$1510=$N$24)*('Match Log'!$A$4:$A$1510&lt;=$J303)),'Match Log'!$N$4:$N$1510),NA()))</f>
        <v>907.03133644117429</v>
      </c>
      <c r="O303">
        <f>IF($J303&gt;MAX('Match Log'!$A$4:$A$1510),NA(),IFERROR(LOOKUP(2,1/(('Match Log'!$D$4:$D$1510=$O$24)*('Match Log'!$A$4:$A$1510&lt;=$J303)),'Match Log'!$N$4:$N$1510),NA()))</f>
        <v>1155.9112046633588</v>
      </c>
      <c r="P303">
        <f>IF($J303&gt;MAX('Match Log'!$A$4:$A$1510),NA(),IFERROR(LOOKUP(2,1/(('Match Log'!$D$4:$D$1510=$P$24)*('Match Log'!$A$4:$A$1510&lt;=$J303)),'Match Log'!$N$4:$N$1510),NA()))</f>
        <v>1302.8395406967643</v>
      </c>
      <c r="Q303">
        <f>IF($J303&gt;MAX('Match Log'!$A$4:$A$1510),NA(),IFERROR(LOOKUP(2,1/(('Match Log'!$D$4:$D$1510=$Q$24)*('Match Log'!$A$4:$A$1510&lt;=$J303)),'Match Log'!$N$4:$N$1510),NA()))</f>
        <v>1124.4025249448839</v>
      </c>
      <c r="R303">
        <f>IF($J303&gt;MAX('Match Log'!$A$4:$A$1510),NA(),IFERROR(LOOKUP(2,1/(('Match Log'!$D$4:$D$1510=$R$24)*('Match Log'!$A$4:$A$1510&lt;=$J303)),'Match Log'!$N$4:$N$1510),NA()))</f>
        <v>1007.7369116310465</v>
      </c>
      <c r="S303">
        <f>IF($J303&gt;MAX('Match Log'!$A$4:$A$1510),NA(),IFERROR(LOOKUP(2,1/(('Match Log'!$D$4:$D$1510=$S$24)*('Match Log'!$A$4:$A$1510&lt;=$J303)),'Match Log'!$N$4:$N$1510),NA()))</f>
        <v>1248.9288111472574</v>
      </c>
      <c r="T303">
        <f>IF($J303&gt;MAX('Match Log'!$A$4:$A$1510),NA(),IFERROR(LOOKUP(2,1/(('Match Log'!$D$4:$D$1510=$T$24)*('Match Log'!$A$4:$A$1510&lt;=$J303)),'Match Log'!$N$4:$N$1510),NA()))</f>
        <v>862.22294373677494</v>
      </c>
      <c r="U303">
        <f>IF($J303&gt;MAX('Match Log'!$A$4:$A$1510),NA(),IFERROR(LOOKUP(2,1/(('Match Log'!$D$4:$D$1510=$U$24)*('Match Log'!$A$4:$A$1510&lt;=$J303)),'Match Log'!$N$4:$N$1510),NA()))</f>
        <v>959.23365911112899</v>
      </c>
      <c r="V303">
        <f>IF($J303&gt;MAX('Match Log'!$A$4:$A$1510),NA(),IFERROR(LOOKUP(2,1/(('Match Log'!$D$4:$D$1510=$V$24)*('Match Log'!$A$4:$A$1510&lt;=$J303)),'Match Log'!$N$4:$N$1510),NA()))</f>
        <v>1087.5488947064855</v>
      </c>
      <c r="W303">
        <f>IF($J303&gt;MAX('Match Log'!$A$4:$A$1510),NA(),IFERROR(LOOKUP(2,1/(('Match Log'!$D$4:$D$1510=$W$24)*('Match Log'!$A$4:$A$1510&lt;=$J303)),'Match Log'!$N$4:$N$1510),NA()))</f>
        <v>1023.2192605207141</v>
      </c>
      <c r="X303" t="e">
        <f>IF($J303&gt;MAX('Match Log'!$A$4:$A$1510),NA(),IFERROR(LOOKUP(2,1/(('Match Log'!$D$4:$D$1510=$X$24)*('Match Log'!$A$4:$A$1510&lt;=$J303)),'Match Log'!$N$4:$N$1510),NA()))</f>
        <v>#N/A</v>
      </c>
      <c r="Y303" t="str">
        <f t="shared" ca="1" si="31"/>
        <v/>
      </c>
    </row>
    <row r="304" spans="1:25" x14ac:dyDescent="0.2">
      <c r="A304">
        <v>280</v>
      </c>
      <c r="B304">
        <f>IFERROR(INDEX('Match Log'!$B$4:$B$1510,MATCH($A304,'Match Log'!$A$4:$A$1510,0)),"")</f>
        <v>46271</v>
      </c>
      <c r="C304" t="str">
        <f>IFERROR(INDEX('Match Log'!$C$4:$C$1510,MATCH($A304,'Match Log'!$A$4:$A$1510,0)),"")</f>
        <v>Back Yard Putt Putt</v>
      </c>
      <c r="D304" t="str">
        <f t="array" ref="D304">IFERROR(_xlfn.TEXTJOIN(" + ",TRUE(),IF(('Match Log'!$A$4:$A$1510=$A304)*('Match Log'!$E$4:$E$1510="Win"),'Match Log'!$D$4:$D$1510,"")),IFERROR(LOOKUP(2,1/(('Match Log'!$A$4:$A$1510=$A304)*('Match Log'!$E$4:$E$1510="Win")),'Match Log'!$D$4:$D$1510),""))</f>
        <v>Simon</v>
      </c>
      <c r="E304">
        <f>IFERROR(INDEX('Match Log'!$F$4:$F$1510,MATCH($A304,'Match Log'!$A$4:$A$1510,0)),"")</f>
        <v>3</v>
      </c>
      <c r="F304">
        <f>IFERROR(SUMIFS('Match Log'!$I$4:$I$1510,'Match Log'!$A$4:$A$1510,$A304,'Match Log'!$E$4:$E$1510,"Win"),"")</f>
        <v>0.4</v>
      </c>
      <c r="G304">
        <f t="shared" si="29"/>
        <v>-0.20000000000000018</v>
      </c>
      <c r="H304" t="str">
        <f t="array" ref="H304">IFERROR(IF(COUNTIFS('Match Log'!$A$4:$A$1510,$A304,'Match Log'!$E$4:$E$1510,"Win")&gt;1,_xlfn.TEXTJOIN(" + ",TRUE(),IF(('Match Log'!$A$4:$A$1510=$A304)*('Match Log'!$E$4:$E$1510="Loss"),'Match Log'!$D$4:$D$1510,"")),IF($E304=2,LOOKUP(2,1/(('Match Log'!$A$4:$A$1510=$A304)*('Match Log'!$E$4:$E$1510="Loss")),'Match Log'!$D$4:$D$1510),"the field")),"")</f>
        <v>the field</v>
      </c>
      <c r="I304">
        <f t="shared" si="30"/>
        <v>-0.20028000000000018</v>
      </c>
      <c r="J304">
        <v>280</v>
      </c>
      <c r="K304">
        <f>IF($J304&gt;MAX('Match Log'!$A$4:$A$1510),NA(),IFERROR(LOOKUP(2,1/(('Match Log'!$D$4:$D$1510=$K$24)*('Match Log'!$A$4:$A$1510&lt;=$J304)),'Match Log'!$N$4:$N$1510),NA()))</f>
        <v>1265.5221853966827</v>
      </c>
      <c r="L304">
        <f>IF($J304&gt;MAX('Match Log'!$A$4:$A$1510),NA(),IFERROR(LOOKUP(2,1/(('Match Log'!$D$4:$D$1510=$L$24)*('Match Log'!$A$4:$A$1510&lt;=$J304)),'Match Log'!$N$4:$N$1510),NA()))</f>
        <v>1029.5175965335138</v>
      </c>
      <c r="M304">
        <f>IF($J304&gt;MAX('Match Log'!$A$4:$A$1510),NA(),IFERROR(LOOKUP(2,1/(('Match Log'!$D$4:$D$1510=$M$24)*('Match Log'!$A$4:$A$1510&lt;=$J304)),'Match Log'!$N$4:$N$1510),NA()))</f>
        <v>1098.8851304702137</v>
      </c>
      <c r="N304">
        <f>IF($J304&gt;MAX('Match Log'!$A$4:$A$1510),NA(),IFERROR(LOOKUP(2,1/(('Match Log'!$D$4:$D$1510=$N$24)*('Match Log'!$A$4:$A$1510&lt;=$J304)),'Match Log'!$N$4:$N$1510),NA()))</f>
        <v>907.03133644117429</v>
      </c>
      <c r="O304">
        <f>IF($J304&gt;MAX('Match Log'!$A$4:$A$1510),NA(),IFERROR(LOOKUP(2,1/(('Match Log'!$D$4:$D$1510=$O$24)*('Match Log'!$A$4:$A$1510&lt;=$J304)),'Match Log'!$N$4:$N$1510),NA()))</f>
        <v>1155.9112046633588</v>
      </c>
      <c r="P304">
        <f>IF($J304&gt;MAX('Match Log'!$A$4:$A$1510),NA(),IFERROR(LOOKUP(2,1/(('Match Log'!$D$4:$D$1510=$P$24)*('Match Log'!$A$4:$A$1510&lt;=$J304)),'Match Log'!$N$4:$N$1510),NA()))</f>
        <v>1290.2360747990879</v>
      </c>
      <c r="Q304">
        <f>IF($J304&gt;MAX('Match Log'!$A$4:$A$1510),NA(),IFERROR(LOOKUP(2,1/(('Match Log'!$D$4:$D$1510=$Q$24)*('Match Log'!$A$4:$A$1510&lt;=$J304)),'Match Log'!$N$4:$N$1510),NA()))</f>
        <v>1150.6459877730351</v>
      </c>
      <c r="R304">
        <f>IF($J304&gt;MAX('Match Log'!$A$4:$A$1510),NA(),IFERROR(LOOKUP(2,1/(('Match Log'!$D$4:$D$1510=$R$24)*('Match Log'!$A$4:$A$1510&lt;=$J304)),'Match Log'!$N$4:$N$1510),NA()))</f>
        <v>1007.7369116310465</v>
      </c>
      <c r="S304">
        <f>IF($J304&gt;MAX('Match Log'!$A$4:$A$1510),NA(),IFERROR(LOOKUP(2,1/(('Match Log'!$D$4:$D$1510=$S$24)*('Match Log'!$A$4:$A$1510&lt;=$J304)),'Match Log'!$N$4:$N$1510),NA()))</f>
        <v>1248.9288111472574</v>
      </c>
      <c r="T304">
        <f>IF($J304&gt;MAX('Match Log'!$A$4:$A$1510),NA(),IFERROR(LOOKUP(2,1/(('Match Log'!$D$4:$D$1510=$T$24)*('Match Log'!$A$4:$A$1510&lt;=$J304)),'Match Log'!$N$4:$N$1510),NA()))</f>
        <v>862.22294373677494</v>
      </c>
      <c r="U304">
        <f>IF($J304&gt;MAX('Match Log'!$A$4:$A$1510),NA(),IFERROR(LOOKUP(2,1/(('Match Log'!$D$4:$D$1510=$U$24)*('Match Log'!$A$4:$A$1510&lt;=$J304)),'Match Log'!$N$4:$N$1510),NA()))</f>
        <v>954.59366218065418</v>
      </c>
      <c r="V304">
        <f>IF($J304&gt;MAX('Match Log'!$A$4:$A$1510),NA(),IFERROR(LOOKUP(2,1/(('Match Log'!$D$4:$D$1510=$V$24)*('Match Log'!$A$4:$A$1510&lt;=$J304)),'Match Log'!$N$4:$N$1510),NA()))</f>
        <v>1087.5488947064855</v>
      </c>
      <c r="W304">
        <f>IF($J304&gt;MAX('Match Log'!$A$4:$A$1510),NA(),IFERROR(LOOKUP(2,1/(('Match Log'!$D$4:$D$1510=$W$24)*('Match Log'!$A$4:$A$1510&lt;=$J304)),'Match Log'!$N$4:$N$1510),NA()))</f>
        <v>1023.2192605207141</v>
      </c>
      <c r="X304" t="e">
        <f>IF($J304&gt;MAX('Match Log'!$A$4:$A$1510),NA(),IFERROR(LOOKUP(2,1/(('Match Log'!$D$4:$D$1510=$X$24)*('Match Log'!$A$4:$A$1510&lt;=$J304)),'Match Log'!$N$4:$N$1510),NA()))</f>
        <v>#N/A</v>
      </c>
      <c r="Y304" t="str">
        <f t="shared" ca="1" si="31"/>
        <v/>
      </c>
    </row>
    <row r="305" spans="1:25" x14ac:dyDescent="0.2">
      <c r="A305">
        <v>281</v>
      </c>
      <c r="B305">
        <f>IFERROR(INDEX('Match Log'!$B$4:$B$1510,MATCH($A305,'Match Log'!$A$4:$A$1510,0)),"")</f>
        <v>46271</v>
      </c>
      <c r="C305" t="str">
        <f>IFERROR(INDEX('Match Log'!$C$4:$C$1510,MATCH($A305,'Match Log'!$A$4:$A$1510,0)),"")</f>
        <v>Back Yard Putt Putt</v>
      </c>
      <c r="D305" t="str">
        <f t="array" ref="D305">IFERROR(_xlfn.TEXTJOIN(" + ",TRUE(),IF(('Match Log'!$A$4:$A$1510=$A305)*('Match Log'!$E$4:$E$1510="Win"),'Match Log'!$D$4:$D$1510,"")),IFERROR(LOOKUP(2,1/(('Match Log'!$A$4:$A$1510=$A305)*('Match Log'!$E$4:$E$1510="Win")),'Match Log'!$D$4:$D$1510),""))</f>
        <v>Simon</v>
      </c>
      <c r="E305">
        <f>IFERROR(INDEX('Match Log'!$F$4:$F$1510,MATCH($A305,'Match Log'!$A$4:$A$1510,0)),"")</f>
        <v>3</v>
      </c>
      <c r="F305">
        <f>IFERROR(SUMIFS('Match Log'!$I$4:$I$1510,'Match Log'!$A$4:$A$1510,$A305,'Match Log'!$E$4:$E$1510,"Win"),"")</f>
        <v>0.5</v>
      </c>
      <c r="G305">
        <f t="shared" si="29"/>
        <v>-0.5</v>
      </c>
      <c r="H305" t="str">
        <f t="array" ref="H305">IFERROR(IF(COUNTIFS('Match Log'!$A$4:$A$1510,$A305,'Match Log'!$E$4:$E$1510,"Win")&gt;1,_xlfn.TEXTJOIN(" + ",TRUE(),IF(('Match Log'!$A$4:$A$1510=$A305)*('Match Log'!$E$4:$E$1510="Loss"),'Match Log'!$D$4:$D$1510,"")),IF($E305=2,LOOKUP(2,1/(('Match Log'!$A$4:$A$1510=$A305)*('Match Log'!$E$4:$E$1510="Loss")),'Match Log'!$D$4:$D$1510),"the field")),"")</f>
        <v>the field</v>
      </c>
      <c r="I305">
        <f t="shared" si="30"/>
        <v>-0.50028099999999998</v>
      </c>
      <c r="J305">
        <v>281</v>
      </c>
      <c r="K305">
        <f>IF($J305&gt;MAX('Match Log'!$A$4:$A$1510),NA(),IFERROR(LOOKUP(2,1/(('Match Log'!$D$4:$D$1510=$K$24)*('Match Log'!$A$4:$A$1510&lt;=$J305)),'Match Log'!$N$4:$N$1510),NA()))</f>
        <v>1265.5221853966827</v>
      </c>
      <c r="L305">
        <f>IF($J305&gt;MAX('Match Log'!$A$4:$A$1510),NA(),IFERROR(LOOKUP(2,1/(('Match Log'!$D$4:$D$1510=$L$24)*('Match Log'!$A$4:$A$1510&lt;=$J305)),'Match Log'!$N$4:$N$1510),NA()))</f>
        <v>1029.5175965335138</v>
      </c>
      <c r="M305">
        <f>IF($J305&gt;MAX('Match Log'!$A$4:$A$1510),NA(),IFERROR(LOOKUP(2,1/(('Match Log'!$D$4:$D$1510=$M$24)*('Match Log'!$A$4:$A$1510&lt;=$J305)),'Match Log'!$N$4:$N$1510),NA()))</f>
        <v>1098.8851304702137</v>
      </c>
      <c r="N305">
        <f>IF($J305&gt;MAX('Match Log'!$A$4:$A$1510),NA(),IFERROR(LOOKUP(2,1/(('Match Log'!$D$4:$D$1510=$N$24)*('Match Log'!$A$4:$A$1510&lt;=$J305)),'Match Log'!$N$4:$N$1510),NA()))</f>
        <v>907.03133644117429</v>
      </c>
      <c r="O305">
        <f>IF($J305&gt;MAX('Match Log'!$A$4:$A$1510),NA(),IFERROR(LOOKUP(2,1/(('Match Log'!$D$4:$D$1510=$O$24)*('Match Log'!$A$4:$A$1510&lt;=$J305)),'Match Log'!$N$4:$N$1510),NA()))</f>
        <v>1155.9112046633588</v>
      </c>
      <c r="P305">
        <f>IF($J305&gt;MAX('Match Log'!$A$4:$A$1510),NA(),IFERROR(LOOKUP(2,1/(('Match Log'!$D$4:$D$1510=$P$24)*('Match Log'!$A$4:$A$1510&lt;=$J305)),'Match Log'!$N$4:$N$1510),NA()))</f>
        <v>1279.4683066115135</v>
      </c>
      <c r="Q305">
        <f>IF($J305&gt;MAX('Match Log'!$A$4:$A$1510),NA(),IFERROR(LOOKUP(2,1/(('Match Log'!$D$4:$D$1510=$Q$24)*('Match Log'!$A$4:$A$1510&lt;=$J305)),'Match Log'!$N$4:$N$1510),NA()))</f>
        <v>1174.3479488372172</v>
      </c>
      <c r="R305">
        <f>IF($J305&gt;MAX('Match Log'!$A$4:$A$1510),NA(),IFERROR(LOOKUP(2,1/(('Match Log'!$D$4:$D$1510=$R$24)*('Match Log'!$A$4:$A$1510&lt;=$J305)),'Match Log'!$N$4:$N$1510),NA()))</f>
        <v>1007.7369116310465</v>
      </c>
      <c r="S305">
        <f>IF($J305&gt;MAX('Match Log'!$A$4:$A$1510),NA(),IFERROR(LOOKUP(2,1/(('Match Log'!$D$4:$D$1510=$S$24)*('Match Log'!$A$4:$A$1510&lt;=$J305)),'Match Log'!$N$4:$N$1510),NA()))</f>
        <v>1248.9288111472574</v>
      </c>
      <c r="T305">
        <f>IF($J305&gt;MAX('Match Log'!$A$4:$A$1510),NA(),IFERROR(LOOKUP(2,1/(('Match Log'!$D$4:$D$1510=$T$24)*('Match Log'!$A$4:$A$1510&lt;=$J305)),'Match Log'!$N$4:$N$1510),NA()))</f>
        <v>862.22294373677494</v>
      </c>
      <c r="U305">
        <f>IF($J305&gt;MAX('Match Log'!$A$4:$A$1510),NA(),IFERROR(LOOKUP(2,1/(('Match Log'!$D$4:$D$1510=$U$24)*('Match Log'!$A$4:$A$1510&lt;=$J305)),'Match Log'!$N$4:$N$1510),NA()))</f>
        <v>950.65946930404652</v>
      </c>
      <c r="V305">
        <f>IF($J305&gt;MAX('Match Log'!$A$4:$A$1510),NA(),IFERROR(LOOKUP(2,1/(('Match Log'!$D$4:$D$1510=$V$24)*('Match Log'!$A$4:$A$1510&lt;=$J305)),'Match Log'!$N$4:$N$1510),NA()))</f>
        <v>1087.5488947064855</v>
      </c>
      <c r="W305">
        <f>IF($J305&gt;MAX('Match Log'!$A$4:$A$1510),NA(),IFERROR(LOOKUP(2,1/(('Match Log'!$D$4:$D$1510=$W$24)*('Match Log'!$A$4:$A$1510&lt;=$J305)),'Match Log'!$N$4:$N$1510),NA()))</f>
        <v>1023.2192605207141</v>
      </c>
      <c r="X305" t="e">
        <f>IF($J305&gt;MAX('Match Log'!$A$4:$A$1510),NA(),IFERROR(LOOKUP(2,1/(('Match Log'!$D$4:$D$1510=$X$24)*('Match Log'!$A$4:$A$1510&lt;=$J305)),'Match Log'!$N$4:$N$1510),NA()))</f>
        <v>#N/A</v>
      </c>
      <c r="Y305" t="str">
        <f t="shared" ca="1" si="31"/>
        <v/>
      </c>
    </row>
    <row r="306" spans="1:25" x14ac:dyDescent="0.2">
      <c r="A306">
        <v>282</v>
      </c>
      <c r="B306">
        <f>IFERROR(INDEX('Match Log'!$B$4:$B$1510,MATCH($A306,'Match Log'!$A$4:$A$1510,0)),"")</f>
        <v>46271</v>
      </c>
      <c r="C306" t="str">
        <f>IFERROR(INDEX('Match Log'!$C$4:$C$1510,MATCH($A306,'Match Log'!$A$4:$A$1510,0)),"")</f>
        <v>Back Yard Putt Putt</v>
      </c>
      <c r="D306" t="str">
        <f t="array" ref="D306">IFERROR(_xlfn.TEXTJOIN(" + ",TRUE(),IF(('Match Log'!$A$4:$A$1510=$A306)*('Match Log'!$E$4:$E$1510="Win"),'Match Log'!$D$4:$D$1510,"")),IFERROR(LOOKUP(2,1/(('Match Log'!$A$4:$A$1510=$A306)*('Match Log'!$E$4:$E$1510="Win")),'Match Log'!$D$4:$D$1510),""))</f>
        <v>Simon</v>
      </c>
      <c r="E306">
        <f>IFERROR(INDEX('Match Log'!$F$4:$F$1510,MATCH($A306,'Match Log'!$A$4:$A$1510,0)),"")</f>
        <v>3</v>
      </c>
      <c r="F306">
        <f>IFERROR(SUMIFS('Match Log'!$I$4:$I$1510,'Match Log'!$A$4:$A$1510,$A306,'Match Log'!$E$4:$E$1510,"Win"),"")</f>
        <v>0.5714285714285714</v>
      </c>
      <c r="G306">
        <f t="shared" si="29"/>
        <v>-0.71428571428571419</v>
      </c>
      <c r="H306" t="str">
        <f t="array" ref="H306">IFERROR(IF(COUNTIFS('Match Log'!$A$4:$A$1510,$A306,'Match Log'!$E$4:$E$1510,"Win")&gt;1,_xlfn.TEXTJOIN(" + ",TRUE(),IF(('Match Log'!$A$4:$A$1510=$A306)*('Match Log'!$E$4:$E$1510="Loss"),'Match Log'!$D$4:$D$1510,"")),IF($E306=2,LOOKUP(2,1/(('Match Log'!$A$4:$A$1510=$A306)*('Match Log'!$E$4:$E$1510="Loss")),'Match Log'!$D$4:$D$1510),"the field")),"")</f>
        <v>the field</v>
      </c>
      <c r="I306">
        <f t="shared" si="30"/>
        <v>-0.7145677142857142</v>
      </c>
      <c r="J306">
        <v>282</v>
      </c>
      <c r="K306">
        <f>IF($J306&gt;MAX('Match Log'!$A$4:$A$1510),NA(),IFERROR(LOOKUP(2,1/(('Match Log'!$D$4:$D$1510=$K$24)*('Match Log'!$A$4:$A$1510&lt;=$J306)),'Match Log'!$N$4:$N$1510),NA()))</f>
        <v>1265.5221853966827</v>
      </c>
      <c r="L306">
        <f>IF($J306&gt;MAX('Match Log'!$A$4:$A$1510),NA(),IFERROR(LOOKUP(2,1/(('Match Log'!$D$4:$D$1510=$L$24)*('Match Log'!$A$4:$A$1510&lt;=$J306)),'Match Log'!$N$4:$N$1510),NA()))</f>
        <v>1029.5175965335138</v>
      </c>
      <c r="M306">
        <f>IF($J306&gt;MAX('Match Log'!$A$4:$A$1510),NA(),IFERROR(LOOKUP(2,1/(('Match Log'!$D$4:$D$1510=$M$24)*('Match Log'!$A$4:$A$1510&lt;=$J306)),'Match Log'!$N$4:$N$1510),NA()))</f>
        <v>1098.8851304702137</v>
      </c>
      <c r="N306">
        <f>IF($J306&gt;MAX('Match Log'!$A$4:$A$1510),NA(),IFERROR(LOOKUP(2,1/(('Match Log'!$D$4:$D$1510=$N$24)*('Match Log'!$A$4:$A$1510&lt;=$J306)),'Match Log'!$N$4:$N$1510),NA()))</f>
        <v>907.03133644117429</v>
      </c>
      <c r="O306">
        <f>IF($J306&gt;MAX('Match Log'!$A$4:$A$1510),NA(),IFERROR(LOOKUP(2,1/(('Match Log'!$D$4:$D$1510=$O$24)*('Match Log'!$A$4:$A$1510&lt;=$J306)),'Match Log'!$N$4:$N$1510),NA()))</f>
        <v>1155.9112046633588</v>
      </c>
      <c r="P306">
        <f>IF($J306&gt;MAX('Match Log'!$A$4:$A$1510),NA(),IFERROR(LOOKUP(2,1/(('Match Log'!$D$4:$D$1510=$P$24)*('Match Log'!$A$4:$A$1510&lt;=$J306)),'Match Log'!$N$4:$N$1510),NA()))</f>
        <v>1270.1720409968057</v>
      </c>
      <c r="Q306">
        <f>IF($J306&gt;MAX('Match Log'!$A$4:$A$1510),NA(),IFERROR(LOOKUP(2,1/(('Match Log'!$D$4:$D$1510=$Q$24)*('Match Log'!$A$4:$A$1510&lt;=$J306)),'Match Log'!$N$4:$N$1510),NA()))</f>
        <v>1196.0128280089295</v>
      </c>
      <c r="R306">
        <f>IF($J306&gt;MAX('Match Log'!$A$4:$A$1510),NA(),IFERROR(LOOKUP(2,1/(('Match Log'!$D$4:$D$1510=$R$24)*('Match Log'!$A$4:$A$1510&lt;=$J306)),'Match Log'!$N$4:$N$1510),NA()))</f>
        <v>1007.7369116310465</v>
      </c>
      <c r="S306">
        <f>IF($J306&gt;MAX('Match Log'!$A$4:$A$1510),NA(),IFERROR(LOOKUP(2,1/(('Match Log'!$D$4:$D$1510=$S$24)*('Match Log'!$A$4:$A$1510&lt;=$J306)),'Match Log'!$N$4:$N$1510),NA()))</f>
        <v>1248.9288111472574</v>
      </c>
      <c r="T306">
        <f>IF($J306&gt;MAX('Match Log'!$A$4:$A$1510),NA(),IFERROR(LOOKUP(2,1/(('Match Log'!$D$4:$D$1510=$T$24)*('Match Log'!$A$4:$A$1510&lt;=$J306)),'Match Log'!$N$4:$N$1510),NA()))</f>
        <v>862.22294373677494</v>
      </c>
      <c r="U306">
        <f>IF($J306&gt;MAX('Match Log'!$A$4:$A$1510),NA(),IFERROR(LOOKUP(2,1/(('Match Log'!$D$4:$D$1510=$U$24)*('Match Log'!$A$4:$A$1510&lt;=$J306)),'Match Log'!$N$4:$N$1510),NA()))</f>
        <v>947.29085574704209</v>
      </c>
      <c r="V306">
        <f>IF($J306&gt;MAX('Match Log'!$A$4:$A$1510),NA(),IFERROR(LOOKUP(2,1/(('Match Log'!$D$4:$D$1510=$V$24)*('Match Log'!$A$4:$A$1510&lt;=$J306)),'Match Log'!$N$4:$N$1510),NA()))</f>
        <v>1087.5488947064855</v>
      </c>
      <c r="W306">
        <f>IF($J306&gt;MAX('Match Log'!$A$4:$A$1510),NA(),IFERROR(LOOKUP(2,1/(('Match Log'!$D$4:$D$1510=$W$24)*('Match Log'!$A$4:$A$1510&lt;=$J306)),'Match Log'!$N$4:$N$1510),NA()))</f>
        <v>1023.2192605207141</v>
      </c>
      <c r="X306" t="e">
        <f>IF($J306&gt;MAX('Match Log'!$A$4:$A$1510),NA(),IFERROR(LOOKUP(2,1/(('Match Log'!$D$4:$D$1510=$X$24)*('Match Log'!$A$4:$A$1510&lt;=$J306)),'Match Log'!$N$4:$N$1510),NA()))</f>
        <v>#N/A</v>
      </c>
      <c r="Y306" t="str">
        <f t="shared" ca="1" si="31"/>
        <v/>
      </c>
    </row>
    <row r="307" spans="1:25" x14ac:dyDescent="0.2">
      <c r="A307">
        <v>283</v>
      </c>
      <c r="B307">
        <f>IFERROR(INDEX('Match Log'!$B$4:$B$1510,MATCH($A307,'Match Log'!$A$4:$A$1510,0)),"")</f>
        <v>46271</v>
      </c>
      <c r="C307" t="str">
        <f>IFERROR(INDEX('Match Log'!$C$4:$C$1510,MATCH($A307,'Match Log'!$A$4:$A$1510,0)),"")</f>
        <v>Back Yard Putt Putt</v>
      </c>
      <c r="D307" t="str">
        <f t="array" ref="D307">IFERROR(_xlfn.TEXTJOIN(" + ",TRUE(),IF(('Match Log'!$A$4:$A$1510=$A307)*('Match Log'!$E$4:$E$1510="Win"),'Match Log'!$D$4:$D$1510,"")),IFERROR(LOOKUP(2,1/(('Match Log'!$A$4:$A$1510=$A307)*('Match Log'!$E$4:$E$1510="Win")),'Match Log'!$D$4:$D$1510),""))</f>
        <v>Simon</v>
      </c>
      <c r="E307">
        <f>IFERROR(INDEX('Match Log'!$F$4:$F$1510,MATCH($A307,'Match Log'!$A$4:$A$1510,0)),"")</f>
        <v>3</v>
      </c>
      <c r="F307">
        <f>IFERROR(SUMIFS('Match Log'!$I$4:$I$1510,'Match Log'!$A$4:$A$1510,$A307,'Match Log'!$E$4:$E$1510,"Win"),"")</f>
        <v>0.625</v>
      </c>
      <c r="G307">
        <f t="shared" si="29"/>
        <v>-0.875</v>
      </c>
      <c r="H307" t="str">
        <f t="array" ref="H307">IFERROR(IF(COUNTIFS('Match Log'!$A$4:$A$1510,$A307,'Match Log'!$E$4:$E$1510,"Win")&gt;1,_xlfn.TEXTJOIN(" + ",TRUE(),IF(('Match Log'!$A$4:$A$1510=$A307)*('Match Log'!$E$4:$E$1510="Loss"),'Match Log'!$D$4:$D$1510,"")),IF($E307=2,LOOKUP(2,1/(('Match Log'!$A$4:$A$1510=$A307)*('Match Log'!$E$4:$E$1510="Loss")),'Match Log'!$D$4:$D$1510),"the field")),"")</f>
        <v>the field</v>
      </c>
      <c r="I307">
        <f t="shared" si="30"/>
        <v>-0.87528300000000003</v>
      </c>
      <c r="J307">
        <v>283</v>
      </c>
      <c r="K307">
        <f>IF($J307&gt;MAX('Match Log'!$A$4:$A$1510),NA(),IFERROR(LOOKUP(2,1/(('Match Log'!$D$4:$D$1510=$K$24)*('Match Log'!$A$4:$A$1510&lt;=$J307)),'Match Log'!$N$4:$N$1510),NA()))</f>
        <v>1265.5221853966827</v>
      </c>
      <c r="L307">
        <f>IF($J307&gt;MAX('Match Log'!$A$4:$A$1510),NA(),IFERROR(LOOKUP(2,1/(('Match Log'!$D$4:$D$1510=$L$24)*('Match Log'!$A$4:$A$1510&lt;=$J307)),'Match Log'!$N$4:$N$1510),NA()))</f>
        <v>1029.5175965335138</v>
      </c>
      <c r="M307">
        <f>IF($J307&gt;MAX('Match Log'!$A$4:$A$1510),NA(),IFERROR(LOOKUP(2,1/(('Match Log'!$D$4:$D$1510=$M$24)*('Match Log'!$A$4:$A$1510&lt;=$J307)),'Match Log'!$N$4:$N$1510),NA()))</f>
        <v>1098.8851304702137</v>
      </c>
      <c r="N307">
        <f>IF($J307&gt;MAX('Match Log'!$A$4:$A$1510),NA(),IFERROR(LOOKUP(2,1/(('Match Log'!$D$4:$D$1510=$N$24)*('Match Log'!$A$4:$A$1510&lt;=$J307)),'Match Log'!$N$4:$N$1510),NA()))</f>
        <v>907.03133644117429</v>
      </c>
      <c r="O307">
        <f>IF($J307&gt;MAX('Match Log'!$A$4:$A$1510),NA(),IFERROR(LOOKUP(2,1/(('Match Log'!$D$4:$D$1510=$O$24)*('Match Log'!$A$4:$A$1510&lt;=$J307)),'Match Log'!$N$4:$N$1510),NA()))</f>
        <v>1155.9112046633588</v>
      </c>
      <c r="P307">
        <f>IF($J307&gt;MAX('Match Log'!$A$4:$A$1510),NA(),IFERROR(LOOKUP(2,1/(('Match Log'!$D$4:$D$1510=$P$24)*('Match Log'!$A$4:$A$1510&lt;=$J307)),'Match Log'!$N$4:$N$1510),NA()))</f>
        <v>1262.0849962820685</v>
      </c>
      <c r="Q307">
        <f>IF($J307&gt;MAX('Match Log'!$A$4:$A$1510),NA(),IFERROR(LOOKUP(2,1/(('Match Log'!$D$4:$D$1510=$Q$24)*('Match Log'!$A$4:$A$1510&lt;=$J307)),'Match Log'!$N$4:$N$1510),NA()))</f>
        <v>1215.996181687143</v>
      </c>
      <c r="R307">
        <f>IF($J307&gt;MAX('Match Log'!$A$4:$A$1510),NA(),IFERROR(LOOKUP(2,1/(('Match Log'!$D$4:$D$1510=$R$24)*('Match Log'!$A$4:$A$1510&lt;=$J307)),'Match Log'!$N$4:$N$1510),NA()))</f>
        <v>1007.7369116310465</v>
      </c>
      <c r="S307">
        <f>IF($J307&gt;MAX('Match Log'!$A$4:$A$1510),NA(),IFERROR(LOOKUP(2,1/(('Match Log'!$D$4:$D$1510=$S$24)*('Match Log'!$A$4:$A$1510&lt;=$J307)),'Match Log'!$N$4:$N$1510),NA()))</f>
        <v>1248.9288111472574</v>
      </c>
      <c r="T307">
        <f>IF($J307&gt;MAX('Match Log'!$A$4:$A$1510),NA(),IFERROR(LOOKUP(2,1/(('Match Log'!$D$4:$D$1510=$T$24)*('Match Log'!$A$4:$A$1510&lt;=$J307)),'Match Log'!$N$4:$N$1510),NA()))</f>
        <v>862.22294373677494</v>
      </c>
      <c r="U307">
        <f>IF($J307&gt;MAX('Match Log'!$A$4:$A$1510),NA(),IFERROR(LOOKUP(2,1/(('Match Log'!$D$4:$D$1510=$U$24)*('Match Log'!$A$4:$A$1510&lt;=$J307)),'Match Log'!$N$4:$N$1510),NA()))</f>
        <v>944.39454678356583</v>
      </c>
      <c r="V307">
        <f>IF($J307&gt;MAX('Match Log'!$A$4:$A$1510),NA(),IFERROR(LOOKUP(2,1/(('Match Log'!$D$4:$D$1510=$V$24)*('Match Log'!$A$4:$A$1510&lt;=$J307)),'Match Log'!$N$4:$N$1510),NA()))</f>
        <v>1087.5488947064855</v>
      </c>
      <c r="W307">
        <f>IF($J307&gt;MAX('Match Log'!$A$4:$A$1510),NA(),IFERROR(LOOKUP(2,1/(('Match Log'!$D$4:$D$1510=$W$24)*('Match Log'!$A$4:$A$1510&lt;=$J307)),'Match Log'!$N$4:$N$1510),NA()))</f>
        <v>1023.2192605207141</v>
      </c>
      <c r="X307" t="e">
        <f>IF($J307&gt;MAX('Match Log'!$A$4:$A$1510),NA(),IFERROR(LOOKUP(2,1/(('Match Log'!$D$4:$D$1510=$X$24)*('Match Log'!$A$4:$A$1510&lt;=$J307)),'Match Log'!$N$4:$N$1510),NA()))</f>
        <v>#N/A</v>
      </c>
      <c r="Y307" t="str">
        <f t="shared" ca="1" si="31"/>
        <v/>
      </c>
    </row>
    <row r="308" spans="1:25" x14ac:dyDescent="0.2">
      <c r="A308">
        <v>284</v>
      </c>
      <c r="B308">
        <f>IFERROR(INDEX('Match Log'!$B$4:$B$1510,MATCH($A308,'Match Log'!$A$4:$A$1510,0)),"")</f>
        <v>46272</v>
      </c>
      <c r="C308" t="str">
        <f>IFERROR(INDEX('Match Log'!$C$4:$C$1510,MATCH($A308,'Match Log'!$A$4:$A$1510,0)),"")</f>
        <v>Pool</v>
      </c>
      <c r="D308" t="str">
        <f t="array" ref="D308">IFERROR(_xlfn.TEXTJOIN(" + ",TRUE(),IF(('Match Log'!$A$4:$A$1510=$A308)*('Match Log'!$E$4:$E$1510="Win"),'Match Log'!$D$4:$D$1510,"")),IFERROR(LOOKUP(2,1/(('Match Log'!$A$4:$A$1510=$A308)*('Match Log'!$E$4:$E$1510="Win")),'Match Log'!$D$4:$D$1510),""))</f>
        <v>Josh</v>
      </c>
      <c r="E308">
        <f>IFERROR(INDEX('Match Log'!$F$4:$F$1510,MATCH($A308,'Match Log'!$A$4:$A$1510,0)),"")</f>
        <v>2</v>
      </c>
      <c r="F308">
        <f>IFERROR(SUMIFS('Match Log'!$I$4:$I$1510,'Match Log'!$A$4:$A$1510,$A308,'Match Log'!$E$4:$E$1510,"Win"),"")</f>
        <v>0.33333333333333331</v>
      </c>
      <c r="G308">
        <f t="shared" si="29"/>
        <v>0.33333333333333337</v>
      </c>
      <c r="H308" t="str">
        <f t="array" ref="H308">IFERROR(IF(COUNTIFS('Match Log'!$A$4:$A$1510,$A308,'Match Log'!$E$4:$E$1510,"Win")&gt;1,_xlfn.TEXTJOIN(" + ",TRUE(),IF(('Match Log'!$A$4:$A$1510=$A308)*('Match Log'!$E$4:$E$1510="Loss"),'Match Log'!$D$4:$D$1510,"")),IF($E308=2,LOOKUP(2,1/(('Match Log'!$A$4:$A$1510=$A308)*('Match Log'!$E$4:$E$1510="Loss")),'Match Log'!$D$4:$D$1510),"the field")),"")</f>
        <v>Daniel (Ferret)</v>
      </c>
      <c r="I308">
        <f t="shared" si="30"/>
        <v>0.33304933333333336</v>
      </c>
      <c r="J308">
        <v>284</v>
      </c>
      <c r="K308">
        <f>IF($J308&gt;MAX('Match Log'!$A$4:$A$1510),NA(),IFERROR(LOOKUP(2,1/(('Match Log'!$D$4:$D$1510=$K$24)*('Match Log'!$A$4:$A$1510&lt;=$J308)),'Match Log'!$N$4:$N$1510),NA()))</f>
        <v>1265.5221853966827</v>
      </c>
      <c r="L308">
        <f>IF($J308&gt;MAX('Match Log'!$A$4:$A$1510),NA(),IFERROR(LOOKUP(2,1/(('Match Log'!$D$4:$D$1510=$L$24)*('Match Log'!$A$4:$A$1510&lt;=$J308)),'Match Log'!$N$4:$N$1510),NA()))</f>
        <v>1029.5175965335138</v>
      </c>
      <c r="M308">
        <f>IF($J308&gt;MAX('Match Log'!$A$4:$A$1510),NA(),IFERROR(LOOKUP(2,1/(('Match Log'!$D$4:$D$1510=$M$24)*('Match Log'!$A$4:$A$1510&lt;=$J308)),'Match Log'!$N$4:$N$1510),NA()))</f>
        <v>1098.8851304702137</v>
      </c>
      <c r="N308">
        <f>IF($J308&gt;MAX('Match Log'!$A$4:$A$1510),NA(),IFERROR(LOOKUP(2,1/(('Match Log'!$D$4:$D$1510=$N$24)*('Match Log'!$A$4:$A$1510&lt;=$J308)),'Match Log'!$N$4:$N$1510),NA()))</f>
        <v>907.03133644117429</v>
      </c>
      <c r="O308">
        <f>IF($J308&gt;MAX('Match Log'!$A$4:$A$1510),NA(),IFERROR(LOOKUP(2,1/(('Match Log'!$D$4:$D$1510=$O$24)*('Match Log'!$A$4:$A$1510&lt;=$J308)),'Match Log'!$N$4:$N$1510),NA()))</f>
        <v>1175.38115495639</v>
      </c>
      <c r="P308">
        <f>IF($J308&gt;MAX('Match Log'!$A$4:$A$1510),NA(),IFERROR(LOOKUP(2,1/(('Match Log'!$D$4:$D$1510=$P$24)*('Match Log'!$A$4:$A$1510&lt;=$J308)),'Match Log'!$N$4:$N$1510),NA()))</f>
        <v>1262.0849962820685</v>
      </c>
      <c r="Q308">
        <f>IF($J308&gt;MAX('Match Log'!$A$4:$A$1510),NA(),IFERROR(LOOKUP(2,1/(('Match Log'!$D$4:$D$1510=$Q$24)*('Match Log'!$A$4:$A$1510&lt;=$J308)),'Match Log'!$N$4:$N$1510),NA()))</f>
        <v>1215.996181687143</v>
      </c>
      <c r="R308">
        <f>IF($J308&gt;MAX('Match Log'!$A$4:$A$1510),NA(),IFERROR(LOOKUP(2,1/(('Match Log'!$D$4:$D$1510=$R$24)*('Match Log'!$A$4:$A$1510&lt;=$J308)),'Match Log'!$N$4:$N$1510),NA()))</f>
        <v>988.26696133801534</v>
      </c>
      <c r="S308">
        <f>IF($J308&gt;MAX('Match Log'!$A$4:$A$1510),NA(),IFERROR(LOOKUP(2,1/(('Match Log'!$D$4:$D$1510=$S$24)*('Match Log'!$A$4:$A$1510&lt;=$J308)),'Match Log'!$N$4:$N$1510),NA()))</f>
        <v>1248.9288111472574</v>
      </c>
      <c r="T308">
        <f>IF($J308&gt;MAX('Match Log'!$A$4:$A$1510),NA(),IFERROR(LOOKUP(2,1/(('Match Log'!$D$4:$D$1510=$T$24)*('Match Log'!$A$4:$A$1510&lt;=$J308)),'Match Log'!$N$4:$N$1510),NA()))</f>
        <v>862.22294373677494</v>
      </c>
      <c r="U308">
        <f>IF($J308&gt;MAX('Match Log'!$A$4:$A$1510),NA(),IFERROR(LOOKUP(2,1/(('Match Log'!$D$4:$D$1510=$U$24)*('Match Log'!$A$4:$A$1510&lt;=$J308)),'Match Log'!$N$4:$N$1510),NA()))</f>
        <v>944.39454678356583</v>
      </c>
      <c r="V308">
        <f>IF($J308&gt;MAX('Match Log'!$A$4:$A$1510),NA(),IFERROR(LOOKUP(2,1/(('Match Log'!$D$4:$D$1510=$V$24)*('Match Log'!$A$4:$A$1510&lt;=$J308)),'Match Log'!$N$4:$N$1510),NA()))</f>
        <v>1087.5488947064855</v>
      </c>
      <c r="W308">
        <f>IF($J308&gt;MAX('Match Log'!$A$4:$A$1510),NA(),IFERROR(LOOKUP(2,1/(('Match Log'!$D$4:$D$1510=$W$24)*('Match Log'!$A$4:$A$1510&lt;=$J308)),'Match Log'!$N$4:$N$1510),NA()))</f>
        <v>1023.2192605207141</v>
      </c>
      <c r="X308" t="e">
        <f>IF($J308&gt;MAX('Match Log'!$A$4:$A$1510),NA(),IFERROR(LOOKUP(2,1/(('Match Log'!$D$4:$D$1510=$X$24)*('Match Log'!$A$4:$A$1510&lt;=$J308)),'Match Log'!$N$4:$N$1510),NA()))</f>
        <v>#N/A</v>
      </c>
      <c r="Y308" t="str">
        <f t="shared" ca="1" si="31"/>
        <v/>
      </c>
    </row>
    <row r="309" spans="1:25" x14ac:dyDescent="0.2">
      <c r="A309">
        <v>285</v>
      </c>
      <c r="B309">
        <f>IFERROR(INDEX('Match Log'!$B$4:$B$1510,MATCH($A309,'Match Log'!$A$4:$A$1510,0)),"")</f>
        <v>46272</v>
      </c>
      <c r="C309" t="str">
        <f>IFERROR(INDEX('Match Log'!$C$4:$C$1510,MATCH($A309,'Match Log'!$A$4:$A$1510,0)),"")</f>
        <v>Pool</v>
      </c>
      <c r="D309" t="str">
        <f t="array" ref="D309">IFERROR(_xlfn.TEXTJOIN(" + ",TRUE(),IF(('Match Log'!$A$4:$A$1510=$A309)*('Match Log'!$E$4:$E$1510="Win"),'Match Log'!$D$4:$D$1510,"")),IFERROR(LOOKUP(2,1/(('Match Log'!$A$4:$A$1510=$A309)*('Match Log'!$E$4:$E$1510="Win")),'Match Log'!$D$4:$D$1510),""))</f>
        <v>Josh</v>
      </c>
      <c r="E309">
        <f>IFERROR(INDEX('Match Log'!$F$4:$F$1510,MATCH($A309,'Match Log'!$A$4:$A$1510,0)),"")</f>
        <v>2</v>
      </c>
      <c r="F309">
        <f>IFERROR(SUMIFS('Match Log'!$I$4:$I$1510,'Match Log'!$A$4:$A$1510,$A309,'Match Log'!$E$4:$E$1510,"Win"),"")</f>
        <v>0.47368421052631582</v>
      </c>
      <c r="G309">
        <f t="shared" si="29"/>
        <v>5.2631578947368363E-2</v>
      </c>
      <c r="H309" t="str">
        <f t="array" ref="H309">IFERROR(IF(COUNTIFS('Match Log'!$A$4:$A$1510,$A309,'Match Log'!$E$4:$E$1510,"Win")&gt;1,_xlfn.TEXTJOIN(" + ",TRUE(),IF(('Match Log'!$A$4:$A$1510=$A309)*('Match Log'!$E$4:$E$1510="Loss"),'Match Log'!$D$4:$D$1510,"")),IF($E309=2,LOOKUP(2,1/(('Match Log'!$A$4:$A$1510=$A309)*('Match Log'!$E$4:$E$1510="Loss")),'Match Log'!$D$4:$D$1510),"the field")),"")</f>
        <v>Daniel (Ferret)</v>
      </c>
      <c r="I309">
        <f t="shared" si="30"/>
        <v>5.2346578947368362E-2</v>
      </c>
      <c r="J309">
        <v>285</v>
      </c>
      <c r="K309">
        <f>IF($J309&gt;MAX('Match Log'!$A$4:$A$1510),NA(),IFERROR(LOOKUP(2,1/(('Match Log'!$D$4:$D$1510=$K$24)*('Match Log'!$A$4:$A$1510&lt;=$J309)),'Match Log'!$N$4:$N$1510),NA()))</f>
        <v>1265.5221853966827</v>
      </c>
      <c r="L309">
        <f>IF($J309&gt;MAX('Match Log'!$A$4:$A$1510),NA(),IFERROR(LOOKUP(2,1/(('Match Log'!$D$4:$D$1510=$L$24)*('Match Log'!$A$4:$A$1510&lt;=$J309)),'Match Log'!$N$4:$N$1510),NA()))</f>
        <v>1029.5175965335138</v>
      </c>
      <c r="M309">
        <f>IF($J309&gt;MAX('Match Log'!$A$4:$A$1510),NA(),IFERROR(LOOKUP(2,1/(('Match Log'!$D$4:$D$1510=$M$24)*('Match Log'!$A$4:$A$1510&lt;=$J309)),'Match Log'!$N$4:$N$1510),NA()))</f>
        <v>1098.8851304702137</v>
      </c>
      <c r="N309">
        <f>IF($J309&gt;MAX('Match Log'!$A$4:$A$1510),NA(),IFERROR(LOOKUP(2,1/(('Match Log'!$D$4:$D$1510=$N$24)*('Match Log'!$A$4:$A$1510&lt;=$J309)),'Match Log'!$N$4:$N$1510),NA()))</f>
        <v>907.03133644117429</v>
      </c>
      <c r="O309">
        <f>IF($J309&gt;MAX('Match Log'!$A$4:$A$1510),NA(),IFERROR(LOOKUP(2,1/(('Match Log'!$D$4:$D$1510=$O$24)*('Match Log'!$A$4:$A$1510&lt;=$J309)),'Match Log'!$N$4:$N$1510),NA()))</f>
        <v>1192.3121492095624</v>
      </c>
      <c r="P309">
        <f>IF($J309&gt;MAX('Match Log'!$A$4:$A$1510),NA(),IFERROR(LOOKUP(2,1/(('Match Log'!$D$4:$D$1510=$P$24)*('Match Log'!$A$4:$A$1510&lt;=$J309)),'Match Log'!$N$4:$N$1510),NA()))</f>
        <v>1262.0849962820685</v>
      </c>
      <c r="Q309">
        <f>IF($J309&gt;MAX('Match Log'!$A$4:$A$1510),NA(),IFERROR(LOOKUP(2,1/(('Match Log'!$D$4:$D$1510=$Q$24)*('Match Log'!$A$4:$A$1510&lt;=$J309)),'Match Log'!$N$4:$N$1510),NA()))</f>
        <v>1215.996181687143</v>
      </c>
      <c r="R309">
        <f>IF($J309&gt;MAX('Match Log'!$A$4:$A$1510),NA(),IFERROR(LOOKUP(2,1/(('Match Log'!$D$4:$D$1510=$R$24)*('Match Log'!$A$4:$A$1510&lt;=$J309)),'Match Log'!$N$4:$N$1510),NA()))</f>
        <v>971.33596708484288</v>
      </c>
      <c r="S309">
        <f>IF($J309&gt;MAX('Match Log'!$A$4:$A$1510),NA(),IFERROR(LOOKUP(2,1/(('Match Log'!$D$4:$D$1510=$S$24)*('Match Log'!$A$4:$A$1510&lt;=$J309)),'Match Log'!$N$4:$N$1510),NA()))</f>
        <v>1248.9288111472574</v>
      </c>
      <c r="T309">
        <f>IF($J309&gt;MAX('Match Log'!$A$4:$A$1510),NA(),IFERROR(LOOKUP(2,1/(('Match Log'!$D$4:$D$1510=$T$24)*('Match Log'!$A$4:$A$1510&lt;=$J309)),'Match Log'!$N$4:$N$1510),NA()))</f>
        <v>862.22294373677494</v>
      </c>
      <c r="U309">
        <f>IF($J309&gt;MAX('Match Log'!$A$4:$A$1510),NA(),IFERROR(LOOKUP(2,1/(('Match Log'!$D$4:$D$1510=$U$24)*('Match Log'!$A$4:$A$1510&lt;=$J309)),'Match Log'!$N$4:$N$1510),NA()))</f>
        <v>944.39454678356583</v>
      </c>
      <c r="V309">
        <f>IF($J309&gt;MAX('Match Log'!$A$4:$A$1510),NA(),IFERROR(LOOKUP(2,1/(('Match Log'!$D$4:$D$1510=$V$24)*('Match Log'!$A$4:$A$1510&lt;=$J309)),'Match Log'!$N$4:$N$1510),NA()))</f>
        <v>1087.5488947064855</v>
      </c>
      <c r="W309">
        <f>IF($J309&gt;MAX('Match Log'!$A$4:$A$1510),NA(),IFERROR(LOOKUP(2,1/(('Match Log'!$D$4:$D$1510=$W$24)*('Match Log'!$A$4:$A$1510&lt;=$J309)),'Match Log'!$N$4:$N$1510),NA()))</f>
        <v>1023.2192605207141</v>
      </c>
      <c r="X309" t="e">
        <f>IF($J309&gt;MAX('Match Log'!$A$4:$A$1510),NA(),IFERROR(LOOKUP(2,1/(('Match Log'!$D$4:$D$1510=$X$24)*('Match Log'!$A$4:$A$1510&lt;=$J309)),'Match Log'!$N$4:$N$1510),NA()))</f>
        <v>#N/A</v>
      </c>
      <c r="Y309" t="str">
        <f t="shared" ca="1" si="31"/>
        <v/>
      </c>
    </row>
    <row r="310" spans="1:25" x14ac:dyDescent="0.2">
      <c r="A310">
        <v>286</v>
      </c>
      <c r="B310">
        <f>IFERROR(INDEX('Match Log'!$B$4:$B$1510,MATCH($A310,'Match Log'!$A$4:$A$1510,0)),"")</f>
        <v>46274</v>
      </c>
      <c r="C310" t="str">
        <f>IFERROR(INDEX('Match Log'!$C$4:$C$1510,MATCH($A310,'Match Log'!$A$4:$A$1510,0)),"")</f>
        <v>Chess</v>
      </c>
      <c r="D310" t="str">
        <f t="array" ref="D310">IFERROR(_xlfn.TEXTJOIN(" + ",TRUE(),IF(('Match Log'!$A$4:$A$1510=$A310)*('Match Log'!$E$4:$E$1510="Win"),'Match Log'!$D$4:$D$1510,"")),IFERROR(LOOKUP(2,1/(('Match Log'!$A$4:$A$1510=$A310)*('Match Log'!$E$4:$E$1510="Win")),'Match Log'!$D$4:$D$1510),""))</f>
        <v>Shawn</v>
      </c>
      <c r="E310">
        <f>IFERROR(INDEX('Match Log'!$F$4:$F$1510,MATCH($A310,'Match Log'!$A$4:$A$1510,0)),"")</f>
        <v>2</v>
      </c>
      <c r="F310">
        <f>IFERROR(SUMIFS('Match Log'!$I$4:$I$1510,'Match Log'!$A$4:$A$1510,$A310,'Match Log'!$E$4:$E$1510,"Win"),"")</f>
        <v>0.5625</v>
      </c>
      <c r="G310">
        <f t="shared" si="29"/>
        <v>-0.125</v>
      </c>
      <c r="H310" t="str">
        <f t="array" ref="H310">IFERROR(IF(COUNTIFS('Match Log'!$A$4:$A$1510,$A310,'Match Log'!$E$4:$E$1510,"Win")&gt;1,_xlfn.TEXTJOIN(" + ",TRUE(),IF(('Match Log'!$A$4:$A$1510=$A310)*('Match Log'!$E$4:$E$1510="Loss"),'Match Log'!$D$4:$D$1510,"")),IF($E310=2,LOOKUP(2,1/(('Match Log'!$A$4:$A$1510=$A310)*('Match Log'!$E$4:$E$1510="Loss")),'Match Log'!$D$4:$D$1510),"the field")),"")</f>
        <v>Chase</v>
      </c>
      <c r="I310">
        <f t="shared" si="30"/>
        <v>-0.12528600000000001</v>
      </c>
      <c r="J310">
        <v>286</v>
      </c>
      <c r="K310">
        <f>IF($J310&gt;MAX('Match Log'!$A$4:$A$1510),NA(),IFERROR(LOOKUP(2,1/(('Match Log'!$D$4:$D$1510=$K$24)*('Match Log'!$A$4:$A$1510&lt;=$J310)),'Match Log'!$N$4:$N$1510),NA()))</f>
        <v>1265.5221853966827</v>
      </c>
      <c r="L310">
        <f>IF($J310&gt;MAX('Match Log'!$A$4:$A$1510),NA(),IFERROR(LOOKUP(2,1/(('Match Log'!$D$4:$D$1510=$L$24)*('Match Log'!$A$4:$A$1510&lt;=$J310)),'Match Log'!$N$4:$N$1510),NA()))</f>
        <v>1029.5175965335138</v>
      </c>
      <c r="M310">
        <f>IF($J310&gt;MAX('Match Log'!$A$4:$A$1510),NA(),IFERROR(LOOKUP(2,1/(('Match Log'!$D$4:$D$1510=$M$24)*('Match Log'!$A$4:$A$1510&lt;=$J310)),'Match Log'!$N$4:$N$1510),NA()))</f>
        <v>1081.2287215286424</v>
      </c>
      <c r="N310">
        <f>IF($J310&gt;MAX('Match Log'!$A$4:$A$1510),NA(),IFERROR(LOOKUP(2,1/(('Match Log'!$D$4:$D$1510=$N$24)*('Match Log'!$A$4:$A$1510&lt;=$J310)),'Match Log'!$N$4:$N$1510),NA()))</f>
        <v>907.03133644117429</v>
      </c>
      <c r="O310">
        <f>IF($J310&gt;MAX('Match Log'!$A$4:$A$1510),NA(),IFERROR(LOOKUP(2,1/(('Match Log'!$D$4:$D$1510=$O$24)*('Match Log'!$A$4:$A$1510&lt;=$J310)),'Match Log'!$N$4:$N$1510),NA()))</f>
        <v>1192.3121492095624</v>
      </c>
      <c r="P310">
        <f>IF($J310&gt;MAX('Match Log'!$A$4:$A$1510),NA(),IFERROR(LOOKUP(2,1/(('Match Log'!$D$4:$D$1510=$P$24)*('Match Log'!$A$4:$A$1510&lt;=$J310)),'Match Log'!$N$4:$N$1510),NA()))</f>
        <v>1279.7414052236397</v>
      </c>
      <c r="Q310">
        <f>IF($J310&gt;MAX('Match Log'!$A$4:$A$1510),NA(),IFERROR(LOOKUP(2,1/(('Match Log'!$D$4:$D$1510=$Q$24)*('Match Log'!$A$4:$A$1510&lt;=$J310)),'Match Log'!$N$4:$N$1510),NA()))</f>
        <v>1215.996181687143</v>
      </c>
      <c r="R310">
        <f>IF($J310&gt;MAX('Match Log'!$A$4:$A$1510),NA(),IFERROR(LOOKUP(2,1/(('Match Log'!$D$4:$D$1510=$R$24)*('Match Log'!$A$4:$A$1510&lt;=$J310)),'Match Log'!$N$4:$N$1510),NA()))</f>
        <v>971.33596708484288</v>
      </c>
      <c r="S310">
        <f>IF($J310&gt;MAX('Match Log'!$A$4:$A$1510),NA(),IFERROR(LOOKUP(2,1/(('Match Log'!$D$4:$D$1510=$S$24)*('Match Log'!$A$4:$A$1510&lt;=$J310)),'Match Log'!$N$4:$N$1510),NA()))</f>
        <v>1248.9288111472574</v>
      </c>
      <c r="T310">
        <f>IF($J310&gt;MAX('Match Log'!$A$4:$A$1510),NA(),IFERROR(LOOKUP(2,1/(('Match Log'!$D$4:$D$1510=$T$24)*('Match Log'!$A$4:$A$1510&lt;=$J310)),'Match Log'!$N$4:$N$1510),NA()))</f>
        <v>862.22294373677494</v>
      </c>
      <c r="U310">
        <f>IF($J310&gt;MAX('Match Log'!$A$4:$A$1510),NA(),IFERROR(LOOKUP(2,1/(('Match Log'!$D$4:$D$1510=$U$24)*('Match Log'!$A$4:$A$1510&lt;=$J310)),'Match Log'!$N$4:$N$1510),NA()))</f>
        <v>944.39454678356583</v>
      </c>
      <c r="V310">
        <f>IF($J310&gt;MAX('Match Log'!$A$4:$A$1510),NA(),IFERROR(LOOKUP(2,1/(('Match Log'!$D$4:$D$1510=$V$24)*('Match Log'!$A$4:$A$1510&lt;=$J310)),'Match Log'!$N$4:$N$1510),NA()))</f>
        <v>1087.5488947064855</v>
      </c>
      <c r="W310">
        <f>IF($J310&gt;MAX('Match Log'!$A$4:$A$1510),NA(),IFERROR(LOOKUP(2,1/(('Match Log'!$D$4:$D$1510=$W$24)*('Match Log'!$A$4:$A$1510&lt;=$J310)),'Match Log'!$N$4:$N$1510),NA()))</f>
        <v>1023.2192605207141</v>
      </c>
      <c r="X310" t="e">
        <f>IF($J310&gt;MAX('Match Log'!$A$4:$A$1510),NA(),IFERROR(LOOKUP(2,1/(('Match Log'!$D$4:$D$1510=$X$24)*('Match Log'!$A$4:$A$1510&lt;=$J310)),'Match Log'!$N$4:$N$1510),NA()))</f>
        <v>#N/A</v>
      </c>
      <c r="Y310" t="str">
        <f t="shared" ca="1" si="31"/>
        <v/>
      </c>
    </row>
    <row r="311" spans="1:25" x14ac:dyDescent="0.2">
      <c r="A311">
        <v>287</v>
      </c>
      <c r="B311">
        <f>IFERROR(INDEX('Match Log'!$B$4:$B$1510,MATCH($A311,'Match Log'!$A$4:$A$1510,0)),"")</f>
        <v>46285</v>
      </c>
      <c r="C311" t="str">
        <f>IFERROR(INDEX('Match Log'!$C$4:$C$1510,MATCH($A311,'Match Log'!$A$4:$A$1510,0)),"")</f>
        <v>Mario Golf</v>
      </c>
      <c r="D311" t="str">
        <f t="array" ref="D311">IFERROR(_xlfn.TEXTJOIN(" + ",TRUE(),IF(('Match Log'!$A$4:$A$1510=$A311)*('Match Log'!$E$4:$E$1510="Win"),'Match Log'!$D$4:$D$1510,"")),IFERROR(LOOKUP(2,1/(('Match Log'!$A$4:$A$1510=$A311)*('Match Log'!$E$4:$E$1510="Win")),'Match Log'!$D$4:$D$1510),""))</f>
        <v>Daniel (Ferret)</v>
      </c>
      <c r="E311">
        <f>IFERROR(INDEX('Match Log'!$F$4:$F$1510,MATCH($A311,'Match Log'!$A$4:$A$1510,0)),"")</f>
        <v>2</v>
      </c>
      <c r="F311">
        <f>IFERROR(SUMIFS('Match Log'!$I$4:$I$1510,'Match Log'!$A$4:$A$1510,$A311,'Match Log'!$E$4:$E$1510,"Win"),"")</f>
        <v>0.41538461538461541</v>
      </c>
      <c r="G311">
        <f t="shared" si="29"/>
        <v>0.16923076923076918</v>
      </c>
      <c r="H311" t="str">
        <f t="array" ref="H311">IFERROR(IF(COUNTIFS('Match Log'!$A$4:$A$1510,$A311,'Match Log'!$E$4:$E$1510,"Win")&gt;1,_xlfn.TEXTJOIN(" + ",TRUE(),IF(('Match Log'!$A$4:$A$1510=$A311)*('Match Log'!$E$4:$E$1510="Loss"),'Match Log'!$D$4:$D$1510,"")),IF($E311=2,LOOKUP(2,1/(('Match Log'!$A$4:$A$1510=$A311)*('Match Log'!$E$4:$E$1510="Loss")),'Match Log'!$D$4:$D$1510),"the field")),"")</f>
        <v>Shawn</v>
      </c>
      <c r="I311">
        <f t="shared" si="30"/>
        <v>0.16894376923076918</v>
      </c>
      <c r="J311">
        <v>287</v>
      </c>
      <c r="K311">
        <f>IF($J311&gt;MAX('Match Log'!$A$4:$A$1510),NA(),IFERROR(LOOKUP(2,1/(('Match Log'!$D$4:$D$1510=$K$24)*('Match Log'!$A$4:$A$1510&lt;=$J311)),'Match Log'!$N$4:$N$1510),NA()))</f>
        <v>1265.5221853966827</v>
      </c>
      <c r="L311">
        <f>IF($J311&gt;MAX('Match Log'!$A$4:$A$1510),NA(),IFERROR(LOOKUP(2,1/(('Match Log'!$D$4:$D$1510=$L$24)*('Match Log'!$A$4:$A$1510&lt;=$J311)),'Match Log'!$N$4:$N$1510),NA()))</f>
        <v>1029.5175965335138</v>
      </c>
      <c r="M311">
        <f>IF($J311&gt;MAX('Match Log'!$A$4:$A$1510),NA(),IFERROR(LOOKUP(2,1/(('Match Log'!$D$4:$D$1510=$M$24)*('Match Log'!$A$4:$A$1510&lt;=$J311)),'Match Log'!$N$4:$N$1510),NA()))</f>
        <v>1081.2287215286424</v>
      </c>
      <c r="N311">
        <f>IF($J311&gt;MAX('Match Log'!$A$4:$A$1510),NA(),IFERROR(LOOKUP(2,1/(('Match Log'!$D$4:$D$1510=$N$24)*('Match Log'!$A$4:$A$1510&lt;=$J311)),'Match Log'!$N$4:$N$1510),NA()))</f>
        <v>907.03133644117429</v>
      </c>
      <c r="O311">
        <f>IF($J311&gt;MAX('Match Log'!$A$4:$A$1510),NA(),IFERROR(LOOKUP(2,1/(('Match Log'!$D$4:$D$1510=$O$24)*('Match Log'!$A$4:$A$1510&lt;=$J311)),'Match Log'!$N$4:$N$1510),NA()))</f>
        <v>1192.3121492095624</v>
      </c>
      <c r="P311">
        <f>IF($J311&gt;MAX('Match Log'!$A$4:$A$1510),NA(),IFERROR(LOOKUP(2,1/(('Match Log'!$D$4:$D$1510=$P$24)*('Match Log'!$A$4:$A$1510&lt;=$J311)),'Match Log'!$N$4:$N$1510),NA()))</f>
        <v>1252.8243017186849</v>
      </c>
      <c r="Q311">
        <f>IF($J311&gt;MAX('Match Log'!$A$4:$A$1510),NA(),IFERROR(LOOKUP(2,1/(('Match Log'!$D$4:$D$1510=$Q$24)*('Match Log'!$A$4:$A$1510&lt;=$J311)),'Match Log'!$N$4:$N$1510),NA()))</f>
        <v>1215.996181687143</v>
      </c>
      <c r="R311">
        <f>IF($J311&gt;MAX('Match Log'!$A$4:$A$1510),NA(),IFERROR(LOOKUP(2,1/(('Match Log'!$D$4:$D$1510=$R$24)*('Match Log'!$A$4:$A$1510&lt;=$J311)),'Match Log'!$N$4:$N$1510),NA()))</f>
        <v>998.25307058979774</v>
      </c>
      <c r="S311">
        <f>IF($J311&gt;MAX('Match Log'!$A$4:$A$1510),NA(),IFERROR(LOOKUP(2,1/(('Match Log'!$D$4:$D$1510=$S$24)*('Match Log'!$A$4:$A$1510&lt;=$J311)),'Match Log'!$N$4:$N$1510),NA()))</f>
        <v>1248.9288111472574</v>
      </c>
      <c r="T311">
        <f>IF($J311&gt;MAX('Match Log'!$A$4:$A$1510),NA(),IFERROR(LOOKUP(2,1/(('Match Log'!$D$4:$D$1510=$T$24)*('Match Log'!$A$4:$A$1510&lt;=$J311)),'Match Log'!$N$4:$N$1510),NA()))</f>
        <v>862.22294373677494</v>
      </c>
      <c r="U311">
        <f>IF($J311&gt;MAX('Match Log'!$A$4:$A$1510),NA(),IFERROR(LOOKUP(2,1/(('Match Log'!$D$4:$D$1510=$U$24)*('Match Log'!$A$4:$A$1510&lt;=$J311)),'Match Log'!$N$4:$N$1510),NA()))</f>
        <v>944.39454678356583</v>
      </c>
      <c r="V311">
        <f>IF($J311&gt;MAX('Match Log'!$A$4:$A$1510),NA(),IFERROR(LOOKUP(2,1/(('Match Log'!$D$4:$D$1510=$V$24)*('Match Log'!$A$4:$A$1510&lt;=$J311)),'Match Log'!$N$4:$N$1510),NA()))</f>
        <v>1087.5488947064855</v>
      </c>
      <c r="W311">
        <f>IF($J311&gt;MAX('Match Log'!$A$4:$A$1510),NA(),IFERROR(LOOKUP(2,1/(('Match Log'!$D$4:$D$1510=$W$24)*('Match Log'!$A$4:$A$1510&lt;=$J311)),'Match Log'!$N$4:$N$1510),NA()))</f>
        <v>1023.2192605207141</v>
      </c>
      <c r="X311" t="e">
        <f>IF($J311&gt;MAX('Match Log'!$A$4:$A$1510),NA(),IFERROR(LOOKUP(2,1/(('Match Log'!$D$4:$D$1510=$X$24)*('Match Log'!$A$4:$A$1510&lt;=$J311)),'Match Log'!$N$4:$N$1510),NA()))</f>
        <v>#N/A</v>
      </c>
      <c r="Y311" t="str">
        <f t="shared" ca="1" si="31"/>
        <v/>
      </c>
    </row>
    <row r="312" spans="1:25" x14ac:dyDescent="0.2">
      <c r="A312">
        <v>288</v>
      </c>
      <c r="B312">
        <f>IFERROR(INDEX('Match Log'!$B$4:$B$1510,MATCH($A312,'Match Log'!$A$4:$A$1510,0)),"")</f>
        <v>46285</v>
      </c>
      <c r="C312" t="str">
        <f>IFERROR(INDEX('Match Log'!$C$4:$C$1510,MATCH($A312,'Match Log'!$A$4:$A$1510,0)),"")</f>
        <v>Mario Golf</v>
      </c>
      <c r="D312" t="str">
        <f t="array" ref="D312">IFERROR(_xlfn.TEXTJOIN(" + ",TRUE(),IF(('Match Log'!$A$4:$A$1510=$A312)*('Match Log'!$E$4:$E$1510="Win"),'Match Log'!$D$4:$D$1510,"")),IFERROR(LOOKUP(2,1/(('Match Log'!$A$4:$A$1510=$A312)*('Match Log'!$E$4:$E$1510="Win")),'Match Log'!$D$4:$D$1510),""))</f>
        <v>Daniel (Ferret)</v>
      </c>
      <c r="E312">
        <f>IFERROR(INDEX('Match Log'!$F$4:$F$1510,MATCH($A312,'Match Log'!$A$4:$A$1510,0)),"")</f>
        <v>2</v>
      </c>
      <c r="F312">
        <f>IFERROR(SUMIFS('Match Log'!$I$4:$I$1510,'Match Log'!$A$4:$A$1510,$A312,'Match Log'!$E$4:$E$1510,"Win"),"")</f>
        <v>0.44055944055944063</v>
      </c>
      <c r="G312">
        <f t="shared" si="29"/>
        <v>0.11888111888111874</v>
      </c>
      <c r="H312" t="str">
        <f t="array" ref="H312">IFERROR(IF(COUNTIFS('Match Log'!$A$4:$A$1510,$A312,'Match Log'!$E$4:$E$1510,"Win")&gt;1,_xlfn.TEXTJOIN(" + ",TRUE(),IF(('Match Log'!$A$4:$A$1510=$A312)*('Match Log'!$E$4:$E$1510="Loss"),'Match Log'!$D$4:$D$1510,"")),IF($E312=2,LOOKUP(2,1/(('Match Log'!$A$4:$A$1510=$A312)*('Match Log'!$E$4:$E$1510="Loss")),'Match Log'!$D$4:$D$1510),"the field")),"")</f>
        <v>Shawn</v>
      </c>
      <c r="I312">
        <f t="shared" si="30"/>
        <v>0.11859311888111874</v>
      </c>
      <c r="J312">
        <v>288</v>
      </c>
      <c r="K312">
        <f>IF($J312&gt;MAX('Match Log'!$A$4:$A$1510),NA(),IFERROR(LOOKUP(2,1/(('Match Log'!$D$4:$D$1510=$K$24)*('Match Log'!$A$4:$A$1510&lt;=$J312)),'Match Log'!$N$4:$N$1510),NA()))</f>
        <v>1265.5221853966827</v>
      </c>
      <c r="L312">
        <f>IF($J312&gt;MAX('Match Log'!$A$4:$A$1510),NA(),IFERROR(LOOKUP(2,1/(('Match Log'!$D$4:$D$1510=$L$24)*('Match Log'!$A$4:$A$1510&lt;=$J312)),'Match Log'!$N$4:$N$1510),NA()))</f>
        <v>1029.5175965335138</v>
      </c>
      <c r="M312">
        <f>IF($J312&gt;MAX('Match Log'!$A$4:$A$1510),NA(),IFERROR(LOOKUP(2,1/(('Match Log'!$D$4:$D$1510=$M$24)*('Match Log'!$A$4:$A$1510&lt;=$J312)),'Match Log'!$N$4:$N$1510),NA()))</f>
        <v>1081.2287215286424</v>
      </c>
      <c r="N312">
        <f>IF($J312&gt;MAX('Match Log'!$A$4:$A$1510),NA(),IFERROR(LOOKUP(2,1/(('Match Log'!$D$4:$D$1510=$N$24)*('Match Log'!$A$4:$A$1510&lt;=$J312)),'Match Log'!$N$4:$N$1510),NA()))</f>
        <v>907.03133644117429</v>
      </c>
      <c r="O312">
        <f>IF($J312&gt;MAX('Match Log'!$A$4:$A$1510),NA(),IFERROR(LOOKUP(2,1/(('Match Log'!$D$4:$D$1510=$O$24)*('Match Log'!$A$4:$A$1510&lt;=$J312)),'Match Log'!$N$4:$N$1510),NA()))</f>
        <v>1192.3121492095624</v>
      </c>
      <c r="P312">
        <f>IF($J312&gt;MAX('Match Log'!$A$4:$A$1510),NA(),IFERROR(LOOKUP(2,1/(('Match Log'!$D$4:$D$1510=$P$24)*('Match Log'!$A$4:$A$1510&lt;=$J312)),'Match Log'!$N$4:$N$1510),NA()))</f>
        <v>1228.0143794152523</v>
      </c>
      <c r="Q312">
        <f>IF($J312&gt;MAX('Match Log'!$A$4:$A$1510),NA(),IFERROR(LOOKUP(2,1/(('Match Log'!$D$4:$D$1510=$Q$24)*('Match Log'!$A$4:$A$1510&lt;=$J312)),'Match Log'!$N$4:$N$1510),NA()))</f>
        <v>1215.996181687143</v>
      </c>
      <c r="R312">
        <f>IF($J312&gt;MAX('Match Log'!$A$4:$A$1510),NA(),IFERROR(LOOKUP(2,1/(('Match Log'!$D$4:$D$1510=$R$24)*('Match Log'!$A$4:$A$1510&lt;=$J312)),'Match Log'!$N$4:$N$1510),NA()))</f>
        <v>1023.0629928932302</v>
      </c>
      <c r="S312">
        <f>IF($J312&gt;MAX('Match Log'!$A$4:$A$1510),NA(),IFERROR(LOOKUP(2,1/(('Match Log'!$D$4:$D$1510=$S$24)*('Match Log'!$A$4:$A$1510&lt;=$J312)),'Match Log'!$N$4:$N$1510),NA()))</f>
        <v>1248.9288111472574</v>
      </c>
      <c r="T312">
        <f>IF($J312&gt;MAX('Match Log'!$A$4:$A$1510),NA(),IFERROR(LOOKUP(2,1/(('Match Log'!$D$4:$D$1510=$T$24)*('Match Log'!$A$4:$A$1510&lt;=$J312)),'Match Log'!$N$4:$N$1510),NA()))</f>
        <v>862.22294373677494</v>
      </c>
      <c r="U312">
        <f>IF($J312&gt;MAX('Match Log'!$A$4:$A$1510),NA(),IFERROR(LOOKUP(2,1/(('Match Log'!$D$4:$D$1510=$U$24)*('Match Log'!$A$4:$A$1510&lt;=$J312)),'Match Log'!$N$4:$N$1510),NA()))</f>
        <v>944.39454678356583</v>
      </c>
      <c r="V312">
        <f>IF($J312&gt;MAX('Match Log'!$A$4:$A$1510),NA(),IFERROR(LOOKUP(2,1/(('Match Log'!$D$4:$D$1510=$V$24)*('Match Log'!$A$4:$A$1510&lt;=$J312)),'Match Log'!$N$4:$N$1510),NA()))</f>
        <v>1087.5488947064855</v>
      </c>
      <c r="W312">
        <f>IF($J312&gt;MAX('Match Log'!$A$4:$A$1510),NA(),IFERROR(LOOKUP(2,1/(('Match Log'!$D$4:$D$1510=$W$24)*('Match Log'!$A$4:$A$1510&lt;=$J312)),'Match Log'!$N$4:$N$1510),NA()))</f>
        <v>1023.2192605207141</v>
      </c>
      <c r="X312" t="e">
        <f>IF($J312&gt;MAX('Match Log'!$A$4:$A$1510),NA(),IFERROR(LOOKUP(2,1/(('Match Log'!$D$4:$D$1510=$X$24)*('Match Log'!$A$4:$A$1510&lt;=$J312)),'Match Log'!$N$4:$N$1510),NA()))</f>
        <v>#N/A</v>
      </c>
      <c r="Y312" t="str">
        <f t="shared" ca="1" si="31"/>
        <v/>
      </c>
    </row>
    <row r="313" spans="1:25" x14ac:dyDescent="0.2">
      <c r="A313">
        <v>289</v>
      </c>
      <c r="B313">
        <f>IFERROR(INDEX('Match Log'!$B$4:$B$1510,MATCH($A313,'Match Log'!$A$4:$A$1510,0)),"")</f>
        <v>46285</v>
      </c>
      <c r="C313" t="str">
        <f>IFERROR(INDEX('Match Log'!$C$4:$C$1510,MATCH($A313,'Match Log'!$A$4:$A$1510,0)),"")</f>
        <v>Mario Golf</v>
      </c>
      <c r="D313" t="str">
        <f t="array" ref="D313">IFERROR(_xlfn.TEXTJOIN(" + ",TRUE(),IF(('Match Log'!$A$4:$A$1510=$A313)*('Match Log'!$E$4:$E$1510="Win"),'Match Log'!$D$4:$D$1510,"")),IFERROR(LOOKUP(2,1/(('Match Log'!$A$4:$A$1510=$A313)*('Match Log'!$E$4:$E$1510="Win")),'Match Log'!$D$4:$D$1510),""))</f>
        <v>Daniel (Ferret)</v>
      </c>
      <c r="E313">
        <f>IFERROR(INDEX('Match Log'!$F$4:$F$1510,MATCH($A313,'Match Log'!$A$4:$A$1510,0)),"")</f>
        <v>2</v>
      </c>
      <c r="F313">
        <f>IFERROR(SUMIFS('Match Log'!$I$4:$I$1510,'Match Log'!$A$4:$A$1510,$A313,'Match Log'!$E$4:$E$1510,"Win"),"")</f>
        <v>0.46325878594249204</v>
      </c>
      <c r="G313">
        <f t="shared" si="29"/>
        <v>7.348242811501593E-2</v>
      </c>
      <c r="H313" t="str">
        <f t="array" ref="H313">IFERROR(IF(COUNTIFS('Match Log'!$A$4:$A$1510,$A313,'Match Log'!$E$4:$E$1510,"Win")&gt;1,_xlfn.TEXTJOIN(" + ",TRUE(),IF(('Match Log'!$A$4:$A$1510=$A313)*('Match Log'!$E$4:$E$1510="Loss"),'Match Log'!$D$4:$D$1510,"")),IF($E313=2,LOOKUP(2,1/(('Match Log'!$A$4:$A$1510=$A313)*('Match Log'!$E$4:$E$1510="Loss")),'Match Log'!$D$4:$D$1510),"the field")),"")</f>
        <v>Shawn</v>
      </c>
      <c r="I313">
        <f t="shared" si="30"/>
        <v>7.3193428115015932E-2</v>
      </c>
      <c r="J313">
        <v>289</v>
      </c>
      <c r="K313">
        <f>IF($J313&gt;MAX('Match Log'!$A$4:$A$1510),NA(),IFERROR(LOOKUP(2,1/(('Match Log'!$D$4:$D$1510=$K$24)*('Match Log'!$A$4:$A$1510&lt;=$J313)),'Match Log'!$N$4:$N$1510),NA()))</f>
        <v>1265.5221853966827</v>
      </c>
      <c r="L313">
        <f>IF($J313&gt;MAX('Match Log'!$A$4:$A$1510),NA(),IFERROR(LOOKUP(2,1/(('Match Log'!$D$4:$D$1510=$L$24)*('Match Log'!$A$4:$A$1510&lt;=$J313)),'Match Log'!$N$4:$N$1510),NA()))</f>
        <v>1029.5175965335138</v>
      </c>
      <c r="M313">
        <f>IF($J313&gt;MAX('Match Log'!$A$4:$A$1510),NA(),IFERROR(LOOKUP(2,1/(('Match Log'!$D$4:$D$1510=$M$24)*('Match Log'!$A$4:$A$1510&lt;=$J313)),'Match Log'!$N$4:$N$1510),NA()))</f>
        <v>1081.2287215286424</v>
      </c>
      <c r="N313">
        <f>IF($J313&gt;MAX('Match Log'!$A$4:$A$1510),NA(),IFERROR(LOOKUP(2,1/(('Match Log'!$D$4:$D$1510=$N$24)*('Match Log'!$A$4:$A$1510&lt;=$J313)),'Match Log'!$N$4:$N$1510),NA()))</f>
        <v>907.03133644117429</v>
      </c>
      <c r="O313">
        <f>IF($J313&gt;MAX('Match Log'!$A$4:$A$1510),NA(),IFERROR(LOOKUP(2,1/(('Match Log'!$D$4:$D$1510=$O$24)*('Match Log'!$A$4:$A$1510&lt;=$J313)),'Match Log'!$N$4:$N$1510),NA()))</f>
        <v>1192.3121492095624</v>
      </c>
      <c r="P313">
        <f>IF($J313&gt;MAX('Match Log'!$A$4:$A$1510),NA(),IFERROR(LOOKUP(2,1/(('Match Log'!$D$4:$D$1510=$P$24)*('Match Log'!$A$4:$A$1510&lt;=$J313)),'Match Log'!$N$4:$N$1510),NA()))</f>
        <v>1205.1628594735989</v>
      </c>
      <c r="Q313">
        <f>IF($J313&gt;MAX('Match Log'!$A$4:$A$1510),NA(),IFERROR(LOOKUP(2,1/(('Match Log'!$D$4:$D$1510=$Q$24)*('Match Log'!$A$4:$A$1510&lt;=$J313)),'Match Log'!$N$4:$N$1510),NA()))</f>
        <v>1215.996181687143</v>
      </c>
      <c r="R313">
        <f>IF($J313&gt;MAX('Match Log'!$A$4:$A$1510),NA(),IFERROR(LOOKUP(2,1/(('Match Log'!$D$4:$D$1510=$R$24)*('Match Log'!$A$4:$A$1510&lt;=$J313)),'Match Log'!$N$4:$N$1510),NA()))</f>
        <v>1045.9145128348835</v>
      </c>
      <c r="S313">
        <f>IF($J313&gt;MAX('Match Log'!$A$4:$A$1510),NA(),IFERROR(LOOKUP(2,1/(('Match Log'!$D$4:$D$1510=$S$24)*('Match Log'!$A$4:$A$1510&lt;=$J313)),'Match Log'!$N$4:$N$1510),NA()))</f>
        <v>1248.9288111472574</v>
      </c>
      <c r="T313">
        <f>IF($J313&gt;MAX('Match Log'!$A$4:$A$1510),NA(),IFERROR(LOOKUP(2,1/(('Match Log'!$D$4:$D$1510=$T$24)*('Match Log'!$A$4:$A$1510&lt;=$J313)),'Match Log'!$N$4:$N$1510),NA()))</f>
        <v>862.22294373677494</v>
      </c>
      <c r="U313">
        <f>IF($J313&gt;MAX('Match Log'!$A$4:$A$1510),NA(),IFERROR(LOOKUP(2,1/(('Match Log'!$D$4:$D$1510=$U$24)*('Match Log'!$A$4:$A$1510&lt;=$J313)),'Match Log'!$N$4:$N$1510),NA()))</f>
        <v>944.39454678356583</v>
      </c>
      <c r="V313">
        <f>IF($J313&gt;MAX('Match Log'!$A$4:$A$1510),NA(),IFERROR(LOOKUP(2,1/(('Match Log'!$D$4:$D$1510=$V$24)*('Match Log'!$A$4:$A$1510&lt;=$J313)),'Match Log'!$N$4:$N$1510),NA()))</f>
        <v>1087.5488947064855</v>
      </c>
      <c r="W313">
        <f>IF($J313&gt;MAX('Match Log'!$A$4:$A$1510),NA(),IFERROR(LOOKUP(2,1/(('Match Log'!$D$4:$D$1510=$W$24)*('Match Log'!$A$4:$A$1510&lt;=$J313)),'Match Log'!$N$4:$N$1510),NA()))</f>
        <v>1023.2192605207141</v>
      </c>
      <c r="X313" t="e">
        <f>IF($J313&gt;MAX('Match Log'!$A$4:$A$1510),NA(),IFERROR(LOOKUP(2,1/(('Match Log'!$D$4:$D$1510=$X$24)*('Match Log'!$A$4:$A$1510&lt;=$J313)),'Match Log'!$N$4:$N$1510),NA()))</f>
        <v>#N/A</v>
      </c>
      <c r="Y313" t="str">
        <f t="shared" ca="1" si="31"/>
        <v/>
      </c>
    </row>
    <row r="314" spans="1:25" x14ac:dyDescent="0.2">
      <c r="A314">
        <v>290</v>
      </c>
      <c r="B314">
        <f>IFERROR(INDEX('Match Log'!$B$4:$B$1510,MATCH($A314,'Match Log'!$A$4:$A$1510,0)),"")</f>
        <v>46285</v>
      </c>
      <c r="C314" t="str">
        <f>IFERROR(INDEX('Match Log'!$C$4:$C$1510,MATCH($A314,'Match Log'!$A$4:$A$1510,0)),"")</f>
        <v>Mario Golf</v>
      </c>
      <c r="D314" t="str">
        <f t="array" ref="D314">IFERROR(_xlfn.TEXTJOIN(" + ",TRUE(),IF(('Match Log'!$A$4:$A$1510=$A314)*('Match Log'!$E$4:$E$1510="Win"),'Match Log'!$D$4:$D$1510,"")),IFERROR(LOOKUP(2,1/(('Match Log'!$A$4:$A$1510=$A314)*('Match Log'!$E$4:$E$1510="Win")),'Match Log'!$D$4:$D$1510),""))</f>
        <v>Shawn</v>
      </c>
      <c r="E314">
        <f>IFERROR(INDEX('Match Log'!$F$4:$F$1510,MATCH($A314,'Match Log'!$A$4:$A$1510,0)),"")</f>
        <v>2</v>
      </c>
      <c r="F314">
        <f>IFERROR(SUMIFS('Match Log'!$I$4:$I$1510,'Match Log'!$A$4:$A$1510,$A314,'Match Log'!$E$4:$E$1510,"Win"),"")</f>
        <v>0.51612903225806461</v>
      </c>
      <c r="G314">
        <f t="shared" si="29"/>
        <v>-3.2258064516129226E-2</v>
      </c>
      <c r="H314" t="str">
        <f t="array" ref="H314">IFERROR(IF(COUNTIFS('Match Log'!$A$4:$A$1510,$A314,'Match Log'!$E$4:$E$1510,"Win")&gt;1,_xlfn.TEXTJOIN(" + ",TRUE(),IF(('Match Log'!$A$4:$A$1510=$A314)*('Match Log'!$E$4:$E$1510="Loss"),'Match Log'!$D$4:$D$1510,"")),IF($E314=2,LOOKUP(2,1/(('Match Log'!$A$4:$A$1510=$A314)*('Match Log'!$E$4:$E$1510="Loss")),'Match Log'!$D$4:$D$1510),"the field")),"")</f>
        <v>Daniel (Ferret)</v>
      </c>
      <c r="I314">
        <f t="shared" si="30"/>
        <v>-3.2548064516129224E-2</v>
      </c>
      <c r="J314">
        <v>290</v>
      </c>
      <c r="K314">
        <f>IF($J314&gt;MAX('Match Log'!$A$4:$A$1510),NA(),IFERROR(LOOKUP(2,1/(('Match Log'!$D$4:$D$1510=$K$24)*('Match Log'!$A$4:$A$1510&lt;=$J314)),'Match Log'!$N$4:$N$1510),NA()))</f>
        <v>1265.5221853966827</v>
      </c>
      <c r="L314">
        <f>IF($J314&gt;MAX('Match Log'!$A$4:$A$1510),NA(),IFERROR(LOOKUP(2,1/(('Match Log'!$D$4:$D$1510=$L$24)*('Match Log'!$A$4:$A$1510&lt;=$J314)),'Match Log'!$N$4:$N$1510),NA()))</f>
        <v>1029.5175965335138</v>
      </c>
      <c r="M314">
        <f>IF($J314&gt;MAX('Match Log'!$A$4:$A$1510),NA(),IFERROR(LOOKUP(2,1/(('Match Log'!$D$4:$D$1510=$M$24)*('Match Log'!$A$4:$A$1510&lt;=$J314)),'Match Log'!$N$4:$N$1510),NA()))</f>
        <v>1081.2287215286424</v>
      </c>
      <c r="N314">
        <f>IF($J314&gt;MAX('Match Log'!$A$4:$A$1510),NA(),IFERROR(LOOKUP(2,1/(('Match Log'!$D$4:$D$1510=$N$24)*('Match Log'!$A$4:$A$1510&lt;=$J314)),'Match Log'!$N$4:$N$1510),NA()))</f>
        <v>907.03133644117429</v>
      </c>
      <c r="O314">
        <f>IF($J314&gt;MAX('Match Log'!$A$4:$A$1510),NA(),IFERROR(LOOKUP(2,1/(('Match Log'!$D$4:$D$1510=$O$24)*('Match Log'!$A$4:$A$1510&lt;=$J314)),'Match Log'!$N$4:$N$1510),NA()))</f>
        <v>1192.3121492095624</v>
      </c>
      <c r="P314">
        <f>IF($J314&gt;MAX('Match Log'!$A$4:$A$1510),NA(),IFERROR(LOOKUP(2,1/(('Match Log'!$D$4:$D$1510=$P$24)*('Match Log'!$A$4:$A$1510&lt;=$J314)),'Match Log'!$N$4:$N$1510),NA()))</f>
        <v>1228.0957478478258</v>
      </c>
      <c r="Q314">
        <f>IF($J314&gt;MAX('Match Log'!$A$4:$A$1510),NA(),IFERROR(LOOKUP(2,1/(('Match Log'!$D$4:$D$1510=$Q$24)*('Match Log'!$A$4:$A$1510&lt;=$J314)),'Match Log'!$N$4:$N$1510),NA()))</f>
        <v>1215.996181687143</v>
      </c>
      <c r="R314">
        <f>IF($J314&gt;MAX('Match Log'!$A$4:$A$1510),NA(),IFERROR(LOOKUP(2,1/(('Match Log'!$D$4:$D$1510=$R$24)*('Match Log'!$A$4:$A$1510&lt;=$J314)),'Match Log'!$N$4:$N$1510),NA()))</f>
        <v>1022.9816244606566</v>
      </c>
      <c r="S314">
        <f>IF($J314&gt;MAX('Match Log'!$A$4:$A$1510),NA(),IFERROR(LOOKUP(2,1/(('Match Log'!$D$4:$D$1510=$S$24)*('Match Log'!$A$4:$A$1510&lt;=$J314)),'Match Log'!$N$4:$N$1510),NA()))</f>
        <v>1248.9288111472574</v>
      </c>
      <c r="T314">
        <f>IF($J314&gt;MAX('Match Log'!$A$4:$A$1510),NA(),IFERROR(LOOKUP(2,1/(('Match Log'!$D$4:$D$1510=$T$24)*('Match Log'!$A$4:$A$1510&lt;=$J314)),'Match Log'!$N$4:$N$1510),NA()))</f>
        <v>862.22294373677494</v>
      </c>
      <c r="U314">
        <f>IF($J314&gt;MAX('Match Log'!$A$4:$A$1510),NA(),IFERROR(LOOKUP(2,1/(('Match Log'!$D$4:$D$1510=$U$24)*('Match Log'!$A$4:$A$1510&lt;=$J314)),'Match Log'!$N$4:$N$1510),NA()))</f>
        <v>944.39454678356583</v>
      </c>
      <c r="V314">
        <f>IF($J314&gt;MAX('Match Log'!$A$4:$A$1510),NA(),IFERROR(LOOKUP(2,1/(('Match Log'!$D$4:$D$1510=$V$24)*('Match Log'!$A$4:$A$1510&lt;=$J314)),'Match Log'!$N$4:$N$1510),NA()))</f>
        <v>1087.5488947064855</v>
      </c>
      <c r="W314">
        <f>IF($J314&gt;MAX('Match Log'!$A$4:$A$1510),NA(),IFERROR(LOOKUP(2,1/(('Match Log'!$D$4:$D$1510=$W$24)*('Match Log'!$A$4:$A$1510&lt;=$J314)),'Match Log'!$N$4:$N$1510),NA()))</f>
        <v>1023.2192605207141</v>
      </c>
      <c r="X314" t="e">
        <f>IF($J314&gt;MAX('Match Log'!$A$4:$A$1510),NA(),IFERROR(LOOKUP(2,1/(('Match Log'!$D$4:$D$1510=$X$24)*('Match Log'!$A$4:$A$1510&lt;=$J314)),'Match Log'!$N$4:$N$1510),NA()))</f>
        <v>#N/A</v>
      </c>
      <c r="Y314" t="str">
        <f t="shared" ca="1" si="31"/>
        <v/>
      </c>
    </row>
    <row r="315" spans="1:25" x14ac:dyDescent="0.2">
      <c r="A315">
        <v>291</v>
      </c>
      <c r="B315">
        <f>IFERROR(INDEX('Match Log'!$B$4:$B$1510,MATCH($A315,'Match Log'!$A$4:$A$1510,0)),"")</f>
        <v>46287</v>
      </c>
      <c r="C315" t="str">
        <f>IFERROR(INDEX('Match Log'!$C$4:$C$1510,MATCH($A315,'Match Log'!$A$4:$A$1510,0)),"")</f>
        <v>Mario Golf</v>
      </c>
      <c r="D315" t="str">
        <f t="array" ref="D315">IFERROR(_xlfn.TEXTJOIN(" + ",TRUE(),IF(('Match Log'!$A$4:$A$1510=$A315)*('Match Log'!$E$4:$E$1510="Win"),'Match Log'!$D$4:$D$1510,"")),IFERROR(LOOKUP(2,1/(('Match Log'!$A$4:$A$1510=$A315)*('Match Log'!$E$4:$E$1510="Win")),'Match Log'!$D$4:$D$1510),""))</f>
        <v>Shawn + Daniel (Ferret)</v>
      </c>
      <c r="E315">
        <f>IFERROR(INDEX('Match Log'!$F$4:$F$1510,MATCH($A315,'Match Log'!$A$4:$A$1510,0)),"")</f>
        <v>3</v>
      </c>
      <c r="F315">
        <f>IFERROR(SUMIFS('Match Log'!$I$4:$I$1510,'Match Log'!$A$4:$A$1510,$A315,'Match Log'!$E$4:$E$1510,"Win"),"")</f>
        <v>0.73844460748349228</v>
      </c>
      <c r="G315">
        <f t="shared" si="29"/>
        <v>-1.2153338224504768</v>
      </c>
      <c r="H315" t="str">
        <f t="array" ref="H315">IFERROR(IF(COUNTIFS('Match Log'!$A$4:$A$1510,$A315,'Match Log'!$E$4:$E$1510,"Win")&gt;1,_xlfn.TEXTJOIN(" + ",TRUE(),IF(('Match Log'!$A$4:$A$1510=$A315)*('Match Log'!$E$4:$E$1510="Loss"),'Match Log'!$D$4:$D$1510,"")),IF($E315=2,LOOKUP(2,1/(('Match Log'!$A$4:$A$1510=$A315)*('Match Log'!$E$4:$E$1510="Loss")),'Match Log'!$D$4:$D$1510),"the field")),"")</f>
        <v>Aaron</v>
      </c>
      <c r="I315">
        <f t="shared" si="30"/>
        <v>-1.2156248224504769</v>
      </c>
      <c r="J315">
        <v>291</v>
      </c>
      <c r="K315">
        <f>IF($J315&gt;MAX('Match Log'!$A$4:$A$1510),NA(),IFERROR(LOOKUP(2,1/(('Match Log'!$D$4:$D$1510=$K$24)*('Match Log'!$A$4:$A$1510&lt;=$J315)),'Match Log'!$N$4:$N$1510),NA()))</f>
        <v>1256.5152369639034</v>
      </c>
      <c r="L315">
        <f>IF($J315&gt;MAX('Match Log'!$A$4:$A$1510),NA(),IFERROR(LOOKUP(2,1/(('Match Log'!$D$4:$D$1510=$L$24)*('Match Log'!$A$4:$A$1510&lt;=$J315)),'Match Log'!$N$4:$N$1510),NA()))</f>
        <v>1029.5175965335138</v>
      </c>
      <c r="M315">
        <f>IF($J315&gt;MAX('Match Log'!$A$4:$A$1510),NA(),IFERROR(LOOKUP(2,1/(('Match Log'!$D$4:$D$1510=$M$24)*('Match Log'!$A$4:$A$1510&lt;=$J315)),'Match Log'!$N$4:$N$1510),NA()))</f>
        <v>1081.2287215286424</v>
      </c>
      <c r="N315">
        <f>IF($J315&gt;MAX('Match Log'!$A$4:$A$1510),NA(),IFERROR(LOOKUP(2,1/(('Match Log'!$D$4:$D$1510=$N$24)*('Match Log'!$A$4:$A$1510&lt;=$J315)),'Match Log'!$N$4:$N$1510),NA()))</f>
        <v>907.03133644117429</v>
      </c>
      <c r="O315">
        <f>IF($J315&gt;MAX('Match Log'!$A$4:$A$1510),NA(),IFERROR(LOOKUP(2,1/(('Match Log'!$D$4:$D$1510=$O$24)*('Match Log'!$A$4:$A$1510&lt;=$J315)),'Match Log'!$N$4:$N$1510),NA()))</f>
        <v>1192.3121492095624</v>
      </c>
      <c r="P315">
        <f>IF($J315&gt;MAX('Match Log'!$A$4:$A$1510),NA(),IFERROR(LOOKUP(2,1/(('Match Log'!$D$4:$D$1510=$P$24)*('Match Log'!$A$4:$A$1510&lt;=$J315)),'Match Log'!$N$4:$N$1510),NA()))</f>
        <v>1242.7965808316403</v>
      </c>
      <c r="Q315">
        <f>IF($J315&gt;MAX('Match Log'!$A$4:$A$1510),NA(),IFERROR(LOOKUP(2,1/(('Match Log'!$D$4:$D$1510=$Q$24)*('Match Log'!$A$4:$A$1510&lt;=$J315)),'Match Log'!$N$4:$N$1510),NA()))</f>
        <v>1215.996181687143</v>
      </c>
      <c r="R315">
        <f>IF($J315&gt;MAX('Match Log'!$A$4:$A$1510),NA(),IFERROR(LOOKUP(2,1/(('Match Log'!$D$4:$D$1510=$R$24)*('Match Log'!$A$4:$A$1510&lt;=$J315)),'Match Log'!$N$4:$N$1510),NA()))</f>
        <v>1038.2877399096215</v>
      </c>
      <c r="S315">
        <f>IF($J315&gt;MAX('Match Log'!$A$4:$A$1510),NA(),IFERROR(LOOKUP(2,1/(('Match Log'!$D$4:$D$1510=$S$24)*('Match Log'!$A$4:$A$1510&lt;=$J315)),'Match Log'!$N$4:$N$1510),NA()))</f>
        <v>1248.9288111472574</v>
      </c>
      <c r="T315">
        <f>IF($J315&gt;MAX('Match Log'!$A$4:$A$1510),NA(),IFERROR(LOOKUP(2,1/(('Match Log'!$D$4:$D$1510=$T$24)*('Match Log'!$A$4:$A$1510&lt;=$J315)),'Match Log'!$N$4:$N$1510),NA()))</f>
        <v>862.22294373677494</v>
      </c>
      <c r="U315">
        <f>IF($J315&gt;MAX('Match Log'!$A$4:$A$1510),NA(),IFERROR(LOOKUP(2,1/(('Match Log'!$D$4:$D$1510=$U$24)*('Match Log'!$A$4:$A$1510&lt;=$J315)),'Match Log'!$N$4:$N$1510),NA()))</f>
        <v>944.39454678356583</v>
      </c>
      <c r="V315">
        <f>IF($J315&gt;MAX('Match Log'!$A$4:$A$1510),NA(),IFERROR(LOOKUP(2,1/(('Match Log'!$D$4:$D$1510=$V$24)*('Match Log'!$A$4:$A$1510&lt;=$J315)),'Match Log'!$N$4:$N$1510),NA()))</f>
        <v>1087.5488947064855</v>
      </c>
      <c r="W315">
        <f>IF($J315&gt;MAX('Match Log'!$A$4:$A$1510),NA(),IFERROR(LOOKUP(2,1/(('Match Log'!$D$4:$D$1510=$W$24)*('Match Log'!$A$4:$A$1510&lt;=$J315)),'Match Log'!$N$4:$N$1510),NA()))</f>
        <v>1023.2192605207141</v>
      </c>
      <c r="X315" t="e">
        <f>IF($J315&gt;MAX('Match Log'!$A$4:$A$1510),NA(),IFERROR(LOOKUP(2,1/(('Match Log'!$D$4:$D$1510=$X$24)*('Match Log'!$A$4:$A$1510&lt;=$J315)),'Match Log'!$N$4:$N$1510),NA()))</f>
        <v>#N/A</v>
      </c>
      <c r="Y315" t="str">
        <f t="shared" ca="1" si="31"/>
        <v/>
      </c>
    </row>
    <row r="316" spans="1:25" x14ac:dyDescent="0.2">
      <c r="A316">
        <v>292</v>
      </c>
      <c r="B316">
        <f>IFERROR(INDEX('Match Log'!$B$4:$B$1510,MATCH($A316,'Match Log'!$A$4:$A$1510,0)),"")</f>
        <v>46287</v>
      </c>
      <c r="C316" t="str">
        <f>IFERROR(INDEX('Match Log'!$C$4:$C$1510,MATCH($A316,'Match Log'!$A$4:$A$1510,0)),"")</f>
        <v>Mario Golf</v>
      </c>
      <c r="D316" t="str">
        <f t="array" ref="D316">IFERROR(_xlfn.TEXTJOIN(" + ",TRUE(),IF(('Match Log'!$A$4:$A$1510=$A316)*('Match Log'!$E$4:$E$1510="Win"),'Match Log'!$D$4:$D$1510,"")),IFERROR(LOOKUP(2,1/(('Match Log'!$A$4:$A$1510=$A316)*('Match Log'!$E$4:$E$1510="Win")),'Match Log'!$D$4:$D$1510),""))</f>
        <v>Daniel (Ferret)</v>
      </c>
      <c r="E316">
        <f>IFERROR(INDEX('Match Log'!$F$4:$F$1510,MATCH($A316,'Match Log'!$A$4:$A$1510,0)),"")</f>
        <v>3</v>
      </c>
      <c r="F316">
        <f>IFERROR(SUMIFS('Match Log'!$I$4:$I$1510,'Match Log'!$A$4:$A$1510,$A316,'Match Log'!$E$4:$E$1510,"Win"),"")</f>
        <v>0.35820895522388063</v>
      </c>
      <c r="G316">
        <f t="shared" si="29"/>
        <v>-7.4626865671641784E-2</v>
      </c>
      <c r="H316" t="str">
        <f t="array" ref="H316">IFERROR(IF(COUNTIFS('Match Log'!$A$4:$A$1510,$A316,'Match Log'!$E$4:$E$1510,"Win")&gt;1,_xlfn.TEXTJOIN(" + ",TRUE(),IF(('Match Log'!$A$4:$A$1510=$A316)*('Match Log'!$E$4:$E$1510="Loss"),'Match Log'!$D$4:$D$1510,"")),IF($E316=2,LOOKUP(2,1/(('Match Log'!$A$4:$A$1510=$A316)*('Match Log'!$E$4:$E$1510="Loss")),'Match Log'!$D$4:$D$1510),"the field")),"")</f>
        <v>the field</v>
      </c>
      <c r="I316">
        <f t="shared" si="30"/>
        <v>-7.4918865671641785E-2</v>
      </c>
      <c r="J316">
        <v>292</v>
      </c>
      <c r="K316">
        <f>IF($J316&gt;MAX('Match Log'!$A$4:$A$1510),NA(),IFERROR(LOOKUP(2,1/(('Match Log'!$D$4:$D$1510=$K$24)*('Match Log'!$A$4:$A$1510&lt;=$J316)),'Match Log'!$N$4:$N$1510),NA()))</f>
        <v>1248.0905215463217</v>
      </c>
      <c r="L316">
        <f>IF($J316&gt;MAX('Match Log'!$A$4:$A$1510),NA(),IFERROR(LOOKUP(2,1/(('Match Log'!$D$4:$D$1510=$L$24)*('Match Log'!$A$4:$A$1510&lt;=$J316)),'Match Log'!$N$4:$N$1510),NA()))</f>
        <v>1029.5175965335138</v>
      </c>
      <c r="M316">
        <f>IF($J316&gt;MAX('Match Log'!$A$4:$A$1510),NA(),IFERROR(LOOKUP(2,1/(('Match Log'!$D$4:$D$1510=$M$24)*('Match Log'!$A$4:$A$1510&lt;=$J316)),'Match Log'!$N$4:$N$1510),NA()))</f>
        <v>1081.2287215286424</v>
      </c>
      <c r="N316">
        <f>IF($J316&gt;MAX('Match Log'!$A$4:$A$1510),NA(),IFERROR(LOOKUP(2,1/(('Match Log'!$D$4:$D$1510=$N$24)*('Match Log'!$A$4:$A$1510&lt;=$J316)),'Match Log'!$N$4:$N$1510),NA()))</f>
        <v>907.03133644117429</v>
      </c>
      <c r="O316">
        <f>IF($J316&gt;MAX('Match Log'!$A$4:$A$1510),NA(),IFERROR(LOOKUP(2,1/(('Match Log'!$D$4:$D$1510=$O$24)*('Match Log'!$A$4:$A$1510&lt;=$J316)),'Match Log'!$N$4:$N$1510),NA()))</f>
        <v>1192.3121492095624</v>
      </c>
      <c r="P316">
        <f>IF($J316&gt;MAX('Match Log'!$A$4:$A$1510),NA(),IFERROR(LOOKUP(2,1/(('Match Log'!$D$4:$D$1510=$P$24)*('Match Log'!$A$4:$A$1510&lt;=$J316)),'Match Log'!$N$4:$N$1510),NA()))</f>
        <v>1232.6924667492156</v>
      </c>
      <c r="Q316">
        <f>IF($J316&gt;MAX('Match Log'!$A$4:$A$1510),NA(),IFERROR(LOOKUP(2,1/(('Match Log'!$D$4:$D$1510=$Q$24)*('Match Log'!$A$4:$A$1510&lt;=$J316)),'Match Log'!$N$4:$N$1510),NA()))</f>
        <v>1215.996181687143</v>
      </c>
      <c r="R316">
        <f>IF($J316&gt;MAX('Match Log'!$A$4:$A$1510),NA(),IFERROR(LOOKUP(2,1/(('Match Log'!$D$4:$D$1510=$R$24)*('Match Log'!$A$4:$A$1510&lt;=$J316)),'Match Log'!$N$4:$N$1510),NA()))</f>
        <v>1065.8165694096278</v>
      </c>
      <c r="S316">
        <f>IF($J316&gt;MAX('Match Log'!$A$4:$A$1510),NA(),IFERROR(LOOKUP(2,1/(('Match Log'!$D$4:$D$1510=$S$24)*('Match Log'!$A$4:$A$1510&lt;=$J316)),'Match Log'!$N$4:$N$1510),NA()))</f>
        <v>1248.9288111472574</v>
      </c>
      <c r="T316">
        <f>IF($J316&gt;MAX('Match Log'!$A$4:$A$1510),NA(),IFERROR(LOOKUP(2,1/(('Match Log'!$D$4:$D$1510=$T$24)*('Match Log'!$A$4:$A$1510&lt;=$J316)),'Match Log'!$N$4:$N$1510),NA()))</f>
        <v>862.22294373677494</v>
      </c>
      <c r="U316">
        <f>IF($J316&gt;MAX('Match Log'!$A$4:$A$1510),NA(),IFERROR(LOOKUP(2,1/(('Match Log'!$D$4:$D$1510=$U$24)*('Match Log'!$A$4:$A$1510&lt;=$J316)),'Match Log'!$N$4:$N$1510),NA()))</f>
        <v>944.39454678356583</v>
      </c>
      <c r="V316">
        <f>IF($J316&gt;MAX('Match Log'!$A$4:$A$1510),NA(),IFERROR(LOOKUP(2,1/(('Match Log'!$D$4:$D$1510=$V$24)*('Match Log'!$A$4:$A$1510&lt;=$J316)),'Match Log'!$N$4:$N$1510),NA()))</f>
        <v>1087.5488947064855</v>
      </c>
      <c r="W316">
        <f>IF($J316&gt;MAX('Match Log'!$A$4:$A$1510),NA(),IFERROR(LOOKUP(2,1/(('Match Log'!$D$4:$D$1510=$W$24)*('Match Log'!$A$4:$A$1510&lt;=$J316)),'Match Log'!$N$4:$N$1510),NA()))</f>
        <v>1023.2192605207141</v>
      </c>
      <c r="X316" t="e">
        <f>IF($J316&gt;MAX('Match Log'!$A$4:$A$1510),NA(),IFERROR(LOOKUP(2,1/(('Match Log'!$D$4:$D$1510=$X$24)*('Match Log'!$A$4:$A$1510&lt;=$J316)),'Match Log'!$N$4:$N$1510),NA()))</f>
        <v>#N/A</v>
      </c>
      <c r="Y316" t="str">
        <f t="shared" ca="1" si="31"/>
        <v/>
      </c>
    </row>
    <row r="317" spans="1:25" x14ac:dyDescent="0.2">
      <c r="A317">
        <v>293</v>
      </c>
      <c r="B317">
        <f>IFERROR(INDEX('Match Log'!$B$4:$B$1510,MATCH($A317,'Match Log'!$A$4:$A$1510,0)),"")</f>
        <v>46287</v>
      </c>
      <c r="C317" t="str">
        <f>IFERROR(INDEX('Match Log'!$C$4:$C$1510,MATCH($A317,'Match Log'!$A$4:$A$1510,0)),"")</f>
        <v>Mario Golf</v>
      </c>
      <c r="D317" t="str">
        <f t="array" ref="D317">IFERROR(_xlfn.TEXTJOIN(" + ",TRUE(),IF(('Match Log'!$A$4:$A$1510=$A317)*('Match Log'!$E$4:$E$1510="Win"),'Match Log'!$D$4:$D$1510,"")),IFERROR(LOOKUP(2,1/(('Match Log'!$A$4:$A$1510=$A317)*('Match Log'!$E$4:$E$1510="Win")),'Match Log'!$D$4:$D$1510),""))</f>
        <v>Daniel (Ferret)</v>
      </c>
      <c r="E317">
        <f>IFERROR(INDEX('Match Log'!$F$4:$F$1510,MATCH($A317,'Match Log'!$A$4:$A$1510,0)),"")</f>
        <v>3</v>
      </c>
      <c r="F317">
        <f>IFERROR(SUMIFS('Match Log'!$I$4:$I$1510,'Match Log'!$A$4:$A$1510,$A317,'Match Log'!$E$4:$E$1510,"Win"),"")</f>
        <v>0.37869219800366677</v>
      </c>
      <c r="G317">
        <f t="shared" si="29"/>
        <v>-0.13607659401100025</v>
      </c>
      <c r="H317" t="str">
        <f t="array" ref="H317">IFERROR(IF(COUNTIFS('Match Log'!$A$4:$A$1510,$A317,'Match Log'!$E$4:$E$1510,"Win")&gt;1,_xlfn.TEXTJOIN(" + ",TRUE(),IF(('Match Log'!$A$4:$A$1510=$A317)*('Match Log'!$E$4:$E$1510="Loss"),'Match Log'!$D$4:$D$1510,"")),IF($E317=2,LOOKUP(2,1/(('Match Log'!$A$4:$A$1510=$A317)*('Match Log'!$E$4:$E$1510="Loss")),'Match Log'!$D$4:$D$1510),"the field")),"")</f>
        <v>the field</v>
      </c>
      <c r="I317">
        <f t="shared" si="30"/>
        <v>-0.13636959401100024</v>
      </c>
      <c r="J317">
        <v>293</v>
      </c>
      <c r="K317">
        <f>IF($J317&gt;MAX('Match Log'!$A$4:$A$1510),NA(),IFERROR(LOOKUP(2,1/(('Match Log'!$D$4:$D$1510=$K$24)*('Match Log'!$A$4:$A$1510&lt;=$J317)),'Match Log'!$N$4:$N$1510),NA()))</f>
        <v>1240.5171106942748</v>
      </c>
      <c r="L317">
        <f>IF($J317&gt;MAX('Match Log'!$A$4:$A$1510),NA(),IFERROR(LOOKUP(2,1/(('Match Log'!$D$4:$D$1510=$L$24)*('Match Log'!$A$4:$A$1510&lt;=$J317)),'Match Log'!$N$4:$N$1510),NA()))</f>
        <v>1029.5175965335138</v>
      </c>
      <c r="M317">
        <f>IF($J317&gt;MAX('Match Log'!$A$4:$A$1510),NA(),IFERROR(LOOKUP(2,1/(('Match Log'!$D$4:$D$1510=$M$24)*('Match Log'!$A$4:$A$1510&lt;=$J317)),'Match Log'!$N$4:$N$1510),NA()))</f>
        <v>1081.2287215286424</v>
      </c>
      <c r="N317">
        <f>IF($J317&gt;MAX('Match Log'!$A$4:$A$1510),NA(),IFERROR(LOOKUP(2,1/(('Match Log'!$D$4:$D$1510=$N$24)*('Match Log'!$A$4:$A$1510&lt;=$J317)),'Match Log'!$N$4:$N$1510),NA()))</f>
        <v>907.03133644117429</v>
      </c>
      <c r="O317">
        <f>IF($J317&gt;MAX('Match Log'!$A$4:$A$1510),NA(),IFERROR(LOOKUP(2,1/(('Match Log'!$D$4:$D$1510=$O$24)*('Match Log'!$A$4:$A$1510&lt;=$J317)),'Match Log'!$N$4:$N$1510),NA()))</f>
        <v>1192.3121492095624</v>
      </c>
      <c r="P317">
        <f>IF($J317&gt;MAX('Match Log'!$A$4:$A$1510),NA(),IFERROR(LOOKUP(2,1/(('Match Log'!$D$4:$D$1510=$P$24)*('Match Log'!$A$4:$A$1510&lt;=$J317)),'Match Log'!$N$4:$N$1510),NA()))</f>
        <v>1223.2354115650985</v>
      </c>
      <c r="Q317">
        <f>IF($J317&gt;MAX('Match Log'!$A$4:$A$1510),NA(),IFERROR(LOOKUP(2,1/(('Match Log'!$D$4:$D$1510=$Q$24)*('Match Log'!$A$4:$A$1510&lt;=$J317)),'Match Log'!$N$4:$N$1510),NA()))</f>
        <v>1215.996181687143</v>
      </c>
      <c r="R317">
        <f>IF($J317&gt;MAX('Match Log'!$A$4:$A$1510),NA(),IFERROR(LOOKUP(2,1/(('Match Log'!$D$4:$D$1510=$R$24)*('Match Log'!$A$4:$A$1510&lt;=$J317)),'Match Log'!$N$4:$N$1510),NA()))</f>
        <v>1091.8470354457918</v>
      </c>
      <c r="S317">
        <f>IF($J317&gt;MAX('Match Log'!$A$4:$A$1510),NA(),IFERROR(LOOKUP(2,1/(('Match Log'!$D$4:$D$1510=$S$24)*('Match Log'!$A$4:$A$1510&lt;=$J317)),'Match Log'!$N$4:$N$1510),NA()))</f>
        <v>1248.9288111472574</v>
      </c>
      <c r="T317">
        <f>IF($J317&gt;MAX('Match Log'!$A$4:$A$1510),NA(),IFERROR(LOOKUP(2,1/(('Match Log'!$D$4:$D$1510=$T$24)*('Match Log'!$A$4:$A$1510&lt;=$J317)),'Match Log'!$N$4:$N$1510),NA()))</f>
        <v>862.22294373677494</v>
      </c>
      <c r="U317">
        <f>IF($J317&gt;MAX('Match Log'!$A$4:$A$1510),NA(),IFERROR(LOOKUP(2,1/(('Match Log'!$D$4:$D$1510=$U$24)*('Match Log'!$A$4:$A$1510&lt;=$J317)),'Match Log'!$N$4:$N$1510),NA()))</f>
        <v>944.39454678356583</v>
      </c>
      <c r="V317">
        <f>IF($J317&gt;MAX('Match Log'!$A$4:$A$1510),NA(),IFERROR(LOOKUP(2,1/(('Match Log'!$D$4:$D$1510=$V$24)*('Match Log'!$A$4:$A$1510&lt;=$J317)),'Match Log'!$N$4:$N$1510),NA()))</f>
        <v>1087.5488947064855</v>
      </c>
      <c r="W317">
        <f>IF($J317&gt;MAX('Match Log'!$A$4:$A$1510),NA(),IFERROR(LOOKUP(2,1/(('Match Log'!$D$4:$D$1510=$W$24)*('Match Log'!$A$4:$A$1510&lt;=$J317)),'Match Log'!$N$4:$N$1510),NA()))</f>
        <v>1023.2192605207141</v>
      </c>
      <c r="X317" t="e">
        <f>IF($J317&gt;MAX('Match Log'!$A$4:$A$1510),NA(),IFERROR(LOOKUP(2,1/(('Match Log'!$D$4:$D$1510=$X$24)*('Match Log'!$A$4:$A$1510&lt;=$J317)),'Match Log'!$N$4:$N$1510),NA()))</f>
        <v>#N/A</v>
      </c>
      <c r="Y317" t="str">
        <f t="shared" ca="1" si="31"/>
        <v/>
      </c>
    </row>
    <row r="318" spans="1:25" x14ac:dyDescent="0.2">
      <c r="A318">
        <v>294</v>
      </c>
      <c r="B318">
        <f>IFERROR(INDEX('Match Log'!$B$4:$B$1510,MATCH($A318,'Match Log'!$A$4:$A$1510,0)),"")</f>
        <v>46287</v>
      </c>
      <c r="C318" t="str">
        <f>IFERROR(INDEX('Match Log'!$C$4:$C$1510,MATCH($A318,'Match Log'!$A$4:$A$1510,0)),"")</f>
        <v>Mario Golf</v>
      </c>
      <c r="D318" t="str">
        <f t="array" ref="D318">IFERROR(_xlfn.TEXTJOIN(" + ",TRUE(),IF(('Match Log'!$A$4:$A$1510=$A318)*('Match Log'!$E$4:$E$1510="Win"),'Match Log'!$D$4:$D$1510,"")),IFERROR(LOOKUP(2,1/(('Match Log'!$A$4:$A$1510=$A318)*('Match Log'!$E$4:$E$1510="Win")),'Match Log'!$D$4:$D$1510),""))</f>
        <v>Shawn</v>
      </c>
      <c r="E318">
        <f>IFERROR(INDEX('Match Log'!$F$4:$F$1510,MATCH($A318,'Match Log'!$A$4:$A$1510,0)),"")</f>
        <v>3</v>
      </c>
      <c r="F318">
        <f>IFERROR(SUMIFS('Match Log'!$I$4:$I$1510,'Match Log'!$A$4:$A$1510,$A318,'Match Log'!$E$4:$E$1510,"Win"),"")</f>
        <v>0.39111747851002865</v>
      </c>
      <c r="G318">
        <f t="shared" si="29"/>
        <v>-0.17335243553008595</v>
      </c>
      <c r="H318" t="str">
        <f t="array" ref="H318">IFERROR(IF(COUNTIFS('Match Log'!$A$4:$A$1510,$A318,'Match Log'!$E$4:$E$1510,"Win")&gt;1,_xlfn.TEXTJOIN(" + ",TRUE(),IF(('Match Log'!$A$4:$A$1510=$A318)*('Match Log'!$E$4:$E$1510="Loss"),'Match Log'!$D$4:$D$1510,"")),IF($E318=2,LOOKUP(2,1/(('Match Log'!$A$4:$A$1510=$A318)*('Match Log'!$E$4:$E$1510="Loss")),'Match Log'!$D$4:$D$1510),"the field")),"")</f>
        <v>the field</v>
      </c>
      <c r="I318">
        <f t="shared" si="30"/>
        <v>-0.17364643553008594</v>
      </c>
      <c r="J318">
        <v>294</v>
      </c>
      <c r="K318">
        <f>IF($J318&gt;MAX('Match Log'!$A$4:$A$1510),NA(),IFERROR(LOOKUP(2,1/(('Match Log'!$D$4:$D$1510=$K$24)*('Match Log'!$A$4:$A$1510&lt;=$J318)),'Match Log'!$N$4:$N$1510),NA()))</f>
        <v>1232.8695151191851</v>
      </c>
      <c r="L318">
        <f>IF($J318&gt;MAX('Match Log'!$A$4:$A$1510),NA(),IFERROR(LOOKUP(2,1/(('Match Log'!$D$4:$D$1510=$L$24)*('Match Log'!$A$4:$A$1510&lt;=$J318)),'Match Log'!$N$4:$N$1510),NA()))</f>
        <v>1029.5175965335138</v>
      </c>
      <c r="M318">
        <f>IF($J318&gt;MAX('Match Log'!$A$4:$A$1510),NA(),IFERROR(LOOKUP(2,1/(('Match Log'!$D$4:$D$1510=$M$24)*('Match Log'!$A$4:$A$1510&lt;=$J318)),'Match Log'!$N$4:$N$1510),NA()))</f>
        <v>1081.2287215286424</v>
      </c>
      <c r="N318">
        <f>IF($J318&gt;MAX('Match Log'!$A$4:$A$1510),NA(),IFERROR(LOOKUP(2,1/(('Match Log'!$D$4:$D$1510=$N$24)*('Match Log'!$A$4:$A$1510&lt;=$J318)),'Match Log'!$N$4:$N$1510),NA()))</f>
        <v>907.03133644117429</v>
      </c>
      <c r="O318">
        <f>IF($J318&gt;MAX('Match Log'!$A$4:$A$1510),NA(),IFERROR(LOOKUP(2,1/(('Match Log'!$D$4:$D$1510=$O$24)*('Match Log'!$A$4:$A$1510&lt;=$J318)),'Match Log'!$N$4:$N$1510),NA()))</f>
        <v>1192.3121492095624</v>
      </c>
      <c r="P318">
        <f>IF($J318&gt;MAX('Match Log'!$A$4:$A$1510),NA(),IFERROR(LOOKUP(2,1/(('Match Log'!$D$4:$D$1510=$P$24)*('Match Log'!$A$4:$A$1510&lt;=$J318)),'Match Log'!$N$4:$N$1510),NA()))</f>
        <v>1250.5007245098798</v>
      </c>
      <c r="Q318">
        <f>IF($J318&gt;MAX('Match Log'!$A$4:$A$1510),NA(),IFERROR(LOOKUP(2,1/(('Match Log'!$D$4:$D$1510=$Q$24)*('Match Log'!$A$4:$A$1510&lt;=$J318)),'Match Log'!$N$4:$N$1510),NA()))</f>
        <v>1215.996181687143</v>
      </c>
      <c r="R318">
        <f>IF($J318&gt;MAX('Match Log'!$A$4:$A$1510),NA(),IFERROR(LOOKUP(2,1/(('Match Log'!$D$4:$D$1510=$R$24)*('Match Log'!$A$4:$A$1510&lt;=$J318)),'Match Log'!$N$4:$N$1510),NA()))</f>
        <v>1081.2293180761003</v>
      </c>
      <c r="S318">
        <f>IF($J318&gt;MAX('Match Log'!$A$4:$A$1510),NA(),IFERROR(LOOKUP(2,1/(('Match Log'!$D$4:$D$1510=$S$24)*('Match Log'!$A$4:$A$1510&lt;=$J318)),'Match Log'!$N$4:$N$1510),NA()))</f>
        <v>1248.9288111472574</v>
      </c>
      <c r="T318">
        <f>IF($J318&gt;MAX('Match Log'!$A$4:$A$1510),NA(),IFERROR(LOOKUP(2,1/(('Match Log'!$D$4:$D$1510=$T$24)*('Match Log'!$A$4:$A$1510&lt;=$J318)),'Match Log'!$N$4:$N$1510),NA()))</f>
        <v>862.22294373677494</v>
      </c>
      <c r="U318">
        <f>IF($J318&gt;MAX('Match Log'!$A$4:$A$1510),NA(),IFERROR(LOOKUP(2,1/(('Match Log'!$D$4:$D$1510=$U$24)*('Match Log'!$A$4:$A$1510&lt;=$J318)),'Match Log'!$N$4:$N$1510),NA()))</f>
        <v>944.39454678356583</v>
      </c>
      <c r="V318">
        <f>IF($J318&gt;MAX('Match Log'!$A$4:$A$1510),NA(),IFERROR(LOOKUP(2,1/(('Match Log'!$D$4:$D$1510=$V$24)*('Match Log'!$A$4:$A$1510&lt;=$J318)),'Match Log'!$N$4:$N$1510),NA()))</f>
        <v>1087.5488947064855</v>
      </c>
      <c r="W318">
        <f>IF($J318&gt;MAX('Match Log'!$A$4:$A$1510),NA(),IFERROR(LOOKUP(2,1/(('Match Log'!$D$4:$D$1510=$W$24)*('Match Log'!$A$4:$A$1510&lt;=$J318)),'Match Log'!$N$4:$N$1510),NA()))</f>
        <v>1023.2192605207141</v>
      </c>
      <c r="X318" t="e">
        <f>IF($J318&gt;MAX('Match Log'!$A$4:$A$1510),NA(),IFERROR(LOOKUP(2,1/(('Match Log'!$D$4:$D$1510=$X$24)*('Match Log'!$A$4:$A$1510&lt;=$J318)),'Match Log'!$N$4:$N$1510),NA()))</f>
        <v>#N/A</v>
      </c>
      <c r="Y318" t="str">
        <f t="shared" ca="1" si="31"/>
        <v/>
      </c>
    </row>
    <row r="319" spans="1:25" x14ac:dyDescent="0.2">
      <c r="A319">
        <v>295</v>
      </c>
      <c r="B319">
        <f>IFERROR(INDEX('Match Log'!$B$4:$B$1510,MATCH($A319,'Match Log'!$A$4:$A$1510,0)),"")</f>
        <v>46287</v>
      </c>
      <c r="C319" t="str">
        <f>IFERROR(INDEX('Match Log'!$C$4:$C$1510,MATCH($A319,'Match Log'!$A$4:$A$1510,0)),"")</f>
        <v>Mario Golf</v>
      </c>
      <c r="D319" t="str">
        <f t="array" ref="D319">IFERROR(_xlfn.TEXTJOIN(" + ",TRUE(),IF(('Match Log'!$A$4:$A$1510=$A319)*('Match Log'!$E$4:$E$1510="Win"),'Match Log'!$D$4:$D$1510,"")),IFERROR(LOOKUP(2,1/(('Match Log'!$A$4:$A$1510=$A319)*('Match Log'!$E$4:$E$1510="Win")),'Match Log'!$D$4:$D$1510),""))</f>
        <v>Daniel (Ferret)</v>
      </c>
      <c r="E319">
        <f>IFERROR(INDEX('Match Log'!$F$4:$F$1510,MATCH($A319,'Match Log'!$A$4:$A$1510,0)),"")</f>
        <v>2</v>
      </c>
      <c r="F319">
        <f>IFERROR(SUMIFS('Match Log'!$I$4:$I$1510,'Match Log'!$A$4:$A$1510,$A319,'Match Log'!$E$4:$E$1510,"Win"),"")</f>
        <v>0.48853439680957128</v>
      </c>
      <c r="G319">
        <f t="shared" si="29"/>
        <v>2.2931206380857438E-2</v>
      </c>
      <c r="H319" t="str">
        <f t="array" ref="H319">IFERROR(IF(COUNTIFS('Match Log'!$A$4:$A$1510,$A319,'Match Log'!$E$4:$E$1510,"Win")&gt;1,_xlfn.TEXTJOIN(" + ",TRUE(),IF(('Match Log'!$A$4:$A$1510=$A319)*('Match Log'!$E$4:$E$1510="Loss"),'Match Log'!$D$4:$D$1510,"")),IF($E319=2,LOOKUP(2,1/(('Match Log'!$A$4:$A$1510=$A319)*('Match Log'!$E$4:$E$1510="Loss")),'Match Log'!$D$4:$D$1510),"the field")),"")</f>
        <v>Shawn</v>
      </c>
      <c r="I319">
        <f t="shared" si="30"/>
        <v>2.2636206380857438E-2</v>
      </c>
      <c r="J319">
        <v>295</v>
      </c>
      <c r="K319">
        <f>IF($J319&gt;MAX('Match Log'!$A$4:$A$1510),NA(),IFERROR(LOOKUP(2,1/(('Match Log'!$D$4:$D$1510=$K$24)*('Match Log'!$A$4:$A$1510&lt;=$J319)),'Match Log'!$N$4:$N$1510),NA()))</f>
        <v>1232.8695151191851</v>
      </c>
      <c r="L319">
        <f>IF($J319&gt;MAX('Match Log'!$A$4:$A$1510),NA(),IFERROR(LOOKUP(2,1/(('Match Log'!$D$4:$D$1510=$L$24)*('Match Log'!$A$4:$A$1510&lt;=$J319)),'Match Log'!$N$4:$N$1510),NA()))</f>
        <v>1029.5175965335138</v>
      </c>
      <c r="M319">
        <f>IF($J319&gt;MAX('Match Log'!$A$4:$A$1510),NA(),IFERROR(LOOKUP(2,1/(('Match Log'!$D$4:$D$1510=$M$24)*('Match Log'!$A$4:$A$1510&lt;=$J319)),'Match Log'!$N$4:$N$1510),NA()))</f>
        <v>1081.2287215286424</v>
      </c>
      <c r="N319">
        <f>IF($J319&gt;MAX('Match Log'!$A$4:$A$1510),NA(),IFERROR(LOOKUP(2,1/(('Match Log'!$D$4:$D$1510=$N$24)*('Match Log'!$A$4:$A$1510&lt;=$J319)),'Match Log'!$N$4:$N$1510),NA()))</f>
        <v>907.03133644117429</v>
      </c>
      <c r="O319">
        <f>IF($J319&gt;MAX('Match Log'!$A$4:$A$1510),NA(),IFERROR(LOOKUP(2,1/(('Match Log'!$D$4:$D$1510=$O$24)*('Match Log'!$A$4:$A$1510&lt;=$J319)),'Match Log'!$N$4:$N$1510),NA()))</f>
        <v>1192.3121492095624</v>
      </c>
      <c r="P319">
        <f>IF($J319&gt;MAX('Match Log'!$A$4:$A$1510),NA(),IFERROR(LOOKUP(2,1/(('Match Log'!$D$4:$D$1510=$P$24)*('Match Log'!$A$4:$A$1510&lt;=$J319)),'Match Log'!$N$4:$N$1510),NA()))</f>
        <v>1228.827199498736</v>
      </c>
      <c r="Q319">
        <f>IF($J319&gt;MAX('Match Log'!$A$4:$A$1510),NA(),IFERROR(LOOKUP(2,1/(('Match Log'!$D$4:$D$1510=$Q$24)*('Match Log'!$A$4:$A$1510&lt;=$J319)),'Match Log'!$N$4:$N$1510),NA()))</f>
        <v>1215.996181687143</v>
      </c>
      <c r="R319">
        <f>IF($J319&gt;MAX('Match Log'!$A$4:$A$1510),NA(),IFERROR(LOOKUP(2,1/(('Match Log'!$D$4:$D$1510=$R$24)*('Match Log'!$A$4:$A$1510&lt;=$J319)),'Match Log'!$N$4:$N$1510),NA()))</f>
        <v>1102.902843087244</v>
      </c>
      <c r="S319">
        <f>IF($J319&gt;MAX('Match Log'!$A$4:$A$1510),NA(),IFERROR(LOOKUP(2,1/(('Match Log'!$D$4:$D$1510=$S$24)*('Match Log'!$A$4:$A$1510&lt;=$J319)),'Match Log'!$N$4:$N$1510),NA()))</f>
        <v>1248.9288111472574</v>
      </c>
      <c r="T319">
        <f>IF($J319&gt;MAX('Match Log'!$A$4:$A$1510),NA(),IFERROR(LOOKUP(2,1/(('Match Log'!$D$4:$D$1510=$T$24)*('Match Log'!$A$4:$A$1510&lt;=$J319)),'Match Log'!$N$4:$N$1510),NA()))</f>
        <v>862.22294373677494</v>
      </c>
      <c r="U319">
        <f>IF($J319&gt;MAX('Match Log'!$A$4:$A$1510),NA(),IFERROR(LOOKUP(2,1/(('Match Log'!$D$4:$D$1510=$U$24)*('Match Log'!$A$4:$A$1510&lt;=$J319)),'Match Log'!$N$4:$N$1510),NA()))</f>
        <v>944.39454678356583</v>
      </c>
      <c r="V319">
        <f>IF($J319&gt;MAX('Match Log'!$A$4:$A$1510),NA(),IFERROR(LOOKUP(2,1/(('Match Log'!$D$4:$D$1510=$V$24)*('Match Log'!$A$4:$A$1510&lt;=$J319)),'Match Log'!$N$4:$N$1510),NA()))</f>
        <v>1087.5488947064855</v>
      </c>
      <c r="W319">
        <f>IF($J319&gt;MAX('Match Log'!$A$4:$A$1510),NA(),IFERROR(LOOKUP(2,1/(('Match Log'!$D$4:$D$1510=$W$24)*('Match Log'!$A$4:$A$1510&lt;=$J319)),'Match Log'!$N$4:$N$1510),NA()))</f>
        <v>1023.2192605207141</v>
      </c>
      <c r="X319" t="e">
        <f>IF($J319&gt;MAX('Match Log'!$A$4:$A$1510),NA(),IFERROR(LOOKUP(2,1/(('Match Log'!$D$4:$D$1510=$X$24)*('Match Log'!$A$4:$A$1510&lt;=$J319)),'Match Log'!$N$4:$N$1510),NA()))</f>
        <v>#N/A</v>
      </c>
      <c r="Y319" t="str">
        <f t="shared" ca="1" si="31"/>
        <v/>
      </c>
    </row>
    <row r="320" spans="1:25" x14ac:dyDescent="0.2">
      <c r="A320">
        <v>296</v>
      </c>
      <c r="B320">
        <f>IFERROR(INDEX('Match Log'!$B$4:$B$1510,MATCH($A320,'Match Log'!$A$4:$A$1510,0)),"")</f>
        <v>46287</v>
      </c>
      <c r="C320" t="str">
        <f>IFERROR(INDEX('Match Log'!$C$4:$C$1510,MATCH($A320,'Match Log'!$A$4:$A$1510,0)),"")</f>
        <v>Mario Golf</v>
      </c>
      <c r="D320" t="str">
        <f t="array" ref="D320">IFERROR(_xlfn.TEXTJOIN(" + ",TRUE(),IF(('Match Log'!$A$4:$A$1510=$A320)*('Match Log'!$E$4:$E$1510="Win"),'Match Log'!$D$4:$D$1510,"")),IFERROR(LOOKUP(2,1/(('Match Log'!$A$4:$A$1510=$A320)*('Match Log'!$E$4:$E$1510="Win")),'Match Log'!$D$4:$D$1510),""))</f>
        <v>Daniel (Ferret)</v>
      </c>
      <c r="E320">
        <f>IFERROR(INDEX('Match Log'!$F$4:$F$1510,MATCH($A320,'Match Log'!$A$4:$A$1510,0)),"")</f>
        <v>2</v>
      </c>
      <c r="F320">
        <f>IFERROR(SUMIFS('Match Log'!$I$4:$I$1510,'Match Log'!$A$4:$A$1510,$A320,'Match Log'!$E$4:$E$1510,"Win"),"")</f>
        <v>0.50373134328358204</v>
      </c>
      <c r="G320">
        <f t="shared" si="29"/>
        <v>-7.4626865671640896E-3</v>
      </c>
      <c r="H320" t="str">
        <f t="array" ref="H320">IFERROR(IF(COUNTIFS('Match Log'!$A$4:$A$1510,$A320,'Match Log'!$E$4:$E$1510,"Win")&gt;1,_xlfn.TEXTJOIN(" + ",TRUE(),IF(('Match Log'!$A$4:$A$1510=$A320)*('Match Log'!$E$4:$E$1510="Loss"),'Match Log'!$D$4:$D$1510,"")),IF($E320=2,LOOKUP(2,1/(('Match Log'!$A$4:$A$1510=$A320)*('Match Log'!$E$4:$E$1510="Loss")),'Match Log'!$D$4:$D$1510),"the field")),"")</f>
        <v>Shawn</v>
      </c>
      <c r="I320">
        <f t="shared" si="30"/>
        <v>-7.7586865671640899E-3</v>
      </c>
      <c r="J320">
        <v>296</v>
      </c>
      <c r="K320">
        <f>IF($J320&gt;MAX('Match Log'!$A$4:$A$1510),NA(),IFERROR(LOOKUP(2,1/(('Match Log'!$D$4:$D$1510=$K$24)*('Match Log'!$A$4:$A$1510&lt;=$J320)),'Match Log'!$N$4:$N$1510),NA()))</f>
        <v>1232.8695151191851</v>
      </c>
      <c r="L320">
        <f>IF($J320&gt;MAX('Match Log'!$A$4:$A$1510),NA(),IFERROR(LOOKUP(2,1/(('Match Log'!$D$4:$D$1510=$L$24)*('Match Log'!$A$4:$A$1510&lt;=$J320)),'Match Log'!$N$4:$N$1510),NA()))</f>
        <v>1029.5175965335138</v>
      </c>
      <c r="M320">
        <f>IF($J320&gt;MAX('Match Log'!$A$4:$A$1510),NA(),IFERROR(LOOKUP(2,1/(('Match Log'!$D$4:$D$1510=$M$24)*('Match Log'!$A$4:$A$1510&lt;=$J320)),'Match Log'!$N$4:$N$1510),NA()))</f>
        <v>1081.2287215286424</v>
      </c>
      <c r="N320">
        <f>IF($J320&gt;MAX('Match Log'!$A$4:$A$1510),NA(),IFERROR(LOOKUP(2,1/(('Match Log'!$D$4:$D$1510=$N$24)*('Match Log'!$A$4:$A$1510&lt;=$J320)),'Match Log'!$N$4:$N$1510),NA()))</f>
        <v>907.03133644117429</v>
      </c>
      <c r="O320">
        <f>IF($J320&gt;MAX('Match Log'!$A$4:$A$1510),NA(),IFERROR(LOOKUP(2,1/(('Match Log'!$D$4:$D$1510=$O$24)*('Match Log'!$A$4:$A$1510&lt;=$J320)),'Match Log'!$N$4:$N$1510),NA()))</f>
        <v>1192.3121492095624</v>
      </c>
      <c r="P320">
        <f>IF($J320&gt;MAX('Match Log'!$A$4:$A$1510),NA(),IFERROR(LOOKUP(2,1/(('Match Log'!$D$4:$D$1510=$P$24)*('Match Log'!$A$4:$A$1510&lt;=$J320)),'Match Log'!$N$4:$N$1510),NA()))</f>
        <v>1208.774905680516</v>
      </c>
      <c r="Q320">
        <f>IF($J320&gt;MAX('Match Log'!$A$4:$A$1510),NA(),IFERROR(LOOKUP(2,1/(('Match Log'!$D$4:$D$1510=$Q$24)*('Match Log'!$A$4:$A$1510&lt;=$J320)),'Match Log'!$N$4:$N$1510),NA()))</f>
        <v>1215.996181687143</v>
      </c>
      <c r="R320">
        <f>IF($J320&gt;MAX('Match Log'!$A$4:$A$1510),NA(),IFERROR(LOOKUP(2,1/(('Match Log'!$D$4:$D$1510=$R$24)*('Match Log'!$A$4:$A$1510&lt;=$J320)),'Match Log'!$N$4:$N$1510),NA()))</f>
        <v>1122.9551369054641</v>
      </c>
      <c r="S320">
        <f>IF($J320&gt;MAX('Match Log'!$A$4:$A$1510),NA(),IFERROR(LOOKUP(2,1/(('Match Log'!$D$4:$D$1510=$S$24)*('Match Log'!$A$4:$A$1510&lt;=$J320)),'Match Log'!$N$4:$N$1510),NA()))</f>
        <v>1248.9288111472574</v>
      </c>
      <c r="T320">
        <f>IF($J320&gt;MAX('Match Log'!$A$4:$A$1510),NA(),IFERROR(LOOKUP(2,1/(('Match Log'!$D$4:$D$1510=$T$24)*('Match Log'!$A$4:$A$1510&lt;=$J320)),'Match Log'!$N$4:$N$1510),NA()))</f>
        <v>862.22294373677494</v>
      </c>
      <c r="U320">
        <f>IF($J320&gt;MAX('Match Log'!$A$4:$A$1510),NA(),IFERROR(LOOKUP(2,1/(('Match Log'!$D$4:$D$1510=$U$24)*('Match Log'!$A$4:$A$1510&lt;=$J320)),'Match Log'!$N$4:$N$1510),NA()))</f>
        <v>944.39454678356583</v>
      </c>
      <c r="V320">
        <f>IF($J320&gt;MAX('Match Log'!$A$4:$A$1510),NA(),IFERROR(LOOKUP(2,1/(('Match Log'!$D$4:$D$1510=$V$24)*('Match Log'!$A$4:$A$1510&lt;=$J320)),'Match Log'!$N$4:$N$1510),NA()))</f>
        <v>1087.5488947064855</v>
      </c>
      <c r="W320">
        <f>IF($J320&gt;MAX('Match Log'!$A$4:$A$1510),NA(),IFERROR(LOOKUP(2,1/(('Match Log'!$D$4:$D$1510=$W$24)*('Match Log'!$A$4:$A$1510&lt;=$J320)),'Match Log'!$N$4:$N$1510),NA()))</f>
        <v>1023.2192605207141</v>
      </c>
      <c r="X320" t="e">
        <f>IF($J320&gt;MAX('Match Log'!$A$4:$A$1510),NA(),IFERROR(LOOKUP(2,1/(('Match Log'!$D$4:$D$1510=$X$24)*('Match Log'!$A$4:$A$1510&lt;=$J320)),'Match Log'!$N$4:$N$1510),NA()))</f>
        <v>#N/A</v>
      </c>
      <c r="Y320" t="str">
        <f t="shared" ca="1" si="31"/>
        <v/>
      </c>
    </row>
    <row r="321" spans="1:25" x14ac:dyDescent="0.2">
      <c r="A321">
        <v>297</v>
      </c>
      <c r="B321">
        <f>IFERROR(INDEX('Match Log'!$B$4:$B$1510,MATCH($A321,'Match Log'!$A$4:$A$1510,0)),"")</f>
        <v>46289</v>
      </c>
      <c r="C321" t="str">
        <f>IFERROR(INDEX('Match Log'!$C$4:$C$1510,MATCH($A321,'Match Log'!$A$4:$A$1510,0)),"")</f>
        <v>Mario Golf</v>
      </c>
      <c r="D321" t="str">
        <f t="array" ref="D321">IFERROR(_xlfn.TEXTJOIN(" + ",TRUE(),IF(('Match Log'!$A$4:$A$1510=$A321)*('Match Log'!$E$4:$E$1510="Win"),'Match Log'!$D$4:$D$1510,"")),IFERROR(LOOKUP(2,1/(('Match Log'!$A$4:$A$1510=$A321)*('Match Log'!$E$4:$E$1510="Win")),'Match Log'!$D$4:$D$1510),""))</f>
        <v>Daniel (Ferret)</v>
      </c>
      <c r="E321">
        <f>IFERROR(INDEX('Match Log'!$F$4:$F$1510,MATCH($A321,'Match Log'!$A$4:$A$1510,0)),"")</f>
        <v>2</v>
      </c>
      <c r="F321">
        <f>IFERROR(SUMIFS('Match Log'!$I$4:$I$1510,'Match Log'!$A$4:$A$1510,$A321,'Match Log'!$E$4:$E$1510,"Win"),"")</f>
        <v>0.51793525809273844</v>
      </c>
      <c r="G321">
        <f t="shared" si="29"/>
        <v>-3.5870516185476875E-2</v>
      </c>
      <c r="H321" t="str">
        <f t="array" ref="H321">IFERROR(IF(COUNTIFS('Match Log'!$A$4:$A$1510,$A321,'Match Log'!$E$4:$E$1510,"Win")&gt;1,_xlfn.TEXTJOIN(" + ",TRUE(),IF(('Match Log'!$A$4:$A$1510=$A321)*('Match Log'!$E$4:$E$1510="Loss"),'Match Log'!$D$4:$D$1510,"")),IF($E321=2,LOOKUP(2,1/(('Match Log'!$A$4:$A$1510=$A321)*('Match Log'!$E$4:$E$1510="Loss")),'Match Log'!$D$4:$D$1510),"the field")),"")</f>
        <v>Shawn</v>
      </c>
      <c r="I321">
        <f t="shared" si="30"/>
        <v>-3.6167516185476874E-2</v>
      </c>
      <c r="J321">
        <v>297</v>
      </c>
      <c r="K321">
        <f>IF($J321&gt;MAX('Match Log'!$A$4:$A$1510),NA(),IFERROR(LOOKUP(2,1/(('Match Log'!$D$4:$D$1510=$K$24)*('Match Log'!$A$4:$A$1510&lt;=$J321)),'Match Log'!$N$4:$N$1510),NA()))</f>
        <v>1232.8695151191851</v>
      </c>
      <c r="L321">
        <f>IF($J321&gt;MAX('Match Log'!$A$4:$A$1510),NA(),IFERROR(LOOKUP(2,1/(('Match Log'!$D$4:$D$1510=$L$24)*('Match Log'!$A$4:$A$1510&lt;=$J321)),'Match Log'!$N$4:$N$1510),NA()))</f>
        <v>1029.5175965335138</v>
      </c>
      <c r="M321">
        <f>IF($J321&gt;MAX('Match Log'!$A$4:$A$1510),NA(),IFERROR(LOOKUP(2,1/(('Match Log'!$D$4:$D$1510=$M$24)*('Match Log'!$A$4:$A$1510&lt;=$J321)),'Match Log'!$N$4:$N$1510),NA()))</f>
        <v>1081.2287215286424</v>
      </c>
      <c r="N321">
        <f>IF($J321&gt;MAX('Match Log'!$A$4:$A$1510),NA(),IFERROR(LOOKUP(2,1/(('Match Log'!$D$4:$D$1510=$N$24)*('Match Log'!$A$4:$A$1510&lt;=$J321)),'Match Log'!$N$4:$N$1510),NA()))</f>
        <v>907.03133644117429</v>
      </c>
      <c r="O321">
        <f>IF($J321&gt;MAX('Match Log'!$A$4:$A$1510),NA(),IFERROR(LOOKUP(2,1/(('Match Log'!$D$4:$D$1510=$O$24)*('Match Log'!$A$4:$A$1510&lt;=$J321)),'Match Log'!$N$4:$N$1510),NA()))</f>
        <v>1192.3121492095624</v>
      </c>
      <c r="P321">
        <f>IF($J321&gt;MAX('Match Log'!$A$4:$A$1510),NA(),IFERROR(LOOKUP(2,1/(('Match Log'!$D$4:$D$1510=$P$24)*('Match Log'!$A$4:$A$1510&lt;=$J321)),'Match Log'!$N$4:$N$1510),NA()))</f>
        <v>1190.1765056534252</v>
      </c>
      <c r="Q321">
        <f>IF($J321&gt;MAX('Match Log'!$A$4:$A$1510),NA(),IFERROR(LOOKUP(2,1/(('Match Log'!$D$4:$D$1510=$Q$24)*('Match Log'!$A$4:$A$1510&lt;=$J321)),'Match Log'!$N$4:$N$1510),NA()))</f>
        <v>1215.996181687143</v>
      </c>
      <c r="R321">
        <f>IF($J321&gt;MAX('Match Log'!$A$4:$A$1510),NA(),IFERROR(LOOKUP(2,1/(('Match Log'!$D$4:$D$1510=$R$24)*('Match Log'!$A$4:$A$1510&lt;=$J321)),'Match Log'!$N$4:$N$1510),NA()))</f>
        <v>1141.5535369325548</v>
      </c>
      <c r="S321">
        <f>IF($J321&gt;MAX('Match Log'!$A$4:$A$1510),NA(),IFERROR(LOOKUP(2,1/(('Match Log'!$D$4:$D$1510=$S$24)*('Match Log'!$A$4:$A$1510&lt;=$J321)),'Match Log'!$N$4:$N$1510),NA()))</f>
        <v>1248.9288111472574</v>
      </c>
      <c r="T321">
        <f>IF($J321&gt;MAX('Match Log'!$A$4:$A$1510),NA(),IFERROR(LOOKUP(2,1/(('Match Log'!$D$4:$D$1510=$T$24)*('Match Log'!$A$4:$A$1510&lt;=$J321)),'Match Log'!$N$4:$N$1510),NA()))</f>
        <v>862.22294373677494</v>
      </c>
      <c r="U321">
        <f>IF($J321&gt;MAX('Match Log'!$A$4:$A$1510),NA(),IFERROR(LOOKUP(2,1/(('Match Log'!$D$4:$D$1510=$U$24)*('Match Log'!$A$4:$A$1510&lt;=$J321)),'Match Log'!$N$4:$N$1510),NA()))</f>
        <v>944.39454678356583</v>
      </c>
      <c r="V321">
        <f>IF($J321&gt;MAX('Match Log'!$A$4:$A$1510),NA(),IFERROR(LOOKUP(2,1/(('Match Log'!$D$4:$D$1510=$V$24)*('Match Log'!$A$4:$A$1510&lt;=$J321)),'Match Log'!$N$4:$N$1510),NA()))</f>
        <v>1087.5488947064855</v>
      </c>
      <c r="W321">
        <f>IF($J321&gt;MAX('Match Log'!$A$4:$A$1510),NA(),IFERROR(LOOKUP(2,1/(('Match Log'!$D$4:$D$1510=$W$24)*('Match Log'!$A$4:$A$1510&lt;=$J321)),'Match Log'!$N$4:$N$1510),NA()))</f>
        <v>1023.2192605207141</v>
      </c>
      <c r="X321" t="e">
        <f>IF($J321&gt;MAX('Match Log'!$A$4:$A$1510),NA(),IFERROR(LOOKUP(2,1/(('Match Log'!$D$4:$D$1510=$X$24)*('Match Log'!$A$4:$A$1510&lt;=$J321)),'Match Log'!$N$4:$N$1510),NA()))</f>
        <v>#N/A</v>
      </c>
      <c r="Y321" t="str">
        <f t="shared" ca="1" si="31"/>
        <v/>
      </c>
    </row>
    <row r="322" spans="1:25" x14ac:dyDescent="0.2">
      <c r="A322">
        <v>298</v>
      </c>
      <c r="B322">
        <f>IFERROR(INDEX('Match Log'!$B$4:$B$1510,MATCH($A322,'Match Log'!$A$4:$A$1510,0)),"")</f>
        <v>46289</v>
      </c>
      <c r="C322" t="str">
        <f>IFERROR(INDEX('Match Log'!$C$4:$C$1510,MATCH($A322,'Match Log'!$A$4:$A$1510,0)),"")</f>
        <v>Mario Golf</v>
      </c>
      <c r="D322" t="str">
        <f t="array" ref="D322">IFERROR(_xlfn.TEXTJOIN(" + ",TRUE(),IF(('Match Log'!$A$4:$A$1510=$A322)*('Match Log'!$E$4:$E$1510="Win"),'Match Log'!$D$4:$D$1510,"")),IFERROR(LOOKUP(2,1/(('Match Log'!$A$4:$A$1510=$A322)*('Match Log'!$E$4:$E$1510="Win")),'Match Log'!$D$4:$D$1510),""))</f>
        <v>Daniel (Ferret)</v>
      </c>
      <c r="E322">
        <f>IFERROR(INDEX('Match Log'!$F$4:$F$1510,MATCH($A322,'Match Log'!$A$4:$A$1510,0)),"")</f>
        <v>2</v>
      </c>
      <c r="F322">
        <f>IFERROR(SUMIFS('Match Log'!$I$4:$I$1510,'Match Log'!$A$4:$A$1510,$A322,'Match Log'!$E$4:$E$1510,"Win"),"")</f>
        <v>0.53125</v>
      </c>
      <c r="G322">
        <f t="shared" si="29"/>
        <v>-6.25E-2</v>
      </c>
      <c r="H322" t="str">
        <f t="array" ref="H322">IFERROR(IF(COUNTIFS('Match Log'!$A$4:$A$1510,$A322,'Match Log'!$E$4:$E$1510,"Win")&gt;1,_xlfn.TEXTJOIN(" + ",TRUE(),IF(('Match Log'!$A$4:$A$1510=$A322)*('Match Log'!$E$4:$E$1510="Loss"),'Match Log'!$D$4:$D$1510,"")),IF($E322=2,LOOKUP(2,1/(('Match Log'!$A$4:$A$1510=$A322)*('Match Log'!$E$4:$E$1510="Loss")),'Match Log'!$D$4:$D$1510),"the field")),"")</f>
        <v>Shawn</v>
      </c>
      <c r="I322">
        <f t="shared" si="30"/>
        <v>-6.2798000000000007E-2</v>
      </c>
      <c r="J322">
        <v>298</v>
      </c>
      <c r="K322">
        <f>IF($J322&gt;MAX('Match Log'!$A$4:$A$1510),NA(),IFERROR(LOOKUP(2,1/(('Match Log'!$D$4:$D$1510=$K$24)*('Match Log'!$A$4:$A$1510&lt;=$J322)),'Match Log'!$N$4:$N$1510),NA()))</f>
        <v>1232.8695151191851</v>
      </c>
      <c r="L322">
        <f>IF($J322&gt;MAX('Match Log'!$A$4:$A$1510),NA(),IFERROR(LOOKUP(2,1/(('Match Log'!$D$4:$D$1510=$L$24)*('Match Log'!$A$4:$A$1510&lt;=$J322)),'Match Log'!$N$4:$N$1510),NA()))</f>
        <v>1029.5175965335138</v>
      </c>
      <c r="M322">
        <f>IF($J322&gt;MAX('Match Log'!$A$4:$A$1510),NA(),IFERROR(LOOKUP(2,1/(('Match Log'!$D$4:$D$1510=$M$24)*('Match Log'!$A$4:$A$1510&lt;=$J322)),'Match Log'!$N$4:$N$1510),NA()))</f>
        <v>1081.2287215286424</v>
      </c>
      <c r="N322">
        <f>IF($J322&gt;MAX('Match Log'!$A$4:$A$1510),NA(),IFERROR(LOOKUP(2,1/(('Match Log'!$D$4:$D$1510=$N$24)*('Match Log'!$A$4:$A$1510&lt;=$J322)),'Match Log'!$N$4:$N$1510),NA()))</f>
        <v>907.03133644117429</v>
      </c>
      <c r="O322">
        <f>IF($J322&gt;MAX('Match Log'!$A$4:$A$1510),NA(),IFERROR(LOOKUP(2,1/(('Match Log'!$D$4:$D$1510=$O$24)*('Match Log'!$A$4:$A$1510&lt;=$J322)),'Match Log'!$N$4:$N$1510),NA()))</f>
        <v>1192.3121492095624</v>
      </c>
      <c r="P322">
        <f>IF($J322&gt;MAX('Match Log'!$A$4:$A$1510),NA(),IFERROR(LOOKUP(2,1/(('Match Log'!$D$4:$D$1510=$P$24)*('Match Log'!$A$4:$A$1510&lt;=$J322)),'Match Log'!$N$4:$N$1510),NA()))</f>
        <v>1172.8733229555867</v>
      </c>
      <c r="Q322">
        <f>IF($J322&gt;MAX('Match Log'!$A$4:$A$1510),NA(),IFERROR(LOOKUP(2,1/(('Match Log'!$D$4:$D$1510=$Q$24)*('Match Log'!$A$4:$A$1510&lt;=$J322)),'Match Log'!$N$4:$N$1510),NA()))</f>
        <v>1215.996181687143</v>
      </c>
      <c r="R322">
        <f>IF($J322&gt;MAX('Match Log'!$A$4:$A$1510),NA(),IFERROR(LOOKUP(2,1/(('Match Log'!$D$4:$D$1510=$R$24)*('Match Log'!$A$4:$A$1510&lt;=$J322)),'Match Log'!$N$4:$N$1510),NA()))</f>
        <v>1158.8567196303934</v>
      </c>
      <c r="S322">
        <f>IF($J322&gt;MAX('Match Log'!$A$4:$A$1510),NA(),IFERROR(LOOKUP(2,1/(('Match Log'!$D$4:$D$1510=$S$24)*('Match Log'!$A$4:$A$1510&lt;=$J322)),'Match Log'!$N$4:$N$1510),NA()))</f>
        <v>1248.9288111472574</v>
      </c>
      <c r="T322">
        <f>IF($J322&gt;MAX('Match Log'!$A$4:$A$1510),NA(),IFERROR(LOOKUP(2,1/(('Match Log'!$D$4:$D$1510=$T$24)*('Match Log'!$A$4:$A$1510&lt;=$J322)),'Match Log'!$N$4:$N$1510),NA()))</f>
        <v>862.22294373677494</v>
      </c>
      <c r="U322">
        <f>IF($J322&gt;MAX('Match Log'!$A$4:$A$1510),NA(),IFERROR(LOOKUP(2,1/(('Match Log'!$D$4:$D$1510=$U$24)*('Match Log'!$A$4:$A$1510&lt;=$J322)),'Match Log'!$N$4:$N$1510),NA()))</f>
        <v>944.39454678356583</v>
      </c>
      <c r="V322">
        <f>IF($J322&gt;MAX('Match Log'!$A$4:$A$1510),NA(),IFERROR(LOOKUP(2,1/(('Match Log'!$D$4:$D$1510=$V$24)*('Match Log'!$A$4:$A$1510&lt;=$J322)),'Match Log'!$N$4:$N$1510),NA()))</f>
        <v>1087.5488947064855</v>
      </c>
      <c r="W322">
        <f>IF($J322&gt;MAX('Match Log'!$A$4:$A$1510),NA(),IFERROR(LOOKUP(2,1/(('Match Log'!$D$4:$D$1510=$W$24)*('Match Log'!$A$4:$A$1510&lt;=$J322)),'Match Log'!$N$4:$N$1510),NA()))</f>
        <v>1023.2192605207141</v>
      </c>
      <c r="X322" t="e">
        <f>IF($J322&gt;MAX('Match Log'!$A$4:$A$1510),NA(),IFERROR(LOOKUP(2,1/(('Match Log'!$D$4:$D$1510=$X$24)*('Match Log'!$A$4:$A$1510&lt;=$J322)),'Match Log'!$N$4:$N$1510),NA()))</f>
        <v>#N/A</v>
      </c>
      <c r="Y322" t="str">
        <f t="shared" ca="1" si="31"/>
        <v/>
      </c>
    </row>
    <row r="323" spans="1:25" x14ac:dyDescent="0.2">
      <c r="A323">
        <v>299</v>
      </c>
      <c r="B323">
        <f>IFERROR(INDEX('Match Log'!$B$4:$B$1510,MATCH($A323,'Match Log'!$A$4:$A$1510,0)),"")</f>
        <v>46289</v>
      </c>
      <c r="C323" t="str">
        <f>IFERROR(INDEX('Match Log'!$C$4:$C$1510,MATCH($A323,'Match Log'!$A$4:$A$1510,0)),"")</f>
        <v>Mario Golf</v>
      </c>
      <c r="D323" t="str">
        <f t="array" ref="D323">IFERROR(_xlfn.TEXTJOIN(" + ",TRUE(),IF(('Match Log'!$A$4:$A$1510=$A323)*('Match Log'!$E$4:$E$1510="Win"),'Match Log'!$D$4:$D$1510,"")),IFERROR(LOOKUP(2,1/(('Match Log'!$A$4:$A$1510=$A323)*('Match Log'!$E$4:$E$1510="Win")),'Match Log'!$D$4:$D$1510),""))</f>
        <v>Daniel (Ferret)</v>
      </c>
      <c r="E323">
        <f>IFERROR(INDEX('Match Log'!$F$4:$F$1510,MATCH($A323,'Match Log'!$A$4:$A$1510,0)),"")</f>
        <v>2</v>
      </c>
      <c r="F323">
        <f>IFERROR(SUMIFS('Match Log'!$I$4:$I$1510,'Match Log'!$A$4:$A$1510,$A323,'Match Log'!$E$4:$E$1510,"Win"),"")</f>
        <v>0.54376452362509686</v>
      </c>
      <c r="G323">
        <f t="shared" si="29"/>
        <v>-8.7529047250193726E-2</v>
      </c>
      <c r="H323" t="str">
        <f t="array" ref="H323">IFERROR(IF(COUNTIFS('Match Log'!$A$4:$A$1510,$A323,'Match Log'!$E$4:$E$1510,"Win")&gt;1,_xlfn.TEXTJOIN(" + ",TRUE(),IF(('Match Log'!$A$4:$A$1510=$A323)*('Match Log'!$E$4:$E$1510="Loss"),'Match Log'!$D$4:$D$1510,"")),IF($E323=2,LOOKUP(2,1/(('Match Log'!$A$4:$A$1510=$A323)*('Match Log'!$E$4:$E$1510="Loss")),'Match Log'!$D$4:$D$1510),"the field")),"")</f>
        <v>Shawn</v>
      </c>
      <c r="I323">
        <f t="shared" si="30"/>
        <v>-8.7828047250193719E-2</v>
      </c>
      <c r="J323">
        <v>299</v>
      </c>
      <c r="K323">
        <f>IF($J323&gt;MAX('Match Log'!$A$4:$A$1510),NA(),IFERROR(LOOKUP(2,1/(('Match Log'!$D$4:$D$1510=$K$24)*('Match Log'!$A$4:$A$1510&lt;=$J323)),'Match Log'!$N$4:$N$1510),NA()))</f>
        <v>1232.8695151191851</v>
      </c>
      <c r="L323">
        <f>IF($J323&gt;MAX('Match Log'!$A$4:$A$1510),NA(),IFERROR(LOOKUP(2,1/(('Match Log'!$D$4:$D$1510=$L$24)*('Match Log'!$A$4:$A$1510&lt;=$J323)),'Match Log'!$N$4:$N$1510),NA()))</f>
        <v>1029.5175965335138</v>
      </c>
      <c r="M323">
        <f>IF($J323&gt;MAX('Match Log'!$A$4:$A$1510),NA(),IFERROR(LOOKUP(2,1/(('Match Log'!$D$4:$D$1510=$M$24)*('Match Log'!$A$4:$A$1510&lt;=$J323)),'Match Log'!$N$4:$N$1510),NA()))</f>
        <v>1081.2287215286424</v>
      </c>
      <c r="N323">
        <f>IF($J323&gt;MAX('Match Log'!$A$4:$A$1510),NA(),IFERROR(LOOKUP(2,1/(('Match Log'!$D$4:$D$1510=$N$24)*('Match Log'!$A$4:$A$1510&lt;=$J323)),'Match Log'!$N$4:$N$1510),NA()))</f>
        <v>907.03133644117429</v>
      </c>
      <c r="O323">
        <f>IF($J323&gt;MAX('Match Log'!$A$4:$A$1510),NA(),IFERROR(LOOKUP(2,1/(('Match Log'!$D$4:$D$1510=$O$24)*('Match Log'!$A$4:$A$1510&lt;=$J323)),'Match Log'!$N$4:$N$1510),NA()))</f>
        <v>1192.3121492095624</v>
      </c>
      <c r="P323">
        <f>IF($J323&gt;MAX('Match Log'!$A$4:$A$1510),NA(),IFERROR(LOOKUP(2,1/(('Match Log'!$D$4:$D$1510=$P$24)*('Match Log'!$A$4:$A$1510&lt;=$J323)),'Match Log'!$N$4:$N$1510),NA()))</f>
        <v>1156.7205039890414</v>
      </c>
      <c r="Q323">
        <f>IF($J323&gt;MAX('Match Log'!$A$4:$A$1510),NA(),IFERROR(LOOKUP(2,1/(('Match Log'!$D$4:$D$1510=$Q$24)*('Match Log'!$A$4:$A$1510&lt;=$J323)),'Match Log'!$N$4:$N$1510),NA()))</f>
        <v>1215.996181687143</v>
      </c>
      <c r="R323">
        <f>IF($J323&gt;MAX('Match Log'!$A$4:$A$1510),NA(),IFERROR(LOOKUP(2,1/(('Match Log'!$D$4:$D$1510=$R$24)*('Match Log'!$A$4:$A$1510&lt;=$J323)),'Match Log'!$N$4:$N$1510),NA()))</f>
        <v>1175.0095385969387</v>
      </c>
      <c r="S323">
        <f>IF($J323&gt;MAX('Match Log'!$A$4:$A$1510),NA(),IFERROR(LOOKUP(2,1/(('Match Log'!$D$4:$D$1510=$S$24)*('Match Log'!$A$4:$A$1510&lt;=$J323)),'Match Log'!$N$4:$N$1510),NA()))</f>
        <v>1248.9288111472574</v>
      </c>
      <c r="T323">
        <f>IF($J323&gt;MAX('Match Log'!$A$4:$A$1510),NA(),IFERROR(LOOKUP(2,1/(('Match Log'!$D$4:$D$1510=$T$24)*('Match Log'!$A$4:$A$1510&lt;=$J323)),'Match Log'!$N$4:$N$1510),NA()))</f>
        <v>862.22294373677494</v>
      </c>
      <c r="U323">
        <f>IF($J323&gt;MAX('Match Log'!$A$4:$A$1510),NA(),IFERROR(LOOKUP(2,1/(('Match Log'!$D$4:$D$1510=$U$24)*('Match Log'!$A$4:$A$1510&lt;=$J323)),'Match Log'!$N$4:$N$1510),NA()))</f>
        <v>944.39454678356583</v>
      </c>
      <c r="V323">
        <f>IF($J323&gt;MAX('Match Log'!$A$4:$A$1510),NA(),IFERROR(LOOKUP(2,1/(('Match Log'!$D$4:$D$1510=$V$24)*('Match Log'!$A$4:$A$1510&lt;=$J323)),'Match Log'!$N$4:$N$1510),NA()))</f>
        <v>1087.5488947064855</v>
      </c>
      <c r="W323">
        <f>IF($J323&gt;MAX('Match Log'!$A$4:$A$1510),NA(),IFERROR(LOOKUP(2,1/(('Match Log'!$D$4:$D$1510=$W$24)*('Match Log'!$A$4:$A$1510&lt;=$J323)),'Match Log'!$N$4:$N$1510),NA()))</f>
        <v>1023.2192605207141</v>
      </c>
      <c r="X323" t="e">
        <f>IF($J323&gt;MAX('Match Log'!$A$4:$A$1510),NA(),IFERROR(LOOKUP(2,1/(('Match Log'!$D$4:$D$1510=$X$24)*('Match Log'!$A$4:$A$1510&lt;=$J323)),'Match Log'!$N$4:$N$1510),NA()))</f>
        <v>#N/A</v>
      </c>
      <c r="Y323" t="str">
        <f t="shared" ca="1" si="31"/>
        <v/>
      </c>
    </row>
    <row r="324" spans="1:25" x14ac:dyDescent="0.2">
      <c r="A324">
        <v>300</v>
      </c>
      <c r="B324">
        <f>IFERROR(INDEX('Match Log'!$B$4:$B$1510,MATCH($A324,'Match Log'!$A$4:$A$1510,0)),"")</f>
        <v>46290</v>
      </c>
      <c r="C324" t="str">
        <f>IFERROR(INDEX('Match Log'!$C$4:$C$1510,MATCH($A324,'Match Log'!$A$4:$A$1510,0)),"")</f>
        <v>Mario Golf</v>
      </c>
      <c r="D324" t="str">
        <f t="array" ref="D324">IFERROR(_xlfn.TEXTJOIN(" + ",TRUE(),IF(('Match Log'!$A$4:$A$1510=$A324)*('Match Log'!$E$4:$E$1510="Win"),'Match Log'!$D$4:$D$1510,"")),IFERROR(LOOKUP(2,1/(('Match Log'!$A$4:$A$1510=$A324)*('Match Log'!$E$4:$E$1510="Win")),'Match Log'!$D$4:$D$1510),""))</f>
        <v>Daniel (Ferret)</v>
      </c>
      <c r="E324">
        <f>IFERROR(INDEX('Match Log'!$F$4:$F$1510,MATCH($A324,'Match Log'!$A$4:$A$1510,0)),"")</f>
        <v>2</v>
      </c>
      <c r="F324">
        <f>IFERROR(SUMIFS('Match Log'!$I$4:$I$1510,'Match Log'!$A$4:$A$1510,$A324,'Match Log'!$E$4:$E$1510,"Win"),"")</f>
        <v>0.69007263922518169</v>
      </c>
      <c r="G324">
        <f t="shared" si="29"/>
        <v>-0.38014527845036339</v>
      </c>
      <c r="H324" t="str">
        <f t="array" ref="H324">IFERROR(IF(COUNTIFS('Match Log'!$A$4:$A$1510,$A324,'Match Log'!$E$4:$E$1510,"Win")&gt;1,_xlfn.TEXTJOIN(" + ",TRUE(),IF(('Match Log'!$A$4:$A$1510=$A324)*('Match Log'!$E$4:$E$1510="Loss"),'Match Log'!$D$4:$D$1510,"")),IF($E324=2,LOOKUP(2,1/(('Match Log'!$A$4:$A$1510=$A324)*('Match Log'!$E$4:$E$1510="Loss")),'Match Log'!$D$4:$D$1510),"the field")),"")</f>
        <v>Aaron</v>
      </c>
      <c r="I324">
        <f t="shared" si="30"/>
        <v>-0.38044527845036341</v>
      </c>
      <c r="J324">
        <v>300</v>
      </c>
      <c r="K324">
        <f>IF($J324&gt;MAX('Match Log'!$A$4:$A$1510),NA(),IFERROR(LOOKUP(2,1/(('Match Log'!$D$4:$D$1510=$K$24)*('Match Log'!$A$4:$A$1510&lt;=$J324)),'Match Log'!$N$4:$N$1510),NA()))</f>
        <v>1217.5573388632245</v>
      </c>
      <c r="L324">
        <f>IF($J324&gt;MAX('Match Log'!$A$4:$A$1510),NA(),IFERROR(LOOKUP(2,1/(('Match Log'!$D$4:$D$1510=$L$24)*('Match Log'!$A$4:$A$1510&lt;=$J324)),'Match Log'!$N$4:$N$1510),NA()))</f>
        <v>1029.5175965335138</v>
      </c>
      <c r="M324">
        <f>IF($J324&gt;MAX('Match Log'!$A$4:$A$1510),NA(),IFERROR(LOOKUP(2,1/(('Match Log'!$D$4:$D$1510=$M$24)*('Match Log'!$A$4:$A$1510&lt;=$J324)),'Match Log'!$N$4:$N$1510),NA()))</f>
        <v>1081.2287215286424</v>
      </c>
      <c r="N324">
        <f>IF($J324&gt;MAX('Match Log'!$A$4:$A$1510),NA(),IFERROR(LOOKUP(2,1/(('Match Log'!$D$4:$D$1510=$N$24)*('Match Log'!$A$4:$A$1510&lt;=$J324)),'Match Log'!$N$4:$N$1510),NA()))</f>
        <v>907.03133644117429</v>
      </c>
      <c r="O324">
        <f>IF($J324&gt;MAX('Match Log'!$A$4:$A$1510),NA(),IFERROR(LOOKUP(2,1/(('Match Log'!$D$4:$D$1510=$O$24)*('Match Log'!$A$4:$A$1510&lt;=$J324)),'Match Log'!$N$4:$N$1510),NA()))</f>
        <v>1192.3121492095624</v>
      </c>
      <c r="P324">
        <f>IF($J324&gt;MAX('Match Log'!$A$4:$A$1510),NA(),IFERROR(LOOKUP(2,1/(('Match Log'!$D$4:$D$1510=$P$24)*('Match Log'!$A$4:$A$1510&lt;=$J324)),'Match Log'!$N$4:$N$1510),NA()))</f>
        <v>1156.7205039890414</v>
      </c>
      <c r="Q324">
        <f>IF($J324&gt;MAX('Match Log'!$A$4:$A$1510),NA(),IFERROR(LOOKUP(2,1/(('Match Log'!$D$4:$D$1510=$Q$24)*('Match Log'!$A$4:$A$1510&lt;=$J324)),'Match Log'!$N$4:$N$1510),NA()))</f>
        <v>1215.996181687143</v>
      </c>
      <c r="R324">
        <f>IF($J324&gt;MAX('Match Log'!$A$4:$A$1510),NA(),IFERROR(LOOKUP(2,1/(('Match Log'!$D$4:$D$1510=$R$24)*('Match Log'!$A$4:$A$1510&lt;=$J324)),'Match Log'!$N$4:$N$1510),NA()))</f>
        <v>1190.3217148528993</v>
      </c>
      <c r="S324">
        <f>IF($J324&gt;MAX('Match Log'!$A$4:$A$1510),NA(),IFERROR(LOOKUP(2,1/(('Match Log'!$D$4:$D$1510=$S$24)*('Match Log'!$A$4:$A$1510&lt;=$J324)),'Match Log'!$N$4:$N$1510),NA()))</f>
        <v>1248.9288111472574</v>
      </c>
      <c r="T324">
        <f>IF($J324&gt;MAX('Match Log'!$A$4:$A$1510),NA(),IFERROR(LOOKUP(2,1/(('Match Log'!$D$4:$D$1510=$T$24)*('Match Log'!$A$4:$A$1510&lt;=$J324)),'Match Log'!$N$4:$N$1510),NA()))</f>
        <v>862.22294373677494</v>
      </c>
      <c r="U324">
        <f>IF($J324&gt;MAX('Match Log'!$A$4:$A$1510),NA(),IFERROR(LOOKUP(2,1/(('Match Log'!$D$4:$D$1510=$U$24)*('Match Log'!$A$4:$A$1510&lt;=$J324)),'Match Log'!$N$4:$N$1510),NA()))</f>
        <v>944.39454678356583</v>
      </c>
      <c r="V324">
        <f>IF($J324&gt;MAX('Match Log'!$A$4:$A$1510),NA(),IFERROR(LOOKUP(2,1/(('Match Log'!$D$4:$D$1510=$V$24)*('Match Log'!$A$4:$A$1510&lt;=$J324)),'Match Log'!$N$4:$N$1510),NA()))</f>
        <v>1087.5488947064855</v>
      </c>
      <c r="W324">
        <f>IF($J324&gt;MAX('Match Log'!$A$4:$A$1510),NA(),IFERROR(LOOKUP(2,1/(('Match Log'!$D$4:$D$1510=$W$24)*('Match Log'!$A$4:$A$1510&lt;=$J324)),'Match Log'!$N$4:$N$1510),NA()))</f>
        <v>1023.2192605207141</v>
      </c>
      <c r="X324" t="e">
        <f>IF($J324&gt;MAX('Match Log'!$A$4:$A$1510),NA(),IFERROR(LOOKUP(2,1/(('Match Log'!$D$4:$D$1510=$X$24)*('Match Log'!$A$4:$A$1510&lt;=$J324)),'Match Log'!$N$4:$N$1510),NA()))</f>
        <v>#N/A</v>
      </c>
      <c r="Y324" t="str">
        <f t="shared" ca="1" si="31"/>
        <v/>
      </c>
    </row>
    <row r="325" spans="1:25" x14ac:dyDescent="0.2">
      <c r="A325">
        <v>301</v>
      </c>
      <c r="B325">
        <f>IFERROR(INDEX('Match Log'!$B$4:$B$1510,MATCH($A325,'Match Log'!$A$4:$A$1510,0)),"")</f>
        <v>46290</v>
      </c>
      <c r="C325" t="str">
        <f>IFERROR(INDEX('Match Log'!$C$4:$C$1510,MATCH($A325,'Match Log'!$A$4:$A$1510,0)),"")</f>
        <v>Pool</v>
      </c>
      <c r="D325" t="str">
        <f t="array" ref="D325">IFERROR(_xlfn.TEXTJOIN(" + ",TRUE(),IF(('Match Log'!$A$4:$A$1510=$A325)*('Match Log'!$E$4:$E$1510="Win"),'Match Log'!$D$4:$D$1510,"")),IFERROR(LOOKUP(2,1/(('Match Log'!$A$4:$A$1510=$A325)*('Match Log'!$E$4:$E$1510="Win")),'Match Log'!$D$4:$D$1510),""))</f>
        <v>Daniel (Ferret)</v>
      </c>
      <c r="E325">
        <f>IFERROR(INDEX('Match Log'!$F$4:$F$1510,MATCH($A325,'Match Log'!$A$4:$A$1510,0)),"")</f>
        <v>2</v>
      </c>
      <c r="F325">
        <f>IFERROR(SUMIFS('Match Log'!$I$4:$I$1510,'Match Log'!$A$4:$A$1510,$A325,'Match Log'!$E$4:$E$1510,"Win"),"")</f>
        <v>0.39393939393939398</v>
      </c>
      <c r="G325">
        <f t="shared" si="29"/>
        <v>0.21212121212121204</v>
      </c>
      <c r="H325" t="str">
        <f t="array" ref="H325">IFERROR(IF(COUNTIFS('Match Log'!$A$4:$A$1510,$A325,'Match Log'!$E$4:$E$1510,"Win")&gt;1,_xlfn.TEXTJOIN(" + ",TRUE(),IF(('Match Log'!$A$4:$A$1510=$A325)*('Match Log'!$E$4:$E$1510="Loss"),'Match Log'!$D$4:$D$1510,"")),IF($E325=2,LOOKUP(2,1/(('Match Log'!$A$4:$A$1510=$A325)*('Match Log'!$E$4:$E$1510="Loss")),'Match Log'!$D$4:$D$1510),"the field")),"")</f>
        <v>Dean B</v>
      </c>
      <c r="I325">
        <f t="shared" si="30"/>
        <v>0.21182021212121205</v>
      </c>
      <c r="J325">
        <v>301</v>
      </c>
      <c r="K325">
        <f>IF($J325&gt;MAX('Match Log'!$A$4:$A$1510),NA(),IFERROR(LOOKUP(2,1/(('Match Log'!$D$4:$D$1510=$K$24)*('Match Log'!$A$4:$A$1510&lt;=$J325)),'Match Log'!$N$4:$N$1510),NA()))</f>
        <v>1217.5573388632245</v>
      </c>
      <c r="L325">
        <f>IF($J325&gt;MAX('Match Log'!$A$4:$A$1510),NA(),IFERROR(LOOKUP(2,1/(('Match Log'!$D$4:$D$1510=$L$24)*('Match Log'!$A$4:$A$1510&lt;=$J325)),'Match Log'!$N$4:$N$1510),NA()))</f>
        <v>1029.5175965335138</v>
      </c>
      <c r="M325">
        <f>IF($J325&gt;MAX('Match Log'!$A$4:$A$1510),NA(),IFERROR(LOOKUP(2,1/(('Match Log'!$D$4:$D$1510=$M$24)*('Match Log'!$A$4:$A$1510&lt;=$J325)),'Match Log'!$N$4:$N$1510),NA()))</f>
        <v>1081.2287215286424</v>
      </c>
      <c r="N325">
        <f>IF($J325&gt;MAX('Match Log'!$A$4:$A$1510),NA(),IFERROR(LOOKUP(2,1/(('Match Log'!$D$4:$D$1510=$N$24)*('Match Log'!$A$4:$A$1510&lt;=$J325)),'Match Log'!$N$4:$N$1510),NA()))</f>
        <v>907.03133644117429</v>
      </c>
      <c r="O325">
        <f>IF($J325&gt;MAX('Match Log'!$A$4:$A$1510),NA(),IFERROR(LOOKUP(2,1/(('Match Log'!$D$4:$D$1510=$O$24)*('Match Log'!$A$4:$A$1510&lt;=$J325)),'Match Log'!$N$4:$N$1510),NA()))</f>
        <v>1192.3121492095624</v>
      </c>
      <c r="P325">
        <f>IF($J325&gt;MAX('Match Log'!$A$4:$A$1510),NA(),IFERROR(LOOKUP(2,1/(('Match Log'!$D$4:$D$1510=$P$24)*('Match Log'!$A$4:$A$1510&lt;=$J325)),'Match Log'!$N$4:$N$1510),NA()))</f>
        <v>1156.7205039890414</v>
      </c>
      <c r="Q325">
        <f>IF($J325&gt;MAX('Match Log'!$A$4:$A$1510),NA(),IFERROR(LOOKUP(2,1/(('Match Log'!$D$4:$D$1510=$Q$24)*('Match Log'!$A$4:$A$1510&lt;=$J325)),'Match Log'!$N$4:$N$1510),NA()))</f>
        <v>1215.996181687143</v>
      </c>
      <c r="R325">
        <f>IF($J325&gt;MAX('Match Log'!$A$4:$A$1510),NA(),IFERROR(LOOKUP(2,1/(('Match Log'!$D$4:$D$1510=$R$24)*('Match Log'!$A$4:$A$1510&lt;=$J325)),'Match Log'!$N$4:$N$1510),NA()))</f>
        <v>1216.3150451306317</v>
      </c>
      <c r="S325">
        <f>IF($J325&gt;MAX('Match Log'!$A$4:$A$1510),NA(),IFERROR(LOOKUP(2,1/(('Match Log'!$D$4:$D$1510=$S$24)*('Match Log'!$A$4:$A$1510&lt;=$J325)),'Match Log'!$N$4:$N$1510),NA()))</f>
        <v>1222.935480869525</v>
      </c>
      <c r="T325">
        <f>IF($J325&gt;MAX('Match Log'!$A$4:$A$1510),NA(),IFERROR(LOOKUP(2,1/(('Match Log'!$D$4:$D$1510=$T$24)*('Match Log'!$A$4:$A$1510&lt;=$J325)),'Match Log'!$N$4:$N$1510),NA()))</f>
        <v>862.22294373677494</v>
      </c>
      <c r="U325">
        <f>IF($J325&gt;MAX('Match Log'!$A$4:$A$1510),NA(),IFERROR(LOOKUP(2,1/(('Match Log'!$D$4:$D$1510=$U$24)*('Match Log'!$A$4:$A$1510&lt;=$J325)),'Match Log'!$N$4:$N$1510),NA()))</f>
        <v>944.39454678356583</v>
      </c>
      <c r="V325">
        <f>IF($J325&gt;MAX('Match Log'!$A$4:$A$1510),NA(),IFERROR(LOOKUP(2,1/(('Match Log'!$D$4:$D$1510=$V$24)*('Match Log'!$A$4:$A$1510&lt;=$J325)),'Match Log'!$N$4:$N$1510),NA()))</f>
        <v>1087.5488947064855</v>
      </c>
      <c r="W325">
        <f>IF($J325&gt;MAX('Match Log'!$A$4:$A$1510),NA(),IFERROR(LOOKUP(2,1/(('Match Log'!$D$4:$D$1510=$W$24)*('Match Log'!$A$4:$A$1510&lt;=$J325)),'Match Log'!$N$4:$N$1510),NA()))</f>
        <v>1023.2192605207141</v>
      </c>
      <c r="X325" t="e">
        <f>IF($J325&gt;MAX('Match Log'!$A$4:$A$1510),NA(),IFERROR(LOOKUP(2,1/(('Match Log'!$D$4:$D$1510=$X$24)*('Match Log'!$A$4:$A$1510&lt;=$J325)),'Match Log'!$N$4:$N$1510),NA()))</f>
        <v>#N/A</v>
      </c>
      <c r="Y325" t="str">
        <f t="shared" ca="1" si="31"/>
        <v/>
      </c>
    </row>
    <row r="326" spans="1:25" x14ac:dyDescent="0.2">
      <c r="A326">
        <v>302</v>
      </c>
      <c r="B326">
        <f>IFERROR(INDEX('Match Log'!$B$4:$B$1510,MATCH($A326,'Match Log'!$A$4:$A$1510,0)),"")</f>
        <v>46290</v>
      </c>
      <c r="C326" t="str">
        <f>IFERROR(INDEX('Match Log'!$C$4:$C$1510,MATCH($A326,'Match Log'!$A$4:$A$1510,0)),"")</f>
        <v>Pool</v>
      </c>
      <c r="D326" t="str">
        <f t="array" ref="D326">IFERROR(_xlfn.TEXTJOIN(" + ",TRUE(),IF(('Match Log'!$A$4:$A$1510=$A326)*('Match Log'!$E$4:$E$1510="Win"),'Match Log'!$D$4:$D$1510,"")),IFERROR(LOOKUP(2,1/(('Match Log'!$A$4:$A$1510=$A326)*('Match Log'!$E$4:$E$1510="Win")),'Match Log'!$D$4:$D$1510),""))</f>
        <v>Dean B</v>
      </c>
      <c r="E326">
        <f>IFERROR(INDEX('Match Log'!$F$4:$F$1510,MATCH($A326,'Match Log'!$A$4:$A$1510,0)),"")</f>
        <v>2</v>
      </c>
      <c r="F326">
        <f>IFERROR(SUMIFS('Match Log'!$I$4:$I$1510,'Match Log'!$A$4:$A$1510,$A326,'Match Log'!$E$4:$E$1510,"Win"),"")</f>
        <v>0.55696202531645567</v>
      </c>
      <c r="G326">
        <f t="shared" si="29"/>
        <v>-0.11392405063291133</v>
      </c>
      <c r="H326" t="str">
        <f t="array" ref="H326">IFERROR(IF(COUNTIFS('Match Log'!$A$4:$A$1510,$A326,'Match Log'!$E$4:$E$1510,"Win")&gt;1,_xlfn.TEXTJOIN(" + ",TRUE(),IF(('Match Log'!$A$4:$A$1510=$A326)*('Match Log'!$E$4:$E$1510="Loss"),'Match Log'!$D$4:$D$1510,"")),IF($E326=2,LOOKUP(2,1/(('Match Log'!$A$4:$A$1510=$A326)*('Match Log'!$E$4:$E$1510="Loss")),'Match Log'!$D$4:$D$1510),"the field")),"")</f>
        <v>Daniel (Ferret)</v>
      </c>
      <c r="I326">
        <f t="shared" si="30"/>
        <v>-0.11422605063291133</v>
      </c>
      <c r="J326">
        <v>302</v>
      </c>
      <c r="K326">
        <f>IF($J326&gt;MAX('Match Log'!$A$4:$A$1510),NA(),IFERROR(LOOKUP(2,1/(('Match Log'!$D$4:$D$1510=$K$24)*('Match Log'!$A$4:$A$1510&lt;=$J326)),'Match Log'!$N$4:$N$1510),NA()))</f>
        <v>1217.5573388632245</v>
      </c>
      <c r="L326">
        <f>IF($J326&gt;MAX('Match Log'!$A$4:$A$1510),NA(),IFERROR(LOOKUP(2,1/(('Match Log'!$D$4:$D$1510=$L$24)*('Match Log'!$A$4:$A$1510&lt;=$J326)),'Match Log'!$N$4:$N$1510),NA()))</f>
        <v>1029.5175965335138</v>
      </c>
      <c r="M326">
        <f>IF($J326&gt;MAX('Match Log'!$A$4:$A$1510),NA(),IFERROR(LOOKUP(2,1/(('Match Log'!$D$4:$D$1510=$M$24)*('Match Log'!$A$4:$A$1510&lt;=$J326)),'Match Log'!$N$4:$N$1510),NA()))</f>
        <v>1081.2287215286424</v>
      </c>
      <c r="N326">
        <f>IF($J326&gt;MAX('Match Log'!$A$4:$A$1510),NA(),IFERROR(LOOKUP(2,1/(('Match Log'!$D$4:$D$1510=$N$24)*('Match Log'!$A$4:$A$1510&lt;=$J326)),'Match Log'!$N$4:$N$1510),NA()))</f>
        <v>907.03133644117429</v>
      </c>
      <c r="O326">
        <f>IF($J326&gt;MAX('Match Log'!$A$4:$A$1510),NA(),IFERROR(LOOKUP(2,1/(('Match Log'!$D$4:$D$1510=$O$24)*('Match Log'!$A$4:$A$1510&lt;=$J326)),'Match Log'!$N$4:$N$1510),NA()))</f>
        <v>1192.3121492095624</v>
      </c>
      <c r="P326">
        <f>IF($J326&gt;MAX('Match Log'!$A$4:$A$1510),NA(),IFERROR(LOOKUP(2,1/(('Match Log'!$D$4:$D$1510=$P$24)*('Match Log'!$A$4:$A$1510&lt;=$J326)),'Match Log'!$N$4:$N$1510),NA()))</f>
        <v>1156.7205039890414</v>
      </c>
      <c r="Q326">
        <f>IF($J326&gt;MAX('Match Log'!$A$4:$A$1510),NA(),IFERROR(LOOKUP(2,1/(('Match Log'!$D$4:$D$1510=$Q$24)*('Match Log'!$A$4:$A$1510&lt;=$J326)),'Match Log'!$N$4:$N$1510),NA()))</f>
        <v>1215.996181687143</v>
      </c>
      <c r="R326">
        <f>IF($J326&gt;MAX('Match Log'!$A$4:$A$1510),NA(),IFERROR(LOOKUP(2,1/(('Match Log'!$D$4:$D$1510=$R$24)*('Match Log'!$A$4:$A$1510&lt;=$J326)),'Match Log'!$N$4:$N$1510),NA()))</f>
        <v>1195.852710997536</v>
      </c>
      <c r="S326">
        <f>IF($J326&gt;MAX('Match Log'!$A$4:$A$1510),NA(),IFERROR(LOOKUP(2,1/(('Match Log'!$D$4:$D$1510=$S$24)*('Match Log'!$A$4:$A$1510&lt;=$J326)),'Match Log'!$N$4:$N$1510),NA()))</f>
        <v>1243.3978150026207</v>
      </c>
      <c r="T326">
        <f>IF($J326&gt;MAX('Match Log'!$A$4:$A$1510),NA(),IFERROR(LOOKUP(2,1/(('Match Log'!$D$4:$D$1510=$T$24)*('Match Log'!$A$4:$A$1510&lt;=$J326)),'Match Log'!$N$4:$N$1510),NA()))</f>
        <v>862.22294373677494</v>
      </c>
      <c r="U326">
        <f>IF($J326&gt;MAX('Match Log'!$A$4:$A$1510),NA(),IFERROR(LOOKUP(2,1/(('Match Log'!$D$4:$D$1510=$U$24)*('Match Log'!$A$4:$A$1510&lt;=$J326)),'Match Log'!$N$4:$N$1510),NA()))</f>
        <v>944.39454678356583</v>
      </c>
      <c r="V326">
        <f>IF($J326&gt;MAX('Match Log'!$A$4:$A$1510),NA(),IFERROR(LOOKUP(2,1/(('Match Log'!$D$4:$D$1510=$V$24)*('Match Log'!$A$4:$A$1510&lt;=$J326)),'Match Log'!$N$4:$N$1510),NA()))</f>
        <v>1087.5488947064855</v>
      </c>
      <c r="W326">
        <f>IF($J326&gt;MAX('Match Log'!$A$4:$A$1510),NA(),IFERROR(LOOKUP(2,1/(('Match Log'!$D$4:$D$1510=$W$24)*('Match Log'!$A$4:$A$1510&lt;=$J326)),'Match Log'!$N$4:$N$1510),NA()))</f>
        <v>1023.2192605207141</v>
      </c>
      <c r="X326" t="e">
        <f>IF($J326&gt;MAX('Match Log'!$A$4:$A$1510),NA(),IFERROR(LOOKUP(2,1/(('Match Log'!$D$4:$D$1510=$X$24)*('Match Log'!$A$4:$A$1510&lt;=$J326)),'Match Log'!$N$4:$N$1510),NA()))</f>
        <v>#N/A</v>
      </c>
      <c r="Y326" t="str">
        <f t="shared" ca="1" si="31"/>
        <v/>
      </c>
    </row>
    <row r="327" spans="1:25" x14ac:dyDescent="0.2">
      <c r="A327">
        <v>303</v>
      </c>
      <c r="B327">
        <f>IFERROR(INDEX('Match Log'!$B$4:$B$1510,MATCH($A327,'Match Log'!$A$4:$A$1510,0)),"")</f>
        <v>46290</v>
      </c>
      <c r="C327" t="str">
        <f>IFERROR(INDEX('Match Log'!$C$4:$C$1510,MATCH($A327,'Match Log'!$A$4:$A$1510,0)),"")</f>
        <v>Pool</v>
      </c>
      <c r="D327" t="str">
        <f t="array" ref="D327">IFERROR(_xlfn.TEXTJOIN(" + ",TRUE(),IF(('Match Log'!$A$4:$A$1510=$A327)*('Match Log'!$E$4:$E$1510="Win"),'Match Log'!$D$4:$D$1510,"")),IFERROR(LOOKUP(2,1/(('Match Log'!$A$4:$A$1510=$A327)*('Match Log'!$E$4:$E$1510="Win")),'Match Log'!$D$4:$D$1510),""))</f>
        <v>Daniel (Ferret)</v>
      </c>
      <c r="E327">
        <f>IFERROR(INDEX('Match Log'!$F$4:$F$1510,MATCH($A327,'Match Log'!$A$4:$A$1510,0)),"")</f>
        <v>2</v>
      </c>
      <c r="F327">
        <f>IFERROR(SUMIFS('Match Log'!$I$4:$I$1510,'Match Log'!$A$4:$A$1510,$A327,'Match Log'!$E$4:$E$1510,"Win"),"")</f>
        <v>0.40983606557377056</v>
      </c>
      <c r="G327">
        <f t="shared" si="29"/>
        <v>0.18032786885245888</v>
      </c>
      <c r="H327" t="str">
        <f t="array" ref="H327">IFERROR(IF(COUNTIFS('Match Log'!$A$4:$A$1510,$A327,'Match Log'!$E$4:$E$1510,"Win")&gt;1,_xlfn.TEXTJOIN(" + ",TRUE(),IF(('Match Log'!$A$4:$A$1510=$A327)*('Match Log'!$E$4:$E$1510="Loss"),'Match Log'!$D$4:$D$1510,"")),IF($E327=2,LOOKUP(2,1/(('Match Log'!$A$4:$A$1510=$A327)*('Match Log'!$E$4:$E$1510="Loss")),'Match Log'!$D$4:$D$1510),"the field")),"")</f>
        <v>Dean B</v>
      </c>
      <c r="I327">
        <f t="shared" si="30"/>
        <v>0.18002486885245889</v>
      </c>
      <c r="J327">
        <v>303</v>
      </c>
      <c r="K327">
        <f>IF($J327&gt;MAX('Match Log'!$A$4:$A$1510),NA(),IFERROR(LOOKUP(2,1/(('Match Log'!$D$4:$D$1510=$K$24)*('Match Log'!$A$4:$A$1510&lt;=$J327)),'Match Log'!$N$4:$N$1510),NA()))</f>
        <v>1217.5573388632245</v>
      </c>
      <c r="L327">
        <f>IF($J327&gt;MAX('Match Log'!$A$4:$A$1510),NA(),IFERROR(LOOKUP(2,1/(('Match Log'!$D$4:$D$1510=$L$24)*('Match Log'!$A$4:$A$1510&lt;=$J327)),'Match Log'!$N$4:$N$1510),NA()))</f>
        <v>1029.5175965335138</v>
      </c>
      <c r="M327">
        <f>IF($J327&gt;MAX('Match Log'!$A$4:$A$1510),NA(),IFERROR(LOOKUP(2,1/(('Match Log'!$D$4:$D$1510=$M$24)*('Match Log'!$A$4:$A$1510&lt;=$J327)),'Match Log'!$N$4:$N$1510),NA()))</f>
        <v>1081.2287215286424</v>
      </c>
      <c r="N327">
        <f>IF($J327&gt;MAX('Match Log'!$A$4:$A$1510),NA(),IFERROR(LOOKUP(2,1/(('Match Log'!$D$4:$D$1510=$N$24)*('Match Log'!$A$4:$A$1510&lt;=$J327)),'Match Log'!$N$4:$N$1510),NA()))</f>
        <v>907.03133644117429</v>
      </c>
      <c r="O327">
        <f>IF($J327&gt;MAX('Match Log'!$A$4:$A$1510),NA(),IFERROR(LOOKUP(2,1/(('Match Log'!$D$4:$D$1510=$O$24)*('Match Log'!$A$4:$A$1510&lt;=$J327)),'Match Log'!$N$4:$N$1510),NA()))</f>
        <v>1192.3121492095624</v>
      </c>
      <c r="P327">
        <f>IF($J327&gt;MAX('Match Log'!$A$4:$A$1510),NA(),IFERROR(LOOKUP(2,1/(('Match Log'!$D$4:$D$1510=$P$24)*('Match Log'!$A$4:$A$1510&lt;=$J327)),'Match Log'!$N$4:$N$1510),NA()))</f>
        <v>1156.7205039890414</v>
      </c>
      <c r="Q327">
        <f>IF($J327&gt;MAX('Match Log'!$A$4:$A$1510),NA(),IFERROR(LOOKUP(2,1/(('Match Log'!$D$4:$D$1510=$Q$24)*('Match Log'!$A$4:$A$1510&lt;=$J327)),'Match Log'!$N$4:$N$1510),NA()))</f>
        <v>1215.996181687143</v>
      </c>
      <c r="R327">
        <f>IF($J327&gt;MAX('Match Log'!$A$4:$A$1510),NA(),IFERROR(LOOKUP(2,1/(('Match Log'!$D$4:$D$1510=$R$24)*('Match Log'!$A$4:$A$1510&lt;=$J327)),'Match Log'!$N$4:$N$1510),NA()))</f>
        <v>1221.3489842732085</v>
      </c>
      <c r="S327">
        <f>IF($J327&gt;MAX('Match Log'!$A$4:$A$1510),NA(),IFERROR(LOOKUP(2,1/(('Match Log'!$D$4:$D$1510=$S$24)*('Match Log'!$A$4:$A$1510&lt;=$J327)),'Match Log'!$N$4:$N$1510),NA()))</f>
        <v>1217.9015417269482</v>
      </c>
      <c r="T327">
        <f>IF($J327&gt;MAX('Match Log'!$A$4:$A$1510),NA(),IFERROR(LOOKUP(2,1/(('Match Log'!$D$4:$D$1510=$T$24)*('Match Log'!$A$4:$A$1510&lt;=$J327)),'Match Log'!$N$4:$N$1510),NA()))</f>
        <v>862.22294373677494</v>
      </c>
      <c r="U327">
        <f>IF($J327&gt;MAX('Match Log'!$A$4:$A$1510),NA(),IFERROR(LOOKUP(2,1/(('Match Log'!$D$4:$D$1510=$U$24)*('Match Log'!$A$4:$A$1510&lt;=$J327)),'Match Log'!$N$4:$N$1510),NA()))</f>
        <v>944.39454678356583</v>
      </c>
      <c r="V327">
        <f>IF($J327&gt;MAX('Match Log'!$A$4:$A$1510),NA(),IFERROR(LOOKUP(2,1/(('Match Log'!$D$4:$D$1510=$V$24)*('Match Log'!$A$4:$A$1510&lt;=$J327)),'Match Log'!$N$4:$N$1510),NA()))</f>
        <v>1087.5488947064855</v>
      </c>
      <c r="W327">
        <f>IF($J327&gt;MAX('Match Log'!$A$4:$A$1510),NA(),IFERROR(LOOKUP(2,1/(('Match Log'!$D$4:$D$1510=$W$24)*('Match Log'!$A$4:$A$1510&lt;=$J327)),'Match Log'!$N$4:$N$1510),NA()))</f>
        <v>1023.2192605207141</v>
      </c>
      <c r="X327" t="e">
        <f>IF($J327&gt;MAX('Match Log'!$A$4:$A$1510),NA(),IFERROR(LOOKUP(2,1/(('Match Log'!$D$4:$D$1510=$X$24)*('Match Log'!$A$4:$A$1510&lt;=$J327)),'Match Log'!$N$4:$N$1510),NA()))</f>
        <v>#N/A</v>
      </c>
      <c r="Y327" t="str">
        <f t="shared" ca="1" si="31"/>
        <v/>
      </c>
    </row>
    <row r="328" spans="1:25" x14ac:dyDescent="0.2">
      <c r="A328">
        <v>304</v>
      </c>
      <c r="B328">
        <f>IFERROR(INDEX('Match Log'!$B$4:$B$1510,MATCH($A328,'Match Log'!$A$4:$A$1510,0)),"")</f>
        <v>46291</v>
      </c>
      <c r="C328" t="str">
        <f>IFERROR(INDEX('Match Log'!$C$4:$C$1510,MATCH($A328,'Match Log'!$A$4:$A$1510,0)),"")</f>
        <v>FIFA</v>
      </c>
      <c r="D328" t="str">
        <f t="array" ref="D328">IFERROR(_xlfn.TEXTJOIN(" + ",TRUE(),IF(('Match Log'!$A$4:$A$1510=$A328)*('Match Log'!$E$4:$E$1510="Win"),'Match Log'!$D$4:$D$1510,"")),IFERROR(LOOKUP(2,1/(('Match Log'!$A$4:$A$1510=$A328)*('Match Log'!$E$4:$E$1510="Win")),'Match Log'!$D$4:$D$1510),""))</f>
        <v>Oscar</v>
      </c>
      <c r="E328">
        <f>IFERROR(INDEX('Match Log'!$F$4:$F$1510,MATCH($A328,'Match Log'!$A$4:$A$1510,0)),"")</f>
        <v>2</v>
      </c>
      <c r="F328">
        <f>IFERROR(SUMIFS('Match Log'!$I$4:$I$1510,'Match Log'!$A$4:$A$1510,$A328,'Match Log'!$E$4:$E$1510,"Win"),"")</f>
        <v>0.49230769230769234</v>
      </c>
      <c r="G328">
        <f t="shared" si="29"/>
        <v>1.538461538461533E-2</v>
      </c>
      <c r="H328" t="str">
        <f t="array" ref="H328">IFERROR(IF(COUNTIFS('Match Log'!$A$4:$A$1510,$A328,'Match Log'!$E$4:$E$1510,"Win")&gt;1,_xlfn.TEXTJOIN(" + ",TRUE(),IF(('Match Log'!$A$4:$A$1510=$A328)*('Match Log'!$E$4:$E$1510="Loss"),'Match Log'!$D$4:$D$1510,"")),IF($E328=2,LOOKUP(2,1/(('Match Log'!$A$4:$A$1510=$A328)*('Match Log'!$E$4:$E$1510="Loss")),'Match Log'!$D$4:$D$1510),"the field")),"")</f>
        <v>Shawn</v>
      </c>
      <c r="I328">
        <f t="shared" si="30"/>
        <v>1.508061538461533E-2</v>
      </c>
      <c r="J328">
        <v>304</v>
      </c>
      <c r="K328">
        <f>IF($J328&gt;MAX('Match Log'!$A$4:$A$1510),NA(),IFERROR(LOOKUP(2,1/(('Match Log'!$D$4:$D$1510=$K$24)*('Match Log'!$A$4:$A$1510&lt;=$J328)),'Match Log'!$N$4:$N$1510),NA()))</f>
        <v>1217.5573388632245</v>
      </c>
      <c r="L328">
        <f>IF($J328&gt;MAX('Match Log'!$A$4:$A$1510),NA(),IFERROR(LOOKUP(2,1/(('Match Log'!$D$4:$D$1510=$L$24)*('Match Log'!$A$4:$A$1510&lt;=$J328)),'Match Log'!$N$4:$N$1510),NA()))</f>
        <v>1029.5175965335138</v>
      </c>
      <c r="M328">
        <f>IF($J328&gt;MAX('Match Log'!$A$4:$A$1510),NA(),IFERROR(LOOKUP(2,1/(('Match Log'!$D$4:$D$1510=$M$24)*('Match Log'!$A$4:$A$1510&lt;=$J328)),'Match Log'!$N$4:$N$1510),NA()))</f>
        <v>1081.2287215286424</v>
      </c>
      <c r="N328">
        <f>IF($J328&gt;MAX('Match Log'!$A$4:$A$1510),NA(),IFERROR(LOOKUP(2,1/(('Match Log'!$D$4:$D$1510=$N$24)*('Match Log'!$A$4:$A$1510&lt;=$J328)),'Match Log'!$N$4:$N$1510),NA()))</f>
        <v>907.03133644117429</v>
      </c>
      <c r="O328">
        <f>IF($J328&gt;MAX('Match Log'!$A$4:$A$1510),NA(),IFERROR(LOOKUP(2,1/(('Match Log'!$D$4:$D$1510=$O$24)*('Match Log'!$A$4:$A$1510&lt;=$J328)),'Match Log'!$N$4:$N$1510),NA()))</f>
        <v>1192.3121492095624</v>
      </c>
      <c r="P328">
        <f>IF($J328&gt;MAX('Match Log'!$A$4:$A$1510),NA(),IFERROR(LOOKUP(2,1/(('Match Log'!$D$4:$D$1510=$P$24)*('Match Log'!$A$4:$A$1510&lt;=$J328)),'Match Log'!$N$4:$N$1510),NA()))</f>
        <v>1132.8537274164212</v>
      </c>
      <c r="Q328">
        <f>IF($J328&gt;MAX('Match Log'!$A$4:$A$1510),NA(),IFERROR(LOOKUP(2,1/(('Match Log'!$D$4:$D$1510=$Q$24)*('Match Log'!$A$4:$A$1510&lt;=$J328)),'Match Log'!$N$4:$N$1510),NA()))</f>
        <v>1215.996181687143</v>
      </c>
      <c r="R328">
        <f>IF($J328&gt;MAX('Match Log'!$A$4:$A$1510),NA(),IFERROR(LOOKUP(2,1/(('Match Log'!$D$4:$D$1510=$R$24)*('Match Log'!$A$4:$A$1510&lt;=$J328)),'Match Log'!$N$4:$N$1510),NA()))</f>
        <v>1221.3489842732085</v>
      </c>
      <c r="S328">
        <f>IF($J328&gt;MAX('Match Log'!$A$4:$A$1510),NA(),IFERROR(LOOKUP(2,1/(('Match Log'!$D$4:$D$1510=$S$24)*('Match Log'!$A$4:$A$1510&lt;=$J328)),'Match Log'!$N$4:$N$1510),NA()))</f>
        <v>1217.9015417269482</v>
      </c>
      <c r="T328">
        <f>IF($J328&gt;MAX('Match Log'!$A$4:$A$1510),NA(),IFERROR(LOOKUP(2,1/(('Match Log'!$D$4:$D$1510=$T$24)*('Match Log'!$A$4:$A$1510&lt;=$J328)),'Match Log'!$N$4:$N$1510),NA()))</f>
        <v>862.22294373677494</v>
      </c>
      <c r="U328">
        <f>IF($J328&gt;MAX('Match Log'!$A$4:$A$1510),NA(),IFERROR(LOOKUP(2,1/(('Match Log'!$D$4:$D$1510=$U$24)*('Match Log'!$A$4:$A$1510&lt;=$J328)),'Match Log'!$N$4:$N$1510),NA()))</f>
        <v>968.26132335618615</v>
      </c>
      <c r="V328">
        <f>IF($J328&gt;MAX('Match Log'!$A$4:$A$1510),NA(),IFERROR(LOOKUP(2,1/(('Match Log'!$D$4:$D$1510=$V$24)*('Match Log'!$A$4:$A$1510&lt;=$J328)),'Match Log'!$N$4:$N$1510),NA()))</f>
        <v>1087.5488947064855</v>
      </c>
      <c r="W328">
        <f>IF($J328&gt;MAX('Match Log'!$A$4:$A$1510),NA(),IFERROR(LOOKUP(2,1/(('Match Log'!$D$4:$D$1510=$W$24)*('Match Log'!$A$4:$A$1510&lt;=$J328)),'Match Log'!$N$4:$N$1510),NA()))</f>
        <v>1023.2192605207141</v>
      </c>
      <c r="X328" t="e">
        <f>IF($J328&gt;MAX('Match Log'!$A$4:$A$1510),NA(),IFERROR(LOOKUP(2,1/(('Match Log'!$D$4:$D$1510=$X$24)*('Match Log'!$A$4:$A$1510&lt;=$J328)),'Match Log'!$N$4:$N$1510),NA()))</f>
        <v>#N/A</v>
      </c>
      <c r="Y328" t="str">
        <f t="shared" ca="1" si="31"/>
        <v/>
      </c>
    </row>
    <row r="329" spans="1:25" x14ac:dyDescent="0.2">
      <c r="A329">
        <v>305</v>
      </c>
      <c r="B329">
        <f>IFERROR(INDEX('Match Log'!$B$4:$B$1510,MATCH($A329,'Match Log'!$A$4:$A$1510,0)),"")</f>
        <v>46292</v>
      </c>
      <c r="C329" t="str">
        <f>IFERROR(INDEX('Match Log'!$C$4:$C$1510,MATCH($A329,'Match Log'!$A$4:$A$1510,0)),"")</f>
        <v>Mario Kart</v>
      </c>
      <c r="D329" t="str">
        <f t="array" ref="D329">IFERROR(_xlfn.TEXTJOIN(" + ",TRUE(),IF(('Match Log'!$A$4:$A$1510=$A329)*('Match Log'!$E$4:$E$1510="Win"),'Match Log'!$D$4:$D$1510,"")),IFERROR(LOOKUP(2,1/(('Match Log'!$A$4:$A$1510=$A329)*('Match Log'!$E$4:$E$1510="Win")),'Match Log'!$D$4:$D$1510),""))</f>
        <v>Josh</v>
      </c>
      <c r="E329">
        <f>IFERROR(INDEX('Match Log'!$F$4:$F$1510,MATCH($A329,'Match Log'!$A$4:$A$1510,0)),"")</f>
        <v>2</v>
      </c>
      <c r="F329">
        <f>IFERROR(SUMIFS('Match Log'!$I$4:$I$1510,'Match Log'!$A$4:$A$1510,$A329,'Match Log'!$E$4:$E$1510,"Win"),"")</f>
        <v>0.55555555555555558</v>
      </c>
      <c r="G329">
        <f t="shared" si="29"/>
        <v>-0.11111111111111116</v>
      </c>
      <c r="H329" t="str">
        <f t="array" ref="H329">IFERROR(IF(COUNTIFS('Match Log'!$A$4:$A$1510,$A329,'Match Log'!$E$4:$E$1510,"Win")&gt;1,_xlfn.TEXTJOIN(" + ",TRUE(),IF(('Match Log'!$A$4:$A$1510=$A329)*('Match Log'!$E$4:$E$1510="Loss"),'Match Log'!$D$4:$D$1510,"")),IF($E329=2,LOOKUP(2,1/(('Match Log'!$A$4:$A$1510=$A329)*('Match Log'!$E$4:$E$1510="Loss")),'Match Log'!$D$4:$D$1510),"the field")),"")</f>
        <v>Daniel (Ferret)</v>
      </c>
      <c r="I329">
        <f t="shared" si="30"/>
        <v>-0.11141611111111116</v>
      </c>
      <c r="J329">
        <v>305</v>
      </c>
      <c r="K329">
        <f>IF($J329&gt;MAX('Match Log'!$A$4:$A$1510),NA(),IFERROR(LOOKUP(2,1/(('Match Log'!$D$4:$D$1510=$K$24)*('Match Log'!$A$4:$A$1510&lt;=$J329)),'Match Log'!$N$4:$N$1510),NA()))</f>
        <v>1217.5573388632245</v>
      </c>
      <c r="L329">
        <f>IF($J329&gt;MAX('Match Log'!$A$4:$A$1510),NA(),IFERROR(LOOKUP(2,1/(('Match Log'!$D$4:$D$1510=$L$24)*('Match Log'!$A$4:$A$1510&lt;=$J329)),'Match Log'!$N$4:$N$1510),NA()))</f>
        <v>1029.5175965335138</v>
      </c>
      <c r="M329">
        <f>IF($J329&gt;MAX('Match Log'!$A$4:$A$1510),NA(),IFERROR(LOOKUP(2,1/(('Match Log'!$D$4:$D$1510=$M$24)*('Match Log'!$A$4:$A$1510&lt;=$J329)),'Match Log'!$N$4:$N$1510),NA()))</f>
        <v>1081.2287215286424</v>
      </c>
      <c r="N329">
        <f>IF($J329&gt;MAX('Match Log'!$A$4:$A$1510),NA(),IFERROR(LOOKUP(2,1/(('Match Log'!$D$4:$D$1510=$N$24)*('Match Log'!$A$4:$A$1510&lt;=$J329)),'Match Log'!$N$4:$N$1510),NA()))</f>
        <v>907.03133644117429</v>
      </c>
      <c r="O329">
        <f>IF($J329&gt;MAX('Match Log'!$A$4:$A$1510),NA(),IFERROR(LOOKUP(2,1/(('Match Log'!$D$4:$D$1510=$O$24)*('Match Log'!$A$4:$A$1510&lt;=$J329)),'Match Log'!$N$4:$N$1510),NA()))</f>
        <v>1214.0557828344713</v>
      </c>
      <c r="P329">
        <f>IF($J329&gt;MAX('Match Log'!$A$4:$A$1510),NA(),IFERROR(LOOKUP(2,1/(('Match Log'!$D$4:$D$1510=$P$24)*('Match Log'!$A$4:$A$1510&lt;=$J329)),'Match Log'!$N$4:$N$1510),NA()))</f>
        <v>1132.8537274164212</v>
      </c>
      <c r="Q329">
        <f>IF($J329&gt;MAX('Match Log'!$A$4:$A$1510),NA(),IFERROR(LOOKUP(2,1/(('Match Log'!$D$4:$D$1510=$Q$24)*('Match Log'!$A$4:$A$1510&lt;=$J329)),'Match Log'!$N$4:$N$1510),NA()))</f>
        <v>1215.996181687143</v>
      </c>
      <c r="R329">
        <f>IF($J329&gt;MAX('Match Log'!$A$4:$A$1510),NA(),IFERROR(LOOKUP(2,1/(('Match Log'!$D$4:$D$1510=$R$24)*('Match Log'!$A$4:$A$1510&lt;=$J329)),'Match Log'!$N$4:$N$1510),NA()))</f>
        <v>1199.6053506482997</v>
      </c>
      <c r="S329">
        <f>IF($J329&gt;MAX('Match Log'!$A$4:$A$1510),NA(),IFERROR(LOOKUP(2,1/(('Match Log'!$D$4:$D$1510=$S$24)*('Match Log'!$A$4:$A$1510&lt;=$J329)),'Match Log'!$N$4:$N$1510),NA()))</f>
        <v>1217.9015417269482</v>
      </c>
      <c r="T329">
        <f>IF($J329&gt;MAX('Match Log'!$A$4:$A$1510),NA(),IFERROR(LOOKUP(2,1/(('Match Log'!$D$4:$D$1510=$T$24)*('Match Log'!$A$4:$A$1510&lt;=$J329)),'Match Log'!$N$4:$N$1510),NA()))</f>
        <v>862.22294373677494</v>
      </c>
      <c r="U329">
        <f>IF($J329&gt;MAX('Match Log'!$A$4:$A$1510),NA(),IFERROR(LOOKUP(2,1/(('Match Log'!$D$4:$D$1510=$U$24)*('Match Log'!$A$4:$A$1510&lt;=$J329)),'Match Log'!$N$4:$N$1510),NA()))</f>
        <v>968.26132335618615</v>
      </c>
      <c r="V329">
        <f>IF($J329&gt;MAX('Match Log'!$A$4:$A$1510),NA(),IFERROR(LOOKUP(2,1/(('Match Log'!$D$4:$D$1510=$V$24)*('Match Log'!$A$4:$A$1510&lt;=$J329)),'Match Log'!$N$4:$N$1510),NA()))</f>
        <v>1087.5488947064855</v>
      </c>
      <c r="W329">
        <f>IF($J329&gt;MAX('Match Log'!$A$4:$A$1510),NA(),IFERROR(LOOKUP(2,1/(('Match Log'!$D$4:$D$1510=$W$24)*('Match Log'!$A$4:$A$1510&lt;=$J329)),'Match Log'!$N$4:$N$1510),NA()))</f>
        <v>1023.2192605207141</v>
      </c>
      <c r="X329" t="e">
        <f>IF($J329&gt;MAX('Match Log'!$A$4:$A$1510),NA(),IFERROR(LOOKUP(2,1/(('Match Log'!$D$4:$D$1510=$X$24)*('Match Log'!$A$4:$A$1510&lt;=$J329)),'Match Log'!$N$4:$N$1510),NA()))</f>
        <v>#N/A</v>
      </c>
      <c r="Y329" t="str">
        <f t="shared" ca="1" si="31"/>
        <v/>
      </c>
    </row>
    <row r="330" spans="1:25" x14ac:dyDescent="0.2">
      <c r="A330">
        <v>306</v>
      </c>
      <c r="B330">
        <f>IFERROR(INDEX('Match Log'!$B$4:$B$1510,MATCH($A330,'Match Log'!$A$4:$A$1510,0)),"")</f>
        <v>46292</v>
      </c>
      <c r="C330" t="str">
        <f>IFERROR(INDEX('Match Log'!$C$4:$C$1510,MATCH($A330,'Match Log'!$A$4:$A$1510,0)),"")</f>
        <v>Mario Kart</v>
      </c>
      <c r="D330" t="str">
        <f t="array" ref="D330">IFERROR(_xlfn.TEXTJOIN(" + ",TRUE(),IF(('Match Log'!$A$4:$A$1510=$A330)*('Match Log'!$E$4:$E$1510="Win"),'Match Log'!$D$4:$D$1510,"")),IFERROR(LOOKUP(2,1/(('Match Log'!$A$4:$A$1510=$A330)*('Match Log'!$E$4:$E$1510="Win")),'Match Log'!$D$4:$D$1510),""))</f>
        <v>Josh</v>
      </c>
      <c r="E330">
        <f>IFERROR(INDEX('Match Log'!$F$4:$F$1510,MATCH($A330,'Match Log'!$A$4:$A$1510,0)),"")</f>
        <v>2</v>
      </c>
      <c r="F330">
        <f>IFERROR(SUMIFS('Match Log'!$I$4:$I$1510,'Match Log'!$A$4:$A$1510,$A330,'Match Log'!$E$4:$E$1510,"Win"),"")</f>
        <v>0.6</v>
      </c>
      <c r="G330">
        <f t="shared" si="29"/>
        <v>-0.19999999999999996</v>
      </c>
      <c r="H330" t="str">
        <f t="array" ref="H330">IFERROR(IF(COUNTIFS('Match Log'!$A$4:$A$1510,$A330,'Match Log'!$E$4:$E$1510,"Win")&gt;1,_xlfn.TEXTJOIN(" + ",TRUE(),IF(('Match Log'!$A$4:$A$1510=$A330)*('Match Log'!$E$4:$E$1510="Loss"),'Match Log'!$D$4:$D$1510,"")),IF($E330=2,LOOKUP(2,1/(('Match Log'!$A$4:$A$1510=$A330)*('Match Log'!$E$4:$E$1510="Loss")),'Match Log'!$D$4:$D$1510),"the field")),"")</f>
        <v>Daniel (Ferret)</v>
      </c>
      <c r="I330">
        <f t="shared" si="30"/>
        <v>-0.20030599999999996</v>
      </c>
      <c r="J330">
        <v>306</v>
      </c>
      <c r="K330">
        <f>IF($J330&gt;MAX('Match Log'!$A$4:$A$1510),NA(),IFERROR(LOOKUP(2,1/(('Match Log'!$D$4:$D$1510=$K$24)*('Match Log'!$A$4:$A$1510&lt;=$J330)),'Match Log'!$N$4:$N$1510),NA()))</f>
        <v>1217.5573388632245</v>
      </c>
      <c r="L330">
        <f>IF($J330&gt;MAX('Match Log'!$A$4:$A$1510),NA(),IFERROR(LOOKUP(2,1/(('Match Log'!$D$4:$D$1510=$L$24)*('Match Log'!$A$4:$A$1510&lt;=$J330)),'Match Log'!$N$4:$N$1510),NA()))</f>
        <v>1029.5175965335138</v>
      </c>
      <c r="M330">
        <f>IF($J330&gt;MAX('Match Log'!$A$4:$A$1510),NA(),IFERROR(LOOKUP(2,1/(('Match Log'!$D$4:$D$1510=$M$24)*('Match Log'!$A$4:$A$1510&lt;=$J330)),'Match Log'!$N$4:$N$1510),NA()))</f>
        <v>1081.2287215286424</v>
      </c>
      <c r="N330">
        <f>IF($J330&gt;MAX('Match Log'!$A$4:$A$1510),NA(),IFERROR(LOOKUP(2,1/(('Match Log'!$D$4:$D$1510=$N$24)*('Match Log'!$A$4:$A$1510&lt;=$J330)),'Match Log'!$N$4:$N$1510),NA()))</f>
        <v>907.03133644117429</v>
      </c>
      <c r="O330">
        <f>IF($J330&gt;MAX('Match Log'!$A$4:$A$1510),NA(),IFERROR(LOOKUP(2,1/(('Match Log'!$D$4:$D$1510=$O$24)*('Match Log'!$A$4:$A$1510&lt;=$J330)),'Match Log'!$N$4:$N$1510),NA()))</f>
        <v>1233.497020705217</v>
      </c>
      <c r="P330">
        <f>IF($J330&gt;MAX('Match Log'!$A$4:$A$1510),NA(),IFERROR(LOOKUP(2,1/(('Match Log'!$D$4:$D$1510=$P$24)*('Match Log'!$A$4:$A$1510&lt;=$J330)),'Match Log'!$N$4:$N$1510),NA()))</f>
        <v>1132.8537274164212</v>
      </c>
      <c r="Q330">
        <f>IF($J330&gt;MAX('Match Log'!$A$4:$A$1510),NA(),IFERROR(LOOKUP(2,1/(('Match Log'!$D$4:$D$1510=$Q$24)*('Match Log'!$A$4:$A$1510&lt;=$J330)),'Match Log'!$N$4:$N$1510),NA()))</f>
        <v>1215.996181687143</v>
      </c>
      <c r="R330">
        <f>IF($J330&gt;MAX('Match Log'!$A$4:$A$1510),NA(),IFERROR(LOOKUP(2,1/(('Match Log'!$D$4:$D$1510=$R$24)*('Match Log'!$A$4:$A$1510&lt;=$J330)),'Match Log'!$N$4:$N$1510),NA()))</f>
        <v>1180.164112777554</v>
      </c>
      <c r="S330">
        <f>IF($J330&gt;MAX('Match Log'!$A$4:$A$1510),NA(),IFERROR(LOOKUP(2,1/(('Match Log'!$D$4:$D$1510=$S$24)*('Match Log'!$A$4:$A$1510&lt;=$J330)),'Match Log'!$N$4:$N$1510),NA()))</f>
        <v>1217.9015417269482</v>
      </c>
      <c r="T330">
        <f>IF($J330&gt;MAX('Match Log'!$A$4:$A$1510),NA(),IFERROR(LOOKUP(2,1/(('Match Log'!$D$4:$D$1510=$T$24)*('Match Log'!$A$4:$A$1510&lt;=$J330)),'Match Log'!$N$4:$N$1510),NA()))</f>
        <v>862.22294373677494</v>
      </c>
      <c r="U330">
        <f>IF($J330&gt;MAX('Match Log'!$A$4:$A$1510),NA(),IFERROR(LOOKUP(2,1/(('Match Log'!$D$4:$D$1510=$U$24)*('Match Log'!$A$4:$A$1510&lt;=$J330)),'Match Log'!$N$4:$N$1510),NA()))</f>
        <v>968.26132335618615</v>
      </c>
      <c r="V330">
        <f>IF($J330&gt;MAX('Match Log'!$A$4:$A$1510),NA(),IFERROR(LOOKUP(2,1/(('Match Log'!$D$4:$D$1510=$V$24)*('Match Log'!$A$4:$A$1510&lt;=$J330)),'Match Log'!$N$4:$N$1510),NA()))</f>
        <v>1087.5488947064855</v>
      </c>
      <c r="W330">
        <f>IF($J330&gt;MAX('Match Log'!$A$4:$A$1510),NA(),IFERROR(LOOKUP(2,1/(('Match Log'!$D$4:$D$1510=$W$24)*('Match Log'!$A$4:$A$1510&lt;=$J330)),'Match Log'!$N$4:$N$1510),NA()))</f>
        <v>1023.2192605207141</v>
      </c>
      <c r="X330" t="e">
        <f>IF($J330&gt;MAX('Match Log'!$A$4:$A$1510),NA(),IFERROR(LOOKUP(2,1/(('Match Log'!$D$4:$D$1510=$X$24)*('Match Log'!$A$4:$A$1510&lt;=$J330)),'Match Log'!$N$4:$N$1510),NA()))</f>
        <v>#N/A</v>
      </c>
      <c r="Y330" t="str">
        <f t="shared" ca="1" si="31"/>
        <v/>
      </c>
    </row>
    <row r="331" spans="1:25" x14ac:dyDescent="0.2">
      <c r="A331">
        <v>307</v>
      </c>
      <c r="B331">
        <f>IFERROR(INDEX('Match Log'!$B$4:$B$1510,MATCH($A331,'Match Log'!$A$4:$A$1510,0)),"")</f>
        <v>46293</v>
      </c>
      <c r="C331" t="str">
        <f>IFERROR(INDEX('Match Log'!$C$4:$C$1510,MATCH($A331,'Match Log'!$A$4:$A$1510,0)),"")</f>
        <v>Chess</v>
      </c>
      <c r="D331" t="str">
        <f t="array" ref="D331">IFERROR(_xlfn.TEXTJOIN(" + ",TRUE(),IF(('Match Log'!$A$4:$A$1510=$A331)*('Match Log'!$E$4:$E$1510="Win"),'Match Log'!$D$4:$D$1510,"")),IFERROR(LOOKUP(2,1/(('Match Log'!$A$4:$A$1510=$A331)*('Match Log'!$E$4:$E$1510="Win")),'Match Log'!$D$4:$D$1510),""))</f>
        <v>Shawn</v>
      </c>
      <c r="E331">
        <f>IFERROR(INDEX('Match Log'!$F$4:$F$1510,MATCH($A331,'Match Log'!$A$4:$A$1510,0)),"")</f>
        <v>2</v>
      </c>
      <c r="F331">
        <f>IFERROR(SUMIFS('Match Log'!$I$4:$I$1510,'Match Log'!$A$4:$A$1510,$A331,'Match Log'!$E$4:$E$1510,"Win"),"")</f>
        <v>0.63636363636363635</v>
      </c>
      <c r="G331">
        <f t="shared" si="29"/>
        <v>-0.27272727272727271</v>
      </c>
      <c r="H331" t="str">
        <f t="array" ref="H331">IFERROR(IF(COUNTIFS('Match Log'!$A$4:$A$1510,$A331,'Match Log'!$E$4:$E$1510,"Win")&gt;1,_xlfn.TEXTJOIN(" + ",TRUE(),IF(('Match Log'!$A$4:$A$1510=$A331)*('Match Log'!$E$4:$E$1510="Loss"),'Match Log'!$D$4:$D$1510,"")),IF($E331=2,LOOKUP(2,1/(('Match Log'!$A$4:$A$1510=$A331)*('Match Log'!$E$4:$E$1510="Loss")),'Match Log'!$D$4:$D$1510),"the field")),"")</f>
        <v>Chase</v>
      </c>
      <c r="I331">
        <f t="shared" si="30"/>
        <v>-0.27303427272727271</v>
      </c>
      <c r="J331">
        <v>307</v>
      </c>
      <c r="K331">
        <f>IF($J331&gt;MAX('Match Log'!$A$4:$A$1510),NA(),IFERROR(LOOKUP(2,1/(('Match Log'!$D$4:$D$1510=$K$24)*('Match Log'!$A$4:$A$1510&lt;=$J331)),'Match Log'!$N$4:$N$1510),NA()))</f>
        <v>1217.5573388632245</v>
      </c>
      <c r="L331">
        <f>IF($J331&gt;MAX('Match Log'!$A$4:$A$1510),NA(),IFERROR(LOOKUP(2,1/(('Match Log'!$D$4:$D$1510=$L$24)*('Match Log'!$A$4:$A$1510&lt;=$J331)),'Match Log'!$N$4:$N$1510),NA()))</f>
        <v>1029.5175965335138</v>
      </c>
      <c r="M331">
        <f>IF($J331&gt;MAX('Match Log'!$A$4:$A$1510),NA(),IFERROR(LOOKUP(2,1/(('Match Log'!$D$4:$D$1510=$M$24)*('Match Log'!$A$4:$A$1510&lt;=$J331)),'Match Log'!$N$4:$N$1510),NA()))</f>
        <v>1062.953806715856</v>
      </c>
      <c r="N331">
        <f>IF($J331&gt;MAX('Match Log'!$A$4:$A$1510),NA(),IFERROR(LOOKUP(2,1/(('Match Log'!$D$4:$D$1510=$N$24)*('Match Log'!$A$4:$A$1510&lt;=$J331)),'Match Log'!$N$4:$N$1510),NA()))</f>
        <v>907.03133644117429</v>
      </c>
      <c r="O331">
        <f>IF($J331&gt;MAX('Match Log'!$A$4:$A$1510),NA(),IFERROR(LOOKUP(2,1/(('Match Log'!$D$4:$D$1510=$O$24)*('Match Log'!$A$4:$A$1510&lt;=$J331)),'Match Log'!$N$4:$N$1510),NA()))</f>
        <v>1233.497020705217</v>
      </c>
      <c r="P331">
        <f>IF($J331&gt;MAX('Match Log'!$A$4:$A$1510),NA(),IFERROR(LOOKUP(2,1/(('Match Log'!$D$4:$D$1510=$P$24)*('Match Log'!$A$4:$A$1510&lt;=$J331)),'Match Log'!$N$4:$N$1510),NA()))</f>
        <v>1151.1286422292076</v>
      </c>
      <c r="Q331">
        <f>IF($J331&gt;MAX('Match Log'!$A$4:$A$1510),NA(),IFERROR(LOOKUP(2,1/(('Match Log'!$D$4:$D$1510=$Q$24)*('Match Log'!$A$4:$A$1510&lt;=$J331)),'Match Log'!$N$4:$N$1510),NA()))</f>
        <v>1215.996181687143</v>
      </c>
      <c r="R331">
        <f>IF($J331&gt;MAX('Match Log'!$A$4:$A$1510),NA(),IFERROR(LOOKUP(2,1/(('Match Log'!$D$4:$D$1510=$R$24)*('Match Log'!$A$4:$A$1510&lt;=$J331)),'Match Log'!$N$4:$N$1510),NA()))</f>
        <v>1180.164112777554</v>
      </c>
      <c r="S331">
        <f>IF($J331&gt;MAX('Match Log'!$A$4:$A$1510),NA(),IFERROR(LOOKUP(2,1/(('Match Log'!$D$4:$D$1510=$S$24)*('Match Log'!$A$4:$A$1510&lt;=$J331)),'Match Log'!$N$4:$N$1510),NA()))</f>
        <v>1217.9015417269482</v>
      </c>
      <c r="T331">
        <f>IF($J331&gt;MAX('Match Log'!$A$4:$A$1510),NA(),IFERROR(LOOKUP(2,1/(('Match Log'!$D$4:$D$1510=$T$24)*('Match Log'!$A$4:$A$1510&lt;=$J331)),'Match Log'!$N$4:$N$1510),NA()))</f>
        <v>862.22294373677494</v>
      </c>
      <c r="U331">
        <f>IF($J331&gt;MAX('Match Log'!$A$4:$A$1510),NA(),IFERROR(LOOKUP(2,1/(('Match Log'!$D$4:$D$1510=$U$24)*('Match Log'!$A$4:$A$1510&lt;=$J331)),'Match Log'!$N$4:$N$1510),NA()))</f>
        <v>968.26132335618615</v>
      </c>
      <c r="V331">
        <f>IF($J331&gt;MAX('Match Log'!$A$4:$A$1510),NA(),IFERROR(LOOKUP(2,1/(('Match Log'!$D$4:$D$1510=$V$24)*('Match Log'!$A$4:$A$1510&lt;=$J331)),'Match Log'!$N$4:$N$1510),NA()))</f>
        <v>1087.5488947064855</v>
      </c>
      <c r="W331">
        <f>IF($J331&gt;MAX('Match Log'!$A$4:$A$1510),NA(),IFERROR(LOOKUP(2,1/(('Match Log'!$D$4:$D$1510=$W$24)*('Match Log'!$A$4:$A$1510&lt;=$J331)),'Match Log'!$N$4:$N$1510),NA()))</f>
        <v>1023.2192605207141</v>
      </c>
      <c r="X331" t="e">
        <f>IF($J331&gt;MAX('Match Log'!$A$4:$A$1510),NA(),IFERROR(LOOKUP(2,1/(('Match Log'!$D$4:$D$1510=$X$24)*('Match Log'!$A$4:$A$1510&lt;=$J331)),'Match Log'!$N$4:$N$1510),NA()))</f>
        <v>#N/A</v>
      </c>
      <c r="Y331" t="str">
        <f t="shared" ca="1" si="31"/>
        <v/>
      </c>
    </row>
    <row r="332" spans="1:25" x14ac:dyDescent="0.2">
      <c r="A332">
        <v>308</v>
      </c>
      <c r="B332">
        <f>IFERROR(INDEX('Match Log'!$B$4:$B$1510,MATCH($A332,'Match Log'!$A$4:$A$1510,0)),"")</f>
        <v>46297</v>
      </c>
      <c r="C332" t="str">
        <f>IFERROR(INDEX('Match Log'!$C$4:$C$1510,MATCH($A332,'Match Log'!$A$4:$A$1510,0)),"")</f>
        <v>Mario Golf</v>
      </c>
      <c r="D332" t="str">
        <f t="array" ref="D332">IFERROR(_xlfn.TEXTJOIN(" + ",TRUE(),IF(('Match Log'!$A$4:$A$1510=$A332)*('Match Log'!$E$4:$E$1510="Win"),'Match Log'!$D$4:$D$1510,"")),IFERROR(LOOKUP(2,1/(('Match Log'!$A$4:$A$1510=$A332)*('Match Log'!$E$4:$E$1510="Win")),'Match Log'!$D$4:$D$1510),""))</f>
        <v>Daniel (Ferret)</v>
      </c>
      <c r="E332">
        <f>IFERROR(INDEX('Match Log'!$F$4:$F$1510,MATCH($A332,'Match Log'!$A$4:$A$1510,0)),"")</f>
        <v>3</v>
      </c>
      <c r="F332">
        <f>IFERROR(SUMIFS('Match Log'!$I$4:$I$1510,'Match Log'!$A$4:$A$1510,$A332,'Match Log'!$E$4:$E$1510,"Win"),"")</f>
        <v>0.45532157085941949</v>
      </c>
      <c r="G332">
        <f t="shared" si="29"/>
        <v>-0.36596471257825858</v>
      </c>
      <c r="H332" t="str">
        <f t="array" ref="H332">IFERROR(IF(COUNTIFS('Match Log'!$A$4:$A$1510,$A332,'Match Log'!$E$4:$E$1510,"Win")&gt;1,_xlfn.TEXTJOIN(" + ",TRUE(),IF(('Match Log'!$A$4:$A$1510=$A332)*('Match Log'!$E$4:$E$1510="Loss"),'Match Log'!$D$4:$D$1510,"")),IF($E332=2,LOOKUP(2,1/(('Match Log'!$A$4:$A$1510=$A332)*('Match Log'!$E$4:$E$1510="Loss")),'Match Log'!$D$4:$D$1510),"the field")),"")</f>
        <v>the field</v>
      </c>
      <c r="I332">
        <f t="shared" si="30"/>
        <v>-0.36627271257825855</v>
      </c>
      <c r="J332">
        <v>308</v>
      </c>
      <c r="K332">
        <f>IF($J332&gt;MAX('Match Log'!$A$4:$A$1510),NA(),IFERROR(LOOKUP(2,1/(('Match Log'!$D$4:$D$1510=$K$24)*('Match Log'!$A$4:$A$1510&lt;=$J332)),'Match Log'!$N$4:$N$1510),NA()))</f>
        <v>1212.9807460185732</v>
      </c>
      <c r="L332">
        <f>IF($J332&gt;MAX('Match Log'!$A$4:$A$1510),NA(),IFERROR(LOOKUP(2,1/(('Match Log'!$D$4:$D$1510=$L$24)*('Match Log'!$A$4:$A$1510&lt;=$J332)),'Match Log'!$N$4:$N$1510),NA()))</f>
        <v>1029.5175965335138</v>
      </c>
      <c r="M332">
        <f>IF($J332&gt;MAX('Match Log'!$A$4:$A$1510),NA(),IFERROR(LOOKUP(2,1/(('Match Log'!$D$4:$D$1510=$M$24)*('Match Log'!$A$4:$A$1510&lt;=$J332)),'Match Log'!$N$4:$N$1510),NA()))</f>
        <v>1062.953806715856</v>
      </c>
      <c r="N332">
        <f>IF($J332&gt;MAX('Match Log'!$A$4:$A$1510),NA(),IFERROR(LOOKUP(2,1/(('Match Log'!$D$4:$D$1510=$N$24)*('Match Log'!$A$4:$A$1510&lt;=$J332)),'Match Log'!$N$4:$N$1510),NA()))</f>
        <v>907.03133644117429</v>
      </c>
      <c r="O332">
        <f>IF($J332&gt;MAX('Match Log'!$A$4:$A$1510),NA(),IFERROR(LOOKUP(2,1/(('Match Log'!$D$4:$D$1510=$O$24)*('Match Log'!$A$4:$A$1510&lt;=$J332)),'Match Log'!$N$4:$N$1510),NA()))</f>
        <v>1233.497020705217</v>
      </c>
      <c r="P332">
        <f>IF($J332&gt;MAX('Match Log'!$A$4:$A$1510),NA(),IFERROR(LOOKUP(2,1/(('Match Log'!$D$4:$D$1510=$P$24)*('Match Log'!$A$4:$A$1510&lt;=$J332)),'Match Log'!$N$4:$N$1510),NA()))</f>
        <v>1145.1160193609614</v>
      </c>
      <c r="Q332">
        <f>IF($J332&gt;MAX('Match Log'!$A$4:$A$1510),NA(),IFERROR(LOOKUP(2,1/(('Match Log'!$D$4:$D$1510=$Q$24)*('Match Log'!$A$4:$A$1510&lt;=$J332)),'Match Log'!$N$4:$N$1510),NA()))</f>
        <v>1215.996181687143</v>
      </c>
      <c r="R332">
        <f>IF($J332&gt;MAX('Match Log'!$A$4:$A$1510),NA(),IFERROR(LOOKUP(2,1/(('Match Log'!$D$4:$D$1510=$R$24)*('Match Log'!$A$4:$A$1510&lt;=$J332)),'Match Log'!$N$4:$N$1510),NA()))</f>
        <v>1199.7533284904514</v>
      </c>
      <c r="S332">
        <f>IF($J332&gt;MAX('Match Log'!$A$4:$A$1510),NA(),IFERROR(LOOKUP(2,1/(('Match Log'!$D$4:$D$1510=$S$24)*('Match Log'!$A$4:$A$1510&lt;=$J332)),'Match Log'!$N$4:$N$1510),NA()))</f>
        <v>1217.9015417269482</v>
      </c>
      <c r="T332">
        <f>IF($J332&gt;MAX('Match Log'!$A$4:$A$1510),NA(),IFERROR(LOOKUP(2,1/(('Match Log'!$D$4:$D$1510=$T$24)*('Match Log'!$A$4:$A$1510&lt;=$J332)),'Match Log'!$N$4:$N$1510),NA()))</f>
        <v>862.22294373677494</v>
      </c>
      <c r="U332">
        <f>IF($J332&gt;MAX('Match Log'!$A$4:$A$1510),NA(),IFERROR(LOOKUP(2,1/(('Match Log'!$D$4:$D$1510=$U$24)*('Match Log'!$A$4:$A$1510&lt;=$J332)),'Match Log'!$N$4:$N$1510),NA()))</f>
        <v>968.26132335618615</v>
      </c>
      <c r="V332">
        <f>IF($J332&gt;MAX('Match Log'!$A$4:$A$1510),NA(),IFERROR(LOOKUP(2,1/(('Match Log'!$D$4:$D$1510=$V$24)*('Match Log'!$A$4:$A$1510&lt;=$J332)),'Match Log'!$N$4:$N$1510),NA()))</f>
        <v>1087.5488947064855</v>
      </c>
      <c r="W332">
        <f>IF($J332&gt;MAX('Match Log'!$A$4:$A$1510),NA(),IFERROR(LOOKUP(2,1/(('Match Log'!$D$4:$D$1510=$W$24)*('Match Log'!$A$4:$A$1510&lt;=$J332)),'Match Log'!$N$4:$N$1510),NA()))</f>
        <v>1023.2192605207141</v>
      </c>
      <c r="X332" t="e">
        <f>IF($J332&gt;MAX('Match Log'!$A$4:$A$1510),NA(),IFERROR(LOOKUP(2,1/(('Match Log'!$D$4:$D$1510=$X$24)*('Match Log'!$A$4:$A$1510&lt;=$J332)),'Match Log'!$N$4:$N$1510),NA()))</f>
        <v>#N/A</v>
      </c>
      <c r="Y332" t="str">
        <f t="shared" ca="1" si="31"/>
        <v/>
      </c>
    </row>
    <row r="333" spans="1:25" x14ac:dyDescent="0.2">
      <c r="A333">
        <v>309</v>
      </c>
      <c r="B333">
        <f>IFERROR(INDEX('Match Log'!$B$4:$B$1510,MATCH($A333,'Match Log'!$A$4:$A$1510,0)),"")</f>
        <v>46297</v>
      </c>
      <c r="C333" t="str">
        <f>IFERROR(INDEX('Match Log'!$C$4:$C$1510,MATCH($A333,'Match Log'!$A$4:$A$1510,0)),"")</f>
        <v>Mario Golf</v>
      </c>
      <c r="D333" t="str">
        <f t="array" ref="D333">IFERROR(_xlfn.TEXTJOIN(" + ",TRUE(),IF(('Match Log'!$A$4:$A$1510=$A333)*('Match Log'!$E$4:$E$1510="Win"),'Match Log'!$D$4:$D$1510,"")),IFERROR(LOOKUP(2,1/(('Match Log'!$A$4:$A$1510=$A333)*('Match Log'!$E$4:$E$1510="Win")),'Match Log'!$D$4:$D$1510),""))</f>
        <v>Shawn</v>
      </c>
      <c r="E333">
        <f>IFERROR(INDEX('Match Log'!$F$4:$F$1510,MATCH($A333,'Match Log'!$A$4:$A$1510,0)),"")</f>
        <v>4</v>
      </c>
      <c r="F333">
        <f>IFERROR(SUMIFS('Match Log'!$I$4:$I$1510,'Match Log'!$A$4:$A$1510,$A333,'Match Log'!$E$4:$E$1510,"Win"),"")</f>
        <v>0.25513428120063192</v>
      </c>
      <c r="G333">
        <f t="shared" si="29"/>
        <v>-2.0537124802527673E-2</v>
      </c>
      <c r="H333" t="str">
        <f t="array" ref="H333">IFERROR(IF(COUNTIFS('Match Log'!$A$4:$A$1510,$A333,'Match Log'!$E$4:$E$1510,"Win")&gt;1,_xlfn.TEXTJOIN(" + ",TRUE(),IF(('Match Log'!$A$4:$A$1510=$A333)*('Match Log'!$E$4:$E$1510="Loss"),'Match Log'!$D$4:$D$1510,"")),IF($E333=2,LOOKUP(2,1/(('Match Log'!$A$4:$A$1510=$A333)*('Match Log'!$E$4:$E$1510="Loss")),'Match Log'!$D$4:$D$1510),"the field")),"")</f>
        <v>the field</v>
      </c>
      <c r="I333">
        <f t="shared" si="30"/>
        <v>-2.0846124802527673E-2</v>
      </c>
      <c r="J333">
        <v>309</v>
      </c>
      <c r="K333">
        <f>IF($J333&gt;MAX('Match Log'!$A$4:$A$1510),NA(),IFERROR(LOOKUP(2,1/(('Match Log'!$D$4:$D$1510=$K$24)*('Match Log'!$A$4:$A$1510&lt;=$J333)),'Match Log'!$N$4:$N$1510),NA()))</f>
        <v>1209.6766156390552</v>
      </c>
      <c r="L333">
        <f>IF($J333&gt;MAX('Match Log'!$A$4:$A$1510),NA(),IFERROR(LOOKUP(2,1/(('Match Log'!$D$4:$D$1510=$L$24)*('Match Log'!$A$4:$A$1510&lt;=$J333)),'Match Log'!$N$4:$N$1510),NA()))</f>
        <v>1029.5175965335138</v>
      </c>
      <c r="M333">
        <f>IF($J333&gt;MAX('Match Log'!$A$4:$A$1510),NA(),IFERROR(LOOKUP(2,1/(('Match Log'!$D$4:$D$1510=$M$24)*('Match Log'!$A$4:$A$1510&lt;=$J333)),'Match Log'!$N$4:$N$1510),NA()))</f>
        <v>1057.3987939752174</v>
      </c>
      <c r="N333">
        <f>IF($J333&gt;MAX('Match Log'!$A$4:$A$1510),NA(),IFERROR(LOOKUP(2,1/(('Match Log'!$D$4:$D$1510=$N$24)*('Match Log'!$A$4:$A$1510&lt;=$J333)),'Match Log'!$N$4:$N$1510),NA()))</f>
        <v>907.03133644117429</v>
      </c>
      <c r="O333">
        <f>IF($J333&gt;MAX('Match Log'!$A$4:$A$1510),NA(),IFERROR(LOOKUP(2,1/(('Match Log'!$D$4:$D$1510=$O$24)*('Match Log'!$A$4:$A$1510&lt;=$J333)),'Match Log'!$N$4:$N$1510),NA()))</f>
        <v>1233.497020705217</v>
      </c>
      <c r="P333">
        <f>IF($J333&gt;MAX('Match Log'!$A$4:$A$1510),NA(),IFERROR(LOOKUP(2,1/(('Match Log'!$D$4:$D$1510=$P$24)*('Match Log'!$A$4:$A$1510&lt;=$J333)),'Match Log'!$N$4:$N$1510),NA()))</f>
        <v>1177.7567159478808</v>
      </c>
      <c r="Q333">
        <f>IF($J333&gt;MAX('Match Log'!$A$4:$A$1510),NA(),IFERROR(LOOKUP(2,1/(('Match Log'!$D$4:$D$1510=$Q$24)*('Match Log'!$A$4:$A$1510&lt;=$J333)),'Match Log'!$N$4:$N$1510),NA()))</f>
        <v>1215.996181687143</v>
      </c>
      <c r="R333">
        <f>IF($J333&gt;MAX('Match Log'!$A$4:$A$1510),NA(),IFERROR(LOOKUP(2,1/(('Match Log'!$D$4:$D$1510=$R$24)*('Match Log'!$A$4:$A$1510&lt;=$J333)),'Match Log'!$N$4:$N$1510),NA()))</f>
        <v>1191.9717750236887</v>
      </c>
      <c r="S333">
        <f>IF($J333&gt;MAX('Match Log'!$A$4:$A$1510),NA(),IFERROR(LOOKUP(2,1/(('Match Log'!$D$4:$D$1510=$S$24)*('Match Log'!$A$4:$A$1510&lt;=$J333)),'Match Log'!$N$4:$N$1510),NA()))</f>
        <v>1217.9015417269482</v>
      </c>
      <c r="T333">
        <f>IF($J333&gt;MAX('Match Log'!$A$4:$A$1510),NA(),IFERROR(LOOKUP(2,1/(('Match Log'!$D$4:$D$1510=$T$24)*('Match Log'!$A$4:$A$1510&lt;=$J333)),'Match Log'!$N$4:$N$1510),NA()))</f>
        <v>862.22294373677494</v>
      </c>
      <c r="U333">
        <f>IF($J333&gt;MAX('Match Log'!$A$4:$A$1510),NA(),IFERROR(LOOKUP(2,1/(('Match Log'!$D$4:$D$1510=$U$24)*('Match Log'!$A$4:$A$1510&lt;=$J333)),'Match Log'!$N$4:$N$1510),NA()))</f>
        <v>968.26132335618615</v>
      </c>
      <c r="V333">
        <f>IF($J333&gt;MAX('Match Log'!$A$4:$A$1510),NA(),IFERROR(LOOKUP(2,1/(('Match Log'!$D$4:$D$1510=$V$24)*('Match Log'!$A$4:$A$1510&lt;=$J333)),'Match Log'!$N$4:$N$1510),NA()))</f>
        <v>1087.5488947064855</v>
      </c>
      <c r="W333">
        <f>IF($J333&gt;MAX('Match Log'!$A$4:$A$1510),NA(),IFERROR(LOOKUP(2,1/(('Match Log'!$D$4:$D$1510=$W$24)*('Match Log'!$A$4:$A$1510&lt;=$J333)),'Match Log'!$N$4:$N$1510),NA()))</f>
        <v>1023.2192605207141</v>
      </c>
      <c r="X333" t="e">
        <f>IF($J333&gt;MAX('Match Log'!$A$4:$A$1510),NA(),IFERROR(LOOKUP(2,1/(('Match Log'!$D$4:$D$1510=$X$24)*('Match Log'!$A$4:$A$1510&lt;=$J333)),'Match Log'!$N$4:$N$1510),NA()))</f>
        <v>#N/A</v>
      </c>
      <c r="Y333" t="str">
        <f t="shared" ca="1" si="31"/>
        <v/>
      </c>
    </row>
    <row r="334" spans="1:25" x14ac:dyDescent="0.2">
      <c r="A334">
        <v>310</v>
      </c>
      <c r="B334">
        <f>IFERROR(INDEX('Match Log'!$B$4:$B$1510,MATCH($A334,'Match Log'!$A$4:$A$1510,0)),"")</f>
        <v>46297</v>
      </c>
      <c r="C334" t="str">
        <f>IFERROR(INDEX('Match Log'!$C$4:$C$1510,MATCH($A334,'Match Log'!$A$4:$A$1510,0)),"")</f>
        <v>Mario Golf</v>
      </c>
      <c r="D334" t="str">
        <f t="array" ref="D334">IFERROR(_xlfn.TEXTJOIN(" + ",TRUE(),IF(('Match Log'!$A$4:$A$1510=$A334)*('Match Log'!$E$4:$E$1510="Win"),'Match Log'!$D$4:$D$1510,"")),IFERROR(LOOKUP(2,1/(('Match Log'!$A$4:$A$1510=$A334)*('Match Log'!$E$4:$E$1510="Win")),'Match Log'!$D$4:$D$1510),""))</f>
        <v>Shawn</v>
      </c>
      <c r="E334">
        <f>IFERROR(INDEX('Match Log'!$F$4:$F$1510,MATCH($A334,'Match Log'!$A$4:$A$1510,0)),"")</f>
        <v>3</v>
      </c>
      <c r="F334">
        <f>IFERROR(SUMIFS('Match Log'!$I$4:$I$1510,'Match Log'!$A$4:$A$1510,$A334,'Match Log'!$E$4:$E$1510,"Win"),"")</f>
        <v>0.31108597285067874</v>
      </c>
      <c r="G334">
        <f t="shared" si="29"/>
        <v>6.6742081447963786E-2</v>
      </c>
      <c r="H334" t="str">
        <f t="array" ref="H334">IFERROR(IF(COUNTIFS('Match Log'!$A$4:$A$1510,$A334,'Match Log'!$E$4:$E$1510,"Win")&gt;1,_xlfn.TEXTJOIN(" + ",TRUE(),IF(('Match Log'!$A$4:$A$1510=$A334)*('Match Log'!$E$4:$E$1510="Loss"),'Match Log'!$D$4:$D$1510,"")),IF($E334=2,LOOKUP(2,1/(('Match Log'!$A$4:$A$1510=$A334)*('Match Log'!$E$4:$E$1510="Loss")),'Match Log'!$D$4:$D$1510),"the field")),"")</f>
        <v>the field</v>
      </c>
      <c r="I334">
        <f t="shared" si="30"/>
        <v>6.6432081447963781E-2</v>
      </c>
      <c r="J334">
        <v>310</v>
      </c>
      <c r="K334">
        <f>IF($J334&gt;MAX('Match Log'!$A$4:$A$1510),NA(),IFERROR(LOOKUP(2,1/(('Match Log'!$D$4:$D$1510=$K$24)*('Match Log'!$A$4:$A$1510&lt;=$J334)),'Match Log'!$N$4:$N$1510),NA()))</f>
        <v>1209.6766156390552</v>
      </c>
      <c r="L334">
        <f>IF($J334&gt;MAX('Match Log'!$A$4:$A$1510),NA(),IFERROR(LOOKUP(2,1/(('Match Log'!$D$4:$D$1510=$L$24)*('Match Log'!$A$4:$A$1510&lt;=$J334)),'Match Log'!$N$4:$N$1510),NA()))</f>
        <v>1029.5175965335138</v>
      </c>
      <c r="M334">
        <f>IF($J334&gt;MAX('Match Log'!$A$4:$A$1510),NA(),IFERROR(LOOKUP(2,1/(('Match Log'!$D$4:$D$1510=$M$24)*('Match Log'!$A$4:$A$1510&lt;=$J334)),'Match Log'!$N$4:$N$1510),NA()))</f>
        <v>1048.0761030598392</v>
      </c>
      <c r="N334">
        <f>IF($J334&gt;MAX('Match Log'!$A$4:$A$1510),NA(),IFERROR(LOOKUP(2,1/(('Match Log'!$D$4:$D$1510=$N$24)*('Match Log'!$A$4:$A$1510&lt;=$J334)),'Match Log'!$N$4:$N$1510),NA()))</f>
        <v>907.03133644117429</v>
      </c>
      <c r="O334">
        <f>IF($J334&gt;MAX('Match Log'!$A$4:$A$1510),NA(),IFERROR(LOOKUP(2,1/(('Match Log'!$D$4:$D$1510=$O$24)*('Match Log'!$A$4:$A$1510&lt;=$J334)),'Match Log'!$N$4:$N$1510),NA()))</f>
        <v>1233.497020705217</v>
      </c>
      <c r="P334">
        <f>IF($J334&gt;MAX('Match Log'!$A$4:$A$1510),NA(),IFERROR(LOOKUP(2,1/(('Match Log'!$D$4:$D$1510=$P$24)*('Match Log'!$A$4:$A$1510&lt;=$J334)),'Match Log'!$N$4:$N$1510),NA()))</f>
        <v>1208.7926052708049</v>
      </c>
      <c r="Q334">
        <f>IF($J334&gt;MAX('Match Log'!$A$4:$A$1510),NA(),IFERROR(LOOKUP(2,1/(('Match Log'!$D$4:$D$1510=$Q$24)*('Match Log'!$A$4:$A$1510&lt;=$J334)),'Match Log'!$N$4:$N$1510),NA()))</f>
        <v>1215.996181687143</v>
      </c>
      <c r="R334">
        <f>IF($J334&gt;MAX('Match Log'!$A$4:$A$1510),NA(),IFERROR(LOOKUP(2,1/(('Match Log'!$D$4:$D$1510=$R$24)*('Match Log'!$A$4:$A$1510&lt;=$J334)),'Match Log'!$N$4:$N$1510),NA()))</f>
        <v>1179.2585766161428</v>
      </c>
      <c r="S334">
        <f>IF($J334&gt;MAX('Match Log'!$A$4:$A$1510),NA(),IFERROR(LOOKUP(2,1/(('Match Log'!$D$4:$D$1510=$S$24)*('Match Log'!$A$4:$A$1510&lt;=$J334)),'Match Log'!$N$4:$N$1510),NA()))</f>
        <v>1217.9015417269482</v>
      </c>
      <c r="T334">
        <f>IF($J334&gt;MAX('Match Log'!$A$4:$A$1510),NA(),IFERROR(LOOKUP(2,1/(('Match Log'!$D$4:$D$1510=$T$24)*('Match Log'!$A$4:$A$1510&lt;=$J334)),'Match Log'!$N$4:$N$1510),NA()))</f>
        <v>862.22294373677494</v>
      </c>
      <c r="U334">
        <f>IF($J334&gt;MAX('Match Log'!$A$4:$A$1510),NA(),IFERROR(LOOKUP(2,1/(('Match Log'!$D$4:$D$1510=$U$24)*('Match Log'!$A$4:$A$1510&lt;=$J334)),'Match Log'!$N$4:$N$1510),NA()))</f>
        <v>968.26132335618615</v>
      </c>
      <c r="V334">
        <f>IF($J334&gt;MAX('Match Log'!$A$4:$A$1510),NA(),IFERROR(LOOKUP(2,1/(('Match Log'!$D$4:$D$1510=$V$24)*('Match Log'!$A$4:$A$1510&lt;=$J334)),'Match Log'!$N$4:$N$1510),NA()))</f>
        <v>1087.5488947064855</v>
      </c>
      <c r="W334">
        <f>IF($J334&gt;MAX('Match Log'!$A$4:$A$1510),NA(),IFERROR(LOOKUP(2,1/(('Match Log'!$D$4:$D$1510=$W$24)*('Match Log'!$A$4:$A$1510&lt;=$J334)),'Match Log'!$N$4:$N$1510),NA()))</f>
        <v>1023.2192605207141</v>
      </c>
      <c r="X334" t="e">
        <f>IF($J334&gt;MAX('Match Log'!$A$4:$A$1510),NA(),IFERROR(LOOKUP(2,1/(('Match Log'!$D$4:$D$1510=$X$24)*('Match Log'!$A$4:$A$1510&lt;=$J334)),'Match Log'!$N$4:$N$1510),NA()))</f>
        <v>#N/A</v>
      </c>
      <c r="Y334" t="str">
        <f t="shared" ca="1" si="31"/>
        <v/>
      </c>
    </row>
    <row r="335" spans="1:25" x14ac:dyDescent="0.2">
      <c r="A335">
        <v>311</v>
      </c>
      <c r="B335">
        <f>IFERROR(INDEX('Match Log'!$B$4:$B$1510,MATCH($A335,'Match Log'!$A$4:$A$1510,0)),"")</f>
        <v>46297</v>
      </c>
      <c r="C335" t="str">
        <f>IFERROR(INDEX('Match Log'!$C$4:$C$1510,MATCH($A335,'Match Log'!$A$4:$A$1510,0)),"")</f>
        <v>Mario Golf</v>
      </c>
      <c r="D335" t="str">
        <f t="array" ref="D335">IFERROR(_xlfn.TEXTJOIN(" + ",TRUE(),IF(('Match Log'!$A$4:$A$1510=$A335)*('Match Log'!$E$4:$E$1510="Win"),'Match Log'!$D$4:$D$1510,"")),IFERROR(LOOKUP(2,1/(('Match Log'!$A$4:$A$1510=$A335)*('Match Log'!$E$4:$E$1510="Win")),'Match Log'!$D$4:$D$1510),""))</f>
        <v>Shawn</v>
      </c>
      <c r="E335">
        <f>IFERROR(INDEX('Match Log'!$F$4:$F$1510,MATCH($A335,'Match Log'!$A$4:$A$1510,0)),"")</f>
        <v>2</v>
      </c>
      <c r="F335">
        <f>IFERROR(SUMIFS('Match Log'!$I$4:$I$1510,'Match Log'!$A$4:$A$1510,$A335,'Match Log'!$E$4:$E$1510,"Win"),"")</f>
        <v>0.4556962025316455</v>
      </c>
      <c r="G335">
        <f t="shared" si="29"/>
        <v>8.8607594936709E-2</v>
      </c>
      <c r="H335" t="str">
        <f t="array" ref="H335">IFERROR(IF(COUNTIFS('Match Log'!$A$4:$A$1510,$A335,'Match Log'!$E$4:$E$1510,"Win")&gt;1,_xlfn.TEXTJOIN(" + ",TRUE(),IF(('Match Log'!$A$4:$A$1510=$A335)*('Match Log'!$E$4:$E$1510="Loss"),'Match Log'!$D$4:$D$1510,"")),IF($E335=2,LOOKUP(2,1/(('Match Log'!$A$4:$A$1510=$A335)*('Match Log'!$E$4:$E$1510="Loss")),'Match Log'!$D$4:$D$1510),"the field")),"")</f>
        <v>Daniel (Ferret)</v>
      </c>
      <c r="I335">
        <f t="shared" si="30"/>
        <v>8.8296594936708994E-2</v>
      </c>
      <c r="J335">
        <v>311</v>
      </c>
      <c r="K335">
        <f>IF($J335&gt;MAX('Match Log'!$A$4:$A$1510),NA(),IFERROR(LOOKUP(2,1/(('Match Log'!$D$4:$D$1510=$K$24)*('Match Log'!$A$4:$A$1510&lt;=$J335)),'Match Log'!$N$4:$N$1510),NA()))</f>
        <v>1209.6766156390552</v>
      </c>
      <c r="L335">
        <f>IF($J335&gt;MAX('Match Log'!$A$4:$A$1510),NA(),IFERROR(LOOKUP(2,1/(('Match Log'!$D$4:$D$1510=$L$24)*('Match Log'!$A$4:$A$1510&lt;=$J335)),'Match Log'!$N$4:$N$1510),NA()))</f>
        <v>1029.5175965335138</v>
      </c>
      <c r="M335">
        <f>IF($J335&gt;MAX('Match Log'!$A$4:$A$1510),NA(),IFERROR(LOOKUP(2,1/(('Match Log'!$D$4:$D$1510=$M$24)*('Match Log'!$A$4:$A$1510&lt;=$J335)),'Match Log'!$N$4:$N$1510),NA()))</f>
        <v>1048.0761030598392</v>
      </c>
      <c r="N335">
        <f>IF($J335&gt;MAX('Match Log'!$A$4:$A$1510),NA(),IFERROR(LOOKUP(2,1/(('Match Log'!$D$4:$D$1510=$N$24)*('Match Log'!$A$4:$A$1510&lt;=$J335)),'Match Log'!$N$4:$N$1510),NA()))</f>
        <v>907.03133644117429</v>
      </c>
      <c r="O335">
        <f>IF($J335&gt;MAX('Match Log'!$A$4:$A$1510),NA(),IFERROR(LOOKUP(2,1/(('Match Log'!$D$4:$D$1510=$O$24)*('Match Log'!$A$4:$A$1510&lt;=$J335)),'Match Log'!$N$4:$N$1510),NA()))</f>
        <v>1233.497020705217</v>
      </c>
      <c r="P335">
        <f>IF($J335&gt;MAX('Match Log'!$A$4:$A$1510),NA(),IFERROR(LOOKUP(2,1/(('Match Log'!$D$4:$D$1510=$P$24)*('Match Log'!$A$4:$A$1510&lt;=$J335)),'Match Log'!$N$4:$N$1510),NA()))</f>
        <v>1236.0114059304362</v>
      </c>
      <c r="Q335">
        <f>IF($J335&gt;MAX('Match Log'!$A$4:$A$1510),NA(),IFERROR(LOOKUP(2,1/(('Match Log'!$D$4:$D$1510=$Q$24)*('Match Log'!$A$4:$A$1510&lt;=$J335)),'Match Log'!$N$4:$N$1510),NA()))</f>
        <v>1215.996181687143</v>
      </c>
      <c r="R335">
        <f>IF($J335&gt;MAX('Match Log'!$A$4:$A$1510),NA(),IFERROR(LOOKUP(2,1/(('Match Log'!$D$4:$D$1510=$R$24)*('Match Log'!$A$4:$A$1510&lt;=$J335)),'Match Log'!$N$4:$N$1510),NA()))</f>
        <v>1152.0397759565114</v>
      </c>
      <c r="S335">
        <f>IF($J335&gt;MAX('Match Log'!$A$4:$A$1510),NA(),IFERROR(LOOKUP(2,1/(('Match Log'!$D$4:$D$1510=$S$24)*('Match Log'!$A$4:$A$1510&lt;=$J335)),'Match Log'!$N$4:$N$1510),NA()))</f>
        <v>1217.9015417269482</v>
      </c>
      <c r="T335">
        <f>IF($J335&gt;MAX('Match Log'!$A$4:$A$1510),NA(),IFERROR(LOOKUP(2,1/(('Match Log'!$D$4:$D$1510=$T$24)*('Match Log'!$A$4:$A$1510&lt;=$J335)),'Match Log'!$N$4:$N$1510),NA()))</f>
        <v>862.22294373677494</v>
      </c>
      <c r="U335">
        <f>IF($J335&gt;MAX('Match Log'!$A$4:$A$1510),NA(),IFERROR(LOOKUP(2,1/(('Match Log'!$D$4:$D$1510=$U$24)*('Match Log'!$A$4:$A$1510&lt;=$J335)),'Match Log'!$N$4:$N$1510),NA()))</f>
        <v>968.26132335618615</v>
      </c>
      <c r="V335">
        <f>IF($J335&gt;MAX('Match Log'!$A$4:$A$1510),NA(),IFERROR(LOOKUP(2,1/(('Match Log'!$D$4:$D$1510=$V$24)*('Match Log'!$A$4:$A$1510&lt;=$J335)),'Match Log'!$N$4:$N$1510),NA()))</f>
        <v>1087.5488947064855</v>
      </c>
      <c r="W335">
        <f>IF($J335&gt;MAX('Match Log'!$A$4:$A$1510),NA(),IFERROR(LOOKUP(2,1/(('Match Log'!$D$4:$D$1510=$W$24)*('Match Log'!$A$4:$A$1510&lt;=$J335)),'Match Log'!$N$4:$N$1510),NA()))</f>
        <v>1023.2192605207141</v>
      </c>
      <c r="X335" t="e">
        <f>IF($J335&gt;MAX('Match Log'!$A$4:$A$1510),NA(),IFERROR(LOOKUP(2,1/(('Match Log'!$D$4:$D$1510=$X$24)*('Match Log'!$A$4:$A$1510&lt;=$J335)),'Match Log'!$N$4:$N$1510),NA()))</f>
        <v>#N/A</v>
      </c>
      <c r="Y335" t="str">
        <f t="shared" ca="1" si="31"/>
        <v/>
      </c>
    </row>
    <row r="336" spans="1:25" x14ac:dyDescent="0.2">
      <c r="A336">
        <v>312</v>
      </c>
      <c r="B336">
        <f>IFERROR(INDEX('Match Log'!$B$4:$B$1510,MATCH($A336,'Match Log'!$A$4:$A$1510,0)),"")</f>
        <v>46298</v>
      </c>
      <c r="C336" t="str">
        <f>IFERROR(INDEX('Match Log'!$C$4:$C$1510,MATCH($A336,'Match Log'!$A$4:$A$1510,0)),"")</f>
        <v>Mario Golf</v>
      </c>
      <c r="D336" t="str">
        <f t="array" ref="D336">IFERROR(_xlfn.TEXTJOIN(" + ",TRUE(),IF(('Match Log'!$A$4:$A$1510=$A336)*('Match Log'!$E$4:$E$1510="Win"),'Match Log'!$D$4:$D$1510,"")),IFERROR(LOOKUP(2,1/(('Match Log'!$A$4:$A$1510=$A336)*('Match Log'!$E$4:$E$1510="Win")),'Match Log'!$D$4:$D$1510),""))</f>
        <v>Daniel (Ferret)</v>
      </c>
      <c r="E336">
        <f>IFERROR(INDEX('Match Log'!$F$4:$F$1510,MATCH($A336,'Match Log'!$A$4:$A$1510,0)),"")</f>
        <v>2</v>
      </c>
      <c r="F336">
        <f>IFERROR(SUMIFS('Match Log'!$I$4:$I$1510,'Match Log'!$A$4:$A$1510,$A336,'Match Log'!$E$4:$E$1510,"Win"),"")</f>
        <v>0.53164556962025311</v>
      </c>
      <c r="G336">
        <f t="shared" si="29"/>
        <v>-6.3291139240506222E-2</v>
      </c>
      <c r="H336" t="str">
        <f t="array" ref="H336">IFERROR(IF(COUNTIFS('Match Log'!$A$4:$A$1510,$A336,'Match Log'!$E$4:$E$1510,"Win")&gt;1,_xlfn.TEXTJOIN(" + ",TRUE(),IF(('Match Log'!$A$4:$A$1510=$A336)*('Match Log'!$E$4:$E$1510="Loss"),'Match Log'!$D$4:$D$1510,"")),IF($E336=2,LOOKUP(2,1/(('Match Log'!$A$4:$A$1510=$A336)*('Match Log'!$E$4:$E$1510="Loss")),'Match Log'!$D$4:$D$1510),"the field")),"")</f>
        <v>Shawn</v>
      </c>
      <c r="I336">
        <f t="shared" si="30"/>
        <v>-6.3603139240506229E-2</v>
      </c>
      <c r="J336">
        <v>312</v>
      </c>
      <c r="K336">
        <f>IF($J336&gt;MAX('Match Log'!$A$4:$A$1510),NA(),IFERROR(LOOKUP(2,1/(('Match Log'!$D$4:$D$1510=$K$24)*('Match Log'!$A$4:$A$1510&lt;=$J336)),'Match Log'!$N$4:$N$1510),NA()))</f>
        <v>1209.6766156390552</v>
      </c>
      <c r="L336">
        <f>IF($J336&gt;MAX('Match Log'!$A$4:$A$1510),NA(),IFERROR(LOOKUP(2,1/(('Match Log'!$D$4:$D$1510=$L$24)*('Match Log'!$A$4:$A$1510&lt;=$J336)),'Match Log'!$N$4:$N$1510),NA()))</f>
        <v>1029.5175965335138</v>
      </c>
      <c r="M336">
        <f>IF($J336&gt;MAX('Match Log'!$A$4:$A$1510),NA(),IFERROR(LOOKUP(2,1/(('Match Log'!$D$4:$D$1510=$M$24)*('Match Log'!$A$4:$A$1510&lt;=$J336)),'Match Log'!$N$4:$N$1510),NA()))</f>
        <v>1048.0761030598392</v>
      </c>
      <c r="N336">
        <f>IF($J336&gt;MAX('Match Log'!$A$4:$A$1510),NA(),IFERROR(LOOKUP(2,1/(('Match Log'!$D$4:$D$1510=$N$24)*('Match Log'!$A$4:$A$1510&lt;=$J336)),'Match Log'!$N$4:$N$1510),NA()))</f>
        <v>907.03133644117429</v>
      </c>
      <c r="O336">
        <f>IF($J336&gt;MAX('Match Log'!$A$4:$A$1510),NA(),IFERROR(LOOKUP(2,1/(('Match Log'!$D$4:$D$1510=$O$24)*('Match Log'!$A$4:$A$1510&lt;=$J336)),'Match Log'!$N$4:$N$1510),NA()))</f>
        <v>1233.497020705217</v>
      </c>
      <c r="P336">
        <f>IF($J336&gt;MAX('Match Log'!$A$4:$A$1510),NA(),IFERROR(LOOKUP(2,1/(('Match Log'!$D$4:$D$1510=$P$24)*('Match Log'!$A$4:$A$1510&lt;=$J336)),'Match Log'!$N$4:$N$1510),NA()))</f>
        <v>1217.1785635365359</v>
      </c>
      <c r="Q336">
        <f>IF($J336&gt;MAX('Match Log'!$A$4:$A$1510),NA(),IFERROR(LOOKUP(2,1/(('Match Log'!$D$4:$D$1510=$Q$24)*('Match Log'!$A$4:$A$1510&lt;=$J336)),'Match Log'!$N$4:$N$1510),NA()))</f>
        <v>1215.996181687143</v>
      </c>
      <c r="R336">
        <f>IF($J336&gt;MAX('Match Log'!$A$4:$A$1510),NA(),IFERROR(LOOKUP(2,1/(('Match Log'!$D$4:$D$1510=$R$24)*('Match Log'!$A$4:$A$1510&lt;=$J336)),'Match Log'!$N$4:$N$1510),NA()))</f>
        <v>1170.872618350412</v>
      </c>
      <c r="S336">
        <f>IF($J336&gt;MAX('Match Log'!$A$4:$A$1510),NA(),IFERROR(LOOKUP(2,1/(('Match Log'!$D$4:$D$1510=$S$24)*('Match Log'!$A$4:$A$1510&lt;=$J336)),'Match Log'!$N$4:$N$1510),NA()))</f>
        <v>1217.9015417269482</v>
      </c>
      <c r="T336">
        <f>IF($J336&gt;MAX('Match Log'!$A$4:$A$1510),NA(),IFERROR(LOOKUP(2,1/(('Match Log'!$D$4:$D$1510=$T$24)*('Match Log'!$A$4:$A$1510&lt;=$J336)),'Match Log'!$N$4:$N$1510),NA()))</f>
        <v>862.22294373677494</v>
      </c>
      <c r="U336">
        <f>IF($J336&gt;MAX('Match Log'!$A$4:$A$1510),NA(),IFERROR(LOOKUP(2,1/(('Match Log'!$D$4:$D$1510=$U$24)*('Match Log'!$A$4:$A$1510&lt;=$J336)),'Match Log'!$N$4:$N$1510),NA()))</f>
        <v>968.26132335618615</v>
      </c>
      <c r="V336">
        <f>IF($J336&gt;MAX('Match Log'!$A$4:$A$1510),NA(),IFERROR(LOOKUP(2,1/(('Match Log'!$D$4:$D$1510=$V$24)*('Match Log'!$A$4:$A$1510&lt;=$J336)),'Match Log'!$N$4:$N$1510),NA()))</f>
        <v>1087.5488947064855</v>
      </c>
      <c r="W336">
        <f>IF($J336&gt;MAX('Match Log'!$A$4:$A$1510),NA(),IFERROR(LOOKUP(2,1/(('Match Log'!$D$4:$D$1510=$W$24)*('Match Log'!$A$4:$A$1510&lt;=$J336)),'Match Log'!$N$4:$N$1510),NA()))</f>
        <v>1023.2192605207141</v>
      </c>
      <c r="X336" t="e">
        <f>IF($J336&gt;MAX('Match Log'!$A$4:$A$1510),NA(),IFERROR(LOOKUP(2,1/(('Match Log'!$D$4:$D$1510=$X$24)*('Match Log'!$A$4:$A$1510&lt;=$J336)),'Match Log'!$N$4:$N$1510),NA()))</f>
        <v>#N/A</v>
      </c>
      <c r="Y336" t="str">
        <f t="shared" ca="1" si="31"/>
        <v/>
      </c>
    </row>
    <row r="337" spans="1:25" x14ac:dyDescent="0.2">
      <c r="A337">
        <v>313</v>
      </c>
      <c r="B337">
        <f>IFERROR(INDEX('Match Log'!$B$4:$B$1510,MATCH($A337,'Match Log'!$A$4:$A$1510,0)),"")</f>
        <v>46298</v>
      </c>
      <c r="C337" t="str">
        <f>IFERROR(INDEX('Match Log'!$C$4:$C$1510,MATCH($A337,'Match Log'!$A$4:$A$1510,0)),"")</f>
        <v>Mario Golf</v>
      </c>
      <c r="D337" t="str">
        <f t="array" ref="D337">IFERROR(_xlfn.TEXTJOIN(" + ",TRUE(),IF(('Match Log'!$A$4:$A$1510=$A337)*('Match Log'!$E$4:$E$1510="Win"),'Match Log'!$D$4:$D$1510,"")),IFERROR(LOOKUP(2,1/(('Match Log'!$A$4:$A$1510=$A337)*('Match Log'!$E$4:$E$1510="Win")),'Match Log'!$D$4:$D$1510),""))</f>
        <v>Daniel (Ferret)</v>
      </c>
      <c r="E337">
        <f>IFERROR(INDEX('Match Log'!$F$4:$F$1510,MATCH($A337,'Match Log'!$A$4:$A$1510,0)),"")</f>
        <v>2</v>
      </c>
      <c r="F337">
        <f>IFERROR(SUMIFS('Match Log'!$I$4:$I$1510,'Match Log'!$A$4:$A$1510,$A337,'Match Log'!$E$4:$E$1510,"Win"),"")</f>
        <v>0.54216867469879515</v>
      </c>
      <c r="G337">
        <f t="shared" si="29"/>
        <v>-8.43373493975903E-2</v>
      </c>
      <c r="H337" t="str">
        <f t="array" ref="H337">IFERROR(IF(COUNTIFS('Match Log'!$A$4:$A$1510,$A337,'Match Log'!$E$4:$E$1510,"Win")&gt;1,_xlfn.TEXTJOIN(" + ",TRUE(),IF(('Match Log'!$A$4:$A$1510=$A337)*('Match Log'!$E$4:$E$1510="Loss"),'Match Log'!$D$4:$D$1510,"")),IF($E337=2,LOOKUP(2,1/(('Match Log'!$A$4:$A$1510=$A337)*('Match Log'!$E$4:$E$1510="Loss")),'Match Log'!$D$4:$D$1510),"the field")),"")</f>
        <v>Shawn</v>
      </c>
      <c r="I337">
        <f t="shared" si="30"/>
        <v>-8.4650349397590294E-2</v>
      </c>
      <c r="J337">
        <v>313</v>
      </c>
      <c r="K337">
        <f>IF($J337&gt;MAX('Match Log'!$A$4:$A$1510),NA(),IFERROR(LOOKUP(2,1/(('Match Log'!$D$4:$D$1510=$K$24)*('Match Log'!$A$4:$A$1510&lt;=$J337)),'Match Log'!$N$4:$N$1510),NA()))</f>
        <v>1209.6766156390552</v>
      </c>
      <c r="L337">
        <f>IF($J337&gt;MAX('Match Log'!$A$4:$A$1510),NA(),IFERROR(LOOKUP(2,1/(('Match Log'!$D$4:$D$1510=$L$24)*('Match Log'!$A$4:$A$1510&lt;=$J337)),'Match Log'!$N$4:$N$1510),NA()))</f>
        <v>1029.5175965335138</v>
      </c>
      <c r="M337">
        <f>IF($J337&gt;MAX('Match Log'!$A$4:$A$1510),NA(),IFERROR(LOOKUP(2,1/(('Match Log'!$D$4:$D$1510=$M$24)*('Match Log'!$A$4:$A$1510&lt;=$J337)),'Match Log'!$N$4:$N$1510),NA()))</f>
        <v>1048.0761030598392</v>
      </c>
      <c r="N337">
        <f>IF($J337&gt;MAX('Match Log'!$A$4:$A$1510),NA(),IFERROR(LOOKUP(2,1/(('Match Log'!$D$4:$D$1510=$N$24)*('Match Log'!$A$4:$A$1510&lt;=$J337)),'Match Log'!$N$4:$N$1510),NA()))</f>
        <v>907.03133644117429</v>
      </c>
      <c r="O337">
        <f>IF($J337&gt;MAX('Match Log'!$A$4:$A$1510),NA(),IFERROR(LOOKUP(2,1/(('Match Log'!$D$4:$D$1510=$O$24)*('Match Log'!$A$4:$A$1510&lt;=$J337)),'Match Log'!$N$4:$N$1510),NA()))</f>
        <v>1233.497020705217</v>
      </c>
      <c r="P337">
        <f>IF($J337&gt;MAX('Match Log'!$A$4:$A$1510),NA(),IFERROR(LOOKUP(2,1/(('Match Log'!$D$4:$D$1510=$P$24)*('Match Log'!$A$4:$A$1510&lt;=$J337)),'Match Log'!$N$4:$N$1510),NA()))</f>
        <v>1199.6480360810826</v>
      </c>
      <c r="Q337">
        <f>IF($J337&gt;MAX('Match Log'!$A$4:$A$1510),NA(),IFERROR(LOOKUP(2,1/(('Match Log'!$D$4:$D$1510=$Q$24)*('Match Log'!$A$4:$A$1510&lt;=$J337)),'Match Log'!$N$4:$N$1510),NA()))</f>
        <v>1215.996181687143</v>
      </c>
      <c r="R337">
        <f>IF($J337&gt;MAX('Match Log'!$A$4:$A$1510),NA(),IFERROR(LOOKUP(2,1/(('Match Log'!$D$4:$D$1510=$R$24)*('Match Log'!$A$4:$A$1510&lt;=$J337)),'Match Log'!$N$4:$N$1510),NA()))</f>
        <v>1188.4031458058653</v>
      </c>
      <c r="S337">
        <f>IF($J337&gt;MAX('Match Log'!$A$4:$A$1510),NA(),IFERROR(LOOKUP(2,1/(('Match Log'!$D$4:$D$1510=$S$24)*('Match Log'!$A$4:$A$1510&lt;=$J337)),'Match Log'!$N$4:$N$1510),NA()))</f>
        <v>1217.9015417269482</v>
      </c>
      <c r="T337">
        <f>IF($J337&gt;MAX('Match Log'!$A$4:$A$1510),NA(),IFERROR(LOOKUP(2,1/(('Match Log'!$D$4:$D$1510=$T$24)*('Match Log'!$A$4:$A$1510&lt;=$J337)),'Match Log'!$N$4:$N$1510),NA()))</f>
        <v>862.22294373677494</v>
      </c>
      <c r="U337">
        <f>IF($J337&gt;MAX('Match Log'!$A$4:$A$1510),NA(),IFERROR(LOOKUP(2,1/(('Match Log'!$D$4:$D$1510=$U$24)*('Match Log'!$A$4:$A$1510&lt;=$J337)),'Match Log'!$N$4:$N$1510),NA()))</f>
        <v>968.26132335618615</v>
      </c>
      <c r="V337">
        <f>IF($J337&gt;MAX('Match Log'!$A$4:$A$1510),NA(),IFERROR(LOOKUP(2,1/(('Match Log'!$D$4:$D$1510=$V$24)*('Match Log'!$A$4:$A$1510&lt;=$J337)),'Match Log'!$N$4:$N$1510),NA()))</f>
        <v>1087.5488947064855</v>
      </c>
      <c r="W337">
        <f>IF($J337&gt;MAX('Match Log'!$A$4:$A$1510),NA(),IFERROR(LOOKUP(2,1/(('Match Log'!$D$4:$D$1510=$W$24)*('Match Log'!$A$4:$A$1510&lt;=$J337)),'Match Log'!$N$4:$N$1510),NA()))</f>
        <v>1023.2192605207141</v>
      </c>
      <c r="X337" t="e">
        <f>IF($J337&gt;MAX('Match Log'!$A$4:$A$1510),NA(),IFERROR(LOOKUP(2,1/(('Match Log'!$D$4:$D$1510=$X$24)*('Match Log'!$A$4:$A$1510&lt;=$J337)),'Match Log'!$N$4:$N$1510),NA()))</f>
        <v>#N/A</v>
      </c>
      <c r="Y337" t="str">
        <f t="shared" ca="1" si="31"/>
        <v/>
      </c>
    </row>
    <row r="338" spans="1:25" x14ac:dyDescent="0.2">
      <c r="A338">
        <v>314</v>
      </c>
      <c r="B338">
        <f>IFERROR(INDEX('Match Log'!$B$4:$B$1510,MATCH($A338,'Match Log'!$A$4:$A$1510,0)),"")</f>
        <v>46298</v>
      </c>
      <c r="C338" t="str">
        <f>IFERROR(INDEX('Match Log'!$C$4:$C$1510,MATCH($A338,'Match Log'!$A$4:$A$1510,0)),"")</f>
        <v>Mario Golf</v>
      </c>
      <c r="D338" t="str">
        <f t="array" ref="D338">IFERROR(_xlfn.TEXTJOIN(" + ",TRUE(),IF(('Match Log'!$A$4:$A$1510=$A338)*('Match Log'!$E$4:$E$1510="Win"),'Match Log'!$D$4:$D$1510,"")),IFERROR(LOOKUP(2,1/(('Match Log'!$A$4:$A$1510=$A338)*('Match Log'!$E$4:$E$1510="Win")),'Match Log'!$D$4:$D$1510),""))</f>
        <v>Daniel (Ferret)</v>
      </c>
      <c r="E338">
        <f>IFERROR(INDEX('Match Log'!$F$4:$F$1510,MATCH($A338,'Match Log'!$A$4:$A$1510,0)),"")</f>
        <v>2</v>
      </c>
      <c r="F338">
        <f>IFERROR(SUMIFS('Match Log'!$I$4:$I$1510,'Match Log'!$A$4:$A$1510,$A338,'Match Log'!$E$4:$E$1510,"Win"),"")</f>
        <v>0.55219206680584554</v>
      </c>
      <c r="G338">
        <f t="shared" si="29"/>
        <v>-0.10438413361169108</v>
      </c>
      <c r="H338" t="str">
        <f t="array" ref="H338">IFERROR(IF(COUNTIFS('Match Log'!$A$4:$A$1510,$A338,'Match Log'!$E$4:$E$1510,"Win")&gt;1,_xlfn.TEXTJOIN(" + ",TRUE(),IF(('Match Log'!$A$4:$A$1510=$A338)*('Match Log'!$E$4:$E$1510="Loss"),'Match Log'!$D$4:$D$1510,"")),IF($E338=2,LOOKUP(2,1/(('Match Log'!$A$4:$A$1510=$A338)*('Match Log'!$E$4:$E$1510="Loss")),'Match Log'!$D$4:$D$1510),"the field")),"")</f>
        <v>Shawn</v>
      </c>
      <c r="I338">
        <f t="shared" si="30"/>
        <v>-0.10469813361169107</v>
      </c>
      <c r="J338">
        <v>314</v>
      </c>
      <c r="K338">
        <f>IF($J338&gt;MAX('Match Log'!$A$4:$A$1510),NA(),IFERROR(LOOKUP(2,1/(('Match Log'!$D$4:$D$1510=$K$24)*('Match Log'!$A$4:$A$1510&lt;=$J338)),'Match Log'!$N$4:$N$1510),NA()))</f>
        <v>1209.6766156390552</v>
      </c>
      <c r="L338">
        <f>IF($J338&gt;MAX('Match Log'!$A$4:$A$1510),NA(),IFERROR(LOOKUP(2,1/(('Match Log'!$D$4:$D$1510=$L$24)*('Match Log'!$A$4:$A$1510&lt;=$J338)),'Match Log'!$N$4:$N$1510),NA()))</f>
        <v>1029.5175965335138</v>
      </c>
      <c r="M338">
        <f>IF($J338&gt;MAX('Match Log'!$A$4:$A$1510),NA(),IFERROR(LOOKUP(2,1/(('Match Log'!$D$4:$D$1510=$M$24)*('Match Log'!$A$4:$A$1510&lt;=$J338)),'Match Log'!$N$4:$N$1510),NA()))</f>
        <v>1048.0761030598392</v>
      </c>
      <c r="N338">
        <f>IF($J338&gt;MAX('Match Log'!$A$4:$A$1510),NA(),IFERROR(LOOKUP(2,1/(('Match Log'!$D$4:$D$1510=$N$24)*('Match Log'!$A$4:$A$1510&lt;=$J338)),'Match Log'!$N$4:$N$1510),NA()))</f>
        <v>907.03133644117429</v>
      </c>
      <c r="O338">
        <f>IF($J338&gt;MAX('Match Log'!$A$4:$A$1510),NA(),IFERROR(LOOKUP(2,1/(('Match Log'!$D$4:$D$1510=$O$24)*('Match Log'!$A$4:$A$1510&lt;=$J338)),'Match Log'!$N$4:$N$1510),NA()))</f>
        <v>1233.497020705217</v>
      </c>
      <c r="P338">
        <f>IF($J338&gt;MAX('Match Log'!$A$4:$A$1510),NA(),IFERROR(LOOKUP(2,1/(('Match Log'!$D$4:$D$1510=$P$24)*('Match Log'!$A$4:$A$1510&lt;=$J338)),'Match Log'!$N$4:$N$1510),NA()))</f>
        <v>1183.2753766170249</v>
      </c>
      <c r="Q338">
        <f>IF($J338&gt;MAX('Match Log'!$A$4:$A$1510),NA(),IFERROR(LOOKUP(2,1/(('Match Log'!$D$4:$D$1510=$Q$24)*('Match Log'!$A$4:$A$1510&lt;=$J338)),'Match Log'!$N$4:$N$1510),NA()))</f>
        <v>1215.996181687143</v>
      </c>
      <c r="R338">
        <f>IF($J338&gt;MAX('Match Log'!$A$4:$A$1510),NA(),IFERROR(LOOKUP(2,1/(('Match Log'!$D$4:$D$1510=$R$24)*('Match Log'!$A$4:$A$1510&lt;=$J338)),'Match Log'!$N$4:$N$1510),NA()))</f>
        <v>1204.775805269923</v>
      </c>
      <c r="S338">
        <f>IF($J338&gt;MAX('Match Log'!$A$4:$A$1510),NA(),IFERROR(LOOKUP(2,1/(('Match Log'!$D$4:$D$1510=$S$24)*('Match Log'!$A$4:$A$1510&lt;=$J338)),'Match Log'!$N$4:$N$1510),NA()))</f>
        <v>1217.9015417269482</v>
      </c>
      <c r="T338">
        <f>IF($J338&gt;MAX('Match Log'!$A$4:$A$1510),NA(),IFERROR(LOOKUP(2,1/(('Match Log'!$D$4:$D$1510=$T$24)*('Match Log'!$A$4:$A$1510&lt;=$J338)),'Match Log'!$N$4:$N$1510),NA()))</f>
        <v>862.22294373677494</v>
      </c>
      <c r="U338">
        <f>IF($J338&gt;MAX('Match Log'!$A$4:$A$1510),NA(),IFERROR(LOOKUP(2,1/(('Match Log'!$D$4:$D$1510=$U$24)*('Match Log'!$A$4:$A$1510&lt;=$J338)),'Match Log'!$N$4:$N$1510),NA()))</f>
        <v>968.26132335618615</v>
      </c>
      <c r="V338">
        <f>IF($J338&gt;MAX('Match Log'!$A$4:$A$1510),NA(),IFERROR(LOOKUP(2,1/(('Match Log'!$D$4:$D$1510=$V$24)*('Match Log'!$A$4:$A$1510&lt;=$J338)),'Match Log'!$N$4:$N$1510),NA()))</f>
        <v>1087.5488947064855</v>
      </c>
      <c r="W338">
        <f>IF($J338&gt;MAX('Match Log'!$A$4:$A$1510),NA(),IFERROR(LOOKUP(2,1/(('Match Log'!$D$4:$D$1510=$W$24)*('Match Log'!$A$4:$A$1510&lt;=$J338)),'Match Log'!$N$4:$N$1510),NA()))</f>
        <v>1023.2192605207141</v>
      </c>
      <c r="X338" t="e">
        <f>IF($J338&gt;MAX('Match Log'!$A$4:$A$1510),NA(),IFERROR(LOOKUP(2,1/(('Match Log'!$D$4:$D$1510=$X$24)*('Match Log'!$A$4:$A$1510&lt;=$J338)),'Match Log'!$N$4:$N$1510),NA()))</f>
        <v>#N/A</v>
      </c>
      <c r="Y338" t="str">
        <f t="shared" ca="1" si="31"/>
        <v/>
      </c>
    </row>
    <row r="339" spans="1:25" x14ac:dyDescent="0.2">
      <c r="A339">
        <v>315</v>
      </c>
      <c r="B339">
        <f>IFERROR(INDEX('Match Log'!$B$4:$B$1510,MATCH($A339,'Match Log'!$A$4:$A$1510,0)),"")</f>
        <v>46298</v>
      </c>
      <c r="C339" t="str">
        <f>IFERROR(INDEX('Match Log'!$C$4:$C$1510,MATCH($A339,'Match Log'!$A$4:$A$1510,0)),"")</f>
        <v>Mario Golf</v>
      </c>
      <c r="D339" t="str">
        <f t="array" ref="D339">IFERROR(_xlfn.TEXTJOIN(" + ",TRUE(),IF(('Match Log'!$A$4:$A$1510=$A339)*('Match Log'!$E$4:$E$1510="Win"),'Match Log'!$D$4:$D$1510,"")),IFERROR(LOOKUP(2,1/(('Match Log'!$A$4:$A$1510=$A339)*('Match Log'!$E$4:$E$1510="Win")),'Match Log'!$D$4:$D$1510),""))</f>
        <v>Daniel (Ferret)</v>
      </c>
      <c r="E339">
        <f>IFERROR(INDEX('Match Log'!$F$4:$F$1510,MATCH($A339,'Match Log'!$A$4:$A$1510,0)),"")</f>
        <v>3</v>
      </c>
      <c r="F339">
        <f>IFERROR(SUMIFS('Match Log'!$I$4:$I$1510,'Match Log'!$A$4:$A$1510,$A339,'Match Log'!$E$4:$E$1510,"Win"),"")</f>
        <v>0.38263229308005425</v>
      </c>
      <c r="G339">
        <f t="shared" si="29"/>
        <v>-0.1478968792401627</v>
      </c>
      <c r="H339" t="str">
        <f t="array" ref="H339">IFERROR(IF(COUNTIFS('Match Log'!$A$4:$A$1510,$A339,'Match Log'!$E$4:$E$1510,"Win")&gt;1,_xlfn.TEXTJOIN(" + ",TRUE(),IF(('Match Log'!$A$4:$A$1510=$A339)*('Match Log'!$E$4:$E$1510="Loss"),'Match Log'!$D$4:$D$1510,"")),IF($E339=2,LOOKUP(2,1/(('Match Log'!$A$4:$A$1510=$A339)*('Match Log'!$E$4:$E$1510="Loss")),'Match Log'!$D$4:$D$1510),"the field")),"")</f>
        <v>the field</v>
      </c>
      <c r="I339">
        <f t="shared" si="30"/>
        <v>-0.14821187924016271</v>
      </c>
      <c r="J339">
        <v>315</v>
      </c>
      <c r="K339">
        <f>IF($J339&gt;MAX('Match Log'!$A$4:$A$1510),NA(),IFERROR(LOOKUP(2,1/(('Match Log'!$D$4:$D$1510=$K$24)*('Match Log'!$A$4:$A$1510&lt;=$J339)),'Match Log'!$N$4:$N$1510),NA()))</f>
        <v>1209.6766156390552</v>
      </c>
      <c r="L339">
        <f>IF($J339&gt;MAX('Match Log'!$A$4:$A$1510),NA(),IFERROR(LOOKUP(2,1/(('Match Log'!$D$4:$D$1510=$L$24)*('Match Log'!$A$4:$A$1510&lt;=$J339)),'Match Log'!$N$4:$N$1510),NA()))</f>
        <v>1029.5175965335138</v>
      </c>
      <c r="M339">
        <f>IF($J339&gt;MAX('Match Log'!$A$4:$A$1510),NA(),IFERROR(LOOKUP(2,1/(('Match Log'!$D$4:$D$1510=$M$24)*('Match Log'!$A$4:$A$1510&lt;=$J339)),'Match Log'!$N$4:$N$1510),NA()))</f>
        <v>1048.0761030598392</v>
      </c>
      <c r="N339">
        <f>IF($J339&gt;MAX('Match Log'!$A$4:$A$1510),NA(),IFERROR(LOOKUP(2,1/(('Match Log'!$D$4:$D$1510=$N$24)*('Match Log'!$A$4:$A$1510&lt;=$J339)),'Match Log'!$N$4:$N$1510),NA()))</f>
        <v>907.03133644117429</v>
      </c>
      <c r="O339">
        <f>IF($J339&gt;MAX('Match Log'!$A$4:$A$1510),NA(),IFERROR(LOOKUP(2,1/(('Match Log'!$D$4:$D$1510=$O$24)*('Match Log'!$A$4:$A$1510&lt;=$J339)),'Match Log'!$N$4:$N$1510),NA()))</f>
        <v>1233.497020705217</v>
      </c>
      <c r="P339">
        <f>IF($J339&gt;MAX('Match Log'!$A$4:$A$1510),NA(),IFERROR(LOOKUP(2,1/(('Match Log'!$D$4:$D$1510=$P$24)*('Match Log'!$A$4:$A$1510&lt;=$J339)),'Match Log'!$N$4:$N$1510),NA()))</f>
        <v>1177.6504715222061</v>
      </c>
      <c r="Q339">
        <f>IF($J339&gt;MAX('Match Log'!$A$4:$A$1510),NA(),IFERROR(LOOKUP(2,1/(('Match Log'!$D$4:$D$1510=$Q$24)*('Match Log'!$A$4:$A$1510&lt;=$J339)),'Match Log'!$N$4:$N$1510),NA()))</f>
        <v>1215.996181687143</v>
      </c>
      <c r="R339">
        <f>IF($J339&gt;MAX('Match Log'!$A$4:$A$1510),NA(),IFERROR(LOOKUP(2,1/(('Match Log'!$D$4:$D$1510=$R$24)*('Match Log'!$A$4:$A$1510&lt;=$J339)),'Match Log'!$N$4:$N$1510),NA()))</f>
        <v>1225.6540939782453</v>
      </c>
      <c r="S339">
        <f>IF($J339&gt;MAX('Match Log'!$A$4:$A$1510),NA(),IFERROR(LOOKUP(2,1/(('Match Log'!$D$4:$D$1510=$S$24)*('Match Log'!$A$4:$A$1510&lt;=$J339)),'Match Log'!$N$4:$N$1510),NA()))</f>
        <v>1217.9015417269482</v>
      </c>
      <c r="T339">
        <f>IF($J339&gt;MAX('Match Log'!$A$4:$A$1510),NA(),IFERROR(LOOKUP(2,1/(('Match Log'!$D$4:$D$1510=$T$24)*('Match Log'!$A$4:$A$1510&lt;=$J339)),'Match Log'!$N$4:$N$1510),NA()))</f>
        <v>862.22294373677494</v>
      </c>
      <c r="U339">
        <f>IF($J339&gt;MAX('Match Log'!$A$4:$A$1510),NA(),IFERROR(LOOKUP(2,1/(('Match Log'!$D$4:$D$1510=$U$24)*('Match Log'!$A$4:$A$1510&lt;=$J339)),'Match Log'!$N$4:$N$1510),NA()))</f>
        <v>968.26132335618615</v>
      </c>
      <c r="V339">
        <f>IF($J339&gt;MAX('Match Log'!$A$4:$A$1510),NA(),IFERROR(LOOKUP(2,1/(('Match Log'!$D$4:$D$1510=$V$24)*('Match Log'!$A$4:$A$1510&lt;=$J339)),'Match Log'!$N$4:$N$1510),NA()))</f>
        <v>1087.5488947064855</v>
      </c>
      <c r="W339">
        <f>IF($J339&gt;MAX('Match Log'!$A$4:$A$1510),NA(),IFERROR(LOOKUP(2,1/(('Match Log'!$D$4:$D$1510=$W$24)*('Match Log'!$A$4:$A$1510&lt;=$J339)),'Match Log'!$N$4:$N$1510),NA()))</f>
        <v>1016.9658769072107</v>
      </c>
      <c r="X339" t="e">
        <f>IF($J339&gt;MAX('Match Log'!$A$4:$A$1510),NA(),IFERROR(LOOKUP(2,1/(('Match Log'!$D$4:$D$1510=$X$24)*('Match Log'!$A$4:$A$1510&lt;=$J339)),'Match Log'!$N$4:$N$1510),NA()))</f>
        <v>#N/A</v>
      </c>
      <c r="Y339" t="str">
        <f t="shared" ca="1" si="31"/>
        <v/>
      </c>
    </row>
    <row r="340" spans="1:25" x14ac:dyDescent="0.2">
      <c r="A340">
        <v>316</v>
      </c>
      <c r="B340">
        <f>IFERROR(INDEX('Match Log'!$B$4:$B$1510,MATCH($A340,'Match Log'!$A$4:$A$1510,0)),"")</f>
        <v>46298</v>
      </c>
      <c r="C340" t="str">
        <f>IFERROR(INDEX('Match Log'!$C$4:$C$1510,MATCH($A340,'Match Log'!$A$4:$A$1510,0)),"")</f>
        <v>Mario Golf</v>
      </c>
      <c r="D340" t="str">
        <f t="array" ref="D340">IFERROR(_xlfn.TEXTJOIN(" + ",TRUE(),IF(('Match Log'!$A$4:$A$1510=$A340)*('Match Log'!$E$4:$E$1510="Win"),'Match Log'!$D$4:$D$1510,"")),IFERROR(LOOKUP(2,1/(('Match Log'!$A$4:$A$1510=$A340)*('Match Log'!$E$4:$E$1510="Win")),'Match Log'!$D$4:$D$1510),""))</f>
        <v>Shawn + Daniel (Ferret)</v>
      </c>
      <c r="E340">
        <f>IFERROR(INDEX('Match Log'!$F$4:$F$1510,MATCH($A340,'Match Log'!$A$4:$A$1510,0)),"")</f>
        <v>3</v>
      </c>
      <c r="F340">
        <f>IFERROR(SUMIFS('Match Log'!$I$4:$I$1510,'Match Log'!$A$4:$A$1510,$A340,'Match Log'!$E$4:$E$1510,"Win"),"")</f>
        <v>0.76214648295866572</v>
      </c>
      <c r="G340">
        <f t="shared" si="29"/>
        <v>-1.2864394488759974</v>
      </c>
      <c r="H340" t="str">
        <f t="array" ref="H340">IFERROR(IF(COUNTIFS('Match Log'!$A$4:$A$1510,$A340,'Match Log'!$E$4:$E$1510,"Win")&gt;1,_xlfn.TEXTJOIN(" + ",TRUE(),IF(('Match Log'!$A$4:$A$1510=$A340)*('Match Log'!$E$4:$E$1510="Loss"),'Match Log'!$D$4:$D$1510,"")),IF($E340=2,LOOKUP(2,1/(('Match Log'!$A$4:$A$1510=$A340)*('Match Log'!$E$4:$E$1510="Loss")),'Match Log'!$D$4:$D$1510),"the field")),"")</f>
        <v>Dylan A</v>
      </c>
      <c r="I340">
        <f t="shared" si="30"/>
        <v>-1.2867554488759974</v>
      </c>
      <c r="J340">
        <v>316</v>
      </c>
      <c r="K340">
        <f>IF($J340&gt;MAX('Match Log'!$A$4:$A$1510),NA(),IFERROR(LOOKUP(2,1/(('Match Log'!$D$4:$D$1510=$K$24)*('Match Log'!$A$4:$A$1510&lt;=$J340)),'Match Log'!$N$4:$N$1510),NA()))</f>
        <v>1209.6766156390552</v>
      </c>
      <c r="L340">
        <f>IF($J340&gt;MAX('Match Log'!$A$4:$A$1510),NA(),IFERROR(LOOKUP(2,1/(('Match Log'!$D$4:$D$1510=$L$24)*('Match Log'!$A$4:$A$1510&lt;=$J340)),'Match Log'!$N$4:$N$1510),NA()))</f>
        <v>1029.5175965335138</v>
      </c>
      <c r="M340">
        <f>IF($J340&gt;MAX('Match Log'!$A$4:$A$1510),NA(),IFERROR(LOOKUP(2,1/(('Match Log'!$D$4:$D$1510=$M$24)*('Match Log'!$A$4:$A$1510&lt;=$J340)),'Match Log'!$N$4:$N$1510),NA()))</f>
        <v>1048.0761030598392</v>
      </c>
      <c r="N340">
        <f>IF($J340&gt;MAX('Match Log'!$A$4:$A$1510),NA(),IFERROR(LOOKUP(2,1/(('Match Log'!$D$4:$D$1510=$N$24)*('Match Log'!$A$4:$A$1510&lt;=$J340)),'Match Log'!$N$4:$N$1510),NA()))</f>
        <v>907.03133644117429</v>
      </c>
      <c r="O340">
        <f>IF($J340&gt;MAX('Match Log'!$A$4:$A$1510),NA(),IFERROR(LOOKUP(2,1/(('Match Log'!$D$4:$D$1510=$O$24)*('Match Log'!$A$4:$A$1510&lt;=$J340)),'Match Log'!$N$4:$N$1510),NA()))</f>
        <v>1233.497020705217</v>
      </c>
      <c r="P340">
        <f>IF($J340&gt;MAX('Match Log'!$A$4:$A$1510),NA(),IFERROR(LOOKUP(2,1/(('Match Log'!$D$4:$D$1510=$P$24)*('Match Log'!$A$4:$A$1510&lt;=$J340)),'Match Log'!$N$4:$N$1510),NA()))</f>
        <v>1192.0280857013031</v>
      </c>
      <c r="Q340">
        <f>IF($J340&gt;MAX('Match Log'!$A$4:$A$1510),NA(),IFERROR(LOOKUP(2,1/(('Match Log'!$D$4:$D$1510=$Q$24)*('Match Log'!$A$4:$A$1510&lt;=$J340)),'Match Log'!$N$4:$N$1510),NA()))</f>
        <v>1215.996181687143</v>
      </c>
      <c r="R340">
        <f>IF($J340&gt;MAX('Match Log'!$A$4:$A$1510),NA(),IFERROR(LOOKUP(2,1/(('Match Log'!$D$4:$D$1510=$R$24)*('Match Log'!$A$4:$A$1510&lt;=$J340)),'Match Log'!$N$4:$N$1510),NA()))</f>
        <v>1238.7351164242023</v>
      </c>
      <c r="S340">
        <f>IF($J340&gt;MAX('Match Log'!$A$4:$A$1510),NA(),IFERROR(LOOKUP(2,1/(('Match Log'!$D$4:$D$1510=$S$24)*('Match Log'!$A$4:$A$1510&lt;=$J340)),'Match Log'!$N$4:$N$1510),NA()))</f>
        <v>1217.9015417269482</v>
      </c>
      <c r="T340">
        <f>IF($J340&gt;MAX('Match Log'!$A$4:$A$1510),NA(),IFERROR(LOOKUP(2,1/(('Match Log'!$D$4:$D$1510=$T$24)*('Match Log'!$A$4:$A$1510&lt;=$J340)),'Match Log'!$N$4:$N$1510),NA()))</f>
        <v>862.22294373677494</v>
      </c>
      <c r="U340">
        <f>IF($J340&gt;MAX('Match Log'!$A$4:$A$1510),NA(),IFERROR(LOOKUP(2,1/(('Match Log'!$D$4:$D$1510=$U$24)*('Match Log'!$A$4:$A$1510&lt;=$J340)),'Match Log'!$N$4:$N$1510),NA()))</f>
        <v>968.26132335618615</v>
      </c>
      <c r="V340">
        <f>IF($J340&gt;MAX('Match Log'!$A$4:$A$1510),NA(),IFERROR(LOOKUP(2,1/(('Match Log'!$D$4:$D$1510=$V$24)*('Match Log'!$A$4:$A$1510&lt;=$J340)),'Match Log'!$N$4:$N$1510),NA()))</f>
        <v>1087.5488947064855</v>
      </c>
      <c r="W340">
        <f>IF($J340&gt;MAX('Match Log'!$A$4:$A$1510),NA(),IFERROR(LOOKUP(2,1/(('Match Log'!$D$4:$D$1510=$W$24)*('Match Log'!$A$4:$A$1510&lt;=$J340)),'Match Log'!$N$4:$N$1510),NA()))</f>
        <v>1010.5072402821568</v>
      </c>
      <c r="X340" t="e">
        <f>IF($J340&gt;MAX('Match Log'!$A$4:$A$1510),NA(),IFERROR(LOOKUP(2,1/(('Match Log'!$D$4:$D$1510=$X$24)*('Match Log'!$A$4:$A$1510&lt;=$J340)),'Match Log'!$N$4:$N$1510),NA()))</f>
        <v>#N/A</v>
      </c>
      <c r="Y340" t="str">
        <f t="shared" ca="1" si="31"/>
        <v/>
      </c>
    </row>
    <row r="341" spans="1:25" x14ac:dyDescent="0.2">
      <c r="A341">
        <v>317</v>
      </c>
      <c r="B341">
        <f>IFERROR(INDEX('Match Log'!$B$4:$B$1510,MATCH($A341,'Match Log'!$A$4:$A$1510,0)),"")</f>
        <v>46298</v>
      </c>
      <c r="C341" t="str">
        <f>IFERROR(INDEX('Match Log'!$C$4:$C$1510,MATCH($A341,'Match Log'!$A$4:$A$1510,0)),"")</f>
        <v>Mario Golf</v>
      </c>
      <c r="D341" t="str">
        <f t="array" ref="D341">IFERROR(_xlfn.TEXTJOIN(" + ",TRUE(),IF(('Match Log'!$A$4:$A$1510=$A341)*('Match Log'!$E$4:$E$1510="Win"),'Match Log'!$D$4:$D$1510,"")),IFERROR(LOOKUP(2,1/(('Match Log'!$A$4:$A$1510=$A341)*('Match Log'!$E$4:$E$1510="Win")),'Match Log'!$D$4:$D$1510),""))</f>
        <v>Shawn</v>
      </c>
      <c r="E341">
        <f>IFERROR(INDEX('Match Log'!$F$4:$F$1510,MATCH($A341,'Match Log'!$A$4:$A$1510,0)),"")</f>
        <v>2</v>
      </c>
      <c r="F341">
        <f>IFERROR(SUMIFS('Match Log'!$I$4:$I$1510,'Match Log'!$A$4:$A$1510,$A341,'Match Log'!$E$4:$E$1510,"Win"),"")</f>
        <v>0.43124999999999997</v>
      </c>
      <c r="G341">
        <f t="shared" si="29"/>
        <v>0.13750000000000007</v>
      </c>
      <c r="H341" t="str">
        <f t="array" ref="H341">IFERROR(IF(COUNTIFS('Match Log'!$A$4:$A$1510,$A341,'Match Log'!$E$4:$E$1510,"Win")&gt;1,_xlfn.TEXTJOIN(" + ",TRUE(),IF(('Match Log'!$A$4:$A$1510=$A341)*('Match Log'!$E$4:$E$1510="Loss"),'Match Log'!$D$4:$D$1510,"")),IF($E341=2,LOOKUP(2,1/(('Match Log'!$A$4:$A$1510=$A341)*('Match Log'!$E$4:$E$1510="Loss")),'Match Log'!$D$4:$D$1510),"the field")),"")</f>
        <v>Daniel (Ferret)</v>
      </c>
      <c r="I341">
        <f t="shared" si="30"/>
        <v>0.13718300000000005</v>
      </c>
      <c r="J341">
        <v>317</v>
      </c>
      <c r="K341">
        <f>IF($J341&gt;MAX('Match Log'!$A$4:$A$1510),NA(),IFERROR(LOOKUP(2,1/(('Match Log'!$D$4:$D$1510=$K$24)*('Match Log'!$A$4:$A$1510&lt;=$J341)),'Match Log'!$N$4:$N$1510),NA()))</f>
        <v>1209.6766156390552</v>
      </c>
      <c r="L341">
        <f>IF($J341&gt;MAX('Match Log'!$A$4:$A$1510),NA(),IFERROR(LOOKUP(2,1/(('Match Log'!$D$4:$D$1510=$L$24)*('Match Log'!$A$4:$A$1510&lt;=$J341)),'Match Log'!$N$4:$N$1510),NA()))</f>
        <v>1029.5175965335138</v>
      </c>
      <c r="M341">
        <f>IF($J341&gt;MAX('Match Log'!$A$4:$A$1510),NA(),IFERROR(LOOKUP(2,1/(('Match Log'!$D$4:$D$1510=$M$24)*('Match Log'!$A$4:$A$1510&lt;=$J341)),'Match Log'!$N$4:$N$1510),NA()))</f>
        <v>1048.0761030598392</v>
      </c>
      <c r="N341">
        <f>IF($J341&gt;MAX('Match Log'!$A$4:$A$1510),NA(),IFERROR(LOOKUP(2,1/(('Match Log'!$D$4:$D$1510=$N$24)*('Match Log'!$A$4:$A$1510&lt;=$J341)),'Match Log'!$N$4:$N$1510),NA()))</f>
        <v>907.03133644117429</v>
      </c>
      <c r="O341">
        <f>IF($J341&gt;MAX('Match Log'!$A$4:$A$1510),NA(),IFERROR(LOOKUP(2,1/(('Match Log'!$D$4:$D$1510=$O$24)*('Match Log'!$A$4:$A$1510&lt;=$J341)),'Match Log'!$N$4:$N$1510),NA()))</f>
        <v>1233.497020705217</v>
      </c>
      <c r="P341">
        <f>IF($J341&gt;MAX('Match Log'!$A$4:$A$1510),NA(),IFERROR(LOOKUP(2,1/(('Match Log'!$D$4:$D$1510=$P$24)*('Match Log'!$A$4:$A$1510&lt;=$J341)),'Match Log'!$N$4:$N$1510),NA()))</f>
        <v>1221.4104830819899</v>
      </c>
      <c r="Q341">
        <f>IF($J341&gt;MAX('Match Log'!$A$4:$A$1510),NA(),IFERROR(LOOKUP(2,1/(('Match Log'!$D$4:$D$1510=$Q$24)*('Match Log'!$A$4:$A$1510&lt;=$J341)),'Match Log'!$N$4:$N$1510),NA()))</f>
        <v>1215.996181687143</v>
      </c>
      <c r="R341">
        <f>IF($J341&gt;MAX('Match Log'!$A$4:$A$1510),NA(),IFERROR(LOOKUP(2,1/(('Match Log'!$D$4:$D$1510=$R$24)*('Match Log'!$A$4:$A$1510&lt;=$J341)),'Match Log'!$N$4:$N$1510),NA()))</f>
        <v>1209.3527190435154</v>
      </c>
      <c r="S341">
        <f>IF($J341&gt;MAX('Match Log'!$A$4:$A$1510),NA(),IFERROR(LOOKUP(2,1/(('Match Log'!$D$4:$D$1510=$S$24)*('Match Log'!$A$4:$A$1510&lt;=$J341)),'Match Log'!$N$4:$N$1510),NA()))</f>
        <v>1217.9015417269482</v>
      </c>
      <c r="T341">
        <f>IF($J341&gt;MAX('Match Log'!$A$4:$A$1510),NA(),IFERROR(LOOKUP(2,1/(('Match Log'!$D$4:$D$1510=$T$24)*('Match Log'!$A$4:$A$1510&lt;=$J341)),'Match Log'!$N$4:$N$1510),NA()))</f>
        <v>862.22294373677494</v>
      </c>
      <c r="U341">
        <f>IF($J341&gt;MAX('Match Log'!$A$4:$A$1510),NA(),IFERROR(LOOKUP(2,1/(('Match Log'!$D$4:$D$1510=$U$24)*('Match Log'!$A$4:$A$1510&lt;=$J341)),'Match Log'!$N$4:$N$1510),NA()))</f>
        <v>968.26132335618615</v>
      </c>
      <c r="V341">
        <f>IF($J341&gt;MAX('Match Log'!$A$4:$A$1510),NA(),IFERROR(LOOKUP(2,1/(('Match Log'!$D$4:$D$1510=$V$24)*('Match Log'!$A$4:$A$1510&lt;=$J341)),'Match Log'!$N$4:$N$1510),NA()))</f>
        <v>1087.5488947064855</v>
      </c>
      <c r="W341">
        <f>IF($J341&gt;MAX('Match Log'!$A$4:$A$1510),NA(),IFERROR(LOOKUP(2,1/(('Match Log'!$D$4:$D$1510=$W$24)*('Match Log'!$A$4:$A$1510&lt;=$J341)),'Match Log'!$N$4:$N$1510),NA()))</f>
        <v>1010.5072402821568</v>
      </c>
      <c r="X341" t="e">
        <f>IF($J341&gt;MAX('Match Log'!$A$4:$A$1510),NA(),IFERROR(LOOKUP(2,1/(('Match Log'!$D$4:$D$1510=$X$24)*('Match Log'!$A$4:$A$1510&lt;=$J341)),'Match Log'!$N$4:$N$1510),NA()))</f>
        <v>#N/A</v>
      </c>
      <c r="Y341" t="str">
        <f t="shared" ca="1" si="31"/>
        <v/>
      </c>
    </row>
    <row r="342" spans="1:25" x14ac:dyDescent="0.2">
      <c r="A342">
        <v>318</v>
      </c>
      <c r="B342">
        <f>IFERROR(INDEX('Match Log'!$B$4:$B$1510,MATCH($A342,'Match Log'!$A$4:$A$1510,0)),"")</f>
        <v>46303</v>
      </c>
      <c r="C342" t="str">
        <f>IFERROR(INDEX('Match Log'!$C$4:$C$1510,MATCH($A342,'Match Log'!$A$4:$A$1510,0)),"")</f>
        <v>Mario Kart</v>
      </c>
      <c r="D342" t="str">
        <f t="array" ref="D342">IFERROR(_xlfn.TEXTJOIN(" + ",TRUE(),IF(('Match Log'!$A$4:$A$1510=$A342)*('Match Log'!$E$4:$E$1510="Win"),'Match Log'!$D$4:$D$1510,"")),IFERROR(LOOKUP(2,1/(('Match Log'!$A$4:$A$1510=$A342)*('Match Log'!$E$4:$E$1510="Win")),'Match Log'!$D$4:$D$1510),""))</f>
        <v>Oscar</v>
      </c>
      <c r="E342">
        <f>IFERROR(INDEX('Match Log'!$F$4:$F$1510,MATCH($A342,'Match Log'!$A$4:$A$1510,0)),"")</f>
        <v>2</v>
      </c>
      <c r="F342">
        <f>IFERROR(SUMIFS('Match Log'!$I$4:$I$1510,'Match Log'!$A$4:$A$1510,$A342,'Match Log'!$E$4:$E$1510,"Win"),"")</f>
        <v>0.91719745222929938</v>
      </c>
      <c r="G342">
        <f t="shared" si="29"/>
        <v>-0.83439490445859876</v>
      </c>
      <c r="H342" t="str">
        <f t="array" ref="H342">IFERROR(IF(COUNTIFS('Match Log'!$A$4:$A$1510,$A342,'Match Log'!$E$4:$E$1510,"Win")&gt;1,_xlfn.TEXTJOIN(" + ",TRUE(),IF(('Match Log'!$A$4:$A$1510=$A342)*('Match Log'!$E$4:$E$1510="Loss"),'Match Log'!$D$4:$D$1510,"")),IF($E342=2,LOOKUP(2,1/(('Match Log'!$A$4:$A$1510=$A342)*('Match Log'!$E$4:$E$1510="Loss")),'Match Log'!$D$4:$D$1510),"the field")),"")</f>
        <v>Shawn</v>
      </c>
      <c r="I342">
        <f t="shared" si="30"/>
        <v>-0.8347129044585988</v>
      </c>
      <c r="J342">
        <v>318</v>
      </c>
      <c r="K342">
        <f>IF($J342&gt;MAX('Match Log'!$A$4:$A$1510),NA(),IFERROR(LOOKUP(2,1/(('Match Log'!$D$4:$D$1510=$K$24)*('Match Log'!$A$4:$A$1510&lt;=$J342)),'Match Log'!$N$4:$N$1510),NA()))</f>
        <v>1209.6766156390552</v>
      </c>
      <c r="L342">
        <f>IF($J342&gt;MAX('Match Log'!$A$4:$A$1510),NA(),IFERROR(LOOKUP(2,1/(('Match Log'!$D$4:$D$1510=$L$24)*('Match Log'!$A$4:$A$1510&lt;=$J342)),'Match Log'!$N$4:$N$1510),NA()))</f>
        <v>1029.5175965335138</v>
      </c>
      <c r="M342">
        <f>IF($J342&gt;MAX('Match Log'!$A$4:$A$1510),NA(),IFERROR(LOOKUP(2,1/(('Match Log'!$D$4:$D$1510=$M$24)*('Match Log'!$A$4:$A$1510&lt;=$J342)),'Match Log'!$N$4:$N$1510),NA()))</f>
        <v>1048.0761030598392</v>
      </c>
      <c r="N342">
        <f>IF($J342&gt;MAX('Match Log'!$A$4:$A$1510),NA(),IFERROR(LOOKUP(2,1/(('Match Log'!$D$4:$D$1510=$N$24)*('Match Log'!$A$4:$A$1510&lt;=$J342)),'Match Log'!$N$4:$N$1510),NA()))</f>
        <v>907.03133644117429</v>
      </c>
      <c r="O342">
        <f>IF($J342&gt;MAX('Match Log'!$A$4:$A$1510),NA(),IFERROR(LOOKUP(2,1/(('Match Log'!$D$4:$D$1510=$O$24)*('Match Log'!$A$4:$A$1510&lt;=$J342)),'Match Log'!$N$4:$N$1510),NA()))</f>
        <v>1233.497020705217</v>
      </c>
      <c r="P342">
        <f>IF($J342&gt;MAX('Match Log'!$A$4:$A$1510),NA(),IFERROR(LOOKUP(2,1/(('Match Log'!$D$4:$D$1510=$P$24)*('Match Log'!$A$4:$A$1510&lt;=$J342)),'Match Log'!$N$4:$N$1510),NA()))</f>
        <v>1208.4544096093366</v>
      </c>
      <c r="Q342">
        <f>IF($J342&gt;MAX('Match Log'!$A$4:$A$1510),NA(),IFERROR(LOOKUP(2,1/(('Match Log'!$D$4:$D$1510=$Q$24)*('Match Log'!$A$4:$A$1510&lt;=$J342)),'Match Log'!$N$4:$N$1510),NA()))</f>
        <v>1215.996181687143</v>
      </c>
      <c r="R342">
        <f>IF($J342&gt;MAX('Match Log'!$A$4:$A$1510),NA(),IFERROR(LOOKUP(2,1/(('Match Log'!$D$4:$D$1510=$R$24)*('Match Log'!$A$4:$A$1510&lt;=$J342)),'Match Log'!$N$4:$N$1510),NA()))</f>
        <v>1209.3527190435154</v>
      </c>
      <c r="S342">
        <f>IF($J342&gt;MAX('Match Log'!$A$4:$A$1510),NA(),IFERROR(LOOKUP(2,1/(('Match Log'!$D$4:$D$1510=$S$24)*('Match Log'!$A$4:$A$1510&lt;=$J342)),'Match Log'!$N$4:$N$1510),NA()))</f>
        <v>1217.9015417269482</v>
      </c>
      <c r="T342">
        <f>IF($J342&gt;MAX('Match Log'!$A$4:$A$1510),NA(),IFERROR(LOOKUP(2,1/(('Match Log'!$D$4:$D$1510=$T$24)*('Match Log'!$A$4:$A$1510&lt;=$J342)),'Match Log'!$N$4:$N$1510),NA()))</f>
        <v>862.22294373677494</v>
      </c>
      <c r="U342">
        <f>IF($J342&gt;MAX('Match Log'!$A$4:$A$1510),NA(),IFERROR(LOOKUP(2,1/(('Match Log'!$D$4:$D$1510=$U$24)*('Match Log'!$A$4:$A$1510&lt;=$J342)),'Match Log'!$N$4:$N$1510),NA()))</f>
        <v>981.21739682883947</v>
      </c>
      <c r="V342">
        <f>IF($J342&gt;MAX('Match Log'!$A$4:$A$1510),NA(),IFERROR(LOOKUP(2,1/(('Match Log'!$D$4:$D$1510=$V$24)*('Match Log'!$A$4:$A$1510&lt;=$J342)),'Match Log'!$N$4:$N$1510),NA()))</f>
        <v>1087.5488947064855</v>
      </c>
      <c r="W342">
        <f>IF($J342&gt;MAX('Match Log'!$A$4:$A$1510),NA(),IFERROR(LOOKUP(2,1/(('Match Log'!$D$4:$D$1510=$W$24)*('Match Log'!$A$4:$A$1510&lt;=$J342)),'Match Log'!$N$4:$N$1510),NA()))</f>
        <v>1010.5072402821568</v>
      </c>
      <c r="X342" t="e">
        <f>IF($J342&gt;MAX('Match Log'!$A$4:$A$1510),NA(),IFERROR(LOOKUP(2,1/(('Match Log'!$D$4:$D$1510=$X$24)*('Match Log'!$A$4:$A$1510&lt;=$J342)),'Match Log'!$N$4:$N$1510),NA()))</f>
        <v>#N/A</v>
      </c>
      <c r="Y342" t="str">
        <f t="shared" ca="1" si="31"/>
        <v/>
      </c>
    </row>
    <row r="343" spans="1:25" x14ac:dyDescent="0.2">
      <c r="A343">
        <v>319</v>
      </c>
      <c r="B343">
        <f>IFERROR(INDEX('Match Log'!$B$4:$B$1510,MATCH($A343,'Match Log'!$A$4:$A$1510,0)),"")</f>
        <v>46303</v>
      </c>
      <c r="C343" t="str">
        <f>IFERROR(INDEX('Match Log'!$C$4:$C$1510,MATCH($A343,'Match Log'!$A$4:$A$1510,0)),"")</f>
        <v>Mario Kart</v>
      </c>
      <c r="D343" t="str">
        <f t="array" ref="D343">IFERROR(_xlfn.TEXTJOIN(" + ",TRUE(),IF(('Match Log'!$A$4:$A$1510=$A343)*('Match Log'!$E$4:$E$1510="Win"),'Match Log'!$D$4:$D$1510,"")),IFERROR(LOOKUP(2,1/(('Match Log'!$A$4:$A$1510=$A343)*('Match Log'!$E$4:$E$1510="Win")),'Match Log'!$D$4:$D$1510),""))</f>
        <v>Shawn</v>
      </c>
      <c r="E343">
        <f>IFERROR(INDEX('Match Log'!$F$4:$F$1510,MATCH($A343,'Match Log'!$A$4:$A$1510,0)),"")</f>
        <v>2</v>
      </c>
      <c r="F343">
        <f>IFERROR(SUMIFS('Match Log'!$I$4:$I$1510,'Match Log'!$A$4:$A$1510,$A343,'Match Log'!$E$4:$E$1510,"Win"),"")</f>
        <v>7.6086956521739121E-2</v>
      </c>
      <c r="G343">
        <f t="shared" si="29"/>
        <v>0.84782608695652173</v>
      </c>
      <c r="H343" t="str">
        <f t="array" ref="H343">IFERROR(IF(COUNTIFS('Match Log'!$A$4:$A$1510,$A343,'Match Log'!$E$4:$E$1510,"Win")&gt;1,_xlfn.TEXTJOIN(" + ",TRUE(),IF(('Match Log'!$A$4:$A$1510=$A343)*('Match Log'!$E$4:$E$1510="Loss"),'Match Log'!$D$4:$D$1510,"")),IF($E343=2,LOOKUP(2,1/(('Match Log'!$A$4:$A$1510=$A343)*('Match Log'!$E$4:$E$1510="Loss")),'Match Log'!$D$4:$D$1510),"the field")),"")</f>
        <v>Oscar</v>
      </c>
      <c r="I343">
        <f t="shared" si="30"/>
        <v>0.84750708695652177</v>
      </c>
      <c r="J343">
        <v>319</v>
      </c>
      <c r="K343">
        <f>IF($J343&gt;MAX('Match Log'!$A$4:$A$1510),NA(),IFERROR(LOOKUP(2,1/(('Match Log'!$D$4:$D$1510=$K$24)*('Match Log'!$A$4:$A$1510&lt;=$J343)),'Match Log'!$N$4:$N$1510),NA()))</f>
        <v>1209.6766156390552</v>
      </c>
      <c r="L343">
        <f>IF($J343&gt;MAX('Match Log'!$A$4:$A$1510),NA(),IFERROR(LOOKUP(2,1/(('Match Log'!$D$4:$D$1510=$L$24)*('Match Log'!$A$4:$A$1510&lt;=$J343)),'Match Log'!$N$4:$N$1510),NA()))</f>
        <v>1029.5175965335138</v>
      </c>
      <c r="M343">
        <f>IF($J343&gt;MAX('Match Log'!$A$4:$A$1510),NA(),IFERROR(LOOKUP(2,1/(('Match Log'!$D$4:$D$1510=$M$24)*('Match Log'!$A$4:$A$1510&lt;=$J343)),'Match Log'!$N$4:$N$1510),NA()))</f>
        <v>1048.0761030598392</v>
      </c>
      <c r="N343">
        <f>IF($J343&gt;MAX('Match Log'!$A$4:$A$1510),NA(),IFERROR(LOOKUP(2,1/(('Match Log'!$D$4:$D$1510=$N$24)*('Match Log'!$A$4:$A$1510&lt;=$J343)),'Match Log'!$N$4:$N$1510),NA()))</f>
        <v>907.03133644117429</v>
      </c>
      <c r="O343">
        <f>IF($J343&gt;MAX('Match Log'!$A$4:$A$1510),NA(),IFERROR(LOOKUP(2,1/(('Match Log'!$D$4:$D$1510=$O$24)*('Match Log'!$A$4:$A$1510&lt;=$J343)),'Match Log'!$N$4:$N$1510),NA()))</f>
        <v>1233.497020705217</v>
      </c>
      <c r="P343">
        <f>IF($J343&gt;MAX('Match Log'!$A$4:$A$1510),NA(),IFERROR(LOOKUP(2,1/(('Match Log'!$D$4:$D$1510=$P$24)*('Match Log'!$A$4:$A$1510&lt;=$J343)),'Match Log'!$N$4:$N$1510),NA()))</f>
        <v>1240.5972700779639</v>
      </c>
      <c r="Q343">
        <f>IF($J343&gt;MAX('Match Log'!$A$4:$A$1510),NA(),IFERROR(LOOKUP(2,1/(('Match Log'!$D$4:$D$1510=$Q$24)*('Match Log'!$A$4:$A$1510&lt;=$J343)),'Match Log'!$N$4:$N$1510),NA()))</f>
        <v>1215.996181687143</v>
      </c>
      <c r="R343">
        <f>IF($J343&gt;MAX('Match Log'!$A$4:$A$1510),NA(),IFERROR(LOOKUP(2,1/(('Match Log'!$D$4:$D$1510=$R$24)*('Match Log'!$A$4:$A$1510&lt;=$J343)),'Match Log'!$N$4:$N$1510),NA()))</f>
        <v>1209.3527190435154</v>
      </c>
      <c r="S343">
        <f>IF($J343&gt;MAX('Match Log'!$A$4:$A$1510),NA(),IFERROR(LOOKUP(2,1/(('Match Log'!$D$4:$D$1510=$S$24)*('Match Log'!$A$4:$A$1510&lt;=$J343)),'Match Log'!$N$4:$N$1510),NA()))</f>
        <v>1217.9015417269482</v>
      </c>
      <c r="T343">
        <f>IF($J343&gt;MAX('Match Log'!$A$4:$A$1510),NA(),IFERROR(LOOKUP(2,1/(('Match Log'!$D$4:$D$1510=$T$24)*('Match Log'!$A$4:$A$1510&lt;=$J343)),'Match Log'!$N$4:$N$1510),NA()))</f>
        <v>862.22294373677494</v>
      </c>
      <c r="U343">
        <f>IF($J343&gt;MAX('Match Log'!$A$4:$A$1510),NA(),IFERROR(LOOKUP(2,1/(('Match Log'!$D$4:$D$1510=$U$24)*('Match Log'!$A$4:$A$1510&lt;=$J343)),'Match Log'!$N$4:$N$1510),NA()))</f>
        <v>949.07453636021216</v>
      </c>
      <c r="V343">
        <f>IF($J343&gt;MAX('Match Log'!$A$4:$A$1510),NA(),IFERROR(LOOKUP(2,1/(('Match Log'!$D$4:$D$1510=$V$24)*('Match Log'!$A$4:$A$1510&lt;=$J343)),'Match Log'!$N$4:$N$1510),NA()))</f>
        <v>1087.5488947064855</v>
      </c>
      <c r="W343">
        <f>IF($J343&gt;MAX('Match Log'!$A$4:$A$1510),NA(),IFERROR(LOOKUP(2,1/(('Match Log'!$D$4:$D$1510=$W$24)*('Match Log'!$A$4:$A$1510&lt;=$J343)),'Match Log'!$N$4:$N$1510),NA()))</f>
        <v>1010.5072402821568</v>
      </c>
      <c r="X343" t="e">
        <f>IF($J343&gt;MAX('Match Log'!$A$4:$A$1510),NA(),IFERROR(LOOKUP(2,1/(('Match Log'!$D$4:$D$1510=$X$24)*('Match Log'!$A$4:$A$1510&lt;=$J343)),'Match Log'!$N$4:$N$1510),NA()))</f>
        <v>#N/A</v>
      </c>
      <c r="Y343" t="str">
        <f t="shared" ca="1" si="31"/>
        <v/>
      </c>
    </row>
    <row r="344" spans="1:25" x14ac:dyDescent="0.2">
      <c r="A344">
        <v>320</v>
      </c>
      <c r="B344">
        <f>IFERROR(INDEX('Match Log'!$B$4:$B$1510,MATCH($A344,'Match Log'!$A$4:$A$1510,0)),"")</f>
        <v>46303</v>
      </c>
      <c r="C344" t="str">
        <f>IFERROR(INDEX('Match Log'!$C$4:$C$1510,MATCH($A344,'Match Log'!$A$4:$A$1510,0)),"")</f>
        <v>Pool</v>
      </c>
      <c r="D344" t="str">
        <f t="array" ref="D344">IFERROR(_xlfn.TEXTJOIN(" + ",TRUE(),IF(('Match Log'!$A$4:$A$1510=$A344)*('Match Log'!$E$4:$E$1510="Win"),'Match Log'!$D$4:$D$1510,"")),IFERROR(LOOKUP(2,1/(('Match Log'!$A$4:$A$1510=$A344)*('Match Log'!$E$4:$E$1510="Win")),'Match Log'!$D$4:$D$1510),""))</f>
        <v>Josh</v>
      </c>
      <c r="E344">
        <f>IFERROR(INDEX('Match Log'!$F$4:$F$1510,MATCH($A344,'Match Log'!$A$4:$A$1510,0)),"")</f>
        <v>2</v>
      </c>
      <c r="F344">
        <f>IFERROR(SUMIFS('Match Log'!$I$4:$I$1510,'Match Log'!$A$4:$A$1510,$A344,'Match Log'!$E$4:$E$1510,"Win"),"")</f>
        <v>0.52</v>
      </c>
      <c r="G344">
        <f t="shared" si="29"/>
        <v>-4.0000000000000036E-2</v>
      </c>
      <c r="H344" t="str">
        <f t="array" ref="H344">IFERROR(IF(COUNTIFS('Match Log'!$A$4:$A$1510,$A344,'Match Log'!$E$4:$E$1510,"Win")&gt;1,_xlfn.TEXTJOIN(" + ",TRUE(),IF(('Match Log'!$A$4:$A$1510=$A344)*('Match Log'!$E$4:$E$1510="Loss"),'Match Log'!$D$4:$D$1510,"")),IF($E344=2,LOOKUP(2,1/(('Match Log'!$A$4:$A$1510=$A344)*('Match Log'!$E$4:$E$1510="Loss")),'Match Log'!$D$4:$D$1510),"the field")),"")</f>
        <v>Daniel (Ferret)</v>
      </c>
      <c r="I344">
        <f t="shared" si="30"/>
        <v>-4.0320000000000036E-2</v>
      </c>
      <c r="J344">
        <v>320</v>
      </c>
      <c r="K344">
        <f>IF($J344&gt;MAX('Match Log'!$A$4:$A$1510),NA(),IFERROR(LOOKUP(2,1/(('Match Log'!$D$4:$D$1510=$K$24)*('Match Log'!$A$4:$A$1510&lt;=$J344)),'Match Log'!$N$4:$N$1510),NA()))</f>
        <v>1209.6766156390552</v>
      </c>
      <c r="L344">
        <f>IF($J344&gt;MAX('Match Log'!$A$4:$A$1510),NA(),IFERROR(LOOKUP(2,1/(('Match Log'!$D$4:$D$1510=$L$24)*('Match Log'!$A$4:$A$1510&lt;=$J344)),'Match Log'!$N$4:$N$1510),NA()))</f>
        <v>1029.5175965335138</v>
      </c>
      <c r="M344">
        <f>IF($J344&gt;MAX('Match Log'!$A$4:$A$1510),NA(),IFERROR(LOOKUP(2,1/(('Match Log'!$D$4:$D$1510=$M$24)*('Match Log'!$A$4:$A$1510&lt;=$J344)),'Match Log'!$N$4:$N$1510),NA()))</f>
        <v>1048.0761030598392</v>
      </c>
      <c r="N344">
        <f>IF($J344&gt;MAX('Match Log'!$A$4:$A$1510),NA(),IFERROR(LOOKUP(2,1/(('Match Log'!$D$4:$D$1510=$N$24)*('Match Log'!$A$4:$A$1510&lt;=$J344)),'Match Log'!$N$4:$N$1510),NA()))</f>
        <v>907.03133644117429</v>
      </c>
      <c r="O344">
        <f>IF($J344&gt;MAX('Match Log'!$A$4:$A$1510),NA(),IFERROR(LOOKUP(2,1/(('Match Log'!$D$4:$D$1510=$O$24)*('Match Log'!$A$4:$A$1510&lt;=$J344)),'Match Log'!$N$4:$N$1510),NA()))</f>
        <v>1251.9358369946654</v>
      </c>
      <c r="P344">
        <f>IF($J344&gt;MAX('Match Log'!$A$4:$A$1510),NA(),IFERROR(LOOKUP(2,1/(('Match Log'!$D$4:$D$1510=$P$24)*('Match Log'!$A$4:$A$1510&lt;=$J344)),'Match Log'!$N$4:$N$1510),NA()))</f>
        <v>1240.5972700779639</v>
      </c>
      <c r="Q344">
        <f>IF($J344&gt;MAX('Match Log'!$A$4:$A$1510),NA(),IFERROR(LOOKUP(2,1/(('Match Log'!$D$4:$D$1510=$Q$24)*('Match Log'!$A$4:$A$1510&lt;=$J344)),'Match Log'!$N$4:$N$1510),NA()))</f>
        <v>1215.996181687143</v>
      </c>
      <c r="R344">
        <f>IF($J344&gt;MAX('Match Log'!$A$4:$A$1510),NA(),IFERROR(LOOKUP(2,1/(('Match Log'!$D$4:$D$1510=$R$24)*('Match Log'!$A$4:$A$1510&lt;=$J344)),'Match Log'!$N$4:$N$1510),NA()))</f>
        <v>1190.9139027540671</v>
      </c>
      <c r="S344">
        <f>IF($J344&gt;MAX('Match Log'!$A$4:$A$1510),NA(),IFERROR(LOOKUP(2,1/(('Match Log'!$D$4:$D$1510=$S$24)*('Match Log'!$A$4:$A$1510&lt;=$J344)),'Match Log'!$N$4:$N$1510),NA()))</f>
        <v>1217.9015417269482</v>
      </c>
      <c r="T344">
        <f>IF($J344&gt;MAX('Match Log'!$A$4:$A$1510),NA(),IFERROR(LOOKUP(2,1/(('Match Log'!$D$4:$D$1510=$T$24)*('Match Log'!$A$4:$A$1510&lt;=$J344)),'Match Log'!$N$4:$N$1510),NA()))</f>
        <v>862.22294373677494</v>
      </c>
      <c r="U344">
        <f>IF($J344&gt;MAX('Match Log'!$A$4:$A$1510),NA(),IFERROR(LOOKUP(2,1/(('Match Log'!$D$4:$D$1510=$U$24)*('Match Log'!$A$4:$A$1510&lt;=$J344)),'Match Log'!$N$4:$N$1510),NA()))</f>
        <v>949.07453636021216</v>
      </c>
      <c r="V344">
        <f>IF($J344&gt;MAX('Match Log'!$A$4:$A$1510),NA(),IFERROR(LOOKUP(2,1/(('Match Log'!$D$4:$D$1510=$V$24)*('Match Log'!$A$4:$A$1510&lt;=$J344)),'Match Log'!$N$4:$N$1510),NA()))</f>
        <v>1087.5488947064855</v>
      </c>
      <c r="W344">
        <f>IF($J344&gt;MAX('Match Log'!$A$4:$A$1510),NA(),IFERROR(LOOKUP(2,1/(('Match Log'!$D$4:$D$1510=$W$24)*('Match Log'!$A$4:$A$1510&lt;=$J344)),'Match Log'!$N$4:$N$1510),NA()))</f>
        <v>1010.5072402821568</v>
      </c>
      <c r="X344" t="e">
        <f>IF($J344&gt;MAX('Match Log'!$A$4:$A$1510),NA(),IFERROR(LOOKUP(2,1/(('Match Log'!$D$4:$D$1510=$X$24)*('Match Log'!$A$4:$A$1510&lt;=$J344)),'Match Log'!$N$4:$N$1510),NA()))</f>
        <v>#N/A</v>
      </c>
      <c r="Y344" t="str">
        <f t="shared" ca="1" si="31"/>
        <v/>
      </c>
    </row>
    <row r="345" spans="1:25" x14ac:dyDescent="0.2">
      <c r="A345">
        <v>321</v>
      </c>
      <c r="B345">
        <f>IFERROR(INDEX('Match Log'!$B$4:$B$1510,MATCH($A345,'Match Log'!$A$4:$A$1510,0)),"")</f>
        <v>46319</v>
      </c>
      <c r="C345" t="str">
        <f>IFERROR(INDEX('Match Log'!$C$4:$C$1510,MATCH($A345,'Match Log'!$A$4:$A$1510,0)),"")</f>
        <v>Darts</v>
      </c>
      <c r="D345" t="str">
        <f t="array" ref="D345">IFERROR(_xlfn.TEXTJOIN(" + ",TRUE(),IF(('Match Log'!$A$4:$A$1510=$A345)*('Match Log'!$E$4:$E$1510="Win"),'Match Log'!$D$4:$D$1510,"")),IFERROR(LOOKUP(2,1/(('Match Log'!$A$4:$A$1510=$A345)*('Match Log'!$E$4:$E$1510="Win")),'Match Log'!$D$4:$D$1510),""))</f>
        <v>Oscar</v>
      </c>
      <c r="E345">
        <f>IFERROR(INDEX('Match Log'!$F$4:$F$1510,MATCH($A345,'Match Log'!$A$4:$A$1510,0)),"")</f>
        <v>2</v>
      </c>
      <c r="F345">
        <f>IFERROR(SUMIFS('Match Log'!$I$4:$I$1510,'Match Log'!$A$4:$A$1510,$A345,'Match Log'!$E$4:$E$1510,"Win"),"")</f>
        <v>0.66666666666666663</v>
      </c>
      <c r="G345">
        <f t="shared" ref="G345:G408" si="32">IF($D345="","",1-$F345*$E345)</f>
        <v>-0.33333333333333326</v>
      </c>
      <c r="H345" t="str">
        <f t="array" ref="H345">IFERROR(IF(COUNTIFS('Match Log'!$A$4:$A$1510,$A345,'Match Log'!$E$4:$E$1510,"Win")&gt;1,_xlfn.TEXTJOIN(" + ",TRUE(),IF(('Match Log'!$A$4:$A$1510=$A345)*('Match Log'!$E$4:$E$1510="Loss"),'Match Log'!$D$4:$D$1510,"")),IF($E345=2,LOOKUP(2,1/(('Match Log'!$A$4:$A$1510=$A345)*('Match Log'!$E$4:$E$1510="Loss")),'Match Log'!$D$4:$D$1510),"the field")),"")</f>
        <v>Simon</v>
      </c>
      <c r="I345">
        <f t="shared" ref="I345:I408" si="33">IF($G345="","",$G345-$A345/1000000)</f>
        <v>-0.33365433333333328</v>
      </c>
      <c r="J345">
        <v>321</v>
      </c>
      <c r="K345">
        <f>IF($J345&gt;MAX('Match Log'!$A$4:$A$1510),NA(),IFERROR(LOOKUP(2,1/(('Match Log'!$D$4:$D$1510=$K$24)*('Match Log'!$A$4:$A$1510&lt;=$J345)),'Match Log'!$N$4:$N$1510),NA()))</f>
        <v>1209.6766156390552</v>
      </c>
      <c r="L345">
        <f>IF($J345&gt;MAX('Match Log'!$A$4:$A$1510),NA(),IFERROR(LOOKUP(2,1/(('Match Log'!$D$4:$D$1510=$L$24)*('Match Log'!$A$4:$A$1510&lt;=$J345)),'Match Log'!$N$4:$N$1510),NA()))</f>
        <v>1029.5175965335138</v>
      </c>
      <c r="M345">
        <f>IF($J345&gt;MAX('Match Log'!$A$4:$A$1510),NA(),IFERROR(LOOKUP(2,1/(('Match Log'!$D$4:$D$1510=$M$24)*('Match Log'!$A$4:$A$1510&lt;=$J345)),'Match Log'!$N$4:$N$1510),NA()))</f>
        <v>1048.0761030598392</v>
      </c>
      <c r="N345">
        <f>IF($J345&gt;MAX('Match Log'!$A$4:$A$1510),NA(),IFERROR(LOOKUP(2,1/(('Match Log'!$D$4:$D$1510=$N$24)*('Match Log'!$A$4:$A$1510&lt;=$J345)),'Match Log'!$N$4:$N$1510),NA()))</f>
        <v>907.03133644117429</v>
      </c>
      <c r="O345">
        <f>IF($J345&gt;MAX('Match Log'!$A$4:$A$1510),NA(),IFERROR(LOOKUP(2,1/(('Match Log'!$D$4:$D$1510=$O$24)*('Match Log'!$A$4:$A$1510&lt;=$J345)),'Match Log'!$N$4:$N$1510),NA()))</f>
        <v>1251.9358369946654</v>
      </c>
      <c r="P345">
        <f>IF($J345&gt;MAX('Match Log'!$A$4:$A$1510),NA(),IFERROR(LOOKUP(2,1/(('Match Log'!$D$4:$D$1510=$P$24)*('Match Log'!$A$4:$A$1510&lt;=$J345)),'Match Log'!$N$4:$N$1510),NA()))</f>
        <v>1240.5972700779639</v>
      </c>
      <c r="Q345">
        <f>IF($J345&gt;MAX('Match Log'!$A$4:$A$1510),NA(),IFERROR(LOOKUP(2,1/(('Match Log'!$D$4:$D$1510=$Q$24)*('Match Log'!$A$4:$A$1510&lt;=$J345)),'Match Log'!$N$4:$N$1510),NA()))</f>
        <v>1189.1811918109922</v>
      </c>
      <c r="R345">
        <f>IF($J345&gt;MAX('Match Log'!$A$4:$A$1510),NA(),IFERROR(LOOKUP(2,1/(('Match Log'!$D$4:$D$1510=$R$24)*('Match Log'!$A$4:$A$1510&lt;=$J345)),'Match Log'!$N$4:$N$1510),NA()))</f>
        <v>1190.9139027540671</v>
      </c>
      <c r="S345">
        <f>IF($J345&gt;MAX('Match Log'!$A$4:$A$1510),NA(),IFERROR(LOOKUP(2,1/(('Match Log'!$D$4:$D$1510=$S$24)*('Match Log'!$A$4:$A$1510&lt;=$J345)),'Match Log'!$N$4:$N$1510),NA()))</f>
        <v>1217.9015417269482</v>
      </c>
      <c r="T345">
        <f>IF($J345&gt;MAX('Match Log'!$A$4:$A$1510),NA(),IFERROR(LOOKUP(2,1/(('Match Log'!$D$4:$D$1510=$T$24)*('Match Log'!$A$4:$A$1510&lt;=$J345)),'Match Log'!$N$4:$N$1510),NA()))</f>
        <v>862.22294373677494</v>
      </c>
      <c r="U345">
        <f>IF($J345&gt;MAX('Match Log'!$A$4:$A$1510),NA(),IFERROR(LOOKUP(2,1/(('Match Log'!$D$4:$D$1510=$U$24)*('Match Log'!$A$4:$A$1510&lt;=$J345)),'Match Log'!$N$4:$N$1510),NA()))</f>
        <v>975.88952623636283</v>
      </c>
      <c r="V345">
        <f>IF($J345&gt;MAX('Match Log'!$A$4:$A$1510),NA(),IFERROR(LOOKUP(2,1/(('Match Log'!$D$4:$D$1510=$V$24)*('Match Log'!$A$4:$A$1510&lt;=$J345)),'Match Log'!$N$4:$N$1510),NA()))</f>
        <v>1087.5488947064855</v>
      </c>
      <c r="W345">
        <f>IF($J345&gt;MAX('Match Log'!$A$4:$A$1510),NA(),IFERROR(LOOKUP(2,1/(('Match Log'!$D$4:$D$1510=$W$24)*('Match Log'!$A$4:$A$1510&lt;=$J345)),'Match Log'!$N$4:$N$1510),NA()))</f>
        <v>1010.5072402821568</v>
      </c>
      <c r="X345" t="e">
        <f>IF($J345&gt;MAX('Match Log'!$A$4:$A$1510),NA(),IFERROR(LOOKUP(2,1/(('Match Log'!$D$4:$D$1510=$X$24)*('Match Log'!$A$4:$A$1510&lt;=$J345)),'Match Log'!$N$4:$N$1510),NA()))</f>
        <v>#N/A</v>
      </c>
      <c r="Y345">
        <f t="shared" ref="Y345:Y408" ca="1" si="34">IF(AND($B345&lt;&gt;"",$B345&gt;=$B$5,$I345&lt;&gt;""),$I345,"")</f>
        <v>-0.33365433333333328</v>
      </c>
    </row>
    <row r="346" spans="1:25" x14ac:dyDescent="0.2">
      <c r="A346">
        <v>322</v>
      </c>
      <c r="B346">
        <f>IFERROR(INDEX('Match Log'!$B$4:$B$1510,MATCH($A346,'Match Log'!$A$4:$A$1510,0)),"")</f>
        <v>46319</v>
      </c>
      <c r="C346" t="str">
        <f>IFERROR(INDEX('Match Log'!$C$4:$C$1510,MATCH($A346,'Match Log'!$A$4:$A$1510,0)),"")</f>
        <v>Darts</v>
      </c>
      <c r="D346" t="str">
        <f t="array" ref="D346">IFERROR(_xlfn.TEXTJOIN(" + ",TRUE(),IF(('Match Log'!$A$4:$A$1510=$A346)*('Match Log'!$E$4:$E$1510="Win"),'Match Log'!$D$4:$D$1510,"")),IFERROR(LOOKUP(2,1/(('Match Log'!$A$4:$A$1510=$A346)*('Match Log'!$E$4:$E$1510="Win")),'Match Log'!$D$4:$D$1510),""))</f>
        <v>Simon</v>
      </c>
      <c r="E346">
        <f>IFERROR(INDEX('Match Log'!$F$4:$F$1510,MATCH($A346,'Match Log'!$A$4:$A$1510,0)),"")</f>
        <v>2</v>
      </c>
      <c r="F346">
        <f>IFERROR(SUMIFS('Match Log'!$I$4:$I$1510,'Match Log'!$A$4:$A$1510,$A346,'Match Log'!$E$4:$E$1510,"Win"),"")</f>
        <v>0.25</v>
      </c>
      <c r="G346">
        <f t="shared" si="32"/>
        <v>0.5</v>
      </c>
      <c r="H346" t="str">
        <f t="array" ref="H346">IFERROR(IF(COUNTIFS('Match Log'!$A$4:$A$1510,$A346,'Match Log'!$E$4:$E$1510,"Win")&gt;1,_xlfn.TEXTJOIN(" + ",TRUE(),IF(('Match Log'!$A$4:$A$1510=$A346)*('Match Log'!$E$4:$E$1510="Loss"),'Match Log'!$D$4:$D$1510,"")),IF($E346=2,LOOKUP(2,1/(('Match Log'!$A$4:$A$1510=$A346)*('Match Log'!$E$4:$E$1510="Loss")),'Match Log'!$D$4:$D$1510),"the field")),"")</f>
        <v>Oscar</v>
      </c>
      <c r="I346">
        <f t="shared" si="33"/>
        <v>0.49967800000000001</v>
      </c>
      <c r="J346">
        <v>322</v>
      </c>
      <c r="K346">
        <f>IF($J346&gt;MAX('Match Log'!$A$4:$A$1510),NA(),IFERROR(LOOKUP(2,1/(('Match Log'!$D$4:$D$1510=$K$24)*('Match Log'!$A$4:$A$1510&lt;=$J346)),'Match Log'!$N$4:$N$1510),NA()))</f>
        <v>1209.6766156390552</v>
      </c>
      <c r="L346">
        <f>IF($J346&gt;MAX('Match Log'!$A$4:$A$1510),NA(),IFERROR(LOOKUP(2,1/(('Match Log'!$D$4:$D$1510=$L$24)*('Match Log'!$A$4:$A$1510&lt;=$J346)),'Match Log'!$N$4:$N$1510),NA()))</f>
        <v>1029.5175965335138</v>
      </c>
      <c r="M346">
        <f>IF($J346&gt;MAX('Match Log'!$A$4:$A$1510),NA(),IFERROR(LOOKUP(2,1/(('Match Log'!$D$4:$D$1510=$M$24)*('Match Log'!$A$4:$A$1510&lt;=$J346)),'Match Log'!$N$4:$N$1510),NA()))</f>
        <v>1048.0761030598392</v>
      </c>
      <c r="N346">
        <f>IF($J346&gt;MAX('Match Log'!$A$4:$A$1510),NA(),IFERROR(LOOKUP(2,1/(('Match Log'!$D$4:$D$1510=$N$24)*('Match Log'!$A$4:$A$1510&lt;=$J346)),'Match Log'!$N$4:$N$1510),NA()))</f>
        <v>907.03133644117429</v>
      </c>
      <c r="O346">
        <f>IF($J346&gt;MAX('Match Log'!$A$4:$A$1510),NA(),IFERROR(LOOKUP(2,1/(('Match Log'!$D$4:$D$1510=$O$24)*('Match Log'!$A$4:$A$1510&lt;=$J346)),'Match Log'!$N$4:$N$1510),NA()))</f>
        <v>1251.9358369946654</v>
      </c>
      <c r="P346">
        <f>IF($J346&gt;MAX('Match Log'!$A$4:$A$1510),NA(),IFERROR(LOOKUP(2,1/(('Match Log'!$D$4:$D$1510=$P$24)*('Match Log'!$A$4:$A$1510&lt;=$J346)),'Match Log'!$N$4:$N$1510),NA()))</f>
        <v>1240.5972700779639</v>
      </c>
      <c r="Q346">
        <f>IF($J346&gt;MAX('Match Log'!$A$4:$A$1510),NA(),IFERROR(LOOKUP(2,1/(('Match Log'!$D$4:$D$1510=$Q$24)*('Match Log'!$A$4:$A$1510&lt;=$J346)),'Match Log'!$N$4:$N$1510),NA()))</f>
        <v>1209.9191951039859</v>
      </c>
      <c r="R346">
        <f>IF($J346&gt;MAX('Match Log'!$A$4:$A$1510),NA(),IFERROR(LOOKUP(2,1/(('Match Log'!$D$4:$D$1510=$R$24)*('Match Log'!$A$4:$A$1510&lt;=$J346)),'Match Log'!$N$4:$N$1510),NA()))</f>
        <v>1190.9139027540671</v>
      </c>
      <c r="S346">
        <f>IF($J346&gt;MAX('Match Log'!$A$4:$A$1510),NA(),IFERROR(LOOKUP(2,1/(('Match Log'!$D$4:$D$1510=$S$24)*('Match Log'!$A$4:$A$1510&lt;=$J346)),'Match Log'!$N$4:$N$1510),NA()))</f>
        <v>1217.9015417269482</v>
      </c>
      <c r="T346">
        <f>IF($J346&gt;MAX('Match Log'!$A$4:$A$1510),NA(),IFERROR(LOOKUP(2,1/(('Match Log'!$D$4:$D$1510=$T$24)*('Match Log'!$A$4:$A$1510&lt;=$J346)),'Match Log'!$N$4:$N$1510),NA()))</f>
        <v>862.22294373677494</v>
      </c>
      <c r="U346">
        <f>IF($J346&gt;MAX('Match Log'!$A$4:$A$1510),NA(),IFERROR(LOOKUP(2,1/(('Match Log'!$D$4:$D$1510=$U$24)*('Match Log'!$A$4:$A$1510&lt;=$J346)),'Match Log'!$N$4:$N$1510),NA()))</f>
        <v>955.15152294336929</v>
      </c>
      <c r="V346">
        <f>IF($J346&gt;MAX('Match Log'!$A$4:$A$1510),NA(),IFERROR(LOOKUP(2,1/(('Match Log'!$D$4:$D$1510=$V$24)*('Match Log'!$A$4:$A$1510&lt;=$J346)),'Match Log'!$N$4:$N$1510),NA()))</f>
        <v>1087.5488947064855</v>
      </c>
      <c r="W346">
        <f>IF($J346&gt;MAX('Match Log'!$A$4:$A$1510),NA(),IFERROR(LOOKUP(2,1/(('Match Log'!$D$4:$D$1510=$W$24)*('Match Log'!$A$4:$A$1510&lt;=$J346)),'Match Log'!$N$4:$N$1510),NA()))</f>
        <v>1010.5072402821568</v>
      </c>
      <c r="X346" t="e">
        <f>IF($J346&gt;MAX('Match Log'!$A$4:$A$1510),NA(),IFERROR(LOOKUP(2,1/(('Match Log'!$D$4:$D$1510=$X$24)*('Match Log'!$A$4:$A$1510&lt;=$J346)),'Match Log'!$N$4:$N$1510),NA()))</f>
        <v>#N/A</v>
      </c>
      <c r="Y346">
        <f t="shared" ca="1" si="34"/>
        <v>0.49967800000000001</v>
      </c>
    </row>
    <row r="347" spans="1:25" x14ac:dyDescent="0.2">
      <c r="A347">
        <v>323</v>
      </c>
      <c r="B347">
        <f>IFERROR(INDEX('Match Log'!$B$4:$B$1510,MATCH($A347,'Match Log'!$A$4:$A$1510,0)),"")</f>
        <v>46319</v>
      </c>
      <c r="C347" t="str">
        <f>IFERROR(INDEX('Match Log'!$C$4:$C$1510,MATCH($A347,'Match Log'!$A$4:$A$1510,0)),"")</f>
        <v>Darts</v>
      </c>
      <c r="D347" t="str">
        <f t="array" ref="D347">IFERROR(_xlfn.TEXTJOIN(" + ",TRUE(),IF(('Match Log'!$A$4:$A$1510=$A347)*('Match Log'!$E$4:$E$1510="Win"),'Match Log'!$D$4:$D$1510,"")),IFERROR(LOOKUP(2,1/(('Match Log'!$A$4:$A$1510=$A347)*('Match Log'!$E$4:$E$1510="Win")),'Match Log'!$D$4:$D$1510),""))</f>
        <v>Oscar</v>
      </c>
      <c r="E347">
        <f>IFERROR(INDEX('Match Log'!$F$4:$F$1510,MATCH($A347,'Match Log'!$A$4:$A$1510,0)),"")</f>
        <v>2</v>
      </c>
      <c r="F347">
        <f>IFERROR(SUMIFS('Match Log'!$I$4:$I$1510,'Match Log'!$A$4:$A$1510,$A347,'Match Log'!$E$4:$E$1510,"Win"),"")</f>
        <v>0.60000000000000009</v>
      </c>
      <c r="G347">
        <f t="shared" si="32"/>
        <v>-0.20000000000000018</v>
      </c>
      <c r="H347" t="str">
        <f t="array" ref="H347">IFERROR(IF(COUNTIFS('Match Log'!$A$4:$A$1510,$A347,'Match Log'!$E$4:$E$1510,"Win")&gt;1,_xlfn.TEXTJOIN(" + ",TRUE(),IF(('Match Log'!$A$4:$A$1510=$A347)*('Match Log'!$E$4:$E$1510="Loss"),'Match Log'!$D$4:$D$1510,"")),IF($E347=2,LOOKUP(2,1/(('Match Log'!$A$4:$A$1510=$A347)*('Match Log'!$E$4:$E$1510="Loss")),'Match Log'!$D$4:$D$1510),"the field")),"")</f>
        <v>Simon</v>
      </c>
      <c r="I347">
        <f t="shared" si="33"/>
        <v>-0.20032300000000017</v>
      </c>
      <c r="J347">
        <v>323</v>
      </c>
      <c r="K347">
        <f>IF($J347&gt;MAX('Match Log'!$A$4:$A$1510),NA(),IFERROR(LOOKUP(2,1/(('Match Log'!$D$4:$D$1510=$K$24)*('Match Log'!$A$4:$A$1510&lt;=$J347)),'Match Log'!$N$4:$N$1510),NA()))</f>
        <v>1209.6766156390552</v>
      </c>
      <c r="L347">
        <f>IF($J347&gt;MAX('Match Log'!$A$4:$A$1510),NA(),IFERROR(LOOKUP(2,1/(('Match Log'!$D$4:$D$1510=$L$24)*('Match Log'!$A$4:$A$1510&lt;=$J347)),'Match Log'!$N$4:$N$1510),NA()))</f>
        <v>1029.5175965335138</v>
      </c>
      <c r="M347">
        <f>IF($J347&gt;MAX('Match Log'!$A$4:$A$1510),NA(),IFERROR(LOOKUP(2,1/(('Match Log'!$D$4:$D$1510=$M$24)*('Match Log'!$A$4:$A$1510&lt;=$J347)),'Match Log'!$N$4:$N$1510),NA()))</f>
        <v>1048.0761030598392</v>
      </c>
      <c r="N347">
        <f>IF($J347&gt;MAX('Match Log'!$A$4:$A$1510),NA(),IFERROR(LOOKUP(2,1/(('Match Log'!$D$4:$D$1510=$N$24)*('Match Log'!$A$4:$A$1510&lt;=$J347)),'Match Log'!$N$4:$N$1510),NA()))</f>
        <v>907.03133644117429</v>
      </c>
      <c r="O347">
        <f>IF($J347&gt;MAX('Match Log'!$A$4:$A$1510),NA(),IFERROR(LOOKUP(2,1/(('Match Log'!$D$4:$D$1510=$O$24)*('Match Log'!$A$4:$A$1510&lt;=$J347)),'Match Log'!$N$4:$N$1510),NA()))</f>
        <v>1251.9358369946654</v>
      </c>
      <c r="P347">
        <f>IF($J347&gt;MAX('Match Log'!$A$4:$A$1510),NA(),IFERROR(LOOKUP(2,1/(('Match Log'!$D$4:$D$1510=$P$24)*('Match Log'!$A$4:$A$1510&lt;=$J347)),'Match Log'!$N$4:$N$1510),NA()))</f>
        <v>1240.5972700779639</v>
      </c>
      <c r="Q347">
        <f>IF($J347&gt;MAX('Match Log'!$A$4:$A$1510),NA(),IFERROR(LOOKUP(2,1/(('Match Log'!$D$4:$D$1510=$Q$24)*('Match Log'!$A$4:$A$1510&lt;=$J347)),'Match Log'!$N$4:$N$1510),NA()))</f>
        <v>1183.835584669815</v>
      </c>
      <c r="R347">
        <f>IF($J347&gt;MAX('Match Log'!$A$4:$A$1510),NA(),IFERROR(LOOKUP(2,1/(('Match Log'!$D$4:$D$1510=$R$24)*('Match Log'!$A$4:$A$1510&lt;=$J347)),'Match Log'!$N$4:$N$1510),NA()))</f>
        <v>1190.9139027540671</v>
      </c>
      <c r="S347">
        <f>IF($J347&gt;MAX('Match Log'!$A$4:$A$1510),NA(),IFERROR(LOOKUP(2,1/(('Match Log'!$D$4:$D$1510=$S$24)*('Match Log'!$A$4:$A$1510&lt;=$J347)),'Match Log'!$N$4:$N$1510),NA()))</f>
        <v>1217.9015417269482</v>
      </c>
      <c r="T347">
        <f>IF($J347&gt;MAX('Match Log'!$A$4:$A$1510),NA(),IFERROR(LOOKUP(2,1/(('Match Log'!$D$4:$D$1510=$T$24)*('Match Log'!$A$4:$A$1510&lt;=$J347)),'Match Log'!$N$4:$N$1510),NA()))</f>
        <v>862.22294373677494</v>
      </c>
      <c r="U347">
        <f>IF($J347&gt;MAX('Match Log'!$A$4:$A$1510),NA(),IFERROR(LOOKUP(2,1/(('Match Log'!$D$4:$D$1510=$U$24)*('Match Log'!$A$4:$A$1510&lt;=$J347)),'Match Log'!$N$4:$N$1510),NA()))</f>
        <v>981.23513337754014</v>
      </c>
      <c r="V347">
        <f>IF($J347&gt;MAX('Match Log'!$A$4:$A$1510),NA(),IFERROR(LOOKUP(2,1/(('Match Log'!$D$4:$D$1510=$V$24)*('Match Log'!$A$4:$A$1510&lt;=$J347)),'Match Log'!$N$4:$N$1510),NA()))</f>
        <v>1087.5488947064855</v>
      </c>
      <c r="W347">
        <f>IF($J347&gt;MAX('Match Log'!$A$4:$A$1510),NA(),IFERROR(LOOKUP(2,1/(('Match Log'!$D$4:$D$1510=$W$24)*('Match Log'!$A$4:$A$1510&lt;=$J347)),'Match Log'!$N$4:$N$1510),NA()))</f>
        <v>1010.5072402821568</v>
      </c>
      <c r="X347" t="e">
        <f>IF($J347&gt;MAX('Match Log'!$A$4:$A$1510),NA(),IFERROR(LOOKUP(2,1/(('Match Log'!$D$4:$D$1510=$X$24)*('Match Log'!$A$4:$A$1510&lt;=$J347)),'Match Log'!$N$4:$N$1510),NA()))</f>
        <v>#N/A</v>
      </c>
      <c r="Y347">
        <f t="shared" ca="1" si="34"/>
        <v>-0.20032300000000017</v>
      </c>
    </row>
    <row r="348" spans="1:25" x14ac:dyDescent="0.2">
      <c r="A348">
        <v>324</v>
      </c>
      <c r="B348">
        <f>IFERROR(INDEX('Match Log'!$B$4:$B$1510,MATCH($A348,'Match Log'!$A$4:$A$1510,0)),"")</f>
        <v>46319</v>
      </c>
      <c r="C348" t="str">
        <f>IFERROR(INDEX('Match Log'!$C$4:$C$1510,MATCH($A348,'Match Log'!$A$4:$A$1510,0)),"")</f>
        <v>Darts</v>
      </c>
      <c r="D348" t="str">
        <f t="array" ref="D348">IFERROR(_xlfn.TEXTJOIN(" + ",TRUE(),IF(('Match Log'!$A$4:$A$1510=$A348)*('Match Log'!$E$4:$E$1510="Win"),'Match Log'!$D$4:$D$1510,"")),IFERROR(LOOKUP(2,1/(('Match Log'!$A$4:$A$1510=$A348)*('Match Log'!$E$4:$E$1510="Win")),'Match Log'!$D$4:$D$1510),""))</f>
        <v>Simon</v>
      </c>
      <c r="E348">
        <f>IFERROR(INDEX('Match Log'!$F$4:$F$1510,MATCH($A348,'Match Log'!$A$4:$A$1510,0)),"")</f>
        <v>3</v>
      </c>
      <c r="F348">
        <f>IFERROR(SUMIFS('Match Log'!$I$4:$I$1510,'Match Log'!$A$4:$A$1510,$A348,'Match Log'!$E$4:$E$1510,"Win"),"")</f>
        <v>0.23076923076923078</v>
      </c>
      <c r="G348">
        <f t="shared" si="32"/>
        <v>0.30769230769230771</v>
      </c>
      <c r="H348" t="str">
        <f t="array" ref="H348">IFERROR(IF(COUNTIFS('Match Log'!$A$4:$A$1510,$A348,'Match Log'!$E$4:$E$1510,"Win")&gt;1,_xlfn.TEXTJOIN(" + ",TRUE(),IF(('Match Log'!$A$4:$A$1510=$A348)*('Match Log'!$E$4:$E$1510="Loss"),'Match Log'!$D$4:$D$1510,"")),IF($E348=2,LOOKUP(2,1/(('Match Log'!$A$4:$A$1510=$A348)*('Match Log'!$E$4:$E$1510="Loss")),'Match Log'!$D$4:$D$1510),"the field")),"")</f>
        <v>the field</v>
      </c>
      <c r="I348">
        <f t="shared" si="33"/>
        <v>0.30736830769230772</v>
      </c>
      <c r="J348">
        <v>324</v>
      </c>
      <c r="K348">
        <f>IF($J348&gt;MAX('Match Log'!$A$4:$A$1510),NA(),IFERROR(LOOKUP(2,1/(('Match Log'!$D$4:$D$1510=$K$24)*('Match Log'!$A$4:$A$1510&lt;=$J348)),'Match Log'!$N$4:$N$1510),NA()))</f>
        <v>1209.6766156390552</v>
      </c>
      <c r="L348">
        <f>IF($J348&gt;MAX('Match Log'!$A$4:$A$1510),NA(),IFERROR(LOOKUP(2,1/(('Match Log'!$D$4:$D$1510=$L$24)*('Match Log'!$A$4:$A$1510&lt;=$J348)),'Match Log'!$N$4:$N$1510),NA()))</f>
        <v>1029.5175965335138</v>
      </c>
      <c r="M348">
        <f>IF($J348&gt;MAX('Match Log'!$A$4:$A$1510),NA(),IFERROR(LOOKUP(2,1/(('Match Log'!$D$4:$D$1510=$M$24)*('Match Log'!$A$4:$A$1510&lt;=$J348)),'Match Log'!$N$4:$N$1510),NA()))</f>
        <v>1048.0761030598392</v>
      </c>
      <c r="N348">
        <f>IF($J348&gt;MAX('Match Log'!$A$4:$A$1510),NA(),IFERROR(LOOKUP(2,1/(('Match Log'!$D$4:$D$1510=$N$24)*('Match Log'!$A$4:$A$1510&lt;=$J348)),'Match Log'!$N$4:$N$1510),NA()))</f>
        <v>907.03133644117429</v>
      </c>
      <c r="O348">
        <f>IF($J348&gt;MAX('Match Log'!$A$4:$A$1510),NA(),IFERROR(LOOKUP(2,1/(('Match Log'!$D$4:$D$1510=$O$24)*('Match Log'!$A$4:$A$1510&lt;=$J348)),'Match Log'!$N$4:$N$1510),NA()))</f>
        <v>1251.9358369946654</v>
      </c>
      <c r="P348">
        <f>IF($J348&gt;MAX('Match Log'!$A$4:$A$1510),NA(),IFERROR(LOOKUP(2,1/(('Match Log'!$D$4:$D$1510=$P$24)*('Match Log'!$A$4:$A$1510&lt;=$J348)),'Match Log'!$N$4:$N$1510),NA()))</f>
        <v>1231.9133292156973</v>
      </c>
      <c r="Q348">
        <f>IF($J348&gt;MAX('Match Log'!$A$4:$A$1510),NA(),IFERROR(LOOKUP(2,1/(('Match Log'!$D$4:$D$1510=$Q$24)*('Match Log'!$A$4:$A$1510&lt;=$J348)),'Match Log'!$N$4:$N$1510),NA()))</f>
        <v>1210.5445492849278</v>
      </c>
      <c r="R348">
        <f>IF($J348&gt;MAX('Match Log'!$A$4:$A$1510),NA(),IFERROR(LOOKUP(2,1/(('Match Log'!$D$4:$D$1510=$R$24)*('Match Log'!$A$4:$A$1510&lt;=$J348)),'Match Log'!$N$4:$N$1510),NA()))</f>
        <v>1190.9139027540671</v>
      </c>
      <c r="S348">
        <f>IF($J348&gt;MAX('Match Log'!$A$4:$A$1510),NA(),IFERROR(LOOKUP(2,1/(('Match Log'!$D$4:$D$1510=$S$24)*('Match Log'!$A$4:$A$1510&lt;=$J348)),'Match Log'!$N$4:$N$1510),NA()))</f>
        <v>1217.9015417269482</v>
      </c>
      <c r="T348">
        <f>IF($J348&gt;MAX('Match Log'!$A$4:$A$1510),NA(),IFERROR(LOOKUP(2,1/(('Match Log'!$D$4:$D$1510=$T$24)*('Match Log'!$A$4:$A$1510&lt;=$J348)),'Match Log'!$N$4:$N$1510),NA()))</f>
        <v>862.22294373677494</v>
      </c>
      <c r="U348">
        <f>IF($J348&gt;MAX('Match Log'!$A$4:$A$1510),NA(),IFERROR(LOOKUP(2,1/(('Match Log'!$D$4:$D$1510=$U$24)*('Match Log'!$A$4:$A$1510&lt;=$J348)),'Match Log'!$N$4:$N$1510),NA()))</f>
        <v>972.21010962469381</v>
      </c>
      <c r="V348">
        <f>IF($J348&gt;MAX('Match Log'!$A$4:$A$1510),NA(),IFERROR(LOOKUP(2,1/(('Match Log'!$D$4:$D$1510=$V$24)*('Match Log'!$A$4:$A$1510&lt;=$J348)),'Match Log'!$N$4:$N$1510),NA()))</f>
        <v>1087.5488947064855</v>
      </c>
      <c r="W348">
        <f>IF($J348&gt;MAX('Match Log'!$A$4:$A$1510),NA(),IFERROR(LOOKUP(2,1/(('Match Log'!$D$4:$D$1510=$W$24)*('Match Log'!$A$4:$A$1510&lt;=$J348)),'Match Log'!$N$4:$N$1510),NA()))</f>
        <v>1010.5072402821568</v>
      </c>
      <c r="X348" t="e">
        <f>IF($J348&gt;MAX('Match Log'!$A$4:$A$1510),NA(),IFERROR(LOOKUP(2,1/(('Match Log'!$D$4:$D$1510=$X$24)*('Match Log'!$A$4:$A$1510&lt;=$J348)),'Match Log'!$N$4:$N$1510),NA()))</f>
        <v>#N/A</v>
      </c>
      <c r="Y348">
        <f t="shared" ca="1" si="34"/>
        <v>0.30736830769230772</v>
      </c>
    </row>
    <row r="349" spans="1:25" x14ac:dyDescent="0.2">
      <c r="A349">
        <v>325</v>
      </c>
      <c r="B349">
        <f>IFERROR(INDEX('Match Log'!$B$4:$B$1510,MATCH($A349,'Match Log'!$A$4:$A$1510,0)),"")</f>
        <v>46319</v>
      </c>
      <c r="C349" t="str">
        <f>IFERROR(INDEX('Match Log'!$C$4:$C$1510,MATCH($A349,'Match Log'!$A$4:$A$1510,0)),"")</f>
        <v>Call of Duty</v>
      </c>
      <c r="D349" t="str">
        <f t="array" ref="D349">IFERROR(_xlfn.TEXTJOIN(" + ",TRUE(),IF(('Match Log'!$A$4:$A$1510=$A349)*('Match Log'!$E$4:$E$1510="Win"),'Match Log'!$D$4:$D$1510,"")),IFERROR(LOOKUP(2,1/(('Match Log'!$A$4:$A$1510=$A349)*('Match Log'!$E$4:$E$1510="Win")),'Match Log'!$D$4:$D$1510),""))</f>
        <v>Daniel (Ferret)</v>
      </c>
      <c r="E349">
        <f>IFERROR(INDEX('Match Log'!$F$4:$F$1510,MATCH($A349,'Match Log'!$A$4:$A$1510,0)),"")</f>
        <v>2</v>
      </c>
      <c r="F349">
        <f>IFERROR(SUMIFS('Match Log'!$I$4:$I$1510,'Match Log'!$A$4:$A$1510,$A349,'Match Log'!$E$4:$E$1510,"Win"),"")</f>
        <v>0.66666666666666674</v>
      </c>
      <c r="G349">
        <f t="shared" si="32"/>
        <v>-0.33333333333333348</v>
      </c>
      <c r="H349" t="str">
        <f t="array" ref="H349">IFERROR(IF(COUNTIFS('Match Log'!$A$4:$A$1510,$A349,'Match Log'!$E$4:$E$1510,"Win")&gt;1,_xlfn.TEXTJOIN(" + ",TRUE(),IF(('Match Log'!$A$4:$A$1510=$A349)*('Match Log'!$E$4:$E$1510="Loss"),'Match Log'!$D$4:$D$1510,"")),IF($E349=2,LOOKUP(2,1/(('Match Log'!$A$4:$A$1510=$A349)*('Match Log'!$E$4:$E$1510="Loss")),'Match Log'!$D$4:$D$1510),"the field")),"")</f>
        <v>Aaron</v>
      </c>
      <c r="I349">
        <f t="shared" si="33"/>
        <v>-0.3336583333333335</v>
      </c>
      <c r="J349">
        <v>325</v>
      </c>
      <c r="K349">
        <f>IF($J349&gt;MAX('Match Log'!$A$4:$A$1510),NA(),IFERROR(LOOKUP(2,1/(('Match Log'!$D$4:$D$1510=$K$24)*('Match Log'!$A$4:$A$1510&lt;=$J349)),'Match Log'!$N$4:$N$1510),NA()))</f>
        <v>1191.6033931950399</v>
      </c>
      <c r="L349">
        <f>IF($J349&gt;MAX('Match Log'!$A$4:$A$1510),NA(),IFERROR(LOOKUP(2,1/(('Match Log'!$D$4:$D$1510=$L$24)*('Match Log'!$A$4:$A$1510&lt;=$J349)),'Match Log'!$N$4:$N$1510),NA()))</f>
        <v>1029.5175965335138</v>
      </c>
      <c r="M349">
        <f>IF($J349&gt;MAX('Match Log'!$A$4:$A$1510),NA(),IFERROR(LOOKUP(2,1/(('Match Log'!$D$4:$D$1510=$M$24)*('Match Log'!$A$4:$A$1510&lt;=$J349)),'Match Log'!$N$4:$N$1510),NA()))</f>
        <v>1048.0761030598392</v>
      </c>
      <c r="N349">
        <f>IF($J349&gt;MAX('Match Log'!$A$4:$A$1510),NA(),IFERROR(LOOKUP(2,1/(('Match Log'!$D$4:$D$1510=$N$24)*('Match Log'!$A$4:$A$1510&lt;=$J349)),'Match Log'!$N$4:$N$1510),NA()))</f>
        <v>907.03133644117429</v>
      </c>
      <c r="O349">
        <f>IF($J349&gt;MAX('Match Log'!$A$4:$A$1510),NA(),IFERROR(LOOKUP(2,1/(('Match Log'!$D$4:$D$1510=$O$24)*('Match Log'!$A$4:$A$1510&lt;=$J349)),'Match Log'!$N$4:$N$1510),NA()))</f>
        <v>1251.9358369946654</v>
      </c>
      <c r="P349">
        <f>IF($J349&gt;MAX('Match Log'!$A$4:$A$1510),NA(),IFERROR(LOOKUP(2,1/(('Match Log'!$D$4:$D$1510=$P$24)*('Match Log'!$A$4:$A$1510&lt;=$J349)),'Match Log'!$N$4:$N$1510),NA()))</f>
        <v>1231.9133292156973</v>
      </c>
      <c r="Q349">
        <f>IF($J349&gt;MAX('Match Log'!$A$4:$A$1510),NA(),IFERROR(LOOKUP(2,1/(('Match Log'!$D$4:$D$1510=$Q$24)*('Match Log'!$A$4:$A$1510&lt;=$J349)),'Match Log'!$N$4:$N$1510),NA()))</f>
        <v>1210.5445492849278</v>
      </c>
      <c r="R349">
        <f>IF($J349&gt;MAX('Match Log'!$A$4:$A$1510),NA(),IFERROR(LOOKUP(2,1/(('Match Log'!$D$4:$D$1510=$R$24)*('Match Log'!$A$4:$A$1510&lt;=$J349)),'Match Log'!$N$4:$N$1510),NA()))</f>
        <v>1208.9871251980824</v>
      </c>
      <c r="S349">
        <f>IF($J349&gt;MAX('Match Log'!$A$4:$A$1510),NA(),IFERROR(LOOKUP(2,1/(('Match Log'!$D$4:$D$1510=$S$24)*('Match Log'!$A$4:$A$1510&lt;=$J349)),'Match Log'!$N$4:$N$1510),NA()))</f>
        <v>1217.9015417269482</v>
      </c>
      <c r="T349">
        <f>IF($J349&gt;MAX('Match Log'!$A$4:$A$1510),NA(),IFERROR(LOOKUP(2,1/(('Match Log'!$D$4:$D$1510=$T$24)*('Match Log'!$A$4:$A$1510&lt;=$J349)),'Match Log'!$N$4:$N$1510),NA()))</f>
        <v>862.22294373677494</v>
      </c>
      <c r="U349">
        <f>IF($J349&gt;MAX('Match Log'!$A$4:$A$1510),NA(),IFERROR(LOOKUP(2,1/(('Match Log'!$D$4:$D$1510=$U$24)*('Match Log'!$A$4:$A$1510&lt;=$J349)),'Match Log'!$N$4:$N$1510),NA()))</f>
        <v>972.21010962469381</v>
      </c>
      <c r="V349">
        <f>IF($J349&gt;MAX('Match Log'!$A$4:$A$1510),NA(),IFERROR(LOOKUP(2,1/(('Match Log'!$D$4:$D$1510=$V$24)*('Match Log'!$A$4:$A$1510&lt;=$J349)),'Match Log'!$N$4:$N$1510),NA()))</f>
        <v>1087.5488947064855</v>
      </c>
      <c r="W349">
        <f>IF($J349&gt;MAX('Match Log'!$A$4:$A$1510),NA(),IFERROR(LOOKUP(2,1/(('Match Log'!$D$4:$D$1510=$W$24)*('Match Log'!$A$4:$A$1510&lt;=$J349)),'Match Log'!$N$4:$N$1510),NA()))</f>
        <v>1010.5072402821568</v>
      </c>
      <c r="X349" t="e">
        <f>IF($J349&gt;MAX('Match Log'!$A$4:$A$1510),NA(),IFERROR(LOOKUP(2,1/(('Match Log'!$D$4:$D$1510=$X$24)*('Match Log'!$A$4:$A$1510&lt;=$J349)),'Match Log'!$N$4:$N$1510),NA()))</f>
        <v>#N/A</v>
      </c>
      <c r="Y349">
        <f t="shared" ca="1" si="34"/>
        <v>-0.3336583333333335</v>
      </c>
    </row>
    <row r="350" spans="1:25" x14ac:dyDescent="0.2">
      <c r="A350">
        <v>326</v>
      </c>
      <c r="B350">
        <f>IFERROR(INDEX('Match Log'!$B$4:$B$1510,MATCH($A350,'Match Log'!$A$4:$A$1510,0)),"")</f>
        <v>46319</v>
      </c>
      <c r="C350" t="str">
        <f>IFERROR(INDEX('Match Log'!$C$4:$C$1510,MATCH($A350,'Match Log'!$A$4:$A$1510,0)),"")</f>
        <v>Call of Duty</v>
      </c>
      <c r="D350" t="str">
        <f t="array" ref="D350">IFERROR(_xlfn.TEXTJOIN(" + ",TRUE(),IF(('Match Log'!$A$4:$A$1510=$A350)*('Match Log'!$E$4:$E$1510="Win"),'Match Log'!$D$4:$D$1510,"")),IFERROR(LOOKUP(2,1/(('Match Log'!$A$4:$A$1510=$A350)*('Match Log'!$E$4:$E$1510="Win")),'Match Log'!$D$4:$D$1510),""))</f>
        <v>Aaron</v>
      </c>
      <c r="E350">
        <f>IFERROR(INDEX('Match Log'!$F$4:$F$1510,MATCH($A350,'Match Log'!$A$4:$A$1510,0)),"")</f>
        <v>2</v>
      </c>
      <c r="F350">
        <f>IFERROR(SUMIFS('Match Log'!$I$4:$I$1510,'Match Log'!$A$4:$A$1510,$A350,'Match Log'!$E$4:$E$1510,"Win"),"")</f>
        <v>0.30769230769230771</v>
      </c>
      <c r="G350">
        <f t="shared" si="32"/>
        <v>0.38461538461538458</v>
      </c>
      <c r="H350" t="str">
        <f t="array" ref="H350">IFERROR(IF(COUNTIFS('Match Log'!$A$4:$A$1510,$A350,'Match Log'!$E$4:$E$1510,"Win")&gt;1,_xlfn.TEXTJOIN(" + ",TRUE(),IF(('Match Log'!$A$4:$A$1510=$A350)*('Match Log'!$E$4:$E$1510="Loss"),'Match Log'!$D$4:$D$1510,"")),IF($E350=2,LOOKUP(2,1/(('Match Log'!$A$4:$A$1510=$A350)*('Match Log'!$E$4:$E$1510="Loss")),'Match Log'!$D$4:$D$1510),"the field")),"")</f>
        <v>Daniel (Ferret)</v>
      </c>
      <c r="I350">
        <f t="shared" si="33"/>
        <v>0.38428938461538459</v>
      </c>
      <c r="J350">
        <v>326</v>
      </c>
      <c r="K350">
        <f>IF($J350&gt;MAX('Match Log'!$A$4:$A$1510),NA(),IFERROR(LOOKUP(2,1/(('Match Log'!$D$4:$D$1510=$K$24)*('Match Log'!$A$4:$A$1510&lt;=$J350)),'Match Log'!$N$4:$N$1510),NA()))</f>
        <v>1219.2284095766402</v>
      </c>
      <c r="L350">
        <f>IF($J350&gt;MAX('Match Log'!$A$4:$A$1510),NA(),IFERROR(LOOKUP(2,1/(('Match Log'!$D$4:$D$1510=$L$24)*('Match Log'!$A$4:$A$1510&lt;=$J350)),'Match Log'!$N$4:$N$1510),NA()))</f>
        <v>1029.5175965335138</v>
      </c>
      <c r="M350">
        <f>IF($J350&gt;MAX('Match Log'!$A$4:$A$1510),NA(),IFERROR(LOOKUP(2,1/(('Match Log'!$D$4:$D$1510=$M$24)*('Match Log'!$A$4:$A$1510&lt;=$J350)),'Match Log'!$N$4:$N$1510),NA()))</f>
        <v>1048.0761030598392</v>
      </c>
      <c r="N350">
        <f>IF($J350&gt;MAX('Match Log'!$A$4:$A$1510),NA(),IFERROR(LOOKUP(2,1/(('Match Log'!$D$4:$D$1510=$N$24)*('Match Log'!$A$4:$A$1510&lt;=$J350)),'Match Log'!$N$4:$N$1510),NA()))</f>
        <v>907.03133644117429</v>
      </c>
      <c r="O350">
        <f>IF($J350&gt;MAX('Match Log'!$A$4:$A$1510),NA(),IFERROR(LOOKUP(2,1/(('Match Log'!$D$4:$D$1510=$O$24)*('Match Log'!$A$4:$A$1510&lt;=$J350)),'Match Log'!$N$4:$N$1510),NA()))</f>
        <v>1251.9358369946654</v>
      </c>
      <c r="P350">
        <f>IF($J350&gt;MAX('Match Log'!$A$4:$A$1510),NA(),IFERROR(LOOKUP(2,1/(('Match Log'!$D$4:$D$1510=$P$24)*('Match Log'!$A$4:$A$1510&lt;=$J350)),'Match Log'!$N$4:$N$1510),NA()))</f>
        <v>1231.9133292156973</v>
      </c>
      <c r="Q350">
        <f>IF($J350&gt;MAX('Match Log'!$A$4:$A$1510),NA(),IFERROR(LOOKUP(2,1/(('Match Log'!$D$4:$D$1510=$Q$24)*('Match Log'!$A$4:$A$1510&lt;=$J350)),'Match Log'!$N$4:$N$1510),NA()))</f>
        <v>1210.5445492849278</v>
      </c>
      <c r="R350">
        <f>IF($J350&gt;MAX('Match Log'!$A$4:$A$1510),NA(),IFERROR(LOOKUP(2,1/(('Match Log'!$D$4:$D$1510=$R$24)*('Match Log'!$A$4:$A$1510&lt;=$J350)),'Match Log'!$N$4:$N$1510),NA()))</f>
        <v>1181.3621088164821</v>
      </c>
      <c r="S350">
        <f>IF($J350&gt;MAX('Match Log'!$A$4:$A$1510),NA(),IFERROR(LOOKUP(2,1/(('Match Log'!$D$4:$D$1510=$S$24)*('Match Log'!$A$4:$A$1510&lt;=$J350)),'Match Log'!$N$4:$N$1510),NA()))</f>
        <v>1217.9015417269482</v>
      </c>
      <c r="T350">
        <f>IF($J350&gt;MAX('Match Log'!$A$4:$A$1510),NA(),IFERROR(LOOKUP(2,1/(('Match Log'!$D$4:$D$1510=$T$24)*('Match Log'!$A$4:$A$1510&lt;=$J350)),'Match Log'!$N$4:$N$1510),NA()))</f>
        <v>862.22294373677494</v>
      </c>
      <c r="U350">
        <f>IF($J350&gt;MAX('Match Log'!$A$4:$A$1510),NA(),IFERROR(LOOKUP(2,1/(('Match Log'!$D$4:$D$1510=$U$24)*('Match Log'!$A$4:$A$1510&lt;=$J350)),'Match Log'!$N$4:$N$1510),NA()))</f>
        <v>972.21010962469381</v>
      </c>
      <c r="V350">
        <f>IF($J350&gt;MAX('Match Log'!$A$4:$A$1510),NA(),IFERROR(LOOKUP(2,1/(('Match Log'!$D$4:$D$1510=$V$24)*('Match Log'!$A$4:$A$1510&lt;=$J350)),'Match Log'!$N$4:$N$1510),NA()))</f>
        <v>1087.5488947064855</v>
      </c>
      <c r="W350">
        <f>IF($J350&gt;MAX('Match Log'!$A$4:$A$1510),NA(),IFERROR(LOOKUP(2,1/(('Match Log'!$D$4:$D$1510=$W$24)*('Match Log'!$A$4:$A$1510&lt;=$J350)),'Match Log'!$N$4:$N$1510),NA()))</f>
        <v>1010.5072402821568</v>
      </c>
      <c r="X350" t="e">
        <f>IF($J350&gt;MAX('Match Log'!$A$4:$A$1510),NA(),IFERROR(LOOKUP(2,1/(('Match Log'!$D$4:$D$1510=$X$24)*('Match Log'!$A$4:$A$1510&lt;=$J350)),'Match Log'!$N$4:$N$1510),NA()))</f>
        <v>#N/A</v>
      </c>
      <c r="Y350">
        <f t="shared" ca="1" si="34"/>
        <v>0.38428938461538459</v>
      </c>
    </row>
    <row r="351" spans="1:25" x14ac:dyDescent="0.2">
      <c r="A351">
        <v>327</v>
      </c>
      <c r="B351">
        <f>IFERROR(INDEX('Match Log'!$B$4:$B$1510,MATCH($A351,'Match Log'!$A$4:$A$1510,0)),"")</f>
        <v>46319</v>
      </c>
      <c r="C351" t="str">
        <f>IFERROR(INDEX('Match Log'!$C$4:$C$1510,MATCH($A351,'Match Log'!$A$4:$A$1510,0)),"")</f>
        <v>Call of Duty</v>
      </c>
      <c r="D351" t="str">
        <f t="array" ref="D351">IFERROR(_xlfn.TEXTJOIN(" + ",TRUE(),IF(('Match Log'!$A$4:$A$1510=$A351)*('Match Log'!$E$4:$E$1510="Win"),'Match Log'!$D$4:$D$1510,"")),IFERROR(LOOKUP(2,1/(('Match Log'!$A$4:$A$1510=$A351)*('Match Log'!$E$4:$E$1510="Win")),'Match Log'!$D$4:$D$1510),""))</f>
        <v>Aaron</v>
      </c>
      <c r="E351">
        <f>IFERROR(INDEX('Match Log'!$F$4:$F$1510,MATCH($A351,'Match Log'!$A$4:$A$1510,0)),"")</f>
        <v>2</v>
      </c>
      <c r="F351">
        <f>IFERROR(SUMIFS('Match Log'!$I$4:$I$1510,'Match Log'!$A$4:$A$1510,$A351,'Match Log'!$E$4:$E$1510,"Win"),"")</f>
        <v>0.35714285714285721</v>
      </c>
      <c r="G351">
        <f t="shared" si="32"/>
        <v>0.28571428571428559</v>
      </c>
      <c r="H351" t="str">
        <f t="array" ref="H351">IFERROR(IF(COUNTIFS('Match Log'!$A$4:$A$1510,$A351,'Match Log'!$E$4:$E$1510,"Win")&gt;1,_xlfn.TEXTJOIN(" + ",TRUE(),IF(('Match Log'!$A$4:$A$1510=$A351)*('Match Log'!$E$4:$E$1510="Loss"),'Match Log'!$D$4:$D$1510,"")),IF($E351=2,LOOKUP(2,1/(('Match Log'!$A$4:$A$1510=$A351)*('Match Log'!$E$4:$E$1510="Loss")),'Match Log'!$D$4:$D$1510),"the field")),"")</f>
        <v>Daniel (Ferret)</v>
      </c>
      <c r="I351">
        <f t="shared" si="33"/>
        <v>0.28538728571428557</v>
      </c>
      <c r="J351">
        <v>327</v>
      </c>
      <c r="K351">
        <f>IF($J351&gt;MAX('Match Log'!$A$4:$A$1510),NA(),IFERROR(LOOKUP(2,1/(('Match Log'!$D$4:$D$1510=$K$24)*('Match Log'!$A$4:$A$1510&lt;=$J351)),'Match Log'!$N$4:$N$1510),NA()))</f>
        <v>1244.2911759451083</v>
      </c>
      <c r="L351">
        <f>IF($J351&gt;MAX('Match Log'!$A$4:$A$1510),NA(),IFERROR(LOOKUP(2,1/(('Match Log'!$D$4:$D$1510=$L$24)*('Match Log'!$A$4:$A$1510&lt;=$J351)),'Match Log'!$N$4:$N$1510),NA()))</f>
        <v>1029.5175965335138</v>
      </c>
      <c r="M351">
        <f>IF($J351&gt;MAX('Match Log'!$A$4:$A$1510),NA(),IFERROR(LOOKUP(2,1/(('Match Log'!$D$4:$D$1510=$M$24)*('Match Log'!$A$4:$A$1510&lt;=$J351)),'Match Log'!$N$4:$N$1510),NA()))</f>
        <v>1048.0761030598392</v>
      </c>
      <c r="N351">
        <f>IF($J351&gt;MAX('Match Log'!$A$4:$A$1510),NA(),IFERROR(LOOKUP(2,1/(('Match Log'!$D$4:$D$1510=$N$24)*('Match Log'!$A$4:$A$1510&lt;=$J351)),'Match Log'!$N$4:$N$1510),NA()))</f>
        <v>907.03133644117429</v>
      </c>
      <c r="O351">
        <f>IF($J351&gt;MAX('Match Log'!$A$4:$A$1510),NA(),IFERROR(LOOKUP(2,1/(('Match Log'!$D$4:$D$1510=$O$24)*('Match Log'!$A$4:$A$1510&lt;=$J351)),'Match Log'!$N$4:$N$1510),NA()))</f>
        <v>1251.9358369946654</v>
      </c>
      <c r="P351">
        <f>IF($J351&gt;MAX('Match Log'!$A$4:$A$1510),NA(),IFERROR(LOOKUP(2,1/(('Match Log'!$D$4:$D$1510=$P$24)*('Match Log'!$A$4:$A$1510&lt;=$J351)),'Match Log'!$N$4:$N$1510),NA()))</f>
        <v>1231.9133292156973</v>
      </c>
      <c r="Q351">
        <f>IF($J351&gt;MAX('Match Log'!$A$4:$A$1510),NA(),IFERROR(LOOKUP(2,1/(('Match Log'!$D$4:$D$1510=$Q$24)*('Match Log'!$A$4:$A$1510&lt;=$J351)),'Match Log'!$N$4:$N$1510),NA()))</f>
        <v>1210.5445492849278</v>
      </c>
      <c r="R351">
        <f>IF($J351&gt;MAX('Match Log'!$A$4:$A$1510),NA(),IFERROR(LOOKUP(2,1/(('Match Log'!$D$4:$D$1510=$R$24)*('Match Log'!$A$4:$A$1510&lt;=$J351)),'Match Log'!$N$4:$N$1510),NA()))</f>
        <v>1156.2993424480139</v>
      </c>
      <c r="S351">
        <f>IF($J351&gt;MAX('Match Log'!$A$4:$A$1510),NA(),IFERROR(LOOKUP(2,1/(('Match Log'!$D$4:$D$1510=$S$24)*('Match Log'!$A$4:$A$1510&lt;=$J351)),'Match Log'!$N$4:$N$1510),NA()))</f>
        <v>1217.9015417269482</v>
      </c>
      <c r="T351">
        <f>IF($J351&gt;MAX('Match Log'!$A$4:$A$1510),NA(),IFERROR(LOOKUP(2,1/(('Match Log'!$D$4:$D$1510=$T$24)*('Match Log'!$A$4:$A$1510&lt;=$J351)),'Match Log'!$N$4:$N$1510),NA()))</f>
        <v>862.22294373677494</v>
      </c>
      <c r="U351">
        <f>IF($J351&gt;MAX('Match Log'!$A$4:$A$1510),NA(),IFERROR(LOOKUP(2,1/(('Match Log'!$D$4:$D$1510=$U$24)*('Match Log'!$A$4:$A$1510&lt;=$J351)),'Match Log'!$N$4:$N$1510),NA()))</f>
        <v>972.21010962469381</v>
      </c>
      <c r="V351">
        <f>IF($J351&gt;MAX('Match Log'!$A$4:$A$1510),NA(),IFERROR(LOOKUP(2,1/(('Match Log'!$D$4:$D$1510=$V$24)*('Match Log'!$A$4:$A$1510&lt;=$J351)),'Match Log'!$N$4:$N$1510),NA()))</f>
        <v>1087.5488947064855</v>
      </c>
      <c r="W351">
        <f>IF($J351&gt;MAX('Match Log'!$A$4:$A$1510),NA(),IFERROR(LOOKUP(2,1/(('Match Log'!$D$4:$D$1510=$W$24)*('Match Log'!$A$4:$A$1510&lt;=$J351)),'Match Log'!$N$4:$N$1510),NA()))</f>
        <v>1010.5072402821568</v>
      </c>
      <c r="X351" t="e">
        <f>IF($J351&gt;MAX('Match Log'!$A$4:$A$1510),NA(),IFERROR(LOOKUP(2,1/(('Match Log'!$D$4:$D$1510=$X$24)*('Match Log'!$A$4:$A$1510&lt;=$J351)),'Match Log'!$N$4:$N$1510),NA()))</f>
        <v>#N/A</v>
      </c>
      <c r="Y351">
        <f t="shared" ca="1" si="34"/>
        <v>0.28538728571428557</v>
      </c>
    </row>
    <row r="352" spans="1:25" x14ac:dyDescent="0.2">
      <c r="A352">
        <v>328</v>
      </c>
      <c r="B352" t="str">
        <f>IFERROR(INDEX('Match Log'!$B$4:$B$1510,MATCH($A352,'Match Log'!$A$4:$A$1510,0)),"")</f>
        <v/>
      </c>
      <c r="C352" t="str">
        <f>IFERROR(INDEX('Match Log'!$C$4:$C$1510,MATCH($A352,'Match Log'!$A$4:$A$1510,0)),"")</f>
        <v/>
      </c>
      <c r="D352" t="str">
        <f t="array" ref="D352">IFERROR(_xlfn.TEXTJOIN(" + ",TRUE(),IF(('Match Log'!$A$4:$A$1510=$A352)*('Match Log'!$E$4:$E$1510="Win"),'Match Log'!$D$4:$D$1510,"")),IFERROR(LOOKUP(2,1/(('Match Log'!$A$4:$A$1510=$A352)*('Match Log'!$E$4:$E$1510="Win")),'Match Log'!$D$4:$D$1510),""))</f>
        <v/>
      </c>
      <c r="E352" t="str">
        <f>IFERROR(INDEX('Match Log'!$F$4:$F$1510,MATCH($A352,'Match Log'!$A$4:$A$1510,0)),"")</f>
        <v/>
      </c>
      <c r="F352">
        <f>IFERROR(SUMIFS('Match Log'!$I$4:$I$1510,'Match Log'!$A$4:$A$1510,$A352,'Match Log'!$E$4:$E$1510,"Win"),"")</f>
        <v>0</v>
      </c>
      <c r="G352" t="str">
        <f t="shared" si="32"/>
        <v/>
      </c>
      <c r="H352" t="str">
        <f t="array" ref="H352">IFERROR(IF(COUNTIFS('Match Log'!$A$4:$A$1510,$A352,'Match Log'!$E$4:$E$1510,"Win")&gt;1,_xlfn.TEXTJOIN(" + ",TRUE(),IF(('Match Log'!$A$4:$A$1510=$A352)*('Match Log'!$E$4:$E$1510="Loss"),'Match Log'!$D$4:$D$1510,"")),IF($E352=2,LOOKUP(2,1/(('Match Log'!$A$4:$A$1510=$A352)*('Match Log'!$E$4:$E$1510="Loss")),'Match Log'!$D$4:$D$1510),"the field")),"")</f>
        <v>the field</v>
      </c>
      <c r="I352" t="str">
        <f t="shared" si="33"/>
        <v/>
      </c>
      <c r="J352">
        <v>328</v>
      </c>
      <c r="K352" t="e">
        <f>IF($J352&gt;MAX('Match Log'!$A$4:$A$1510),NA(),IFERROR(LOOKUP(2,1/(('Match Log'!$D$4:$D$1510=$K$24)*('Match Log'!$A$4:$A$1510&lt;=$J352)),'Match Log'!$N$4:$N$1510),NA()))</f>
        <v>#N/A</v>
      </c>
      <c r="L352" t="e">
        <f>IF($J352&gt;MAX('Match Log'!$A$4:$A$1510),NA(),IFERROR(LOOKUP(2,1/(('Match Log'!$D$4:$D$1510=$L$24)*('Match Log'!$A$4:$A$1510&lt;=$J352)),'Match Log'!$N$4:$N$1510),NA()))</f>
        <v>#N/A</v>
      </c>
      <c r="M352" t="e">
        <f>IF($J352&gt;MAX('Match Log'!$A$4:$A$1510),NA(),IFERROR(LOOKUP(2,1/(('Match Log'!$D$4:$D$1510=$M$24)*('Match Log'!$A$4:$A$1510&lt;=$J352)),'Match Log'!$N$4:$N$1510),NA()))</f>
        <v>#N/A</v>
      </c>
      <c r="N352" t="e">
        <f>IF($J352&gt;MAX('Match Log'!$A$4:$A$1510),NA(),IFERROR(LOOKUP(2,1/(('Match Log'!$D$4:$D$1510=$N$24)*('Match Log'!$A$4:$A$1510&lt;=$J352)),'Match Log'!$N$4:$N$1510),NA()))</f>
        <v>#N/A</v>
      </c>
      <c r="O352" t="e">
        <f>IF($J352&gt;MAX('Match Log'!$A$4:$A$1510),NA(),IFERROR(LOOKUP(2,1/(('Match Log'!$D$4:$D$1510=$O$24)*('Match Log'!$A$4:$A$1510&lt;=$J352)),'Match Log'!$N$4:$N$1510),NA()))</f>
        <v>#N/A</v>
      </c>
      <c r="P352" t="e">
        <f>IF($J352&gt;MAX('Match Log'!$A$4:$A$1510),NA(),IFERROR(LOOKUP(2,1/(('Match Log'!$D$4:$D$1510=$P$24)*('Match Log'!$A$4:$A$1510&lt;=$J352)),'Match Log'!$N$4:$N$1510),NA()))</f>
        <v>#N/A</v>
      </c>
      <c r="Q352" t="e">
        <f>IF($J352&gt;MAX('Match Log'!$A$4:$A$1510),NA(),IFERROR(LOOKUP(2,1/(('Match Log'!$D$4:$D$1510=$Q$24)*('Match Log'!$A$4:$A$1510&lt;=$J352)),'Match Log'!$N$4:$N$1510),NA()))</f>
        <v>#N/A</v>
      </c>
      <c r="R352" t="e">
        <f>IF($J352&gt;MAX('Match Log'!$A$4:$A$1510),NA(),IFERROR(LOOKUP(2,1/(('Match Log'!$D$4:$D$1510=$R$24)*('Match Log'!$A$4:$A$1510&lt;=$J352)),'Match Log'!$N$4:$N$1510),NA()))</f>
        <v>#N/A</v>
      </c>
      <c r="S352" t="e">
        <f>IF($J352&gt;MAX('Match Log'!$A$4:$A$1510),NA(),IFERROR(LOOKUP(2,1/(('Match Log'!$D$4:$D$1510=$S$24)*('Match Log'!$A$4:$A$1510&lt;=$J352)),'Match Log'!$N$4:$N$1510),NA()))</f>
        <v>#N/A</v>
      </c>
      <c r="T352" t="e">
        <f>IF($J352&gt;MAX('Match Log'!$A$4:$A$1510),NA(),IFERROR(LOOKUP(2,1/(('Match Log'!$D$4:$D$1510=$T$24)*('Match Log'!$A$4:$A$1510&lt;=$J352)),'Match Log'!$N$4:$N$1510),NA()))</f>
        <v>#N/A</v>
      </c>
      <c r="U352" t="e">
        <f>IF($J352&gt;MAX('Match Log'!$A$4:$A$1510),NA(),IFERROR(LOOKUP(2,1/(('Match Log'!$D$4:$D$1510=$U$24)*('Match Log'!$A$4:$A$1510&lt;=$J352)),'Match Log'!$N$4:$N$1510),NA()))</f>
        <v>#N/A</v>
      </c>
      <c r="V352" t="e">
        <f>IF($J352&gt;MAX('Match Log'!$A$4:$A$1510),NA(),IFERROR(LOOKUP(2,1/(('Match Log'!$D$4:$D$1510=$V$24)*('Match Log'!$A$4:$A$1510&lt;=$J352)),'Match Log'!$N$4:$N$1510),NA()))</f>
        <v>#N/A</v>
      </c>
      <c r="W352" t="e">
        <f>IF($J352&gt;MAX('Match Log'!$A$4:$A$1510),NA(),IFERROR(LOOKUP(2,1/(('Match Log'!$D$4:$D$1510=$W$24)*('Match Log'!$A$4:$A$1510&lt;=$J352)),'Match Log'!$N$4:$N$1510),NA()))</f>
        <v>#N/A</v>
      </c>
      <c r="X352" t="e">
        <f>IF($J352&gt;MAX('Match Log'!$A$4:$A$1510),NA(),IFERROR(LOOKUP(2,1/(('Match Log'!$D$4:$D$1510=$X$24)*('Match Log'!$A$4:$A$1510&lt;=$J352)),'Match Log'!$N$4:$N$1510),NA()))</f>
        <v>#N/A</v>
      </c>
      <c r="Y352" t="str">
        <f t="shared" ca="1" si="34"/>
        <v/>
      </c>
    </row>
    <row r="353" spans="1:25" x14ac:dyDescent="0.2">
      <c r="A353">
        <v>329</v>
      </c>
      <c r="B353" t="str">
        <f>IFERROR(INDEX('Match Log'!$B$4:$B$1510,MATCH($A353,'Match Log'!$A$4:$A$1510,0)),"")</f>
        <v/>
      </c>
      <c r="C353" t="str">
        <f>IFERROR(INDEX('Match Log'!$C$4:$C$1510,MATCH($A353,'Match Log'!$A$4:$A$1510,0)),"")</f>
        <v/>
      </c>
      <c r="D353" t="str">
        <f t="array" ref="D353">IFERROR(_xlfn.TEXTJOIN(" + ",TRUE(),IF(('Match Log'!$A$4:$A$1510=$A353)*('Match Log'!$E$4:$E$1510="Win"),'Match Log'!$D$4:$D$1510,"")),IFERROR(LOOKUP(2,1/(('Match Log'!$A$4:$A$1510=$A353)*('Match Log'!$E$4:$E$1510="Win")),'Match Log'!$D$4:$D$1510),""))</f>
        <v/>
      </c>
      <c r="E353" t="str">
        <f>IFERROR(INDEX('Match Log'!$F$4:$F$1510,MATCH($A353,'Match Log'!$A$4:$A$1510,0)),"")</f>
        <v/>
      </c>
      <c r="F353">
        <f>IFERROR(SUMIFS('Match Log'!$I$4:$I$1510,'Match Log'!$A$4:$A$1510,$A353,'Match Log'!$E$4:$E$1510,"Win"),"")</f>
        <v>0</v>
      </c>
      <c r="G353" t="str">
        <f t="shared" si="32"/>
        <v/>
      </c>
      <c r="H353" t="str">
        <f t="array" ref="H353">IFERROR(IF(COUNTIFS('Match Log'!$A$4:$A$1510,$A353,'Match Log'!$E$4:$E$1510,"Win")&gt;1,_xlfn.TEXTJOIN(" + ",TRUE(),IF(('Match Log'!$A$4:$A$1510=$A353)*('Match Log'!$E$4:$E$1510="Loss"),'Match Log'!$D$4:$D$1510,"")),IF($E353=2,LOOKUP(2,1/(('Match Log'!$A$4:$A$1510=$A353)*('Match Log'!$E$4:$E$1510="Loss")),'Match Log'!$D$4:$D$1510),"the field")),"")</f>
        <v>the field</v>
      </c>
      <c r="I353" t="str">
        <f t="shared" si="33"/>
        <v/>
      </c>
      <c r="J353">
        <v>329</v>
      </c>
      <c r="K353" t="e">
        <f>IF($J353&gt;MAX('Match Log'!$A$4:$A$1510),NA(),IFERROR(LOOKUP(2,1/(('Match Log'!$D$4:$D$1510=$K$24)*('Match Log'!$A$4:$A$1510&lt;=$J353)),'Match Log'!$N$4:$N$1510),NA()))</f>
        <v>#N/A</v>
      </c>
      <c r="L353" t="e">
        <f>IF($J353&gt;MAX('Match Log'!$A$4:$A$1510),NA(),IFERROR(LOOKUP(2,1/(('Match Log'!$D$4:$D$1510=$L$24)*('Match Log'!$A$4:$A$1510&lt;=$J353)),'Match Log'!$N$4:$N$1510),NA()))</f>
        <v>#N/A</v>
      </c>
      <c r="M353" t="e">
        <f>IF($J353&gt;MAX('Match Log'!$A$4:$A$1510),NA(),IFERROR(LOOKUP(2,1/(('Match Log'!$D$4:$D$1510=$M$24)*('Match Log'!$A$4:$A$1510&lt;=$J353)),'Match Log'!$N$4:$N$1510),NA()))</f>
        <v>#N/A</v>
      </c>
      <c r="N353" t="e">
        <f>IF($J353&gt;MAX('Match Log'!$A$4:$A$1510),NA(),IFERROR(LOOKUP(2,1/(('Match Log'!$D$4:$D$1510=$N$24)*('Match Log'!$A$4:$A$1510&lt;=$J353)),'Match Log'!$N$4:$N$1510),NA()))</f>
        <v>#N/A</v>
      </c>
      <c r="O353" t="e">
        <f>IF($J353&gt;MAX('Match Log'!$A$4:$A$1510),NA(),IFERROR(LOOKUP(2,1/(('Match Log'!$D$4:$D$1510=$O$24)*('Match Log'!$A$4:$A$1510&lt;=$J353)),'Match Log'!$N$4:$N$1510),NA()))</f>
        <v>#N/A</v>
      </c>
      <c r="P353" t="e">
        <f>IF($J353&gt;MAX('Match Log'!$A$4:$A$1510),NA(),IFERROR(LOOKUP(2,1/(('Match Log'!$D$4:$D$1510=$P$24)*('Match Log'!$A$4:$A$1510&lt;=$J353)),'Match Log'!$N$4:$N$1510),NA()))</f>
        <v>#N/A</v>
      </c>
      <c r="Q353" t="e">
        <f>IF($J353&gt;MAX('Match Log'!$A$4:$A$1510),NA(),IFERROR(LOOKUP(2,1/(('Match Log'!$D$4:$D$1510=$Q$24)*('Match Log'!$A$4:$A$1510&lt;=$J353)),'Match Log'!$N$4:$N$1510),NA()))</f>
        <v>#N/A</v>
      </c>
      <c r="R353" t="e">
        <f>IF($J353&gt;MAX('Match Log'!$A$4:$A$1510),NA(),IFERROR(LOOKUP(2,1/(('Match Log'!$D$4:$D$1510=$R$24)*('Match Log'!$A$4:$A$1510&lt;=$J353)),'Match Log'!$N$4:$N$1510),NA()))</f>
        <v>#N/A</v>
      </c>
      <c r="S353" t="e">
        <f>IF($J353&gt;MAX('Match Log'!$A$4:$A$1510),NA(),IFERROR(LOOKUP(2,1/(('Match Log'!$D$4:$D$1510=$S$24)*('Match Log'!$A$4:$A$1510&lt;=$J353)),'Match Log'!$N$4:$N$1510),NA()))</f>
        <v>#N/A</v>
      </c>
      <c r="T353" t="e">
        <f>IF($J353&gt;MAX('Match Log'!$A$4:$A$1510),NA(),IFERROR(LOOKUP(2,1/(('Match Log'!$D$4:$D$1510=$T$24)*('Match Log'!$A$4:$A$1510&lt;=$J353)),'Match Log'!$N$4:$N$1510),NA()))</f>
        <v>#N/A</v>
      </c>
      <c r="U353" t="e">
        <f>IF($J353&gt;MAX('Match Log'!$A$4:$A$1510),NA(),IFERROR(LOOKUP(2,1/(('Match Log'!$D$4:$D$1510=$U$24)*('Match Log'!$A$4:$A$1510&lt;=$J353)),'Match Log'!$N$4:$N$1510),NA()))</f>
        <v>#N/A</v>
      </c>
      <c r="V353" t="e">
        <f>IF($J353&gt;MAX('Match Log'!$A$4:$A$1510),NA(),IFERROR(LOOKUP(2,1/(('Match Log'!$D$4:$D$1510=$V$24)*('Match Log'!$A$4:$A$1510&lt;=$J353)),'Match Log'!$N$4:$N$1510),NA()))</f>
        <v>#N/A</v>
      </c>
      <c r="W353" t="e">
        <f>IF($J353&gt;MAX('Match Log'!$A$4:$A$1510),NA(),IFERROR(LOOKUP(2,1/(('Match Log'!$D$4:$D$1510=$W$24)*('Match Log'!$A$4:$A$1510&lt;=$J353)),'Match Log'!$N$4:$N$1510),NA()))</f>
        <v>#N/A</v>
      </c>
      <c r="X353" t="e">
        <f>IF($J353&gt;MAX('Match Log'!$A$4:$A$1510),NA(),IFERROR(LOOKUP(2,1/(('Match Log'!$D$4:$D$1510=$X$24)*('Match Log'!$A$4:$A$1510&lt;=$J353)),'Match Log'!$N$4:$N$1510),NA()))</f>
        <v>#N/A</v>
      </c>
      <c r="Y353" t="str">
        <f t="shared" ca="1" si="34"/>
        <v/>
      </c>
    </row>
    <row r="354" spans="1:25" x14ac:dyDescent="0.2">
      <c r="A354">
        <v>330</v>
      </c>
      <c r="B354" t="str">
        <f>IFERROR(INDEX('Match Log'!$B$4:$B$1510,MATCH($A354,'Match Log'!$A$4:$A$1510,0)),"")</f>
        <v/>
      </c>
      <c r="C354" t="str">
        <f>IFERROR(INDEX('Match Log'!$C$4:$C$1510,MATCH($A354,'Match Log'!$A$4:$A$1510,0)),"")</f>
        <v/>
      </c>
      <c r="D354" t="str">
        <f t="array" ref="D354">IFERROR(_xlfn.TEXTJOIN(" + ",TRUE(),IF(('Match Log'!$A$4:$A$1510=$A354)*('Match Log'!$E$4:$E$1510="Win"),'Match Log'!$D$4:$D$1510,"")),IFERROR(LOOKUP(2,1/(('Match Log'!$A$4:$A$1510=$A354)*('Match Log'!$E$4:$E$1510="Win")),'Match Log'!$D$4:$D$1510),""))</f>
        <v/>
      </c>
      <c r="E354" t="str">
        <f>IFERROR(INDEX('Match Log'!$F$4:$F$1510,MATCH($A354,'Match Log'!$A$4:$A$1510,0)),"")</f>
        <v/>
      </c>
      <c r="F354">
        <f>IFERROR(SUMIFS('Match Log'!$I$4:$I$1510,'Match Log'!$A$4:$A$1510,$A354,'Match Log'!$E$4:$E$1510,"Win"),"")</f>
        <v>0</v>
      </c>
      <c r="G354" t="str">
        <f t="shared" si="32"/>
        <v/>
      </c>
      <c r="H354" t="str">
        <f t="array" ref="H354">IFERROR(IF(COUNTIFS('Match Log'!$A$4:$A$1510,$A354,'Match Log'!$E$4:$E$1510,"Win")&gt;1,_xlfn.TEXTJOIN(" + ",TRUE(),IF(('Match Log'!$A$4:$A$1510=$A354)*('Match Log'!$E$4:$E$1510="Loss"),'Match Log'!$D$4:$D$1510,"")),IF($E354=2,LOOKUP(2,1/(('Match Log'!$A$4:$A$1510=$A354)*('Match Log'!$E$4:$E$1510="Loss")),'Match Log'!$D$4:$D$1510),"the field")),"")</f>
        <v>the field</v>
      </c>
      <c r="I354" t="str">
        <f t="shared" si="33"/>
        <v/>
      </c>
      <c r="J354">
        <v>330</v>
      </c>
      <c r="K354" t="e">
        <f>IF($J354&gt;MAX('Match Log'!$A$4:$A$1510),NA(),IFERROR(LOOKUP(2,1/(('Match Log'!$D$4:$D$1510=$K$24)*('Match Log'!$A$4:$A$1510&lt;=$J354)),'Match Log'!$N$4:$N$1510),NA()))</f>
        <v>#N/A</v>
      </c>
      <c r="L354" t="e">
        <f>IF($J354&gt;MAX('Match Log'!$A$4:$A$1510),NA(),IFERROR(LOOKUP(2,1/(('Match Log'!$D$4:$D$1510=$L$24)*('Match Log'!$A$4:$A$1510&lt;=$J354)),'Match Log'!$N$4:$N$1510),NA()))</f>
        <v>#N/A</v>
      </c>
      <c r="M354" t="e">
        <f>IF($J354&gt;MAX('Match Log'!$A$4:$A$1510),NA(),IFERROR(LOOKUP(2,1/(('Match Log'!$D$4:$D$1510=$M$24)*('Match Log'!$A$4:$A$1510&lt;=$J354)),'Match Log'!$N$4:$N$1510),NA()))</f>
        <v>#N/A</v>
      </c>
      <c r="N354" t="e">
        <f>IF($J354&gt;MAX('Match Log'!$A$4:$A$1510),NA(),IFERROR(LOOKUP(2,1/(('Match Log'!$D$4:$D$1510=$N$24)*('Match Log'!$A$4:$A$1510&lt;=$J354)),'Match Log'!$N$4:$N$1510),NA()))</f>
        <v>#N/A</v>
      </c>
      <c r="O354" t="e">
        <f>IF($J354&gt;MAX('Match Log'!$A$4:$A$1510),NA(),IFERROR(LOOKUP(2,1/(('Match Log'!$D$4:$D$1510=$O$24)*('Match Log'!$A$4:$A$1510&lt;=$J354)),'Match Log'!$N$4:$N$1510),NA()))</f>
        <v>#N/A</v>
      </c>
      <c r="P354" t="e">
        <f>IF($J354&gt;MAX('Match Log'!$A$4:$A$1510),NA(),IFERROR(LOOKUP(2,1/(('Match Log'!$D$4:$D$1510=$P$24)*('Match Log'!$A$4:$A$1510&lt;=$J354)),'Match Log'!$N$4:$N$1510),NA()))</f>
        <v>#N/A</v>
      </c>
      <c r="Q354" t="e">
        <f>IF($J354&gt;MAX('Match Log'!$A$4:$A$1510),NA(),IFERROR(LOOKUP(2,1/(('Match Log'!$D$4:$D$1510=$Q$24)*('Match Log'!$A$4:$A$1510&lt;=$J354)),'Match Log'!$N$4:$N$1510),NA()))</f>
        <v>#N/A</v>
      </c>
      <c r="R354" t="e">
        <f>IF($J354&gt;MAX('Match Log'!$A$4:$A$1510),NA(),IFERROR(LOOKUP(2,1/(('Match Log'!$D$4:$D$1510=$R$24)*('Match Log'!$A$4:$A$1510&lt;=$J354)),'Match Log'!$N$4:$N$1510),NA()))</f>
        <v>#N/A</v>
      </c>
      <c r="S354" t="e">
        <f>IF($J354&gt;MAX('Match Log'!$A$4:$A$1510),NA(),IFERROR(LOOKUP(2,1/(('Match Log'!$D$4:$D$1510=$S$24)*('Match Log'!$A$4:$A$1510&lt;=$J354)),'Match Log'!$N$4:$N$1510),NA()))</f>
        <v>#N/A</v>
      </c>
      <c r="T354" t="e">
        <f>IF($J354&gt;MAX('Match Log'!$A$4:$A$1510),NA(),IFERROR(LOOKUP(2,1/(('Match Log'!$D$4:$D$1510=$T$24)*('Match Log'!$A$4:$A$1510&lt;=$J354)),'Match Log'!$N$4:$N$1510),NA()))</f>
        <v>#N/A</v>
      </c>
      <c r="U354" t="e">
        <f>IF($J354&gt;MAX('Match Log'!$A$4:$A$1510),NA(),IFERROR(LOOKUP(2,1/(('Match Log'!$D$4:$D$1510=$U$24)*('Match Log'!$A$4:$A$1510&lt;=$J354)),'Match Log'!$N$4:$N$1510),NA()))</f>
        <v>#N/A</v>
      </c>
      <c r="V354" t="e">
        <f>IF($J354&gt;MAX('Match Log'!$A$4:$A$1510),NA(),IFERROR(LOOKUP(2,1/(('Match Log'!$D$4:$D$1510=$V$24)*('Match Log'!$A$4:$A$1510&lt;=$J354)),'Match Log'!$N$4:$N$1510),NA()))</f>
        <v>#N/A</v>
      </c>
      <c r="W354" t="e">
        <f>IF($J354&gt;MAX('Match Log'!$A$4:$A$1510),NA(),IFERROR(LOOKUP(2,1/(('Match Log'!$D$4:$D$1510=$W$24)*('Match Log'!$A$4:$A$1510&lt;=$J354)),'Match Log'!$N$4:$N$1510),NA()))</f>
        <v>#N/A</v>
      </c>
      <c r="X354" t="e">
        <f>IF($J354&gt;MAX('Match Log'!$A$4:$A$1510),NA(),IFERROR(LOOKUP(2,1/(('Match Log'!$D$4:$D$1510=$X$24)*('Match Log'!$A$4:$A$1510&lt;=$J354)),'Match Log'!$N$4:$N$1510),NA()))</f>
        <v>#N/A</v>
      </c>
      <c r="Y354" t="str">
        <f t="shared" ca="1" si="34"/>
        <v/>
      </c>
    </row>
    <row r="355" spans="1:25" x14ac:dyDescent="0.2">
      <c r="A355">
        <v>331</v>
      </c>
      <c r="B355" t="str">
        <f>IFERROR(INDEX('Match Log'!$B$4:$B$1510,MATCH($A355,'Match Log'!$A$4:$A$1510,0)),"")</f>
        <v/>
      </c>
      <c r="C355" t="str">
        <f>IFERROR(INDEX('Match Log'!$C$4:$C$1510,MATCH($A355,'Match Log'!$A$4:$A$1510,0)),"")</f>
        <v/>
      </c>
      <c r="D355" t="str">
        <f t="array" ref="D355">IFERROR(_xlfn.TEXTJOIN(" + ",TRUE(),IF(('Match Log'!$A$4:$A$1510=$A355)*('Match Log'!$E$4:$E$1510="Win"),'Match Log'!$D$4:$D$1510,"")),IFERROR(LOOKUP(2,1/(('Match Log'!$A$4:$A$1510=$A355)*('Match Log'!$E$4:$E$1510="Win")),'Match Log'!$D$4:$D$1510),""))</f>
        <v/>
      </c>
      <c r="E355" t="str">
        <f>IFERROR(INDEX('Match Log'!$F$4:$F$1510,MATCH($A355,'Match Log'!$A$4:$A$1510,0)),"")</f>
        <v/>
      </c>
      <c r="F355">
        <f>IFERROR(SUMIFS('Match Log'!$I$4:$I$1510,'Match Log'!$A$4:$A$1510,$A355,'Match Log'!$E$4:$E$1510,"Win"),"")</f>
        <v>0</v>
      </c>
      <c r="G355" t="str">
        <f t="shared" si="32"/>
        <v/>
      </c>
      <c r="H355" t="str">
        <f t="array" ref="H355">IFERROR(IF(COUNTIFS('Match Log'!$A$4:$A$1510,$A355,'Match Log'!$E$4:$E$1510,"Win")&gt;1,_xlfn.TEXTJOIN(" + ",TRUE(),IF(('Match Log'!$A$4:$A$1510=$A355)*('Match Log'!$E$4:$E$1510="Loss"),'Match Log'!$D$4:$D$1510,"")),IF($E355=2,LOOKUP(2,1/(('Match Log'!$A$4:$A$1510=$A355)*('Match Log'!$E$4:$E$1510="Loss")),'Match Log'!$D$4:$D$1510),"the field")),"")</f>
        <v>the field</v>
      </c>
      <c r="I355" t="str">
        <f t="shared" si="33"/>
        <v/>
      </c>
      <c r="J355">
        <v>331</v>
      </c>
      <c r="K355" t="e">
        <f>IF($J355&gt;MAX('Match Log'!$A$4:$A$1510),NA(),IFERROR(LOOKUP(2,1/(('Match Log'!$D$4:$D$1510=$K$24)*('Match Log'!$A$4:$A$1510&lt;=$J355)),'Match Log'!$N$4:$N$1510),NA()))</f>
        <v>#N/A</v>
      </c>
      <c r="L355" t="e">
        <f>IF($J355&gt;MAX('Match Log'!$A$4:$A$1510),NA(),IFERROR(LOOKUP(2,1/(('Match Log'!$D$4:$D$1510=$L$24)*('Match Log'!$A$4:$A$1510&lt;=$J355)),'Match Log'!$N$4:$N$1510),NA()))</f>
        <v>#N/A</v>
      </c>
      <c r="M355" t="e">
        <f>IF($J355&gt;MAX('Match Log'!$A$4:$A$1510),NA(),IFERROR(LOOKUP(2,1/(('Match Log'!$D$4:$D$1510=$M$24)*('Match Log'!$A$4:$A$1510&lt;=$J355)),'Match Log'!$N$4:$N$1510),NA()))</f>
        <v>#N/A</v>
      </c>
      <c r="N355" t="e">
        <f>IF($J355&gt;MAX('Match Log'!$A$4:$A$1510),NA(),IFERROR(LOOKUP(2,1/(('Match Log'!$D$4:$D$1510=$N$24)*('Match Log'!$A$4:$A$1510&lt;=$J355)),'Match Log'!$N$4:$N$1510),NA()))</f>
        <v>#N/A</v>
      </c>
      <c r="O355" t="e">
        <f>IF($J355&gt;MAX('Match Log'!$A$4:$A$1510),NA(),IFERROR(LOOKUP(2,1/(('Match Log'!$D$4:$D$1510=$O$24)*('Match Log'!$A$4:$A$1510&lt;=$J355)),'Match Log'!$N$4:$N$1510),NA()))</f>
        <v>#N/A</v>
      </c>
      <c r="P355" t="e">
        <f>IF($J355&gt;MAX('Match Log'!$A$4:$A$1510),NA(),IFERROR(LOOKUP(2,1/(('Match Log'!$D$4:$D$1510=$P$24)*('Match Log'!$A$4:$A$1510&lt;=$J355)),'Match Log'!$N$4:$N$1510),NA()))</f>
        <v>#N/A</v>
      </c>
      <c r="Q355" t="e">
        <f>IF($J355&gt;MAX('Match Log'!$A$4:$A$1510),NA(),IFERROR(LOOKUP(2,1/(('Match Log'!$D$4:$D$1510=$Q$24)*('Match Log'!$A$4:$A$1510&lt;=$J355)),'Match Log'!$N$4:$N$1510),NA()))</f>
        <v>#N/A</v>
      </c>
      <c r="R355" t="e">
        <f>IF($J355&gt;MAX('Match Log'!$A$4:$A$1510),NA(),IFERROR(LOOKUP(2,1/(('Match Log'!$D$4:$D$1510=$R$24)*('Match Log'!$A$4:$A$1510&lt;=$J355)),'Match Log'!$N$4:$N$1510),NA()))</f>
        <v>#N/A</v>
      </c>
      <c r="S355" t="e">
        <f>IF($J355&gt;MAX('Match Log'!$A$4:$A$1510),NA(),IFERROR(LOOKUP(2,1/(('Match Log'!$D$4:$D$1510=$S$24)*('Match Log'!$A$4:$A$1510&lt;=$J355)),'Match Log'!$N$4:$N$1510),NA()))</f>
        <v>#N/A</v>
      </c>
      <c r="T355" t="e">
        <f>IF($J355&gt;MAX('Match Log'!$A$4:$A$1510),NA(),IFERROR(LOOKUP(2,1/(('Match Log'!$D$4:$D$1510=$T$24)*('Match Log'!$A$4:$A$1510&lt;=$J355)),'Match Log'!$N$4:$N$1510),NA()))</f>
        <v>#N/A</v>
      </c>
      <c r="U355" t="e">
        <f>IF($J355&gt;MAX('Match Log'!$A$4:$A$1510),NA(),IFERROR(LOOKUP(2,1/(('Match Log'!$D$4:$D$1510=$U$24)*('Match Log'!$A$4:$A$1510&lt;=$J355)),'Match Log'!$N$4:$N$1510),NA()))</f>
        <v>#N/A</v>
      </c>
      <c r="V355" t="e">
        <f>IF($J355&gt;MAX('Match Log'!$A$4:$A$1510),NA(),IFERROR(LOOKUP(2,1/(('Match Log'!$D$4:$D$1510=$V$24)*('Match Log'!$A$4:$A$1510&lt;=$J355)),'Match Log'!$N$4:$N$1510),NA()))</f>
        <v>#N/A</v>
      </c>
      <c r="W355" t="e">
        <f>IF($J355&gt;MAX('Match Log'!$A$4:$A$1510),NA(),IFERROR(LOOKUP(2,1/(('Match Log'!$D$4:$D$1510=$W$24)*('Match Log'!$A$4:$A$1510&lt;=$J355)),'Match Log'!$N$4:$N$1510),NA()))</f>
        <v>#N/A</v>
      </c>
      <c r="X355" t="e">
        <f>IF($J355&gt;MAX('Match Log'!$A$4:$A$1510),NA(),IFERROR(LOOKUP(2,1/(('Match Log'!$D$4:$D$1510=$X$24)*('Match Log'!$A$4:$A$1510&lt;=$J355)),'Match Log'!$N$4:$N$1510),NA()))</f>
        <v>#N/A</v>
      </c>
      <c r="Y355" t="str">
        <f t="shared" ca="1" si="34"/>
        <v/>
      </c>
    </row>
    <row r="356" spans="1:25" x14ac:dyDescent="0.2">
      <c r="A356">
        <v>332</v>
      </c>
      <c r="B356" t="str">
        <f>IFERROR(INDEX('Match Log'!$B$4:$B$1510,MATCH($A356,'Match Log'!$A$4:$A$1510,0)),"")</f>
        <v/>
      </c>
      <c r="C356" t="str">
        <f>IFERROR(INDEX('Match Log'!$C$4:$C$1510,MATCH($A356,'Match Log'!$A$4:$A$1510,0)),"")</f>
        <v/>
      </c>
      <c r="D356" t="str">
        <f t="array" ref="D356">IFERROR(_xlfn.TEXTJOIN(" + ",TRUE(),IF(('Match Log'!$A$4:$A$1510=$A356)*('Match Log'!$E$4:$E$1510="Win"),'Match Log'!$D$4:$D$1510,"")),IFERROR(LOOKUP(2,1/(('Match Log'!$A$4:$A$1510=$A356)*('Match Log'!$E$4:$E$1510="Win")),'Match Log'!$D$4:$D$1510),""))</f>
        <v/>
      </c>
      <c r="E356" t="str">
        <f>IFERROR(INDEX('Match Log'!$F$4:$F$1510,MATCH($A356,'Match Log'!$A$4:$A$1510,0)),"")</f>
        <v/>
      </c>
      <c r="F356">
        <f>IFERROR(SUMIFS('Match Log'!$I$4:$I$1510,'Match Log'!$A$4:$A$1510,$A356,'Match Log'!$E$4:$E$1510,"Win"),"")</f>
        <v>0</v>
      </c>
      <c r="G356" t="str">
        <f t="shared" si="32"/>
        <v/>
      </c>
      <c r="H356" t="str">
        <f t="array" ref="H356">IFERROR(IF(COUNTIFS('Match Log'!$A$4:$A$1510,$A356,'Match Log'!$E$4:$E$1510,"Win")&gt;1,_xlfn.TEXTJOIN(" + ",TRUE(),IF(('Match Log'!$A$4:$A$1510=$A356)*('Match Log'!$E$4:$E$1510="Loss"),'Match Log'!$D$4:$D$1510,"")),IF($E356=2,LOOKUP(2,1/(('Match Log'!$A$4:$A$1510=$A356)*('Match Log'!$E$4:$E$1510="Loss")),'Match Log'!$D$4:$D$1510),"the field")),"")</f>
        <v>the field</v>
      </c>
      <c r="I356" t="str">
        <f t="shared" si="33"/>
        <v/>
      </c>
      <c r="J356">
        <v>332</v>
      </c>
      <c r="K356" t="e">
        <f>IF($J356&gt;MAX('Match Log'!$A$4:$A$1510),NA(),IFERROR(LOOKUP(2,1/(('Match Log'!$D$4:$D$1510=$K$24)*('Match Log'!$A$4:$A$1510&lt;=$J356)),'Match Log'!$N$4:$N$1510),NA()))</f>
        <v>#N/A</v>
      </c>
      <c r="L356" t="e">
        <f>IF($J356&gt;MAX('Match Log'!$A$4:$A$1510),NA(),IFERROR(LOOKUP(2,1/(('Match Log'!$D$4:$D$1510=$L$24)*('Match Log'!$A$4:$A$1510&lt;=$J356)),'Match Log'!$N$4:$N$1510),NA()))</f>
        <v>#N/A</v>
      </c>
      <c r="M356" t="e">
        <f>IF($J356&gt;MAX('Match Log'!$A$4:$A$1510),NA(),IFERROR(LOOKUP(2,1/(('Match Log'!$D$4:$D$1510=$M$24)*('Match Log'!$A$4:$A$1510&lt;=$J356)),'Match Log'!$N$4:$N$1510),NA()))</f>
        <v>#N/A</v>
      </c>
      <c r="N356" t="e">
        <f>IF($J356&gt;MAX('Match Log'!$A$4:$A$1510),NA(),IFERROR(LOOKUP(2,1/(('Match Log'!$D$4:$D$1510=$N$24)*('Match Log'!$A$4:$A$1510&lt;=$J356)),'Match Log'!$N$4:$N$1510),NA()))</f>
        <v>#N/A</v>
      </c>
      <c r="O356" t="e">
        <f>IF($J356&gt;MAX('Match Log'!$A$4:$A$1510),NA(),IFERROR(LOOKUP(2,1/(('Match Log'!$D$4:$D$1510=$O$24)*('Match Log'!$A$4:$A$1510&lt;=$J356)),'Match Log'!$N$4:$N$1510),NA()))</f>
        <v>#N/A</v>
      </c>
      <c r="P356" t="e">
        <f>IF($J356&gt;MAX('Match Log'!$A$4:$A$1510),NA(),IFERROR(LOOKUP(2,1/(('Match Log'!$D$4:$D$1510=$P$24)*('Match Log'!$A$4:$A$1510&lt;=$J356)),'Match Log'!$N$4:$N$1510),NA()))</f>
        <v>#N/A</v>
      </c>
      <c r="Q356" t="e">
        <f>IF($J356&gt;MAX('Match Log'!$A$4:$A$1510),NA(),IFERROR(LOOKUP(2,1/(('Match Log'!$D$4:$D$1510=$Q$24)*('Match Log'!$A$4:$A$1510&lt;=$J356)),'Match Log'!$N$4:$N$1510),NA()))</f>
        <v>#N/A</v>
      </c>
      <c r="R356" t="e">
        <f>IF($J356&gt;MAX('Match Log'!$A$4:$A$1510),NA(),IFERROR(LOOKUP(2,1/(('Match Log'!$D$4:$D$1510=$R$24)*('Match Log'!$A$4:$A$1510&lt;=$J356)),'Match Log'!$N$4:$N$1510),NA()))</f>
        <v>#N/A</v>
      </c>
      <c r="S356" t="e">
        <f>IF($J356&gt;MAX('Match Log'!$A$4:$A$1510),NA(),IFERROR(LOOKUP(2,1/(('Match Log'!$D$4:$D$1510=$S$24)*('Match Log'!$A$4:$A$1510&lt;=$J356)),'Match Log'!$N$4:$N$1510),NA()))</f>
        <v>#N/A</v>
      </c>
      <c r="T356" t="e">
        <f>IF($J356&gt;MAX('Match Log'!$A$4:$A$1510),NA(),IFERROR(LOOKUP(2,1/(('Match Log'!$D$4:$D$1510=$T$24)*('Match Log'!$A$4:$A$1510&lt;=$J356)),'Match Log'!$N$4:$N$1510),NA()))</f>
        <v>#N/A</v>
      </c>
      <c r="U356" t="e">
        <f>IF($J356&gt;MAX('Match Log'!$A$4:$A$1510),NA(),IFERROR(LOOKUP(2,1/(('Match Log'!$D$4:$D$1510=$U$24)*('Match Log'!$A$4:$A$1510&lt;=$J356)),'Match Log'!$N$4:$N$1510),NA()))</f>
        <v>#N/A</v>
      </c>
      <c r="V356" t="e">
        <f>IF($J356&gt;MAX('Match Log'!$A$4:$A$1510),NA(),IFERROR(LOOKUP(2,1/(('Match Log'!$D$4:$D$1510=$V$24)*('Match Log'!$A$4:$A$1510&lt;=$J356)),'Match Log'!$N$4:$N$1510),NA()))</f>
        <v>#N/A</v>
      </c>
      <c r="W356" t="e">
        <f>IF($J356&gt;MAX('Match Log'!$A$4:$A$1510),NA(),IFERROR(LOOKUP(2,1/(('Match Log'!$D$4:$D$1510=$W$24)*('Match Log'!$A$4:$A$1510&lt;=$J356)),'Match Log'!$N$4:$N$1510),NA()))</f>
        <v>#N/A</v>
      </c>
      <c r="X356" t="e">
        <f>IF($J356&gt;MAX('Match Log'!$A$4:$A$1510),NA(),IFERROR(LOOKUP(2,1/(('Match Log'!$D$4:$D$1510=$X$24)*('Match Log'!$A$4:$A$1510&lt;=$J356)),'Match Log'!$N$4:$N$1510),NA()))</f>
        <v>#N/A</v>
      </c>
      <c r="Y356" t="str">
        <f t="shared" ca="1" si="34"/>
        <v/>
      </c>
    </row>
    <row r="357" spans="1:25" x14ac:dyDescent="0.2">
      <c r="A357">
        <v>333</v>
      </c>
      <c r="B357" t="str">
        <f>IFERROR(INDEX('Match Log'!$B$4:$B$1510,MATCH($A357,'Match Log'!$A$4:$A$1510,0)),"")</f>
        <v/>
      </c>
      <c r="C357" t="str">
        <f>IFERROR(INDEX('Match Log'!$C$4:$C$1510,MATCH($A357,'Match Log'!$A$4:$A$1510,0)),"")</f>
        <v/>
      </c>
      <c r="D357" t="str">
        <f t="array" ref="D357">IFERROR(_xlfn.TEXTJOIN(" + ",TRUE(),IF(('Match Log'!$A$4:$A$1510=$A357)*('Match Log'!$E$4:$E$1510="Win"),'Match Log'!$D$4:$D$1510,"")),IFERROR(LOOKUP(2,1/(('Match Log'!$A$4:$A$1510=$A357)*('Match Log'!$E$4:$E$1510="Win")),'Match Log'!$D$4:$D$1510),""))</f>
        <v/>
      </c>
      <c r="E357" t="str">
        <f>IFERROR(INDEX('Match Log'!$F$4:$F$1510,MATCH($A357,'Match Log'!$A$4:$A$1510,0)),"")</f>
        <v/>
      </c>
      <c r="F357">
        <f>IFERROR(SUMIFS('Match Log'!$I$4:$I$1510,'Match Log'!$A$4:$A$1510,$A357,'Match Log'!$E$4:$E$1510,"Win"),"")</f>
        <v>0</v>
      </c>
      <c r="G357" t="str">
        <f t="shared" si="32"/>
        <v/>
      </c>
      <c r="H357" t="str">
        <f t="array" ref="H357">IFERROR(IF(COUNTIFS('Match Log'!$A$4:$A$1510,$A357,'Match Log'!$E$4:$E$1510,"Win")&gt;1,_xlfn.TEXTJOIN(" + ",TRUE(),IF(('Match Log'!$A$4:$A$1510=$A357)*('Match Log'!$E$4:$E$1510="Loss"),'Match Log'!$D$4:$D$1510,"")),IF($E357=2,LOOKUP(2,1/(('Match Log'!$A$4:$A$1510=$A357)*('Match Log'!$E$4:$E$1510="Loss")),'Match Log'!$D$4:$D$1510),"the field")),"")</f>
        <v>the field</v>
      </c>
      <c r="I357" t="str">
        <f t="shared" si="33"/>
        <v/>
      </c>
      <c r="J357">
        <v>333</v>
      </c>
      <c r="K357" t="e">
        <f>IF($J357&gt;MAX('Match Log'!$A$4:$A$1510),NA(),IFERROR(LOOKUP(2,1/(('Match Log'!$D$4:$D$1510=$K$24)*('Match Log'!$A$4:$A$1510&lt;=$J357)),'Match Log'!$N$4:$N$1510),NA()))</f>
        <v>#N/A</v>
      </c>
      <c r="L357" t="e">
        <f>IF($J357&gt;MAX('Match Log'!$A$4:$A$1510),NA(),IFERROR(LOOKUP(2,1/(('Match Log'!$D$4:$D$1510=$L$24)*('Match Log'!$A$4:$A$1510&lt;=$J357)),'Match Log'!$N$4:$N$1510),NA()))</f>
        <v>#N/A</v>
      </c>
      <c r="M357" t="e">
        <f>IF($J357&gt;MAX('Match Log'!$A$4:$A$1510),NA(),IFERROR(LOOKUP(2,1/(('Match Log'!$D$4:$D$1510=$M$24)*('Match Log'!$A$4:$A$1510&lt;=$J357)),'Match Log'!$N$4:$N$1510),NA()))</f>
        <v>#N/A</v>
      </c>
      <c r="N357" t="e">
        <f>IF($J357&gt;MAX('Match Log'!$A$4:$A$1510),NA(),IFERROR(LOOKUP(2,1/(('Match Log'!$D$4:$D$1510=$N$24)*('Match Log'!$A$4:$A$1510&lt;=$J357)),'Match Log'!$N$4:$N$1510),NA()))</f>
        <v>#N/A</v>
      </c>
      <c r="O357" t="e">
        <f>IF($J357&gt;MAX('Match Log'!$A$4:$A$1510),NA(),IFERROR(LOOKUP(2,1/(('Match Log'!$D$4:$D$1510=$O$24)*('Match Log'!$A$4:$A$1510&lt;=$J357)),'Match Log'!$N$4:$N$1510),NA()))</f>
        <v>#N/A</v>
      </c>
      <c r="P357" t="e">
        <f>IF($J357&gt;MAX('Match Log'!$A$4:$A$1510),NA(),IFERROR(LOOKUP(2,1/(('Match Log'!$D$4:$D$1510=$P$24)*('Match Log'!$A$4:$A$1510&lt;=$J357)),'Match Log'!$N$4:$N$1510),NA()))</f>
        <v>#N/A</v>
      </c>
      <c r="Q357" t="e">
        <f>IF($J357&gt;MAX('Match Log'!$A$4:$A$1510),NA(),IFERROR(LOOKUP(2,1/(('Match Log'!$D$4:$D$1510=$Q$24)*('Match Log'!$A$4:$A$1510&lt;=$J357)),'Match Log'!$N$4:$N$1510),NA()))</f>
        <v>#N/A</v>
      </c>
      <c r="R357" t="e">
        <f>IF($J357&gt;MAX('Match Log'!$A$4:$A$1510),NA(),IFERROR(LOOKUP(2,1/(('Match Log'!$D$4:$D$1510=$R$24)*('Match Log'!$A$4:$A$1510&lt;=$J357)),'Match Log'!$N$4:$N$1510),NA()))</f>
        <v>#N/A</v>
      </c>
      <c r="S357" t="e">
        <f>IF($J357&gt;MAX('Match Log'!$A$4:$A$1510),NA(),IFERROR(LOOKUP(2,1/(('Match Log'!$D$4:$D$1510=$S$24)*('Match Log'!$A$4:$A$1510&lt;=$J357)),'Match Log'!$N$4:$N$1510),NA()))</f>
        <v>#N/A</v>
      </c>
      <c r="T357" t="e">
        <f>IF($J357&gt;MAX('Match Log'!$A$4:$A$1510),NA(),IFERROR(LOOKUP(2,1/(('Match Log'!$D$4:$D$1510=$T$24)*('Match Log'!$A$4:$A$1510&lt;=$J357)),'Match Log'!$N$4:$N$1510),NA()))</f>
        <v>#N/A</v>
      </c>
      <c r="U357" t="e">
        <f>IF($J357&gt;MAX('Match Log'!$A$4:$A$1510),NA(),IFERROR(LOOKUP(2,1/(('Match Log'!$D$4:$D$1510=$U$24)*('Match Log'!$A$4:$A$1510&lt;=$J357)),'Match Log'!$N$4:$N$1510),NA()))</f>
        <v>#N/A</v>
      </c>
      <c r="V357" t="e">
        <f>IF($J357&gt;MAX('Match Log'!$A$4:$A$1510),NA(),IFERROR(LOOKUP(2,1/(('Match Log'!$D$4:$D$1510=$V$24)*('Match Log'!$A$4:$A$1510&lt;=$J357)),'Match Log'!$N$4:$N$1510),NA()))</f>
        <v>#N/A</v>
      </c>
      <c r="W357" t="e">
        <f>IF($J357&gt;MAX('Match Log'!$A$4:$A$1510),NA(),IFERROR(LOOKUP(2,1/(('Match Log'!$D$4:$D$1510=$W$24)*('Match Log'!$A$4:$A$1510&lt;=$J357)),'Match Log'!$N$4:$N$1510),NA()))</f>
        <v>#N/A</v>
      </c>
      <c r="X357" t="e">
        <f>IF($J357&gt;MAX('Match Log'!$A$4:$A$1510),NA(),IFERROR(LOOKUP(2,1/(('Match Log'!$D$4:$D$1510=$X$24)*('Match Log'!$A$4:$A$1510&lt;=$J357)),'Match Log'!$N$4:$N$1510),NA()))</f>
        <v>#N/A</v>
      </c>
      <c r="Y357" t="str">
        <f t="shared" ca="1" si="34"/>
        <v/>
      </c>
    </row>
    <row r="358" spans="1:25" x14ac:dyDescent="0.2">
      <c r="A358">
        <v>334</v>
      </c>
      <c r="B358" t="str">
        <f>IFERROR(INDEX('Match Log'!$B$4:$B$1510,MATCH($A358,'Match Log'!$A$4:$A$1510,0)),"")</f>
        <v/>
      </c>
      <c r="C358" t="str">
        <f>IFERROR(INDEX('Match Log'!$C$4:$C$1510,MATCH($A358,'Match Log'!$A$4:$A$1510,0)),"")</f>
        <v/>
      </c>
      <c r="D358" t="str">
        <f t="array" ref="D358">IFERROR(_xlfn.TEXTJOIN(" + ",TRUE(),IF(('Match Log'!$A$4:$A$1510=$A358)*('Match Log'!$E$4:$E$1510="Win"),'Match Log'!$D$4:$D$1510,"")),IFERROR(LOOKUP(2,1/(('Match Log'!$A$4:$A$1510=$A358)*('Match Log'!$E$4:$E$1510="Win")),'Match Log'!$D$4:$D$1510),""))</f>
        <v/>
      </c>
      <c r="E358" t="str">
        <f>IFERROR(INDEX('Match Log'!$F$4:$F$1510,MATCH($A358,'Match Log'!$A$4:$A$1510,0)),"")</f>
        <v/>
      </c>
      <c r="F358">
        <f>IFERROR(SUMIFS('Match Log'!$I$4:$I$1510,'Match Log'!$A$4:$A$1510,$A358,'Match Log'!$E$4:$E$1510,"Win"),"")</f>
        <v>0</v>
      </c>
      <c r="G358" t="str">
        <f t="shared" si="32"/>
        <v/>
      </c>
      <c r="H358" t="str">
        <f t="array" ref="H358">IFERROR(IF(COUNTIFS('Match Log'!$A$4:$A$1510,$A358,'Match Log'!$E$4:$E$1510,"Win")&gt;1,_xlfn.TEXTJOIN(" + ",TRUE(),IF(('Match Log'!$A$4:$A$1510=$A358)*('Match Log'!$E$4:$E$1510="Loss"),'Match Log'!$D$4:$D$1510,"")),IF($E358=2,LOOKUP(2,1/(('Match Log'!$A$4:$A$1510=$A358)*('Match Log'!$E$4:$E$1510="Loss")),'Match Log'!$D$4:$D$1510),"the field")),"")</f>
        <v>the field</v>
      </c>
      <c r="I358" t="str">
        <f t="shared" si="33"/>
        <v/>
      </c>
      <c r="J358">
        <v>334</v>
      </c>
      <c r="K358" t="e">
        <f>IF($J358&gt;MAX('Match Log'!$A$4:$A$1510),NA(),IFERROR(LOOKUP(2,1/(('Match Log'!$D$4:$D$1510=$K$24)*('Match Log'!$A$4:$A$1510&lt;=$J358)),'Match Log'!$N$4:$N$1510),NA()))</f>
        <v>#N/A</v>
      </c>
      <c r="L358" t="e">
        <f>IF($J358&gt;MAX('Match Log'!$A$4:$A$1510),NA(),IFERROR(LOOKUP(2,1/(('Match Log'!$D$4:$D$1510=$L$24)*('Match Log'!$A$4:$A$1510&lt;=$J358)),'Match Log'!$N$4:$N$1510),NA()))</f>
        <v>#N/A</v>
      </c>
      <c r="M358" t="e">
        <f>IF($J358&gt;MAX('Match Log'!$A$4:$A$1510),NA(),IFERROR(LOOKUP(2,1/(('Match Log'!$D$4:$D$1510=$M$24)*('Match Log'!$A$4:$A$1510&lt;=$J358)),'Match Log'!$N$4:$N$1510),NA()))</f>
        <v>#N/A</v>
      </c>
      <c r="N358" t="e">
        <f>IF($J358&gt;MAX('Match Log'!$A$4:$A$1510),NA(),IFERROR(LOOKUP(2,1/(('Match Log'!$D$4:$D$1510=$N$24)*('Match Log'!$A$4:$A$1510&lt;=$J358)),'Match Log'!$N$4:$N$1510),NA()))</f>
        <v>#N/A</v>
      </c>
      <c r="O358" t="e">
        <f>IF($J358&gt;MAX('Match Log'!$A$4:$A$1510),NA(),IFERROR(LOOKUP(2,1/(('Match Log'!$D$4:$D$1510=$O$24)*('Match Log'!$A$4:$A$1510&lt;=$J358)),'Match Log'!$N$4:$N$1510),NA()))</f>
        <v>#N/A</v>
      </c>
      <c r="P358" t="e">
        <f>IF($J358&gt;MAX('Match Log'!$A$4:$A$1510),NA(),IFERROR(LOOKUP(2,1/(('Match Log'!$D$4:$D$1510=$P$24)*('Match Log'!$A$4:$A$1510&lt;=$J358)),'Match Log'!$N$4:$N$1510),NA()))</f>
        <v>#N/A</v>
      </c>
      <c r="Q358" t="e">
        <f>IF($J358&gt;MAX('Match Log'!$A$4:$A$1510),NA(),IFERROR(LOOKUP(2,1/(('Match Log'!$D$4:$D$1510=$Q$24)*('Match Log'!$A$4:$A$1510&lt;=$J358)),'Match Log'!$N$4:$N$1510),NA()))</f>
        <v>#N/A</v>
      </c>
      <c r="R358" t="e">
        <f>IF($J358&gt;MAX('Match Log'!$A$4:$A$1510),NA(),IFERROR(LOOKUP(2,1/(('Match Log'!$D$4:$D$1510=$R$24)*('Match Log'!$A$4:$A$1510&lt;=$J358)),'Match Log'!$N$4:$N$1510),NA()))</f>
        <v>#N/A</v>
      </c>
      <c r="S358" t="e">
        <f>IF($J358&gt;MAX('Match Log'!$A$4:$A$1510),NA(),IFERROR(LOOKUP(2,1/(('Match Log'!$D$4:$D$1510=$S$24)*('Match Log'!$A$4:$A$1510&lt;=$J358)),'Match Log'!$N$4:$N$1510),NA()))</f>
        <v>#N/A</v>
      </c>
      <c r="T358" t="e">
        <f>IF($J358&gt;MAX('Match Log'!$A$4:$A$1510),NA(),IFERROR(LOOKUP(2,1/(('Match Log'!$D$4:$D$1510=$T$24)*('Match Log'!$A$4:$A$1510&lt;=$J358)),'Match Log'!$N$4:$N$1510),NA()))</f>
        <v>#N/A</v>
      </c>
      <c r="U358" t="e">
        <f>IF($J358&gt;MAX('Match Log'!$A$4:$A$1510),NA(),IFERROR(LOOKUP(2,1/(('Match Log'!$D$4:$D$1510=$U$24)*('Match Log'!$A$4:$A$1510&lt;=$J358)),'Match Log'!$N$4:$N$1510),NA()))</f>
        <v>#N/A</v>
      </c>
      <c r="V358" t="e">
        <f>IF($J358&gt;MAX('Match Log'!$A$4:$A$1510),NA(),IFERROR(LOOKUP(2,1/(('Match Log'!$D$4:$D$1510=$V$24)*('Match Log'!$A$4:$A$1510&lt;=$J358)),'Match Log'!$N$4:$N$1510),NA()))</f>
        <v>#N/A</v>
      </c>
      <c r="W358" t="e">
        <f>IF($J358&gt;MAX('Match Log'!$A$4:$A$1510),NA(),IFERROR(LOOKUP(2,1/(('Match Log'!$D$4:$D$1510=$W$24)*('Match Log'!$A$4:$A$1510&lt;=$J358)),'Match Log'!$N$4:$N$1510),NA()))</f>
        <v>#N/A</v>
      </c>
      <c r="X358" t="e">
        <f>IF($J358&gt;MAX('Match Log'!$A$4:$A$1510),NA(),IFERROR(LOOKUP(2,1/(('Match Log'!$D$4:$D$1510=$X$24)*('Match Log'!$A$4:$A$1510&lt;=$J358)),'Match Log'!$N$4:$N$1510),NA()))</f>
        <v>#N/A</v>
      </c>
      <c r="Y358" t="str">
        <f t="shared" ca="1" si="34"/>
        <v/>
      </c>
    </row>
    <row r="359" spans="1:25" x14ac:dyDescent="0.2">
      <c r="A359">
        <v>335</v>
      </c>
      <c r="B359" t="str">
        <f>IFERROR(INDEX('Match Log'!$B$4:$B$1510,MATCH($A359,'Match Log'!$A$4:$A$1510,0)),"")</f>
        <v/>
      </c>
      <c r="C359" t="str">
        <f>IFERROR(INDEX('Match Log'!$C$4:$C$1510,MATCH($A359,'Match Log'!$A$4:$A$1510,0)),"")</f>
        <v/>
      </c>
      <c r="D359" t="str">
        <f t="array" ref="D359">IFERROR(_xlfn.TEXTJOIN(" + ",TRUE(),IF(('Match Log'!$A$4:$A$1510=$A359)*('Match Log'!$E$4:$E$1510="Win"),'Match Log'!$D$4:$D$1510,"")),IFERROR(LOOKUP(2,1/(('Match Log'!$A$4:$A$1510=$A359)*('Match Log'!$E$4:$E$1510="Win")),'Match Log'!$D$4:$D$1510),""))</f>
        <v/>
      </c>
      <c r="E359" t="str">
        <f>IFERROR(INDEX('Match Log'!$F$4:$F$1510,MATCH($A359,'Match Log'!$A$4:$A$1510,0)),"")</f>
        <v/>
      </c>
      <c r="F359">
        <f>IFERROR(SUMIFS('Match Log'!$I$4:$I$1510,'Match Log'!$A$4:$A$1510,$A359,'Match Log'!$E$4:$E$1510,"Win"),"")</f>
        <v>0</v>
      </c>
      <c r="G359" t="str">
        <f t="shared" si="32"/>
        <v/>
      </c>
      <c r="H359" t="str">
        <f t="array" ref="H359">IFERROR(IF(COUNTIFS('Match Log'!$A$4:$A$1510,$A359,'Match Log'!$E$4:$E$1510,"Win")&gt;1,_xlfn.TEXTJOIN(" + ",TRUE(),IF(('Match Log'!$A$4:$A$1510=$A359)*('Match Log'!$E$4:$E$1510="Loss"),'Match Log'!$D$4:$D$1510,"")),IF($E359=2,LOOKUP(2,1/(('Match Log'!$A$4:$A$1510=$A359)*('Match Log'!$E$4:$E$1510="Loss")),'Match Log'!$D$4:$D$1510),"the field")),"")</f>
        <v>the field</v>
      </c>
      <c r="I359" t="str">
        <f t="shared" si="33"/>
        <v/>
      </c>
      <c r="J359">
        <v>335</v>
      </c>
      <c r="K359" t="e">
        <f>IF($J359&gt;MAX('Match Log'!$A$4:$A$1510),NA(),IFERROR(LOOKUP(2,1/(('Match Log'!$D$4:$D$1510=$K$24)*('Match Log'!$A$4:$A$1510&lt;=$J359)),'Match Log'!$N$4:$N$1510),NA()))</f>
        <v>#N/A</v>
      </c>
      <c r="L359" t="e">
        <f>IF($J359&gt;MAX('Match Log'!$A$4:$A$1510),NA(),IFERROR(LOOKUP(2,1/(('Match Log'!$D$4:$D$1510=$L$24)*('Match Log'!$A$4:$A$1510&lt;=$J359)),'Match Log'!$N$4:$N$1510),NA()))</f>
        <v>#N/A</v>
      </c>
      <c r="M359" t="e">
        <f>IF($J359&gt;MAX('Match Log'!$A$4:$A$1510),NA(),IFERROR(LOOKUP(2,1/(('Match Log'!$D$4:$D$1510=$M$24)*('Match Log'!$A$4:$A$1510&lt;=$J359)),'Match Log'!$N$4:$N$1510),NA()))</f>
        <v>#N/A</v>
      </c>
      <c r="N359" t="e">
        <f>IF($J359&gt;MAX('Match Log'!$A$4:$A$1510),NA(),IFERROR(LOOKUP(2,1/(('Match Log'!$D$4:$D$1510=$N$24)*('Match Log'!$A$4:$A$1510&lt;=$J359)),'Match Log'!$N$4:$N$1510),NA()))</f>
        <v>#N/A</v>
      </c>
      <c r="O359" t="e">
        <f>IF($J359&gt;MAX('Match Log'!$A$4:$A$1510),NA(),IFERROR(LOOKUP(2,1/(('Match Log'!$D$4:$D$1510=$O$24)*('Match Log'!$A$4:$A$1510&lt;=$J359)),'Match Log'!$N$4:$N$1510),NA()))</f>
        <v>#N/A</v>
      </c>
      <c r="P359" t="e">
        <f>IF($J359&gt;MAX('Match Log'!$A$4:$A$1510),NA(),IFERROR(LOOKUP(2,1/(('Match Log'!$D$4:$D$1510=$P$24)*('Match Log'!$A$4:$A$1510&lt;=$J359)),'Match Log'!$N$4:$N$1510),NA()))</f>
        <v>#N/A</v>
      </c>
      <c r="Q359" t="e">
        <f>IF($J359&gt;MAX('Match Log'!$A$4:$A$1510),NA(),IFERROR(LOOKUP(2,1/(('Match Log'!$D$4:$D$1510=$Q$24)*('Match Log'!$A$4:$A$1510&lt;=$J359)),'Match Log'!$N$4:$N$1510),NA()))</f>
        <v>#N/A</v>
      </c>
      <c r="R359" t="e">
        <f>IF($J359&gt;MAX('Match Log'!$A$4:$A$1510),NA(),IFERROR(LOOKUP(2,1/(('Match Log'!$D$4:$D$1510=$R$24)*('Match Log'!$A$4:$A$1510&lt;=$J359)),'Match Log'!$N$4:$N$1510),NA()))</f>
        <v>#N/A</v>
      </c>
      <c r="S359" t="e">
        <f>IF($J359&gt;MAX('Match Log'!$A$4:$A$1510),NA(),IFERROR(LOOKUP(2,1/(('Match Log'!$D$4:$D$1510=$S$24)*('Match Log'!$A$4:$A$1510&lt;=$J359)),'Match Log'!$N$4:$N$1510),NA()))</f>
        <v>#N/A</v>
      </c>
      <c r="T359" t="e">
        <f>IF($J359&gt;MAX('Match Log'!$A$4:$A$1510),NA(),IFERROR(LOOKUP(2,1/(('Match Log'!$D$4:$D$1510=$T$24)*('Match Log'!$A$4:$A$1510&lt;=$J359)),'Match Log'!$N$4:$N$1510),NA()))</f>
        <v>#N/A</v>
      </c>
      <c r="U359" t="e">
        <f>IF($J359&gt;MAX('Match Log'!$A$4:$A$1510),NA(),IFERROR(LOOKUP(2,1/(('Match Log'!$D$4:$D$1510=$U$24)*('Match Log'!$A$4:$A$1510&lt;=$J359)),'Match Log'!$N$4:$N$1510),NA()))</f>
        <v>#N/A</v>
      </c>
      <c r="V359" t="e">
        <f>IF($J359&gt;MAX('Match Log'!$A$4:$A$1510),NA(),IFERROR(LOOKUP(2,1/(('Match Log'!$D$4:$D$1510=$V$24)*('Match Log'!$A$4:$A$1510&lt;=$J359)),'Match Log'!$N$4:$N$1510),NA()))</f>
        <v>#N/A</v>
      </c>
      <c r="W359" t="e">
        <f>IF($J359&gt;MAX('Match Log'!$A$4:$A$1510),NA(),IFERROR(LOOKUP(2,1/(('Match Log'!$D$4:$D$1510=$W$24)*('Match Log'!$A$4:$A$1510&lt;=$J359)),'Match Log'!$N$4:$N$1510),NA()))</f>
        <v>#N/A</v>
      </c>
      <c r="X359" t="e">
        <f>IF($J359&gt;MAX('Match Log'!$A$4:$A$1510),NA(),IFERROR(LOOKUP(2,1/(('Match Log'!$D$4:$D$1510=$X$24)*('Match Log'!$A$4:$A$1510&lt;=$J359)),'Match Log'!$N$4:$N$1510),NA()))</f>
        <v>#N/A</v>
      </c>
      <c r="Y359" t="str">
        <f t="shared" ca="1" si="34"/>
        <v/>
      </c>
    </row>
    <row r="360" spans="1:25" x14ac:dyDescent="0.2">
      <c r="A360">
        <v>336</v>
      </c>
      <c r="B360" t="str">
        <f>IFERROR(INDEX('Match Log'!$B$4:$B$1510,MATCH($A360,'Match Log'!$A$4:$A$1510,0)),"")</f>
        <v/>
      </c>
      <c r="C360" t="str">
        <f>IFERROR(INDEX('Match Log'!$C$4:$C$1510,MATCH($A360,'Match Log'!$A$4:$A$1510,0)),"")</f>
        <v/>
      </c>
      <c r="D360" t="str">
        <f t="array" ref="D360">IFERROR(_xlfn.TEXTJOIN(" + ",TRUE(),IF(('Match Log'!$A$4:$A$1510=$A360)*('Match Log'!$E$4:$E$1510="Win"),'Match Log'!$D$4:$D$1510,"")),IFERROR(LOOKUP(2,1/(('Match Log'!$A$4:$A$1510=$A360)*('Match Log'!$E$4:$E$1510="Win")),'Match Log'!$D$4:$D$1510),""))</f>
        <v/>
      </c>
      <c r="E360" t="str">
        <f>IFERROR(INDEX('Match Log'!$F$4:$F$1510,MATCH($A360,'Match Log'!$A$4:$A$1510,0)),"")</f>
        <v/>
      </c>
      <c r="F360">
        <f>IFERROR(SUMIFS('Match Log'!$I$4:$I$1510,'Match Log'!$A$4:$A$1510,$A360,'Match Log'!$E$4:$E$1510,"Win"),"")</f>
        <v>0</v>
      </c>
      <c r="G360" t="str">
        <f t="shared" si="32"/>
        <v/>
      </c>
      <c r="H360" t="str">
        <f t="array" ref="H360">IFERROR(IF(COUNTIFS('Match Log'!$A$4:$A$1510,$A360,'Match Log'!$E$4:$E$1510,"Win")&gt;1,_xlfn.TEXTJOIN(" + ",TRUE(),IF(('Match Log'!$A$4:$A$1510=$A360)*('Match Log'!$E$4:$E$1510="Loss"),'Match Log'!$D$4:$D$1510,"")),IF($E360=2,LOOKUP(2,1/(('Match Log'!$A$4:$A$1510=$A360)*('Match Log'!$E$4:$E$1510="Loss")),'Match Log'!$D$4:$D$1510),"the field")),"")</f>
        <v>the field</v>
      </c>
      <c r="I360" t="str">
        <f t="shared" si="33"/>
        <v/>
      </c>
      <c r="J360">
        <v>336</v>
      </c>
      <c r="K360" t="e">
        <f>IF($J360&gt;MAX('Match Log'!$A$4:$A$1510),NA(),IFERROR(LOOKUP(2,1/(('Match Log'!$D$4:$D$1510=$K$24)*('Match Log'!$A$4:$A$1510&lt;=$J360)),'Match Log'!$N$4:$N$1510),NA()))</f>
        <v>#N/A</v>
      </c>
      <c r="L360" t="e">
        <f>IF($J360&gt;MAX('Match Log'!$A$4:$A$1510),NA(),IFERROR(LOOKUP(2,1/(('Match Log'!$D$4:$D$1510=$L$24)*('Match Log'!$A$4:$A$1510&lt;=$J360)),'Match Log'!$N$4:$N$1510),NA()))</f>
        <v>#N/A</v>
      </c>
      <c r="M360" t="e">
        <f>IF($J360&gt;MAX('Match Log'!$A$4:$A$1510),NA(),IFERROR(LOOKUP(2,1/(('Match Log'!$D$4:$D$1510=$M$24)*('Match Log'!$A$4:$A$1510&lt;=$J360)),'Match Log'!$N$4:$N$1510),NA()))</f>
        <v>#N/A</v>
      </c>
      <c r="N360" t="e">
        <f>IF($J360&gt;MAX('Match Log'!$A$4:$A$1510),NA(),IFERROR(LOOKUP(2,1/(('Match Log'!$D$4:$D$1510=$N$24)*('Match Log'!$A$4:$A$1510&lt;=$J360)),'Match Log'!$N$4:$N$1510),NA()))</f>
        <v>#N/A</v>
      </c>
      <c r="O360" t="e">
        <f>IF($J360&gt;MAX('Match Log'!$A$4:$A$1510),NA(),IFERROR(LOOKUP(2,1/(('Match Log'!$D$4:$D$1510=$O$24)*('Match Log'!$A$4:$A$1510&lt;=$J360)),'Match Log'!$N$4:$N$1510),NA()))</f>
        <v>#N/A</v>
      </c>
      <c r="P360" t="e">
        <f>IF($J360&gt;MAX('Match Log'!$A$4:$A$1510),NA(),IFERROR(LOOKUP(2,1/(('Match Log'!$D$4:$D$1510=$P$24)*('Match Log'!$A$4:$A$1510&lt;=$J360)),'Match Log'!$N$4:$N$1510),NA()))</f>
        <v>#N/A</v>
      </c>
      <c r="Q360" t="e">
        <f>IF($J360&gt;MAX('Match Log'!$A$4:$A$1510),NA(),IFERROR(LOOKUP(2,1/(('Match Log'!$D$4:$D$1510=$Q$24)*('Match Log'!$A$4:$A$1510&lt;=$J360)),'Match Log'!$N$4:$N$1510),NA()))</f>
        <v>#N/A</v>
      </c>
      <c r="R360" t="e">
        <f>IF($J360&gt;MAX('Match Log'!$A$4:$A$1510),NA(),IFERROR(LOOKUP(2,1/(('Match Log'!$D$4:$D$1510=$R$24)*('Match Log'!$A$4:$A$1510&lt;=$J360)),'Match Log'!$N$4:$N$1510),NA()))</f>
        <v>#N/A</v>
      </c>
      <c r="S360" t="e">
        <f>IF($J360&gt;MAX('Match Log'!$A$4:$A$1510),NA(),IFERROR(LOOKUP(2,1/(('Match Log'!$D$4:$D$1510=$S$24)*('Match Log'!$A$4:$A$1510&lt;=$J360)),'Match Log'!$N$4:$N$1510),NA()))</f>
        <v>#N/A</v>
      </c>
      <c r="T360" t="e">
        <f>IF($J360&gt;MAX('Match Log'!$A$4:$A$1510),NA(),IFERROR(LOOKUP(2,1/(('Match Log'!$D$4:$D$1510=$T$24)*('Match Log'!$A$4:$A$1510&lt;=$J360)),'Match Log'!$N$4:$N$1510),NA()))</f>
        <v>#N/A</v>
      </c>
      <c r="U360" t="e">
        <f>IF($J360&gt;MAX('Match Log'!$A$4:$A$1510),NA(),IFERROR(LOOKUP(2,1/(('Match Log'!$D$4:$D$1510=$U$24)*('Match Log'!$A$4:$A$1510&lt;=$J360)),'Match Log'!$N$4:$N$1510),NA()))</f>
        <v>#N/A</v>
      </c>
      <c r="V360" t="e">
        <f>IF($J360&gt;MAX('Match Log'!$A$4:$A$1510),NA(),IFERROR(LOOKUP(2,1/(('Match Log'!$D$4:$D$1510=$V$24)*('Match Log'!$A$4:$A$1510&lt;=$J360)),'Match Log'!$N$4:$N$1510),NA()))</f>
        <v>#N/A</v>
      </c>
      <c r="W360" t="e">
        <f>IF($J360&gt;MAX('Match Log'!$A$4:$A$1510),NA(),IFERROR(LOOKUP(2,1/(('Match Log'!$D$4:$D$1510=$W$24)*('Match Log'!$A$4:$A$1510&lt;=$J360)),'Match Log'!$N$4:$N$1510),NA()))</f>
        <v>#N/A</v>
      </c>
      <c r="X360" t="e">
        <f>IF($J360&gt;MAX('Match Log'!$A$4:$A$1510),NA(),IFERROR(LOOKUP(2,1/(('Match Log'!$D$4:$D$1510=$X$24)*('Match Log'!$A$4:$A$1510&lt;=$J360)),'Match Log'!$N$4:$N$1510),NA()))</f>
        <v>#N/A</v>
      </c>
      <c r="Y360" t="str">
        <f t="shared" ca="1" si="34"/>
        <v/>
      </c>
    </row>
    <row r="361" spans="1:25" x14ac:dyDescent="0.2">
      <c r="A361">
        <v>337</v>
      </c>
      <c r="B361" t="str">
        <f>IFERROR(INDEX('Match Log'!$B$4:$B$1510,MATCH($A361,'Match Log'!$A$4:$A$1510,0)),"")</f>
        <v/>
      </c>
      <c r="C361" t="str">
        <f>IFERROR(INDEX('Match Log'!$C$4:$C$1510,MATCH($A361,'Match Log'!$A$4:$A$1510,0)),"")</f>
        <v/>
      </c>
      <c r="D361" t="str">
        <f t="array" ref="D361">IFERROR(_xlfn.TEXTJOIN(" + ",TRUE(),IF(('Match Log'!$A$4:$A$1510=$A361)*('Match Log'!$E$4:$E$1510="Win"),'Match Log'!$D$4:$D$1510,"")),IFERROR(LOOKUP(2,1/(('Match Log'!$A$4:$A$1510=$A361)*('Match Log'!$E$4:$E$1510="Win")),'Match Log'!$D$4:$D$1510),""))</f>
        <v/>
      </c>
      <c r="E361" t="str">
        <f>IFERROR(INDEX('Match Log'!$F$4:$F$1510,MATCH($A361,'Match Log'!$A$4:$A$1510,0)),"")</f>
        <v/>
      </c>
      <c r="F361">
        <f>IFERROR(SUMIFS('Match Log'!$I$4:$I$1510,'Match Log'!$A$4:$A$1510,$A361,'Match Log'!$E$4:$E$1510,"Win"),"")</f>
        <v>0</v>
      </c>
      <c r="G361" t="str">
        <f t="shared" si="32"/>
        <v/>
      </c>
      <c r="H361" t="str">
        <f t="array" ref="H361">IFERROR(IF(COUNTIFS('Match Log'!$A$4:$A$1510,$A361,'Match Log'!$E$4:$E$1510,"Win")&gt;1,_xlfn.TEXTJOIN(" + ",TRUE(),IF(('Match Log'!$A$4:$A$1510=$A361)*('Match Log'!$E$4:$E$1510="Loss"),'Match Log'!$D$4:$D$1510,"")),IF($E361=2,LOOKUP(2,1/(('Match Log'!$A$4:$A$1510=$A361)*('Match Log'!$E$4:$E$1510="Loss")),'Match Log'!$D$4:$D$1510),"the field")),"")</f>
        <v>the field</v>
      </c>
      <c r="I361" t="str">
        <f t="shared" si="33"/>
        <v/>
      </c>
      <c r="J361">
        <v>337</v>
      </c>
      <c r="K361" t="e">
        <f>IF($J361&gt;MAX('Match Log'!$A$4:$A$1510),NA(),IFERROR(LOOKUP(2,1/(('Match Log'!$D$4:$D$1510=$K$24)*('Match Log'!$A$4:$A$1510&lt;=$J361)),'Match Log'!$N$4:$N$1510),NA()))</f>
        <v>#N/A</v>
      </c>
      <c r="L361" t="e">
        <f>IF($J361&gt;MAX('Match Log'!$A$4:$A$1510),NA(),IFERROR(LOOKUP(2,1/(('Match Log'!$D$4:$D$1510=$L$24)*('Match Log'!$A$4:$A$1510&lt;=$J361)),'Match Log'!$N$4:$N$1510),NA()))</f>
        <v>#N/A</v>
      </c>
      <c r="M361" t="e">
        <f>IF($J361&gt;MAX('Match Log'!$A$4:$A$1510),NA(),IFERROR(LOOKUP(2,1/(('Match Log'!$D$4:$D$1510=$M$24)*('Match Log'!$A$4:$A$1510&lt;=$J361)),'Match Log'!$N$4:$N$1510),NA()))</f>
        <v>#N/A</v>
      </c>
      <c r="N361" t="e">
        <f>IF($J361&gt;MAX('Match Log'!$A$4:$A$1510),NA(),IFERROR(LOOKUP(2,1/(('Match Log'!$D$4:$D$1510=$N$24)*('Match Log'!$A$4:$A$1510&lt;=$J361)),'Match Log'!$N$4:$N$1510),NA()))</f>
        <v>#N/A</v>
      </c>
      <c r="O361" t="e">
        <f>IF($J361&gt;MAX('Match Log'!$A$4:$A$1510),NA(),IFERROR(LOOKUP(2,1/(('Match Log'!$D$4:$D$1510=$O$24)*('Match Log'!$A$4:$A$1510&lt;=$J361)),'Match Log'!$N$4:$N$1510),NA()))</f>
        <v>#N/A</v>
      </c>
      <c r="P361" t="e">
        <f>IF($J361&gt;MAX('Match Log'!$A$4:$A$1510),NA(),IFERROR(LOOKUP(2,1/(('Match Log'!$D$4:$D$1510=$P$24)*('Match Log'!$A$4:$A$1510&lt;=$J361)),'Match Log'!$N$4:$N$1510),NA()))</f>
        <v>#N/A</v>
      </c>
      <c r="Q361" t="e">
        <f>IF($J361&gt;MAX('Match Log'!$A$4:$A$1510),NA(),IFERROR(LOOKUP(2,1/(('Match Log'!$D$4:$D$1510=$Q$24)*('Match Log'!$A$4:$A$1510&lt;=$J361)),'Match Log'!$N$4:$N$1510),NA()))</f>
        <v>#N/A</v>
      </c>
      <c r="R361" t="e">
        <f>IF($J361&gt;MAX('Match Log'!$A$4:$A$1510),NA(),IFERROR(LOOKUP(2,1/(('Match Log'!$D$4:$D$1510=$R$24)*('Match Log'!$A$4:$A$1510&lt;=$J361)),'Match Log'!$N$4:$N$1510),NA()))</f>
        <v>#N/A</v>
      </c>
      <c r="S361" t="e">
        <f>IF($J361&gt;MAX('Match Log'!$A$4:$A$1510),NA(),IFERROR(LOOKUP(2,1/(('Match Log'!$D$4:$D$1510=$S$24)*('Match Log'!$A$4:$A$1510&lt;=$J361)),'Match Log'!$N$4:$N$1510),NA()))</f>
        <v>#N/A</v>
      </c>
      <c r="T361" t="e">
        <f>IF($J361&gt;MAX('Match Log'!$A$4:$A$1510),NA(),IFERROR(LOOKUP(2,1/(('Match Log'!$D$4:$D$1510=$T$24)*('Match Log'!$A$4:$A$1510&lt;=$J361)),'Match Log'!$N$4:$N$1510),NA()))</f>
        <v>#N/A</v>
      </c>
      <c r="U361" t="e">
        <f>IF($J361&gt;MAX('Match Log'!$A$4:$A$1510),NA(),IFERROR(LOOKUP(2,1/(('Match Log'!$D$4:$D$1510=$U$24)*('Match Log'!$A$4:$A$1510&lt;=$J361)),'Match Log'!$N$4:$N$1510),NA()))</f>
        <v>#N/A</v>
      </c>
      <c r="V361" t="e">
        <f>IF($J361&gt;MAX('Match Log'!$A$4:$A$1510),NA(),IFERROR(LOOKUP(2,1/(('Match Log'!$D$4:$D$1510=$V$24)*('Match Log'!$A$4:$A$1510&lt;=$J361)),'Match Log'!$N$4:$N$1510),NA()))</f>
        <v>#N/A</v>
      </c>
      <c r="W361" t="e">
        <f>IF($J361&gt;MAX('Match Log'!$A$4:$A$1510),NA(),IFERROR(LOOKUP(2,1/(('Match Log'!$D$4:$D$1510=$W$24)*('Match Log'!$A$4:$A$1510&lt;=$J361)),'Match Log'!$N$4:$N$1510),NA()))</f>
        <v>#N/A</v>
      </c>
      <c r="X361" t="e">
        <f>IF($J361&gt;MAX('Match Log'!$A$4:$A$1510),NA(),IFERROR(LOOKUP(2,1/(('Match Log'!$D$4:$D$1510=$X$24)*('Match Log'!$A$4:$A$1510&lt;=$J361)),'Match Log'!$N$4:$N$1510),NA()))</f>
        <v>#N/A</v>
      </c>
      <c r="Y361" t="str">
        <f t="shared" ca="1" si="34"/>
        <v/>
      </c>
    </row>
    <row r="362" spans="1:25" x14ac:dyDescent="0.2">
      <c r="A362">
        <v>338</v>
      </c>
      <c r="B362" t="str">
        <f>IFERROR(INDEX('Match Log'!$B$4:$B$1510,MATCH($A362,'Match Log'!$A$4:$A$1510,0)),"")</f>
        <v/>
      </c>
      <c r="C362" t="str">
        <f>IFERROR(INDEX('Match Log'!$C$4:$C$1510,MATCH($A362,'Match Log'!$A$4:$A$1510,0)),"")</f>
        <v/>
      </c>
      <c r="D362" t="str">
        <f t="array" ref="D362">IFERROR(_xlfn.TEXTJOIN(" + ",TRUE(),IF(('Match Log'!$A$4:$A$1510=$A362)*('Match Log'!$E$4:$E$1510="Win"),'Match Log'!$D$4:$D$1510,"")),IFERROR(LOOKUP(2,1/(('Match Log'!$A$4:$A$1510=$A362)*('Match Log'!$E$4:$E$1510="Win")),'Match Log'!$D$4:$D$1510),""))</f>
        <v/>
      </c>
      <c r="E362" t="str">
        <f>IFERROR(INDEX('Match Log'!$F$4:$F$1510,MATCH($A362,'Match Log'!$A$4:$A$1510,0)),"")</f>
        <v/>
      </c>
      <c r="F362">
        <f>IFERROR(SUMIFS('Match Log'!$I$4:$I$1510,'Match Log'!$A$4:$A$1510,$A362,'Match Log'!$E$4:$E$1510,"Win"),"")</f>
        <v>0</v>
      </c>
      <c r="G362" t="str">
        <f t="shared" si="32"/>
        <v/>
      </c>
      <c r="H362" t="str">
        <f t="array" ref="H362">IFERROR(IF(COUNTIFS('Match Log'!$A$4:$A$1510,$A362,'Match Log'!$E$4:$E$1510,"Win")&gt;1,_xlfn.TEXTJOIN(" + ",TRUE(),IF(('Match Log'!$A$4:$A$1510=$A362)*('Match Log'!$E$4:$E$1510="Loss"),'Match Log'!$D$4:$D$1510,"")),IF($E362=2,LOOKUP(2,1/(('Match Log'!$A$4:$A$1510=$A362)*('Match Log'!$E$4:$E$1510="Loss")),'Match Log'!$D$4:$D$1510),"the field")),"")</f>
        <v>the field</v>
      </c>
      <c r="I362" t="str">
        <f t="shared" si="33"/>
        <v/>
      </c>
      <c r="J362">
        <v>338</v>
      </c>
      <c r="K362" t="e">
        <f>IF($J362&gt;MAX('Match Log'!$A$4:$A$1510),NA(),IFERROR(LOOKUP(2,1/(('Match Log'!$D$4:$D$1510=$K$24)*('Match Log'!$A$4:$A$1510&lt;=$J362)),'Match Log'!$N$4:$N$1510),NA()))</f>
        <v>#N/A</v>
      </c>
      <c r="L362" t="e">
        <f>IF($J362&gt;MAX('Match Log'!$A$4:$A$1510),NA(),IFERROR(LOOKUP(2,1/(('Match Log'!$D$4:$D$1510=$L$24)*('Match Log'!$A$4:$A$1510&lt;=$J362)),'Match Log'!$N$4:$N$1510),NA()))</f>
        <v>#N/A</v>
      </c>
      <c r="M362" t="e">
        <f>IF($J362&gt;MAX('Match Log'!$A$4:$A$1510),NA(),IFERROR(LOOKUP(2,1/(('Match Log'!$D$4:$D$1510=$M$24)*('Match Log'!$A$4:$A$1510&lt;=$J362)),'Match Log'!$N$4:$N$1510),NA()))</f>
        <v>#N/A</v>
      </c>
      <c r="N362" t="e">
        <f>IF($J362&gt;MAX('Match Log'!$A$4:$A$1510),NA(),IFERROR(LOOKUP(2,1/(('Match Log'!$D$4:$D$1510=$N$24)*('Match Log'!$A$4:$A$1510&lt;=$J362)),'Match Log'!$N$4:$N$1510),NA()))</f>
        <v>#N/A</v>
      </c>
      <c r="O362" t="e">
        <f>IF($J362&gt;MAX('Match Log'!$A$4:$A$1510),NA(),IFERROR(LOOKUP(2,1/(('Match Log'!$D$4:$D$1510=$O$24)*('Match Log'!$A$4:$A$1510&lt;=$J362)),'Match Log'!$N$4:$N$1510),NA()))</f>
        <v>#N/A</v>
      </c>
      <c r="P362" t="e">
        <f>IF($J362&gt;MAX('Match Log'!$A$4:$A$1510),NA(),IFERROR(LOOKUP(2,1/(('Match Log'!$D$4:$D$1510=$P$24)*('Match Log'!$A$4:$A$1510&lt;=$J362)),'Match Log'!$N$4:$N$1510),NA()))</f>
        <v>#N/A</v>
      </c>
      <c r="Q362" t="e">
        <f>IF($J362&gt;MAX('Match Log'!$A$4:$A$1510),NA(),IFERROR(LOOKUP(2,1/(('Match Log'!$D$4:$D$1510=$Q$24)*('Match Log'!$A$4:$A$1510&lt;=$J362)),'Match Log'!$N$4:$N$1510),NA()))</f>
        <v>#N/A</v>
      </c>
      <c r="R362" t="e">
        <f>IF($J362&gt;MAX('Match Log'!$A$4:$A$1510),NA(),IFERROR(LOOKUP(2,1/(('Match Log'!$D$4:$D$1510=$R$24)*('Match Log'!$A$4:$A$1510&lt;=$J362)),'Match Log'!$N$4:$N$1510),NA()))</f>
        <v>#N/A</v>
      </c>
      <c r="S362" t="e">
        <f>IF($J362&gt;MAX('Match Log'!$A$4:$A$1510),NA(),IFERROR(LOOKUP(2,1/(('Match Log'!$D$4:$D$1510=$S$24)*('Match Log'!$A$4:$A$1510&lt;=$J362)),'Match Log'!$N$4:$N$1510),NA()))</f>
        <v>#N/A</v>
      </c>
      <c r="T362" t="e">
        <f>IF($J362&gt;MAX('Match Log'!$A$4:$A$1510),NA(),IFERROR(LOOKUP(2,1/(('Match Log'!$D$4:$D$1510=$T$24)*('Match Log'!$A$4:$A$1510&lt;=$J362)),'Match Log'!$N$4:$N$1510),NA()))</f>
        <v>#N/A</v>
      </c>
      <c r="U362" t="e">
        <f>IF($J362&gt;MAX('Match Log'!$A$4:$A$1510),NA(),IFERROR(LOOKUP(2,1/(('Match Log'!$D$4:$D$1510=$U$24)*('Match Log'!$A$4:$A$1510&lt;=$J362)),'Match Log'!$N$4:$N$1510),NA()))</f>
        <v>#N/A</v>
      </c>
      <c r="V362" t="e">
        <f>IF($J362&gt;MAX('Match Log'!$A$4:$A$1510),NA(),IFERROR(LOOKUP(2,1/(('Match Log'!$D$4:$D$1510=$V$24)*('Match Log'!$A$4:$A$1510&lt;=$J362)),'Match Log'!$N$4:$N$1510),NA()))</f>
        <v>#N/A</v>
      </c>
      <c r="W362" t="e">
        <f>IF($J362&gt;MAX('Match Log'!$A$4:$A$1510),NA(),IFERROR(LOOKUP(2,1/(('Match Log'!$D$4:$D$1510=$W$24)*('Match Log'!$A$4:$A$1510&lt;=$J362)),'Match Log'!$N$4:$N$1510),NA()))</f>
        <v>#N/A</v>
      </c>
      <c r="X362" t="e">
        <f>IF($J362&gt;MAX('Match Log'!$A$4:$A$1510),NA(),IFERROR(LOOKUP(2,1/(('Match Log'!$D$4:$D$1510=$X$24)*('Match Log'!$A$4:$A$1510&lt;=$J362)),'Match Log'!$N$4:$N$1510),NA()))</f>
        <v>#N/A</v>
      </c>
      <c r="Y362" t="str">
        <f t="shared" ca="1" si="34"/>
        <v/>
      </c>
    </row>
    <row r="363" spans="1:25" x14ac:dyDescent="0.2">
      <c r="A363">
        <v>339</v>
      </c>
      <c r="B363" t="str">
        <f>IFERROR(INDEX('Match Log'!$B$4:$B$1510,MATCH($A363,'Match Log'!$A$4:$A$1510,0)),"")</f>
        <v/>
      </c>
      <c r="C363" t="str">
        <f>IFERROR(INDEX('Match Log'!$C$4:$C$1510,MATCH($A363,'Match Log'!$A$4:$A$1510,0)),"")</f>
        <v/>
      </c>
      <c r="D363" t="str">
        <f t="array" ref="D363">IFERROR(_xlfn.TEXTJOIN(" + ",TRUE(),IF(('Match Log'!$A$4:$A$1510=$A363)*('Match Log'!$E$4:$E$1510="Win"),'Match Log'!$D$4:$D$1510,"")),IFERROR(LOOKUP(2,1/(('Match Log'!$A$4:$A$1510=$A363)*('Match Log'!$E$4:$E$1510="Win")),'Match Log'!$D$4:$D$1510),""))</f>
        <v/>
      </c>
      <c r="E363" t="str">
        <f>IFERROR(INDEX('Match Log'!$F$4:$F$1510,MATCH($A363,'Match Log'!$A$4:$A$1510,0)),"")</f>
        <v/>
      </c>
      <c r="F363">
        <f>IFERROR(SUMIFS('Match Log'!$I$4:$I$1510,'Match Log'!$A$4:$A$1510,$A363,'Match Log'!$E$4:$E$1510,"Win"),"")</f>
        <v>0</v>
      </c>
      <c r="G363" t="str">
        <f t="shared" si="32"/>
        <v/>
      </c>
      <c r="H363" t="str">
        <f t="array" ref="H363">IFERROR(IF(COUNTIFS('Match Log'!$A$4:$A$1510,$A363,'Match Log'!$E$4:$E$1510,"Win")&gt;1,_xlfn.TEXTJOIN(" + ",TRUE(),IF(('Match Log'!$A$4:$A$1510=$A363)*('Match Log'!$E$4:$E$1510="Loss"),'Match Log'!$D$4:$D$1510,"")),IF($E363=2,LOOKUP(2,1/(('Match Log'!$A$4:$A$1510=$A363)*('Match Log'!$E$4:$E$1510="Loss")),'Match Log'!$D$4:$D$1510),"the field")),"")</f>
        <v>the field</v>
      </c>
      <c r="I363" t="str">
        <f t="shared" si="33"/>
        <v/>
      </c>
      <c r="J363">
        <v>339</v>
      </c>
      <c r="K363" t="e">
        <f>IF($J363&gt;MAX('Match Log'!$A$4:$A$1510),NA(),IFERROR(LOOKUP(2,1/(('Match Log'!$D$4:$D$1510=$K$24)*('Match Log'!$A$4:$A$1510&lt;=$J363)),'Match Log'!$N$4:$N$1510),NA()))</f>
        <v>#N/A</v>
      </c>
      <c r="L363" t="e">
        <f>IF($J363&gt;MAX('Match Log'!$A$4:$A$1510),NA(),IFERROR(LOOKUP(2,1/(('Match Log'!$D$4:$D$1510=$L$24)*('Match Log'!$A$4:$A$1510&lt;=$J363)),'Match Log'!$N$4:$N$1510),NA()))</f>
        <v>#N/A</v>
      </c>
      <c r="M363" t="e">
        <f>IF($J363&gt;MAX('Match Log'!$A$4:$A$1510),NA(),IFERROR(LOOKUP(2,1/(('Match Log'!$D$4:$D$1510=$M$24)*('Match Log'!$A$4:$A$1510&lt;=$J363)),'Match Log'!$N$4:$N$1510),NA()))</f>
        <v>#N/A</v>
      </c>
      <c r="N363" t="e">
        <f>IF($J363&gt;MAX('Match Log'!$A$4:$A$1510),NA(),IFERROR(LOOKUP(2,1/(('Match Log'!$D$4:$D$1510=$N$24)*('Match Log'!$A$4:$A$1510&lt;=$J363)),'Match Log'!$N$4:$N$1510),NA()))</f>
        <v>#N/A</v>
      </c>
      <c r="O363" t="e">
        <f>IF($J363&gt;MAX('Match Log'!$A$4:$A$1510),NA(),IFERROR(LOOKUP(2,1/(('Match Log'!$D$4:$D$1510=$O$24)*('Match Log'!$A$4:$A$1510&lt;=$J363)),'Match Log'!$N$4:$N$1510),NA()))</f>
        <v>#N/A</v>
      </c>
      <c r="P363" t="e">
        <f>IF($J363&gt;MAX('Match Log'!$A$4:$A$1510),NA(),IFERROR(LOOKUP(2,1/(('Match Log'!$D$4:$D$1510=$P$24)*('Match Log'!$A$4:$A$1510&lt;=$J363)),'Match Log'!$N$4:$N$1510),NA()))</f>
        <v>#N/A</v>
      </c>
      <c r="Q363" t="e">
        <f>IF($J363&gt;MAX('Match Log'!$A$4:$A$1510),NA(),IFERROR(LOOKUP(2,1/(('Match Log'!$D$4:$D$1510=$Q$24)*('Match Log'!$A$4:$A$1510&lt;=$J363)),'Match Log'!$N$4:$N$1510),NA()))</f>
        <v>#N/A</v>
      </c>
      <c r="R363" t="e">
        <f>IF($J363&gt;MAX('Match Log'!$A$4:$A$1510),NA(),IFERROR(LOOKUP(2,1/(('Match Log'!$D$4:$D$1510=$R$24)*('Match Log'!$A$4:$A$1510&lt;=$J363)),'Match Log'!$N$4:$N$1510),NA()))</f>
        <v>#N/A</v>
      </c>
      <c r="S363" t="e">
        <f>IF($J363&gt;MAX('Match Log'!$A$4:$A$1510),NA(),IFERROR(LOOKUP(2,1/(('Match Log'!$D$4:$D$1510=$S$24)*('Match Log'!$A$4:$A$1510&lt;=$J363)),'Match Log'!$N$4:$N$1510),NA()))</f>
        <v>#N/A</v>
      </c>
      <c r="T363" t="e">
        <f>IF($J363&gt;MAX('Match Log'!$A$4:$A$1510),NA(),IFERROR(LOOKUP(2,1/(('Match Log'!$D$4:$D$1510=$T$24)*('Match Log'!$A$4:$A$1510&lt;=$J363)),'Match Log'!$N$4:$N$1510),NA()))</f>
        <v>#N/A</v>
      </c>
      <c r="U363" t="e">
        <f>IF($J363&gt;MAX('Match Log'!$A$4:$A$1510),NA(),IFERROR(LOOKUP(2,1/(('Match Log'!$D$4:$D$1510=$U$24)*('Match Log'!$A$4:$A$1510&lt;=$J363)),'Match Log'!$N$4:$N$1510),NA()))</f>
        <v>#N/A</v>
      </c>
      <c r="V363" t="e">
        <f>IF($J363&gt;MAX('Match Log'!$A$4:$A$1510),NA(),IFERROR(LOOKUP(2,1/(('Match Log'!$D$4:$D$1510=$V$24)*('Match Log'!$A$4:$A$1510&lt;=$J363)),'Match Log'!$N$4:$N$1510),NA()))</f>
        <v>#N/A</v>
      </c>
      <c r="W363" t="e">
        <f>IF($J363&gt;MAX('Match Log'!$A$4:$A$1510),NA(),IFERROR(LOOKUP(2,1/(('Match Log'!$D$4:$D$1510=$W$24)*('Match Log'!$A$4:$A$1510&lt;=$J363)),'Match Log'!$N$4:$N$1510),NA()))</f>
        <v>#N/A</v>
      </c>
      <c r="X363" t="e">
        <f>IF($J363&gt;MAX('Match Log'!$A$4:$A$1510),NA(),IFERROR(LOOKUP(2,1/(('Match Log'!$D$4:$D$1510=$X$24)*('Match Log'!$A$4:$A$1510&lt;=$J363)),'Match Log'!$N$4:$N$1510),NA()))</f>
        <v>#N/A</v>
      </c>
      <c r="Y363" t="str">
        <f t="shared" ca="1" si="34"/>
        <v/>
      </c>
    </row>
    <row r="364" spans="1:25" x14ac:dyDescent="0.2">
      <c r="A364">
        <v>340</v>
      </c>
      <c r="B364" t="str">
        <f>IFERROR(INDEX('Match Log'!$B$4:$B$1510,MATCH($A364,'Match Log'!$A$4:$A$1510,0)),"")</f>
        <v/>
      </c>
      <c r="C364" t="str">
        <f>IFERROR(INDEX('Match Log'!$C$4:$C$1510,MATCH($A364,'Match Log'!$A$4:$A$1510,0)),"")</f>
        <v/>
      </c>
      <c r="D364" t="str">
        <f t="array" ref="D364">IFERROR(_xlfn.TEXTJOIN(" + ",TRUE(),IF(('Match Log'!$A$4:$A$1510=$A364)*('Match Log'!$E$4:$E$1510="Win"),'Match Log'!$D$4:$D$1510,"")),IFERROR(LOOKUP(2,1/(('Match Log'!$A$4:$A$1510=$A364)*('Match Log'!$E$4:$E$1510="Win")),'Match Log'!$D$4:$D$1510),""))</f>
        <v/>
      </c>
      <c r="E364" t="str">
        <f>IFERROR(INDEX('Match Log'!$F$4:$F$1510,MATCH($A364,'Match Log'!$A$4:$A$1510,0)),"")</f>
        <v/>
      </c>
      <c r="F364">
        <f>IFERROR(SUMIFS('Match Log'!$I$4:$I$1510,'Match Log'!$A$4:$A$1510,$A364,'Match Log'!$E$4:$E$1510,"Win"),"")</f>
        <v>0</v>
      </c>
      <c r="G364" t="str">
        <f t="shared" si="32"/>
        <v/>
      </c>
      <c r="H364" t="str">
        <f t="array" ref="H364">IFERROR(IF(COUNTIFS('Match Log'!$A$4:$A$1510,$A364,'Match Log'!$E$4:$E$1510,"Win")&gt;1,_xlfn.TEXTJOIN(" + ",TRUE(),IF(('Match Log'!$A$4:$A$1510=$A364)*('Match Log'!$E$4:$E$1510="Loss"),'Match Log'!$D$4:$D$1510,"")),IF($E364=2,LOOKUP(2,1/(('Match Log'!$A$4:$A$1510=$A364)*('Match Log'!$E$4:$E$1510="Loss")),'Match Log'!$D$4:$D$1510),"the field")),"")</f>
        <v>the field</v>
      </c>
      <c r="I364" t="str">
        <f t="shared" si="33"/>
        <v/>
      </c>
      <c r="J364">
        <v>340</v>
      </c>
      <c r="K364" t="e">
        <f>IF($J364&gt;MAX('Match Log'!$A$4:$A$1510),NA(),IFERROR(LOOKUP(2,1/(('Match Log'!$D$4:$D$1510=$K$24)*('Match Log'!$A$4:$A$1510&lt;=$J364)),'Match Log'!$N$4:$N$1510),NA()))</f>
        <v>#N/A</v>
      </c>
      <c r="L364" t="e">
        <f>IF($J364&gt;MAX('Match Log'!$A$4:$A$1510),NA(),IFERROR(LOOKUP(2,1/(('Match Log'!$D$4:$D$1510=$L$24)*('Match Log'!$A$4:$A$1510&lt;=$J364)),'Match Log'!$N$4:$N$1510),NA()))</f>
        <v>#N/A</v>
      </c>
      <c r="M364" t="e">
        <f>IF($J364&gt;MAX('Match Log'!$A$4:$A$1510),NA(),IFERROR(LOOKUP(2,1/(('Match Log'!$D$4:$D$1510=$M$24)*('Match Log'!$A$4:$A$1510&lt;=$J364)),'Match Log'!$N$4:$N$1510),NA()))</f>
        <v>#N/A</v>
      </c>
      <c r="N364" t="e">
        <f>IF($J364&gt;MAX('Match Log'!$A$4:$A$1510),NA(),IFERROR(LOOKUP(2,1/(('Match Log'!$D$4:$D$1510=$N$24)*('Match Log'!$A$4:$A$1510&lt;=$J364)),'Match Log'!$N$4:$N$1510),NA()))</f>
        <v>#N/A</v>
      </c>
      <c r="O364" t="e">
        <f>IF($J364&gt;MAX('Match Log'!$A$4:$A$1510),NA(),IFERROR(LOOKUP(2,1/(('Match Log'!$D$4:$D$1510=$O$24)*('Match Log'!$A$4:$A$1510&lt;=$J364)),'Match Log'!$N$4:$N$1510),NA()))</f>
        <v>#N/A</v>
      </c>
      <c r="P364" t="e">
        <f>IF($J364&gt;MAX('Match Log'!$A$4:$A$1510),NA(),IFERROR(LOOKUP(2,1/(('Match Log'!$D$4:$D$1510=$P$24)*('Match Log'!$A$4:$A$1510&lt;=$J364)),'Match Log'!$N$4:$N$1510),NA()))</f>
        <v>#N/A</v>
      </c>
      <c r="Q364" t="e">
        <f>IF($J364&gt;MAX('Match Log'!$A$4:$A$1510),NA(),IFERROR(LOOKUP(2,1/(('Match Log'!$D$4:$D$1510=$Q$24)*('Match Log'!$A$4:$A$1510&lt;=$J364)),'Match Log'!$N$4:$N$1510),NA()))</f>
        <v>#N/A</v>
      </c>
      <c r="R364" t="e">
        <f>IF($J364&gt;MAX('Match Log'!$A$4:$A$1510),NA(),IFERROR(LOOKUP(2,1/(('Match Log'!$D$4:$D$1510=$R$24)*('Match Log'!$A$4:$A$1510&lt;=$J364)),'Match Log'!$N$4:$N$1510),NA()))</f>
        <v>#N/A</v>
      </c>
      <c r="S364" t="e">
        <f>IF($J364&gt;MAX('Match Log'!$A$4:$A$1510),NA(),IFERROR(LOOKUP(2,1/(('Match Log'!$D$4:$D$1510=$S$24)*('Match Log'!$A$4:$A$1510&lt;=$J364)),'Match Log'!$N$4:$N$1510),NA()))</f>
        <v>#N/A</v>
      </c>
      <c r="T364" t="e">
        <f>IF($J364&gt;MAX('Match Log'!$A$4:$A$1510),NA(),IFERROR(LOOKUP(2,1/(('Match Log'!$D$4:$D$1510=$T$24)*('Match Log'!$A$4:$A$1510&lt;=$J364)),'Match Log'!$N$4:$N$1510),NA()))</f>
        <v>#N/A</v>
      </c>
      <c r="U364" t="e">
        <f>IF($J364&gt;MAX('Match Log'!$A$4:$A$1510),NA(),IFERROR(LOOKUP(2,1/(('Match Log'!$D$4:$D$1510=$U$24)*('Match Log'!$A$4:$A$1510&lt;=$J364)),'Match Log'!$N$4:$N$1510),NA()))</f>
        <v>#N/A</v>
      </c>
      <c r="V364" t="e">
        <f>IF($J364&gt;MAX('Match Log'!$A$4:$A$1510),NA(),IFERROR(LOOKUP(2,1/(('Match Log'!$D$4:$D$1510=$V$24)*('Match Log'!$A$4:$A$1510&lt;=$J364)),'Match Log'!$N$4:$N$1510),NA()))</f>
        <v>#N/A</v>
      </c>
      <c r="W364" t="e">
        <f>IF($J364&gt;MAX('Match Log'!$A$4:$A$1510),NA(),IFERROR(LOOKUP(2,1/(('Match Log'!$D$4:$D$1510=$W$24)*('Match Log'!$A$4:$A$1510&lt;=$J364)),'Match Log'!$N$4:$N$1510),NA()))</f>
        <v>#N/A</v>
      </c>
      <c r="X364" t="e">
        <f>IF($J364&gt;MAX('Match Log'!$A$4:$A$1510),NA(),IFERROR(LOOKUP(2,1/(('Match Log'!$D$4:$D$1510=$X$24)*('Match Log'!$A$4:$A$1510&lt;=$J364)),'Match Log'!$N$4:$N$1510),NA()))</f>
        <v>#N/A</v>
      </c>
      <c r="Y364" t="str">
        <f t="shared" ca="1" si="34"/>
        <v/>
      </c>
    </row>
    <row r="365" spans="1:25" x14ac:dyDescent="0.2">
      <c r="A365">
        <v>341</v>
      </c>
      <c r="B365" t="str">
        <f>IFERROR(INDEX('Match Log'!$B$4:$B$1510,MATCH($A365,'Match Log'!$A$4:$A$1510,0)),"")</f>
        <v/>
      </c>
      <c r="C365" t="str">
        <f>IFERROR(INDEX('Match Log'!$C$4:$C$1510,MATCH($A365,'Match Log'!$A$4:$A$1510,0)),"")</f>
        <v/>
      </c>
      <c r="D365" t="str">
        <f t="array" ref="D365">IFERROR(_xlfn.TEXTJOIN(" + ",TRUE(),IF(('Match Log'!$A$4:$A$1510=$A365)*('Match Log'!$E$4:$E$1510="Win"),'Match Log'!$D$4:$D$1510,"")),IFERROR(LOOKUP(2,1/(('Match Log'!$A$4:$A$1510=$A365)*('Match Log'!$E$4:$E$1510="Win")),'Match Log'!$D$4:$D$1510),""))</f>
        <v/>
      </c>
      <c r="E365" t="str">
        <f>IFERROR(INDEX('Match Log'!$F$4:$F$1510,MATCH($A365,'Match Log'!$A$4:$A$1510,0)),"")</f>
        <v/>
      </c>
      <c r="F365">
        <f>IFERROR(SUMIFS('Match Log'!$I$4:$I$1510,'Match Log'!$A$4:$A$1510,$A365,'Match Log'!$E$4:$E$1510,"Win"),"")</f>
        <v>0</v>
      </c>
      <c r="G365" t="str">
        <f t="shared" si="32"/>
        <v/>
      </c>
      <c r="H365" t="str">
        <f t="array" ref="H365">IFERROR(IF(COUNTIFS('Match Log'!$A$4:$A$1510,$A365,'Match Log'!$E$4:$E$1510,"Win")&gt;1,_xlfn.TEXTJOIN(" + ",TRUE(),IF(('Match Log'!$A$4:$A$1510=$A365)*('Match Log'!$E$4:$E$1510="Loss"),'Match Log'!$D$4:$D$1510,"")),IF($E365=2,LOOKUP(2,1/(('Match Log'!$A$4:$A$1510=$A365)*('Match Log'!$E$4:$E$1510="Loss")),'Match Log'!$D$4:$D$1510),"the field")),"")</f>
        <v>the field</v>
      </c>
      <c r="I365" t="str">
        <f t="shared" si="33"/>
        <v/>
      </c>
      <c r="J365">
        <v>341</v>
      </c>
      <c r="K365" t="e">
        <f>IF($J365&gt;MAX('Match Log'!$A$4:$A$1510),NA(),IFERROR(LOOKUP(2,1/(('Match Log'!$D$4:$D$1510=$K$24)*('Match Log'!$A$4:$A$1510&lt;=$J365)),'Match Log'!$N$4:$N$1510),NA()))</f>
        <v>#N/A</v>
      </c>
      <c r="L365" t="e">
        <f>IF($J365&gt;MAX('Match Log'!$A$4:$A$1510),NA(),IFERROR(LOOKUP(2,1/(('Match Log'!$D$4:$D$1510=$L$24)*('Match Log'!$A$4:$A$1510&lt;=$J365)),'Match Log'!$N$4:$N$1510),NA()))</f>
        <v>#N/A</v>
      </c>
      <c r="M365" t="e">
        <f>IF($J365&gt;MAX('Match Log'!$A$4:$A$1510),NA(),IFERROR(LOOKUP(2,1/(('Match Log'!$D$4:$D$1510=$M$24)*('Match Log'!$A$4:$A$1510&lt;=$J365)),'Match Log'!$N$4:$N$1510),NA()))</f>
        <v>#N/A</v>
      </c>
      <c r="N365" t="e">
        <f>IF($J365&gt;MAX('Match Log'!$A$4:$A$1510),NA(),IFERROR(LOOKUP(2,1/(('Match Log'!$D$4:$D$1510=$N$24)*('Match Log'!$A$4:$A$1510&lt;=$J365)),'Match Log'!$N$4:$N$1510),NA()))</f>
        <v>#N/A</v>
      </c>
      <c r="O365" t="e">
        <f>IF($J365&gt;MAX('Match Log'!$A$4:$A$1510),NA(),IFERROR(LOOKUP(2,1/(('Match Log'!$D$4:$D$1510=$O$24)*('Match Log'!$A$4:$A$1510&lt;=$J365)),'Match Log'!$N$4:$N$1510),NA()))</f>
        <v>#N/A</v>
      </c>
      <c r="P365" t="e">
        <f>IF($J365&gt;MAX('Match Log'!$A$4:$A$1510),NA(),IFERROR(LOOKUP(2,1/(('Match Log'!$D$4:$D$1510=$P$24)*('Match Log'!$A$4:$A$1510&lt;=$J365)),'Match Log'!$N$4:$N$1510),NA()))</f>
        <v>#N/A</v>
      </c>
      <c r="Q365" t="e">
        <f>IF($J365&gt;MAX('Match Log'!$A$4:$A$1510),NA(),IFERROR(LOOKUP(2,1/(('Match Log'!$D$4:$D$1510=$Q$24)*('Match Log'!$A$4:$A$1510&lt;=$J365)),'Match Log'!$N$4:$N$1510),NA()))</f>
        <v>#N/A</v>
      </c>
      <c r="R365" t="e">
        <f>IF($J365&gt;MAX('Match Log'!$A$4:$A$1510),NA(),IFERROR(LOOKUP(2,1/(('Match Log'!$D$4:$D$1510=$R$24)*('Match Log'!$A$4:$A$1510&lt;=$J365)),'Match Log'!$N$4:$N$1510),NA()))</f>
        <v>#N/A</v>
      </c>
      <c r="S365" t="e">
        <f>IF($J365&gt;MAX('Match Log'!$A$4:$A$1510),NA(),IFERROR(LOOKUP(2,1/(('Match Log'!$D$4:$D$1510=$S$24)*('Match Log'!$A$4:$A$1510&lt;=$J365)),'Match Log'!$N$4:$N$1510),NA()))</f>
        <v>#N/A</v>
      </c>
      <c r="T365" t="e">
        <f>IF($J365&gt;MAX('Match Log'!$A$4:$A$1510),NA(),IFERROR(LOOKUP(2,1/(('Match Log'!$D$4:$D$1510=$T$24)*('Match Log'!$A$4:$A$1510&lt;=$J365)),'Match Log'!$N$4:$N$1510),NA()))</f>
        <v>#N/A</v>
      </c>
      <c r="U365" t="e">
        <f>IF($J365&gt;MAX('Match Log'!$A$4:$A$1510),NA(),IFERROR(LOOKUP(2,1/(('Match Log'!$D$4:$D$1510=$U$24)*('Match Log'!$A$4:$A$1510&lt;=$J365)),'Match Log'!$N$4:$N$1510),NA()))</f>
        <v>#N/A</v>
      </c>
      <c r="V365" t="e">
        <f>IF($J365&gt;MAX('Match Log'!$A$4:$A$1510),NA(),IFERROR(LOOKUP(2,1/(('Match Log'!$D$4:$D$1510=$V$24)*('Match Log'!$A$4:$A$1510&lt;=$J365)),'Match Log'!$N$4:$N$1510),NA()))</f>
        <v>#N/A</v>
      </c>
      <c r="W365" t="e">
        <f>IF($J365&gt;MAX('Match Log'!$A$4:$A$1510),NA(),IFERROR(LOOKUP(2,1/(('Match Log'!$D$4:$D$1510=$W$24)*('Match Log'!$A$4:$A$1510&lt;=$J365)),'Match Log'!$N$4:$N$1510),NA()))</f>
        <v>#N/A</v>
      </c>
      <c r="X365" t="e">
        <f>IF($J365&gt;MAX('Match Log'!$A$4:$A$1510),NA(),IFERROR(LOOKUP(2,1/(('Match Log'!$D$4:$D$1510=$X$24)*('Match Log'!$A$4:$A$1510&lt;=$J365)),'Match Log'!$N$4:$N$1510),NA()))</f>
        <v>#N/A</v>
      </c>
      <c r="Y365" t="str">
        <f t="shared" ca="1" si="34"/>
        <v/>
      </c>
    </row>
    <row r="366" spans="1:25" x14ac:dyDescent="0.2">
      <c r="A366">
        <v>342</v>
      </c>
      <c r="B366" t="str">
        <f>IFERROR(INDEX('Match Log'!$B$4:$B$1510,MATCH($A366,'Match Log'!$A$4:$A$1510,0)),"")</f>
        <v/>
      </c>
      <c r="C366" t="str">
        <f>IFERROR(INDEX('Match Log'!$C$4:$C$1510,MATCH($A366,'Match Log'!$A$4:$A$1510,0)),"")</f>
        <v/>
      </c>
      <c r="D366" t="str">
        <f t="array" ref="D366">IFERROR(_xlfn.TEXTJOIN(" + ",TRUE(),IF(('Match Log'!$A$4:$A$1510=$A366)*('Match Log'!$E$4:$E$1510="Win"),'Match Log'!$D$4:$D$1510,"")),IFERROR(LOOKUP(2,1/(('Match Log'!$A$4:$A$1510=$A366)*('Match Log'!$E$4:$E$1510="Win")),'Match Log'!$D$4:$D$1510),""))</f>
        <v/>
      </c>
      <c r="E366" t="str">
        <f>IFERROR(INDEX('Match Log'!$F$4:$F$1510,MATCH($A366,'Match Log'!$A$4:$A$1510,0)),"")</f>
        <v/>
      </c>
      <c r="F366">
        <f>IFERROR(SUMIFS('Match Log'!$I$4:$I$1510,'Match Log'!$A$4:$A$1510,$A366,'Match Log'!$E$4:$E$1510,"Win"),"")</f>
        <v>0</v>
      </c>
      <c r="G366" t="str">
        <f t="shared" si="32"/>
        <v/>
      </c>
      <c r="H366" t="str">
        <f t="array" ref="H366">IFERROR(IF(COUNTIFS('Match Log'!$A$4:$A$1510,$A366,'Match Log'!$E$4:$E$1510,"Win")&gt;1,_xlfn.TEXTJOIN(" + ",TRUE(),IF(('Match Log'!$A$4:$A$1510=$A366)*('Match Log'!$E$4:$E$1510="Loss"),'Match Log'!$D$4:$D$1510,"")),IF($E366=2,LOOKUP(2,1/(('Match Log'!$A$4:$A$1510=$A366)*('Match Log'!$E$4:$E$1510="Loss")),'Match Log'!$D$4:$D$1510),"the field")),"")</f>
        <v>the field</v>
      </c>
      <c r="I366" t="str">
        <f t="shared" si="33"/>
        <v/>
      </c>
      <c r="J366">
        <v>342</v>
      </c>
      <c r="K366" t="e">
        <f>IF($J366&gt;MAX('Match Log'!$A$4:$A$1510),NA(),IFERROR(LOOKUP(2,1/(('Match Log'!$D$4:$D$1510=$K$24)*('Match Log'!$A$4:$A$1510&lt;=$J366)),'Match Log'!$N$4:$N$1510),NA()))</f>
        <v>#N/A</v>
      </c>
      <c r="L366" t="e">
        <f>IF($J366&gt;MAX('Match Log'!$A$4:$A$1510),NA(),IFERROR(LOOKUP(2,1/(('Match Log'!$D$4:$D$1510=$L$24)*('Match Log'!$A$4:$A$1510&lt;=$J366)),'Match Log'!$N$4:$N$1510),NA()))</f>
        <v>#N/A</v>
      </c>
      <c r="M366" t="e">
        <f>IF($J366&gt;MAX('Match Log'!$A$4:$A$1510),NA(),IFERROR(LOOKUP(2,1/(('Match Log'!$D$4:$D$1510=$M$24)*('Match Log'!$A$4:$A$1510&lt;=$J366)),'Match Log'!$N$4:$N$1510),NA()))</f>
        <v>#N/A</v>
      </c>
      <c r="N366" t="e">
        <f>IF($J366&gt;MAX('Match Log'!$A$4:$A$1510),NA(),IFERROR(LOOKUP(2,1/(('Match Log'!$D$4:$D$1510=$N$24)*('Match Log'!$A$4:$A$1510&lt;=$J366)),'Match Log'!$N$4:$N$1510),NA()))</f>
        <v>#N/A</v>
      </c>
      <c r="O366" t="e">
        <f>IF($J366&gt;MAX('Match Log'!$A$4:$A$1510),NA(),IFERROR(LOOKUP(2,1/(('Match Log'!$D$4:$D$1510=$O$24)*('Match Log'!$A$4:$A$1510&lt;=$J366)),'Match Log'!$N$4:$N$1510),NA()))</f>
        <v>#N/A</v>
      </c>
      <c r="P366" t="e">
        <f>IF($J366&gt;MAX('Match Log'!$A$4:$A$1510),NA(),IFERROR(LOOKUP(2,1/(('Match Log'!$D$4:$D$1510=$P$24)*('Match Log'!$A$4:$A$1510&lt;=$J366)),'Match Log'!$N$4:$N$1510),NA()))</f>
        <v>#N/A</v>
      </c>
      <c r="Q366" t="e">
        <f>IF($J366&gt;MAX('Match Log'!$A$4:$A$1510),NA(),IFERROR(LOOKUP(2,1/(('Match Log'!$D$4:$D$1510=$Q$24)*('Match Log'!$A$4:$A$1510&lt;=$J366)),'Match Log'!$N$4:$N$1510),NA()))</f>
        <v>#N/A</v>
      </c>
      <c r="R366" t="e">
        <f>IF($J366&gt;MAX('Match Log'!$A$4:$A$1510),NA(),IFERROR(LOOKUP(2,1/(('Match Log'!$D$4:$D$1510=$R$24)*('Match Log'!$A$4:$A$1510&lt;=$J366)),'Match Log'!$N$4:$N$1510),NA()))</f>
        <v>#N/A</v>
      </c>
      <c r="S366" t="e">
        <f>IF($J366&gt;MAX('Match Log'!$A$4:$A$1510),NA(),IFERROR(LOOKUP(2,1/(('Match Log'!$D$4:$D$1510=$S$24)*('Match Log'!$A$4:$A$1510&lt;=$J366)),'Match Log'!$N$4:$N$1510),NA()))</f>
        <v>#N/A</v>
      </c>
      <c r="T366" t="e">
        <f>IF($J366&gt;MAX('Match Log'!$A$4:$A$1510),NA(),IFERROR(LOOKUP(2,1/(('Match Log'!$D$4:$D$1510=$T$24)*('Match Log'!$A$4:$A$1510&lt;=$J366)),'Match Log'!$N$4:$N$1510),NA()))</f>
        <v>#N/A</v>
      </c>
      <c r="U366" t="e">
        <f>IF($J366&gt;MAX('Match Log'!$A$4:$A$1510),NA(),IFERROR(LOOKUP(2,1/(('Match Log'!$D$4:$D$1510=$U$24)*('Match Log'!$A$4:$A$1510&lt;=$J366)),'Match Log'!$N$4:$N$1510),NA()))</f>
        <v>#N/A</v>
      </c>
      <c r="V366" t="e">
        <f>IF($J366&gt;MAX('Match Log'!$A$4:$A$1510),NA(),IFERROR(LOOKUP(2,1/(('Match Log'!$D$4:$D$1510=$V$24)*('Match Log'!$A$4:$A$1510&lt;=$J366)),'Match Log'!$N$4:$N$1510),NA()))</f>
        <v>#N/A</v>
      </c>
      <c r="W366" t="e">
        <f>IF($J366&gt;MAX('Match Log'!$A$4:$A$1510),NA(),IFERROR(LOOKUP(2,1/(('Match Log'!$D$4:$D$1510=$W$24)*('Match Log'!$A$4:$A$1510&lt;=$J366)),'Match Log'!$N$4:$N$1510),NA()))</f>
        <v>#N/A</v>
      </c>
      <c r="X366" t="e">
        <f>IF($J366&gt;MAX('Match Log'!$A$4:$A$1510),NA(),IFERROR(LOOKUP(2,1/(('Match Log'!$D$4:$D$1510=$X$24)*('Match Log'!$A$4:$A$1510&lt;=$J366)),'Match Log'!$N$4:$N$1510),NA()))</f>
        <v>#N/A</v>
      </c>
      <c r="Y366" t="str">
        <f t="shared" ca="1" si="34"/>
        <v/>
      </c>
    </row>
    <row r="367" spans="1:25" x14ac:dyDescent="0.2">
      <c r="A367">
        <v>343</v>
      </c>
      <c r="B367" t="str">
        <f>IFERROR(INDEX('Match Log'!$B$4:$B$1510,MATCH($A367,'Match Log'!$A$4:$A$1510,0)),"")</f>
        <v/>
      </c>
      <c r="C367" t="str">
        <f>IFERROR(INDEX('Match Log'!$C$4:$C$1510,MATCH($A367,'Match Log'!$A$4:$A$1510,0)),"")</f>
        <v/>
      </c>
      <c r="D367" t="str">
        <f t="array" ref="D367">IFERROR(_xlfn.TEXTJOIN(" + ",TRUE(),IF(('Match Log'!$A$4:$A$1510=$A367)*('Match Log'!$E$4:$E$1510="Win"),'Match Log'!$D$4:$D$1510,"")),IFERROR(LOOKUP(2,1/(('Match Log'!$A$4:$A$1510=$A367)*('Match Log'!$E$4:$E$1510="Win")),'Match Log'!$D$4:$D$1510),""))</f>
        <v/>
      </c>
      <c r="E367" t="str">
        <f>IFERROR(INDEX('Match Log'!$F$4:$F$1510,MATCH($A367,'Match Log'!$A$4:$A$1510,0)),"")</f>
        <v/>
      </c>
      <c r="F367">
        <f>IFERROR(SUMIFS('Match Log'!$I$4:$I$1510,'Match Log'!$A$4:$A$1510,$A367,'Match Log'!$E$4:$E$1510,"Win"),"")</f>
        <v>0</v>
      </c>
      <c r="G367" t="str">
        <f t="shared" si="32"/>
        <v/>
      </c>
      <c r="H367" t="str">
        <f t="array" ref="H367">IFERROR(IF(COUNTIFS('Match Log'!$A$4:$A$1510,$A367,'Match Log'!$E$4:$E$1510,"Win")&gt;1,_xlfn.TEXTJOIN(" + ",TRUE(),IF(('Match Log'!$A$4:$A$1510=$A367)*('Match Log'!$E$4:$E$1510="Loss"),'Match Log'!$D$4:$D$1510,"")),IF($E367=2,LOOKUP(2,1/(('Match Log'!$A$4:$A$1510=$A367)*('Match Log'!$E$4:$E$1510="Loss")),'Match Log'!$D$4:$D$1510),"the field")),"")</f>
        <v>the field</v>
      </c>
      <c r="I367" t="str">
        <f t="shared" si="33"/>
        <v/>
      </c>
      <c r="J367">
        <v>343</v>
      </c>
      <c r="K367" t="e">
        <f>IF($J367&gt;MAX('Match Log'!$A$4:$A$1510),NA(),IFERROR(LOOKUP(2,1/(('Match Log'!$D$4:$D$1510=$K$24)*('Match Log'!$A$4:$A$1510&lt;=$J367)),'Match Log'!$N$4:$N$1510),NA()))</f>
        <v>#N/A</v>
      </c>
      <c r="L367" t="e">
        <f>IF($J367&gt;MAX('Match Log'!$A$4:$A$1510),NA(),IFERROR(LOOKUP(2,1/(('Match Log'!$D$4:$D$1510=$L$24)*('Match Log'!$A$4:$A$1510&lt;=$J367)),'Match Log'!$N$4:$N$1510),NA()))</f>
        <v>#N/A</v>
      </c>
      <c r="M367" t="e">
        <f>IF($J367&gt;MAX('Match Log'!$A$4:$A$1510),NA(),IFERROR(LOOKUP(2,1/(('Match Log'!$D$4:$D$1510=$M$24)*('Match Log'!$A$4:$A$1510&lt;=$J367)),'Match Log'!$N$4:$N$1510),NA()))</f>
        <v>#N/A</v>
      </c>
      <c r="N367" t="e">
        <f>IF($J367&gt;MAX('Match Log'!$A$4:$A$1510),NA(),IFERROR(LOOKUP(2,1/(('Match Log'!$D$4:$D$1510=$N$24)*('Match Log'!$A$4:$A$1510&lt;=$J367)),'Match Log'!$N$4:$N$1510),NA()))</f>
        <v>#N/A</v>
      </c>
      <c r="O367" t="e">
        <f>IF($J367&gt;MAX('Match Log'!$A$4:$A$1510),NA(),IFERROR(LOOKUP(2,1/(('Match Log'!$D$4:$D$1510=$O$24)*('Match Log'!$A$4:$A$1510&lt;=$J367)),'Match Log'!$N$4:$N$1510),NA()))</f>
        <v>#N/A</v>
      </c>
      <c r="P367" t="e">
        <f>IF($J367&gt;MAX('Match Log'!$A$4:$A$1510),NA(),IFERROR(LOOKUP(2,1/(('Match Log'!$D$4:$D$1510=$P$24)*('Match Log'!$A$4:$A$1510&lt;=$J367)),'Match Log'!$N$4:$N$1510),NA()))</f>
        <v>#N/A</v>
      </c>
      <c r="Q367" t="e">
        <f>IF($J367&gt;MAX('Match Log'!$A$4:$A$1510),NA(),IFERROR(LOOKUP(2,1/(('Match Log'!$D$4:$D$1510=$Q$24)*('Match Log'!$A$4:$A$1510&lt;=$J367)),'Match Log'!$N$4:$N$1510),NA()))</f>
        <v>#N/A</v>
      </c>
      <c r="R367" t="e">
        <f>IF($J367&gt;MAX('Match Log'!$A$4:$A$1510),NA(),IFERROR(LOOKUP(2,1/(('Match Log'!$D$4:$D$1510=$R$24)*('Match Log'!$A$4:$A$1510&lt;=$J367)),'Match Log'!$N$4:$N$1510),NA()))</f>
        <v>#N/A</v>
      </c>
      <c r="S367" t="e">
        <f>IF($J367&gt;MAX('Match Log'!$A$4:$A$1510),NA(),IFERROR(LOOKUP(2,1/(('Match Log'!$D$4:$D$1510=$S$24)*('Match Log'!$A$4:$A$1510&lt;=$J367)),'Match Log'!$N$4:$N$1510),NA()))</f>
        <v>#N/A</v>
      </c>
      <c r="T367" t="e">
        <f>IF($J367&gt;MAX('Match Log'!$A$4:$A$1510),NA(),IFERROR(LOOKUP(2,1/(('Match Log'!$D$4:$D$1510=$T$24)*('Match Log'!$A$4:$A$1510&lt;=$J367)),'Match Log'!$N$4:$N$1510),NA()))</f>
        <v>#N/A</v>
      </c>
      <c r="U367" t="e">
        <f>IF($J367&gt;MAX('Match Log'!$A$4:$A$1510),NA(),IFERROR(LOOKUP(2,1/(('Match Log'!$D$4:$D$1510=$U$24)*('Match Log'!$A$4:$A$1510&lt;=$J367)),'Match Log'!$N$4:$N$1510),NA()))</f>
        <v>#N/A</v>
      </c>
      <c r="V367" t="e">
        <f>IF($J367&gt;MAX('Match Log'!$A$4:$A$1510),NA(),IFERROR(LOOKUP(2,1/(('Match Log'!$D$4:$D$1510=$V$24)*('Match Log'!$A$4:$A$1510&lt;=$J367)),'Match Log'!$N$4:$N$1510),NA()))</f>
        <v>#N/A</v>
      </c>
      <c r="W367" t="e">
        <f>IF($J367&gt;MAX('Match Log'!$A$4:$A$1510),NA(),IFERROR(LOOKUP(2,1/(('Match Log'!$D$4:$D$1510=$W$24)*('Match Log'!$A$4:$A$1510&lt;=$J367)),'Match Log'!$N$4:$N$1510),NA()))</f>
        <v>#N/A</v>
      </c>
      <c r="X367" t="e">
        <f>IF($J367&gt;MAX('Match Log'!$A$4:$A$1510),NA(),IFERROR(LOOKUP(2,1/(('Match Log'!$D$4:$D$1510=$X$24)*('Match Log'!$A$4:$A$1510&lt;=$J367)),'Match Log'!$N$4:$N$1510),NA()))</f>
        <v>#N/A</v>
      </c>
      <c r="Y367" t="str">
        <f t="shared" ca="1" si="34"/>
        <v/>
      </c>
    </row>
    <row r="368" spans="1:25" x14ac:dyDescent="0.2">
      <c r="A368">
        <v>344</v>
      </c>
      <c r="B368" t="str">
        <f>IFERROR(INDEX('Match Log'!$B$4:$B$1510,MATCH($A368,'Match Log'!$A$4:$A$1510,0)),"")</f>
        <v/>
      </c>
      <c r="C368" t="str">
        <f>IFERROR(INDEX('Match Log'!$C$4:$C$1510,MATCH($A368,'Match Log'!$A$4:$A$1510,0)),"")</f>
        <v/>
      </c>
      <c r="D368" t="str">
        <f t="array" ref="D368">IFERROR(_xlfn.TEXTJOIN(" + ",TRUE(),IF(('Match Log'!$A$4:$A$1510=$A368)*('Match Log'!$E$4:$E$1510="Win"),'Match Log'!$D$4:$D$1510,"")),IFERROR(LOOKUP(2,1/(('Match Log'!$A$4:$A$1510=$A368)*('Match Log'!$E$4:$E$1510="Win")),'Match Log'!$D$4:$D$1510),""))</f>
        <v/>
      </c>
      <c r="E368" t="str">
        <f>IFERROR(INDEX('Match Log'!$F$4:$F$1510,MATCH($A368,'Match Log'!$A$4:$A$1510,0)),"")</f>
        <v/>
      </c>
      <c r="F368">
        <f>IFERROR(SUMIFS('Match Log'!$I$4:$I$1510,'Match Log'!$A$4:$A$1510,$A368,'Match Log'!$E$4:$E$1510,"Win"),"")</f>
        <v>0</v>
      </c>
      <c r="G368" t="str">
        <f t="shared" si="32"/>
        <v/>
      </c>
      <c r="H368" t="str">
        <f t="array" ref="H368">IFERROR(IF(COUNTIFS('Match Log'!$A$4:$A$1510,$A368,'Match Log'!$E$4:$E$1510,"Win")&gt;1,_xlfn.TEXTJOIN(" + ",TRUE(),IF(('Match Log'!$A$4:$A$1510=$A368)*('Match Log'!$E$4:$E$1510="Loss"),'Match Log'!$D$4:$D$1510,"")),IF($E368=2,LOOKUP(2,1/(('Match Log'!$A$4:$A$1510=$A368)*('Match Log'!$E$4:$E$1510="Loss")),'Match Log'!$D$4:$D$1510),"the field")),"")</f>
        <v>the field</v>
      </c>
      <c r="I368" t="str">
        <f t="shared" si="33"/>
        <v/>
      </c>
      <c r="J368">
        <v>344</v>
      </c>
      <c r="K368" t="e">
        <f>IF($J368&gt;MAX('Match Log'!$A$4:$A$1510),NA(),IFERROR(LOOKUP(2,1/(('Match Log'!$D$4:$D$1510=$K$24)*('Match Log'!$A$4:$A$1510&lt;=$J368)),'Match Log'!$N$4:$N$1510),NA()))</f>
        <v>#N/A</v>
      </c>
      <c r="L368" t="e">
        <f>IF($J368&gt;MAX('Match Log'!$A$4:$A$1510),NA(),IFERROR(LOOKUP(2,1/(('Match Log'!$D$4:$D$1510=$L$24)*('Match Log'!$A$4:$A$1510&lt;=$J368)),'Match Log'!$N$4:$N$1510),NA()))</f>
        <v>#N/A</v>
      </c>
      <c r="M368" t="e">
        <f>IF($J368&gt;MAX('Match Log'!$A$4:$A$1510),NA(),IFERROR(LOOKUP(2,1/(('Match Log'!$D$4:$D$1510=$M$24)*('Match Log'!$A$4:$A$1510&lt;=$J368)),'Match Log'!$N$4:$N$1510),NA()))</f>
        <v>#N/A</v>
      </c>
      <c r="N368" t="e">
        <f>IF($J368&gt;MAX('Match Log'!$A$4:$A$1510),NA(),IFERROR(LOOKUP(2,1/(('Match Log'!$D$4:$D$1510=$N$24)*('Match Log'!$A$4:$A$1510&lt;=$J368)),'Match Log'!$N$4:$N$1510),NA()))</f>
        <v>#N/A</v>
      </c>
      <c r="O368" t="e">
        <f>IF($J368&gt;MAX('Match Log'!$A$4:$A$1510),NA(),IFERROR(LOOKUP(2,1/(('Match Log'!$D$4:$D$1510=$O$24)*('Match Log'!$A$4:$A$1510&lt;=$J368)),'Match Log'!$N$4:$N$1510),NA()))</f>
        <v>#N/A</v>
      </c>
      <c r="P368" t="e">
        <f>IF($J368&gt;MAX('Match Log'!$A$4:$A$1510),NA(),IFERROR(LOOKUP(2,1/(('Match Log'!$D$4:$D$1510=$P$24)*('Match Log'!$A$4:$A$1510&lt;=$J368)),'Match Log'!$N$4:$N$1510),NA()))</f>
        <v>#N/A</v>
      </c>
      <c r="Q368" t="e">
        <f>IF($J368&gt;MAX('Match Log'!$A$4:$A$1510),NA(),IFERROR(LOOKUP(2,1/(('Match Log'!$D$4:$D$1510=$Q$24)*('Match Log'!$A$4:$A$1510&lt;=$J368)),'Match Log'!$N$4:$N$1510),NA()))</f>
        <v>#N/A</v>
      </c>
      <c r="R368" t="e">
        <f>IF($J368&gt;MAX('Match Log'!$A$4:$A$1510),NA(),IFERROR(LOOKUP(2,1/(('Match Log'!$D$4:$D$1510=$R$24)*('Match Log'!$A$4:$A$1510&lt;=$J368)),'Match Log'!$N$4:$N$1510),NA()))</f>
        <v>#N/A</v>
      </c>
      <c r="S368" t="e">
        <f>IF($J368&gt;MAX('Match Log'!$A$4:$A$1510),NA(),IFERROR(LOOKUP(2,1/(('Match Log'!$D$4:$D$1510=$S$24)*('Match Log'!$A$4:$A$1510&lt;=$J368)),'Match Log'!$N$4:$N$1510),NA()))</f>
        <v>#N/A</v>
      </c>
      <c r="T368" t="e">
        <f>IF($J368&gt;MAX('Match Log'!$A$4:$A$1510),NA(),IFERROR(LOOKUP(2,1/(('Match Log'!$D$4:$D$1510=$T$24)*('Match Log'!$A$4:$A$1510&lt;=$J368)),'Match Log'!$N$4:$N$1510),NA()))</f>
        <v>#N/A</v>
      </c>
      <c r="U368" t="e">
        <f>IF($J368&gt;MAX('Match Log'!$A$4:$A$1510),NA(),IFERROR(LOOKUP(2,1/(('Match Log'!$D$4:$D$1510=$U$24)*('Match Log'!$A$4:$A$1510&lt;=$J368)),'Match Log'!$N$4:$N$1510),NA()))</f>
        <v>#N/A</v>
      </c>
      <c r="V368" t="e">
        <f>IF($J368&gt;MAX('Match Log'!$A$4:$A$1510),NA(),IFERROR(LOOKUP(2,1/(('Match Log'!$D$4:$D$1510=$V$24)*('Match Log'!$A$4:$A$1510&lt;=$J368)),'Match Log'!$N$4:$N$1510),NA()))</f>
        <v>#N/A</v>
      </c>
      <c r="W368" t="e">
        <f>IF($J368&gt;MAX('Match Log'!$A$4:$A$1510),NA(),IFERROR(LOOKUP(2,1/(('Match Log'!$D$4:$D$1510=$W$24)*('Match Log'!$A$4:$A$1510&lt;=$J368)),'Match Log'!$N$4:$N$1510),NA()))</f>
        <v>#N/A</v>
      </c>
      <c r="X368" t="e">
        <f>IF($J368&gt;MAX('Match Log'!$A$4:$A$1510),NA(),IFERROR(LOOKUP(2,1/(('Match Log'!$D$4:$D$1510=$X$24)*('Match Log'!$A$4:$A$1510&lt;=$J368)),'Match Log'!$N$4:$N$1510),NA()))</f>
        <v>#N/A</v>
      </c>
      <c r="Y368" t="str">
        <f t="shared" ca="1" si="34"/>
        <v/>
      </c>
    </row>
    <row r="369" spans="1:25" x14ac:dyDescent="0.2">
      <c r="A369">
        <v>345</v>
      </c>
      <c r="B369" t="str">
        <f>IFERROR(INDEX('Match Log'!$B$4:$B$1510,MATCH($A369,'Match Log'!$A$4:$A$1510,0)),"")</f>
        <v/>
      </c>
      <c r="C369" t="str">
        <f>IFERROR(INDEX('Match Log'!$C$4:$C$1510,MATCH($A369,'Match Log'!$A$4:$A$1510,0)),"")</f>
        <v/>
      </c>
      <c r="D369" t="str">
        <f t="array" ref="D369">IFERROR(_xlfn.TEXTJOIN(" + ",TRUE(),IF(('Match Log'!$A$4:$A$1510=$A369)*('Match Log'!$E$4:$E$1510="Win"),'Match Log'!$D$4:$D$1510,"")),IFERROR(LOOKUP(2,1/(('Match Log'!$A$4:$A$1510=$A369)*('Match Log'!$E$4:$E$1510="Win")),'Match Log'!$D$4:$D$1510),""))</f>
        <v/>
      </c>
      <c r="E369" t="str">
        <f>IFERROR(INDEX('Match Log'!$F$4:$F$1510,MATCH($A369,'Match Log'!$A$4:$A$1510,0)),"")</f>
        <v/>
      </c>
      <c r="F369">
        <f>IFERROR(SUMIFS('Match Log'!$I$4:$I$1510,'Match Log'!$A$4:$A$1510,$A369,'Match Log'!$E$4:$E$1510,"Win"),"")</f>
        <v>0</v>
      </c>
      <c r="G369" t="str">
        <f t="shared" si="32"/>
        <v/>
      </c>
      <c r="H369" t="str">
        <f t="array" ref="H369">IFERROR(IF(COUNTIFS('Match Log'!$A$4:$A$1510,$A369,'Match Log'!$E$4:$E$1510,"Win")&gt;1,_xlfn.TEXTJOIN(" + ",TRUE(),IF(('Match Log'!$A$4:$A$1510=$A369)*('Match Log'!$E$4:$E$1510="Loss"),'Match Log'!$D$4:$D$1510,"")),IF($E369=2,LOOKUP(2,1/(('Match Log'!$A$4:$A$1510=$A369)*('Match Log'!$E$4:$E$1510="Loss")),'Match Log'!$D$4:$D$1510),"the field")),"")</f>
        <v>the field</v>
      </c>
      <c r="I369" t="str">
        <f t="shared" si="33"/>
        <v/>
      </c>
      <c r="J369">
        <v>345</v>
      </c>
      <c r="K369" t="e">
        <f>IF($J369&gt;MAX('Match Log'!$A$4:$A$1510),NA(),IFERROR(LOOKUP(2,1/(('Match Log'!$D$4:$D$1510=$K$24)*('Match Log'!$A$4:$A$1510&lt;=$J369)),'Match Log'!$N$4:$N$1510),NA()))</f>
        <v>#N/A</v>
      </c>
      <c r="L369" t="e">
        <f>IF($J369&gt;MAX('Match Log'!$A$4:$A$1510),NA(),IFERROR(LOOKUP(2,1/(('Match Log'!$D$4:$D$1510=$L$24)*('Match Log'!$A$4:$A$1510&lt;=$J369)),'Match Log'!$N$4:$N$1510),NA()))</f>
        <v>#N/A</v>
      </c>
      <c r="M369" t="e">
        <f>IF($J369&gt;MAX('Match Log'!$A$4:$A$1510),NA(),IFERROR(LOOKUP(2,1/(('Match Log'!$D$4:$D$1510=$M$24)*('Match Log'!$A$4:$A$1510&lt;=$J369)),'Match Log'!$N$4:$N$1510),NA()))</f>
        <v>#N/A</v>
      </c>
      <c r="N369" t="e">
        <f>IF($J369&gt;MAX('Match Log'!$A$4:$A$1510),NA(),IFERROR(LOOKUP(2,1/(('Match Log'!$D$4:$D$1510=$N$24)*('Match Log'!$A$4:$A$1510&lt;=$J369)),'Match Log'!$N$4:$N$1510),NA()))</f>
        <v>#N/A</v>
      </c>
      <c r="O369" t="e">
        <f>IF($J369&gt;MAX('Match Log'!$A$4:$A$1510),NA(),IFERROR(LOOKUP(2,1/(('Match Log'!$D$4:$D$1510=$O$24)*('Match Log'!$A$4:$A$1510&lt;=$J369)),'Match Log'!$N$4:$N$1510),NA()))</f>
        <v>#N/A</v>
      </c>
      <c r="P369" t="e">
        <f>IF($J369&gt;MAX('Match Log'!$A$4:$A$1510),NA(),IFERROR(LOOKUP(2,1/(('Match Log'!$D$4:$D$1510=$P$24)*('Match Log'!$A$4:$A$1510&lt;=$J369)),'Match Log'!$N$4:$N$1510),NA()))</f>
        <v>#N/A</v>
      </c>
      <c r="Q369" t="e">
        <f>IF($J369&gt;MAX('Match Log'!$A$4:$A$1510),NA(),IFERROR(LOOKUP(2,1/(('Match Log'!$D$4:$D$1510=$Q$24)*('Match Log'!$A$4:$A$1510&lt;=$J369)),'Match Log'!$N$4:$N$1510),NA()))</f>
        <v>#N/A</v>
      </c>
      <c r="R369" t="e">
        <f>IF($J369&gt;MAX('Match Log'!$A$4:$A$1510),NA(),IFERROR(LOOKUP(2,1/(('Match Log'!$D$4:$D$1510=$R$24)*('Match Log'!$A$4:$A$1510&lt;=$J369)),'Match Log'!$N$4:$N$1510),NA()))</f>
        <v>#N/A</v>
      </c>
      <c r="S369" t="e">
        <f>IF($J369&gt;MAX('Match Log'!$A$4:$A$1510),NA(),IFERROR(LOOKUP(2,1/(('Match Log'!$D$4:$D$1510=$S$24)*('Match Log'!$A$4:$A$1510&lt;=$J369)),'Match Log'!$N$4:$N$1510),NA()))</f>
        <v>#N/A</v>
      </c>
      <c r="T369" t="e">
        <f>IF($J369&gt;MAX('Match Log'!$A$4:$A$1510),NA(),IFERROR(LOOKUP(2,1/(('Match Log'!$D$4:$D$1510=$T$24)*('Match Log'!$A$4:$A$1510&lt;=$J369)),'Match Log'!$N$4:$N$1510),NA()))</f>
        <v>#N/A</v>
      </c>
      <c r="U369" t="e">
        <f>IF($J369&gt;MAX('Match Log'!$A$4:$A$1510),NA(),IFERROR(LOOKUP(2,1/(('Match Log'!$D$4:$D$1510=$U$24)*('Match Log'!$A$4:$A$1510&lt;=$J369)),'Match Log'!$N$4:$N$1510),NA()))</f>
        <v>#N/A</v>
      </c>
      <c r="V369" t="e">
        <f>IF($J369&gt;MAX('Match Log'!$A$4:$A$1510),NA(),IFERROR(LOOKUP(2,1/(('Match Log'!$D$4:$D$1510=$V$24)*('Match Log'!$A$4:$A$1510&lt;=$J369)),'Match Log'!$N$4:$N$1510),NA()))</f>
        <v>#N/A</v>
      </c>
      <c r="W369" t="e">
        <f>IF($J369&gt;MAX('Match Log'!$A$4:$A$1510),NA(),IFERROR(LOOKUP(2,1/(('Match Log'!$D$4:$D$1510=$W$24)*('Match Log'!$A$4:$A$1510&lt;=$J369)),'Match Log'!$N$4:$N$1510),NA()))</f>
        <v>#N/A</v>
      </c>
      <c r="X369" t="e">
        <f>IF($J369&gt;MAX('Match Log'!$A$4:$A$1510),NA(),IFERROR(LOOKUP(2,1/(('Match Log'!$D$4:$D$1510=$X$24)*('Match Log'!$A$4:$A$1510&lt;=$J369)),'Match Log'!$N$4:$N$1510),NA()))</f>
        <v>#N/A</v>
      </c>
      <c r="Y369" t="str">
        <f t="shared" ca="1" si="34"/>
        <v/>
      </c>
    </row>
    <row r="370" spans="1:25" x14ac:dyDescent="0.2">
      <c r="A370">
        <v>346</v>
      </c>
      <c r="B370" t="str">
        <f>IFERROR(INDEX('Match Log'!$B$4:$B$1510,MATCH($A370,'Match Log'!$A$4:$A$1510,0)),"")</f>
        <v/>
      </c>
      <c r="C370" t="str">
        <f>IFERROR(INDEX('Match Log'!$C$4:$C$1510,MATCH($A370,'Match Log'!$A$4:$A$1510,0)),"")</f>
        <v/>
      </c>
      <c r="D370" t="str">
        <f t="array" ref="D370">IFERROR(_xlfn.TEXTJOIN(" + ",TRUE(),IF(('Match Log'!$A$4:$A$1510=$A370)*('Match Log'!$E$4:$E$1510="Win"),'Match Log'!$D$4:$D$1510,"")),IFERROR(LOOKUP(2,1/(('Match Log'!$A$4:$A$1510=$A370)*('Match Log'!$E$4:$E$1510="Win")),'Match Log'!$D$4:$D$1510),""))</f>
        <v/>
      </c>
      <c r="E370" t="str">
        <f>IFERROR(INDEX('Match Log'!$F$4:$F$1510,MATCH($A370,'Match Log'!$A$4:$A$1510,0)),"")</f>
        <v/>
      </c>
      <c r="F370">
        <f>IFERROR(SUMIFS('Match Log'!$I$4:$I$1510,'Match Log'!$A$4:$A$1510,$A370,'Match Log'!$E$4:$E$1510,"Win"),"")</f>
        <v>0</v>
      </c>
      <c r="G370" t="str">
        <f t="shared" si="32"/>
        <v/>
      </c>
      <c r="H370" t="str">
        <f t="array" ref="H370">IFERROR(IF(COUNTIFS('Match Log'!$A$4:$A$1510,$A370,'Match Log'!$E$4:$E$1510,"Win")&gt;1,_xlfn.TEXTJOIN(" + ",TRUE(),IF(('Match Log'!$A$4:$A$1510=$A370)*('Match Log'!$E$4:$E$1510="Loss"),'Match Log'!$D$4:$D$1510,"")),IF($E370=2,LOOKUP(2,1/(('Match Log'!$A$4:$A$1510=$A370)*('Match Log'!$E$4:$E$1510="Loss")),'Match Log'!$D$4:$D$1510),"the field")),"")</f>
        <v>the field</v>
      </c>
      <c r="I370" t="str">
        <f t="shared" si="33"/>
        <v/>
      </c>
      <c r="J370">
        <v>346</v>
      </c>
      <c r="K370" t="e">
        <f>IF($J370&gt;MAX('Match Log'!$A$4:$A$1510),NA(),IFERROR(LOOKUP(2,1/(('Match Log'!$D$4:$D$1510=$K$24)*('Match Log'!$A$4:$A$1510&lt;=$J370)),'Match Log'!$N$4:$N$1510),NA()))</f>
        <v>#N/A</v>
      </c>
      <c r="L370" t="e">
        <f>IF($J370&gt;MAX('Match Log'!$A$4:$A$1510),NA(),IFERROR(LOOKUP(2,1/(('Match Log'!$D$4:$D$1510=$L$24)*('Match Log'!$A$4:$A$1510&lt;=$J370)),'Match Log'!$N$4:$N$1510),NA()))</f>
        <v>#N/A</v>
      </c>
      <c r="M370" t="e">
        <f>IF($J370&gt;MAX('Match Log'!$A$4:$A$1510),NA(),IFERROR(LOOKUP(2,1/(('Match Log'!$D$4:$D$1510=$M$24)*('Match Log'!$A$4:$A$1510&lt;=$J370)),'Match Log'!$N$4:$N$1510),NA()))</f>
        <v>#N/A</v>
      </c>
      <c r="N370" t="e">
        <f>IF($J370&gt;MAX('Match Log'!$A$4:$A$1510),NA(),IFERROR(LOOKUP(2,1/(('Match Log'!$D$4:$D$1510=$N$24)*('Match Log'!$A$4:$A$1510&lt;=$J370)),'Match Log'!$N$4:$N$1510),NA()))</f>
        <v>#N/A</v>
      </c>
      <c r="O370" t="e">
        <f>IF($J370&gt;MAX('Match Log'!$A$4:$A$1510),NA(),IFERROR(LOOKUP(2,1/(('Match Log'!$D$4:$D$1510=$O$24)*('Match Log'!$A$4:$A$1510&lt;=$J370)),'Match Log'!$N$4:$N$1510),NA()))</f>
        <v>#N/A</v>
      </c>
      <c r="P370" t="e">
        <f>IF($J370&gt;MAX('Match Log'!$A$4:$A$1510),NA(),IFERROR(LOOKUP(2,1/(('Match Log'!$D$4:$D$1510=$P$24)*('Match Log'!$A$4:$A$1510&lt;=$J370)),'Match Log'!$N$4:$N$1510),NA()))</f>
        <v>#N/A</v>
      </c>
      <c r="Q370" t="e">
        <f>IF($J370&gt;MAX('Match Log'!$A$4:$A$1510),NA(),IFERROR(LOOKUP(2,1/(('Match Log'!$D$4:$D$1510=$Q$24)*('Match Log'!$A$4:$A$1510&lt;=$J370)),'Match Log'!$N$4:$N$1510),NA()))</f>
        <v>#N/A</v>
      </c>
      <c r="R370" t="e">
        <f>IF($J370&gt;MAX('Match Log'!$A$4:$A$1510),NA(),IFERROR(LOOKUP(2,1/(('Match Log'!$D$4:$D$1510=$R$24)*('Match Log'!$A$4:$A$1510&lt;=$J370)),'Match Log'!$N$4:$N$1510),NA()))</f>
        <v>#N/A</v>
      </c>
      <c r="S370" t="e">
        <f>IF($J370&gt;MAX('Match Log'!$A$4:$A$1510),NA(),IFERROR(LOOKUP(2,1/(('Match Log'!$D$4:$D$1510=$S$24)*('Match Log'!$A$4:$A$1510&lt;=$J370)),'Match Log'!$N$4:$N$1510),NA()))</f>
        <v>#N/A</v>
      </c>
      <c r="T370" t="e">
        <f>IF($J370&gt;MAX('Match Log'!$A$4:$A$1510),NA(),IFERROR(LOOKUP(2,1/(('Match Log'!$D$4:$D$1510=$T$24)*('Match Log'!$A$4:$A$1510&lt;=$J370)),'Match Log'!$N$4:$N$1510),NA()))</f>
        <v>#N/A</v>
      </c>
      <c r="U370" t="e">
        <f>IF($J370&gt;MAX('Match Log'!$A$4:$A$1510),NA(),IFERROR(LOOKUP(2,1/(('Match Log'!$D$4:$D$1510=$U$24)*('Match Log'!$A$4:$A$1510&lt;=$J370)),'Match Log'!$N$4:$N$1510),NA()))</f>
        <v>#N/A</v>
      </c>
      <c r="V370" t="e">
        <f>IF($J370&gt;MAX('Match Log'!$A$4:$A$1510),NA(),IFERROR(LOOKUP(2,1/(('Match Log'!$D$4:$D$1510=$V$24)*('Match Log'!$A$4:$A$1510&lt;=$J370)),'Match Log'!$N$4:$N$1510),NA()))</f>
        <v>#N/A</v>
      </c>
      <c r="W370" t="e">
        <f>IF($J370&gt;MAX('Match Log'!$A$4:$A$1510),NA(),IFERROR(LOOKUP(2,1/(('Match Log'!$D$4:$D$1510=$W$24)*('Match Log'!$A$4:$A$1510&lt;=$J370)),'Match Log'!$N$4:$N$1510),NA()))</f>
        <v>#N/A</v>
      </c>
      <c r="X370" t="e">
        <f>IF($J370&gt;MAX('Match Log'!$A$4:$A$1510),NA(),IFERROR(LOOKUP(2,1/(('Match Log'!$D$4:$D$1510=$X$24)*('Match Log'!$A$4:$A$1510&lt;=$J370)),'Match Log'!$N$4:$N$1510),NA()))</f>
        <v>#N/A</v>
      </c>
      <c r="Y370" t="str">
        <f t="shared" ca="1" si="34"/>
        <v/>
      </c>
    </row>
    <row r="371" spans="1:25" x14ac:dyDescent="0.2">
      <c r="A371">
        <v>347</v>
      </c>
      <c r="B371" t="str">
        <f>IFERROR(INDEX('Match Log'!$B$4:$B$1510,MATCH($A371,'Match Log'!$A$4:$A$1510,0)),"")</f>
        <v/>
      </c>
      <c r="C371" t="str">
        <f>IFERROR(INDEX('Match Log'!$C$4:$C$1510,MATCH($A371,'Match Log'!$A$4:$A$1510,0)),"")</f>
        <v/>
      </c>
      <c r="D371" t="str">
        <f t="array" ref="D371">IFERROR(_xlfn.TEXTJOIN(" + ",TRUE(),IF(('Match Log'!$A$4:$A$1510=$A371)*('Match Log'!$E$4:$E$1510="Win"),'Match Log'!$D$4:$D$1510,"")),IFERROR(LOOKUP(2,1/(('Match Log'!$A$4:$A$1510=$A371)*('Match Log'!$E$4:$E$1510="Win")),'Match Log'!$D$4:$D$1510),""))</f>
        <v/>
      </c>
      <c r="E371" t="str">
        <f>IFERROR(INDEX('Match Log'!$F$4:$F$1510,MATCH($A371,'Match Log'!$A$4:$A$1510,0)),"")</f>
        <v/>
      </c>
      <c r="F371">
        <f>IFERROR(SUMIFS('Match Log'!$I$4:$I$1510,'Match Log'!$A$4:$A$1510,$A371,'Match Log'!$E$4:$E$1510,"Win"),"")</f>
        <v>0</v>
      </c>
      <c r="G371" t="str">
        <f t="shared" si="32"/>
        <v/>
      </c>
      <c r="H371" t="str">
        <f t="array" ref="H371">IFERROR(IF(COUNTIFS('Match Log'!$A$4:$A$1510,$A371,'Match Log'!$E$4:$E$1510,"Win")&gt;1,_xlfn.TEXTJOIN(" + ",TRUE(),IF(('Match Log'!$A$4:$A$1510=$A371)*('Match Log'!$E$4:$E$1510="Loss"),'Match Log'!$D$4:$D$1510,"")),IF($E371=2,LOOKUP(2,1/(('Match Log'!$A$4:$A$1510=$A371)*('Match Log'!$E$4:$E$1510="Loss")),'Match Log'!$D$4:$D$1510),"the field")),"")</f>
        <v>the field</v>
      </c>
      <c r="I371" t="str">
        <f t="shared" si="33"/>
        <v/>
      </c>
      <c r="J371">
        <v>347</v>
      </c>
      <c r="K371" t="e">
        <f>IF($J371&gt;MAX('Match Log'!$A$4:$A$1510),NA(),IFERROR(LOOKUP(2,1/(('Match Log'!$D$4:$D$1510=$K$24)*('Match Log'!$A$4:$A$1510&lt;=$J371)),'Match Log'!$N$4:$N$1510),NA()))</f>
        <v>#N/A</v>
      </c>
      <c r="L371" t="e">
        <f>IF($J371&gt;MAX('Match Log'!$A$4:$A$1510),NA(),IFERROR(LOOKUP(2,1/(('Match Log'!$D$4:$D$1510=$L$24)*('Match Log'!$A$4:$A$1510&lt;=$J371)),'Match Log'!$N$4:$N$1510),NA()))</f>
        <v>#N/A</v>
      </c>
      <c r="M371" t="e">
        <f>IF($J371&gt;MAX('Match Log'!$A$4:$A$1510),NA(),IFERROR(LOOKUP(2,1/(('Match Log'!$D$4:$D$1510=$M$24)*('Match Log'!$A$4:$A$1510&lt;=$J371)),'Match Log'!$N$4:$N$1510),NA()))</f>
        <v>#N/A</v>
      </c>
      <c r="N371" t="e">
        <f>IF($J371&gt;MAX('Match Log'!$A$4:$A$1510),NA(),IFERROR(LOOKUP(2,1/(('Match Log'!$D$4:$D$1510=$N$24)*('Match Log'!$A$4:$A$1510&lt;=$J371)),'Match Log'!$N$4:$N$1510),NA()))</f>
        <v>#N/A</v>
      </c>
      <c r="O371" t="e">
        <f>IF($J371&gt;MAX('Match Log'!$A$4:$A$1510),NA(),IFERROR(LOOKUP(2,1/(('Match Log'!$D$4:$D$1510=$O$24)*('Match Log'!$A$4:$A$1510&lt;=$J371)),'Match Log'!$N$4:$N$1510),NA()))</f>
        <v>#N/A</v>
      </c>
      <c r="P371" t="e">
        <f>IF($J371&gt;MAX('Match Log'!$A$4:$A$1510),NA(),IFERROR(LOOKUP(2,1/(('Match Log'!$D$4:$D$1510=$P$24)*('Match Log'!$A$4:$A$1510&lt;=$J371)),'Match Log'!$N$4:$N$1510),NA()))</f>
        <v>#N/A</v>
      </c>
      <c r="Q371" t="e">
        <f>IF($J371&gt;MAX('Match Log'!$A$4:$A$1510),NA(),IFERROR(LOOKUP(2,1/(('Match Log'!$D$4:$D$1510=$Q$24)*('Match Log'!$A$4:$A$1510&lt;=$J371)),'Match Log'!$N$4:$N$1510),NA()))</f>
        <v>#N/A</v>
      </c>
      <c r="R371" t="e">
        <f>IF($J371&gt;MAX('Match Log'!$A$4:$A$1510),NA(),IFERROR(LOOKUP(2,1/(('Match Log'!$D$4:$D$1510=$R$24)*('Match Log'!$A$4:$A$1510&lt;=$J371)),'Match Log'!$N$4:$N$1510),NA()))</f>
        <v>#N/A</v>
      </c>
      <c r="S371" t="e">
        <f>IF($J371&gt;MAX('Match Log'!$A$4:$A$1510),NA(),IFERROR(LOOKUP(2,1/(('Match Log'!$D$4:$D$1510=$S$24)*('Match Log'!$A$4:$A$1510&lt;=$J371)),'Match Log'!$N$4:$N$1510),NA()))</f>
        <v>#N/A</v>
      </c>
      <c r="T371" t="e">
        <f>IF($J371&gt;MAX('Match Log'!$A$4:$A$1510),NA(),IFERROR(LOOKUP(2,1/(('Match Log'!$D$4:$D$1510=$T$24)*('Match Log'!$A$4:$A$1510&lt;=$J371)),'Match Log'!$N$4:$N$1510),NA()))</f>
        <v>#N/A</v>
      </c>
      <c r="U371" t="e">
        <f>IF($J371&gt;MAX('Match Log'!$A$4:$A$1510),NA(),IFERROR(LOOKUP(2,1/(('Match Log'!$D$4:$D$1510=$U$24)*('Match Log'!$A$4:$A$1510&lt;=$J371)),'Match Log'!$N$4:$N$1510),NA()))</f>
        <v>#N/A</v>
      </c>
      <c r="V371" t="e">
        <f>IF($J371&gt;MAX('Match Log'!$A$4:$A$1510),NA(),IFERROR(LOOKUP(2,1/(('Match Log'!$D$4:$D$1510=$V$24)*('Match Log'!$A$4:$A$1510&lt;=$J371)),'Match Log'!$N$4:$N$1510),NA()))</f>
        <v>#N/A</v>
      </c>
      <c r="W371" t="e">
        <f>IF($J371&gt;MAX('Match Log'!$A$4:$A$1510),NA(),IFERROR(LOOKUP(2,1/(('Match Log'!$D$4:$D$1510=$W$24)*('Match Log'!$A$4:$A$1510&lt;=$J371)),'Match Log'!$N$4:$N$1510),NA()))</f>
        <v>#N/A</v>
      </c>
      <c r="X371" t="e">
        <f>IF($J371&gt;MAX('Match Log'!$A$4:$A$1510),NA(),IFERROR(LOOKUP(2,1/(('Match Log'!$D$4:$D$1510=$X$24)*('Match Log'!$A$4:$A$1510&lt;=$J371)),'Match Log'!$N$4:$N$1510),NA()))</f>
        <v>#N/A</v>
      </c>
      <c r="Y371" t="str">
        <f t="shared" ca="1" si="34"/>
        <v/>
      </c>
    </row>
    <row r="372" spans="1:25" x14ac:dyDescent="0.2">
      <c r="A372">
        <v>348</v>
      </c>
      <c r="B372" t="str">
        <f>IFERROR(INDEX('Match Log'!$B$4:$B$1510,MATCH($A372,'Match Log'!$A$4:$A$1510,0)),"")</f>
        <v/>
      </c>
      <c r="C372" t="str">
        <f>IFERROR(INDEX('Match Log'!$C$4:$C$1510,MATCH($A372,'Match Log'!$A$4:$A$1510,0)),"")</f>
        <v/>
      </c>
      <c r="D372" t="str">
        <f t="array" ref="D372">IFERROR(_xlfn.TEXTJOIN(" + ",TRUE(),IF(('Match Log'!$A$4:$A$1510=$A372)*('Match Log'!$E$4:$E$1510="Win"),'Match Log'!$D$4:$D$1510,"")),IFERROR(LOOKUP(2,1/(('Match Log'!$A$4:$A$1510=$A372)*('Match Log'!$E$4:$E$1510="Win")),'Match Log'!$D$4:$D$1510),""))</f>
        <v/>
      </c>
      <c r="E372" t="str">
        <f>IFERROR(INDEX('Match Log'!$F$4:$F$1510,MATCH($A372,'Match Log'!$A$4:$A$1510,0)),"")</f>
        <v/>
      </c>
      <c r="F372">
        <f>IFERROR(SUMIFS('Match Log'!$I$4:$I$1510,'Match Log'!$A$4:$A$1510,$A372,'Match Log'!$E$4:$E$1510,"Win"),"")</f>
        <v>0</v>
      </c>
      <c r="G372" t="str">
        <f t="shared" si="32"/>
        <v/>
      </c>
      <c r="H372" t="str">
        <f t="array" ref="H372">IFERROR(IF(COUNTIFS('Match Log'!$A$4:$A$1510,$A372,'Match Log'!$E$4:$E$1510,"Win")&gt;1,_xlfn.TEXTJOIN(" + ",TRUE(),IF(('Match Log'!$A$4:$A$1510=$A372)*('Match Log'!$E$4:$E$1510="Loss"),'Match Log'!$D$4:$D$1510,"")),IF($E372=2,LOOKUP(2,1/(('Match Log'!$A$4:$A$1510=$A372)*('Match Log'!$E$4:$E$1510="Loss")),'Match Log'!$D$4:$D$1510),"the field")),"")</f>
        <v>the field</v>
      </c>
      <c r="I372" t="str">
        <f t="shared" si="33"/>
        <v/>
      </c>
      <c r="J372">
        <v>348</v>
      </c>
      <c r="K372" t="e">
        <f>IF($J372&gt;MAX('Match Log'!$A$4:$A$1510),NA(),IFERROR(LOOKUP(2,1/(('Match Log'!$D$4:$D$1510=$K$24)*('Match Log'!$A$4:$A$1510&lt;=$J372)),'Match Log'!$N$4:$N$1510),NA()))</f>
        <v>#N/A</v>
      </c>
      <c r="L372" t="e">
        <f>IF($J372&gt;MAX('Match Log'!$A$4:$A$1510),NA(),IFERROR(LOOKUP(2,1/(('Match Log'!$D$4:$D$1510=$L$24)*('Match Log'!$A$4:$A$1510&lt;=$J372)),'Match Log'!$N$4:$N$1510),NA()))</f>
        <v>#N/A</v>
      </c>
      <c r="M372" t="e">
        <f>IF($J372&gt;MAX('Match Log'!$A$4:$A$1510),NA(),IFERROR(LOOKUP(2,1/(('Match Log'!$D$4:$D$1510=$M$24)*('Match Log'!$A$4:$A$1510&lt;=$J372)),'Match Log'!$N$4:$N$1510),NA()))</f>
        <v>#N/A</v>
      </c>
      <c r="N372" t="e">
        <f>IF($J372&gt;MAX('Match Log'!$A$4:$A$1510),NA(),IFERROR(LOOKUP(2,1/(('Match Log'!$D$4:$D$1510=$N$24)*('Match Log'!$A$4:$A$1510&lt;=$J372)),'Match Log'!$N$4:$N$1510),NA()))</f>
        <v>#N/A</v>
      </c>
      <c r="O372" t="e">
        <f>IF($J372&gt;MAX('Match Log'!$A$4:$A$1510),NA(),IFERROR(LOOKUP(2,1/(('Match Log'!$D$4:$D$1510=$O$24)*('Match Log'!$A$4:$A$1510&lt;=$J372)),'Match Log'!$N$4:$N$1510),NA()))</f>
        <v>#N/A</v>
      </c>
      <c r="P372" t="e">
        <f>IF($J372&gt;MAX('Match Log'!$A$4:$A$1510),NA(),IFERROR(LOOKUP(2,1/(('Match Log'!$D$4:$D$1510=$P$24)*('Match Log'!$A$4:$A$1510&lt;=$J372)),'Match Log'!$N$4:$N$1510),NA()))</f>
        <v>#N/A</v>
      </c>
      <c r="Q372" t="e">
        <f>IF($J372&gt;MAX('Match Log'!$A$4:$A$1510),NA(),IFERROR(LOOKUP(2,1/(('Match Log'!$D$4:$D$1510=$Q$24)*('Match Log'!$A$4:$A$1510&lt;=$J372)),'Match Log'!$N$4:$N$1510),NA()))</f>
        <v>#N/A</v>
      </c>
      <c r="R372" t="e">
        <f>IF($J372&gt;MAX('Match Log'!$A$4:$A$1510),NA(),IFERROR(LOOKUP(2,1/(('Match Log'!$D$4:$D$1510=$R$24)*('Match Log'!$A$4:$A$1510&lt;=$J372)),'Match Log'!$N$4:$N$1510),NA()))</f>
        <v>#N/A</v>
      </c>
      <c r="S372" t="e">
        <f>IF($J372&gt;MAX('Match Log'!$A$4:$A$1510),NA(),IFERROR(LOOKUP(2,1/(('Match Log'!$D$4:$D$1510=$S$24)*('Match Log'!$A$4:$A$1510&lt;=$J372)),'Match Log'!$N$4:$N$1510),NA()))</f>
        <v>#N/A</v>
      </c>
      <c r="T372" t="e">
        <f>IF($J372&gt;MAX('Match Log'!$A$4:$A$1510),NA(),IFERROR(LOOKUP(2,1/(('Match Log'!$D$4:$D$1510=$T$24)*('Match Log'!$A$4:$A$1510&lt;=$J372)),'Match Log'!$N$4:$N$1510),NA()))</f>
        <v>#N/A</v>
      </c>
      <c r="U372" t="e">
        <f>IF($J372&gt;MAX('Match Log'!$A$4:$A$1510),NA(),IFERROR(LOOKUP(2,1/(('Match Log'!$D$4:$D$1510=$U$24)*('Match Log'!$A$4:$A$1510&lt;=$J372)),'Match Log'!$N$4:$N$1510),NA()))</f>
        <v>#N/A</v>
      </c>
      <c r="V372" t="e">
        <f>IF($J372&gt;MAX('Match Log'!$A$4:$A$1510),NA(),IFERROR(LOOKUP(2,1/(('Match Log'!$D$4:$D$1510=$V$24)*('Match Log'!$A$4:$A$1510&lt;=$J372)),'Match Log'!$N$4:$N$1510),NA()))</f>
        <v>#N/A</v>
      </c>
      <c r="W372" t="e">
        <f>IF($J372&gt;MAX('Match Log'!$A$4:$A$1510),NA(),IFERROR(LOOKUP(2,1/(('Match Log'!$D$4:$D$1510=$W$24)*('Match Log'!$A$4:$A$1510&lt;=$J372)),'Match Log'!$N$4:$N$1510),NA()))</f>
        <v>#N/A</v>
      </c>
      <c r="X372" t="e">
        <f>IF($J372&gt;MAX('Match Log'!$A$4:$A$1510),NA(),IFERROR(LOOKUP(2,1/(('Match Log'!$D$4:$D$1510=$X$24)*('Match Log'!$A$4:$A$1510&lt;=$J372)),'Match Log'!$N$4:$N$1510),NA()))</f>
        <v>#N/A</v>
      </c>
      <c r="Y372" t="str">
        <f t="shared" ca="1" si="34"/>
        <v/>
      </c>
    </row>
    <row r="373" spans="1:25" x14ac:dyDescent="0.2">
      <c r="A373">
        <v>349</v>
      </c>
      <c r="B373" t="str">
        <f>IFERROR(INDEX('Match Log'!$B$4:$B$1510,MATCH($A373,'Match Log'!$A$4:$A$1510,0)),"")</f>
        <v/>
      </c>
      <c r="C373" t="str">
        <f>IFERROR(INDEX('Match Log'!$C$4:$C$1510,MATCH($A373,'Match Log'!$A$4:$A$1510,0)),"")</f>
        <v/>
      </c>
      <c r="D373" t="str">
        <f t="array" ref="D373">IFERROR(_xlfn.TEXTJOIN(" + ",TRUE(),IF(('Match Log'!$A$4:$A$1510=$A373)*('Match Log'!$E$4:$E$1510="Win"),'Match Log'!$D$4:$D$1510,"")),IFERROR(LOOKUP(2,1/(('Match Log'!$A$4:$A$1510=$A373)*('Match Log'!$E$4:$E$1510="Win")),'Match Log'!$D$4:$D$1510),""))</f>
        <v/>
      </c>
      <c r="E373" t="str">
        <f>IFERROR(INDEX('Match Log'!$F$4:$F$1510,MATCH($A373,'Match Log'!$A$4:$A$1510,0)),"")</f>
        <v/>
      </c>
      <c r="F373">
        <f>IFERROR(SUMIFS('Match Log'!$I$4:$I$1510,'Match Log'!$A$4:$A$1510,$A373,'Match Log'!$E$4:$E$1510,"Win"),"")</f>
        <v>0</v>
      </c>
      <c r="G373" t="str">
        <f t="shared" si="32"/>
        <v/>
      </c>
      <c r="H373" t="str">
        <f t="array" ref="H373">IFERROR(IF(COUNTIFS('Match Log'!$A$4:$A$1510,$A373,'Match Log'!$E$4:$E$1510,"Win")&gt;1,_xlfn.TEXTJOIN(" + ",TRUE(),IF(('Match Log'!$A$4:$A$1510=$A373)*('Match Log'!$E$4:$E$1510="Loss"),'Match Log'!$D$4:$D$1510,"")),IF($E373=2,LOOKUP(2,1/(('Match Log'!$A$4:$A$1510=$A373)*('Match Log'!$E$4:$E$1510="Loss")),'Match Log'!$D$4:$D$1510),"the field")),"")</f>
        <v>the field</v>
      </c>
      <c r="I373" t="str">
        <f t="shared" si="33"/>
        <v/>
      </c>
      <c r="J373">
        <v>349</v>
      </c>
      <c r="K373" t="e">
        <f>IF($J373&gt;MAX('Match Log'!$A$4:$A$1510),NA(),IFERROR(LOOKUP(2,1/(('Match Log'!$D$4:$D$1510=$K$24)*('Match Log'!$A$4:$A$1510&lt;=$J373)),'Match Log'!$N$4:$N$1510),NA()))</f>
        <v>#N/A</v>
      </c>
      <c r="L373" t="e">
        <f>IF($J373&gt;MAX('Match Log'!$A$4:$A$1510),NA(),IFERROR(LOOKUP(2,1/(('Match Log'!$D$4:$D$1510=$L$24)*('Match Log'!$A$4:$A$1510&lt;=$J373)),'Match Log'!$N$4:$N$1510),NA()))</f>
        <v>#N/A</v>
      </c>
      <c r="M373" t="e">
        <f>IF($J373&gt;MAX('Match Log'!$A$4:$A$1510),NA(),IFERROR(LOOKUP(2,1/(('Match Log'!$D$4:$D$1510=$M$24)*('Match Log'!$A$4:$A$1510&lt;=$J373)),'Match Log'!$N$4:$N$1510),NA()))</f>
        <v>#N/A</v>
      </c>
      <c r="N373" t="e">
        <f>IF($J373&gt;MAX('Match Log'!$A$4:$A$1510),NA(),IFERROR(LOOKUP(2,1/(('Match Log'!$D$4:$D$1510=$N$24)*('Match Log'!$A$4:$A$1510&lt;=$J373)),'Match Log'!$N$4:$N$1510),NA()))</f>
        <v>#N/A</v>
      </c>
      <c r="O373" t="e">
        <f>IF($J373&gt;MAX('Match Log'!$A$4:$A$1510),NA(),IFERROR(LOOKUP(2,1/(('Match Log'!$D$4:$D$1510=$O$24)*('Match Log'!$A$4:$A$1510&lt;=$J373)),'Match Log'!$N$4:$N$1510),NA()))</f>
        <v>#N/A</v>
      </c>
      <c r="P373" t="e">
        <f>IF($J373&gt;MAX('Match Log'!$A$4:$A$1510),NA(),IFERROR(LOOKUP(2,1/(('Match Log'!$D$4:$D$1510=$P$24)*('Match Log'!$A$4:$A$1510&lt;=$J373)),'Match Log'!$N$4:$N$1510),NA()))</f>
        <v>#N/A</v>
      </c>
      <c r="Q373" t="e">
        <f>IF($J373&gt;MAX('Match Log'!$A$4:$A$1510),NA(),IFERROR(LOOKUP(2,1/(('Match Log'!$D$4:$D$1510=$Q$24)*('Match Log'!$A$4:$A$1510&lt;=$J373)),'Match Log'!$N$4:$N$1510),NA()))</f>
        <v>#N/A</v>
      </c>
      <c r="R373" t="e">
        <f>IF($J373&gt;MAX('Match Log'!$A$4:$A$1510),NA(),IFERROR(LOOKUP(2,1/(('Match Log'!$D$4:$D$1510=$R$24)*('Match Log'!$A$4:$A$1510&lt;=$J373)),'Match Log'!$N$4:$N$1510),NA()))</f>
        <v>#N/A</v>
      </c>
      <c r="S373" t="e">
        <f>IF($J373&gt;MAX('Match Log'!$A$4:$A$1510),NA(),IFERROR(LOOKUP(2,1/(('Match Log'!$D$4:$D$1510=$S$24)*('Match Log'!$A$4:$A$1510&lt;=$J373)),'Match Log'!$N$4:$N$1510),NA()))</f>
        <v>#N/A</v>
      </c>
      <c r="T373" t="e">
        <f>IF($J373&gt;MAX('Match Log'!$A$4:$A$1510),NA(),IFERROR(LOOKUP(2,1/(('Match Log'!$D$4:$D$1510=$T$24)*('Match Log'!$A$4:$A$1510&lt;=$J373)),'Match Log'!$N$4:$N$1510),NA()))</f>
        <v>#N/A</v>
      </c>
      <c r="U373" t="e">
        <f>IF($J373&gt;MAX('Match Log'!$A$4:$A$1510),NA(),IFERROR(LOOKUP(2,1/(('Match Log'!$D$4:$D$1510=$U$24)*('Match Log'!$A$4:$A$1510&lt;=$J373)),'Match Log'!$N$4:$N$1510),NA()))</f>
        <v>#N/A</v>
      </c>
      <c r="V373" t="e">
        <f>IF($J373&gt;MAX('Match Log'!$A$4:$A$1510),NA(),IFERROR(LOOKUP(2,1/(('Match Log'!$D$4:$D$1510=$V$24)*('Match Log'!$A$4:$A$1510&lt;=$J373)),'Match Log'!$N$4:$N$1510),NA()))</f>
        <v>#N/A</v>
      </c>
      <c r="W373" t="e">
        <f>IF($J373&gt;MAX('Match Log'!$A$4:$A$1510),NA(),IFERROR(LOOKUP(2,1/(('Match Log'!$D$4:$D$1510=$W$24)*('Match Log'!$A$4:$A$1510&lt;=$J373)),'Match Log'!$N$4:$N$1510),NA()))</f>
        <v>#N/A</v>
      </c>
      <c r="X373" t="e">
        <f>IF($J373&gt;MAX('Match Log'!$A$4:$A$1510),NA(),IFERROR(LOOKUP(2,1/(('Match Log'!$D$4:$D$1510=$X$24)*('Match Log'!$A$4:$A$1510&lt;=$J373)),'Match Log'!$N$4:$N$1510),NA()))</f>
        <v>#N/A</v>
      </c>
      <c r="Y373" t="str">
        <f t="shared" ca="1" si="34"/>
        <v/>
      </c>
    </row>
    <row r="374" spans="1:25" x14ac:dyDescent="0.2">
      <c r="A374">
        <v>350</v>
      </c>
      <c r="B374" t="str">
        <f>IFERROR(INDEX('Match Log'!$B$4:$B$1510,MATCH($A374,'Match Log'!$A$4:$A$1510,0)),"")</f>
        <v/>
      </c>
      <c r="C374" t="str">
        <f>IFERROR(INDEX('Match Log'!$C$4:$C$1510,MATCH($A374,'Match Log'!$A$4:$A$1510,0)),"")</f>
        <v/>
      </c>
      <c r="D374" t="str">
        <f t="array" ref="D374">IFERROR(_xlfn.TEXTJOIN(" + ",TRUE(),IF(('Match Log'!$A$4:$A$1510=$A374)*('Match Log'!$E$4:$E$1510="Win"),'Match Log'!$D$4:$D$1510,"")),IFERROR(LOOKUP(2,1/(('Match Log'!$A$4:$A$1510=$A374)*('Match Log'!$E$4:$E$1510="Win")),'Match Log'!$D$4:$D$1510),""))</f>
        <v/>
      </c>
      <c r="E374" t="str">
        <f>IFERROR(INDEX('Match Log'!$F$4:$F$1510,MATCH($A374,'Match Log'!$A$4:$A$1510,0)),"")</f>
        <v/>
      </c>
      <c r="F374">
        <f>IFERROR(SUMIFS('Match Log'!$I$4:$I$1510,'Match Log'!$A$4:$A$1510,$A374,'Match Log'!$E$4:$E$1510,"Win"),"")</f>
        <v>0</v>
      </c>
      <c r="G374" t="str">
        <f t="shared" si="32"/>
        <v/>
      </c>
      <c r="H374" t="str">
        <f t="array" ref="H374">IFERROR(IF(COUNTIFS('Match Log'!$A$4:$A$1510,$A374,'Match Log'!$E$4:$E$1510,"Win")&gt;1,_xlfn.TEXTJOIN(" + ",TRUE(),IF(('Match Log'!$A$4:$A$1510=$A374)*('Match Log'!$E$4:$E$1510="Loss"),'Match Log'!$D$4:$D$1510,"")),IF($E374=2,LOOKUP(2,1/(('Match Log'!$A$4:$A$1510=$A374)*('Match Log'!$E$4:$E$1510="Loss")),'Match Log'!$D$4:$D$1510),"the field")),"")</f>
        <v>the field</v>
      </c>
      <c r="I374" t="str">
        <f t="shared" si="33"/>
        <v/>
      </c>
      <c r="J374">
        <v>350</v>
      </c>
      <c r="K374" t="e">
        <f>IF($J374&gt;MAX('Match Log'!$A$4:$A$1510),NA(),IFERROR(LOOKUP(2,1/(('Match Log'!$D$4:$D$1510=$K$24)*('Match Log'!$A$4:$A$1510&lt;=$J374)),'Match Log'!$N$4:$N$1510),NA()))</f>
        <v>#N/A</v>
      </c>
      <c r="L374" t="e">
        <f>IF($J374&gt;MAX('Match Log'!$A$4:$A$1510),NA(),IFERROR(LOOKUP(2,1/(('Match Log'!$D$4:$D$1510=$L$24)*('Match Log'!$A$4:$A$1510&lt;=$J374)),'Match Log'!$N$4:$N$1510),NA()))</f>
        <v>#N/A</v>
      </c>
      <c r="M374" t="e">
        <f>IF($J374&gt;MAX('Match Log'!$A$4:$A$1510),NA(),IFERROR(LOOKUP(2,1/(('Match Log'!$D$4:$D$1510=$M$24)*('Match Log'!$A$4:$A$1510&lt;=$J374)),'Match Log'!$N$4:$N$1510),NA()))</f>
        <v>#N/A</v>
      </c>
      <c r="N374" t="e">
        <f>IF($J374&gt;MAX('Match Log'!$A$4:$A$1510),NA(),IFERROR(LOOKUP(2,1/(('Match Log'!$D$4:$D$1510=$N$24)*('Match Log'!$A$4:$A$1510&lt;=$J374)),'Match Log'!$N$4:$N$1510),NA()))</f>
        <v>#N/A</v>
      </c>
      <c r="O374" t="e">
        <f>IF($J374&gt;MAX('Match Log'!$A$4:$A$1510),NA(),IFERROR(LOOKUP(2,1/(('Match Log'!$D$4:$D$1510=$O$24)*('Match Log'!$A$4:$A$1510&lt;=$J374)),'Match Log'!$N$4:$N$1510),NA()))</f>
        <v>#N/A</v>
      </c>
      <c r="P374" t="e">
        <f>IF($J374&gt;MAX('Match Log'!$A$4:$A$1510),NA(),IFERROR(LOOKUP(2,1/(('Match Log'!$D$4:$D$1510=$P$24)*('Match Log'!$A$4:$A$1510&lt;=$J374)),'Match Log'!$N$4:$N$1510),NA()))</f>
        <v>#N/A</v>
      </c>
      <c r="Q374" t="e">
        <f>IF($J374&gt;MAX('Match Log'!$A$4:$A$1510),NA(),IFERROR(LOOKUP(2,1/(('Match Log'!$D$4:$D$1510=$Q$24)*('Match Log'!$A$4:$A$1510&lt;=$J374)),'Match Log'!$N$4:$N$1510),NA()))</f>
        <v>#N/A</v>
      </c>
      <c r="R374" t="e">
        <f>IF($J374&gt;MAX('Match Log'!$A$4:$A$1510),NA(),IFERROR(LOOKUP(2,1/(('Match Log'!$D$4:$D$1510=$R$24)*('Match Log'!$A$4:$A$1510&lt;=$J374)),'Match Log'!$N$4:$N$1510),NA()))</f>
        <v>#N/A</v>
      </c>
      <c r="S374" t="e">
        <f>IF($J374&gt;MAX('Match Log'!$A$4:$A$1510),NA(),IFERROR(LOOKUP(2,1/(('Match Log'!$D$4:$D$1510=$S$24)*('Match Log'!$A$4:$A$1510&lt;=$J374)),'Match Log'!$N$4:$N$1510),NA()))</f>
        <v>#N/A</v>
      </c>
      <c r="T374" t="e">
        <f>IF($J374&gt;MAX('Match Log'!$A$4:$A$1510),NA(),IFERROR(LOOKUP(2,1/(('Match Log'!$D$4:$D$1510=$T$24)*('Match Log'!$A$4:$A$1510&lt;=$J374)),'Match Log'!$N$4:$N$1510),NA()))</f>
        <v>#N/A</v>
      </c>
      <c r="U374" t="e">
        <f>IF($J374&gt;MAX('Match Log'!$A$4:$A$1510),NA(),IFERROR(LOOKUP(2,1/(('Match Log'!$D$4:$D$1510=$U$24)*('Match Log'!$A$4:$A$1510&lt;=$J374)),'Match Log'!$N$4:$N$1510),NA()))</f>
        <v>#N/A</v>
      </c>
      <c r="V374" t="e">
        <f>IF($J374&gt;MAX('Match Log'!$A$4:$A$1510),NA(),IFERROR(LOOKUP(2,1/(('Match Log'!$D$4:$D$1510=$V$24)*('Match Log'!$A$4:$A$1510&lt;=$J374)),'Match Log'!$N$4:$N$1510),NA()))</f>
        <v>#N/A</v>
      </c>
      <c r="W374" t="e">
        <f>IF($J374&gt;MAX('Match Log'!$A$4:$A$1510),NA(),IFERROR(LOOKUP(2,1/(('Match Log'!$D$4:$D$1510=$W$24)*('Match Log'!$A$4:$A$1510&lt;=$J374)),'Match Log'!$N$4:$N$1510),NA()))</f>
        <v>#N/A</v>
      </c>
      <c r="X374" t="e">
        <f>IF($J374&gt;MAX('Match Log'!$A$4:$A$1510),NA(),IFERROR(LOOKUP(2,1/(('Match Log'!$D$4:$D$1510=$X$24)*('Match Log'!$A$4:$A$1510&lt;=$J374)),'Match Log'!$N$4:$N$1510),NA()))</f>
        <v>#N/A</v>
      </c>
      <c r="Y374" t="str">
        <f t="shared" ca="1" si="34"/>
        <v/>
      </c>
    </row>
    <row r="375" spans="1:25" x14ac:dyDescent="0.2">
      <c r="A375">
        <v>351</v>
      </c>
      <c r="B375" t="str">
        <f>IFERROR(INDEX('Match Log'!$B$4:$B$1510,MATCH($A375,'Match Log'!$A$4:$A$1510,0)),"")</f>
        <v/>
      </c>
      <c r="C375" t="str">
        <f>IFERROR(INDEX('Match Log'!$C$4:$C$1510,MATCH($A375,'Match Log'!$A$4:$A$1510,0)),"")</f>
        <v/>
      </c>
      <c r="D375" t="str">
        <f t="array" ref="D375">IFERROR(_xlfn.TEXTJOIN(" + ",TRUE(),IF(('Match Log'!$A$4:$A$1510=$A375)*('Match Log'!$E$4:$E$1510="Win"),'Match Log'!$D$4:$D$1510,"")),IFERROR(LOOKUP(2,1/(('Match Log'!$A$4:$A$1510=$A375)*('Match Log'!$E$4:$E$1510="Win")),'Match Log'!$D$4:$D$1510),""))</f>
        <v/>
      </c>
      <c r="E375" t="str">
        <f>IFERROR(INDEX('Match Log'!$F$4:$F$1510,MATCH($A375,'Match Log'!$A$4:$A$1510,0)),"")</f>
        <v/>
      </c>
      <c r="F375">
        <f>IFERROR(SUMIFS('Match Log'!$I$4:$I$1510,'Match Log'!$A$4:$A$1510,$A375,'Match Log'!$E$4:$E$1510,"Win"),"")</f>
        <v>0</v>
      </c>
      <c r="G375" t="str">
        <f t="shared" si="32"/>
        <v/>
      </c>
      <c r="H375" t="str">
        <f t="array" ref="H375">IFERROR(IF(COUNTIFS('Match Log'!$A$4:$A$1510,$A375,'Match Log'!$E$4:$E$1510,"Win")&gt;1,_xlfn.TEXTJOIN(" + ",TRUE(),IF(('Match Log'!$A$4:$A$1510=$A375)*('Match Log'!$E$4:$E$1510="Loss"),'Match Log'!$D$4:$D$1510,"")),IF($E375=2,LOOKUP(2,1/(('Match Log'!$A$4:$A$1510=$A375)*('Match Log'!$E$4:$E$1510="Loss")),'Match Log'!$D$4:$D$1510),"the field")),"")</f>
        <v>the field</v>
      </c>
      <c r="I375" t="str">
        <f t="shared" si="33"/>
        <v/>
      </c>
      <c r="J375">
        <v>351</v>
      </c>
      <c r="K375" t="e">
        <f>IF($J375&gt;MAX('Match Log'!$A$4:$A$1510),NA(),IFERROR(LOOKUP(2,1/(('Match Log'!$D$4:$D$1510=$K$24)*('Match Log'!$A$4:$A$1510&lt;=$J375)),'Match Log'!$N$4:$N$1510),NA()))</f>
        <v>#N/A</v>
      </c>
      <c r="L375" t="e">
        <f>IF($J375&gt;MAX('Match Log'!$A$4:$A$1510),NA(),IFERROR(LOOKUP(2,1/(('Match Log'!$D$4:$D$1510=$L$24)*('Match Log'!$A$4:$A$1510&lt;=$J375)),'Match Log'!$N$4:$N$1510),NA()))</f>
        <v>#N/A</v>
      </c>
      <c r="M375" t="e">
        <f>IF($J375&gt;MAX('Match Log'!$A$4:$A$1510),NA(),IFERROR(LOOKUP(2,1/(('Match Log'!$D$4:$D$1510=$M$24)*('Match Log'!$A$4:$A$1510&lt;=$J375)),'Match Log'!$N$4:$N$1510),NA()))</f>
        <v>#N/A</v>
      </c>
      <c r="N375" t="e">
        <f>IF($J375&gt;MAX('Match Log'!$A$4:$A$1510),NA(),IFERROR(LOOKUP(2,1/(('Match Log'!$D$4:$D$1510=$N$24)*('Match Log'!$A$4:$A$1510&lt;=$J375)),'Match Log'!$N$4:$N$1510),NA()))</f>
        <v>#N/A</v>
      </c>
      <c r="O375" t="e">
        <f>IF($J375&gt;MAX('Match Log'!$A$4:$A$1510),NA(),IFERROR(LOOKUP(2,1/(('Match Log'!$D$4:$D$1510=$O$24)*('Match Log'!$A$4:$A$1510&lt;=$J375)),'Match Log'!$N$4:$N$1510),NA()))</f>
        <v>#N/A</v>
      </c>
      <c r="P375" t="e">
        <f>IF($J375&gt;MAX('Match Log'!$A$4:$A$1510),NA(),IFERROR(LOOKUP(2,1/(('Match Log'!$D$4:$D$1510=$P$24)*('Match Log'!$A$4:$A$1510&lt;=$J375)),'Match Log'!$N$4:$N$1510),NA()))</f>
        <v>#N/A</v>
      </c>
      <c r="Q375" t="e">
        <f>IF($J375&gt;MAX('Match Log'!$A$4:$A$1510),NA(),IFERROR(LOOKUP(2,1/(('Match Log'!$D$4:$D$1510=$Q$24)*('Match Log'!$A$4:$A$1510&lt;=$J375)),'Match Log'!$N$4:$N$1510),NA()))</f>
        <v>#N/A</v>
      </c>
      <c r="R375" t="e">
        <f>IF($J375&gt;MAX('Match Log'!$A$4:$A$1510),NA(),IFERROR(LOOKUP(2,1/(('Match Log'!$D$4:$D$1510=$R$24)*('Match Log'!$A$4:$A$1510&lt;=$J375)),'Match Log'!$N$4:$N$1510),NA()))</f>
        <v>#N/A</v>
      </c>
      <c r="S375" t="e">
        <f>IF($J375&gt;MAX('Match Log'!$A$4:$A$1510),NA(),IFERROR(LOOKUP(2,1/(('Match Log'!$D$4:$D$1510=$S$24)*('Match Log'!$A$4:$A$1510&lt;=$J375)),'Match Log'!$N$4:$N$1510),NA()))</f>
        <v>#N/A</v>
      </c>
      <c r="T375" t="e">
        <f>IF($J375&gt;MAX('Match Log'!$A$4:$A$1510),NA(),IFERROR(LOOKUP(2,1/(('Match Log'!$D$4:$D$1510=$T$24)*('Match Log'!$A$4:$A$1510&lt;=$J375)),'Match Log'!$N$4:$N$1510),NA()))</f>
        <v>#N/A</v>
      </c>
      <c r="U375" t="e">
        <f>IF($J375&gt;MAX('Match Log'!$A$4:$A$1510),NA(),IFERROR(LOOKUP(2,1/(('Match Log'!$D$4:$D$1510=$U$24)*('Match Log'!$A$4:$A$1510&lt;=$J375)),'Match Log'!$N$4:$N$1510),NA()))</f>
        <v>#N/A</v>
      </c>
      <c r="V375" t="e">
        <f>IF($J375&gt;MAX('Match Log'!$A$4:$A$1510),NA(),IFERROR(LOOKUP(2,1/(('Match Log'!$D$4:$D$1510=$V$24)*('Match Log'!$A$4:$A$1510&lt;=$J375)),'Match Log'!$N$4:$N$1510),NA()))</f>
        <v>#N/A</v>
      </c>
      <c r="W375" t="e">
        <f>IF($J375&gt;MAX('Match Log'!$A$4:$A$1510),NA(),IFERROR(LOOKUP(2,1/(('Match Log'!$D$4:$D$1510=$W$24)*('Match Log'!$A$4:$A$1510&lt;=$J375)),'Match Log'!$N$4:$N$1510),NA()))</f>
        <v>#N/A</v>
      </c>
      <c r="X375" t="e">
        <f>IF($J375&gt;MAX('Match Log'!$A$4:$A$1510),NA(),IFERROR(LOOKUP(2,1/(('Match Log'!$D$4:$D$1510=$X$24)*('Match Log'!$A$4:$A$1510&lt;=$J375)),'Match Log'!$N$4:$N$1510),NA()))</f>
        <v>#N/A</v>
      </c>
      <c r="Y375" t="str">
        <f t="shared" ca="1" si="34"/>
        <v/>
      </c>
    </row>
    <row r="376" spans="1:25" x14ac:dyDescent="0.2">
      <c r="A376">
        <v>352</v>
      </c>
      <c r="B376" t="str">
        <f>IFERROR(INDEX('Match Log'!$B$4:$B$1510,MATCH($A376,'Match Log'!$A$4:$A$1510,0)),"")</f>
        <v/>
      </c>
      <c r="C376" t="str">
        <f>IFERROR(INDEX('Match Log'!$C$4:$C$1510,MATCH($A376,'Match Log'!$A$4:$A$1510,0)),"")</f>
        <v/>
      </c>
      <c r="D376" t="str">
        <f t="array" ref="D376">IFERROR(_xlfn.TEXTJOIN(" + ",TRUE(),IF(('Match Log'!$A$4:$A$1510=$A376)*('Match Log'!$E$4:$E$1510="Win"),'Match Log'!$D$4:$D$1510,"")),IFERROR(LOOKUP(2,1/(('Match Log'!$A$4:$A$1510=$A376)*('Match Log'!$E$4:$E$1510="Win")),'Match Log'!$D$4:$D$1510),""))</f>
        <v/>
      </c>
      <c r="E376" t="str">
        <f>IFERROR(INDEX('Match Log'!$F$4:$F$1510,MATCH($A376,'Match Log'!$A$4:$A$1510,0)),"")</f>
        <v/>
      </c>
      <c r="F376">
        <f>IFERROR(SUMIFS('Match Log'!$I$4:$I$1510,'Match Log'!$A$4:$A$1510,$A376,'Match Log'!$E$4:$E$1510,"Win"),"")</f>
        <v>0</v>
      </c>
      <c r="G376" t="str">
        <f t="shared" si="32"/>
        <v/>
      </c>
      <c r="H376" t="str">
        <f t="array" ref="H376">IFERROR(IF(COUNTIFS('Match Log'!$A$4:$A$1510,$A376,'Match Log'!$E$4:$E$1510,"Win")&gt;1,_xlfn.TEXTJOIN(" + ",TRUE(),IF(('Match Log'!$A$4:$A$1510=$A376)*('Match Log'!$E$4:$E$1510="Loss"),'Match Log'!$D$4:$D$1510,"")),IF($E376=2,LOOKUP(2,1/(('Match Log'!$A$4:$A$1510=$A376)*('Match Log'!$E$4:$E$1510="Loss")),'Match Log'!$D$4:$D$1510),"the field")),"")</f>
        <v>the field</v>
      </c>
      <c r="I376" t="str">
        <f t="shared" si="33"/>
        <v/>
      </c>
      <c r="J376">
        <v>352</v>
      </c>
      <c r="K376" t="e">
        <f>IF($J376&gt;MAX('Match Log'!$A$4:$A$1510),NA(),IFERROR(LOOKUP(2,1/(('Match Log'!$D$4:$D$1510=$K$24)*('Match Log'!$A$4:$A$1510&lt;=$J376)),'Match Log'!$N$4:$N$1510),NA()))</f>
        <v>#N/A</v>
      </c>
      <c r="L376" t="e">
        <f>IF($J376&gt;MAX('Match Log'!$A$4:$A$1510),NA(),IFERROR(LOOKUP(2,1/(('Match Log'!$D$4:$D$1510=$L$24)*('Match Log'!$A$4:$A$1510&lt;=$J376)),'Match Log'!$N$4:$N$1510),NA()))</f>
        <v>#N/A</v>
      </c>
      <c r="M376" t="e">
        <f>IF($J376&gt;MAX('Match Log'!$A$4:$A$1510),NA(),IFERROR(LOOKUP(2,1/(('Match Log'!$D$4:$D$1510=$M$24)*('Match Log'!$A$4:$A$1510&lt;=$J376)),'Match Log'!$N$4:$N$1510),NA()))</f>
        <v>#N/A</v>
      </c>
      <c r="N376" t="e">
        <f>IF($J376&gt;MAX('Match Log'!$A$4:$A$1510),NA(),IFERROR(LOOKUP(2,1/(('Match Log'!$D$4:$D$1510=$N$24)*('Match Log'!$A$4:$A$1510&lt;=$J376)),'Match Log'!$N$4:$N$1510),NA()))</f>
        <v>#N/A</v>
      </c>
      <c r="O376" t="e">
        <f>IF($J376&gt;MAX('Match Log'!$A$4:$A$1510),NA(),IFERROR(LOOKUP(2,1/(('Match Log'!$D$4:$D$1510=$O$24)*('Match Log'!$A$4:$A$1510&lt;=$J376)),'Match Log'!$N$4:$N$1510),NA()))</f>
        <v>#N/A</v>
      </c>
      <c r="P376" t="e">
        <f>IF($J376&gt;MAX('Match Log'!$A$4:$A$1510),NA(),IFERROR(LOOKUP(2,1/(('Match Log'!$D$4:$D$1510=$P$24)*('Match Log'!$A$4:$A$1510&lt;=$J376)),'Match Log'!$N$4:$N$1510),NA()))</f>
        <v>#N/A</v>
      </c>
      <c r="Q376" t="e">
        <f>IF($J376&gt;MAX('Match Log'!$A$4:$A$1510),NA(),IFERROR(LOOKUP(2,1/(('Match Log'!$D$4:$D$1510=$Q$24)*('Match Log'!$A$4:$A$1510&lt;=$J376)),'Match Log'!$N$4:$N$1510),NA()))</f>
        <v>#N/A</v>
      </c>
      <c r="R376" t="e">
        <f>IF($J376&gt;MAX('Match Log'!$A$4:$A$1510),NA(),IFERROR(LOOKUP(2,1/(('Match Log'!$D$4:$D$1510=$R$24)*('Match Log'!$A$4:$A$1510&lt;=$J376)),'Match Log'!$N$4:$N$1510),NA()))</f>
        <v>#N/A</v>
      </c>
      <c r="S376" t="e">
        <f>IF($J376&gt;MAX('Match Log'!$A$4:$A$1510),NA(),IFERROR(LOOKUP(2,1/(('Match Log'!$D$4:$D$1510=$S$24)*('Match Log'!$A$4:$A$1510&lt;=$J376)),'Match Log'!$N$4:$N$1510),NA()))</f>
        <v>#N/A</v>
      </c>
      <c r="T376" t="e">
        <f>IF($J376&gt;MAX('Match Log'!$A$4:$A$1510),NA(),IFERROR(LOOKUP(2,1/(('Match Log'!$D$4:$D$1510=$T$24)*('Match Log'!$A$4:$A$1510&lt;=$J376)),'Match Log'!$N$4:$N$1510),NA()))</f>
        <v>#N/A</v>
      </c>
      <c r="U376" t="e">
        <f>IF($J376&gt;MAX('Match Log'!$A$4:$A$1510),NA(),IFERROR(LOOKUP(2,1/(('Match Log'!$D$4:$D$1510=$U$24)*('Match Log'!$A$4:$A$1510&lt;=$J376)),'Match Log'!$N$4:$N$1510),NA()))</f>
        <v>#N/A</v>
      </c>
      <c r="V376" t="e">
        <f>IF($J376&gt;MAX('Match Log'!$A$4:$A$1510),NA(),IFERROR(LOOKUP(2,1/(('Match Log'!$D$4:$D$1510=$V$24)*('Match Log'!$A$4:$A$1510&lt;=$J376)),'Match Log'!$N$4:$N$1510),NA()))</f>
        <v>#N/A</v>
      </c>
      <c r="W376" t="e">
        <f>IF($J376&gt;MAX('Match Log'!$A$4:$A$1510),NA(),IFERROR(LOOKUP(2,1/(('Match Log'!$D$4:$D$1510=$W$24)*('Match Log'!$A$4:$A$1510&lt;=$J376)),'Match Log'!$N$4:$N$1510),NA()))</f>
        <v>#N/A</v>
      </c>
      <c r="X376" t="e">
        <f>IF($J376&gt;MAX('Match Log'!$A$4:$A$1510),NA(),IFERROR(LOOKUP(2,1/(('Match Log'!$D$4:$D$1510=$X$24)*('Match Log'!$A$4:$A$1510&lt;=$J376)),'Match Log'!$N$4:$N$1510),NA()))</f>
        <v>#N/A</v>
      </c>
      <c r="Y376" t="str">
        <f t="shared" ca="1" si="34"/>
        <v/>
      </c>
    </row>
    <row r="377" spans="1:25" x14ac:dyDescent="0.2">
      <c r="A377">
        <v>353</v>
      </c>
      <c r="B377" t="str">
        <f>IFERROR(INDEX('Match Log'!$B$4:$B$1510,MATCH($A377,'Match Log'!$A$4:$A$1510,0)),"")</f>
        <v/>
      </c>
      <c r="C377" t="str">
        <f>IFERROR(INDEX('Match Log'!$C$4:$C$1510,MATCH($A377,'Match Log'!$A$4:$A$1510,0)),"")</f>
        <v/>
      </c>
      <c r="D377" t="str">
        <f t="array" ref="D377">IFERROR(_xlfn.TEXTJOIN(" + ",TRUE(),IF(('Match Log'!$A$4:$A$1510=$A377)*('Match Log'!$E$4:$E$1510="Win"),'Match Log'!$D$4:$D$1510,"")),IFERROR(LOOKUP(2,1/(('Match Log'!$A$4:$A$1510=$A377)*('Match Log'!$E$4:$E$1510="Win")),'Match Log'!$D$4:$D$1510),""))</f>
        <v/>
      </c>
      <c r="E377" t="str">
        <f>IFERROR(INDEX('Match Log'!$F$4:$F$1510,MATCH($A377,'Match Log'!$A$4:$A$1510,0)),"")</f>
        <v/>
      </c>
      <c r="F377">
        <f>IFERROR(SUMIFS('Match Log'!$I$4:$I$1510,'Match Log'!$A$4:$A$1510,$A377,'Match Log'!$E$4:$E$1510,"Win"),"")</f>
        <v>0</v>
      </c>
      <c r="G377" t="str">
        <f t="shared" si="32"/>
        <v/>
      </c>
      <c r="H377" t="str">
        <f t="array" ref="H377">IFERROR(IF(COUNTIFS('Match Log'!$A$4:$A$1510,$A377,'Match Log'!$E$4:$E$1510,"Win")&gt;1,_xlfn.TEXTJOIN(" + ",TRUE(),IF(('Match Log'!$A$4:$A$1510=$A377)*('Match Log'!$E$4:$E$1510="Loss"),'Match Log'!$D$4:$D$1510,"")),IF($E377=2,LOOKUP(2,1/(('Match Log'!$A$4:$A$1510=$A377)*('Match Log'!$E$4:$E$1510="Loss")),'Match Log'!$D$4:$D$1510),"the field")),"")</f>
        <v>the field</v>
      </c>
      <c r="I377" t="str">
        <f t="shared" si="33"/>
        <v/>
      </c>
      <c r="J377">
        <v>353</v>
      </c>
      <c r="K377" t="e">
        <f>IF($J377&gt;MAX('Match Log'!$A$4:$A$1510),NA(),IFERROR(LOOKUP(2,1/(('Match Log'!$D$4:$D$1510=$K$24)*('Match Log'!$A$4:$A$1510&lt;=$J377)),'Match Log'!$N$4:$N$1510),NA()))</f>
        <v>#N/A</v>
      </c>
      <c r="L377" t="e">
        <f>IF($J377&gt;MAX('Match Log'!$A$4:$A$1510),NA(),IFERROR(LOOKUP(2,1/(('Match Log'!$D$4:$D$1510=$L$24)*('Match Log'!$A$4:$A$1510&lt;=$J377)),'Match Log'!$N$4:$N$1510),NA()))</f>
        <v>#N/A</v>
      </c>
      <c r="M377" t="e">
        <f>IF($J377&gt;MAX('Match Log'!$A$4:$A$1510),NA(),IFERROR(LOOKUP(2,1/(('Match Log'!$D$4:$D$1510=$M$24)*('Match Log'!$A$4:$A$1510&lt;=$J377)),'Match Log'!$N$4:$N$1510),NA()))</f>
        <v>#N/A</v>
      </c>
      <c r="N377" t="e">
        <f>IF($J377&gt;MAX('Match Log'!$A$4:$A$1510),NA(),IFERROR(LOOKUP(2,1/(('Match Log'!$D$4:$D$1510=$N$24)*('Match Log'!$A$4:$A$1510&lt;=$J377)),'Match Log'!$N$4:$N$1510),NA()))</f>
        <v>#N/A</v>
      </c>
      <c r="O377" t="e">
        <f>IF($J377&gt;MAX('Match Log'!$A$4:$A$1510),NA(),IFERROR(LOOKUP(2,1/(('Match Log'!$D$4:$D$1510=$O$24)*('Match Log'!$A$4:$A$1510&lt;=$J377)),'Match Log'!$N$4:$N$1510),NA()))</f>
        <v>#N/A</v>
      </c>
      <c r="P377" t="e">
        <f>IF($J377&gt;MAX('Match Log'!$A$4:$A$1510),NA(),IFERROR(LOOKUP(2,1/(('Match Log'!$D$4:$D$1510=$P$24)*('Match Log'!$A$4:$A$1510&lt;=$J377)),'Match Log'!$N$4:$N$1510),NA()))</f>
        <v>#N/A</v>
      </c>
      <c r="Q377" t="e">
        <f>IF($J377&gt;MAX('Match Log'!$A$4:$A$1510),NA(),IFERROR(LOOKUP(2,1/(('Match Log'!$D$4:$D$1510=$Q$24)*('Match Log'!$A$4:$A$1510&lt;=$J377)),'Match Log'!$N$4:$N$1510),NA()))</f>
        <v>#N/A</v>
      </c>
      <c r="R377" t="e">
        <f>IF($J377&gt;MAX('Match Log'!$A$4:$A$1510),NA(),IFERROR(LOOKUP(2,1/(('Match Log'!$D$4:$D$1510=$R$24)*('Match Log'!$A$4:$A$1510&lt;=$J377)),'Match Log'!$N$4:$N$1510),NA()))</f>
        <v>#N/A</v>
      </c>
      <c r="S377" t="e">
        <f>IF($J377&gt;MAX('Match Log'!$A$4:$A$1510),NA(),IFERROR(LOOKUP(2,1/(('Match Log'!$D$4:$D$1510=$S$24)*('Match Log'!$A$4:$A$1510&lt;=$J377)),'Match Log'!$N$4:$N$1510),NA()))</f>
        <v>#N/A</v>
      </c>
      <c r="T377" t="e">
        <f>IF($J377&gt;MAX('Match Log'!$A$4:$A$1510),NA(),IFERROR(LOOKUP(2,1/(('Match Log'!$D$4:$D$1510=$T$24)*('Match Log'!$A$4:$A$1510&lt;=$J377)),'Match Log'!$N$4:$N$1510),NA()))</f>
        <v>#N/A</v>
      </c>
      <c r="U377" t="e">
        <f>IF($J377&gt;MAX('Match Log'!$A$4:$A$1510),NA(),IFERROR(LOOKUP(2,1/(('Match Log'!$D$4:$D$1510=$U$24)*('Match Log'!$A$4:$A$1510&lt;=$J377)),'Match Log'!$N$4:$N$1510),NA()))</f>
        <v>#N/A</v>
      </c>
      <c r="V377" t="e">
        <f>IF($J377&gt;MAX('Match Log'!$A$4:$A$1510),NA(),IFERROR(LOOKUP(2,1/(('Match Log'!$D$4:$D$1510=$V$24)*('Match Log'!$A$4:$A$1510&lt;=$J377)),'Match Log'!$N$4:$N$1510),NA()))</f>
        <v>#N/A</v>
      </c>
      <c r="W377" t="e">
        <f>IF($J377&gt;MAX('Match Log'!$A$4:$A$1510),NA(),IFERROR(LOOKUP(2,1/(('Match Log'!$D$4:$D$1510=$W$24)*('Match Log'!$A$4:$A$1510&lt;=$J377)),'Match Log'!$N$4:$N$1510),NA()))</f>
        <v>#N/A</v>
      </c>
      <c r="X377" t="e">
        <f>IF($J377&gt;MAX('Match Log'!$A$4:$A$1510),NA(),IFERROR(LOOKUP(2,1/(('Match Log'!$D$4:$D$1510=$X$24)*('Match Log'!$A$4:$A$1510&lt;=$J377)),'Match Log'!$N$4:$N$1510),NA()))</f>
        <v>#N/A</v>
      </c>
      <c r="Y377" t="str">
        <f t="shared" ca="1" si="34"/>
        <v/>
      </c>
    </row>
    <row r="378" spans="1:25" x14ac:dyDescent="0.2">
      <c r="A378">
        <v>354</v>
      </c>
      <c r="B378" t="str">
        <f>IFERROR(INDEX('Match Log'!$B$4:$B$1510,MATCH($A378,'Match Log'!$A$4:$A$1510,0)),"")</f>
        <v/>
      </c>
      <c r="C378" t="str">
        <f>IFERROR(INDEX('Match Log'!$C$4:$C$1510,MATCH($A378,'Match Log'!$A$4:$A$1510,0)),"")</f>
        <v/>
      </c>
      <c r="D378" t="str">
        <f t="array" ref="D378">IFERROR(_xlfn.TEXTJOIN(" + ",TRUE(),IF(('Match Log'!$A$4:$A$1510=$A378)*('Match Log'!$E$4:$E$1510="Win"),'Match Log'!$D$4:$D$1510,"")),IFERROR(LOOKUP(2,1/(('Match Log'!$A$4:$A$1510=$A378)*('Match Log'!$E$4:$E$1510="Win")),'Match Log'!$D$4:$D$1510),""))</f>
        <v/>
      </c>
      <c r="E378" t="str">
        <f>IFERROR(INDEX('Match Log'!$F$4:$F$1510,MATCH($A378,'Match Log'!$A$4:$A$1510,0)),"")</f>
        <v/>
      </c>
      <c r="F378">
        <f>IFERROR(SUMIFS('Match Log'!$I$4:$I$1510,'Match Log'!$A$4:$A$1510,$A378,'Match Log'!$E$4:$E$1510,"Win"),"")</f>
        <v>0</v>
      </c>
      <c r="G378" t="str">
        <f t="shared" si="32"/>
        <v/>
      </c>
      <c r="H378" t="str">
        <f t="array" ref="H378">IFERROR(IF(COUNTIFS('Match Log'!$A$4:$A$1510,$A378,'Match Log'!$E$4:$E$1510,"Win")&gt;1,_xlfn.TEXTJOIN(" + ",TRUE(),IF(('Match Log'!$A$4:$A$1510=$A378)*('Match Log'!$E$4:$E$1510="Loss"),'Match Log'!$D$4:$D$1510,"")),IF($E378=2,LOOKUP(2,1/(('Match Log'!$A$4:$A$1510=$A378)*('Match Log'!$E$4:$E$1510="Loss")),'Match Log'!$D$4:$D$1510),"the field")),"")</f>
        <v>the field</v>
      </c>
      <c r="I378" t="str">
        <f t="shared" si="33"/>
        <v/>
      </c>
      <c r="J378">
        <v>354</v>
      </c>
      <c r="K378" t="e">
        <f>IF($J378&gt;MAX('Match Log'!$A$4:$A$1510),NA(),IFERROR(LOOKUP(2,1/(('Match Log'!$D$4:$D$1510=$K$24)*('Match Log'!$A$4:$A$1510&lt;=$J378)),'Match Log'!$N$4:$N$1510),NA()))</f>
        <v>#N/A</v>
      </c>
      <c r="L378" t="e">
        <f>IF($J378&gt;MAX('Match Log'!$A$4:$A$1510),NA(),IFERROR(LOOKUP(2,1/(('Match Log'!$D$4:$D$1510=$L$24)*('Match Log'!$A$4:$A$1510&lt;=$J378)),'Match Log'!$N$4:$N$1510),NA()))</f>
        <v>#N/A</v>
      </c>
      <c r="M378" t="e">
        <f>IF($J378&gt;MAX('Match Log'!$A$4:$A$1510),NA(),IFERROR(LOOKUP(2,1/(('Match Log'!$D$4:$D$1510=$M$24)*('Match Log'!$A$4:$A$1510&lt;=$J378)),'Match Log'!$N$4:$N$1510),NA()))</f>
        <v>#N/A</v>
      </c>
      <c r="N378" t="e">
        <f>IF($J378&gt;MAX('Match Log'!$A$4:$A$1510),NA(),IFERROR(LOOKUP(2,1/(('Match Log'!$D$4:$D$1510=$N$24)*('Match Log'!$A$4:$A$1510&lt;=$J378)),'Match Log'!$N$4:$N$1510),NA()))</f>
        <v>#N/A</v>
      </c>
      <c r="O378" t="e">
        <f>IF($J378&gt;MAX('Match Log'!$A$4:$A$1510),NA(),IFERROR(LOOKUP(2,1/(('Match Log'!$D$4:$D$1510=$O$24)*('Match Log'!$A$4:$A$1510&lt;=$J378)),'Match Log'!$N$4:$N$1510),NA()))</f>
        <v>#N/A</v>
      </c>
      <c r="P378" t="e">
        <f>IF($J378&gt;MAX('Match Log'!$A$4:$A$1510),NA(),IFERROR(LOOKUP(2,1/(('Match Log'!$D$4:$D$1510=$P$24)*('Match Log'!$A$4:$A$1510&lt;=$J378)),'Match Log'!$N$4:$N$1510),NA()))</f>
        <v>#N/A</v>
      </c>
      <c r="Q378" t="e">
        <f>IF($J378&gt;MAX('Match Log'!$A$4:$A$1510),NA(),IFERROR(LOOKUP(2,1/(('Match Log'!$D$4:$D$1510=$Q$24)*('Match Log'!$A$4:$A$1510&lt;=$J378)),'Match Log'!$N$4:$N$1510),NA()))</f>
        <v>#N/A</v>
      </c>
      <c r="R378" t="e">
        <f>IF($J378&gt;MAX('Match Log'!$A$4:$A$1510),NA(),IFERROR(LOOKUP(2,1/(('Match Log'!$D$4:$D$1510=$R$24)*('Match Log'!$A$4:$A$1510&lt;=$J378)),'Match Log'!$N$4:$N$1510),NA()))</f>
        <v>#N/A</v>
      </c>
      <c r="S378" t="e">
        <f>IF($J378&gt;MAX('Match Log'!$A$4:$A$1510),NA(),IFERROR(LOOKUP(2,1/(('Match Log'!$D$4:$D$1510=$S$24)*('Match Log'!$A$4:$A$1510&lt;=$J378)),'Match Log'!$N$4:$N$1510),NA()))</f>
        <v>#N/A</v>
      </c>
      <c r="T378" t="e">
        <f>IF($J378&gt;MAX('Match Log'!$A$4:$A$1510),NA(),IFERROR(LOOKUP(2,1/(('Match Log'!$D$4:$D$1510=$T$24)*('Match Log'!$A$4:$A$1510&lt;=$J378)),'Match Log'!$N$4:$N$1510),NA()))</f>
        <v>#N/A</v>
      </c>
      <c r="U378" t="e">
        <f>IF($J378&gt;MAX('Match Log'!$A$4:$A$1510),NA(),IFERROR(LOOKUP(2,1/(('Match Log'!$D$4:$D$1510=$U$24)*('Match Log'!$A$4:$A$1510&lt;=$J378)),'Match Log'!$N$4:$N$1510),NA()))</f>
        <v>#N/A</v>
      </c>
      <c r="V378" t="e">
        <f>IF($J378&gt;MAX('Match Log'!$A$4:$A$1510),NA(),IFERROR(LOOKUP(2,1/(('Match Log'!$D$4:$D$1510=$V$24)*('Match Log'!$A$4:$A$1510&lt;=$J378)),'Match Log'!$N$4:$N$1510),NA()))</f>
        <v>#N/A</v>
      </c>
      <c r="W378" t="e">
        <f>IF($J378&gt;MAX('Match Log'!$A$4:$A$1510),NA(),IFERROR(LOOKUP(2,1/(('Match Log'!$D$4:$D$1510=$W$24)*('Match Log'!$A$4:$A$1510&lt;=$J378)),'Match Log'!$N$4:$N$1510),NA()))</f>
        <v>#N/A</v>
      </c>
      <c r="X378" t="e">
        <f>IF($J378&gt;MAX('Match Log'!$A$4:$A$1510),NA(),IFERROR(LOOKUP(2,1/(('Match Log'!$D$4:$D$1510=$X$24)*('Match Log'!$A$4:$A$1510&lt;=$J378)),'Match Log'!$N$4:$N$1510),NA()))</f>
        <v>#N/A</v>
      </c>
      <c r="Y378" t="str">
        <f t="shared" ca="1" si="34"/>
        <v/>
      </c>
    </row>
    <row r="379" spans="1:25" x14ac:dyDescent="0.2">
      <c r="A379">
        <v>355</v>
      </c>
      <c r="B379" t="str">
        <f>IFERROR(INDEX('Match Log'!$B$4:$B$1510,MATCH($A379,'Match Log'!$A$4:$A$1510,0)),"")</f>
        <v/>
      </c>
      <c r="C379" t="str">
        <f>IFERROR(INDEX('Match Log'!$C$4:$C$1510,MATCH($A379,'Match Log'!$A$4:$A$1510,0)),"")</f>
        <v/>
      </c>
      <c r="D379" t="str">
        <f t="array" ref="D379">IFERROR(_xlfn.TEXTJOIN(" + ",TRUE(),IF(('Match Log'!$A$4:$A$1510=$A379)*('Match Log'!$E$4:$E$1510="Win"),'Match Log'!$D$4:$D$1510,"")),IFERROR(LOOKUP(2,1/(('Match Log'!$A$4:$A$1510=$A379)*('Match Log'!$E$4:$E$1510="Win")),'Match Log'!$D$4:$D$1510),""))</f>
        <v/>
      </c>
      <c r="E379" t="str">
        <f>IFERROR(INDEX('Match Log'!$F$4:$F$1510,MATCH($A379,'Match Log'!$A$4:$A$1510,0)),"")</f>
        <v/>
      </c>
      <c r="F379">
        <f>IFERROR(SUMIFS('Match Log'!$I$4:$I$1510,'Match Log'!$A$4:$A$1510,$A379,'Match Log'!$E$4:$E$1510,"Win"),"")</f>
        <v>0</v>
      </c>
      <c r="G379" t="str">
        <f t="shared" si="32"/>
        <v/>
      </c>
      <c r="H379" t="str">
        <f t="array" ref="H379">IFERROR(IF(COUNTIFS('Match Log'!$A$4:$A$1510,$A379,'Match Log'!$E$4:$E$1510,"Win")&gt;1,_xlfn.TEXTJOIN(" + ",TRUE(),IF(('Match Log'!$A$4:$A$1510=$A379)*('Match Log'!$E$4:$E$1510="Loss"),'Match Log'!$D$4:$D$1510,"")),IF($E379=2,LOOKUP(2,1/(('Match Log'!$A$4:$A$1510=$A379)*('Match Log'!$E$4:$E$1510="Loss")),'Match Log'!$D$4:$D$1510),"the field")),"")</f>
        <v>the field</v>
      </c>
      <c r="I379" t="str">
        <f t="shared" si="33"/>
        <v/>
      </c>
      <c r="J379">
        <v>355</v>
      </c>
      <c r="K379" t="e">
        <f>IF($J379&gt;MAX('Match Log'!$A$4:$A$1510),NA(),IFERROR(LOOKUP(2,1/(('Match Log'!$D$4:$D$1510=$K$24)*('Match Log'!$A$4:$A$1510&lt;=$J379)),'Match Log'!$N$4:$N$1510),NA()))</f>
        <v>#N/A</v>
      </c>
      <c r="L379" t="e">
        <f>IF($J379&gt;MAX('Match Log'!$A$4:$A$1510),NA(),IFERROR(LOOKUP(2,1/(('Match Log'!$D$4:$D$1510=$L$24)*('Match Log'!$A$4:$A$1510&lt;=$J379)),'Match Log'!$N$4:$N$1510),NA()))</f>
        <v>#N/A</v>
      </c>
      <c r="M379" t="e">
        <f>IF($J379&gt;MAX('Match Log'!$A$4:$A$1510),NA(),IFERROR(LOOKUP(2,1/(('Match Log'!$D$4:$D$1510=$M$24)*('Match Log'!$A$4:$A$1510&lt;=$J379)),'Match Log'!$N$4:$N$1510),NA()))</f>
        <v>#N/A</v>
      </c>
      <c r="N379" t="e">
        <f>IF($J379&gt;MAX('Match Log'!$A$4:$A$1510),NA(),IFERROR(LOOKUP(2,1/(('Match Log'!$D$4:$D$1510=$N$24)*('Match Log'!$A$4:$A$1510&lt;=$J379)),'Match Log'!$N$4:$N$1510),NA()))</f>
        <v>#N/A</v>
      </c>
      <c r="O379" t="e">
        <f>IF($J379&gt;MAX('Match Log'!$A$4:$A$1510),NA(),IFERROR(LOOKUP(2,1/(('Match Log'!$D$4:$D$1510=$O$24)*('Match Log'!$A$4:$A$1510&lt;=$J379)),'Match Log'!$N$4:$N$1510),NA()))</f>
        <v>#N/A</v>
      </c>
      <c r="P379" t="e">
        <f>IF($J379&gt;MAX('Match Log'!$A$4:$A$1510),NA(),IFERROR(LOOKUP(2,1/(('Match Log'!$D$4:$D$1510=$P$24)*('Match Log'!$A$4:$A$1510&lt;=$J379)),'Match Log'!$N$4:$N$1510),NA()))</f>
        <v>#N/A</v>
      </c>
      <c r="Q379" t="e">
        <f>IF($J379&gt;MAX('Match Log'!$A$4:$A$1510),NA(),IFERROR(LOOKUP(2,1/(('Match Log'!$D$4:$D$1510=$Q$24)*('Match Log'!$A$4:$A$1510&lt;=$J379)),'Match Log'!$N$4:$N$1510),NA()))</f>
        <v>#N/A</v>
      </c>
      <c r="R379" t="e">
        <f>IF($J379&gt;MAX('Match Log'!$A$4:$A$1510),NA(),IFERROR(LOOKUP(2,1/(('Match Log'!$D$4:$D$1510=$R$24)*('Match Log'!$A$4:$A$1510&lt;=$J379)),'Match Log'!$N$4:$N$1510),NA()))</f>
        <v>#N/A</v>
      </c>
      <c r="S379" t="e">
        <f>IF($J379&gt;MAX('Match Log'!$A$4:$A$1510),NA(),IFERROR(LOOKUP(2,1/(('Match Log'!$D$4:$D$1510=$S$24)*('Match Log'!$A$4:$A$1510&lt;=$J379)),'Match Log'!$N$4:$N$1510),NA()))</f>
        <v>#N/A</v>
      </c>
      <c r="T379" t="e">
        <f>IF($J379&gt;MAX('Match Log'!$A$4:$A$1510),NA(),IFERROR(LOOKUP(2,1/(('Match Log'!$D$4:$D$1510=$T$24)*('Match Log'!$A$4:$A$1510&lt;=$J379)),'Match Log'!$N$4:$N$1510),NA()))</f>
        <v>#N/A</v>
      </c>
      <c r="U379" t="e">
        <f>IF($J379&gt;MAX('Match Log'!$A$4:$A$1510),NA(),IFERROR(LOOKUP(2,1/(('Match Log'!$D$4:$D$1510=$U$24)*('Match Log'!$A$4:$A$1510&lt;=$J379)),'Match Log'!$N$4:$N$1510),NA()))</f>
        <v>#N/A</v>
      </c>
      <c r="V379" t="e">
        <f>IF($J379&gt;MAX('Match Log'!$A$4:$A$1510),NA(),IFERROR(LOOKUP(2,1/(('Match Log'!$D$4:$D$1510=$V$24)*('Match Log'!$A$4:$A$1510&lt;=$J379)),'Match Log'!$N$4:$N$1510),NA()))</f>
        <v>#N/A</v>
      </c>
      <c r="W379" t="e">
        <f>IF($J379&gt;MAX('Match Log'!$A$4:$A$1510),NA(),IFERROR(LOOKUP(2,1/(('Match Log'!$D$4:$D$1510=$W$24)*('Match Log'!$A$4:$A$1510&lt;=$J379)),'Match Log'!$N$4:$N$1510),NA()))</f>
        <v>#N/A</v>
      </c>
      <c r="X379" t="e">
        <f>IF($J379&gt;MAX('Match Log'!$A$4:$A$1510),NA(),IFERROR(LOOKUP(2,1/(('Match Log'!$D$4:$D$1510=$X$24)*('Match Log'!$A$4:$A$1510&lt;=$J379)),'Match Log'!$N$4:$N$1510),NA()))</f>
        <v>#N/A</v>
      </c>
      <c r="Y379" t="str">
        <f t="shared" ca="1" si="34"/>
        <v/>
      </c>
    </row>
    <row r="380" spans="1:25" x14ac:dyDescent="0.2">
      <c r="A380">
        <v>356</v>
      </c>
      <c r="B380" t="str">
        <f>IFERROR(INDEX('Match Log'!$B$4:$B$1510,MATCH($A380,'Match Log'!$A$4:$A$1510,0)),"")</f>
        <v/>
      </c>
      <c r="C380" t="str">
        <f>IFERROR(INDEX('Match Log'!$C$4:$C$1510,MATCH($A380,'Match Log'!$A$4:$A$1510,0)),"")</f>
        <v/>
      </c>
      <c r="D380" t="str">
        <f t="array" ref="D380">IFERROR(_xlfn.TEXTJOIN(" + ",TRUE(),IF(('Match Log'!$A$4:$A$1510=$A380)*('Match Log'!$E$4:$E$1510="Win"),'Match Log'!$D$4:$D$1510,"")),IFERROR(LOOKUP(2,1/(('Match Log'!$A$4:$A$1510=$A380)*('Match Log'!$E$4:$E$1510="Win")),'Match Log'!$D$4:$D$1510),""))</f>
        <v/>
      </c>
      <c r="E380" t="str">
        <f>IFERROR(INDEX('Match Log'!$F$4:$F$1510,MATCH($A380,'Match Log'!$A$4:$A$1510,0)),"")</f>
        <v/>
      </c>
      <c r="F380">
        <f>IFERROR(SUMIFS('Match Log'!$I$4:$I$1510,'Match Log'!$A$4:$A$1510,$A380,'Match Log'!$E$4:$E$1510,"Win"),"")</f>
        <v>0</v>
      </c>
      <c r="G380" t="str">
        <f t="shared" si="32"/>
        <v/>
      </c>
      <c r="H380" t="str">
        <f t="array" ref="H380">IFERROR(IF(COUNTIFS('Match Log'!$A$4:$A$1510,$A380,'Match Log'!$E$4:$E$1510,"Win")&gt;1,_xlfn.TEXTJOIN(" + ",TRUE(),IF(('Match Log'!$A$4:$A$1510=$A380)*('Match Log'!$E$4:$E$1510="Loss"),'Match Log'!$D$4:$D$1510,"")),IF($E380=2,LOOKUP(2,1/(('Match Log'!$A$4:$A$1510=$A380)*('Match Log'!$E$4:$E$1510="Loss")),'Match Log'!$D$4:$D$1510),"the field")),"")</f>
        <v>the field</v>
      </c>
      <c r="I380" t="str">
        <f t="shared" si="33"/>
        <v/>
      </c>
      <c r="J380">
        <v>356</v>
      </c>
      <c r="K380" t="e">
        <f>IF($J380&gt;MAX('Match Log'!$A$4:$A$1510),NA(),IFERROR(LOOKUP(2,1/(('Match Log'!$D$4:$D$1510=$K$24)*('Match Log'!$A$4:$A$1510&lt;=$J380)),'Match Log'!$N$4:$N$1510),NA()))</f>
        <v>#N/A</v>
      </c>
      <c r="L380" t="e">
        <f>IF($J380&gt;MAX('Match Log'!$A$4:$A$1510),NA(),IFERROR(LOOKUP(2,1/(('Match Log'!$D$4:$D$1510=$L$24)*('Match Log'!$A$4:$A$1510&lt;=$J380)),'Match Log'!$N$4:$N$1510),NA()))</f>
        <v>#N/A</v>
      </c>
      <c r="M380" t="e">
        <f>IF($J380&gt;MAX('Match Log'!$A$4:$A$1510),NA(),IFERROR(LOOKUP(2,1/(('Match Log'!$D$4:$D$1510=$M$24)*('Match Log'!$A$4:$A$1510&lt;=$J380)),'Match Log'!$N$4:$N$1510),NA()))</f>
        <v>#N/A</v>
      </c>
      <c r="N380" t="e">
        <f>IF($J380&gt;MAX('Match Log'!$A$4:$A$1510),NA(),IFERROR(LOOKUP(2,1/(('Match Log'!$D$4:$D$1510=$N$24)*('Match Log'!$A$4:$A$1510&lt;=$J380)),'Match Log'!$N$4:$N$1510),NA()))</f>
        <v>#N/A</v>
      </c>
      <c r="O380" t="e">
        <f>IF($J380&gt;MAX('Match Log'!$A$4:$A$1510),NA(),IFERROR(LOOKUP(2,1/(('Match Log'!$D$4:$D$1510=$O$24)*('Match Log'!$A$4:$A$1510&lt;=$J380)),'Match Log'!$N$4:$N$1510),NA()))</f>
        <v>#N/A</v>
      </c>
      <c r="P380" t="e">
        <f>IF($J380&gt;MAX('Match Log'!$A$4:$A$1510),NA(),IFERROR(LOOKUP(2,1/(('Match Log'!$D$4:$D$1510=$P$24)*('Match Log'!$A$4:$A$1510&lt;=$J380)),'Match Log'!$N$4:$N$1510),NA()))</f>
        <v>#N/A</v>
      </c>
      <c r="Q380" t="e">
        <f>IF($J380&gt;MAX('Match Log'!$A$4:$A$1510),NA(),IFERROR(LOOKUP(2,1/(('Match Log'!$D$4:$D$1510=$Q$24)*('Match Log'!$A$4:$A$1510&lt;=$J380)),'Match Log'!$N$4:$N$1510),NA()))</f>
        <v>#N/A</v>
      </c>
      <c r="R380" t="e">
        <f>IF($J380&gt;MAX('Match Log'!$A$4:$A$1510),NA(),IFERROR(LOOKUP(2,1/(('Match Log'!$D$4:$D$1510=$R$24)*('Match Log'!$A$4:$A$1510&lt;=$J380)),'Match Log'!$N$4:$N$1510),NA()))</f>
        <v>#N/A</v>
      </c>
      <c r="S380" t="e">
        <f>IF($J380&gt;MAX('Match Log'!$A$4:$A$1510),NA(),IFERROR(LOOKUP(2,1/(('Match Log'!$D$4:$D$1510=$S$24)*('Match Log'!$A$4:$A$1510&lt;=$J380)),'Match Log'!$N$4:$N$1510),NA()))</f>
        <v>#N/A</v>
      </c>
      <c r="T380" t="e">
        <f>IF($J380&gt;MAX('Match Log'!$A$4:$A$1510),NA(),IFERROR(LOOKUP(2,1/(('Match Log'!$D$4:$D$1510=$T$24)*('Match Log'!$A$4:$A$1510&lt;=$J380)),'Match Log'!$N$4:$N$1510),NA()))</f>
        <v>#N/A</v>
      </c>
      <c r="U380" t="e">
        <f>IF($J380&gt;MAX('Match Log'!$A$4:$A$1510),NA(),IFERROR(LOOKUP(2,1/(('Match Log'!$D$4:$D$1510=$U$24)*('Match Log'!$A$4:$A$1510&lt;=$J380)),'Match Log'!$N$4:$N$1510),NA()))</f>
        <v>#N/A</v>
      </c>
      <c r="V380" t="e">
        <f>IF($J380&gt;MAX('Match Log'!$A$4:$A$1510),NA(),IFERROR(LOOKUP(2,1/(('Match Log'!$D$4:$D$1510=$V$24)*('Match Log'!$A$4:$A$1510&lt;=$J380)),'Match Log'!$N$4:$N$1510),NA()))</f>
        <v>#N/A</v>
      </c>
      <c r="W380" t="e">
        <f>IF($J380&gt;MAX('Match Log'!$A$4:$A$1510),NA(),IFERROR(LOOKUP(2,1/(('Match Log'!$D$4:$D$1510=$W$24)*('Match Log'!$A$4:$A$1510&lt;=$J380)),'Match Log'!$N$4:$N$1510),NA()))</f>
        <v>#N/A</v>
      </c>
      <c r="X380" t="e">
        <f>IF($J380&gt;MAX('Match Log'!$A$4:$A$1510),NA(),IFERROR(LOOKUP(2,1/(('Match Log'!$D$4:$D$1510=$X$24)*('Match Log'!$A$4:$A$1510&lt;=$J380)),'Match Log'!$N$4:$N$1510),NA()))</f>
        <v>#N/A</v>
      </c>
      <c r="Y380" t="str">
        <f t="shared" ca="1" si="34"/>
        <v/>
      </c>
    </row>
    <row r="381" spans="1:25" x14ac:dyDescent="0.2">
      <c r="A381">
        <v>357</v>
      </c>
      <c r="B381" t="str">
        <f>IFERROR(INDEX('Match Log'!$B$4:$B$1510,MATCH($A381,'Match Log'!$A$4:$A$1510,0)),"")</f>
        <v/>
      </c>
      <c r="C381" t="str">
        <f>IFERROR(INDEX('Match Log'!$C$4:$C$1510,MATCH($A381,'Match Log'!$A$4:$A$1510,0)),"")</f>
        <v/>
      </c>
      <c r="D381" t="str">
        <f t="array" ref="D381">IFERROR(_xlfn.TEXTJOIN(" + ",TRUE(),IF(('Match Log'!$A$4:$A$1510=$A381)*('Match Log'!$E$4:$E$1510="Win"),'Match Log'!$D$4:$D$1510,"")),IFERROR(LOOKUP(2,1/(('Match Log'!$A$4:$A$1510=$A381)*('Match Log'!$E$4:$E$1510="Win")),'Match Log'!$D$4:$D$1510),""))</f>
        <v/>
      </c>
      <c r="E381" t="str">
        <f>IFERROR(INDEX('Match Log'!$F$4:$F$1510,MATCH($A381,'Match Log'!$A$4:$A$1510,0)),"")</f>
        <v/>
      </c>
      <c r="F381">
        <f>IFERROR(SUMIFS('Match Log'!$I$4:$I$1510,'Match Log'!$A$4:$A$1510,$A381,'Match Log'!$E$4:$E$1510,"Win"),"")</f>
        <v>0</v>
      </c>
      <c r="G381" t="str">
        <f t="shared" si="32"/>
        <v/>
      </c>
      <c r="H381" t="str">
        <f t="array" ref="H381">IFERROR(IF(COUNTIFS('Match Log'!$A$4:$A$1510,$A381,'Match Log'!$E$4:$E$1510,"Win")&gt;1,_xlfn.TEXTJOIN(" + ",TRUE(),IF(('Match Log'!$A$4:$A$1510=$A381)*('Match Log'!$E$4:$E$1510="Loss"),'Match Log'!$D$4:$D$1510,"")),IF($E381=2,LOOKUP(2,1/(('Match Log'!$A$4:$A$1510=$A381)*('Match Log'!$E$4:$E$1510="Loss")),'Match Log'!$D$4:$D$1510),"the field")),"")</f>
        <v>the field</v>
      </c>
      <c r="I381" t="str">
        <f t="shared" si="33"/>
        <v/>
      </c>
      <c r="J381">
        <v>357</v>
      </c>
      <c r="K381" t="e">
        <f>IF($J381&gt;MAX('Match Log'!$A$4:$A$1510),NA(),IFERROR(LOOKUP(2,1/(('Match Log'!$D$4:$D$1510=$K$24)*('Match Log'!$A$4:$A$1510&lt;=$J381)),'Match Log'!$N$4:$N$1510),NA()))</f>
        <v>#N/A</v>
      </c>
      <c r="L381" t="e">
        <f>IF($J381&gt;MAX('Match Log'!$A$4:$A$1510),NA(),IFERROR(LOOKUP(2,1/(('Match Log'!$D$4:$D$1510=$L$24)*('Match Log'!$A$4:$A$1510&lt;=$J381)),'Match Log'!$N$4:$N$1510),NA()))</f>
        <v>#N/A</v>
      </c>
      <c r="M381" t="e">
        <f>IF($J381&gt;MAX('Match Log'!$A$4:$A$1510),NA(),IFERROR(LOOKUP(2,1/(('Match Log'!$D$4:$D$1510=$M$24)*('Match Log'!$A$4:$A$1510&lt;=$J381)),'Match Log'!$N$4:$N$1510),NA()))</f>
        <v>#N/A</v>
      </c>
      <c r="N381" t="e">
        <f>IF($J381&gt;MAX('Match Log'!$A$4:$A$1510),NA(),IFERROR(LOOKUP(2,1/(('Match Log'!$D$4:$D$1510=$N$24)*('Match Log'!$A$4:$A$1510&lt;=$J381)),'Match Log'!$N$4:$N$1510),NA()))</f>
        <v>#N/A</v>
      </c>
      <c r="O381" t="e">
        <f>IF($J381&gt;MAX('Match Log'!$A$4:$A$1510),NA(),IFERROR(LOOKUP(2,1/(('Match Log'!$D$4:$D$1510=$O$24)*('Match Log'!$A$4:$A$1510&lt;=$J381)),'Match Log'!$N$4:$N$1510),NA()))</f>
        <v>#N/A</v>
      </c>
      <c r="P381" t="e">
        <f>IF($J381&gt;MAX('Match Log'!$A$4:$A$1510),NA(),IFERROR(LOOKUP(2,1/(('Match Log'!$D$4:$D$1510=$P$24)*('Match Log'!$A$4:$A$1510&lt;=$J381)),'Match Log'!$N$4:$N$1510),NA()))</f>
        <v>#N/A</v>
      </c>
      <c r="Q381" t="e">
        <f>IF($J381&gt;MAX('Match Log'!$A$4:$A$1510),NA(),IFERROR(LOOKUP(2,1/(('Match Log'!$D$4:$D$1510=$Q$24)*('Match Log'!$A$4:$A$1510&lt;=$J381)),'Match Log'!$N$4:$N$1510),NA()))</f>
        <v>#N/A</v>
      </c>
      <c r="R381" t="e">
        <f>IF($J381&gt;MAX('Match Log'!$A$4:$A$1510),NA(),IFERROR(LOOKUP(2,1/(('Match Log'!$D$4:$D$1510=$R$24)*('Match Log'!$A$4:$A$1510&lt;=$J381)),'Match Log'!$N$4:$N$1510),NA()))</f>
        <v>#N/A</v>
      </c>
      <c r="S381" t="e">
        <f>IF($J381&gt;MAX('Match Log'!$A$4:$A$1510),NA(),IFERROR(LOOKUP(2,1/(('Match Log'!$D$4:$D$1510=$S$24)*('Match Log'!$A$4:$A$1510&lt;=$J381)),'Match Log'!$N$4:$N$1510),NA()))</f>
        <v>#N/A</v>
      </c>
      <c r="T381" t="e">
        <f>IF($J381&gt;MAX('Match Log'!$A$4:$A$1510),NA(),IFERROR(LOOKUP(2,1/(('Match Log'!$D$4:$D$1510=$T$24)*('Match Log'!$A$4:$A$1510&lt;=$J381)),'Match Log'!$N$4:$N$1510),NA()))</f>
        <v>#N/A</v>
      </c>
      <c r="U381" t="e">
        <f>IF($J381&gt;MAX('Match Log'!$A$4:$A$1510),NA(),IFERROR(LOOKUP(2,1/(('Match Log'!$D$4:$D$1510=$U$24)*('Match Log'!$A$4:$A$1510&lt;=$J381)),'Match Log'!$N$4:$N$1510),NA()))</f>
        <v>#N/A</v>
      </c>
      <c r="V381" t="e">
        <f>IF($J381&gt;MAX('Match Log'!$A$4:$A$1510),NA(),IFERROR(LOOKUP(2,1/(('Match Log'!$D$4:$D$1510=$V$24)*('Match Log'!$A$4:$A$1510&lt;=$J381)),'Match Log'!$N$4:$N$1510),NA()))</f>
        <v>#N/A</v>
      </c>
      <c r="W381" t="e">
        <f>IF($J381&gt;MAX('Match Log'!$A$4:$A$1510),NA(),IFERROR(LOOKUP(2,1/(('Match Log'!$D$4:$D$1510=$W$24)*('Match Log'!$A$4:$A$1510&lt;=$J381)),'Match Log'!$N$4:$N$1510),NA()))</f>
        <v>#N/A</v>
      </c>
      <c r="X381" t="e">
        <f>IF($J381&gt;MAX('Match Log'!$A$4:$A$1510),NA(),IFERROR(LOOKUP(2,1/(('Match Log'!$D$4:$D$1510=$X$24)*('Match Log'!$A$4:$A$1510&lt;=$J381)),'Match Log'!$N$4:$N$1510),NA()))</f>
        <v>#N/A</v>
      </c>
      <c r="Y381" t="str">
        <f t="shared" ca="1" si="34"/>
        <v/>
      </c>
    </row>
    <row r="382" spans="1:25" x14ac:dyDescent="0.2">
      <c r="A382">
        <v>358</v>
      </c>
      <c r="B382" t="str">
        <f>IFERROR(INDEX('Match Log'!$B$4:$B$1510,MATCH($A382,'Match Log'!$A$4:$A$1510,0)),"")</f>
        <v/>
      </c>
      <c r="C382" t="str">
        <f>IFERROR(INDEX('Match Log'!$C$4:$C$1510,MATCH($A382,'Match Log'!$A$4:$A$1510,0)),"")</f>
        <v/>
      </c>
      <c r="D382" t="str">
        <f t="array" ref="D382">IFERROR(_xlfn.TEXTJOIN(" + ",TRUE(),IF(('Match Log'!$A$4:$A$1510=$A382)*('Match Log'!$E$4:$E$1510="Win"),'Match Log'!$D$4:$D$1510,"")),IFERROR(LOOKUP(2,1/(('Match Log'!$A$4:$A$1510=$A382)*('Match Log'!$E$4:$E$1510="Win")),'Match Log'!$D$4:$D$1510),""))</f>
        <v/>
      </c>
      <c r="E382" t="str">
        <f>IFERROR(INDEX('Match Log'!$F$4:$F$1510,MATCH($A382,'Match Log'!$A$4:$A$1510,0)),"")</f>
        <v/>
      </c>
      <c r="F382">
        <f>IFERROR(SUMIFS('Match Log'!$I$4:$I$1510,'Match Log'!$A$4:$A$1510,$A382,'Match Log'!$E$4:$E$1510,"Win"),"")</f>
        <v>0</v>
      </c>
      <c r="G382" t="str">
        <f t="shared" si="32"/>
        <v/>
      </c>
      <c r="H382" t="str">
        <f t="array" ref="H382">IFERROR(IF(COUNTIFS('Match Log'!$A$4:$A$1510,$A382,'Match Log'!$E$4:$E$1510,"Win")&gt;1,_xlfn.TEXTJOIN(" + ",TRUE(),IF(('Match Log'!$A$4:$A$1510=$A382)*('Match Log'!$E$4:$E$1510="Loss"),'Match Log'!$D$4:$D$1510,"")),IF($E382=2,LOOKUP(2,1/(('Match Log'!$A$4:$A$1510=$A382)*('Match Log'!$E$4:$E$1510="Loss")),'Match Log'!$D$4:$D$1510),"the field")),"")</f>
        <v>the field</v>
      </c>
      <c r="I382" t="str">
        <f t="shared" si="33"/>
        <v/>
      </c>
      <c r="J382">
        <v>358</v>
      </c>
      <c r="K382" t="e">
        <f>IF($J382&gt;MAX('Match Log'!$A$4:$A$1510),NA(),IFERROR(LOOKUP(2,1/(('Match Log'!$D$4:$D$1510=$K$24)*('Match Log'!$A$4:$A$1510&lt;=$J382)),'Match Log'!$N$4:$N$1510),NA()))</f>
        <v>#N/A</v>
      </c>
      <c r="L382" t="e">
        <f>IF($J382&gt;MAX('Match Log'!$A$4:$A$1510),NA(),IFERROR(LOOKUP(2,1/(('Match Log'!$D$4:$D$1510=$L$24)*('Match Log'!$A$4:$A$1510&lt;=$J382)),'Match Log'!$N$4:$N$1510),NA()))</f>
        <v>#N/A</v>
      </c>
      <c r="M382" t="e">
        <f>IF($J382&gt;MAX('Match Log'!$A$4:$A$1510),NA(),IFERROR(LOOKUP(2,1/(('Match Log'!$D$4:$D$1510=$M$24)*('Match Log'!$A$4:$A$1510&lt;=$J382)),'Match Log'!$N$4:$N$1510),NA()))</f>
        <v>#N/A</v>
      </c>
      <c r="N382" t="e">
        <f>IF($J382&gt;MAX('Match Log'!$A$4:$A$1510),NA(),IFERROR(LOOKUP(2,1/(('Match Log'!$D$4:$D$1510=$N$24)*('Match Log'!$A$4:$A$1510&lt;=$J382)),'Match Log'!$N$4:$N$1510),NA()))</f>
        <v>#N/A</v>
      </c>
      <c r="O382" t="e">
        <f>IF($J382&gt;MAX('Match Log'!$A$4:$A$1510),NA(),IFERROR(LOOKUP(2,1/(('Match Log'!$D$4:$D$1510=$O$24)*('Match Log'!$A$4:$A$1510&lt;=$J382)),'Match Log'!$N$4:$N$1510),NA()))</f>
        <v>#N/A</v>
      </c>
      <c r="P382" t="e">
        <f>IF($J382&gt;MAX('Match Log'!$A$4:$A$1510),NA(),IFERROR(LOOKUP(2,1/(('Match Log'!$D$4:$D$1510=$P$24)*('Match Log'!$A$4:$A$1510&lt;=$J382)),'Match Log'!$N$4:$N$1510),NA()))</f>
        <v>#N/A</v>
      </c>
      <c r="Q382" t="e">
        <f>IF($J382&gt;MAX('Match Log'!$A$4:$A$1510),NA(),IFERROR(LOOKUP(2,1/(('Match Log'!$D$4:$D$1510=$Q$24)*('Match Log'!$A$4:$A$1510&lt;=$J382)),'Match Log'!$N$4:$N$1510),NA()))</f>
        <v>#N/A</v>
      </c>
      <c r="R382" t="e">
        <f>IF($J382&gt;MAX('Match Log'!$A$4:$A$1510),NA(),IFERROR(LOOKUP(2,1/(('Match Log'!$D$4:$D$1510=$R$24)*('Match Log'!$A$4:$A$1510&lt;=$J382)),'Match Log'!$N$4:$N$1510),NA()))</f>
        <v>#N/A</v>
      </c>
      <c r="S382" t="e">
        <f>IF($J382&gt;MAX('Match Log'!$A$4:$A$1510),NA(),IFERROR(LOOKUP(2,1/(('Match Log'!$D$4:$D$1510=$S$24)*('Match Log'!$A$4:$A$1510&lt;=$J382)),'Match Log'!$N$4:$N$1510),NA()))</f>
        <v>#N/A</v>
      </c>
      <c r="T382" t="e">
        <f>IF($J382&gt;MAX('Match Log'!$A$4:$A$1510),NA(),IFERROR(LOOKUP(2,1/(('Match Log'!$D$4:$D$1510=$T$24)*('Match Log'!$A$4:$A$1510&lt;=$J382)),'Match Log'!$N$4:$N$1510),NA()))</f>
        <v>#N/A</v>
      </c>
      <c r="U382" t="e">
        <f>IF($J382&gt;MAX('Match Log'!$A$4:$A$1510),NA(),IFERROR(LOOKUP(2,1/(('Match Log'!$D$4:$D$1510=$U$24)*('Match Log'!$A$4:$A$1510&lt;=$J382)),'Match Log'!$N$4:$N$1510),NA()))</f>
        <v>#N/A</v>
      </c>
      <c r="V382" t="e">
        <f>IF($J382&gt;MAX('Match Log'!$A$4:$A$1510),NA(),IFERROR(LOOKUP(2,1/(('Match Log'!$D$4:$D$1510=$V$24)*('Match Log'!$A$4:$A$1510&lt;=$J382)),'Match Log'!$N$4:$N$1510),NA()))</f>
        <v>#N/A</v>
      </c>
      <c r="W382" t="e">
        <f>IF($J382&gt;MAX('Match Log'!$A$4:$A$1510),NA(),IFERROR(LOOKUP(2,1/(('Match Log'!$D$4:$D$1510=$W$24)*('Match Log'!$A$4:$A$1510&lt;=$J382)),'Match Log'!$N$4:$N$1510),NA()))</f>
        <v>#N/A</v>
      </c>
      <c r="X382" t="e">
        <f>IF($J382&gt;MAX('Match Log'!$A$4:$A$1510),NA(),IFERROR(LOOKUP(2,1/(('Match Log'!$D$4:$D$1510=$X$24)*('Match Log'!$A$4:$A$1510&lt;=$J382)),'Match Log'!$N$4:$N$1510),NA()))</f>
        <v>#N/A</v>
      </c>
      <c r="Y382" t="str">
        <f t="shared" ca="1" si="34"/>
        <v/>
      </c>
    </row>
    <row r="383" spans="1:25" x14ac:dyDescent="0.2">
      <c r="A383">
        <v>359</v>
      </c>
      <c r="B383" t="str">
        <f>IFERROR(INDEX('Match Log'!$B$4:$B$1510,MATCH($A383,'Match Log'!$A$4:$A$1510,0)),"")</f>
        <v/>
      </c>
      <c r="C383" t="str">
        <f>IFERROR(INDEX('Match Log'!$C$4:$C$1510,MATCH($A383,'Match Log'!$A$4:$A$1510,0)),"")</f>
        <v/>
      </c>
      <c r="D383" t="str">
        <f t="array" ref="D383">IFERROR(_xlfn.TEXTJOIN(" + ",TRUE(),IF(('Match Log'!$A$4:$A$1510=$A383)*('Match Log'!$E$4:$E$1510="Win"),'Match Log'!$D$4:$D$1510,"")),IFERROR(LOOKUP(2,1/(('Match Log'!$A$4:$A$1510=$A383)*('Match Log'!$E$4:$E$1510="Win")),'Match Log'!$D$4:$D$1510),""))</f>
        <v/>
      </c>
      <c r="E383" t="str">
        <f>IFERROR(INDEX('Match Log'!$F$4:$F$1510,MATCH($A383,'Match Log'!$A$4:$A$1510,0)),"")</f>
        <v/>
      </c>
      <c r="F383">
        <f>IFERROR(SUMIFS('Match Log'!$I$4:$I$1510,'Match Log'!$A$4:$A$1510,$A383,'Match Log'!$E$4:$E$1510,"Win"),"")</f>
        <v>0</v>
      </c>
      <c r="G383" t="str">
        <f t="shared" si="32"/>
        <v/>
      </c>
      <c r="H383" t="str">
        <f t="array" ref="H383">IFERROR(IF(COUNTIFS('Match Log'!$A$4:$A$1510,$A383,'Match Log'!$E$4:$E$1510,"Win")&gt;1,_xlfn.TEXTJOIN(" + ",TRUE(),IF(('Match Log'!$A$4:$A$1510=$A383)*('Match Log'!$E$4:$E$1510="Loss"),'Match Log'!$D$4:$D$1510,"")),IF($E383=2,LOOKUP(2,1/(('Match Log'!$A$4:$A$1510=$A383)*('Match Log'!$E$4:$E$1510="Loss")),'Match Log'!$D$4:$D$1510),"the field")),"")</f>
        <v>the field</v>
      </c>
      <c r="I383" t="str">
        <f t="shared" si="33"/>
        <v/>
      </c>
      <c r="J383">
        <v>359</v>
      </c>
      <c r="K383" t="e">
        <f>IF($J383&gt;MAX('Match Log'!$A$4:$A$1510),NA(),IFERROR(LOOKUP(2,1/(('Match Log'!$D$4:$D$1510=$K$24)*('Match Log'!$A$4:$A$1510&lt;=$J383)),'Match Log'!$N$4:$N$1510),NA()))</f>
        <v>#N/A</v>
      </c>
      <c r="L383" t="e">
        <f>IF($J383&gt;MAX('Match Log'!$A$4:$A$1510),NA(),IFERROR(LOOKUP(2,1/(('Match Log'!$D$4:$D$1510=$L$24)*('Match Log'!$A$4:$A$1510&lt;=$J383)),'Match Log'!$N$4:$N$1510),NA()))</f>
        <v>#N/A</v>
      </c>
      <c r="M383" t="e">
        <f>IF($J383&gt;MAX('Match Log'!$A$4:$A$1510),NA(),IFERROR(LOOKUP(2,1/(('Match Log'!$D$4:$D$1510=$M$24)*('Match Log'!$A$4:$A$1510&lt;=$J383)),'Match Log'!$N$4:$N$1510),NA()))</f>
        <v>#N/A</v>
      </c>
      <c r="N383" t="e">
        <f>IF($J383&gt;MAX('Match Log'!$A$4:$A$1510),NA(),IFERROR(LOOKUP(2,1/(('Match Log'!$D$4:$D$1510=$N$24)*('Match Log'!$A$4:$A$1510&lt;=$J383)),'Match Log'!$N$4:$N$1510),NA()))</f>
        <v>#N/A</v>
      </c>
      <c r="O383" t="e">
        <f>IF($J383&gt;MAX('Match Log'!$A$4:$A$1510),NA(),IFERROR(LOOKUP(2,1/(('Match Log'!$D$4:$D$1510=$O$24)*('Match Log'!$A$4:$A$1510&lt;=$J383)),'Match Log'!$N$4:$N$1510),NA()))</f>
        <v>#N/A</v>
      </c>
      <c r="P383" t="e">
        <f>IF($J383&gt;MAX('Match Log'!$A$4:$A$1510),NA(),IFERROR(LOOKUP(2,1/(('Match Log'!$D$4:$D$1510=$P$24)*('Match Log'!$A$4:$A$1510&lt;=$J383)),'Match Log'!$N$4:$N$1510),NA()))</f>
        <v>#N/A</v>
      </c>
      <c r="Q383" t="e">
        <f>IF($J383&gt;MAX('Match Log'!$A$4:$A$1510),NA(),IFERROR(LOOKUP(2,1/(('Match Log'!$D$4:$D$1510=$Q$24)*('Match Log'!$A$4:$A$1510&lt;=$J383)),'Match Log'!$N$4:$N$1510),NA()))</f>
        <v>#N/A</v>
      </c>
      <c r="R383" t="e">
        <f>IF($J383&gt;MAX('Match Log'!$A$4:$A$1510),NA(),IFERROR(LOOKUP(2,1/(('Match Log'!$D$4:$D$1510=$R$24)*('Match Log'!$A$4:$A$1510&lt;=$J383)),'Match Log'!$N$4:$N$1510),NA()))</f>
        <v>#N/A</v>
      </c>
      <c r="S383" t="e">
        <f>IF($J383&gt;MAX('Match Log'!$A$4:$A$1510),NA(),IFERROR(LOOKUP(2,1/(('Match Log'!$D$4:$D$1510=$S$24)*('Match Log'!$A$4:$A$1510&lt;=$J383)),'Match Log'!$N$4:$N$1510),NA()))</f>
        <v>#N/A</v>
      </c>
      <c r="T383" t="e">
        <f>IF($J383&gt;MAX('Match Log'!$A$4:$A$1510),NA(),IFERROR(LOOKUP(2,1/(('Match Log'!$D$4:$D$1510=$T$24)*('Match Log'!$A$4:$A$1510&lt;=$J383)),'Match Log'!$N$4:$N$1510),NA()))</f>
        <v>#N/A</v>
      </c>
      <c r="U383" t="e">
        <f>IF($J383&gt;MAX('Match Log'!$A$4:$A$1510),NA(),IFERROR(LOOKUP(2,1/(('Match Log'!$D$4:$D$1510=$U$24)*('Match Log'!$A$4:$A$1510&lt;=$J383)),'Match Log'!$N$4:$N$1510),NA()))</f>
        <v>#N/A</v>
      </c>
      <c r="V383" t="e">
        <f>IF($J383&gt;MAX('Match Log'!$A$4:$A$1510),NA(),IFERROR(LOOKUP(2,1/(('Match Log'!$D$4:$D$1510=$V$24)*('Match Log'!$A$4:$A$1510&lt;=$J383)),'Match Log'!$N$4:$N$1510),NA()))</f>
        <v>#N/A</v>
      </c>
      <c r="W383" t="e">
        <f>IF($J383&gt;MAX('Match Log'!$A$4:$A$1510),NA(),IFERROR(LOOKUP(2,1/(('Match Log'!$D$4:$D$1510=$W$24)*('Match Log'!$A$4:$A$1510&lt;=$J383)),'Match Log'!$N$4:$N$1510),NA()))</f>
        <v>#N/A</v>
      </c>
      <c r="X383" t="e">
        <f>IF($J383&gt;MAX('Match Log'!$A$4:$A$1510),NA(),IFERROR(LOOKUP(2,1/(('Match Log'!$D$4:$D$1510=$X$24)*('Match Log'!$A$4:$A$1510&lt;=$J383)),'Match Log'!$N$4:$N$1510),NA()))</f>
        <v>#N/A</v>
      </c>
      <c r="Y383" t="str">
        <f t="shared" ca="1" si="34"/>
        <v/>
      </c>
    </row>
    <row r="384" spans="1:25" x14ac:dyDescent="0.2">
      <c r="A384">
        <v>360</v>
      </c>
      <c r="B384" t="str">
        <f>IFERROR(INDEX('Match Log'!$B$4:$B$1510,MATCH($A384,'Match Log'!$A$4:$A$1510,0)),"")</f>
        <v/>
      </c>
      <c r="C384" t="str">
        <f>IFERROR(INDEX('Match Log'!$C$4:$C$1510,MATCH($A384,'Match Log'!$A$4:$A$1510,0)),"")</f>
        <v/>
      </c>
      <c r="D384" t="str">
        <f t="array" ref="D384">IFERROR(_xlfn.TEXTJOIN(" + ",TRUE(),IF(('Match Log'!$A$4:$A$1510=$A384)*('Match Log'!$E$4:$E$1510="Win"),'Match Log'!$D$4:$D$1510,"")),IFERROR(LOOKUP(2,1/(('Match Log'!$A$4:$A$1510=$A384)*('Match Log'!$E$4:$E$1510="Win")),'Match Log'!$D$4:$D$1510),""))</f>
        <v/>
      </c>
      <c r="E384" t="str">
        <f>IFERROR(INDEX('Match Log'!$F$4:$F$1510,MATCH($A384,'Match Log'!$A$4:$A$1510,0)),"")</f>
        <v/>
      </c>
      <c r="F384">
        <f>IFERROR(SUMIFS('Match Log'!$I$4:$I$1510,'Match Log'!$A$4:$A$1510,$A384,'Match Log'!$E$4:$E$1510,"Win"),"")</f>
        <v>0</v>
      </c>
      <c r="G384" t="str">
        <f t="shared" si="32"/>
        <v/>
      </c>
      <c r="H384" t="str">
        <f t="array" ref="H384">IFERROR(IF(COUNTIFS('Match Log'!$A$4:$A$1510,$A384,'Match Log'!$E$4:$E$1510,"Win")&gt;1,_xlfn.TEXTJOIN(" + ",TRUE(),IF(('Match Log'!$A$4:$A$1510=$A384)*('Match Log'!$E$4:$E$1510="Loss"),'Match Log'!$D$4:$D$1510,"")),IF($E384=2,LOOKUP(2,1/(('Match Log'!$A$4:$A$1510=$A384)*('Match Log'!$E$4:$E$1510="Loss")),'Match Log'!$D$4:$D$1510),"the field")),"")</f>
        <v>the field</v>
      </c>
      <c r="I384" t="str">
        <f t="shared" si="33"/>
        <v/>
      </c>
      <c r="J384">
        <v>360</v>
      </c>
      <c r="K384" t="e">
        <f>IF($J384&gt;MAX('Match Log'!$A$4:$A$1510),NA(),IFERROR(LOOKUP(2,1/(('Match Log'!$D$4:$D$1510=$K$24)*('Match Log'!$A$4:$A$1510&lt;=$J384)),'Match Log'!$N$4:$N$1510),NA()))</f>
        <v>#N/A</v>
      </c>
      <c r="L384" t="e">
        <f>IF($J384&gt;MAX('Match Log'!$A$4:$A$1510),NA(),IFERROR(LOOKUP(2,1/(('Match Log'!$D$4:$D$1510=$L$24)*('Match Log'!$A$4:$A$1510&lt;=$J384)),'Match Log'!$N$4:$N$1510),NA()))</f>
        <v>#N/A</v>
      </c>
      <c r="M384" t="e">
        <f>IF($J384&gt;MAX('Match Log'!$A$4:$A$1510),NA(),IFERROR(LOOKUP(2,1/(('Match Log'!$D$4:$D$1510=$M$24)*('Match Log'!$A$4:$A$1510&lt;=$J384)),'Match Log'!$N$4:$N$1510),NA()))</f>
        <v>#N/A</v>
      </c>
      <c r="N384" t="e">
        <f>IF($J384&gt;MAX('Match Log'!$A$4:$A$1510),NA(),IFERROR(LOOKUP(2,1/(('Match Log'!$D$4:$D$1510=$N$24)*('Match Log'!$A$4:$A$1510&lt;=$J384)),'Match Log'!$N$4:$N$1510),NA()))</f>
        <v>#N/A</v>
      </c>
      <c r="O384" t="e">
        <f>IF($J384&gt;MAX('Match Log'!$A$4:$A$1510),NA(),IFERROR(LOOKUP(2,1/(('Match Log'!$D$4:$D$1510=$O$24)*('Match Log'!$A$4:$A$1510&lt;=$J384)),'Match Log'!$N$4:$N$1510),NA()))</f>
        <v>#N/A</v>
      </c>
      <c r="P384" t="e">
        <f>IF($J384&gt;MAX('Match Log'!$A$4:$A$1510),NA(),IFERROR(LOOKUP(2,1/(('Match Log'!$D$4:$D$1510=$P$24)*('Match Log'!$A$4:$A$1510&lt;=$J384)),'Match Log'!$N$4:$N$1510),NA()))</f>
        <v>#N/A</v>
      </c>
      <c r="Q384" t="e">
        <f>IF($J384&gt;MAX('Match Log'!$A$4:$A$1510),NA(),IFERROR(LOOKUP(2,1/(('Match Log'!$D$4:$D$1510=$Q$24)*('Match Log'!$A$4:$A$1510&lt;=$J384)),'Match Log'!$N$4:$N$1510),NA()))</f>
        <v>#N/A</v>
      </c>
      <c r="R384" t="e">
        <f>IF($J384&gt;MAX('Match Log'!$A$4:$A$1510),NA(),IFERROR(LOOKUP(2,1/(('Match Log'!$D$4:$D$1510=$R$24)*('Match Log'!$A$4:$A$1510&lt;=$J384)),'Match Log'!$N$4:$N$1510),NA()))</f>
        <v>#N/A</v>
      </c>
      <c r="S384" t="e">
        <f>IF($J384&gt;MAX('Match Log'!$A$4:$A$1510),NA(),IFERROR(LOOKUP(2,1/(('Match Log'!$D$4:$D$1510=$S$24)*('Match Log'!$A$4:$A$1510&lt;=$J384)),'Match Log'!$N$4:$N$1510),NA()))</f>
        <v>#N/A</v>
      </c>
      <c r="T384" t="e">
        <f>IF($J384&gt;MAX('Match Log'!$A$4:$A$1510),NA(),IFERROR(LOOKUP(2,1/(('Match Log'!$D$4:$D$1510=$T$24)*('Match Log'!$A$4:$A$1510&lt;=$J384)),'Match Log'!$N$4:$N$1510),NA()))</f>
        <v>#N/A</v>
      </c>
      <c r="U384" t="e">
        <f>IF($J384&gt;MAX('Match Log'!$A$4:$A$1510),NA(),IFERROR(LOOKUP(2,1/(('Match Log'!$D$4:$D$1510=$U$24)*('Match Log'!$A$4:$A$1510&lt;=$J384)),'Match Log'!$N$4:$N$1510),NA()))</f>
        <v>#N/A</v>
      </c>
      <c r="V384" t="e">
        <f>IF($J384&gt;MAX('Match Log'!$A$4:$A$1510),NA(),IFERROR(LOOKUP(2,1/(('Match Log'!$D$4:$D$1510=$V$24)*('Match Log'!$A$4:$A$1510&lt;=$J384)),'Match Log'!$N$4:$N$1510),NA()))</f>
        <v>#N/A</v>
      </c>
      <c r="W384" t="e">
        <f>IF($J384&gt;MAX('Match Log'!$A$4:$A$1510),NA(),IFERROR(LOOKUP(2,1/(('Match Log'!$D$4:$D$1510=$W$24)*('Match Log'!$A$4:$A$1510&lt;=$J384)),'Match Log'!$N$4:$N$1510),NA()))</f>
        <v>#N/A</v>
      </c>
      <c r="X384" t="e">
        <f>IF($J384&gt;MAX('Match Log'!$A$4:$A$1510),NA(),IFERROR(LOOKUP(2,1/(('Match Log'!$D$4:$D$1510=$X$24)*('Match Log'!$A$4:$A$1510&lt;=$J384)),'Match Log'!$N$4:$N$1510),NA()))</f>
        <v>#N/A</v>
      </c>
      <c r="Y384" t="str">
        <f t="shared" ca="1" si="34"/>
        <v/>
      </c>
    </row>
    <row r="385" spans="1:25" x14ac:dyDescent="0.2">
      <c r="A385">
        <v>361</v>
      </c>
      <c r="B385" t="str">
        <f>IFERROR(INDEX('Match Log'!$B$4:$B$1510,MATCH($A385,'Match Log'!$A$4:$A$1510,0)),"")</f>
        <v/>
      </c>
      <c r="C385" t="str">
        <f>IFERROR(INDEX('Match Log'!$C$4:$C$1510,MATCH($A385,'Match Log'!$A$4:$A$1510,0)),"")</f>
        <v/>
      </c>
      <c r="D385" t="str">
        <f t="array" ref="D385">IFERROR(_xlfn.TEXTJOIN(" + ",TRUE(),IF(('Match Log'!$A$4:$A$1510=$A385)*('Match Log'!$E$4:$E$1510="Win"),'Match Log'!$D$4:$D$1510,"")),IFERROR(LOOKUP(2,1/(('Match Log'!$A$4:$A$1510=$A385)*('Match Log'!$E$4:$E$1510="Win")),'Match Log'!$D$4:$D$1510),""))</f>
        <v/>
      </c>
      <c r="E385" t="str">
        <f>IFERROR(INDEX('Match Log'!$F$4:$F$1510,MATCH($A385,'Match Log'!$A$4:$A$1510,0)),"")</f>
        <v/>
      </c>
      <c r="F385">
        <f>IFERROR(SUMIFS('Match Log'!$I$4:$I$1510,'Match Log'!$A$4:$A$1510,$A385,'Match Log'!$E$4:$E$1510,"Win"),"")</f>
        <v>0</v>
      </c>
      <c r="G385" t="str">
        <f t="shared" si="32"/>
        <v/>
      </c>
      <c r="H385" t="str">
        <f t="array" ref="H385">IFERROR(IF(COUNTIFS('Match Log'!$A$4:$A$1510,$A385,'Match Log'!$E$4:$E$1510,"Win")&gt;1,_xlfn.TEXTJOIN(" + ",TRUE(),IF(('Match Log'!$A$4:$A$1510=$A385)*('Match Log'!$E$4:$E$1510="Loss"),'Match Log'!$D$4:$D$1510,"")),IF($E385=2,LOOKUP(2,1/(('Match Log'!$A$4:$A$1510=$A385)*('Match Log'!$E$4:$E$1510="Loss")),'Match Log'!$D$4:$D$1510),"the field")),"")</f>
        <v>the field</v>
      </c>
      <c r="I385" t="str">
        <f t="shared" si="33"/>
        <v/>
      </c>
      <c r="J385">
        <v>361</v>
      </c>
      <c r="K385" t="e">
        <f>IF($J385&gt;MAX('Match Log'!$A$4:$A$1510),NA(),IFERROR(LOOKUP(2,1/(('Match Log'!$D$4:$D$1510=$K$24)*('Match Log'!$A$4:$A$1510&lt;=$J385)),'Match Log'!$N$4:$N$1510),NA()))</f>
        <v>#N/A</v>
      </c>
      <c r="L385" t="e">
        <f>IF($J385&gt;MAX('Match Log'!$A$4:$A$1510),NA(),IFERROR(LOOKUP(2,1/(('Match Log'!$D$4:$D$1510=$L$24)*('Match Log'!$A$4:$A$1510&lt;=$J385)),'Match Log'!$N$4:$N$1510),NA()))</f>
        <v>#N/A</v>
      </c>
      <c r="M385" t="e">
        <f>IF($J385&gt;MAX('Match Log'!$A$4:$A$1510),NA(),IFERROR(LOOKUP(2,1/(('Match Log'!$D$4:$D$1510=$M$24)*('Match Log'!$A$4:$A$1510&lt;=$J385)),'Match Log'!$N$4:$N$1510),NA()))</f>
        <v>#N/A</v>
      </c>
      <c r="N385" t="e">
        <f>IF($J385&gt;MAX('Match Log'!$A$4:$A$1510),NA(),IFERROR(LOOKUP(2,1/(('Match Log'!$D$4:$D$1510=$N$24)*('Match Log'!$A$4:$A$1510&lt;=$J385)),'Match Log'!$N$4:$N$1510),NA()))</f>
        <v>#N/A</v>
      </c>
      <c r="O385" t="e">
        <f>IF($J385&gt;MAX('Match Log'!$A$4:$A$1510),NA(),IFERROR(LOOKUP(2,1/(('Match Log'!$D$4:$D$1510=$O$24)*('Match Log'!$A$4:$A$1510&lt;=$J385)),'Match Log'!$N$4:$N$1510),NA()))</f>
        <v>#N/A</v>
      </c>
      <c r="P385" t="e">
        <f>IF($J385&gt;MAX('Match Log'!$A$4:$A$1510),NA(),IFERROR(LOOKUP(2,1/(('Match Log'!$D$4:$D$1510=$P$24)*('Match Log'!$A$4:$A$1510&lt;=$J385)),'Match Log'!$N$4:$N$1510),NA()))</f>
        <v>#N/A</v>
      </c>
      <c r="Q385" t="e">
        <f>IF($J385&gt;MAX('Match Log'!$A$4:$A$1510),NA(),IFERROR(LOOKUP(2,1/(('Match Log'!$D$4:$D$1510=$Q$24)*('Match Log'!$A$4:$A$1510&lt;=$J385)),'Match Log'!$N$4:$N$1510),NA()))</f>
        <v>#N/A</v>
      </c>
      <c r="R385" t="e">
        <f>IF($J385&gt;MAX('Match Log'!$A$4:$A$1510),NA(),IFERROR(LOOKUP(2,1/(('Match Log'!$D$4:$D$1510=$R$24)*('Match Log'!$A$4:$A$1510&lt;=$J385)),'Match Log'!$N$4:$N$1510),NA()))</f>
        <v>#N/A</v>
      </c>
      <c r="S385" t="e">
        <f>IF($J385&gt;MAX('Match Log'!$A$4:$A$1510),NA(),IFERROR(LOOKUP(2,1/(('Match Log'!$D$4:$D$1510=$S$24)*('Match Log'!$A$4:$A$1510&lt;=$J385)),'Match Log'!$N$4:$N$1510),NA()))</f>
        <v>#N/A</v>
      </c>
      <c r="T385" t="e">
        <f>IF($J385&gt;MAX('Match Log'!$A$4:$A$1510),NA(),IFERROR(LOOKUP(2,1/(('Match Log'!$D$4:$D$1510=$T$24)*('Match Log'!$A$4:$A$1510&lt;=$J385)),'Match Log'!$N$4:$N$1510),NA()))</f>
        <v>#N/A</v>
      </c>
      <c r="U385" t="e">
        <f>IF($J385&gt;MAX('Match Log'!$A$4:$A$1510),NA(),IFERROR(LOOKUP(2,1/(('Match Log'!$D$4:$D$1510=$U$24)*('Match Log'!$A$4:$A$1510&lt;=$J385)),'Match Log'!$N$4:$N$1510),NA()))</f>
        <v>#N/A</v>
      </c>
      <c r="V385" t="e">
        <f>IF($J385&gt;MAX('Match Log'!$A$4:$A$1510),NA(),IFERROR(LOOKUP(2,1/(('Match Log'!$D$4:$D$1510=$V$24)*('Match Log'!$A$4:$A$1510&lt;=$J385)),'Match Log'!$N$4:$N$1510),NA()))</f>
        <v>#N/A</v>
      </c>
      <c r="W385" t="e">
        <f>IF($J385&gt;MAX('Match Log'!$A$4:$A$1510),NA(),IFERROR(LOOKUP(2,1/(('Match Log'!$D$4:$D$1510=$W$24)*('Match Log'!$A$4:$A$1510&lt;=$J385)),'Match Log'!$N$4:$N$1510),NA()))</f>
        <v>#N/A</v>
      </c>
      <c r="X385" t="e">
        <f>IF($J385&gt;MAX('Match Log'!$A$4:$A$1510),NA(),IFERROR(LOOKUP(2,1/(('Match Log'!$D$4:$D$1510=$X$24)*('Match Log'!$A$4:$A$1510&lt;=$J385)),'Match Log'!$N$4:$N$1510),NA()))</f>
        <v>#N/A</v>
      </c>
      <c r="Y385" t="str">
        <f t="shared" ca="1" si="34"/>
        <v/>
      </c>
    </row>
    <row r="386" spans="1:25" x14ac:dyDescent="0.2">
      <c r="A386">
        <v>362</v>
      </c>
      <c r="B386" t="str">
        <f>IFERROR(INDEX('Match Log'!$B$4:$B$1510,MATCH($A386,'Match Log'!$A$4:$A$1510,0)),"")</f>
        <v/>
      </c>
      <c r="C386" t="str">
        <f>IFERROR(INDEX('Match Log'!$C$4:$C$1510,MATCH($A386,'Match Log'!$A$4:$A$1510,0)),"")</f>
        <v/>
      </c>
      <c r="D386" t="str">
        <f t="array" ref="D386">IFERROR(_xlfn.TEXTJOIN(" + ",TRUE(),IF(('Match Log'!$A$4:$A$1510=$A386)*('Match Log'!$E$4:$E$1510="Win"),'Match Log'!$D$4:$D$1510,"")),IFERROR(LOOKUP(2,1/(('Match Log'!$A$4:$A$1510=$A386)*('Match Log'!$E$4:$E$1510="Win")),'Match Log'!$D$4:$D$1510),""))</f>
        <v/>
      </c>
      <c r="E386" t="str">
        <f>IFERROR(INDEX('Match Log'!$F$4:$F$1510,MATCH($A386,'Match Log'!$A$4:$A$1510,0)),"")</f>
        <v/>
      </c>
      <c r="F386">
        <f>IFERROR(SUMIFS('Match Log'!$I$4:$I$1510,'Match Log'!$A$4:$A$1510,$A386,'Match Log'!$E$4:$E$1510,"Win"),"")</f>
        <v>0</v>
      </c>
      <c r="G386" t="str">
        <f t="shared" si="32"/>
        <v/>
      </c>
      <c r="H386" t="str">
        <f t="array" ref="H386">IFERROR(IF(COUNTIFS('Match Log'!$A$4:$A$1510,$A386,'Match Log'!$E$4:$E$1510,"Win")&gt;1,_xlfn.TEXTJOIN(" + ",TRUE(),IF(('Match Log'!$A$4:$A$1510=$A386)*('Match Log'!$E$4:$E$1510="Loss"),'Match Log'!$D$4:$D$1510,"")),IF($E386=2,LOOKUP(2,1/(('Match Log'!$A$4:$A$1510=$A386)*('Match Log'!$E$4:$E$1510="Loss")),'Match Log'!$D$4:$D$1510),"the field")),"")</f>
        <v>the field</v>
      </c>
      <c r="I386" t="str">
        <f t="shared" si="33"/>
        <v/>
      </c>
      <c r="J386">
        <v>362</v>
      </c>
      <c r="K386" t="e">
        <f>IF($J386&gt;MAX('Match Log'!$A$4:$A$1510),NA(),IFERROR(LOOKUP(2,1/(('Match Log'!$D$4:$D$1510=$K$24)*('Match Log'!$A$4:$A$1510&lt;=$J386)),'Match Log'!$N$4:$N$1510),NA()))</f>
        <v>#N/A</v>
      </c>
      <c r="L386" t="e">
        <f>IF($J386&gt;MAX('Match Log'!$A$4:$A$1510),NA(),IFERROR(LOOKUP(2,1/(('Match Log'!$D$4:$D$1510=$L$24)*('Match Log'!$A$4:$A$1510&lt;=$J386)),'Match Log'!$N$4:$N$1510),NA()))</f>
        <v>#N/A</v>
      </c>
      <c r="M386" t="e">
        <f>IF($J386&gt;MAX('Match Log'!$A$4:$A$1510),NA(),IFERROR(LOOKUP(2,1/(('Match Log'!$D$4:$D$1510=$M$24)*('Match Log'!$A$4:$A$1510&lt;=$J386)),'Match Log'!$N$4:$N$1510),NA()))</f>
        <v>#N/A</v>
      </c>
      <c r="N386" t="e">
        <f>IF($J386&gt;MAX('Match Log'!$A$4:$A$1510),NA(),IFERROR(LOOKUP(2,1/(('Match Log'!$D$4:$D$1510=$N$24)*('Match Log'!$A$4:$A$1510&lt;=$J386)),'Match Log'!$N$4:$N$1510),NA()))</f>
        <v>#N/A</v>
      </c>
      <c r="O386" t="e">
        <f>IF($J386&gt;MAX('Match Log'!$A$4:$A$1510),NA(),IFERROR(LOOKUP(2,1/(('Match Log'!$D$4:$D$1510=$O$24)*('Match Log'!$A$4:$A$1510&lt;=$J386)),'Match Log'!$N$4:$N$1510),NA()))</f>
        <v>#N/A</v>
      </c>
      <c r="P386" t="e">
        <f>IF($J386&gt;MAX('Match Log'!$A$4:$A$1510),NA(),IFERROR(LOOKUP(2,1/(('Match Log'!$D$4:$D$1510=$P$24)*('Match Log'!$A$4:$A$1510&lt;=$J386)),'Match Log'!$N$4:$N$1510),NA()))</f>
        <v>#N/A</v>
      </c>
      <c r="Q386" t="e">
        <f>IF($J386&gt;MAX('Match Log'!$A$4:$A$1510),NA(),IFERROR(LOOKUP(2,1/(('Match Log'!$D$4:$D$1510=$Q$24)*('Match Log'!$A$4:$A$1510&lt;=$J386)),'Match Log'!$N$4:$N$1510),NA()))</f>
        <v>#N/A</v>
      </c>
      <c r="R386" t="e">
        <f>IF($J386&gt;MAX('Match Log'!$A$4:$A$1510),NA(),IFERROR(LOOKUP(2,1/(('Match Log'!$D$4:$D$1510=$R$24)*('Match Log'!$A$4:$A$1510&lt;=$J386)),'Match Log'!$N$4:$N$1510),NA()))</f>
        <v>#N/A</v>
      </c>
      <c r="S386" t="e">
        <f>IF($J386&gt;MAX('Match Log'!$A$4:$A$1510),NA(),IFERROR(LOOKUP(2,1/(('Match Log'!$D$4:$D$1510=$S$24)*('Match Log'!$A$4:$A$1510&lt;=$J386)),'Match Log'!$N$4:$N$1510),NA()))</f>
        <v>#N/A</v>
      </c>
      <c r="T386" t="e">
        <f>IF($J386&gt;MAX('Match Log'!$A$4:$A$1510),NA(),IFERROR(LOOKUP(2,1/(('Match Log'!$D$4:$D$1510=$T$24)*('Match Log'!$A$4:$A$1510&lt;=$J386)),'Match Log'!$N$4:$N$1510),NA()))</f>
        <v>#N/A</v>
      </c>
      <c r="U386" t="e">
        <f>IF($J386&gt;MAX('Match Log'!$A$4:$A$1510),NA(),IFERROR(LOOKUP(2,1/(('Match Log'!$D$4:$D$1510=$U$24)*('Match Log'!$A$4:$A$1510&lt;=$J386)),'Match Log'!$N$4:$N$1510),NA()))</f>
        <v>#N/A</v>
      </c>
      <c r="V386" t="e">
        <f>IF($J386&gt;MAX('Match Log'!$A$4:$A$1510),NA(),IFERROR(LOOKUP(2,1/(('Match Log'!$D$4:$D$1510=$V$24)*('Match Log'!$A$4:$A$1510&lt;=$J386)),'Match Log'!$N$4:$N$1510),NA()))</f>
        <v>#N/A</v>
      </c>
      <c r="W386" t="e">
        <f>IF($J386&gt;MAX('Match Log'!$A$4:$A$1510),NA(),IFERROR(LOOKUP(2,1/(('Match Log'!$D$4:$D$1510=$W$24)*('Match Log'!$A$4:$A$1510&lt;=$J386)),'Match Log'!$N$4:$N$1510),NA()))</f>
        <v>#N/A</v>
      </c>
      <c r="X386" t="e">
        <f>IF($J386&gt;MAX('Match Log'!$A$4:$A$1510),NA(),IFERROR(LOOKUP(2,1/(('Match Log'!$D$4:$D$1510=$X$24)*('Match Log'!$A$4:$A$1510&lt;=$J386)),'Match Log'!$N$4:$N$1510),NA()))</f>
        <v>#N/A</v>
      </c>
      <c r="Y386" t="str">
        <f t="shared" ca="1" si="34"/>
        <v/>
      </c>
    </row>
    <row r="387" spans="1:25" x14ac:dyDescent="0.2">
      <c r="A387">
        <v>363</v>
      </c>
      <c r="B387" t="str">
        <f>IFERROR(INDEX('Match Log'!$B$4:$B$1510,MATCH($A387,'Match Log'!$A$4:$A$1510,0)),"")</f>
        <v/>
      </c>
      <c r="C387" t="str">
        <f>IFERROR(INDEX('Match Log'!$C$4:$C$1510,MATCH($A387,'Match Log'!$A$4:$A$1510,0)),"")</f>
        <v/>
      </c>
      <c r="D387" t="str">
        <f t="array" ref="D387">IFERROR(_xlfn.TEXTJOIN(" + ",TRUE(),IF(('Match Log'!$A$4:$A$1510=$A387)*('Match Log'!$E$4:$E$1510="Win"),'Match Log'!$D$4:$D$1510,"")),IFERROR(LOOKUP(2,1/(('Match Log'!$A$4:$A$1510=$A387)*('Match Log'!$E$4:$E$1510="Win")),'Match Log'!$D$4:$D$1510),""))</f>
        <v/>
      </c>
      <c r="E387" t="str">
        <f>IFERROR(INDEX('Match Log'!$F$4:$F$1510,MATCH($A387,'Match Log'!$A$4:$A$1510,0)),"")</f>
        <v/>
      </c>
      <c r="F387">
        <f>IFERROR(SUMIFS('Match Log'!$I$4:$I$1510,'Match Log'!$A$4:$A$1510,$A387,'Match Log'!$E$4:$E$1510,"Win"),"")</f>
        <v>0</v>
      </c>
      <c r="G387" t="str">
        <f t="shared" si="32"/>
        <v/>
      </c>
      <c r="H387" t="str">
        <f t="array" ref="H387">IFERROR(IF(COUNTIFS('Match Log'!$A$4:$A$1510,$A387,'Match Log'!$E$4:$E$1510,"Win")&gt;1,_xlfn.TEXTJOIN(" + ",TRUE(),IF(('Match Log'!$A$4:$A$1510=$A387)*('Match Log'!$E$4:$E$1510="Loss"),'Match Log'!$D$4:$D$1510,"")),IF($E387=2,LOOKUP(2,1/(('Match Log'!$A$4:$A$1510=$A387)*('Match Log'!$E$4:$E$1510="Loss")),'Match Log'!$D$4:$D$1510),"the field")),"")</f>
        <v>the field</v>
      </c>
      <c r="I387" t="str">
        <f t="shared" si="33"/>
        <v/>
      </c>
      <c r="J387">
        <v>363</v>
      </c>
      <c r="K387" t="e">
        <f>IF($J387&gt;MAX('Match Log'!$A$4:$A$1510),NA(),IFERROR(LOOKUP(2,1/(('Match Log'!$D$4:$D$1510=$K$24)*('Match Log'!$A$4:$A$1510&lt;=$J387)),'Match Log'!$N$4:$N$1510),NA()))</f>
        <v>#N/A</v>
      </c>
      <c r="L387" t="e">
        <f>IF($J387&gt;MAX('Match Log'!$A$4:$A$1510),NA(),IFERROR(LOOKUP(2,1/(('Match Log'!$D$4:$D$1510=$L$24)*('Match Log'!$A$4:$A$1510&lt;=$J387)),'Match Log'!$N$4:$N$1510),NA()))</f>
        <v>#N/A</v>
      </c>
      <c r="M387" t="e">
        <f>IF($J387&gt;MAX('Match Log'!$A$4:$A$1510),NA(),IFERROR(LOOKUP(2,1/(('Match Log'!$D$4:$D$1510=$M$24)*('Match Log'!$A$4:$A$1510&lt;=$J387)),'Match Log'!$N$4:$N$1510),NA()))</f>
        <v>#N/A</v>
      </c>
      <c r="N387" t="e">
        <f>IF($J387&gt;MAX('Match Log'!$A$4:$A$1510),NA(),IFERROR(LOOKUP(2,1/(('Match Log'!$D$4:$D$1510=$N$24)*('Match Log'!$A$4:$A$1510&lt;=$J387)),'Match Log'!$N$4:$N$1510),NA()))</f>
        <v>#N/A</v>
      </c>
      <c r="O387" t="e">
        <f>IF($J387&gt;MAX('Match Log'!$A$4:$A$1510),NA(),IFERROR(LOOKUP(2,1/(('Match Log'!$D$4:$D$1510=$O$24)*('Match Log'!$A$4:$A$1510&lt;=$J387)),'Match Log'!$N$4:$N$1510),NA()))</f>
        <v>#N/A</v>
      </c>
      <c r="P387" t="e">
        <f>IF($J387&gt;MAX('Match Log'!$A$4:$A$1510),NA(),IFERROR(LOOKUP(2,1/(('Match Log'!$D$4:$D$1510=$P$24)*('Match Log'!$A$4:$A$1510&lt;=$J387)),'Match Log'!$N$4:$N$1510),NA()))</f>
        <v>#N/A</v>
      </c>
      <c r="Q387" t="e">
        <f>IF($J387&gt;MAX('Match Log'!$A$4:$A$1510),NA(),IFERROR(LOOKUP(2,1/(('Match Log'!$D$4:$D$1510=$Q$24)*('Match Log'!$A$4:$A$1510&lt;=$J387)),'Match Log'!$N$4:$N$1510),NA()))</f>
        <v>#N/A</v>
      </c>
      <c r="R387" t="e">
        <f>IF($J387&gt;MAX('Match Log'!$A$4:$A$1510),NA(),IFERROR(LOOKUP(2,1/(('Match Log'!$D$4:$D$1510=$R$24)*('Match Log'!$A$4:$A$1510&lt;=$J387)),'Match Log'!$N$4:$N$1510),NA()))</f>
        <v>#N/A</v>
      </c>
      <c r="S387" t="e">
        <f>IF($J387&gt;MAX('Match Log'!$A$4:$A$1510),NA(),IFERROR(LOOKUP(2,1/(('Match Log'!$D$4:$D$1510=$S$24)*('Match Log'!$A$4:$A$1510&lt;=$J387)),'Match Log'!$N$4:$N$1510),NA()))</f>
        <v>#N/A</v>
      </c>
      <c r="T387" t="e">
        <f>IF($J387&gt;MAX('Match Log'!$A$4:$A$1510),NA(),IFERROR(LOOKUP(2,1/(('Match Log'!$D$4:$D$1510=$T$24)*('Match Log'!$A$4:$A$1510&lt;=$J387)),'Match Log'!$N$4:$N$1510),NA()))</f>
        <v>#N/A</v>
      </c>
      <c r="U387" t="e">
        <f>IF($J387&gt;MAX('Match Log'!$A$4:$A$1510),NA(),IFERROR(LOOKUP(2,1/(('Match Log'!$D$4:$D$1510=$U$24)*('Match Log'!$A$4:$A$1510&lt;=$J387)),'Match Log'!$N$4:$N$1510),NA()))</f>
        <v>#N/A</v>
      </c>
      <c r="V387" t="e">
        <f>IF($J387&gt;MAX('Match Log'!$A$4:$A$1510),NA(),IFERROR(LOOKUP(2,1/(('Match Log'!$D$4:$D$1510=$V$24)*('Match Log'!$A$4:$A$1510&lt;=$J387)),'Match Log'!$N$4:$N$1510),NA()))</f>
        <v>#N/A</v>
      </c>
      <c r="W387" t="e">
        <f>IF($J387&gt;MAX('Match Log'!$A$4:$A$1510),NA(),IFERROR(LOOKUP(2,1/(('Match Log'!$D$4:$D$1510=$W$24)*('Match Log'!$A$4:$A$1510&lt;=$J387)),'Match Log'!$N$4:$N$1510),NA()))</f>
        <v>#N/A</v>
      </c>
      <c r="X387" t="e">
        <f>IF($J387&gt;MAX('Match Log'!$A$4:$A$1510),NA(),IFERROR(LOOKUP(2,1/(('Match Log'!$D$4:$D$1510=$X$24)*('Match Log'!$A$4:$A$1510&lt;=$J387)),'Match Log'!$N$4:$N$1510),NA()))</f>
        <v>#N/A</v>
      </c>
      <c r="Y387" t="str">
        <f t="shared" ca="1" si="34"/>
        <v/>
      </c>
    </row>
    <row r="388" spans="1:25" x14ac:dyDescent="0.2">
      <c r="A388">
        <v>364</v>
      </c>
      <c r="B388" t="str">
        <f>IFERROR(INDEX('Match Log'!$B$4:$B$1510,MATCH($A388,'Match Log'!$A$4:$A$1510,0)),"")</f>
        <v/>
      </c>
      <c r="C388" t="str">
        <f>IFERROR(INDEX('Match Log'!$C$4:$C$1510,MATCH($A388,'Match Log'!$A$4:$A$1510,0)),"")</f>
        <v/>
      </c>
      <c r="D388" t="str">
        <f t="array" ref="D388">IFERROR(_xlfn.TEXTJOIN(" + ",TRUE(),IF(('Match Log'!$A$4:$A$1510=$A388)*('Match Log'!$E$4:$E$1510="Win"),'Match Log'!$D$4:$D$1510,"")),IFERROR(LOOKUP(2,1/(('Match Log'!$A$4:$A$1510=$A388)*('Match Log'!$E$4:$E$1510="Win")),'Match Log'!$D$4:$D$1510),""))</f>
        <v/>
      </c>
      <c r="E388" t="str">
        <f>IFERROR(INDEX('Match Log'!$F$4:$F$1510,MATCH($A388,'Match Log'!$A$4:$A$1510,0)),"")</f>
        <v/>
      </c>
      <c r="F388">
        <f>IFERROR(SUMIFS('Match Log'!$I$4:$I$1510,'Match Log'!$A$4:$A$1510,$A388,'Match Log'!$E$4:$E$1510,"Win"),"")</f>
        <v>0</v>
      </c>
      <c r="G388" t="str">
        <f t="shared" si="32"/>
        <v/>
      </c>
      <c r="H388" t="str">
        <f t="array" ref="H388">IFERROR(IF(COUNTIFS('Match Log'!$A$4:$A$1510,$A388,'Match Log'!$E$4:$E$1510,"Win")&gt;1,_xlfn.TEXTJOIN(" + ",TRUE(),IF(('Match Log'!$A$4:$A$1510=$A388)*('Match Log'!$E$4:$E$1510="Loss"),'Match Log'!$D$4:$D$1510,"")),IF($E388=2,LOOKUP(2,1/(('Match Log'!$A$4:$A$1510=$A388)*('Match Log'!$E$4:$E$1510="Loss")),'Match Log'!$D$4:$D$1510),"the field")),"")</f>
        <v>the field</v>
      </c>
      <c r="I388" t="str">
        <f t="shared" si="33"/>
        <v/>
      </c>
      <c r="J388">
        <v>364</v>
      </c>
      <c r="K388" t="e">
        <f>IF($J388&gt;MAX('Match Log'!$A$4:$A$1510),NA(),IFERROR(LOOKUP(2,1/(('Match Log'!$D$4:$D$1510=$K$24)*('Match Log'!$A$4:$A$1510&lt;=$J388)),'Match Log'!$N$4:$N$1510),NA()))</f>
        <v>#N/A</v>
      </c>
      <c r="L388" t="e">
        <f>IF($J388&gt;MAX('Match Log'!$A$4:$A$1510),NA(),IFERROR(LOOKUP(2,1/(('Match Log'!$D$4:$D$1510=$L$24)*('Match Log'!$A$4:$A$1510&lt;=$J388)),'Match Log'!$N$4:$N$1510),NA()))</f>
        <v>#N/A</v>
      </c>
      <c r="M388" t="e">
        <f>IF($J388&gt;MAX('Match Log'!$A$4:$A$1510),NA(),IFERROR(LOOKUP(2,1/(('Match Log'!$D$4:$D$1510=$M$24)*('Match Log'!$A$4:$A$1510&lt;=$J388)),'Match Log'!$N$4:$N$1510),NA()))</f>
        <v>#N/A</v>
      </c>
      <c r="N388" t="e">
        <f>IF($J388&gt;MAX('Match Log'!$A$4:$A$1510),NA(),IFERROR(LOOKUP(2,1/(('Match Log'!$D$4:$D$1510=$N$24)*('Match Log'!$A$4:$A$1510&lt;=$J388)),'Match Log'!$N$4:$N$1510),NA()))</f>
        <v>#N/A</v>
      </c>
      <c r="O388" t="e">
        <f>IF($J388&gt;MAX('Match Log'!$A$4:$A$1510),NA(),IFERROR(LOOKUP(2,1/(('Match Log'!$D$4:$D$1510=$O$24)*('Match Log'!$A$4:$A$1510&lt;=$J388)),'Match Log'!$N$4:$N$1510),NA()))</f>
        <v>#N/A</v>
      </c>
      <c r="P388" t="e">
        <f>IF($J388&gt;MAX('Match Log'!$A$4:$A$1510),NA(),IFERROR(LOOKUP(2,1/(('Match Log'!$D$4:$D$1510=$P$24)*('Match Log'!$A$4:$A$1510&lt;=$J388)),'Match Log'!$N$4:$N$1510),NA()))</f>
        <v>#N/A</v>
      </c>
      <c r="Q388" t="e">
        <f>IF($J388&gt;MAX('Match Log'!$A$4:$A$1510),NA(),IFERROR(LOOKUP(2,1/(('Match Log'!$D$4:$D$1510=$Q$24)*('Match Log'!$A$4:$A$1510&lt;=$J388)),'Match Log'!$N$4:$N$1510),NA()))</f>
        <v>#N/A</v>
      </c>
      <c r="R388" t="e">
        <f>IF($J388&gt;MAX('Match Log'!$A$4:$A$1510),NA(),IFERROR(LOOKUP(2,1/(('Match Log'!$D$4:$D$1510=$R$24)*('Match Log'!$A$4:$A$1510&lt;=$J388)),'Match Log'!$N$4:$N$1510),NA()))</f>
        <v>#N/A</v>
      </c>
      <c r="S388" t="e">
        <f>IF($J388&gt;MAX('Match Log'!$A$4:$A$1510),NA(),IFERROR(LOOKUP(2,1/(('Match Log'!$D$4:$D$1510=$S$24)*('Match Log'!$A$4:$A$1510&lt;=$J388)),'Match Log'!$N$4:$N$1510),NA()))</f>
        <v>#N/A</v>
      </c>
      <c r="T388" t="e">
        <f>IF($J388&gt;MAX('Match Log'!$A$4:$A$1510),NA(),IFERROR(LOOKUP(2,1/(('Match Log'!$D$4:$D$1510=$T$24)*('Match Log'!$A$4:$A$1510&lt;=$J388)),'Match Log'!$N$4:$N$1510),NA()))</f>
        <v>#N/A</v>
      </c>
      <c r="U388" t="e">
        <f>IF($J388&gt;MAX('Match Log'!$A$4:$A$1510),NA(),IFERROR(LOOKUP(2,1/(('Match Log'!$D$4:$D$1510=$U$24)*('Match Log'!$A$4:$A$1510&lt;=$J388)),'Match Log'!$N$4:$N$1510),NA()))</f>
        <v>#N/A</v>
      </c>
      <c r="V388" t="e">
        <f>IF($J388&gt;MAX('Match Log'!$A$4:$A$1510),NA(),IFERROR(LOOKUP(2,1/(('Match Log'!$D$4:$D$1510=$V$24)*('Match Log'!$A$4:$A$1510&lt;=$J388)),'Match Log'!$N$4:$N$1510),NA()))</f>
        <v>#N/A</v>
      </c>
      <c r="W388" t="e">
        <f>IF($J388&gt;MAX('Match Log'!$A$4:$A$1510),NA(),IFERROR(LOOKUP(2,1/(('Match Log'!$D$4:$D$1510=$W$24)*('Match Log'!$A$4:$A$1510&lt;=$J388)),'Match Log'!$N$4:$N$1510),NA()))</f>
        <v>#N/A</v>
      </c>
      <c r="X388" t="e">
        <f>IF($J388&gt;MAX('Match Log'!$A$4:$A$1510),NA(),IFERROR(LOOKUP(2,1/(('Match Log'!$D$4:$D$1510=$X$24)*('Match Log'!$A$4:$A$1510&lt;=$J388)),'Match Log'!$N$4:$N$1510),NA()))</f>
        <v>#N/A</v>
      </c>
      <c r="Y388" t="str">
        <f t="shared" ca="1" si="34"/>
        <v/>
      </c>
    </row>
    <row r="389" spans="1:25" x14ac:dyDescent="0.2">
      <c r="A389">
        <v>365</v>
      </c>
      <c r="B389" t="str">
        <f>IFERROR(INDEX('Match Log'!$B$4:$B$1510,MATCH($A389,'Match Log'!$A$4:$A$1510,0)),"")</f>
        <v/>
      </c>
      <c r="C389" t="str">
        <f>IFERROR(INDEX('Match Log'!$C$4:$C$1510,MATCH($A389,'Match Log'!$A$4:$A$1510,0)),"")</f>
        <v/>
      </c>
      <c r="D389" t="str">
        <f t="array" ref="D389">IFERROR(_xlfn.TEXTJOIN(" + ",TRUE(),IF(('Match Log'!$A$4:$A$1510=$A389)*('Match Log'!$E$4:$E$1510="Win"),'Match Log'!$D$4:$D$1510,"")),IFERROR(LOOKUP(2,1/(('Match Log'!$A$4:$A$1510=$A389)*('Match Log'!$E$4:$E$1510="Win")),'Match Log'!$D$4:$D$1510),""))</f>
        <v/>
      </c>
      <c r="E389" t="str">
        <f>IFERROR(INDEX('Match Log'!$F$4:$F$1510,MATCH($A389,'Match Log'!$A$4:$A$1510,0)),"")</f>
        <v/>
      </c>
      <c r="F389">
        <f>IFERROR(SUMIFS('Match Log'!$I$4:$I$1510,'Match Log'!$A$4:$A$1510,$A389,'Match Log'!$E$4:$E$1510,"Win"),"")</f>
        <v>0</v>
      </c>
      <c r="G389" t="str">
        <f t="shared" si="32"/>
        <v/>
      </c>
      <c r="H389" t="str">
        <f t="array" ref="H389">IFERROR(IF(COUNTIFS('Match Log'!$A$4:$A$1510,$A389,'Match Log'!$E$4:$E$1510,"Win")&gt;1,_xlfn.TEXTJOIN(" + ",TRUE(),IF(('Match Log'!$A$4:$A$1510=$A389)*('Match Log'!$E$4:$E$1510="Loss"),'Match Log'!$D$4:$D$1510,"")),IF($E389=2,LOOKUP(2,1/(('Match Log'!$A$4:$A$1510=$A389)*('Match Log'!$E$4:$E$1510="Loss")),'Match Log'!$D$4:$D$1510),"the field")),"")</f>
        <v>the field</v>
      </c>
      <c r="I389" t="str">
        <f t="shared" si="33"/>
        <v/>
      </c>
      <c r="J389">
        <v>365</v>
      </c>
      <c r="K389" t="e">
        <f>IF($J389&gt;MAX('Match Log'!$A$4:$A$1510),NA(),IFERROR(LOOKUP(2,1/(('Match Log'!$D$4:$D$1510=$K$24)*('Match Log'!$A$4:$A$1510&lt;=$J389)),'Match Log'!$N$4:$N$1510),NA()))</f>
        <v>#N/A</v>
      </c>
      <c r="L389" t="e">
        <f>IF($J389&gt;MAX('Match Log'!$A$4:$A$1510),NA(),IFERROR(LOOKUP(2,1/(('Match Log'!$D$4:$D$1510=$L$24)*('Match Log'!$A$4:$A$1510&lt;=$J389)),'Match Log'!$N$4:$N$1510),NA()))</f>
        <v>#N/A</v>
      </c>
      <c r="M389" t="e">
        <f>IF($J389&gt;MAX('Match Log'!$A$4:$A$1510),NA(),IFERROR(LOOKUP(2,1/(('Match Log'!$D$4:$D$1510=$M$24)*('Match Log'!$A$4:$A$1510&lt;=$J389)),'Match Log'!$N$4:$N$1510),NA()))</f>
        <v>#N/A</v>
      </c>
      <c r="N389" t="e">
        <f>IF($J389&gt;MAX('Match Log'!$A$4:$A$1510),NA(),IFERROR(LOOKUP(2,1/(('Match Log'!$D$4:$D$1510=$N$24)*('Match Log'!$A$4:$A$1510&lt;=$J389)),'Match Log'!$N$4:$N$1510),NA()))</f>
        <v>#N/A</v>
      </c>
      <c r="O389" t="e">
        <f>IF($J389&gt;MAX('Match Log'!$A$4:$A$1510),NA(),IFERROR(LOOKUP(2,1/(('Match Log'!$D$4:$D$1510=$O$24)*('Match Log'!$A$4:$A$1510&lt;=$J389)),'Match Log'!$N$4:$N$1510),NA()))</f>
        <v>#N/A</v>
      </c>
      <c r="P389" t="e">
        <f>IF($J389&gt;MAX('Match Log'!$A$4:$A$1510),NA(),IFERROR(LOOKUP(2,1/(('Match Log'!$D$4:$D$1510=$P$24)*('Match Log'!$A$4:$A$1510&lt;=$J389)),'Match Log'!$N$4:$N$1510),NA()))</f>
        <v>#N/A</v>
      </c>
      <c r="Q389" t="e">
        <f>IF($J389&gt;MAX('Match Log'!$A$4:$A$1510),NA(),IFERROR(LOOKUP(2,1/(('Match Log'!$D$4:$D$1510=$Q$24)*('Match Log'!$A$4:$A$1510&lt;=$J389)),'Match Log'!$N$4:$N$1510),NA()))</f>
        <v>#N/A</v>
      </c>
      <c r="R389" t="e">
        <f>IF($J389&gt;MAX('Match Log'!$A$4:$A$1510),NA(),IFERROR(LOOKUP(2,1/(('Match Log'!$D$4:$D$1510=$R$24)*('Match Log'!$A$4:$A$1510&lt;=$J389)),'Match Log'!$N$4:$N$1510),NA()))</f>
        <v>#N/A</v>
      </c>
      <c r="S389" t="e">
        <f>IF($J389&gt;MAX('Match Log'!$A$4:$A$1510),NA(),IFERROR(LOOKUP(2,1/(('Match Log'!$D$4:$D$1510=$S$24)*('Match Log'!$A$4:$A$1510&lt;=$J389)),'Match Log'!$N$4:$N$1510),NA()))</f>
        <v>#N/A</v>
      </c>
      <c r="T389" t="e">
        <f>IF($J389&gt;MAX('Match Log'!$A$4:$A$1510),NA(),IFERROR(LOOKUP(2,1/(('Match Log'!$D$4:$D$1510=$T$24)*('Match Log'!$A$4:$A$1510&lt;=$J389)),'Match Log'!$N$4:$N$1510),NA()))</f>
        <v>#N/A</v>
      </c>
      <c r="U389" t="e">
        <f>IF($J389&gt;MAX('Match Log'!$A$4:$A$1510),NA(),IFERROR(LOOKUP(2,1/(('Match Log'!$D$4:$D$1510=$U$24)*('Match Log'!$A$4:$A$1510&lt;=$J389)),'Match Log'!$N$4:$N$1510),NA()))</f>
        <v>#N/A</v>
      </c>
      <c r="V389" t="e">
        <f>IF($J389&gt;MAX('Match Log'!$A$4:$A$1510),NA(),IFERROR(LOOKUP(2,1/(('Match Log'!$D$4:$D$1510=$V$24)*('Match Log'!$A$4:$A$1510&lt;=$J389)),'Match Log'!$N$4:$N$1510),NA()))</f>
        <v>#N/A</v>
      </c>
      <c r="W389" t="e">
        <f>IF($J389&gt;MAX('Match Log'!$A$4:$A$1510),NA(),IFERROR(LOOKUP(2,1/(('Match Log'!$D$4:$D$1510=$W$24)*('Match Log'!$A$4:$A$1510&lt;=$J389)),'Match Log'!$N$4:$N$1510),NA()))</f>
        <v>#N/A</v>
      </c>
      <c r="X389" t="e">
        <f>IF($J389&gt;MAX('Match Log'!$A$4:$A$1510),NA(),IFERROR(LOOKUP(2,1/(('Match Log'!$D$4:$D$1510=$X$24)*('Match Log'!$A$4:$A$1510&lt;=$J389)),'Match Log'!$N$4:$N$1510),NA()))</f>
        <v>#N/A</v>
      </c>
      <c r="Y389" t="str">
        <f t="shared" ca="1" si="34"/>
        <v/>
      </c>
    </row>
    <row r="390" spans="1:25" x14ac:dyDescent="0.2">
      <c r="A390">
        <v>366</v>
      </c>
      <c r="B390" t="str">
        <f>IFERROR(INDEX('Match Log'!$B$4:$B$1510,MATCH($A390,'Match Log'!$A$4:$A$1510,0)),"")</f>
        <v/>
      </c>
      <c r="C390" t="str">
        <f>IFERROR(INDEX('Match Log'!$C$4:$C$1510,MATCH($A390,'Match Log'!$A$4:$A$1510,0)),"")</f>
        <v/>
      </c>
      <c r="D390" t="str">
        <f t="array" ref="D390">IFERROR(_xlfn.TEXTJOIN(" + ",TRUE(),IF(('Match Log'!$A$4:$A$1510=$A390)*('Match Log'!$E$4:$E$1510="Win"),'Match Log'!$D$4:$D$1510,"")),IFERROR(LOOKUP(2,1/(('Match Log'!$A$4:$A$1510=$A390)*('Match Log'!$E$4:$E$1510="Win")),'Match Log'!$D$4:$D$1510),""))</f>
        <v/>
      </c>
      <c r="E390" t="str">
        <f>IFERROR(INDEX('Match Log'!$F$4:$F$1510,MATCH($A390,'Match Log'!$A$4:$A$1510,0)),"")</f>
        <v/>
      </c>
      <c r="F390">
        <f>IFERROR(SUMIFS('Match Log'!$I$4:$I$1510,'Match Log'!$A$4:$A$1510,$A390,'Match Log'!$E$4:$E$1510,"Win"),"")</f>
        <v>0</v>
      </c>
      <c r="G390" t="str">
        <f t="shared" si="32"/>
        <v/>
      </c>
      <c r="H390" t="str">
        <f t="array" ref="H390">IFERROR(IF(COUNTIFS('Match Log'!$A$4:$A$1510,$A390,'Match Log'!$E$4:$E$1510,"Win")&gt;1,_xlfn.TEXTJOIN(" + ",TRUE(),IF(('Match Log'!$A$4:$A$1510=$A390)*('Match Log'!$E$4:$E$1510="Loss"),'Match Log'!$D$4:$D$1510,"")),IF($E390=2,LOOKUP(2,1/(('Match Log'!$A$4:$A$1510=$A390)*('Match Log'!$E$4:$E$1510="Loss")),'Match Log'!$D$4:$D$1510),"the field")),"")</f>
        <v>the field</v>
      </c>
      <c r="I390" t="str">
        <f t="shared" si="33"/>
        <v/>
      </c>
      <c r="J390">
        <v>366</v>
      </c>
      <c r="K390" t="e">
        <f>IF($J390&gt;MAX('Match Log'!$A$4:$A$1510),NA(),IFERROR(LOOKUP(2,1/(('Match Log'!$D$4:$D$1510=$K$24)*('Match Log'!$A$4:$A$1510&lt;=$J390)),'Match Log'!$N$4:$N$1510),NA()))</f>
        <v>#N/A</v>
      </c>
      <c r="L390" t="e">
        <f>IF($J390&gt;MAX('Match Log'!$A$4:$A$1510),NA(),IFERROR(LOOKUP(2,1/(('Match Log'!$D$4:$D$1510=$L$24)*('Match Log'!$A$4:$A$1510&lt;=$J390)),'Match Log'!$N$4:$N$1510),NA()))</f>
        <v>#N/A</v>
      </c>
      <c r="M390" t="e">
        <f>IF($J390&gt;MAX('Match Log'!$A$4:$A$1510),NA(),IFERROR(LOOKUP(2,1/(('Match Log'!$D$4:$D$1510=$M$24)*('Match Log'!$A$4:$A$1510&lt;=$J390)),'Match Log'!$N$4:$N$1510),NA()))</f>
        <v>#N/A</v>
      </c>
      <c r="N390" t="e">
        <f>IF($J390&gt;MAX('Match Log'!$A$4:$A$1510),NA(),IFERROR(LOOKUP(2,1/(('Match Log'!$D$4:$D$1510=$N$24)*('Match Log'!$A$4:$A$1510&lt;=$J390)),'Match Log'!$N$4:$N$1510),NA()))</f>
        <v>#N/A</v>
      </c>
      <c r="O390" t="e">
        <f>IF($J390&gt;MAX('Match Log'!$A$4:$A$1510),NA(),IFERROR(LOOKUP(2,1/(('Match Log'!$D$4:$D$1510=$O$24)*('Match Log'!$A$4:$A$1510&lt;=$J390)),'Match Log'!$N$4:$N$1510),NA()))</f>
        <v>#N/A</v>
      </c>
      <c r="P390" t="e">
        <f>IF($J390&gt;MAX('Match Log'!$A$4:$A$1510),NA(),IFERROR(LOOKUP(2,1/(('Match Log'!$D$4:$D$1510=$P$24)*('Match Log'!$A$4:$A$1510&lt;=$J390)),'Match Log'!$N$4:$N$1510),NA()))</f>
        <v>#N/A</v>
      </c>
      <c r="Q390" t="e">
        <f>IF($J390&gt;MAX('Match Log'!$A$4:$A$1510),NA(),IFERROR(LOOKUP(2,1/(('Match Log'!$D$4:$D$1510=$Q$24)*('Match Log'!$A$4:$A$1510&lt;=$J390)),'Match Log'!$N$4:$N$1510),NA()))</f>
        <v>#N/A</v>
      </c>
      <c r="R390" t="e">
        <f>IF($J390&gt;MAX('Match Log'!$A$4:$A$1510),NA(),IFERROR(LOOKUP(2,1/(('Match Log'!$D$4:$D$1510=$R$24)*('Match Log'!$A$4:$A$1510&lt;=$J390)),'Match Log'!$N$4:$N$1510),NA()))</f>
        <v>#N/A</v>
      </c>
      <c r="S390" t="e">
        <f>IF($J390&gt;MAX('Match Log'!$A$4:$A$1510),NA(),IFERROR(LOOKUP(2,1/(('Match Log'!$D$4:$D$1510=$S$24)*('Match Log'!$A$4:$A$1510&lt;=$J390)),'Match Log'!$N$4:$N$1510),NA()))</f>
        <v>#N/A</v>
      </c>
      <c r="T390" t="e">
        <f>IF($J390&gt;MAX('Match Log'!$A$4:$A$1510),NA(),IFERROR(LOOKUP(2,1/(('Match Log'!$D$4:$D$1510=$T$24)*('Match Log'!$A$4:$A$1510&lt;=$J390)),'Match Log'!$N$4:$N$1510),NA()))</f>
        <v>#N/A</v>
      </c>
      <c r="U390" t="e">
        <f>IF($J390&gt;MAX('Match Log'!$A$4:$A$1510),NA(),IFERROR(LOOKUP(2,1/(('Match Log'!$D$4:$D$1510=$U$24)*('Match Log'!$A$4:$A$1510&lt;=$J390)),'Match Log'!$N$4:$N$1510),NA()))</f>
        <v>#N/A</v>
      </c>
      <c r="V390" t="e">
        <f>IF($J390&gt;MAX('Match Log'!$A$4:$A$1510),NA(),IFERROR(LOOKUP(2,1/(('Match Log'!$D$4:$D$1510=$V$24)*('Match Log'!$A$4:$A$1510&lt;=$J390)),'Match Log'!$N$4:$N$1510),NA()))</f>
        <v>#N/A</v>
      </c>
      <c r="W390" t="e">
        <f>IF($J390&gt;MAX('Match Log'!$A$4:$A$1510),NA(),IFERROR(LOOKUP(2,1/(('Match Log'!$D$4:$D$1510=$W$24)*('Match Log'!$A$4:$A$1510&lt;=$J390)),'Match Log'!$N$4:$N$1510),NA()))</f>
        <v>#N/A</v>
      </c>
      <c r="X390" t="e">
        <f>IF($J390&gt;MAX('Match Log'!$A$4:$A$1510),NA(),IFERROR(LOOKUP(2,1/(('Match Log'!$D$4:$D$1510=$X$24)*('Match Log'!$A$4:$A$1510&lt;=$J390)),'Match Log'!$N$4:$N$1510),NA()))</f>
        <v>#N/A</v>
      </c>
      <c r="Y390" t="str">
        <f t="shared" ca="1" si="34"/>
        <v/>
      </c>
    </row>
    <row r="391" spans="1:25" x14ac:dyDescent="0.2">
      <c r="A391">
        <v>367</v>
      </c>
      <c r="B391" t="str">
        <f>IFERROR(INDEX('Match Log'!$B$4:$B$1510,MATCH($A391,'Match Log'!$A$4:$A$1510,0)),"")</f>
        <v/>
      </c>
      <c r="C391" t="str">
        <f>IFERROR(INDEX('Match Log'!$C$4:$C$1510,MATCH($A391,'Match Log'!$A$4:$A$1510,0)),"")</f>
        <v/>
      </c>
      <c r="D391" t="str">
        <f t="array" ref="D391">IFERROR(_xlfn.TEXTJOIN(" + ",TRUE(),IF(('Match Log'!$A$4:$A$1510=$A391)*('Match Log'!$E$4:$E$1510="Win"),'Match Log'!$D$4:$D$1510,"")),IFERROR(LOOKUP(2,1/(('Match Log'!$A$4:$A$1510=$A391)*('Match Log'!$E$4:$E$1510="Win")),'Match Log'!$D$4:$D$1510),""))</f>
        <v/>
      </c>
      <c r="E391" t="str">
        <f>IFERROR(INDEX('Match Log'!$F$4:$F$1510,MATCH($A391,'Match Log'!$A$4:$A$1510,0)),"")</f>
        <v/>
      </c>
      <c r="F391">
        <f>IFERROR(SUMIFS('Match Log'!$I$4:$I$1510,'Match Log'!$A$4:$A$1510,$A391,'Match Log'!$E$4:$E$1510,"Win"),"")</f>
        <v>0</v>
      </c>
      <c r="G391" t="str">
        <f t="shared" si="32"/>
        <v/>
      </c>
      <c r="H391" t="str">
        <f t="array" ref="H391">IFERROR(IF(COUNTIFS('Match Log'!$A$4:$A$1510,$A391,'Match Log'!$E$4:$E$1510,"Win")&gt;1,_xlfn.TEXTJOIN(" + ",TRUE(),IF(('Match Log'!$A$4:$A$1510=$A391)*('Match Log'!$E$4:$E$1510="Loss"),'Match Log'!$D$4:$D$1510,"")),IF($E391=2,LOOKUP(2,1/(('Match Log'!$A$4:$A$1510=$A391)*('Match Log'!$E$4:$E$1510="Loss")),'Match Log'!$D$4:$D$1510),"the field")),"")</f>
        <v>the field</v>
      </c>
      <c r="I391" t="str">
        <f t="shared" si="33"/>
        <v/>
      </c>
      <c r="J391">
        <v>367</v>
      </c>
      <c r="K391" t="e">
        <f>IF($J391&gt;MAX('Match Log'!$A$4:$A$1510),NA(),IFERROR(LOOKUP(2,1/(('Match Log'!$D$4:$D$1510=$K$24)*('Match Log'!$A$4:$A$1510&lt;=$J391)),'Match Log'!$N$4:$N$1510),NA()))</f>
        <v>#N/A</v>
      </c>
      <c r="L391" t="e">
        <f>IF($J391&gt;MAX('Match Log'!$A$4:$A$1510),NA(),IFERROR(LOOKUP(2,1/(('Match Log'!$D$4:$D$1510=$L$24)*('Match Log'!$A$4:$A$1510&lt;=$J391)),'Match Log'!$N$4:$N$1510),NA()))</f>
        <v>#N/A</v>
      </c>
      <c r="M391" t="e">
        <f>IF($J391&gt;MAX('Match Log'!$A$4:$A$1510),NA(),IFERROR(LOOKUP(2,1/(('Match Log'!$D$4:$D$1510=$M$24)*('Match Log'!$A$4:$A$1510&lt;=$J391)),'Match Log'!$N$4:$N$1510),NA()))</f>
        <v>#N/A</v>
      </c>
      <c r="N391" t="e">
        <f>IF($J391&gt;MAX('Match Log'!$A$4:$A$1510),NA(),IFERROR(LOOKUP(2,1/(('Match Log'!$D$4:$D$1510=$N$24)*('Match Log'!$A$4:$A$1510&lt;=$J391)),'Match Log'!$N$4:$N$1510),NA()))</f>
        <v>#N/A</v>
      </c>
      <c r="O391" t="e">
        <f>IF($J391&gt;MAX('Match Log'!$A$4:$A$1510),NA(),IFERROR(LOOKUP(2,1/(('Match Log'!$D$4:$D$1510=$O$24)*('Match Log'!$A$4:$A$1510&lt;=$J391)),'Match Log'!$N$4:$N$1510),NA()))</f>
        <v>#N/A</v>
      </c>
      <c r="P391" t="e">
        <f>IF($J391&gt;MAX('Match Log'!$A$4:$A$1510),NA(),IFERROR(LOOKUP(2,1/(('Match Log'!$D$4:$D$1510=$P$24)*('Match Log'!$A$4:$A$1510&lt;=$J391)),'Match Log'!$N$4:$N$1510),NA()))</f>
        <v>#N/A</v>
      </c>
      <c r="Q391" t="e">
        <f>IF($J391&gt;MAX('Match Log'!$A$4:$A$1510),NA(),IFERROR(LOOKUP(2,1/(('Match Log'!$D$4:$D$1510=$Q$24)*('Match Log'!$A$4:$A$1510&lt;=$J391)),'Match Log'!$N$4:$N$1510),NA()))</f>
        <v>#N/A</v>
      </c>
      <c r="R391" t="e">
        <f>IF($J391&gt;MAX('Match Log'!$A$4:$A$1510),NA(),IFERROR(LOOKUP(2,1/(('Match Log'!$D$4:$D$1510=$R$24)*('Match Log'!$A$4:$A$1510&lt;=$J391)),'Match Log'!$N$4:$N$1510),NA()))</f>
        <v>#N/A</v>
      </c>
      <c r="S391" t="e">
        <f>IF($J391&gt;MAX('Match Log'!$A$4:$A$1510),NA(),IFERROR(LOOKUP(2,1/(('Match Log'!$D$4:$D$1510=$S$24)*('Match Log'!$A$4:$A$1510&lt;=$J391)),'Match Log'!$N$4:$N$1510),NA()))</f>
        <v>#N/A</v>
      </c>
      <c r="T391" t="e">
        <f>IF($J391&gt;MAX('Match Log'!$A$4:$A$1510),NA(),IFERROR(LOOKUP(2,1/(('Match Log'!$D$4:$D$1510=$T$24)*('Match Log'!$A$4:$A$1510&lt;=$J391)),'Match Log'!$N$4:$N$1510),NA()))</f>
        <v>#N/A</v>
      </c>
      <c r="U391" t="e">
        <f>IF($J391&gt;MAX('Match Log'!$A$4:$A$1510),NA(),IFERROR(LOOKUP(2,1/(('Match Log'!$D$4:$D$1510=$U$24)*('Match Log'!$A$4:$A$1510&lt;=$J391)),'Match Log'!$N$4:$N$1510),NA()))</f>
        <v>#N/A</v>
      </c>
      <c r="V391" t="e">
        <f>IF($J391&gt;MAX('Match Log'!$A$4:$A$1510),NA(),IFERROR(LOOKUP(2,1/(('Match Log'!$D$4:$D$1510=$V$24)*('Match Log'!$A$4:$A$1510&lt;=$J391)),'Match Log'!$N$4:$N$1510),NA()))</f>
        <v>#N/A</v>
      </c>
      <c r="W391" t="e">
        <f>IF($J391&gt;MAX('Match Log'!$A$4:$A$1510),NA(),IFERROR(LOOKUP(2,1/(('Match Log'!$D$4:$D$1510=$W$24)*('Match Log'!$A$4:$A$1510&lt;=$J391)),'Match Log'!$N$4:$N$1510),NA()))</f>
        <v>#N/A</v>
      </c>
      <c r="X391" t="e">
        <f>IF($J391&gt;MAX('Match Log'!$A$4:$A$1510),NA(),IFERROR(LOOKUP(2,1/(('Match Log'!$D$4:$D$1510=$X$24)*('Match Log'!$A$4:$A$1510&lt;=$J391)),'Match Log'!$N$4:$N$1510),NA()))</f>
        <v>#N/A</v>
      </c>
      <c r="Y391" t="str">
        <f t="shared" ca="1" si="34"/>
        <v/>
      </c>
    </row>
    <row r="392" spans="1:25" x14ac:dyDescent="0.2">
      <c r="A392">
        <v>368</v>
      </c>
      <c r="B392" t="str">
        <f>IFERROR(INDEX('Match Log'!$B$4:$B$1510,MATCH($A392,'Match Log'!$A$4:$A$1510,0)),"")</f>
        <v/>
      </c>
      <c r="C392" t="str">
        <f>IFERROR(INDEX('Match Log'!$C$4:$C$1510,MATCH($A392,'Match Log'!$A$4:$A$1510,0)),"")</f>
        <v/>
      </c>
      <c r="D392" t="str">
        <f t="array" ref="D392">IFERROR(_xlfn.TEXTJOIN(" + ",TRUE(),IF(('Match Log'!$A$4:$A$1510=$A392)*('Match Log'!$E$4:$E$1510="Win"),'Match Log'!$D$4:$D$1510,"")),IFERROR(LOOKUP(2,1/(('Match Log'!$A$4:$A$1510=$A392)*('Match Log'!$E$4:$E$1510="Win")),'Match Log'!$D$4:$D$1510),""))</f>
        <v/>
      </c>
      <c r="E392" t="str">
        <f>IFERROR(INDEX('Match Log'!$F$4:$F$1510,MATCH($A392,'Match Log'!$A$4:$A$1510,0)),"")</f>
        <v/>
      </c>
      <c r="F392">
        <f>IFERROR(SUMIFS('Match Log'!$I$4:$I$1510,'Match Log'!$A$4:$A$1510,$A392,'Match Log'!$E$4:$E$1510,"Win"),"")</f>
        <v>0</v>
      </c>
      <c r="G392" t="str">
        <f t="shared" si="32"/>
        <v/>
      </c>
      <c r="H392" t="str">
        <f t="array" ref="H392">IFERROR(IF(COUNTIFS('Match Log'!$A$4:$A$1510,$A392,'Match Log'!$E$4:$E$1510,"Win")&gt;1,_xlfn.TEXTJOIN(" + ",TRUE(),IF(('Match Log'!$A$4:$A$1510=$A392)*('Match Log'!$E$4:$E$1510="Loss"),'Match Log'!$D$4:$D$1510,"")),IF($E392=2,LOOKUP(2,1/(('Match Log'!$A$4:$A$1510=$A392)*('Match Log'!$E$4:$E$1510="Loss")),'Match Log'!$D$4:$D$1510),"the field")),"")</f>
        <v>the field</v>
      </c>
      <c r="I392" t="str">
        <f t="shared" si="33"/>
        <v/>
      </c>
      <c r="J392">
        <v>368</v>
      </c>
      <c r="K392" t="e">
        <f>IF($J392&gt;MAX('Match Log'!$A$4:$A$1510),NA(),IFERROR(LOOKUP(2,1/(('Match Log'!$D$4:$D$1510=$K$24)*('Match Log'!$A$4:$A$1510&lt;=$J392)),'Match Log'!$N$4:$N$1510),NA()))</f>
        <v>#N/A</v>
      </c>
      <c r="L392" t="e">
        <f>IF($J392&gt;MAX('Match Log'!$A$4:$A$1510),NA(),IFERROR(LOOKUP(2,1/(('Match Log'!$D$4:$D$1510=$L$24)*('Match Log'!$A$4:$A$1510&lt;=$J392)),'Match Log'!$N$4:$N$1510),NA()))</f>
        <v>#N/A</v>
      </c>
      <c r="M392" t="e">
        <f>IF($J392&gt;MAX('Match Log'!$A$4:$A$1510),NA(),IFERROR(LOOKUP(2,1/(('Match Log'!$D$4:$D$1510=$M$24)*('Match Log'!$A$4:$A$1510&lt;=$J392)),'Match Log'!$N$4:$N$1510),NA()))</f>
        <v>#N/A</v>
      </c>
      <c r="N392" t="e">
        <f>IF($J392&gt;MAX('Match Log'!$A$4:$A$1510),NA(),IFERROR(LOOKUP(2,1/(('Match Log'!$D$4:$D$1510=$N$24)*('Match Log'!$A$4:$A$1510&lt;=$J392)),'Match Log'!$N$4:$N$1510),NA()))</f>
        <v>#N/A</v>
      </c>
      <c r="O392" t="e">
        <f>IF($J392&gt;MAX('Match Log'!$A$4:$A$1510),NA(),IFERROR(LOOKUP(2,1/(('Match Log'!$D$4:$D$1510=$O$24)*('Match Log'!$A$4:$A$1510&lt;=$J392)),'Match Log'!$N$4:$N$1510),NA()))</f>
        <v>#N/A</v>
      </c>
      <c r="P392" t="e">
        <f>IF($J392&gt;MAX('Match Log'!$A$4:$A$1510),NA(),IFERROR(LOOKUP(2,1/(('Match Log'!$D$4:$D$1510=$P$24)*('Match Log'!$A$4:$A$1510&lt;=$J392)),'Match Log'!$N$4:$N$1510),NA()))</f>
        <v>#N/A</v>
      </c>
      <c r="Q392" t="e">
        <f>IF($J392&gt;MAX('Match Log'!$A$4:$A$1510),NA(),IFERROR(LOOKUP(2,1/(('Match Log'!$D$4:$D$1510=$Q$24)*('Match Log'!$A$4:$A$1510&lt;=$J392)),'Match Log'!$N$4:$N$1510),NA()))</f>
        <v>#N/A</v>
      </c>
      <c r="R392" t="e">
        <f>IF($J392&gt;MAX('Match Log'!$A$4:$A$1510),NA(),IFERROR(LOOKUP(2,1/(('Match Log'!$D$4:$D$1510=$R$24)*('Match Log'!$A$4:$A$1510&lt;=$J392)),'Match Log'!$N$4:$N$1510),NA()))</f>
        <v>#N/A</v>
      </c>
      <c r="S392" t="e">
        <f>IF($J392&gt;MAX('Match Log'!$A$4:$A$1510),NA(),IFERROR(LOOKUP(2,1/(('Match Log'!$D$4:$D$1510=$S$24)*('Match Log'!$A$4:$A$1510&lt;=$J392)),'Match Log'!$N$4:$N$1510),NA()))</f>
        <v>#N/A</v>
      </c>
      <c r="T392" t="e">
        <f>IF($J392&gt;MAX('Match Log'!$A$4:$A$1510),NA(),IFERROR(LOOKUP(2,1/(('Match Log'!$D$4:$D$1510=$T$24)*('Match Log'!$A$4:$A$1510&lt;=$J392)),'Match Log'!$N$4:$N$1510),NA()))</f>
        <v>#N/A</v>
      </c>
      <c r="U392" t="e">
        <f>IF($J392&gt;MAX('Match Log'!$A$4:$A$1510),NA(),IFERROR(LOOKUP(2,1/(('Match Log'!$D$4:$D$1510=$U$24)*('Match Log'!$A$4:$A$1510&lt;=$J392)),'Match Log'!$N$4:$N$1510),NA()))</f>
        <v>#N/A</v>
      </c>
      <c r="V392" t="e">
        <f>IF($J392&gt;MAX('Match Log'!$A$4:$A$1510),NA(),IFERROR(LOOKUP(2,1/(('Match Log'!$D$4:$D$1510=$V$24)*('Match Log'!$A$4:$A$1510&lt;=$J392)),'Match Log'!$N$4:$N$1510),NA()))</f>
        <v>#N/A</v>
      </c>
      <c r="W392" t="e">
        <f>IF($J392&gt;MAX('Match Log'!$A$4:$A$1510),NA(),IFERROR(LOOKUP(2,1/(('Match Log'!$D$4:$D$1510=$W$24)*('Match Log'!$A$4:$A$1510&lt;=$J392)),'Match Log'!$N$4:$N$1510),NA()))</f>
        <v>#N/A</v>
      </c>
      <c r="X392" t="e">
        <f>IF($J392&gt;MAX('Match Log'!$A$4:$A$1510),NA(),IFERROR(LOOKUP(2,1/(('Match Log'!$D$4:$D$1510=$X$24)*('Match Log'!$A$4:$A$1510&lt;=$J392)),'Match Log'!$N$4:$N$1510),NA()))</f>
        <v>#N/A</v>
      </c>
      <c r="Y392" t="str">
        <f t="shared" ca="1" si="34"/>
        <v/>
      </c>
    </row>
    <row r="393" spans="1:25" x14ac:dyDescent="0.2">
      <c r="A393">
        <v>369</v>
      </c>
      <c r="B393" t="str">
        <f>IFERROR(INDEX('Match Log'!$B$4:$B$1510,MATCH($A393,'Match Log'!$A$4:$A$1510,0)),"")</f>
        <v/>
      </c>
      <c r="C393" t="str">
        <f>IFERROR(INDEX('Match Log'!$C$4:$C$1510,MATCH($A393,'Match Log'!$A$4:$A$1510,0)),"")</f>
        <v/>
      </c>
      <c r="D393" t="str">
        <f t="array" ref="D393">IFERROR(_xlfn.TEXTJOIN(" + ",TRUE(),IF(('Match Log'!$A$4:$A$1510=$A393)*('Match Log'!$E$4:$E$1510="Win"),'Match Log'!$D$4:$D$1510,"")),IFERROR(LOOKUP(2,1/(('Match Log'!$A$4:$A$1510=$A393)*('Match Log'!$E$4:$E$1510="Win")),'Match Log'!$D$4:$D$1510),""))</f>
        <v/>
      </c>
      <c r="E393" t="str">
        <f>IFERROR(INDEX('Match Log'!$F$4:$F$1510,MATCH($A393,'Match Log'!$A$4:$A$1510,0)),"")</f>
        <v/>
      </c>
      <c r="F393">
        <f>IFERROR(SUMIFS('Match Log'!$I$4:$I$1510,'Match Log'!$A$4:$A$1510,$A393,'Match Log'!$E$4:$E$1510,"Win"),"")</f>
        <v>0</v>
      </c>
      <c r="G393" t="str">
        <f t="shared" si="32"/>
        <v/>
      </c>
      <c r="H393" t="str">
        <f t="array" ref="H393">IFERROR(IF(COUNTIFS('Match Log'!$A$4:$A$1510,$A393,'Match Log'!$E$4:$E$1510,"Win")&gt;1,_xlfn.TEXTJOIN(" + ",TRUE(),IF(('Match Log'!$A$4:$A$1510=$A393)*('Match Log'!$E$4:$E$1510="Loss"),'Match Log'!$D$4:$D$1510,"")),IF($E393=2,LOOKUP(2,1/(('Match Log'!$A$4:$A$1510=$A393)*('Match Log'!$E$4:$E$1510="Loss")),'Match Log'!$D$4:$D$1510),"the field")),"")</f>
        <v>the field</v>
      </c>
      <c r="I393" t="str">
        <f t="shared" si="33"/>
        <v/>
      </c>
      <c r="J393">
        <v>369</v>
      </c>
      <c r="K393" t="e">
        <f>IF($J393&gt;MAX('Match Log'!$A$4:$A$1510),NA(),IFERROR(LOOKUP(2,1/(('Match Log'!$D$4:$D$1510=$K$24)*('Match Log'!$A$4:$A$1510&lt;=$J393)),'Match Log'!$N$4:$N$1510),NA()))</f>
        <v>#N/A</v>
      </c>
      <c r="L393" t="e">
        <f>IF($J393&gt;MAX('Match Log'!$A$4:$A$1510),NA(),IFERROR(LOOKUP(2,1/(('Match Log'!$D$4:$D$1510=$L$24)*('Match Log'!$A$4:$A$1510&lt;=$J393)),'Match Log'!$N$4:$N$1510),NA()))</f>
        <v>#N/A</v>
      </c>
      <c r="M393" t="e">
        <f>IF($J393&gt;MAX('Match Log'!$A$4:$A$1510),NA(),IFERROR(LOOKUP(2,1/(('Match Log'!$D$4:$D$1510=$M$24)*('Match Log'!$A$4:$A$1510&lt;=$J393)),'Match Log'!$N$4:$N$1510),NA()))</f>
        <v>#N/A</v>
      </c>
      <c r="N393" t="e">
        <f>IF($J393&gt;MAX('Match Log'!$A$4:$A$1510),NA(),IFERROR(LOOKUP(2,1/(('Match Log'!$D$4:$D$1510=$N$24)*('Match Log'!$A$4:$A$1510&lt;=$J393)),'Match Log'!$N$4:$N$1510),NA()))</f>
        <v>#N/A</v>
      </c>
      <c r="O393" t="e">
        <f>IF($J393&gt;MAX('Match Log'!$A$4:$A$1510),NA(),IFERROR(LOOKUP(2,1/(('Match Log'!$D$4:$D$1510=$O$24)*('Match Log'!$A$4:$A$1510&lt;=$J393)),'Match Log'!$N$4:$N$1510),NA()))</f>
        <v>#N/A</v>
      </c>
      <c r="P393" t="e">
        <f>IF($J393&gt;MAX('Match Log'!$A$4:$A$1510),NA(),IFERROR(LOOKUP(2,1/(('Match Log'!$D$4:$D$1510=$P$24)*('Match Log'!$A$4:$A$1510&lt;=$J393)),'Match Log'!$N$4:$N$1510),NA()))</f>
        <v>#N/A</v>
      </c>
      <c r="Q393" t="e">
        <f>IF($J393&gt;MAX('Match Log'!$A$4:$A$1510),NA(),IFERROR(LOOKUP(2,1/(('Match Log'!$D$4:$D$1510=$Q$24)*('Match Log'!$A$4:$A$1510&lt;=$J393)),'Match Log'!$N$4:$N$1510),NA()))</f>
        <v>#N/A</v>
      </c>
      <c r="R393" t="e">
        <f>IF($J393&gt;MAX('Match Log'!$A$4:$A$1510),NA(),IFERROR(LOOKUP(2,1/(('Match Log'!$D$4:$D$1510=$R$24)*('Match Log'!$A$4:$A$1510&lt;=$J393)),'Match Log'!$N$4:$N$1510),NA()))</f>
        <v>#N/A</v>
      </c>
      <c r="S393" t="e">
        <f>IF($J393&gt;MAX('Match Log'!$A$4:$A$1510),NA(),IFERROR(LOOKUP(2,1/(('Match Log'!$D$4:$D$1510=$S$24)*('Match Log'!$A$4:$A$1510&lt;=$J393)),'Match Log'!$N$4:$N$1510),NA()))</f>
        <v>#N/A</v>
      </c>
      <c r="T393" t="e">
        <f>IF($J393&gt;MAX('Match Log'!$A$4:$A$1510),NA(),IFERROR(LOOKUP(2,1/(('Match Log'!$D$4:$D$1510=$T$24)*('Match Log'!$A$4:$A$1510&lt;=$J393)),'Match Log'!$N$4:$N$1510),NA()))</f>
        <v>#N/A</v>
      </c>
      <c r="U393" t="e">
        <f>IF($J393&gt;MAX('Match Log'!$A$4:$A$1510),NA(),IFERROR(LOOKUP(2,1/(('Match Log'!$D$4:$D$1510=$U$24)*('Match Log'!$A$4:$A$1510&lt;=$J393)),'Match Log'!$N$4:$N$1510),NA()))</f>
        <v>#N/A</v>
      </c>
      <c r="V393" t="e">
        <f>IF($J393&gt;MAX('Match Log'!$A$4:$A$1510),NA(),IFERROR(LOOKUP(2,1/(('Match Log'!$D$4:$D$1510=$V$24)*('Match Log'!$A$4:$A$1510&lt;=$J393)),'Match Log'!$N$4:$N$1510),NA()))</f>
        <v>#N/A</v>
      </c>
      <c r="W393" t="e">
        <f>IF($J393&gt;MAX('Match Log'!$A$4:$A$1510),NA(),IFERROR(LOOKUP(2,1/(('Match Log'!$D$4:$D$1510=$W$24)*('Match Log'!$A$4:$A$1510&lt;=$J393)),'Match Log'!$N$4:$N$1510),NA()))</f>
        <v>#N/A</v>
      </c>
      <c r="X393" t="e">
        <f>IF($J393&gt;MAX('Match Log'!$A$4:$A$1510),NA(),IFERROR(LOOKUP(2,1/(('Match Log'!$D$4:$D$1510=$X$24)*('Match Log'!$A$4:$A$1510&lt;=$J393)),'Match Log'!$N$4:$N$1510),NA()))</f>
        <v>#N/A</v>
      </c>
      <c r="Y393" t="str">
        <f t="shared" ca="1" si="34"/>
        <v/>
      </c>
    </row>
    <row r="394" spans="1:25" x14ac:dyDescent="0.2">
      <c r="A394">
        <v>370</v>
      </c>
      <c r="B394" t="str">
        <f>IFERROR(INDEX('Match Log'!$B$4:$B$1510,MATCH($A394,'Match Log'!$A$4:$A$1510,0)),"")</f>
        <v/>
      </c>
      <c r="C394" t="str">
        <f>IFERROR(INDEX('Match Log'!$C$4:$C$1510,MATCH($A394,'Match Log'!$A$4:$A$1510,0)),"")</f>
        <v/>
      </c>
      <c r="D394" t="str">
        <f t="array" ref="D394">IFERROR(_xlfn.TEXTJOIN(" + ",TRUE(),IF(('Match Log'!$A$4:$A$1510=$A394)*('Match Log'!$E$4:$E$1510="Win"),'Match Log'!$D$4:$D$1510,"")),IFERROR(LOOKUP(2,1/(('Match Log'!$A$4:$A$1510=$A394)*('Match Log'!$E$4:$E$1510="Win")),'Match Log'!$D$4:$D$1510),""))</f>
        <v/>
      </c>
      <c r="E394" t="str">
        <f>IFERROR(INDEX('Match Log'!$F$4:$F$1510,MATCH($A394,'Match Log'!$A$4:$A$1510,0)),"")</f>
        <v/>
      </c>
      <c r="F394">
        <f>IFERROR(SUMIFS('Match Log'!$I$4:$I$1510,'Match Log'!$A$4:$A$1510,$A394,'Match Log'!$E$4:$E$1510,"Win"),"")</f>
        <v>0</v>
      </c>
      <c r="G394" t="str">
        <f t="shared" si="32"/>
        <v/>
      </c>
      <c r="H394" t="str">
        <f t="array" ref="H394">IFERROR(IF(COUNTIFS('Match Log'!$A$4:$A$1510,$A394,'Match Log'!$E$4:$E$1510,"Win")&gt;1,_xlfn.TEXTJOIN(" + ",TRUE(),IF(('Match Log'!$A$4:$A$1510=$A394)*('Match Log'!$E$4:$E$1510="Loss"),'Match Log'!$D$4:$D$1510,"")),IF($E394=2,LOOKUP(2,1/(('Match Log'!$A$4:$A$1510=$A394)*('Match Log'!$E$4:$E$1510="Loss")),'Match Log'!$D$4:$D$1510),"the field")),"")</f>
        <v>the field</v>
      </c>
      <c r="I394" t="str">
        <f t="shared" si="33"/>
        <v/>
      </c>
      <c r="J394">
        <v>370</v>
      </c>
      <c r="K394" t="e">
        <f>IF($J394&gt;MAX('Match Log'!$A$4:$A$1510),NA(),IFERROR(LOOKUP(2,1/(('Match Log'!$D$4:$D$1510=$K$24)*('Match Log'!$A$4:$A$1510&lt;=$J394)),'Match Log'!$N$4:$N$1510),NA()))</f>
        <v>#N/A</v>
      </c>
      <c r="L394" t="e">
        <f>IF($J394&gt;MAX('Match Log'!$A$4:$A$1510),NA(),IFERROR(LOOKUP(2,1/(('Match Log'!$D$4:$D$1510=$L$24)*('Match Log'!$A$4:$A$1510&lt;=$J394)),'Match Log'!$N$4:$N$1510),NA()))</f>
        <v>#N/A</v>
      </c>
      <c r="M394" t="e">
        <f>IF($J394&gt;MAX('Match Log'!$A$4:$A$1510),NA(),IFERROR(LOOKUP(2,1/(('Match Log'!$D$4:$D$1510=$M$24)*('Match Log'!$A$4:$A$1510&lt;=$J394)),'Match Log'!$N$4:$N$1510),NA()))</f>
        <v>#N/A</v>
      </c>
      <c r="N394" t="e">
        <f>IF($J394&gt;MAX('Match Log'!$A$4:$A$1510),NA(),IFERROR(LOOKUP(2,1/(('Match Log'!$D$4:$D$1510=$N$24)*('Match Log'!$A$4:$A$1510&lt;=$J394)),'Match Log'!$N$4:$N$1510),NA()))</f>
        <v>#N/A</v>
      </c>
      <c r="O394" t="e">
        <f>IF($J394&gt;MAX('Match Log'!$A$4:$A$1510),NA(),IFERROR(LOOKUP(2,1/(('Match Log'!$D$4:$D$1510=$O$24)*('Match Log'!$A$4:$A$1510&lt;=$J394)),'Match Log'!$N$4:$N$1510),NA()))</f>
        <v>#N/A</v>
      </c>
      <c r="P394" t="e">
        <f>IF($J394&gt;MAX('Match Log'!$A$4:$A$1510),NA(),IFERROR(LOOKUP(2,1/(('Match Log'!$D$4:$D$1510=$P$24)*('Match Log'!$A$4:$A$1510&lt;=$J394)),'Match Log'!$N$4:$N$1510),NA()))</f>
        <v>#N/A</v>
      </c>
      <c r="Q394" t="e">
        <f>IF($J394&gt;MAX('Match Log'!$A$4:$A$1510),NA(),IFERROR(LOOKUP(2,1/(('Match Log'!$D$4:$D$1510=$Q$24)*('Match Log'!$A$4:$A$1510&lt;=$J394)),'Match Log'!$N$4:$N$1510),NA()))</f>
        <v>#N/A</v>
      </c>
      <c r="R394" t="e">
        <f>IF($J394&gt;MAX('Match Log'!$A$4:$A$1510),NA(),IFERROR(LOOKUP(2,1/(('Match Log'!$D$4:$D$1510=$R$24)*('Match Log'!$A$4:$A$1510&lt;=$J394)),'Match Log'!$N$4:$N$1510),NA()))</f>
        <v>#N/A</v>
      </c>
      <c r="S394" t="e">
        <f>IF($J394&gt;MAX('Match Log'!$A$4:$A$1510),NA(),IFERROR(LOOKUP(2,1/(('Match Log'!$D$4:$D$1510=$S$24)*('Match Log'!$A$4:$A$1510&lt;=$J394)),'Match Log'!$N$4:$N$1510),NA()))</f>
        <v>#N/A</v>
      </c>
      <c r="T394" t="e">
        <f>IF($J394&gt;MAX('Match Log'!$A$4:$A$1510),NA(),IFERROR(LOOKUP(2,1/(('Match Log'!$D$4:$D$1510=$T$24)*('Match Log'!$A$4:$A$1510&lt;=$J394)),'Match Log'!$N$4:$N$1510),NA()))</f>
        <v>#N/A</v>
      </c>
      <c r="U394" t="e">
        <f>IF($J394&gt;MAX('Match Log'!$A$4:$A$1510),NA(),IFERROR(LOOKUP(2,1/(('Match Log'!$D$4:$D$1510=$U$24)*('Match Log'!$A$4:$A$1510&lt;=$J394)),'Match Log'!$N$4:$N$1510),NA()))</f>
        <v>#N/A</v>
      </c>
      <c r="V394" t="e">
        <f>IF($J394&gt;MAX('Match Log'!$A$4:$A$1510),NA(),IFERROR(LOOKUP(2,1/(('Match Log'!$D$4:$D$1510=$V$24)*('Match Log'!$A$4:$A$1510&lt;=$J394)),'Match Log'!$N$4:$N$1510),NA()))</f>
        <v>#N/A</v>
      </c>
      <c r="W394" t="e">
        <f>IF($J394&gt;MAX('Match Log'!$A$4:$A$1510),NA(),IFERROR(LOOKUP(2,1/(('Match Log'!$D$4:$D$1510=$W$24)*('Match Log'!$A$4:$A$1510&lt;=$J394)),'Match Log'!$N$4:$N$1510),NA()))</f>
        <v>#N/A</v>
      </c>
      <c r="X394" t="e">
        <f>IF($J394&gt;MAX('Match Log'!$A$4:$A$1510),NA(),IFERROR(LOOKUP(2,1/(('Match Log'!$D$4:$D$1510=$X$24)*('Match Log'!$A$4:$A$1510&lt;=$J394)),'Match Log'!$N$4:$N$1510),NA()))</f>
        <v>#N/A</v>
      </c>
      <c r="Y394" t="str">
        <f t="shared" ca="1" si="34"/>
        <v/>
      </c>
    </row>
    <row r="395" spans="1:25" x14ac:dyDescent="0.2">
      <c r="A395">
        <v>371</v>
      </c>
      <c r="B395" t="str">
        <f>IFERROR(INDEX('Match Log'!$B$4:$B$1510,MATCH($A395,'Match Log'!$A$4:$A$1510,0)),"")</f>
        <v/>
      </c>
      <c r="C395" t="str">
        <f>IFERROR(INDEX('Match Log'!$C$4:$C$1510,MATCH($A395,'Match Log'!$A$4:$A$1510,0)),"")</f>
        <v/>
      </c>
      <c r="D395" t="str">
        <f t="array" ref="D395">IFERROR(_xlfn.TEXTJOIN(" + ",TRUE(),IF(('Match Log'!$A$4:$A$1510=$A395)*('Match Log'!$E$4:$E$1510="Win"),'Match Log'!$D$4:$D$1510,"")),IFERROR(LOOKUP(2,1/(('Match Log'!$A$4:$A$1510=$A395)*('Match Log'!$E$4:$E$1510="Win")),'Match Log'!$D$4:$D$1510),""))</f>
        <v/>
      </c>
      <c r="E395" t="str">
        <f>IFERROR(INDEX('Match Log'!$F$4:$F$1510,MATCH($A395,'Match Log'!$A$4:$A$1510,0)),"")</f>
        <v/>
      </c>
      <c r="F395">
        <f>IFERROR(SUMIFS('Match Log'!$I$4:$I$1510,'Match Log'!$A$4:$A$1510,$A395,'Match Log'!$E$4:$E$1510,"Win"),"")</f>
        <v>0</v>
      </c>
      <c r="G395" t="str">
        <f t="shared" si="32"/>
        <v/>
      </c>
      <c r="H395" t="str">
        <f t="array" ref="H395">IFERROR(IF(COUNTIFS('Match Log'!$A$4:$A$1510,$A395,'Match Log'!$E$4:$E$1510,"Win")&gt;1,_xlfn.TEXTJOIN(" + ",TRUE(),IF(('Match Log'!$A$4:$A$1510=$A395)*('Match Log'!$E$4:$E$1510="Loss"),'Match Log'!$D$4:$D$1510,"")),IF($E395=2,LOOKUP(2,1/(('Match Log'!$A$4:$A$1510=$A395)*('Match Log'!$E$4:$E$1510="Loss")),'Match Log'!$D$4:$D$1510),"the field")),"")</f>
        <v>the field</v>
      </c>
      <c r="I395" t="str">
        <f t="shared" si="33"/>
        <v/>
      </c>
      <c r="J395">
        <v>371</v>
      </c>
      <c r="K395" t="e">
        <f>IF($J395&gt;MAX('Match Log'!$A$4:$A$1510),NA(),IFERROR(LOOKUP(2,1/(('Match Log'!$D$4:$D$1510=$K$24)*('Match Log'!$A$4:$A$1510&lt;=$J395)),'Match Log'!$N$4:$N$1510),NA()))</f>
        <v>#N/A</v>
      </c>
      <c r="L395" t="e">
        <f>IF($J395&gt;MAX('Match Log'!$A$4:$A$1510),NA(),IFERROR(LOOKUP(2,1/(('Match Log'!$D$4:$D$1510=$L$24)*('Match Log'!$A$4:$A$1510&lt;=$J395)),'Match Log'!$N$4:$N$1510),NA()))</f>
        <v>#N/A</v>
      </c>
      <c r="M395" t="e">
        <f>IF($J395&gt;MAX('Match Log'!$A$4:$A$1510),NA(),IFERROR(LOOKUP(2,1/(('Match Log'!$D$4:$D$1510=$M$24)*('Match Log'!$A$4:$A$1510&lt;=$J395)),'Match Log'!$N$4:$N$1510),NA()))</f>
        <v>#N/A</v>
      </c>
      <c r="N395" t="e">
        <f>IF($J395&gt;MAX('Match Log'!$A$4:$A$1510),NA(),IFERROR(LOOKUP(2,1/(('Match Log'!$D$4:$D$1510=$N$24)*('Match Log'!$A$4:$A$1510&lt;=$J395)),'Match Log'!$N$4:$N$1510),NA()))</f>
        <v>#N/A</v>
      </c>
      <c r="O395" t="e">
        <f>IF($J395&gt;MAX('Match Log'!$A$4:$A$1510),NA(),IFERROR(LOOKUP(2,1/(('Match Log'!$D$4:$D$1510=$O$24)*('Match Log'!$A$4:$A$1510&lt;=$J395)),'Match Log'!$N$4:$N$1510),NA()))</f>
        <v>#N/A</v>
      </c>
      <c r="P395" t="e">
        <f>IF($J395&gt;MAX('Match Log'!$A$4:$A$1510),NA(),IFERROR(LOOKUP(2,1/(('Match Log'!$D$4:$D$1510=$P$24)*('Match Log'!$A$4:$A$1510&lt;=$J395)),'Match Log'!$N$4:$N$1510),NA()))</f>
        <v>#N/A</v>
      </c>
      <c r="Q395" t="e">
        <f>IF($J395&gt;MAX('Match Log'!$A$4:$A$1510),NA(),IFERROR(LOOKUP(2,1/(('Match Log'!$D$4:$D$1510=$Q$24)*('Match Log'!$A$4:$A$1510&lt;=$J395)),'Match Log'!$N$4:$N$1510),NA()))</f>
        <v>#N/A</v>
      </c>
      <c r="R395" t="e">
        <f>IF($J395&gt;MAX('Match Log'!$A$4:$A$1510),NA(),IFERROR(LOOKUP(2,1/(('Match Log'!$D$4:$D$1510=$R$24)*('Match Log'!$A$4:$A$1510&lt;=$J395)),'Match Log'!$N$4:$N$1510),NA()))</f>
        <v>#N/A</v>
      </c>
      <c r="S395" t="e">
        <f>IF($J395&gt;MAX('Match Log'!$A$4:$A$1510),NA(),IFERROR(LOOKUP(2,1/(('Match Log'!$D$4:$D$1510=$S$24)*('Match Log'!$A$4:$A$1510&lt;=$J395)),'Match Log'!$N$4:$N$1510),NA()))</f>
        <v>#N/A</v>
      </c>
      <c r="T395" t="e">
        <f>IF($J395&gt;MAX('Match Log'!$A$4:$A$1510),NA(),IFERROR(LOOKUP(2,1/(('Match Log'!$D$4:$D$1510=$T$24)*('Match Log'!$A$4:$A$1510&lt;=$J395)),'Match Log'!$N$4:$N$1510),NA()))</f>
        <v>#N/A</v>
      </c>
      <c r="U395" t="e">
        <f>IF($J395&gt;MAX('Match Log'!$A$4:$A$1510),NA(),IFERROR(LOOKUP(2,1/(('Match Log'!$D$4:$D$1510=$U$24)*('Match Log'!$A$4:$A$1510&lt;=$J395)),'Match Log'!$N$4:$N$1510),NA()))</f>
        <v>#N/A</v>
      </c>
      <c r="V395" t="e">
        <f>IF($J395&gt;MAX('Match Log'!$A$4:$A$1510),NA(),IFERROR(LOOKUP(2,1/(('Match Log'!$D$4:$D$1510=$V$24)*('Match Log'!$A$4:$A$1510&lt;=$J395)),'Match Log'!$N$4:$N$1510),NA()))</f>
        <v>#N/A</v>
      </c>
      <c r="W395" t="e">
        <f>IF($J395&gt;MAX('Match Log'!$A$4:$A$1510),NA(),IFERROR(LOOKUP(2,1/(('Match Log'!$D$4:$D$1510=$W$24)*('Match Log'!$A$4:$A$1510&lt;=$J395)),'Match Log'!$N$4:$N$1510),NA()))</f>
        <v>#N/A</v>
      </c>
      <c r="X395" t="e">
        <f>IF($J395&gt;MAX('Match Log'!$A$4:$A$1510),NA(),IFERROR(LOOKUP(2,1/(('Match Log'!$D$4:$D$1510=$X$24)*('Match Log'!$A$4:$A$1510&lt;=$J395)),'Match Log'!$N$4:$N$1510),NA()))</f>
        <v>#N/A</v>
      </c>
      <c r="Y395" t="str">
        <f t="shared" ca="1" si="34"/>
        <v/>
      </c>
    </row>
    <row r="396" spans="1:25" x14ac:dyDescent="0.2">
      <c r="A396">
        <v>372</v>
      </c>
      <c r="B396" t="str">
        <f>IFERROR(INDEX('Match Log'!$B$4:$B$1510,MATCH($A396,'Match Log'!$A$4:$A$1510,0)),"")</f>
        <v/>
      </c>
      <c r="C396" t="str">
        <f>IFERROR(INDEX('Match Log'!$C$4:$C$1510,MATCH($A396,'Match Log'!$A$4:$A$1510,0)),"")</f>
        <v/>
      </c>
      <c r="D396" t="str">
        <f t="array" ref="D396">IFERROR(_xlfn.TEXTJOIN(" + ",TRUE(),IF(('Match Log'!$A$4:$A$1510=$A396)*('Match Log'!$E$4:$E$1510="Win"),'Match Log'!$D$4:$D$1510,"")),IFERROR(LOOKUP(2,1/(('Match Log'!$A$4:$A$1510=$A396)*('Match Log'!$E$4:$E$1510="Win")),'Match Log'!$D$4:$D$1510),""))</f>
        <v/>
      </c>
      <c r="E396" t="str">
        <f>IFERROR(INDEX('Match Log'!$F$4:$F$1510,MATCH($A396,'Match Log'!$A$4:$A$1510,0)),"")</f>
        <v/>
      </c>
      <c r="F396">
        <f>IFERROR(SUMIFS('Match Log'!$I$4:$I$1510,'Match Log'!$A$4:$A$1510,$A396,'Match Log'!$E$4:$E$1510,"Win"),"")</f>
        <v>0</v>
      </c>
      <c r="G396" t="str">
        <f t="shared" si="32"/>
        <v/>
      </c>
      <c r="H396" t="str">
        <f t="array" ref="H396">IFERROR(IF(COUNTIFS('Match Log'!$A$4:$A$1510,$A396,'Match Log'!$E$4:$E$1510,"Win")&gt;1,_xlfn.TEXTJOIN(" + ",TRUE(),IF(('Match Log'!$A$4:$A$1510=$A396)*('Match Log'!$E$4:$E$1510="Loss"),'Match Log'!$D$4:$D$1510,"")),IF($E396=2,LOOKUP(2,1/(('Match Log'!$A$4:$A$1510=$A396)*('Match Log'!$E$4:$E$1510="Loss")),'Match Log'!$D$4:$D$1510),"the field")),"")</f>
        <v>the field</v>
      </c>
      <c r="I396" t="str">
        <f t="shared" si="33"/>
        <v/>
      </c>
      <c r="J396">
        <v>372</v>
      </c>
      <c r="K396" t="e">
        <f>IF($J396&gt;MAX('Match Log'!$A$4:$A$1510),NA(),IFERROR(LOOKUP(2,1/(('Match Log'!$D$4:$D$1510=$K$24)*('Match Log'!$A$4:$A$1510&lt;=$J396)),'Match Log'!$N$4:$N$1510),NA()))</f>
        <v>#N/A</v>
      </c>
      <c r="L396" t="e">
        <f>IF($J396&gt;MAX('Match Log'!$A$4:$A$1510),NA(),IFERROR(LOOKUP(2,1/(('Match Log'!$D$4:$D$1510=$L$24)*('Match Log'!$A$4:$A$1510&lt;=$J396)),'Match Log'!$N$4:$N$1510),NA()))</f>
        <v>#N/A</v>
      </c>
      <c r="M396" t="e">
        <f>IF($J396&gt;MAX('Match Log'!$A$4:$A$1510),NA(),IFERROR(LOOKUP(2,1/(('Match Log'!$D$4:$D$1510=$M$24)*('Match Log'!$A$4:$A$1510&lt;=$J396)),'Match Log'!$N$4:$N$1510),NA()))</f>
        <v>#N/A</v>
      </c>
      <c r="N396" t="e">
        <f>IF($J396&gt;MAX('Match Log'!$A$4:$A$1510),NA(),IFERROR(LOOKUP(2,1/(('Match Log'!$D$4:$D$1510=$N$24)*('Match Log'!$A$4:$A$1510&lt;=$J396)),'Match Log'!$N$4:$N$1510),NA()))</f>
        <v>#N/A</v>
      </c>
      <c r="O396" t="e">
        <f>IF($J396&gt;MAX('Match Log'!$A$4:$A$1510),NA(),IFERROR(LOOKUP(2,1/(('Match Log'!$D$4:$D$1510=$O$24)*('Match Log'!$A$4:$A$1510&lt;=$J396)),'Match Log'!$N$4:$N$1510),NA()))</f>
        <v>#N/A</v>
      </c>
      <c r="P396" t="e">
        <f>IF($J396&gt;MAX('Match Log'!$A$4:$A$1510),NA(),IFERROR(LOOKUP(2,1/(('Match Log'!$D$4:$D$1510=$P$24)*('Match Log'!$A$4:$A$1510&lt;=$J396)),'Match Log'!$N$4:$N$1510),NA()))</f>
        <v>#N/A</v>
      </c>
      <c r="Q396" t="e">
        <f>IF($J396&gt;MAX('Match Log'!$A$4:$A$1510),NA(),IFERROR(LOOKUP(2,1/(('Match Log'!$D$4:$D$1510=$Q$24)*('Match Log'!$A$4:$A$1510&lt;=$J396)),'Match Log'!$N$4:$N$1510),NA()))</f>
        <v>#N/A</v>
      </c>
      <c r="R396" t="e">
        <f>IF($J396&gt;MAX('Match Log'!$A$4:$A$1510),NA(),IFERROR(LOOKUP(2,1/(('Match Log'!$D$4:$D$1510=$R$24)*('Match Log'!$A$4:$A$1510&lt;=$J396)),'Match Log'!$N$4:$N$1510),NA()))</f>
        <v>#N/A</v>
      </c>
      <c r="S396" t="e">
        <f>IF($J396&gt;MAX('Match Log'!$A$4:$A$1510),NA(),IFERROR(LOOKUP(2,1/(('Match Log'!$D$4:$D$1510=$S$24)*('Match Log'!$A$4:$A$1510&lt;=$J396)),'Match Log'!$N$4:$N$1510),NA()))</f>
        <v>#N/A</v>
      </c>
      <c r="T396" t="e">
        <f>IF($J396&gt;MAX('Match Log'!$A$4:$A$1510),NA(),IFERROR(LOOKUP(2,1/(('Match Log'!$D$4:$D$1510=$T$24)*('Match Log'!$A$4:$A$1510&lt;=$J396)),'Match Log'!$N$4:$N$1510),NA()))</f>
        <v>#N/A</v>
      </c>
      <c r="U396" t="e">
        <f>IF($J396&gt;MAX('Match Log'!$A$4:$A$1510),NA(),IFERROR(LOOKUP(2,1/(('Match Log'!$D$4:$D$1510=$U$24)*('Match Log'!$A$4:$A$1510&lt;=$J396)),'Match Log'!$N$4:$N$1510),NA()))</f>
        <v>#N/A</v>
      </c>
      <c r="V396" t="e">
        <f>IF($J396&gt;MAX('Match Log'!$A$4:$A$1510),NA(),IFERROR(LOOKUP(2,1/(('Match Log'!$D$4:$D$1510=$V$24)*('Match Log'!$A$4:$A$1510&lt;=$J396)),'Match Log'!$N$4:$N$1510),NA()))</f>
        <v>#N/A</v>
      </c>
      <c r="W396" t="e">
        <f>IF($J396&gt;MAX('Match Log'!$A$4:$A$1510),NA(),IFERROR(LOOKUP(2,1/(('Match Log'!$D$4:$D$1510=$W$24)*('Match Log'!$A$4:$A$1510&lt;=$J396)),'Match Log'!$N$4:$N$1510),NA()))</f>
        <v>#N/A</v>
      </c>
      <c r="X396" t="e">
        <f>IF($J396&gt;MAX('Match Log'!$A$4:$A$1510),NA(),IFERROR(LOOKUP(2,1/(('Match Log'!$D$4:$D$1510=$X$24)*('Match Log'!$A$4:$A$1510&lt;=$J396)),'Match Log'!$N$4:$N$1510),NA()))</f>
        <v>#N/A</v>
      </c>
      <c r="Y396" t="str">
        <f t="shared" ca="1" si="34"/>
        <v/>
      </c>
    </row>
    <row r="397" spans="1:25" x14ac:dyDescent="0.2">
      <c r="A397">
        <v>373</v>
      </c>
      <c r="B397" t="str">
        <f>IFERROR(INDEX('Match Log'!$B$4:$B$1510,MATCH($A397,'Match Log'!$A$4:$A$1510,0)),"")</f>
        <v/>
      </c>
      <c r="C397" t="str">
        <f>IFERROR(INDEX('Match Log'!$C$4:$C$1510,MATCH($A397,'Match Log'!$A$4:$A$1510,0)),"")</f>
        <v/>
      </c>
      <c r="D397" t="str">
        <f t="array" ref="D397">IFERROR(_xlfn.TEXTJOIN(" + ",TRUE(),IF(('Match Log'!$A$4:$A$1510=$A397)*('Match Log'!$E$4:$E$1510="Win"),'Match Log'!$D$4:$D$1510,"")),IFERROR(LOOKUP(2,1/(('Match Log'!$A$4:$A$1510=$A397)*('Match Log'!$E$4:$E$1510="Win")),'Match Log'!$D$4:$D$1510),""))</f>
        <v/>
      </c>
      <c r="E397" t="str">
        <f>IFERROR(INDEX('Match Log'!$F$4:$F$1510,MATCH($A397,'Match Log'!$A$4:$A$1510,0)),"")</f>
        <v/>
      </c>
      <c r="F397">
        <f>IFERROR(SUMIFS('Match Log'!$I$4:$I$1510,'Match Log'!$A$4:$A$1510,$A397,'Match Log'!$E$4:$E$1510,"Win"),"")</f>
        <v>0</v>
      </c>
      <c r="G397" t="str">
        <f t="shared" si="32"/>
        <v/>
      </c>
      <c r="H397" t="str">
        <f t="array" ref="H397">IFERROR(IF(COUNTIFS('Match Log'!$A$4:$A$1510,$A397,'Match Log'!$E$4:$E$1510,"Win")&gt;1,_xlfn.TEXTJOIN(" + ",TRUE(),IF(('Match Log'!$A$4:$A$1510=$A397)*('Match Log'!$E$4:$E$1510="Loss"),'Match Log'!$D$4:$D$1510,"")),IF($E397=2,LOOKUP(2,1/(('Match Log'!$A$4:$A$1510=$A397)*('Match Log'!$E$4:$E$1510="Loss")),'Match Log'!$D$4:$D$1510),"the field")),"")</f>
        <v>the field</v>
      </c>
      <c r="I397" t="str">
        <f t="shared" si="33"/>
        <v/>
      </c>
      <c r="J397">
        <v>373</v>
      </c>
      <c r="K397" t="e">
        <f>IF($J397&gt;MAX('Match Log'!$A$4:$A$1510),NA(),IFERROR(LOOKUP(2,1/(('Match Log'!$D$4:$D$1510=$K$24)*('Match Log'!$A$4:$A$1510&lt;=$J397)),'Match Log'!$N$4:$N$1510),NA()))</f>
        <v>#N/A</v>
      </c>
      <c r="L397" t="e">
        <f>IF($J397&gt;MAX('Match Log'!$A$4:$A$1510),NA(),IFERROR(LOOKUP(2,1/(('Match Log'!$D$4:$D$1510=$L$24)*('Match Log'!$A$4:$A$1510&lt;=$J397)),'Match Log'!$N$4:$N$1510),NA()))</f>
        <v>#N/A</v>
      </c>
      <c r="M397" t="e">
        <f>IF($J397&gt;MAX('Match Log'!$A$4:$A$1510),NA(),IFERROR(LOOKUP(2,1/(('Match Log'!$D$4:$D$1510=$M$24)*('Match Log'!$A$4:$A$1510&lt;=$J397)),'Match Log'!$N$4:$N$1510),NA()))</f>
        <v>#N/A</v>
      </c>
      <c r="N397" t="e">
        <f>IF($J397&gt;MAX('Match Log'!$A$4:$A$1510),NA(),IFERROR(LOOKUP(2,1/(('Match Log'!$D$4:$D$1510=$N$24)*('Match Log'!$A$4:$A$1510&lt;=$J397)),'Match Log'!$N$4:$N$1510),NA()))</f>
        <v>#N/A</v>
      </c>
      <c r="O397" t="e">
        <f>IF($J397&gt;MAX('Match Log'!$A$4:$A$1510),NA(),IFERROR(LOOKUP(2,1/(('Match Log'!$D$4:$D$1510=$O$24)*('Match Log'!$A$4:$A$1510&lt;=$J397)),'Match Log'!$N$4:$N$1510),NA()))</f>
        <v>#N/A</v>
      </c>
      <c r="P397" t="e">
        <f>IF($J397&gt;MAX('Match Log'!$A$4:$A$1510),NA(),IFERROR(LOOKUP(2,1/(('Match Log'!$D$4:$D$1510=$P$24)*('Match Log'!$A$4:$A$1510&lt;=$J397)),'Match Log'!$N$4:$N$1510),NA()))</f>
        <v>#N/A</v>
      </c>
      <c r="Q397" t="e">
        <f>IF($J397&gt;MAX('Match Log'!$A$4:$A$1510),NA(),IFERROR(LOOKUP(2,1/(('Match Log'!$D$4:$D$1510=$Q$24)*('Match Log'!$A$4:$A$1510&lt;=$J397)),'Match Log'!$N$4:$N$1510),NA()))</f>
        <v>#N/A</v>
      </c>
      <c r="R397" t="e">
        <f>IF($J397&gt;MAX('Match Log'!$A$4:$A$1510),NA(),IFERROR(LOOKUP(2,1/(('Match Log'!$D$4:$D$1510=$R$24)*('Match Log'!$A$4:$A$1510&lt;=$J397)),'Match Log'!$N$4:$N$1510),NA()))</f>
        <v>#N/A</v>
      </c>
      <c r="S397" t="e">
        <f>IF($J397&gt;MAX('Match Log'!$A$4:$A$1510),NA(),IFERROR(LOOKUP(2,1/(('Match Log'!$D$4:$D$1510=$S$24)*('Match Log'!$A$4:$A$1510&lt;=$J397)),'Match Log'!$N$4:$N$1510),NA()))</f>
        <v>#N/A</v>
      </c>
      <c r="T397" t="e">
        <f>IF($J397&gt;MAX('Match Log'!$A$4:$A$1510),NA(),IFERROR(LOOKUP(2,1/(('Match Log'!$D$4:$D$1510=$T$24)*('Match Log'!$A$4:$A$1510&lt;=$J397)),'Match Log'!$N$4:$N$1510),NA()))</f>
        <v>#N/A</v>
      </c>
      <c r="U397" t="e">
        <f>IF($J397&gt;MAX('Match Log'!$A$4:$A$1510),NA(),IFERROR(LOOKUP(2,1/(('Match Log'!$D$4:$D$1510=$U$24)*('Match Log'!$A$4:$A$1510&lt;=$J397)),'Match Log'!$N$4:$N$1510),NA()))</f>
        <v>#N/A</v>
      </c>
      <c r="V397" t="e">
        <f>IF($J397&gt;MAX('Match Log'!$A$4:$A$1510),NA(),IFERROR(LOOKUP(2,1/(('Match Log'!$D$4:$D$1510=$V$24)*('Match Log'!$A$4:$A$1510&lt;=$J397)),'Match Log'!$N$4:$N$1510),NA()))</f>
        <v>#N/A</v>
      </c>
      <c r="W397" t="e">
        <f>IF($J397&gt;MAX('Match Log'!$A$4:$A$1510),NA(),IFERROR(LOOKUP(2,1/(('Match Log'!$D$4:$D$1510=$W$24)*('Match Log'!$A$4:$A$1510&lt;=$J397)),'Match Log'!$N$4:$N$1510),NA()))</f>
        <v>#N/A</v>
      </c>
      <c r="X397" t="e">
        <f>IF($J397&gt;MAX('Match Log'!$A$4:$A$1510),NA(),IFERROR(LOOKUP(2,1/(('Match Log'!$D$4:$D$1510=$X$24)*('Match Log'!$A$4:$A$1510&lt;=$J397)),'Match Log'!$N$4:$N$1510),NA()))</f>
        <v>#N/A</v>
      </c>
      <c r="Y397" t="str">
        <f t="shared" ca="1" si="34"/>
        <v/>
      </c>
    </row>
    <row r="398" spans="1:25" x14ac:dyDescent="0.2">
      <c r="A398">
        <v>374</v>
      </c>
      <c r="B398" t="str">
        <f>IFERROR(INDEX('Match Log'!$B$4:$B$1510,MATCH($A398,'Match Log'!$A$4:$A$1510,0)),"")</f>
        <v/>
      </c>
      <c r="C398" t="str">
        <f>IFERROR(INDEX('Match Log'!$C$4:$C$1510,MATCH($A398,'Match Log'!$A$4:$A$1510,0)),"")</f>
        <v/>
      </c>
      <c r="D398" t="str">
        <f t="array" ref="D398">IFERROR(_xlfn.TEXTJOIN(" + ",TRUE(),IF(('Match Log'!$A$4:$A$1510=$A398)*('Match Log'!$E$4:$E$1510="Win"),'Match Log'!$D$4:$D$1510,"")),IFERROR(LOOKUP(2,1/(('Match Log'!$A$4:$A$1510=$A398)*('Match Log'!$E$4:$E$1510="Win")),'Match Log'!$D$4:$D$1510),""))</f>
        <v/>
      </c>
      <c r="E398" t="str">
        <f>IFERROR(INDEX('Match Log'!$F$4:$F$1510,MATCH($A398,'Match Log'!$A$4:$A$1510,0)),"")</f>
        <v/>
      </c>
      <c r="F398">
        <f>IFERROR(SUMIFS('Match Log'!$I$4:$I$1510,'Match Log'!$A$4:$A$1510,$A398,'Match Log'!$E$4:$E$1510,"Win"),"")</f>
        <v>0</v>
      </c>
      <c r="G398" t="str">
        <f t="shared" si="32"/>
        <v/>
      </c>
      <c r="H398" t="str">
        <f t="array" ref="H398">IFERROR(IF(COUNTIFS('Match Log'!$A$4:$A$1510,$A398,'Match Log'!$E$4:$E$1510,"Win")&gt;1,_xlfn.TEXTJOIN(" + ",TRUE(),IF(('Match Log'!$A$4:$A$1510=$A398)*('Match Log'!$E$4:$E$1510="Loss"),'Match Log'!$D$4:$D$1510,"")),IF($E398=2,LOOKUP(2,1/(('Match Log'!$A$4:$A$1510=$A398)*('Match Log'!$E$4:$E$1510="Loss")),'Match Log'!$D$4:$D$1510),"the field")),"")</f>
        <v>the field</v>
      </c>
      <c r="I398" t="str">
        <f t="shared" si="33"/>
        <v/>
      </c>
      <c r="J398">
        <v>374</v>
      </c>
      <c r="K398" t="e">
        <f>IF($J398&gt;MAX('Match Log'!$A$4:$A$1510),NA(),IFERROR(LOOKUP(2,1/(('Match Log'!$D$4:$D$1510=$K$24)*('Match Log'!$A$4:$A$1510&lt;=$J398)),'Match Log'!$N$4:$N$1510),NA()))</f>
        <v>#N/A</v>
      </c>
      <c r="L398" t="e">
        <f>IF($J398&gt;MAX('Match Log'!$A$4:$A$1510),NA(),IFERROR(LOOKUP(2,1/(('Match Log'!$D$4:$D$1510=$L$24)*('Match Log'!$A$4:$A$1510&lt;=$J398)),'Match Log'!$N$4:$N$1510),NA()))</f>
        <v>#N/A</v>
      </c>
      <c r="M398" t="e">
        <f>IF($J398&gt;MAX('Match Log'!$A$4:$A$1510),NA(),IFERROR(LOOKUP(2,1/(('Match Log'!$D$4:$D$1510=$M$24)*('Match Log'!$A$4:$A$1510&lt;=$J398)),'Match Log'!$N$4:$N$1510),NA()))</f>
        <v>#N/A</v>
      </c>
      <c r="N398" t="e">
        <f>IF($J398&gt;MAX('Match Log'!$A$4:$A$1510),NA(),IFERROR(LOOKUP(2,1/(('Match Log'!$D$4:$D$1510=$N$24)*('Match Log'!$A$4:$A$1510&lt;=$J398)),'Match Log'!$N$4:$N$1510),NA()))</f>
        <v>#N/A</v>
      </c>
      <c r="O398" t="e">
        <f>IF($J398&gt;MAX('Match Log'!$A$4:$A$1510),NA(),IFERROR(LOOKUP(2,1/(('Match Log'!$D$4:$D$1510=$O$24)*('Match Log'!$A$4:$A$1510&lt;=$J398)),'Match Log'!$N$4:$N$1510),NA()))</f>
        <v>#N/A</v>
      </c>
      <c r="P398" t="e">
        <f>IF($J398&gt;MAX('Match Log'!$A$4:$A$1510),NA(),IFERROR(LOOKUP(2,1/(('Match Log'!$D$4:$D$1510=$P$24)*('Match Log'!$A$4:$A$1510&lt;=$J398)),'Match Log'!$N$4:$N$1510),NA()))</f>
        <v>#N/A</v>
      </c>
      <c r="Q398" t="e">
        <f>IF($J398&gt;MAX('Match Log'!$A$4:$A$1510),NA(),IFERROR(LOOKUP(2,1/(('Match Log'!$D$4:$D$1510=$Q$24)*('Match Log'!$A$4:$A$1510&lt;=$J398)),'Match Log'!$N$4:$N$1510),NA()))</f>
        <v>#N/A</v>
      </c>
      <c r="R398" t="e">
        <f>IF($J398&gt;MAX('Match Log'!$A$4:$A$1510),NA(),IFERROR(LOOKUP(2,1/(('Match Log'!$D$4:$D$1510=$R$24)*('Match Log'!$A$4:$A$1510&lt;=$J398)),'Match Log'!$N$4:$N$1510),NA()))</f>
        <v>#N/A</v>
      </c>
      <c r="S398" t="e">
        <f>IF($J398&gt;MAX('Match Log'!$A$4:$A$1510),NA(),IFERROR(LOOKUP(2,1/(('Match Log'!$D$4:$D$1510=$S$24)*('Match Log'!$A$4:$A$1510&lt;=$J398)),'Match Log'!$N$4:$N$1510),NA()))</f>
        <v>#N/A</v>
      </c>
      <c r="T398" t="e">
        <f>IF($J398&gt;MAX('Match Log'!$A$4:$A$1510),NA(),IFERROR(LOOKUP(2,1/(('Match Log'!$D$4:$D$1510=$T$24)*('Match Log'!$A$4:$A$1510&lt;=$J398)),'Match Log'!$N$4:$N$1510),NA()))</f>
        <v>#N/A</v>
      </c>
      <c r="U398" t="e">
        <f>IF($J398&gt;MAX('Match Log'!$A$4:$A$1510),NA(),IFERROR(LOOKUP(2,1/(('Match Log'!$D$4:$D$1510=$U$24)*('Match Log'!$A$4:$A$1510&lt;=$J398)),'Match Log'!$N$4:$N$1510),NA()))</f>
        <v>#N/A</v>
      </c>
      <c r="V398" t="e">
        <f>IF($J398&gt;MAX('Match Log'!$A$4:$A$1510),NA(),IFERROR(LOOKUP(2,1/(('Match Log'!$D$4:$D$1510=$V$24)*('Match Log'!$A$4:$A$1510&lt;=$J398)),'Match Log'!$N$4:$N$1510),NA()))</f>
        <v>#N/A</v>
      </c>
      <c r="W398" t="e">
        <f>IF($J398&gt;MAX('Match Log'!$A$4:$A$1510),NA(),IFERROR(LOOKUP(2,1/(('Match Log'!$D$4:$D$1510=$W$24)*('Match Log'!$A$4:$A$1510&lt;=$J398)),'Match Log'!$N$4:$N$1510),NA()))</f>
        <v>#N/A</v>
      </c>
      <c r="X398" t="e">
        <f>IF($J398&gt;MAX('Match Log'!$A$4:$A$1510),NA(),IFERROR(LOOKUP(2,1/(('Match Log'!$D$4:$D$1510=$X$24)*('Match Log'!$A$4:$A$1510&lt;=$J398)),'Match Log'!$N$4:$N$1510),NA()))</f>
        <v>#N/A</v>
      </c>
      <c r="Y398" t="str">
        <f t="shared" ca="1" si="34"/>
        <v/>
      </c>
    </row>
    <row r="399" spans="1:25" x14ac:dyDescent="0.2">
      <c r="A399">
        <v>375</v>
      </c>
      <c r="B399" t="str">
        <f>IFERROR(INDEX('Match Log'!$B$4:$B$1510,MATCH($A399,'Match Log'!$A$4:$A$1510,0)),"")</f>
        <v/>
      </c>
      <c r="C399" t="str">
        <f>IFERROR(INDEX('Match Log'!$C$4:$C$1510,MATCH($A399,'Match Log'!$A$4:$A$1510,0)),"")</f>
        <v/>
      </c>
      <c r="D399" t="str">
        <f t="array" ref="D399">IFERROR(_xlfn.TEXTJOIN(" + ",TRUE(),IF(('Match Log'!$A$4:$A$1510=$A399)*('Match Log'!$E$4:$E$1510="Win"),'Match Log'!$D$4:$D$1510,"")),IFERROR(LOOKUP(2,1/(('Match Log'!$A$4:$A$1510=$A399)*('Match Log'!$E$4:$E$1510="Win")),'Match Log'!$D$4:$D$1510),""))</f>
        <v/>
      </c>
      <c r="E399" t="str">
        <f>IFERROR(INDEX('Match Log'!$F$4:$F$1510,MATCH($A399,'Match Log'!$A$4:$A$1510,0)),"")</f>
        <v/>
      </c>
      <c r="F399">
        <f>IFERROR(SUMIFS('Match Log'!$I$4:$I$1510,'Match Log'!$A$4:$A$1510,$A399,'Match Log'!$E$4:$E$1510,"Win"),"")</f>
        <v>0</v>
      </c>
      <c r="G399" t="str">
        <f t="shared" si="32"/>
        <v/>
      </c>
      <c r="H399" t="str">
        <f t="array" ref="H399">IFERROR(IF(COUNTIFS('Match Log'!$A$4:$A$1510,$A399,'Match Log'!$E$4:$E$1510,"Win")&gt;1,_xlfn.TEXTJOIN(" + ",TRUE(),IF(('Match Log'!$A$4:$A$1510=$A399)*('Match Log'!$E$4:$E$1510="Loss"),'Match Log'!$D$4:$D$1510,"")),IF($E399=2,LOOKUP(2,1/(('Match Log'!$A$4:$A$1510=$A399)*('Match Log'!$E$4:$E$1510="Loss")),'Match Log'!$D$4:$D$1510),"the field")),"")</f>
        <v>the field</v>
      </c>
      <c r="I399" t="str">
        <f t="shared" si="33"/>
        <v/>
      </c>
      <c r="J399">
        <v>375</v>
      </c>
      <c r="K399" t="e">
        <f>IF($J399&gt;MAX('Match Log'!$A$4:$A$1510),NA(),IFERROR(LOOKUP(2,1/(('Match Log'!$D$4:$D$1510=$K$24)*('Match Log'!$A$4:$A$1510&lt;=$J399)),'Match Log'!$N$4:$N$1510),NA()))</f>
        <v>#N/A</v>
      </c>
      <c r="L399" t="e">
        <f>IF($J399&gt;MAX('Match Log'!$A$4:$A$1510),NA(),IFERROR(LOOKUP(2,1/(('Match Log'!$D$4:$D$1510=$L$24)*('Match Log'!$A$4:$A$1510&lt;=$J399)),'Match Log'!$N$4:$N$1510),NA()))</f>
        <v>#N/A</v>
      </c>
      <c r="M399" t="e">
        <f>IF($J399&gt;MAX('Match Log'!$A$4:$A$1510),NA(),IFERROR(LOOKUP(2,1/(('Match Log'!$D$4:$D$1510=$M$24)*('Match Log'!$A$4:$A$1510&lt;=$J399)),'Match Log'!$N$4:$N$1510),NA()))</f>
        <v>#N/A</v>
      </c>
      <c r="N399" t="e">
        <f>IF($J399&gt;MAX('Match Log'!$A$4:$A$1510),NA(),IFERROR(LOOKUP(2,1/(('Match Log'!$D$4:$D$1510=$N$24)*('Match Log'!$A$4:$A$1510&lt;=$J399)),'Match Log'!$N$4:$N$1510),NA()))</f>
        <v>#N/A</v>
      </c>
      <c r="O399" t="e">
        <f>IF($J399&gt;MAX('Match Log'!$A$4:$A$1510),NA(),IFERROR(LOOKUP(2,1/(('Match Log'!$D$4:$D$1510=$O$24)*('Match Log'!$A$4:$A$1510&lt;=$J399)),'Match Log'!$N$4:$N$1510),NA()))</f>
        <v>#N/A</v>
      </c>
      <c r="P399" t="e">
        <f>IF($J399&gt;MAX('Match Log'!$A$4:$A$1510),NA(),IFERROR(LOOKUP(2,1/(('Match Log'!$D$4:$D$1510=$P$24)*('Match Log'!$A$4:$A$1510&lt;=$J399)),'Match Log'!$N$4:$N$1510),NA()))</f>
        <v>#N/A</v>
      </c>
      <c r="Q399" t="e">
        <f>IF($J399&gt;MAX('Match Log'!$A$4:$A$1510),NA(),IFERROR(LOOKUP(2,1/(('Match Log'!$D$4:$D$1510=$Q$24)*('Match Log'!$A$4:$A$1510&lt;=$J399)),'Match Log'!$N$4:$N$1510),NA()))</f>
        <v>#N/A</v>
      </c>
      <c r="R399" t="e">
        <f>IF($J399&gt;MAX('Match Log'!$A$4:$A$1510),NA(),IFERROR(LOOKUP(2,1/(('Match Log'!$D$4:$D$1510=$R$24)*('Match Log'!$A$4:$A$1510&lt;=$J399)),'Match Log'!$N$4:$N$1510),NA()))</f>
        <v>#N/A</v>
      </c>
      <c r="S399" t="e">
        <f>IF($J399&gt;MAX('Match Log'!$A$4:$A$1510),NA(),IFERROR(LOOKUP(2,1/(('Match Log'!$D$4:$D$1510=$S$24)*('Match Log'!$A$4:$A$1510&lt;=$J399)),'Match Log'!$N$4:$N$1510),NA()))</f>
        <v>#N/A</v>
      </c>
      <c r="T399" t="e">
        <f>IF($J399&gt;MAX('Match Log'!$A$4:$A$1510),NA(),IFERROR(LOOKUP(2,1/(('Match Log'!$D$4:$D$1510=$T$24)*('Match Log'!$A$4:$A$1510&lt;=$J399)),'Match Log'!$N$4:$N$1510),NA()))</f>
        <v>#N/A</v>
      </c>
      <c r="U399" t="e">
        <f>IF($J399&gt;MAX('Match Log'!$A$4:$A$1510),NA(),IFERROR(LOOKUP(2,1/(('Match Log'!$D$4:$D$1510=$U$24)*('Match Log'!$A$4:$A$1510&lt;=$J399)),'Match Log'!$N$4:$N$1510),NA()))</f>
        <v>#N/A</v>
      </c>
      <c r="V399" t="e">
        <f>IF($J399&gt;MAX('Match Log'!$A$4:$A$1510),NA(),IFERROR(LOOKUP(2,1/(('Match Log'!$D$4:$D$1510=$V$24)*('Match Log'!$A$4:$A$1510&lt;=$J399)),'Match Log'!$N$4:$N$1510),NA()))</f>
        <v>#N/A</v>
      </c>
      <c r="W399" t="e">
        <f>IF($J399&gt;MAX('Match Log'!$A$4:$A$1510),NA(),IFERROR(LOOKUP(2,1/(('Match Log'!$D$4:$D$1510=$W$24)*('Match Log'!$A$4:$A$1510&lt;=$J399)),'Match Log'!$N$4:$N$1510),NA()))</f>
        <v>#N/A</v>
      </c>
      <c r="X399" t="e">
        <f>IF($J399&gt;MAX('Match Log'!$A$4:$A$1510),NA(),IFERROR(LOOKUP(2,1/(('Match Log'!$D$4:$D$1510=$X$24)*('Match Log'!$A$4:$A$1510&lt;=$J399)),'Match Log'!$N$4:$N$1510),NA()))</f>
        <v>#N/A</v>
      </c>
      <c r="Y399" t="str">
        <f t="shared" ca="1" si="34"/>
        <v/>
      </c>
    </row>
    <row r="400" spans="1:25" x14ac:dyDescent="0.2">
      <c r="A400">
        <v>376</v>
      </c>
      <c r="B400" t="str">
        <f>IFERROR(INDEX('Match Log'!$B$4:$B$1510,MATCH($A400,'Match Log'!$A$4:$A$1510,0)),"")</f>
        <v/>
      </c>
      <c r="C400" t="str">
        <f>IFERROR(INDEX('Match Log'!$C$4:$C$1510,MATCH($A400,'Match Log'!$A$4:$A$1510,0)),"")</f>
        <v/>
      </c>
      <c r="D400" t="str">
        <f t="array" ref="D400">IFERROR(_xlfn.TEXTJOIN(" + ",TRUE(),IF(('Match Log'!$A$4:$A$1510=$A400)*('Match Log'!$E$4:$E$1510="Win"),'Match Log'!$D$4:$D$1510,"")),IFERROR(LOOKUP(2,1/(('Match Log'!$A$4:$A$1510=$A400)*('Match Log'!$E$4:$E$1510="Win")),'Match Log'!$D$4:$D$1510),""))</f>
        <v/>
      </c>
      <c r="E400" t="str">
        <f>IFERROR(INDEX('Match Log'!$F$4:$F$1510,MATCH($A400,'Match Log'!$A$4:$A$1510,0)),"")</f>
        <v/>
      </c>
      <c r="F400">
        <f>IFERROR(SUMIFS('Match Log'!$I$4:$I$1510,'Match Log'!$A$4:$A$1510,$A400,'Match Log'!$E$4:$E$1510,"Win"),"")</f>
        <v>0</v>
      </c>
      <c r="G400" t="str">
        <f t="shared" si="32"/>
        <v/>
      </c>
      <c r="H400" t="str">
        <f t="array" ref="H400">IFERROR(IF(COUNTIFS('Match Log'!$A$4:$A$1510,$A400,'Match Log'!$E$4:$E$1510,"Win")&gt;1,_xlfn.TEXTJOIN(" + ",TRUE(),IF(('Match Log'!$A$4:$A$1510=$A400)*('Match Log'!$E$4:$E$1510="Loss"),'Match Log'!$D$4:$D$1510,"")),IF($E400=2,LOOKUP(2,1/(('Match Log'!$A$4:$A$1510=$A400)*('Match Log'!$E$4:$E$1510="Loss")),'Match Log'!$D$4:$D$1510),"the field")),"")</f>
        <v>the field</v>
      </c>
      <c r="I400" t="str">
        <f t="shared" si="33"/>
        <v/>
      </c>
      <c r="J400">
        <v>376</v>
      </c>
      <c r="K400" t="e">
        <f>IF($J400&gt;MAX('Match Log'!$A$4:$A$1510),NA(),IFERROR(LOOKUP(2,1/(('Match Log'!$D$4:$D$1510=$K$24)*('Match Log'!$A$4:$A$1510&lt;=$J400)),'Match Log'!$N$4:$N$1510),NA()))</f>
        <v>#N/A</v>
      </c>
      <c r="L400" t="e">
        <f>IF($J400&gt;MAX('Match Log'!$A$4:$A$1510),NA(),IFERROR(LOOKUP(2,1/(('Match Log'!$D$4:$D$1510=$L$24)*('Match Log'!$A$4:$A$1510&lt;=$J400)),'Match Log'!$N$4:$N$1510),NA()))</f>
        <v>#N/A</v>
      </c>
      <c r="M400" t="e">
        <f>IF($J400&gt;MAX('Match Log'!$A$4:$A$1510),NA(),IFERROR(LOOKUP(2,1/(('Match Log'!$D$4:$D$1510=$M$24)*('Match Log'!$A$4:$A$1510&lt;=$J400)),'Match Log'!$N$4:$N$1510),NA()))</f>
        <v>#N/A</v>
      </c>
      <c r="N400" t="e">
        <f>IF($J400&gt;MAX('Match Log'!$A$4:$A$1510),NA(),IFERROR(LOOKUP(2,1/(('Match Log'!$D$4:$D$1510=$N$24)*('Match Log'!$A$4:$A$1510&lt;=$J400)),'Match Log'!$N$4:$N$1510),NA()))</f>
        <v>#N/A</v>
      </c>
      <c r="O400" t="e">
        <f>IF($J400&gt;MAX('Match Log'!$A$4:$A$1510),NA(),IFERROR(LOOKUP(2,1/(('Match Log'!$D$4:$D$1510=$O$24)*('Match Log'!$A$4:$A$1510&lt;=$J400)),'Match Log'!$N$4:$N$1510),NA()))</f>
        <v>#N/A</v>
      </c>
      <c r="P400" t="e">
        <f>IF($J400&gt;MAX('Match Log'!$A$4:$A$1510),NA(),IFERROR(LOOKUP(2,1/(('Match Log'!$D$4:$D$1510=$P$24)*('Match Log'!$A$4:$A$1510&lt;=$J400)),'Match Log'!$N$4:$N$1510),NA()))</f>
        <v>#N/A</v>
      </c>
      <c r="Q400" t="e">
        <f>IF($J400&gt;MAX('Match Log'!$A$4:$A$1510),NA(),IFERROR(LOOKUP(2,1/(('Match Log'!$D$4:$D$1510=$Q$24)*('Match Log'!$A$4:$A$1510&lt;=$J400)),'Match Log'!$N$4:$N$1510),NA()))</f>
        <v>#N/A</v>
      </c>
      <c r="R400" t="e">
        <f>IF($J400&gt;MAX('Match Log'!$A$4:$A$1510),NA(),IFERROR(LOOKUP(2,1/(('Match Log'!$D$4:$D$1510=$R$24)*('Match Log'!$A$4:$A$1510&lt;=$J400)),'Match Log'!$N$4:$N$1510),NA()))</f>
        <v>#N/A</v>
      </c>
      <c r="S400" t="e">
        <f>IF($J400&gt;MAX('Match Log'!$A$4:$A$1510),NA(),IFERROR(LOOKUP(2,1/(('Match Log'!$D$4:$D$1510=$S$24)*('Match Log'!$A$4:$A$1510&lt;=$J400)),'Match Log'!$N$4:$N$1510),NA()))</f>
        <v>#N/A</v>
      </c>
      <c r="T400" t="e">
        <f>IF($J400&gt;MAX('Match Log'!$A$4:$A$1510),NA(),IFERROR(LOOKUP(2,1/(('Match Log'!$D$4:$D$1510=$T$24)*('Match Log'!$A$4:$A$1510&lt;=$J400)),'Match Log'!$N$4:$N$1510),NA()))</f>
        <v>#N/A</v>
      </c>
      <c r="U400" t="e">
        <f>IF($J400&gt;MAX('Match Log'!$A$4:$A$1510),NA(),IFERROR(LOOKUP(2,1/(('Match Log'!$D$4:$D$1510=$U$24)*('Match Log'!$A$4:$A$1510&lt;=$J400)),'Match Log'!$N$4:$N$1510),NA()))</f>
        <v>#N/A</v>
      </c>
      <c r="V400" t="e">
        <f>IF($J400&gt;MAX('Match Log'!$A$4:$A$1510),NA(),IFERROR(LOOKUP(2,1/(('Match Log'!$D$4:$D$1510=$V$24)*('Match Log'!$A$4:$A$1510&lt;=$J400)),'Match Log'!$N$4:$N$1510),NA()))</f>
        <v>#N/A</v>
      </c>
      <c r="W400" t="e">
        <f>IF($J400&gt;MAX('Match Log'!$A$4:$A$1510),NA(),IFERROR(LOOKUP(2,1/(('Match Log'!$D$4:$D$1510=$W$24)*('Match Log'!$A$4:$A$1510&lt;=$J400)),'Match Log'!$N$4:$N$1510),NA()))</f>
        <v>#N/A</v>
      </c>
      <c r="X400" t="e">
        <f>IF($J400&gt;MAX('Match Log'!$A$4:$A$1510),NA(),IFERROR(LOOKUP(2,1/(('Match Log'!$D$4:$D$1510=$X$24)*('Match Log'!$A$4:$A$1510&lt;=$J400)),'Match Log'!$N$4:$N$1510),NA()))</f>
        <v>#N/A</v>
      </c>
      <c r="Y400" t="str">
        <f t="shared" ca="1" si="34"/>
        <v/>
      </c>
    </row>
    <row r="401" spans="1:25" x14ac:dyDescent="0.2">
      <c r="A401">
        <v>377</v>
      </c>
      <c r="B401" t="str">
        <f>IFERROR(INDEX('Match Log'!$B$4:$B$1510,MATCH($A401,'Match Log'!$A$4:$A$1510,0)),"")</f>
        <v/>
      </c>
      <c r="C401" t="str">
        <f>IFERROR(INDEX('Match Log'!$C$4:$C$1510,MATCH($A401,'Match Log'!$A$4:$A$1510,0)),"")</f>
        <v/>
      </c>
      <c r="D401" t="str">
        <f t="array" ref="D401">IFERROR(_xlfn.TEXTJOIN(" + ",TRUE(),IF(('Match Log'!$A$4:$A$1510=$A401)*('Match Log'!$E$4:$E$1510="Win"),'Match Log'!$D$4:$D$1510,"")),IFERROR(LOOKUP(2,1/(('Match Log'!$A$4:$A$1510=$A401)*('Match Log'!$E$4:$E$1510="Win")),'Match Log'!$D$4:$D$1510),""))</f>
        <v/>
      </c>
      <c r="E401" t="str">
        <f>IFERROR(INDEX('Match Log'!$F$4:$F$1510,MATCH($A401,'Match Log'!$A$4:$A$1510,0)),"")</f>
        <v/>
      </c>
      <c r="F401">
        <f>IFERROR(SUMIFS('Match Log'!$I$4:$I$1510,'Match Log'!$A$4:$A$1510,$A401,'Match Log'!$E$4:$E$1510,"Win"),"")</f>
        <v>0</v>
      </c>
      <c r="G401" t="str">
        <f t="shared" si="32"/>
        <v/>
      </c>
      <c r="H401" t="str">
        <f t="array" ref="H401">IFERROR(IF(COUNTIFS('Match Log'!$A$4:$A$1510,$A401,'Match Log'!$E$4:$E$1510,"Win")&gt;1,_xlfn.TEXTJOIN(" + ",TRUE(),IF(('Match Log'!$A$4:$A$1510=$A401)*('Match Log'!$E$4:$E$1510="Loss"),'Match Log'!$D$4:$D$1510,"")),IF($E401=2,LOOKUP(2,1/(('Match Log'!$A$4:$A$1510=$A401)*('Match Log'!$E$4:$E$1510="Loss")),'Match Log'!$D$4:$D$1510),"the field")),"")</f>
        <v>the field</v>
      </c>
      <c r="I401" t="str">
        <f t="shared" si="33"/>
        <v/>
      </c>
      <c r="J401">
        <v>377</v>
      </c>
      <c r="K401" t="e">
        <f>IF($J401&gt;MAX('Match Log'!$A$4:$A$1510),NA(),IFERROR(LOOKUP(2,1/(('Match Log'!$D$4:$D$1510=$K$24)*('Match Log'!$A$4:$A$1510&lt;=$J401)),'Match Log'!$N$4:$N$1510),NA()))</f>
        <v>#N/A</v>
      </c>
      <c r="L401" t="e">
        <f>IF($J401&gt;MAX('Match Log'!$A$4:$A$1510),NA(),IFERROR(LOOKUP(2,1/(('Match Log'!$D$4:$D$1510=$L$24)*('Match Log'!$A$4:$A$1510&lt;=$J401)),'Match Log'!$N$4:$N$1510),NA()))</f>
        <v>#N/A</v>
      </c>
      <c r="M401" t="e">
        <f>IF($J401&gt;MAX('Match Log'!$A$4:$A$1510),NA(),IFERROR(LOOKUP(2,1/(('Match Log'!$D$4:$D$1510=$M$24)*('Match Log'!$A$4:$A$1510&lt;=$J401)),'Match Log'!$N$4:$N$1510),NA()))</f>
        <v>#N/A</v>
      </c>
      <c r="N401" t="e">
        <f>IF($J401&gt;MAX('Match Log'!$A$4:$A$1510),NA(),IFERROR(LOOKUP(2,1/(('Match Log'!$D$4:$D$1510=$N$24)*('Match Log'!$A$4:$A$1510&lt;=$J401)),'Match Log'!$N$4:$N$1510),NA()))</f>
        <v>#N/A</v>
      </c>
      <c r="O401" t="e">
        <f>IF($J401&gt;MAX('Match Log'!$A$4:$A$1510),NA(),IFERROR(LOOKUP(2,1/(('Match Log'!$D$4:$D$1510=$O$24)*('Match Log'!$A$4:$A$1510&lt;=$J401)),'Match Log'!$N$4:$N$1510),NA()))</f>
        <v>#N/A</v>
      </c>
      <c r="P401" t="e">
        <f>IF($J401&gt;MAX('Match Log'!$A$4:$A$1510),NA(),IFERROR(LOOKUP(2,1/(('Match Log'!$D$4:$D$1510=$P$24)*('Match Log'!$A$4:$A$1510&lt;=$J401)),'Match Log'!$N$4:$N$1510),NA()))</f>
        <v>#N/A</v>
      </c>
      <c r="Q401" t="e">
        <f>IF($J401&gt;MAX('Match Log'!$A$4:$A$1510),NA(),IFERROR(LOOKUP(2,1/(('Match Log'!$D$4:$D$1510=$Q$24)*('Match Log'!$A$4:$A$1510&lt;=$J401)),'Match Log'!$N$4:$N$1510),NA()))</f>
        <v>#N/A</v>
      </c>
      <c r="R401" t="e">
        <f>IF($J401&gt;MAX('Match Log'!$A$4:$A$1510),NA(),IFERROR(LOOKUP(2,1/(('Match Log'!$D$4:$D$1510=$R$24)*('Match Log'!$A$4:$A$1510&lt;=$J401)),'Match Log'!$N$4:$N$1510),NA()))</f>
        <v>#N/A</v>
      </c>
      <c r="S401" t="e">
        <f>IF($J401&gt;MAX('Match Log'!$A$4:$A$1510),NA(),IFERROR(LOOKUP(2,1/(('Match Log'!$D$4:$D$1510=$S$24)*('Match Log'!$A$4:$A$1510&lt;=$J401)),'Match Log'!$N$4:$N$1510),NA()))</f>
        <v>#N/A</v>
      </c>
      <c r="T401" t="e">
        <f>IF($J401&gt;MAX('Match Log'!$A$4:$A$1510),NA(),IFERROR(LOOKUP(2,1/(('Match Log'!$D$4:$D$1510=$T$24)*('Match Log'!$A$4:$A$1510&lt;=$J401)),'Match Log'!$N$4:$N$1510),NA()))</f>
        <v>#N/A</v>
      </c>
      <c r="U401" t="e">
        <f>IF($J401&gt;MAX('Match Log'!$A$4:$A$1510),NA(),IFERROR(LOOKUP(2,1/(('Match Log'!$D$4:$D$1510=$U$24)*('Match Log'!$A$4:$A$1510&lt;=$J401)),'Match Log'!$N$4:$N$1510),NA()))</f>
        <v>#N/A</v>
      </c>
      <c r="V401" t="e">
        <f>IF($J401&gt;MAX('Match Log'!$A$4:$A$1510),NA(),IFERROR(LOOKUP(2,1/(('Match Log'!$D$4:$D$1510=$V$24)*('Match Log'!$A$4:$A$1510&lt;=$J401)),'Match Log'!$N$4:$N$1510),NA()))</f>
        <v>#N/A</v>
      </c>
      <c r="W401" t="e">
        <f>IF($J401&gt;MAX('Match Log'!$A$4:$A$1510),NA(),IFERROR(LOOKUP(2,1/(('Match Log'!$D$4:$D$1510=$W$24)*('Match Log'!$A$4:$A$1510&lt;=$J401)),'Match Log'!$N$4:$N$1510),NA()))</f>
        <v>#N/A</v>
      </c>
      <c r="X401" t="e">
        <f>IF($J401&gt;MAX('Match Log'!$A$4:$A$1510),NA(),IFERROR(LOOKUP(2,1/(('Match Log'!$D$4:$D$1510=$X$24)*('Match Log'!$A$4:$A$1510&lt;=$J401)),'Match Log'!$N$4:$N$1510),NA()))</f>
        <v>#N/A</v>
      </c>
      <c r="Y401" t="str">
        <f t="shared" ca="1" si="34"/>
        <v/>
      </c>
    </row>
    <row r="402" spans="1:25" x14ac:dyDescent="0.2">
      <c r="A402">
        <v>378</v>
      </c>
      <c r="B402" t="str">
        <f>IFERROR(INDEX('Match Log'!$B$4:$B$1510,MATCH($A402,'Match Log'!$A$4:$A$1510,0)),"")</f>
        <v/>
      </c>
      <c r="C402" t="str">
        <f>IFERROR(INDEX('Match Log'!$C$4:$C$1510,MATCH($A402,'Match Log'!$A$4:$A$1510,0)),"")</f>
        <v/>
      </c>
      <c r="D402" t="str">
        <f t="array" ref="D402">IFERROR(_xlfn.TEXTJOIN(" + ",TRUE(),IF(('Match Log'!$A$4:$A$1510=$A402)*('Match Log'!$E$4:$E$1510="Win"),'Match Log'!$D$4:$D$1510,"")),IFERROR(LOOKUP(2,1/(('Match Log'!$A$4:$A$1510=$A402)*('Match Log'!$E$4:$E$1510="Win")),'Match Log'!$D$4:$D$1510),""))</f>
        <v/>
      </c>
      <c r="E402" t="str">
        <f>IFERROR(INDEX('Match Log'!$F$4:$F$1510,MATCH($A402,'Match Log'!$A$4:$A$1510,0)),"")</f>
        <v/>
      </c>
      <c r="F402">
        <f>IFERROR(SUMIFS('Match Log'!$I$4:$I$1510,'Match Log'!$A$4:$A$1510,$A402,'Match Log'!$E$4:$E$1510,"Win"),"")</f>
        <v>0</v>
      </c>
      <c r="G402" t="str">
        <f t="shared" si="32"/>
        <v/>
      </c>
      <c r="H402" t="str">
        <f t="array" ref="H402">IFERROR(IF(COUNTIFS('Match Log'!$A$4:$A$1510,$A402,'Match Log'!$E$4:$E$1510,"Win")&gt;1,_xlfn.TEXTJOIN(" + ",TRUE(),IF(('Match Log'!$A$4:$A$1510=$A402)*('Match Log'!$E$4:$E$1510="Loss"),'Match Log'!$D$4:$D$1510,"")),IF($E402=2,LOOKUP(2,1/(('Match Log'!$A$4:$A$1510=$A402)*('Match Log'!$E$4:$E$1510="Loss")),'Match Log'!$D$4:$D$1510),"the field")),"")</f>
        <v>the field</v>
      </c>
      <c r="I402" t="str">
        <f t="shared" si="33"/>
        <v/>
      </c>
      <c r="J402">
        <v>378</v>
      </c>
      <c r="K402" t="e">
        <f>IF($J402&gt;MAX('Match Log'!$A$4:$A$1510),NA(),IFERROR(LOOKUP(2,1/(('Match Log'!$D$4:$D$1510=$K$24)*('Match Log'!$A$4:$A$1510&lt;=$J402)),'Match Log'!$N$4:$N$1510),NA()))</f>
        <v>#N/A</v>
      </c>
      <c r="L402" t="e">
        <f>IF($J402&gt;MAX('Match Log'!$A$4:$A$1510),NA(),IFERROR(LOOKUP(2,1/(('Match Log'!$D$4:$D$1510=$L$24)*('Match Log'!$A$4:$A$1510&lt;=$J402)),'Match Log'!$N$4:$N$1510),NA()))</f>
        <v>#N/A</v>
      </c>
      <c r="M402" t="e">
        <f>IF($J402&gt;MAX('Match Log'!$A$4:$A$1510),NA(),IFERROR(LOOKUP(2,1/(('Match Log'!$D$4:$D$1510=$M$24)*('Match Log'!$A$4:$A$1510&lt;=$J402)),'Match Log'!$N$4:$N$1510),NA()))</f>
        <v>#N/A</v>
      </c>
      <c r="N402" t="e">
        <f>IF($J402&gt;MAX('Match Log'!$A$4:$A$1510),NA(),IFERROR(LOOKUP(2,1/(('Match Log'!$D$4:$D$1510=$N$24)*('Match Log'!$A$4:$A$1510&lt;=$J402)),'Match Log'!$N$4:$N$1510),NA()))</f>
        <v>#N/A</v>
      </c>
      <c r="O402" t="e">
        <f>IF($J402&gt;MAX('Match Log'!$A$4:$A$1510),NA(),IFERROR(LOOKUP(2,1/(('Match Log'!$D$4:$D$1510=$O$24)*('Match Log'!$A$4:$A$1510&lt;=$J402)),'Match Log'!$N$4:$N$1510),NA()))</f>
        <v>#N/A</v>
      </c>
      <c r="P402" t="e">
        <f>IF($J402&gt;MAX('Match Log'!$A$4:$A$1510),NA(),IFERROR(LOOKUP(2,1/(('Match Log'!$D$4:$D$1510=$P$24)*('Match Log'!$A$4:$A$1510&lt;=$J402)),'Match Log'!$N$4:$N$1510),NA()))</f>
        <v>#N/A</v>
      </c>
      <c r="Q402" t="e">
        <f>IF($J402&gt;MAX('Match Log'!$A$4:$A$1510),NA(),IFERROR(LOOKUP(2,1/(('Match Log'!$D$4:$D$1510=$Q$24)*('Match Log'!$A$4:$A$1510&lt;=$J402)),'Match Log'!$N$4:$N$1510),NA()))</f>
        <v>#N/A</v>
      </c>
      <c r="R402" t="e">
        <f>IF($J402&gt;MAX('Match Log'!$A$4:$A$1510),NA(),IFERROR(LOOKUP(2,1/(('Match Log'!$D$4:$D$1510=$R$24)*('Match Log'!$A$4:$A$1510&lt;=$J402)),'Match Log'!$N$4:$N$1510),NA()))</f>
        <v>#N/A</v>
      </c>
      <c r="S402" t="e">
        <f>IF($J402&gt;MAX('Match Log'!$A$4:$A$1510),NA(),IFERROR(LOOKUP(2,1/(('Match Log'!$D$4:$D$1510=$S$24)*('Match Log'!$A$4:$A$1510&lt;=$J402)),'Match Log'!$N$4:$N$1510),NA()))</f>
        <v>#N/A</v>
      </c>
      <c r="T402" t="e">
        <f>IF($J402&gt;MAX('Match Log'!$A$4:$A$1510),NA(),IFERROR(LOOKUP(2,1/(('Match Log'!$D$4:$D$1510=$T$24)*('Match Log'!$A$4:$A$1510&lt;=$J402)),'Match Log'!$N$4:$N$1510),NA()))</f>
        <v>#N/A</v>
      </c>
      <c r="U402" t="e">
        <f>IF($J402&gt;MAX('Match Log'!$A$4:$A$1510),NA(),IFERROR(LOOKUP(2,1/(('Match Log'!$D$4:$D$1510=$U$24)*('Match Log'!$A$4:$A$1510&lt;=$J402)),'Match Log'!$N$4:$N$1510),NA()))</f>
        <v>#N/A</v>
      </c>
      <c r="V402" t="e">
        <f>IF($J402&gt;MAX('Match Log'!$A$4:$A$1510),NA(),IFERROR(LOOKUP(2,1/(('Match Log'!$D$4:$D$1510=$V$24)*('Match Log'!$A$4:$A$1510&lt;=$J402)),'Match Log'!$N$4:$N$1510),NA()))</f>
        <v>#N/A</v>
      </c>
      <c r="W402" t="e">
        <f>IF($J402&gt;MAX('Match Log'!$A$4:$A$1510),NA(),IFERROR(LOOKUP(2,1/(('Match Log'!$D$4:$D$1510=$W$24)*('Match Log'!$A$4:$A$1510&lt;=$J402)),'Match Log'!$N$4:$N$1510),NA()))</f>
        <v>#N/A</v>
      </c>
      <c r="X402" t="e">
        <f>IF($J402&gt;MAX('Match Log'!$A$4:$A$1510),NA(),IFERROR(LOOKUP(2,1/(('Match Log'!$D$4:$D$1510=$X$24)*('Match Log'!$A$4:$A$1510&lt;=$J402)),'Match Log'!$N$4:$N$1510),NA()))</f>
        <v>#N/A</v>
      </c>
      <c r="Y402" t="str">
        <f t="shared" ca="1" si="34"/>
        <v/>
      </c>
    </row>
    <row r="403" spans="1:25" x14ac:dyDescent="0.2">
      <c r="A403">
        <v>379</v>
      </c>
      <c r="B403" t="str">
        <f>IFERROR(INDEX('Match Log'!$B$4:$B$1510,MATCH($A403,'Match Log'!$A$4:$A$1510,0)),"")</f>
        <v/>
      </c>
      <c r="C403" t="str">
        <f>IFERROR(INDEX('Match Log'!$C$4:$C$1510,MATCH($A403,'Match Log'!$A$4:$A$1510,0)),"")</f>
        <v/>
      </c>
      <c r="D403" t="str">
        <f t="array" ref="D403">IFERROR(_xlfn.TEXTJOIN(" + ",TRUE(),IF(('Match Log'!$A$4:$A$1510=$A403)*('Match Log'!$E$4:$E$1510="Win"),'Match Log'!$D$4:$D$1510,"")),IFERROR(LOOKUP(2,1/(('Match Log'!$A$4:$A$1510=$A403)*('Match Log'!$E$4:$E$1510="Win")),'Match Log'!$D$4:$D$1510),""))</f>
        <v/>
      </c>
      <c r="E403" t="str">
        <f>IFERROR(INDEX('Match Log'!$F$4:$F$1510,MATCH($A403,'Match Log'!$A$4:$A$1510,0)),"")</f>
        <v/>
      </c>
      <c r="F403">
        <f>IFERROR(SUMIFS('Match Log'!$I$4:$I$1510,'Match Log'!$A$4:$A$1510,$A403,'Match Log'!$E$4:$E$1510,"Win"),"")</f>
        <v>0</v>
      </c>
      <c r="G403" t="str">
        <f t="shared" si="32"/>
        <v/>
      </c>
      <c r="H403" t="str">
        <f t="array" ref="H403">IFERROR(IF(COUNTIFS('Match Log'!$A$4:$A$1510,$A403,'Match Log'!$E$4:$E$1510,"Win")&gt;1,_xlfn.TEXTJOIN(" + ",TRUE(),IF(('Match Log'!$A$4:$A$1510=$A403)*('Match Log'!$E$4:$E$1510="Loss"),'Match Log'!$D$4:$D$1510,"")),IF($E403=2,LOOKUP(2,1/(('Match Log'!$A$4:$A$1510=$A403)*('Match Log'!$E$4:$E$1510="Loss")),'Match Log'!$D$4:$D$1510),"the field")),"")</f>
        <v>the field</v>
      </c>
      <c r="I403" t="str">
        <f t="shared" si="33"/>
        <v/>
      </c>
      <c r="J403">
        <v>379</v>
      </c>
      <c r="K403" t="e">
        <f>IF($J403&gt;MAX('Match Log'!$A$4:$A$1510),NA(),IFERROR(LOOKUP(2,1/(('Match Log'!$D$4:$D$1510=$K$24)*('Match Log'!$A$4:$A$1510&lt;=$J403)),'Match Log'!$N$4:$N$1510),NA()))</f>
        <v>#N/A</v>
      </c>
      <c r="L403" t="e">
        <f>IF($J403&gt;MAX('Match Log'!$A$4:$A$1510),NA(),IFERROR(LOOKUP(2,1/(('Match Log'!$D$4:$D$1510=$L$24)*('Match Log'!$A$4:$A$1510&lt;=$J403)),'Match Log'!$N$4:$N$1510),NA()))</f>
        <v>#N/A</v>
      </c>
      <c r="M403" t="e">
        <f>IF($J403&gt;MAX('Match Log'!$A$4:$A$1510),NA(),IFERROR(LOOKUP(2,1/(('Match Log'!$D$4:$D$1510=$M$24)*('Match Log'!$A$4:$A$1510&lt;=$J403)),'Match Log'!$N$4:$N$1510),NA()))</f>
        <v>#N/A</v>
      </c>
      <c r="N403" t="e">
        <f>IF($J403&gt;MAX('Match Log'!$A$4:$A$1510),NA(),IFERROR(LOOKUP(2,1/(('Match Log'!$D$4:$D$1510=$N$24)*('Match Log'!$A$4:$A$1510&lt;=$J403)),'Match Log'!$N$4:$N$1510),NA()))</f>
        <v>#N/A</v>
      </c>
      <c r="O403" t="e">
        <f>IF($J403&gt;MAX('Match Log'!$A$4:$A$1510),NA(),IFERROR(LOOKUP(2,1/(('Match Log'!$D$4:$D$1510=$O$24)*('Match Log'!$A$4:$A$1510&lt;=$J403)),'Match Log'!$N$4:$N$1510),NA()))</f>
        <v>#N/A</v>
      </c>
      <c r="P403" t="e">
        <f>IF($J403&gt;MAX('Match Log'!$A$4:$A$1510),NA(),IFERROR(LOOKUP(2,1/(('Match Log'!$D$4:$D$1510=$P$24)*('Match Log'!$A$4:$A$1510&lt;=$J403)),'Match Log'!$N$4:$N$1510),NA()))</f>
        <v>#N/A</v>
      </c>
      <c r="Q403" t="e">
        <f>IF($J403&gt;MAX('Match Log'!$A$4:$A$1510),NA(),IFERROR(LOOKUP(2,1/(('Match Log'!$D$4:$D$1510=$Q$24)*('Match Log'!$A$4:$A$1510&lt;=$J403)),'Match Log'!$N$4:$N$1510),NA()))</f>
        <v>#N/A</v>
      </c>
      <c r="R403" t="e">
        <f>IF($J403&gt;MAX('Match Log'!$A$4:$A$1510),NA(),IFERROR(LOOKUP(2,1/(('Match Log'!$D$4:$D$1510=$R$24)*('Match Log'!$A$4:$A$1510&lt;=$J403)),'Match Log'!$N$4:$N$1510),NA()))</f>
        <v>#N/A</v>
      </c>
      <c r="S403" t="e">
        <f>IF($J403&gt;MAX('Match Log'!$A$4:$A$1510),NA(),IFERROR(LOOKUP(2,1/(('Match Log'!$D$4:$D$1510=$S$24)*('Match Log'!$A$4:$A$1510&lt;=$J403)),'Match Log'!$N$4:$N$1510),NA()))</f>
        <v>#N/A</v>
      </c>
      <c r="T403" t="e">
        <f>IF($J403&gt;MAX('Match Log'!$A$4:$A$1510),NA(),IFERROR(LOOKUP(2,1/(('Match Log'!$D$4:$D$1510=$T$24)*('Match Log'!$A$4:$A$1510&lt;=$J403)),'Match Log'!$N$4:$N$1510),NA()))</f>
        <v>#N/A</v>
      </c>
      <c r="U403" t="e">
        <f>IF($J403&gt;MAX('Match Log'!$A$4:$A$1510),NA(),IFERROR(LOOKUP(2,1/(('Match Log'!$D$4:$D$1510=$U$24)*('Match Log'!$A$4:$A$1510&lt;=$J403)),'Match Log'!$N$4:$N$1510),NA()))</f>
        <v>#N/A</v>
      </c>
      <c r="V403" t="e">
        <f>IF($J403&gt;MAX('Match Log'!$A$4:$A$1510),NA(),IFERROR(LOOKUP(2,1/(('Match Log'!$D$4:$D$1510=$V$24)*('Match Log'!$A$4:$A$1510&lt;=$J403)),'Match Log'!$N$4:$N$1510),NA()))</f>
        <v>#N/A</v>
      </c>
      <c r="W403" t="e">
        <f>IF($J403&gt;MAX('Match Log'!$A$4:$A$1510),NA(),IFERROR(LOOKUP(2,1/(('Match Log'!$D$4:$D$1510=$W$24)*('Match Log'!$A$4:$A$1510&lt;=$J403)),'Match Log'!$N$4:$N$1510),NA()))</f>
        <v>#N/A</v>
      </c>
      <c r="X403" t="e">
        <f>IF($J403&gt;MAX('Match Log'!$A$4:$A$1510),NA(),IFERROR(LOOKUP(2,1/(('Match Log'!$D$4:$D$1510=$X$24)*('Match Log'!$A$4:$A$1510&lt;=$J403)),'Match Log'!$N$4:$N$1510),NA()))</f>
        <v>#N/A</v>
      </c>
      <c r="Y403" t="str">
        <f t="shared" ca="1" si="34"/>
        <v/>
      </c>
    </row>
    <row r="404" spans="1:25" x14ac:dyDescent="0.2">
      <c r="A404">
        <v>380</v>
      </c>
      <c r="B404" t="str">
        <f>IFERROR(INDEX('Match Log'!$B$4:$B$1510,MATCH($A404,'Match Log'!$A$4:$A$1510,0)),"")</f>
        <v/>
      </c>
      <c r="C404" t="str">
        <f>IFERROR(INDEX('Match Log'!$C$4:$C$1510,MATCH($A404,'Match Log'!$A$4:$A$1510,0)),"")</f>
        <v/>
      </c>
      <c r="D404" t="str">
        <f t="array" ref="D404">IFERROR(_xlfn.TEXTJOIN(" + ",TRUE(),IF(('Match Log'!$A$4:$A$1510=$A404)*('Match Log'!$E$4:$E$1510="Win"),'Match Log'!$D$4:$D$1510,"")),IFERROR(LOOKUP(2,1/(('Match Log'!$A$4:$A$1510=$A404)*('Match Log'!$E$4:$E$1510="Win")),'Match Log'!$D$4:$D$1510),""))</f>
        <v/>
      </c>
      <c r="E404" t="str">
        <f>IFERROR(INDEX('Match Log'!$F$4:$F$1510,MATCH($A404,'Match Log'!$A$4:$A$1510,0)),"")</f>
        <v/>
      </c>
      <c r="F404">
        <f>IFERROR(SUMIFS('Match Log'!$I$4:$I$1510,'Match Log'!$A$4:$A$1510,$A404,'Match Log'!$E$4:$E$1510,"Win"),"")</f>
        <v>0</v>
      </c>
      <c r="G404" t="str">
        <f t="shared" si="32"/>
        <v/>
      </c>
      <c r="H404" t="str">
        <f t="array" ref="H404">IFERROR(IF(COUNTIFS('Match Log'!$A$4:$A$1510,$A404,'Match Log'!$E$4:$E$1510,"Win")&gt;1,_xlfn.TEXTJOIN(" + ",TRUE(),IF(('Match Log'!$A$4:$A$1510=$A404)*('Match Log'!$E$4:$E$1510="Loss"),'Match Log'!$D$4:$D$1510,"")),IF($E404=2,LOOKUP(2,1/(('Match Log'!$A$4:$A$1510=$A404)*('Match Log'!$E$4:$E$1510="Loss")),'Match Log'!$D$4:$D$1510),"the field")),"")</f>
        <v>the field</v>
      </c>
      <c r="I404" t="str">
        <f t="shared" si="33"/>
        <v/>
      </c>
      <c r="J404">
        <v>380</v>
      </c>
      <c r="K404" t="e">
        <f>IF($J404&gt;MAX('Match Log'!$A$4:$A$1510),NA(),IFERROR(LOOKUP(2,1/(('Match Log'!$D$4:$D$1510=$K$24)*('Match Log'!$A$4:$A$1510&lt;=$J404)),'Match Log'!$N$4:$N$1510),NA()))</f>
        <v>#N/A</v>
      </c>
      <c r="L404" t="e">
        <f>IF($J404&gt;MAX('Match Log'!$A$4:$A$1510),NA(),IFERROR(LOOKUP(2,1/(('Match Log'!$D$4:$D$1510=$L$24)*('Match Log'!$A$4:$A$1510&lt;=$J404)),'Match Log'!$N$4:$N$1510),NA()))</f>
        <v>#N/A</v>
      </c>
      <c r="M404" t="e">
        <f>IF($J404&gt;MAX('Match Log'!$A$4:$A$1510),NA(),IFERROR(LOOKUP(2,1/(('Match Log'!$D$4:$D$1510=$M$24)*('Match Log'!$A$4:$A$1510&lt;=$J404)),'Match Log'!$N$4:$N$1510),NA()))</f>
        <v>#N/A</v>
      </c>
      <c r="N404" t="e">
        <f>IF($J404&gt;MAX('Match Log'!$A$4:$A$1510),NA(),IFERROR(LOOKUP(2,1/(('Match Log'!$D$4:$D$1510=$N$24)*('Match Log'!$A$4:$A$1510&lt;=$J404)),'Match Log'!$N$4:$N$1510),NA()))</f>
        <v>#N/A</v>
      </c>
      <c r="O404" t="e">
        <f>IF($J404&gt;MAX('Match Log'!$A$4:$A$1510),NA(),IFERROR(LOOKUP(2,1/(('Match Log'!$D$4:$D$1510=$O$24)*('Match Log'!$A$4:$A$1510&lt;=$J404)),'Match Log'!$N$4:$N$1510),NA()))</f>
        <v>#N/A</v>
      </c>
      <c r="P404" t="e">
        <f>IF($J404&gt;MAX('Match Log'!$A$4:$A$1510),NA(),IFERROR(LOOKUP(2,1/(('Match Log'!$D$4:$D$1510=$P$24)*('Match Log'!$A$4:$A$1510&lt;=$J404)),'Match Log'!$N$4:$N$1510),NA()))</f>
        <v>#N/A</v>
      </c>
      <c r="Q404" t="e">
        <f>IF($J404&gt;MAX('Match Log'!$A$4:$A$1510),NA(),IFERROR(LOOKUP(2,1/(('Match Log'!$D$4:$D$1510=$Q$24)*('Match Log'!$A$4:$A$1510&lt;=$J404)),'Match Log'!$N$4:$N$1510),NA()))</f>
        <v>#N/A</v>
      </c>
      <c r="R404" t="e">
        <f>IF($J404&gt;MAX('Match Log'!$A$4:$A$1510),NA(),IFERROR(LOOKUP(2,1/(('Match Log'!$D$4:$D$1510=$R$24)*('Match Log'!$A$4:$A$1510&lt;=$J404)),'Match Log'!$N$4:$N$1510),NA()))</f>
        <v>#N/A</v>
      </c>
      <c r="S404" t="e">
        <f>IF($J404&gt;MAX('Match Log'!$A$4:$A$1510),NA(),IFERROR(LOOKUP(2,1/(('Match Log'!$D$4:$D$1510=$S$24)*('Match Log'!$A$4:$A$1510&lt;=$J404)),'Match Log'!$N$4:$N$1510),NA()))</f>
        <v>#N/A</v>
      </c>
      <c r="T404" t="e">
        <f>IF($J404&gt;MAX('Match Log'!$A$4:$A$1510),NA(),IFERROR(LOOKUP(2,1/(('Match Log'!$D$4:$D$1510=$T$24)*('Match Log'!$A$4:$A$1510&lt;=$J404)),'Match Log'!$N$4:$N$1510),NA()))</f>
        <v>#N/A</v>
      </c>
      <c r="U404" t="e">
        <f>IF($J404&gt;MAX('Match Log'!$A$4:$A$1510),NA(),IFERROR(LOOKUP(2,1/(('Match Log'!$D$4:$D$1510=$U$24)*('Match Log'!$A$4:$A$1510&lt;=$J404)),'Match Log'!$N$4:$N$1510),NA()))</f>
        <v>#N/A</v>
      </c>
      <c r="V404" t="e">
        <f>IF($J404&gt;MAX('Match Log'!$A$4:$A$1510),NA(),IFERROR(LOOKUP(2,1/(('Match Log'!$D$4:$D$1510=$V$24)*('Match Log'!$A$4:$A$1510&lt;=$J404)),'Match Log'!$N$4:$N$1510),NA()))</f>
        <v>#N/A</v>
      </c>
      <c r="W404" t="e">
        <f>IF($J404&gt;MAX('Match Log'!$A$4:$A$1510),NA(),IFERROR(LOOKUP(2,1/(('Match Log'!$D$4:$D$1510=$W$24)*('Match Log'!$A$4:$A$1510&lt;=$J404)),'Match Log'!$N$4:$N$1510),NA()))</f>
        <v>#N/A</v>
      </c>
      <c r="X404" t="e">
        <f>IF($J404&gt;MAX('Match Log'!$A$4:$A$1510),NA(),IFERROR(LOOKUP(2,1/(('Match Log'!$D$4:$D$1510=$X$24)*('Match Log'!$A$4:$A$1510&lt;=$J404)),'Match Log'!$N$4:$N$1510),NA()))</f>
        <v>#N/A</v>
      </c>
      <c r="Y404" t="str">
        <f t="shared" ca="1" si="34"/>
        <v/>
      </c>
    </row>
    <row r="405" spans="1:25" x14ac:dyDescent="0.2">
      <c r="A405">
        <v>381</v>
      </c>
      <c r="B405" t="str">
        <f>IFERROR(INDEX('Match Log'!$B$4:$B$1510,MATCH($A405,'Match Log'!$A$4:$A$1510,0)),"")</f>
        <v/>
      </c>
      <c r="C405" t="str">
        <f>IFERROR(INDEX('Match Log'!$C$4:$C$1510,MATCH($A405,'Match Log'!$A$4:$A$1510,0)),"")</f>
        <v/>
      </c>
      <c r="D405" t="str">
        <f t="array" ref="D405">IFERROR(_xlfn.TEXTJOIN(" + ",TRUE(),IF(('Match Log'!$A$4:$A$1510=$A405)*('Match Log'!$E$4:$E$1510="Win"),'Match Log'!$D$4:$D$1510,"")),IFERROR(LOOKUP(2,1/(('Match Log'!$A$4:$A$1510=$A405)*('Match Log'!$E$4:$E$1510="Win")),'Match Log'!$D$4:$D$1510),""))</f>
        <v/>
      </c>
      <c r="E405" t="str">
        <f>IFERROR(INDEX('Match Log'!$F$4:$F$1510,MATCH($A405,'Match Log'!$A$4:$A$1510,0)),"")</f>
        <v/>
      </c>
      <c r="F405">
        <f>IFERROR(SUMIFS('Match Log'!$I$4:$I$1510,'Match Log'!$A$4:$A$1510,$A405,'Match Log'!$E$4:$E$1510,"Win"),"")</f>
        <v>0</v>
      </c>
      <c r="G405" t="str">
        <f t="shared" si="32"/>
        <v/>
      </c>
      <c r="H405" t="str">
        <f t="array" ref="H405">IFERROR(IF(COUNTIFS('Match Log'!$A$4:$A$1510,$A405,'Match Log'!$E$4:$E$1510,"Win")&gt;1,_xlfn.TEXTJOIN(" + ",TRUE(),IF(('Match Log'!$A$4:$A$1510=$A405)*('Match Log'!$E$4:$E$1510="Loss"),'Match Log'!$D$4:$D$1510,"")),IF($E405=2,LOOKUP(2,1/(('Match Log'!$A$4:$A$1510=$A405)*('Match Log'!$E$4:$E$1510="Loss")),'Match Log'!$D$4:$D$1510),"the field")),"")</f>
        <v>the field</v>
      </c>
      <c r="I405" t="str">
        <f t="shared" si="33"/>
        <v/>
      </c>
      <c r="J405">
        <v>381</v>
      </c>
      <c r="K405" t="e">
        <f>IF($J405&gt;MAX('Match Log'!$A$4:$A$1510),NA(),IFERROR(LOOKUP(2,1/(('Match Log'!$D$4:$D$1510=$K$24)*('Match Log'!$A$4:$A$1510&lt;=$J405)),'Match Log'!$N$4:$N$1510),NA()))</f>
        <v>#N/A</v>
      </c>
      <c r="L405" t="e">
        <f>IF($J405&gt;MAX('Match Log'!$A$4:$A$1510),NA(),IFERROR(LOOKUP(2,1/(('Match Log'!$D$4:$D$1510=$L$24)*('Match Log'!$A$4:$A$1510&lt;=$J405)),'Match Log'!$N$4:$N$1510),NA()))</f>
        <v>#N/A</v>
      </c>
      <c r="M405" t="e">
        <f>IF($J405&gt;MAX('Match Log'!$A$4:$A$1510),NA(),IFERROR(LOOKUP(2,1/(('Match Log'!$D$4:$D$1510=$M$24)*('Match Log'!$A$4:$A$1510&lt;=$J405)),'Match Log'!$N$4:$N$1510),NA()))</f>
        <v>#N/A</v>
      </c>
      <c r="N405" t="e">
        <f>IF($J405&gt;MAX('Match Log'!$A$4:$A$1510),NA(),IFERROR(LOOKUP(2,1/(('Match Log'!$D$4:$D$1510=$N$24)*('Match Log'!$A$4:$A$1510&lt;=$J405)),'Match Log'!$N$4:$N$1510),NA()))</f>
        <v>#N/A</v>
      </c>
      <c r="O405" t="e">
        <f>IF($J405&gt;MAX('Match Log'!$A$4:$A$1510),NA(),IFERROR(LOOKUP(2,1/(('Match Log'!$D$4:$D$1510=$O$24)*('Match Log'!$A$4:$A$1510&lt;=$J405)),'Match Log'!$N$4:$N$1510),NA()))</f>
        <v>#N/A</v>
      </c>
      <c r="P405" t="e">
        <f>IF($J405&gt;MAX('Match Log'!$A$4:$A$1510),NA(),IFERROR(LOOKUP(2,1/(('Match Log'!$D$4:$D$1510=$P$24)*('Match Log'!$A$4:$A$1510&lt;=$J405)),'Match Log'!$N$4:$N$1510),NA()))</f>
        <v>#N/A</v>
      </c>
      <c r="Q405" t="e">
        <f>IF($J405&gt;MAX('Match Log'!$A$4:$A$1510),NA(),IFERROR(LOOKUP(2,1/(('Match Log'!$D$4:$D$1510=$Q$24)*('Match Log'!$A$4:$A$1510&lt;=$J405)),'Match Log'!$N$4:$N$1510),NA()))</f>
        <v>#N/A</v>
      </c>
      <c r="R405" t="e">
        <f>IF($J405&gt;MAX('Match Log'!$A$4:$A$1510),NA(),IFERROR(LOOKUP(2,1/(('Match Log'!$D$4:$D$1510=$R$24)*('Match Log'!$A$4:$A$1510&lt;=$J405)),'Match Log'!$N$4:$N$1510),NA()))</f>
        <v>#N/A</v>
      </c>
      <c r="S405" t="e">
        <f>IF($J405&gt;MAX('Match Log'!$A$4:$A$1510),NA(),IFERROR(LOOKUP(2,1/(('Match Log'!$D$4:$D$1510=$S$24)*('Match Log'!$A$4:$A$1510&lt;=$J405)),'Match Log'!$N$4:$N$1510),NA()))</f>
        <v>#N/A</v>
      </c>
      <c r="T405" t="e">
        <f>IF($J405&gt;MAX('Match Log'!$A$4:$A$1510),NA(),IFERROR(LOOKUP(2,1/(('Match Log'!$D$4:$D$1510=$T$24)*('Match Log'!$A$4:$A$1510&lt;=$J405)),'Match Log'!$N$4:$N$1510),NA()))</f>
        <v>#N/A</v>
      </c>
      <c r="U405" t="e">
        <f>IF($J405&gt;MAX('Match Log'!$A$4:$A$1510),NA(),IFERROR(LOOKUP(2,1/(('Match Log'!$D$4:$D$1510=$U$24)*('Match Log'!$A$4:$A$1510&lt;=$J405)),'Match Log'!$N$4:$N$1510),NA()))</f>
        <v>#N/A</v>
      </c>
      <c r="V405" t="e">
        <f>IF($J405&gt;MAX('Match Log'!$A$4:$A$1510),NA(),IFERROR(LOOKUP(2,1/(('Match Log'!$D$4:$D$1510=$V$24)*('Match Log'!$A$4:$A$1510&lt;=$J405)),'Match Log'!$N$4:$N$1510),NA()))</f>
        <v>#N/A</v>
      </c>
      <c r="W405" t="e">
        <f>IF($J405&gt;MAX('Match Log'!$A$4:$A$1510),NA(),IFERROR(LOOKUP(2,1/(('Match Log'!$D$4:$D$1510=$W$24)*('Match Log'!$A$4:$A$1510&lt;=$J405)),'Match Log'!$N$4:$N$1510),NA()))</f>
        <v>#N/A</v>
      </c>
      <c r="X405" t="e">
        <f>IF($J405&gt;MAX('Match Log'!$A$4:$A$1510),NA(),IFERROR(LOOKUP(2,1/(('Match Log'!$D$4:$D$1510=$X$24)*('Match Log'!$A$4:$A$1510&lt;=$J405)),'Match Log'!$N$4:$N$1510),NA()))</f>
        <v>#N/A</v>
      </c>
      <c r="Y405" t="str">
        <f t="shared" ca="1" si="34"/>
        <v/>
      </c>
    </row>
    <row r="406" spans="1:25" x14ac:dyDescent="0.2">
      <c r="A406">
        <v>382</v>
      </c>
      <c r="B406" t="str">
        <f>IFERROR(INDEX('Match Log'!$B$4:$B$1510,MATCH($A406,'Match Log'!$A$4:$A$1510,0)),"")</f>
        <v/>
      </c>
      <c r="C406" t="str">
        <f>IFERROR(INDEX('Match Log'!$C$4:$C$1510,MATCH($A406,'Match Log'!$A$4:$A$1510,0)),"")</f>
        <v/>
      </c>
      <c r="D406" t="str">
        <f t="array" ref="D406">IFERROR(_xlfn.TEXTJOIN(" + ",TRUE(),IF(('Match Log'!$A$4:$A$1510=$A406)*('Match Log'!$E$4:$E$1510="Win"),'Match Log'!$D$4:$D$1510,"")),IFERROR(LOOKUP(2,1/(('Match Log'!$A$4:$A$1510=$A406)*('Match Log'!$E$4:$E$1510="Win")),'Match Log'!$D$4:$D$1510),""))</f>
        <v/>
      </c>
      <c r="E406" t="str">
        <f>IFERROR(INDEX('Match Log'!$F$4:$F$1510,MATCH($A406,'Match Log'!$A$4:$A$1510,0)),"")</f>
        <v/>
      </c>
      <c r="F406">
        <f>IFERROR(SUMIFS('Match Log'!$I$4:$I$1510,'Match Log'!$A$4:$A$1510,$A406,'Match Log'!$E$4:$E$1510,"Win"),"")</f>
        <v>0</v>
      </c>
      <c r="G406" t="str">
        <f t="shared" si="32"/>
        <v/>
      </c>
      <c r="H406" t="str">
        <f t="array" ref="H406">IFERROR(IF(COUNTIFS('Match Log'!$A$4:$A$1510,$A406,'Match Log'!$E$4:$E$1510,"Win")&gt;1,_xlfn.TEXTJOIN(" + ",TRUE(),IF(('Match Log'!$A$4:$A$1510=$A406)*('Match Log'!$E$4:$E$1510="Loss"),'Match Log'!$D$4:$D$1510,"")),IF($E406=2,LOOKUP(2,1/(('Match Log'!$A$4:$A$1510=$A406)*('Match Log'!$E$4:$E$1510="Loss")),'Match Log'!$D$4:$D$1510),"the field")),"")</f>
        <v>the field</v>
      </c>
      <c r="I406" t="str">
        <f t="shared" si="33"/>
        <v/>
      </c>
      <c r="J406">
        <v>382</v>
      </c>
      <c r="K406" t="e">
        <f>IF($J406&gt;MAX('Match Log'!$A$4:$A$1510),NA(),IFERROR(LOOKUP(2,1/(('Match Log'!$D$4:$D$1510=$K$24)*('Match Log'!$A$4:$A$1510&lt;=$J406)),'Match Log'!$N$4:$N$1510),NA()))</f>
        <v>#N/A</v>
      </c>
      <c r="L406" t="e">
        <f>IF($J406&gt;MAX('Match Log'!$A$4:$A$1510),NA(),IFERROR(LOOKUP(2,1/(('Match Log'!$D$4:$D$1510=$L$24)*('Match Log'!$A$4:$A$1510&lt;=$J406)),'Match Log'!$N$4:$N$1510),NA()))</f>
        <v>#N/A</v>
      </c>
      <c r="M406" t="e">
        <f>IF($J406&gt;MAX('Match Log'!$A$4:$A$1510),NA(),IFERROR(LOOKUP(2,1/(('Match Log'!$D$4:$D$1510=$M$24)*('Match Log'!$A$4:$A$1510&lt;=$J406)),'Match Log'!$N$4:$N$1510),NA()))</f>
        <v>#N/A</v>
      </c>
      <c r="N406" t="e">
        <f>IF($J406&gt;MAX('Match Log'!$A$4:$A$1510),NA(),IFERROR(LOOKUP(2,1/(('Match Log'!$D$4:$D$1510=$N$24)*('Match Log'!$A$4:$A$1510&lt;=$J406)),'Match Log'!$N$4:$N$1510),NA()))</f>
        <v>#N/A</v>
      </c>
      <c r="O406" t="e">
        <f>IF($J406&gt;MAX('Match Log'!$A$4:$A$1510),NA(),IFERROR(LOOKUP(2,1/(('Match Log'!$D$4:$D$1510=$O$24)*('Match Log'!$A$4:$A$1510&lt;=$J406)),'Match Log'!$N$4:$N$1510),NA()))</f>
        <v>#N/A</v>
      </c>
      <c r="P406" t="e">
        <f>IF($J406&gt;MAX('Match Log'!$A$4:$A$1510),NA(),IFERROR(LOOKUP(2,1/(('Match Log'!$D$4:$D$1510=$P$24)*('Match Log'!$A$4:$A$1510&lt;=$J406)),'Match Log'!$N$4:$N$1510),NA()))</f>
        <v>#N/A</v>
      </c>
      <c r="Q406" t="e">
        <f>IF($J406&gt;MAX('Match Log'!$A$4:$A$1510),NA(),IFERROR(LOOKUP(2,1/(('Match Log'!$D$4:$D$1510=$Q$24)*('Match Log'!$A$4:$A$1510&lt;=$J406)),'Match Log'!$N$4:$N$1510),NA()))</f>
        <v>#N/A</v>
      </c>
      <c r="R406" t="e">
        <f>IF($J406&gt;MAX('Match Log'!$A$4:$A$1510),NA(),IFERROR(LOOKUP(2,1/(('Match Log'!$D$4:$D$1510=$R$24)*('Match Log'!$A$4:$A$1510&lt;=$J406)),'Match Log'!$N$4:$N$1510),NA()))</f>
        <v>#N/A</v>
      </c>
      <c r="S406" t="e">
        <f>IF($J406&gt;MAX('Match Log'!$A$4:$A$1510),NA(),IFERROR(LOOKUP(2,1/(('Match Log'!$D$4:$D$1510=$S$24)*('Match Log'!$A$4:$A$1510&lt;=$J406)),'Match Log'!$N$4:$N$1510),NA()))</f>
        <v>#N/A</v>
      </c>
      <c r="T406" t="e">
        <f>IF($J406&gt;MAX('Match Log'!$A$4:$A$1510),NA(),IFERROR(LOOKUP(2,1/(('Match Log'!$D$4:$D$1510=$T$24)*('Match Log'!$A$4:$A$1510&lt;=$J406)),'Match Log'!$N$4:$N$1510),NA()))</f>
        <v>#N/A</v>
      </c>
      <c r="U406" t="e">
        <f>IF($J406&gt;MAX('Match Log'!$A$4:$A$1510),NA(),IFERROR(LOOKUP(2,1/(('Match Log'!$D$4:$D$1510=$U$24)*('Match Log'!$A$4:$A$1510&lt;=$J406)),'Match Log'!$N$4:$N$1510),NA()))</f>
        <v>#N/A</v>
      </c>
      <c r="V406" t="e">
        <f>IF($J406&gt;MAX('Match Log'!$A$4:$A$1510),NA(),IFERROR(LOOKUP(2,1/(('Match Log'!$D$4:$D$1510=$V$24)*('Match Log'!$A$4:$A$1510&lt;=$J406)),'Match Log'!$N$4:$N$1510),NA()))</f>
        <v>#N/A</v>
      </c>
      <c r="W406" t="e">
        <f>IF($J406&gt;MAX('Match Log'!$A$4:$A$1510),NA(),IFERROR(LOOKUP(2,1/(('Match Log'!$D$4:$D$1510=$W$24)*('Match Log'!$A$4:$A$1510&lt;=$J406)),'Match Log'!$N$4:$N$1510),NA()))</f>
        <v>#N/A</v>
      </c>
      <c r="X406" t="e">
        <f>IF($J406&gt;MAX('Match Log'!$A$4:$A$1510),NA(),IFERROR(LOOKUP(2,1/(('Match Log'!$D$4:$D$1510=$X$24)*('Match Log'!$A$4:$A$1510&lt;=$J406)),'Match Log'!$N$4:$N$1510),NA()))</f>
        <v>#N/A</v>
      </c>
      <c r="Y406" t="str">
        <f t="shared" ca="1" si="34"/>
        <v/>
      </c>
    </row>
    <row r="407" spans="1:25" x14ac:dyDescent="0.2">
      <c r="A407">
        <v>383</v>
      </c>
      <c r="B407" t="str">
        <f>IFERROR(INDEX('Match Log'!$B$4:$B$1510,MATCH($A407,'Match Log'!$A$4:$A$1510,0)),"")</f>
        <v/>
      </c>
      <c r="C407" t="str">
        <f>IFERROR(INDEX('Match Log'!$C$4:$C$1510,MATCH($A407,'Match Log'!$A$4:$A$1510,0)),"")</f>
        <v/>
      </c>
      <c r="D407" t="str">
        <f t="array" ref="D407">IFERROR(_xlfn.TEXTJOIN(" + ",TRUE(),IF(('Match Log'!$A$4:$A$1510=$A407)*('Match Log'!$E$4:$E$1510="Win"),'Match Log'!$D$4:$D$1510,"")),IFERROR(LOOKUP(2,1/(('Match Log'!$A$4:$A$1510=$A407)*('Match Log'!$E$4:$E$1510="Win")),'Match Log'!$D$4:$D$1510),""))</f>
        <v/>
      </c>
      <c r="E407" t="str">
        <f>IFERROR(INDEX('Match Log'!$F$4:$F$1510,MATCH($A407,'Match Log'!$A$4:$A$1510,0)),"")</f>
        <v/>
      </c>
      <c r="F407">
        <f>IFERROR(SUMIFS('Match Log'!$I$4:$I$1510,'Match Log'!$A$4:$A$1510,$A407,'Match Log'!$E$4:$E$1510,"Win"),"")</f>
        <v>0</v>
      </c>
      <c r="G407" t="str">
        <f t="shared" si="32"/>
        <v/>
      </c>
      <c r="H407" t="str">
        <f t="array" ref="H407">IFERROR(IF(COUNTIFS('Match Log'!$A$4:$A$1510,$A407,'Match Log'!$E$4:$E$1510,"Win")&gt;1,_xlfn.TEXTJOIN(" + ",TRUE(),IF(('Match Log'!$A$4:$A$1510=$A407)*('Match Log'!$E$4:$E$1510="Loss"),'Match Log'!$D$4:$D$1510,"")),IF($E407=2,LOOKUP(2,1/(('Match Log'!$A$4:$A$1510=$A407)*('Match Log'!$E$4:$E$1510="Loss")),'Match Log'!$D$4:$D$1510),"the field")),"")</f>
        <v>the field</v>
      </c>
      <c r="I407" t="str">
        <f t="shared" si="33"/>
        <v/>
      </c>
      <c r="J407">
        <v>383</v>
      </c>
      <c r="K407" t="e">
        <f>IF($J407&gt;MAX('Match Log'!$A$4:$A$1510),NA(),IFERROR(LOOKUP(2,1/(('Match Log'!$D$4:$D$1510=$K$24)*('Match Log'!$A$4:$A$1510&lt;=$J407)),'Match Log'!$N$4:$N$1510),NA()))</f>
        <v>#N/A</v>
      </c>
      <c r="L407" t="e">
        <f>IF($J407&gt;MAX('Match Log'!$A$4:$A$1510),NA(),IFERROR(LOOKUP(2,1/(('Match Log'!$D$4:$D$1510=$L$24)*('Match Log'!$A$4:$A$1510&lt;=$J407)),'Match Log'!$N$4:$N$1510),NA()))</f>
        <v>#N/A</v>
      </c>
      <c r="M407" t="e">
        <f>IF($J407&gt;MAX('Match Log'!$A$4:$A$1510),NA(),IFERROR(LOOKUP(2,1/(('Match Log'!$D$4:$D$1510=$M$24)*('Match Log'!$A$4:$A$1510&lt;=$J407)),'Match Log'!$N$4:$N$1510),NA()))</f>
        <v>#N/A</v>
      </c>
      <c r="N407" t="e">
        <f>IF($J407&gt;MAX('Match Log'!$A$4:$A$1510),NA(),IFERROR(LOOKUP(2,1/(('Match Log'!$D$4:$D$1510=$N$24)*('Match Log'!$A$4:$A$1510&lt;=$J407)),'Match Log'!$N$4:$N$1510),NA()))</f>
        <v>#N/A</v>
      </c>
      <c r="O407" t="e">
        <f>IF($J407&gt;MAX('Match Log'!$A$4:$A$1510),NA(),IFERROR(LOOKUP(2,1/(('Match Log'!$D$4:$D$1510=$O$24)*('Match Log'!$A$4:$A$1510&lt;=$J407)),'Match Log'!$N$4:$N$1510),NA()))</f>
        <v>#N/A</v>
      </c>
      <c r="P407" t="e">
        <f>IF($J407&gt;MAX('Match Log'!$A$4:$A$1510),NA(),IFERROR(LOOKUP(2,1/(('Match Log'!$D$4:$D$1510=$P$24)*('Match Log'!$A$4:$A$1510&lt;=$J407)),'Match Log'!$N$4:$N$1510),NA()))</f>
        <v>#N/A</v>
      </c>
      <c r="Q407" t="e">
        <f>IF($J407&gt;MAX('Match Log'!$A$4:$A$1510),NA(),IFERROR(LOOKUP(2,1/(('Match Log'!$D$4:$D$1510=$Q$24)*('Match Log'!$A$4:$A$1510&lt;=$J407)),'Match Log'!$N$4:$N$1510),NA()))</f>
        <v>#N/A</v>
      </c>
      <c r="R407" t="e">
        <f>IF($J407&gt;MAX('Match Log'!$A$4:$A$1510),NA(),IFERROR(LOOKUP(2,1/(('Match Log'!$D$4:$D$1510=$R$24)*('Match Log'!$A$4:$A$1510&lt;=$J407)),'Match Log'!$N$4:$N$1510),NA()))</f>
        <v>#N/A</v>
      </c>
      <c r="S407" t="e">
        <f>IF($J407&gt;MAX('Match Log'!$A$4:$A$1510),NA(),IFERROR(LOOKUP(2,1/(('Match Log'!$D$4:$D$1510=$S$24)*('Match Log'!$A$4:$A$1510&lt;=$J407)),'Match Log'!$N$4:$N$1510),NA()))</f>
        <v>#N/A</v>
      </c>
      <c r="T407" t="e">
        <f>IF($J407&gt;MAX('Match Log'!$A$4:$A$1510),NA(),IFERROR(LOOKUP(2,1/(('Match Log'!$D$4:$D$1510=$T$24)*('Match Log'!$A$4:$A$1510&lt;=$J407)),'Match Log'!$N$4:$N$1510),NA()))</f>
        <v>#N/A</v>
      </c>
      <c r="U407" t="e">
        <f>IF($J407&gt;MAX('Match Log'!$A$4:$A$1510),NA(),IFERROR(LOOKUP(2,1/(('Match Log'!$D$4:$D$1510=$U$24)*('Match Log'!$A$4:$A$1510&lt;=$J407)),'Match Log'!$N$4:$N$1510),NA()))</f>
        <v>#N/A</v>
      </c>
      <c r="V407" t="e">
        <f>IF($J407&gt;MAX('Match Log'!$A$4:$A$1510),NA(),IFERROR(LOOKUP(2,1/(('Match Log'!$D$4:$D$1510=$V$24)*('Match Log'!$A$4:$A$1510&lt;=$J407)),'Match Log'!$N$4:$N$1510),NA()))</f>
        <v>#N/A</v>
      </c>
      <c r="W407" t="e">
        <f>IF($J407&gt;MAX('Match Log'!$A$4:$A$1510),NA(),IFERROR(LOOKUP(2,1/(('Match Log'!$D$4:$D$1510=$W$24)*('Match Log'!$A$4:$A$1510&lt;=$J407)),'Match Log'!$N$4:$N$1510),NA()))</f>
        <v>#N/A</v>
      </c>
      <c r="X407" t="e">
        <f>IF($J407&gt;MAX('Match Log'!$A$4:$A$1510),NA(),IFERROR(LOOKUP(2,1/(('Match Log'!$D$4:$D$1510=$X$24)*('Match Log'!$A$4:$A$1510&lt;=$J407)),'Match Log'!$N$4:$N$1510),NA()))</f>
        <v>#N/A</v>
      </c>
      <c r="Y407" t="str">
        <f t="shared" ca="1" si="34"/>
        <v/>
      </c>
    </row>
    <row r="408" spans="1:25" x14ac:dyDescent="0.2">
      <c r="A408">
        <v>384</v>
      </c>
      <c r="B408" t="str">
        <f>IFERROR(INDEX('Match Log'!$B$4:$B$1510,MATCH($A408,'Match Log'!$A$4:$A$1510,0)),"")</f>
        <v/>
      </c>
      <c r="C408" t="str">
        <f>IFERROR(INDEX('Match Log'!$C$4:$C$1510,MATCH($A408,'Match Log'!$A$4:$A$1510,0)),"")</f>
        <v/>
      </c>
      <c r="D408" t="str">
        <f t="array" ref="D408">IFERROR(_xlfn.TEXTJOIN(" + ",TRUE(),IF(('Match Log'!$A$4:$A$1510=$A408)*('Match Log'!$E$4:$E$1510="Win"),'Match Log'!$D$4:$D$1510,"")),IFERROR(LOOKUP(2,1/(('Match Log'!$A$4:$A$1510=$A408)*('Match Log'!$E$4:$E$1510="Win")),'Match Log'!$D$4:$D$1510),""))</f>
        <v/>
      </c>
      <c r="E408" t="str">
        <f>IFERROR(INDEX('Match Log'!$F$4:$F$1510,MATCH($A408,'Match Log'!$A$4:$A$1510,0)),"")</f>
        <v/>
      </c>
      <c r="F408">
        <f>IFERROR(SUMIFS('Match Log'!$I$4:$I$1510,'Match Log'!$A$4:$A$1510,$A408,'Match Log'!$E$4:$E$1510,"Win"),"")</f>
        <v>0</v>
      </c>
      <c r="G408" t="str">
        <f t="shared" si="32"/>
        <v/>
      </c>
      <c r="H408" t="str">
        <f t="array" ref="H408">IFERROR(IF(COUNTIFS('Match Log'!$A$4:$A$1510,$A408,'Match Log'!$E$4:$E$1510,"Win")&gt;1,_xlfn.TEXTJOIN(" + ",TRUE(),IF(('Match Log'!$A$4:$A$1510=$A408)*('Match Log'!$E$4:$E$1510="Loss"),'Match Log'!$D$4:$D$1510,"")),IF($E408=2,LOOKUP(2,1/(('Match Log'!$A$4:$A$1510=$A408)*('Match Log'!$E$4:$E$1510="Loss")),'Match Log'!$D$4:$D$1510),"the field")),"")</f>
        <v>the field</v>
      </c>
      <c r="I408" t="str">
        <f t="shared" si="33"/>
        <v/>
      </c>
      <c r="J408">
        <v>384</v>
      </c>
      <c r="K408" t="e">
        <f>IF($J408&gt;MAX('Match Log'!$A$4:$A$1510),NA(),IFERROR(LOOKUP(2,1/(('Match Log'!$D$4:$D$1510=$K$24)*('Match Log'!$A$4:$A$1510&lt;=$J408)),'Match Log'!$N$4:$N$1510),NA()))</f>
        <v>#N/A</v>
      </c>
      <c r="L408" t="e">
        <f>IF($J408&gt;MAX('Match Log'!$A$4:$A$1510),NA(),IFERROR(LOOKUP(2,1/(('Match Log'!$D$4:$D$1510=$L$24)*('Match Log'!$A$4:$A$1510&lt;=$J408)),'Match Log'!$N$4:$N$1510),NA()))</f>
        <v>#N/A</v>
      </c>
      <c r="M408" t="e">
        <f>IF($J408&gt;MAX('Match Log'!$A$4:$A$1510),NA(),IFERROR(LOOKUP(2,1/(('Match Log'!$D$4:$D$1510=$M$24)*('Match Log'!$A$4:$A$1510&lt;=$J408)),'Match Log'!$N$4:$N$1510),NA()))</f>
        <v>#N/A</v>
      </c>
      <c r="N408" t="e">
        <f>IF($J408&gt;MAX('Match Log'!$A$4:$A$1510),NA(),IFERROR(LOOKUP(2,1/(('Match Log'!$D$4:$D$1510=$N$24)*('Match Log'!$A$4:$A$1510&lt;=$J408)),'Match Log'!$N$4:$N$1510),NA()))</f>
        <v>#N/A</v>
      </c>
      <c r="O408" t="e">
        <f>IF($J408&gt;MAX('Match Log'!$A$4:$A$1510),NA(),IFERROR(LOOKUP(2,1/(('Match Log'!$D$4:$D$1510=$O$24)*('Match Log'!$A$4:$A$1510&lt;=$J408)),'Match Log'!$N$4:$N$1510),NA()))</f>
        <v>#N/A</v>
      </c>
      <c r="P408" t="e">
        <f>IF($J408&gt;MAX('Match Log'!$A$4:$A$1510),NA(),IFERROR(LOOKUP(2,1/(('Match Log'!$D$4:$D$1510=$P$24)*('Match Log'!$A$4:$A$1510&lt;=$J408)),'Match Log'!$N$4:$N$1510),NA()))</f>
        <v>#N/A</v>
      </c>
      <c r="Q408" t="e">
        <f>IF($J408&gt;MAX('Match Log'!$A$4:$A$1510),NA(),IFERROR(LOOKUP(2,1/(('Match Log'!$D$4:$D$1510=$Q$24)*('Match Log'!$A$4:$A$1510&lt;=$J408)),'Match Log'!$N$4:$N$1510),NA()))</f>
        <v>#N/A</v>
      </c>
      <c r="R408" t="e">
        <f>IF($J408&gt;MAX('Match Log'!$A$4:$A$1510),NA(),IFERROR(LOOKUP(2,1/(('Match Log'!$D$4:$D$1510=$R$24)*('Match Log'!$A$4:$A$1510&lt;=$J408)),'Match Log'!$N$4:$N$1510),NA()))</f>
        <v>#N/A</v>
      </c>
      <c r="S408" t="e">
        <f>IF($J408&gt;MAX('Match Log'!$A$4:$A$1510),NA(),IFERROR(LOOKUP(2,1/(('Match Log'!$D$4:$D$1510=$S$24)*('Match Log'!$A$4:$A$1510&lt;=$J408)),'Match Log'!$N$4:$N$1510),NA()))</f>
        <v>#N/A</v>
      </c>
      <c r="T408" t="e">
        <f>IF($J408&gt;MAX('Match Log'!$A$4:$A$1510),NA(),IFERROR(LOOKUP(2,1/(('Match Log'!$D$4:$D$1510=$T$24)*('Match Log'!$A$4:$A$1510&lt;=$J408)),'Match Log'!$N$4:$N$1510),NA()))</f>
        <v>#N/A</v>
      </c>
      <c r="U408" t="e">
        <f>IF($J408&gt;MAX('Match Log'!$A$4:$A$1510),NA(),IFERROR(LOOKUP(2,1/(('Match Log'!$D$4:$D$1510=$U$24)*('Match Log'!$A$4:$A$1510&lt;=$J408)),'Match Log'!$N$4:$N$1510),NA()))</f>
        <v>#N/A</v>
      </c>
      <c r="V408" t="e">
        <f>IF($J408&gt;MAX('Match Log'!$A$4:$A$1510),NA(),IFERROR(LOOKUP(2,1/(('Match Log'!$D$4:$D$1510=$V$24)*('Match Log'!$A$4:$A$1510&lt;=$J408)),'Match Log'!$N$4:$N$1510),NA()))</f>
        <v>#N/A</v>
      </c>
      <c r="W408" t="e">
        <f>IF($J408&gt;MAX('Match Log'!$A$4:$A$1510),NA(),IFERROR(LOOKUP(2,1/(('Match Log'!$D$4:$D$1510=$W$24)*('Match Log'!$A$4:$A$1510&lt;=$J408)),'Match Log'!$N$4:$N$1510),NA()))</f>
        <v>#N/A</v>
      </c>
      <c r="X408" t="e">
        <f>IF($J408&gt;MAX('Match Log'!$A$4:$A$1510),NA(),IFERROR(LOOKUP(2,1/(('Match Log'!$D$4:$D$1510=$X$24)*('Match Log'!$A$4:$A$1510&lt;=$J408)),'Match Log'!$N$4:$N$1510),NA()))</f>
        <v>#N/A</v>
      </c>
      <c r="Y408" t="str">
        <f t="shared" ca="1" si="34"/>
        <v/>
      </c>
    </row>
    <row r="409" spans="1:25" x14ac:dyDescent="0.2">
      <c r="A409">
        <v>385</v>
      </c>
      <c r="B409" t="str">
        <f>IFERROR(INDEX('Match Log'!$B$4:$B$1510,MATCH($A409,'Match Log'!$A$4:$A$1510,0)),"")</f>
        <v/>
      </c>
      <c r="C409" t="str">
        <f>IFERROR(INDEX('Match Log'!$C$4:$C$1510,MATCH($A409,'Match Log'!$A$4:$A$1510,0)),"")</f>
        <v/>
      </c>
      <c r="D409" t="str">
        <f t="array" ref="D409">IFERROR(_xlfn.TEXTJOIN(" + ",TRUE(),IF(('Match Log'!$A$4:$A$1510=$A409)*('Match Log'!$E$4:$E$1510="Win"),'Match Log'!$D$4:$D$1510,"")),IFERROR(LOOKUP(2,1/(('Match Log'!$A$4:$A$1510=$A409)*('Match Log'!$E$4:$E$1510="Win")),'Match Log'!$D$4:$D$1510),""))</f>
        <v/>
      </c>
      <c r="E409" t="str">
        <f>IFERROR(INDEX('Match Log'!$F$4:$F$1510,MATCH($A409,'Match Log'!$A$4:$A$1510,0)),"")</f>
        <v/>
      </c>
      <c r="F409">
        <f>IFERROR(SUMIFS('Match Log'!$I$4:$I$1510,'Match Log'!$A$4:$A$1510,$A409,'Match Log'!$E$4:$E$1510,"Win"),"")</f>
        <v>0</v>
      </c>
      <c r="G409" t="str">
        <f t="shared" ref="G409:G663" si="35">IF($D409="","",1-$F409*$E409)</f>
        <v/>
      </c>
      <c r="H409" t="str">
        <f t="array" ref="H409">IFERROR(IF(COUNTIFS('Match Log'!$A$4:$A$1510,$A409,'Match Log'!$E$4:$E$1510,"Win")&gt;1,_xlfn.TEXTJOIN(" + ",TRUE(),IF(('Match Log'!$A$4:$A$1510=$A409)*('Match Log'!$E$4:$E$1510="Loss"),'Match Log'!$D$4:$D$1510,"")),IF($E409=2,LOOKUP(2,1/(('Match Log'!$A$4:$A$1510=$A409)*('Match Log'!$E$4:$E$1510="Loss")),'Match Log'!$D$4:$D$1510),"the field")),"")</f>
        <v>the field</v>
      </c>
      <c r="I409" t="str">
        <f t="shared" ref="I409:I663" si="36">IF($G409="","",$G409-$A409/1000000)</f>
        <v/>
      </c>
      <c r="J409">
        <v>385</v>
      </c>
      <c r="K409" t="e">
        <f>IF($J409&gt;MAX('Match Log'!$A$4:$A$1510),NA(),IFERROR(LOOKUP(2,1/(('Match Log'!$D$4:$D$1510=$K$24)*('Match Log'!$A$4:$A$1510&lt;=$J409)),'Match Log'!$N$4:$N$1510),NA()))</f>
        <v>#N/A</v>
      </c>
      <c r="L409" t="e">
        <f>IF($J409&gt;MAX('Match Log'!$A$4:$A$1510),NA(),IFERROR(LOOKUP(2,1/(('Match Log'!$D$4:$D$1510=$L$24)*('Match Log'!$A$4:$A$1510&lt;=$J409)),'Match Log'!$N$4:$N$1510),NA()))</f>
        <v>#N/A</v>
      </c>
      <c r="M409" t="e">
        <f>IF($J409&gt;MAX('Match Log'!$A$4:$A$1510),NA(),IFERROR(LOOKUP(2,1/(('Match Log'!$D$4:$D$1510=$M$24)*('Match Log'!$A$4:$A$1510&lt;=$J409)),'Match Log'!$N$4:$N$1510),NA()))</f>
        <v>#N/A</v>
      </c>
      <c r="N409" t="e">
        <f>IF($J409&gt;MAX('Match Log'!$A$4:$A$1510),NA(),IFERROR(LOOKUP(2,1/(('Match Log'!$D$4:$D$1510=$N$24)*('Match Log'!$A$4:$A$1510&lt;=$J409)),'Match Log'!$N$4:$N$1510),NA()))</f>
        <v>#N/A</v>
      </c>
      <c r="O409" t="e">
        <f>IF($J409&gt;MAX('Match Log'!$A$4:$A$1510),NA(),IFERROR(LOOKUP(2,1/(('Match Log'!$D$4:$D$1510=$O$24)*('Match Log'!$A$4:$A$1510&lt;=$J409)),'Match Log'!$N$4:$N$1510),NA()))</f>
        <v>#N/A</v>
      </c>
      <c r="P409" t="e">
        <f>IF($J409&gt;MAX('Match Log'!$A$4:$A$1510),NA(),IFERROR(LOOKUP(2,1/(('Match Log'!$D$4:$D$1510=$P$24)*('Match Log'!$A$4:$A$1510&lt;=$J409)),'Match Log'!$N$4:$N$1510),NA()))</f>
        <v>#N/A</v>
      </c>
      <c r="Q409" t="e">
        <f>IF($J409&gt;MAX('Match Log'!$A$4:$A$1510),NA(),IFERROR(LOOKUP(2,1/(('Match Log'!$D$4:$D$1510=$Q$24)*('Match Log'!$A$4:$A$1510&lt;=$J409)),'Match Log'!$N$4:$N$1510),NA()))</f>
        <v>#N/A</v>
      </c>
      <c r="R409" t="e">
        <f>IF($J409&gt;MAX('Match Log'!$A$4:$A$1510),NA(),IFERROR(LOOKUP(2,1/(('Match Log'!$D$4:$D$1510=$R$24)*('Match Log'!$A$4:$A$1510&lt;=$J409)),'Match Log'!$N$4:$N$1510),NA()))</f>
        <v>#N/A</v>
      </c>
      <c r="S409" t="e">
        <f>IF($J409&gt;MAX('Match Log'!$A$4:$A$1510),NA(),IFERROR(LOOKUP(2,1/(('Match Log'!$D$4:$D$1510=$S$24)*('Match Log'!$A$4:$A$1510&lt;=$J409)),'Match Log'!$N$4:$N$1510),NA()))</f>
        <v>#N/A</v>
      </c>
      <c r="T409" t="e">
        <f>IF($J409&gt;MAX('Match Log'!$A$4:$A$1510),NA(),IFERROR(LOOKUP(2,1/(('Match Log'!$D$4:$D$1510=$T$24)*('Match Log'!$A$4:$A$1510&lt;=$J409)),'Match Log'!$N$4:$N$1510),NA()))</f>
        <v>#N/A</v>
      </c>
      <c r="U409" t="e">
        <f>IF($J409&gt;MAX('Match Log'!$A$4:$A$1510),NA(),IFERROR(LOOKUP(2,1/(('Match Log'!$D$4:$D$1510=$U$24)*('Match Log'!$A$4:$A$1510&lt;=$J409)),'Match Log'!$N$4:$N$1510),NA()))</f>
        <v>#N/A</v>
      </c>
      <c r="V409" t="e">
        <f>IF($J409&gt;MAX('Match Log'!$A$4:$A$1510),NA(),IFERROR(LOOKUP(2,1/(('Match Log'!$D$4:$D$1510=$V$24)*('Match Log'!$A$4:$A$1510&lt;=$J409)),'Match Log'!$N$4:$N$1510),NA()))</f>
        <v>#N/A</v>
      </c>
      <c r="W409" t="e">
        <f>IF($J409&gt;MAX('Match Log'!$A$4:$A$1510),NA(),IFERROR(LOOKUP(2,1/(('Match Log'!$D$4:$D$1510=$W$24)*('Match Log'!$A$4:$A$1510&lt;=$J409)),'Match Log'!$N$4:$N$1510),NA()))</f>
        <v>#N/A</v>
      </c>
      <c r="X409" t="e">
        <f>IF($J409&gt;MAX('Match Log'!$A$4:$A$1510),NA(),IFERROR(LOOKUP(2,1/(('Match Log'!$D$4:$D$1510=$X$24)*('Match Log'!$A$4:$A$1510&lt;=$J409)),'Match Log'!$N$4:$N$1510),NA()))</f>
        <v>#N/A</v>
      </c>
      <c r="Y409" t="str">
        <f t="shared" ref="Y409:Y663" ca="1" si="37">IF(AND($B409&lt;&gt;"",$B409&gt;=$B$5,$I409&lt;&gt;""),$I409,"")</f>
        <v/>
      </c>
    </row>
    <row r="410" spans="1:25" x14ac:dyDescent="0.2">
      <c r="A410">
        <v>386</v>
      </c>
      <c r="B410" t="str">
        <f>IFERROR(INDEX('Match Log'!$B$4:$B$1510,MATCH($A410,'Match Log'!$A$4:$A$1510,0)),"")</f>
        <v/>
      </c>
      <c r="C410" t="str">
        <f>IFERROR(INDEX('Match Log'!$C$4:$C$1510,MATCH($A410,'Match Log'!$A$4:$A$1510,0)),"")</f>
        <v/>
      </c>
      <c r="D410" t="str">
        <f t="array" ref="D410">IFERROR(_xlfn.TEXTJOIN(" + ",TRUE(),IF(('Match Log'!$A$4:$A$1510=$A410)*('Match Log'!$E$4:$E$1510="Win"),'Match Log'!$D$4:$D$1510,"")),IFERROR(LOOKUP(2,1/(('Match Log'!$A$4:$A$1510=$A410)*('Match Log'!$E$4:$E$1510="Win")),'Match Log'!$D$4:$D$1510),""))</f>
        <v/>
      </c>
      <c r="E410" t="str">
        <f>IFERROR(INDEX('Match Log'!$F$4:$F$1510,MATCH($A410,'Match Log'!$A$4:$A$1510,0)),"")</f>
        <v/>
      </c>
      <c r="F410">
        <f>IFERROR(SUMIFS('Match Log'!$I$4:$I$1510,'Match Log'!$A$4:$A$1510,$A410,'Match Log'!$E$4:$E$1510,"Win"),"")</f>
        <v>0</v>
      </c>
      <c r="G410" t="str">
        <f t="shared" si="35"/>
        <v/>
      </c>
      <c r="H410" t="str">
        <f t="array" ref="H410">IFERROR(IF(COUNTIFS('Match Log'!$A$4:$A$1510,$A410,'Match Log'!$E$4:$E$1510,"Win")&gt;1,_xlfn.TEXTJOIN(" + ",TRUE(),IF(('Match Log'!$A$4:$A$1510=$A410)*('Match Log'!$E$4:$E$1510="Loss"),'Match Log'!$D$4:$D$1510,"")),IF($E410=2,LOOKUP(2,1/(('Match Log'!$A$4:$A$1510=$A410)*('Match Log'!$E$4:$E$1510="Loss")),'Match Log'!$D$4:$D$1510),"the field")),"")</f>
        <v>the field</v>
      </c>
      <c r="I410" t="str">
        <f t="shared" si="36"/>
        <v/>
      </c>
      <c r="J410">
        <v>386</v>
      </c>
      <c r="K410" t="e">
        <f>IF($J410&gt;MAX('Match Log'!$A$4:$A$1510),NA(),IFERROR(LOOKUP(2,1/(('Match Log'!$D$4:$D$1510=$K$24)*('Match Log'!$A$4:$A$1510&lt;=$J410)),'Match Log'!$N$4:$N$1510),NA()))</f>
        <v>#N/A</v>
      </c>
      <c r="L410" t="e">
        <f>IF($J410&gt;MAX('Match Log'!$A$4:$A$1510),NA(),IFERROR(LOOKUP(2,1/(('Match Log'!$D$4:$D$1510=$L$24)*('Match Log'!$A$4:$A$1510&lt;=$J410)),'Match Log'!$N$4:$N$1510),NA()))</f>
        <v>#N/A</v>
      </c>
      <c r="M410" t="e">
        <f>IF($J410&gt;MAX('Match Log'!$A$4:$A$1510),NA(),IFERROR(LOOKUP(2,1/(('Match Log'!$D$4:$D$1510=$M$24)*('Match Log'!$A$4:$A$1510&lt;=$J410)),'Match Log'!$N$4:$N$1510),NA()))</f>
        <v>#N/A</v>
      </c>
      <c r="N410" t="e">
        <f>IF($J410&gt;MAX('Match Log'!$A$4:$A$1510),NA(),IFERROR(LOOKUP(2,1/(('Match Log'!$D$4:$D$1510=$N$24)*('Match Log'!$A$4:$A$1510&lt;=$J410)),'Match Log'!$N$4:$N$1510),NA()))</f>
        <v>#N/A</v>
      </c>
      <c r="O410" t="e">
        <f>IF($J410&gt;MAX('Match Log'!$A$4:$A$1510),NA(),IFERROR(LOOKUP(2,1/(('Match Log'!$D$4:$D$1510=$O$24)*('Match Log'!$A$4:$A$1510&lt;=$J410)),'Match Log'!$N$4:$N$1510),NA()))</f>
        <v>#N/A</v>
      </c>
      <c r="P410" t="e">
        <f>IF($J410&gt;MAX('Match Log'!$A$4:$A$1510),NA(),IFERROR(LOOKUP(2,1/(('Match Log'!$D$4:$D$1510=$P$24)*('Match Log'!$A$4:$A$1510&lt;=$J410)),'Match Log'!$N$4:$N$1510),NA()))</f>
        <v>#N/A</v>
      </c>
      <c r="Q410" t="e">
        <f>IF($J410&gt;MAX('Match Log'!$A$4:$A$1510),NA(),IFERROR(LOOKUP(2,1/(('Match Log'!$D$4:$D$1510=$Q$24)*('Match Log'!$A$4:$A$1510&lt;=$J410)),'Match Log'!$N$4:$N$1510),NA()))</f>
        <v>#N/A</v>
      </c>
      <c r="R410" t="e">
        <f>IF($J410&gt;MAX('Match Log'!$A$4:$A$1510),NA(),IFERROR(LOOKUP(2,1/(('Match Log'!$D$4:$D$1510=$R$24)*('Match Log'!$A$4:$A$1510&lt;=$J410)),'Match Log'!$N$4:$N$1510),NA()))</f>
        <v>#N/A</v>
      </c>
      <c r="S410" t="e">
        <f>IF($J410&gt;MAX('Match Log'!$A$4:$A$1510),NA(),IFERROR(LOOKUP(2,1/(('Match Log'!$D$4:$D$1510=$S$24)*('Match Log'!$A$4:$A$1510&lt;=$J410)),'Match Log'!$N$4:$N$1510),NA()))</f>
        <v>#N/A</v>
      </c>
      <c r="T410" t="e">
        <f>IF($J410&gt;MAX('Match Log'!$A$4:$A$1510),NA(),IFERROR(LOOKUP(2,1/(('Match Log'!$D$4:$D$1510=$T$24)*('Match Log'!$A$4:$A$1510&lt;=$J410)),'Match Log'!$N$4:$N$1510),NA()))</f>
        <v>#N/A</v>
      </c>
      <c r="U410" t="e">
        <f>IF($J410&gt;MAX('Match Log'!$A$4:$A$1510),NA(),IFERROR(LOOKUP(2,1/(('Match Log'!$D$4:$D$1510=$U$24)*('Match Log'!$A$4:$A$1510&lt;=$J410)),'Match Log'!$N$4:$N$1510),NA()))</f>
        <v>#N/A</v>
      </c>
      <c r="V410" t="e">
        <f>IF($J410&gt;MAX('Match Log'!$A$4:$A$1510),NA(),IFERROR(LOOKUP(2,1/(('Match Log'!$D$4:$D$1510=$V$24)*('Match Log'!$A$4:$A$1510&lt;=$J410)),'Match Log'!$N$4:$N$1510),NA()))</f>
        <v>#N/A</v>
      </c>
      <c r="W410" t="e">
        <f>IF($J410&gt;MAX('Match Log'!$A$4:$A$1510),NA(),IFERROR(LOOKUP(2,1/(('Match Log'!$D$4:$D$1510=$W$24)*('Match Log'!$A$4:$A$1510&lt;=$J410)),'Match Log'!$N$4:$N$1510),NA()))</f>
        <v>#N/A</v>
      </c>
      <c r="X410" t="e">
        <f>IF($J410&gt;MAX('Match Log'!$A$4:$A$1510),NA(),IFERROR(LOOKUP(2,1/(('Match Log'!$D$4:$D$1510=$X$24)*('Match Log'!$A$4:$A$1510&lt;=$J410)),'Match Log'!$N$4:$N$1510),NA()))</f>
        <v>#N/A</v>
      </c>
      <c r="Y410" t="str">
        <f t="shared" ca="1" si="37"/>
        <v/>
      </c>
    </row>
    <row r="411" spans="1:25" x14ac:dyDescent="0.2">
      <c r="A411">
        <v>387</v>
      </c>
      <c r="B411" t="str">
        <f>IFERROR(INDEX('Match Log'!$B$4:$B$1510,MATCH($A411,'Match Log'!$A$4:$A$1510,0)),"")</f>
        <v/>
      </c>
      <c r="C411" t="str">
        <f>IFERROR(INDEX('Match Log'!$C$4:$C$1510,MATCH($A411,'Match Log'!$A$4:$A$1510,0)),"")</f>
        <v/>
      </c>
      <c r="D411" t="str">
        <f t="array" ref="D411">IFERROR(_xlfn.TEXTJOIN(" + ",TRUE(),IF(('Match Log'!$A$4:$A$1510=$A411)*('Match Log'!$E$4:$E$1510="Win"),'Match Log'!$D$4:$D$1510,"")),IFERROR(LOOKUP(2,1/(('Match Log'!$A$4:$A$1510=$A411)*('Match Log'!$E$4:$E$1510="Win")),'Match Log'!$D$4:$D$1510),""))</f>
        <v/>
      </c>
      <c r="E411" t="str">
        <f>IFERROR(INDEX('Match Log'!$F$4:$F$1510,MATCH($A411,'Match Log'!$A$4:$A$1510,0)),"")</f>
        <v/>
      </c>
      <c r="F411">
        <f>IFERROR(SUMIFS('Match Log'!$I$4:$I$1510,'Match Log'!$A$4:$A$1510,$A411,'Match Log'!$E$4:$E$1510,"Win"),"")</f>
        <v>0</v>
      </c>
      <c r="G411" t="str">
        <f t="shared" si="35"/>
        <v/>
      </c>
      <c r="H411" t="str">
        <f t="array" ref="H411">IFERROR(IF(COUNTIFS('Match Log'!$A$4:$A$1510,$A411,'Match Log'!$E$4:$E$1510,"Win")&gt;1,_xlfn.TEXTJOIN(" + ",TRUE(),IF(('Match Log'!$A$4:$A$1510=$A411)*('Match Log'!$E$4:$E$1510="Loss"),'Match Log'!$D$4:$D$1510,"")),IF($E411=2,LOOKUP(2,1/(('Match Log'!$A$4:$A$1510=$A411)*('Match Log'!$E$4:$E$1510="Loss")),'Match Log'!$D$4:$D$1510),"the field")),"")</f>
        <v>the field</v>
      </c>
      <c r="I411" t="str">
        <f t="shared" si="36"/>
        <v/>
      </c>
      <c r="J411">
        <v>387</v>
      </c>
      <c r="K411" t="e">
        <f>IF($J411&gt;MAX('Match Log'!$A$4:$A$1510),NA(),IFERROR(LOOKUP(2,1/(('Match Log'!$D$4:$D$1510=$K$24)*('Match Log'!$A$4:$A$1510&lt;=$J411)),'Match Log'!$N$4:$N$1510),NA()))</f>
        <v>#N/A</v>
      </c>
      <c r="L411" t="e">
        <f>IF($J411&gt;MAX('Match Log'!$A$4:$A$1510),NA(),IFERROR(LOOKUP(2,1/(('Match Log'!$D$4:$D$1510=$L$24)*('Match Log'!$A$4:$A$1510&lt;=$J411)),'Match Log'!$N$4:$N$1510),NA()))</f>
        <v>#N/A</v>
      </c>
      <c r="M411" t="e">
        <f>IF($J411&gt;MAX('Match Log'!$A$4:$A$1510),NA(),IFERROR(LOOKUP(2,1/(('Match Log'!$D$4:$D$1510=$M$24)*('Match Log'!$A$4:$A$1510&lt;=$J411)),'Match Log'!$N$4:$N$1510),NA()))</f>
        <v>#N/A</v>
      </c>
      <c r="N411" t="e">
        <f>IF($J411&gt;MAX('Match Log'!$A$4:$A$1510),NA(),IFERROR(LOOKUP(2,1/(('Match Log'!$D$4:$D$1510=$N$24)*('Match Log'!$A$4:$A$1510&lt;=$J411)),'Match Log'!$N$4:$N$1510),NA()))</f>
        <v>#N/A</v>
      </c>
      <c r="O411" t="e">
        <f>IF($J411&gt;MAX('Match Log'!$A$4:$A$1510),NA(),IFERROR(LOOKUP(2,1/(('Match Log'!$D$4:$D$1510=$O$24)*('Match Log'!$A$4:$A$1510&lt;=$J411)),'Match Log'!$N$4:$N$1510),NA()))</f>
        <v>#N/A</v>
      </c>
      <c r="P411" t="e">
        <f>IF($J411&gt;MAX('Match Log'!$A$4:$A$1510),NA(),IFERROR(LOOKUP(2,1/(('Match Log'!$D$4:$D$1510=$P$24)*('Match Log'!$A$4:$A$1510&lt;=$J411)),'Match Log'!$N$4:$N$1510),NA()))</f>
        <v>#N/A</v>
      </c>
      <c r="Q411" t="e">
        <f>IF($J411&gt;MAX('Match Log'!$A$4:$A$1510),NA(),IFERROR(LOOKUP(2,1/(('Match Log'!$D$4:$D$1510=$Q$24)*('Match Log'!$A$4:$A$1510&lt;=$J411)),'Match Log'!$N$4:$N$1510),NA()))</f>
        <v>#N/A</v>
      </c>
      <c r="R411" t="e">
        <f>IF($J411&gt;MAX('Match Log'!$A$4:$A$1510),NA(),IFERROR(LOOKUP(2,1/(('Match Log'!$D$4:$D$1510=$R$24)*('Match Log'!$A$4:$A$1510&lt;=$J411)),'Match Log'!$N$4:$N$1510),NA()))</f>
        <v>#N/A</v>
      </c>
      <c r="S411" t="e">
        <f>IF($J411&gt;MAX('Match Log'!$A$4:$A$1510),NA(),IFERROR(LOOKUP(2,1/(('Match Log'!$D$4:$D$1510=$S$24)*('Match Log'!$A$4:$A$1510&lt;=$J411)),'Match Log'!$N$4:$N$1510),NA()))</f>
        <v>#N/A</v>
      </c>
      <c r="T411" t="e">
        <f>IF($J411&gt;MAX('Match Log'!$A$4:$A$1510),NA(),IFERROR(LOOKUP(2,1/(('Match Log'!$D$4:$D$1510=$T$24)*('Match Log'!$A$4:$A$1510&lt;=$J411)),'Match Log'!$N$4:$N$1510),NA()))</f>
        <v>#N/A</v>
      </c>
      <c r="U411" t="e">
        <f>IF($J411&gt;MAX('Match Log'!$A$4:$A$1510),NA(),IFERROR(LOOKUP(2,1/(('Match Log'!$D$4:$D$1510=$U$24)*('Match Log'!$A$4:$A$1510&lt;=$J411)),'Match Log'!$N$4:$N$1510),NA()))</f>
        <v>#N/A</v>
      </c>
      <c r="V411" t="e">
        <f>IF($J411&gt;MAX('Match Log'!$A$4:$A$1510),NA(),IFERROR(LOOKUP(2,1/(('Match Log'!$D$4:$D$1510=$V$24)*('Match Log'!$A$4:$A$1510&lt;=$J411)),'Match Log'!$N$4:$N$1510),NA()))</f>
        <v>#N/A</v>
      </c>
      <c r="W411" t="e">
        <f>IF($J411&gt;MAX('Match Log'!$A$4:$A$1510),NA(),IFERROR(LOOKUP(2,1/(('Match Log'!$D$4:$D$1510=$W$24)*('Match Log'!$A$4:$A$1510&lt;=$J411)),'Match Log'!$N$4:$N$1510),NA()))</f>
        <v>#N/A</v>
      </c>
      <c r="X411" t="e">
        <f>IF($J411&gt;MAX('Match Log'!$A$4:$A$1510),NA(),IFERROR(LOOKUP(2,1/(('Match Log'!$D$4:$D$1510=$X$24)*('Match Log'!$A$4:$A$1510&lt;=$J411)),'Match Log'!$N$4:$N$1510),NA()))</f>
        <v>#N/A</v>
      </c>
      <c r="Y411" t="str">
        <f t="shared" ca="1" si="37"/>
        <v/>
      </c>
    </row>
    <row r="412" spans="1:25" x14ac:dyDescent="0.2">
      <c r="A412">
        <v>388</v>
      </c>
      <c r="B412" t="str">
        <f>IFERROR(INDEX('Match Log'!$B$4:$B$1510,MATCH($A412,'Match Log'!$A$4:$A$1510,0)),"")</f>
        <v/>
      </c>
      <c r="C412" t="str">
        <f>IFERROR(INDEX('Match Log'!$C$4:$C$1510,MATCH($A412,'Match Log'!$A$4:$A$1510,0)),"")</f>
        <v/>
      </c>
      <c r="D412" t="str">
        <f t="array" ref="D412">IFERROR(_xlfn.TEXTJOIN(" + ",TRUE(),IF(('Match Log'!$A$4:$A$1510=$A412)*('Match Log'!$E$4:$E$1510="Win"),'Match Log'!$D$4:$D$1510,"")),IFERROR(LOOKUP(2,1/(('Match Log'!$A$4:$A$1510=$A412)*('Match Log'!$E$4:$E$1510="Win")),'Match Log'!$D$4:$D$1510),""))</f>
        <v/>
      </c>
      <c r="E412" t="str">
        <f>IFERROR(INDEX('Match Log'!$F$4:$F$1510,MATCH($A412,'Match Log'!$A$4:$A$1510,0)),"")</f>
        <v/>
      </c>
      <c r="F412">
        <f>IFERROR(SUMIFS('Match Log'!$I$4:$I$1510,'Match Log'!$A$4:$A$1510,$A412,'Match Log'!$E$4:$E$1510,"Win"),"")</f>
        <v>0</v>
      </c>
      <c r="G412" t="str">
        <f t="shared" si="35"/>
        <v/>
      </c>
      <c r="H412" t="str">
        <f t="array" ref="H412">IFERROR(IF(COUNTIFS('Match Log'!$A$4:$A$1510,$A412,'Match Log'!$E$4:$E$1510,"Win")&gt;1,_xlfn.TEXTJOIN(" + ",TRUE(),IF(('Match Log'!$A$4:$A$1510=$A412)*('Match Log'!$E$4:$E$1510="Loss"),'Match Log'!$D$4:$D$1510,"")),IF($E412=2,LOOKUP(2,1/(('Match Log'!$A$4:$A$1510=$A412)*('Match Log'!$E$4:$E$1510="Loss")),'Match Log'!$D$4:$D$1510),"the field")),"")</f>
        <v>the field</v>
      </c>
      <c r="I412" t="str">
        <f t="shared" si="36"/>
        <v/>
      </c>
      <c r="J412">
        <v>388</v>
      </c>
      <c r="K412" t="e">
        <f>IF($J412&gt;MAX('Match Log'!$A$4:$A$1510),NA(),IFERROR(LOOKUP(2,1/(('Match Log'!$D$4:$D$1510=$K$24)*('Match Log'!$A$4:$A$1510&lt;=$J412)),'Match Log'!$N$4:$N$1510),NA()))</f>
        <v>#N/A</v>
      </c>
      <c r="L412" t="e">
        <f>IF($J412&gt;MAX('Match Log'!$A$4:$A$1510),NA(),IFERROR(LOOKUP(2,1/(('Match Log'!$D$4:$D$1510=$L$24)*('Match Log'!$A$4:$A$1510&lt;=$J412)),'Match Log'!$N$4:$N$1510),NA()))</f>
        <v>#N/A</v>
      </c>
      <c r="M412" t="e">
        <f>IF($J412&gt;MAX('Match Log'!$A$4:$A$1510),NA(),IFERROR(LOOKUP(2,1/(('Match Log'!$D$4:$D$1510=$M$24)*('Match Log'!$A$4:$A$1510&lt;=$J412)),'Match Log'!$N$4:$N$1510),NA()))</f>
        <v>#N/A</v>
      </c>
      <c r="N412" t="e">
        <f>IF($J412&gt;MAX('Match Log'!$A$4:$A$1510),NA(),IFERROR(LOOKUP(2,1/(('Match Log'!$D$4:$D$1510=$N$24)*('Match Log'!$A$4:$A$1510&lt;=$J412)),'Match Log'!$N$4:$N$1510),NA()))</f>
        <v>#N/A</v>
      </c>
      <c r="O412" t="e">
        <f>IF($J412&gt;MAX('Match Log'!$A$4:$A$1510),NA(),IFERROR(LOOKUP(2,1/(('Match Log'!$D$4:$D$1510=$O$24)*('Match Log'!$A$4:$A$1510&lt;=$J412)),'Match Log'!$N$4:$N$1510),NA()))</f>
        <v>#N/A</v>
      </c>
      <c r="P412" t="e">
        <f>IF($J412&gt;MAX('Match Log'!$A$4:$A$1510),NA(),IFERROR(LOOKUP(2,1/(('Match Log'!$D$4:$D$1510=$P$24)*('Match Log'!$A$4:$A$1510&lt;=$J412)),'Match Log'!$N$4:$N$1510),NA()))</f>
        <v>#N/A</v>
      </c>
      <c r="Q412" t="e">
        <f>IF($J412&gt;MAX('Match Log'!$A$4:$A$1510),NA(),IFERROR(LOOKUP(2,1/(('Match Log'!$D$4:$D$1510=$Q$24)*('Match Log'!$A$4:$A$1510&lt;=$J412)),'Match Log'!$N$4:$N$1510),NA()))</f>
        <v>#N/A</v>
      </c>
      <c r="R412" t="e">
        <f>IF($J412&gt;MAX('Match Log'!$A$4:$A$1510),NA(),IFERROR(LOOKUP(2,1/(('Match Log'!$D$4:$D$1510=$R$24)*('Match Log'!$A$4:$A$1510&lt;=$J412)),'Match Log'!$N$4:$N$1510),NA()))</f>
        <v>#N/A</v>
      </c>
      <c r="S412" t="e">
        <f>IF($J412&gt;MAX('Match Log'!$A$4:$A$1510),NA(),IFERROR(LOOKUP(2,1/(('Match Log'!$D$4:$D$1510=$S$24)*('Match Log'!$A$4:$A$1510&lt;=$J412)),'Match Log'!$N$4:$N$1510),NA()))</f>
        <v>#N/A</v>
      </c>
      <c r="T412" t="e">
        <f>IF($J412&gt;MAX('Match Log'!$A$4:$A$1510),NA(),IFERROR(LOOKUP(2,1/(('Match Log'!$D$4:$D$1510=$T$24)*('Match Log'!$A$4:$A$1510&lt;=$J412)),'Match Log'!$N$4:$N$1510),NA()))</f>
        <v>#N/A</v>
      </c>
      <c r="U412" t="e">
        <f>IF($J412&gt;MAX('Match Log'!$A$4:$A$1510),NA(),IFERROR(LOOKUP(2,1/(('Match Log'!$D$4:$D$1510=$U$24)*('Match Log'!$A$4:$A$1510&lt;=$J412)),'Match Log'!$N$4:$N$1510),NA()))</f>
        <v>#N/A</v>
      </c>
      <c r="V412" t="e">
        <f>IF($J412&gt;MAX('Match Log'!$A$4:$A$1510),NA(),IFERROR(LOOKUP(2,1/(('Match Log'!$D$4:$D$1510=$V$24)*('Match Log'!$A$4:$A$1510&lt;=$J412)),'Match Log'!$N$4:$N$1510),NA()))</f>
        <v>#N/A</v>
      </c>
      <c r="W412" t="e">
        <f>IF($J412&gt;MAX('Match Log'!$A$4:$A$1510),NA(),IFERROR(LOOKUP(2,1/(('Match Log'!$D$4:$D$1510=$W$24)*('Match Log'!$A$4:$A$1510&lt;=$J412)),'Match Log'!$N$4:$N$1510),NA()))</f>
        <v>#N/A</v>
      </c>
      <c r="X412" t="e">
        <f>IF($J412&gt;MAX('Match Log'!$A$4:$A$1510),NA(),IFERROR(LOOKUP(2,1/(('Match Log'!$D$4:$D$1510=$X$24)*('Match Log'!$A$4:$A$1510&lt;=$J412)),'Match Log'!$N$4:$N$1510),NA()))</f>
        <v>#N/A</v>
      </c>
      <c r="Y412" t="str">
        <f t="shared" ca="1" si="37"/>
        <v/>
      </c>
    </row>
    <row r="413" spans="1:25" x14ac:dyDescent="0.2">
      <c r="A413">
        <v>389</v>
      </c>
      <c r="B413" t="str">
        <f>IFERROR(INDEX('Match Log'!$B$4:$B$1510,MATCH($A413,'Match Log'!$A$4:$A$1510,0)),"")</f>
        <v/>
      </c>
      <c r="C413" t="str">
        <f>IFERROR(INDEX('Match Log'!$C$4:$C$1510,MATCH($A413,'Match Log'!$A$4:$A$1510,0)),"")</f>
        <v/>
      </c>
      <c r="D413" t="str">
        <f t="array" ref="D413">IFERROR(_xlfn.TEXTJOIN(" + ",TRUE(),IF(('Match Log'!$A$4:$A$1510=$A413)*('Match Log'!$E$4:$E$1510="Win"),'Match Log'!$D$4:$D$1510,"")),IFERROR(LOOKUP(2,1/(('Match Log'!$A$4:$A$1510=$A413)*('Match Log'!$E$4:$E$1510="Win")),'Match Log'!$D$4:$D$1510),""))</f>
        <v/>
      </c>
      <c r="E413" t="str">
        <f>IFERROR(INDEX('Match Log'!$F$4:$F$1510,MATCH($A413,'Match Log'!$A$4:$A$1510,0)),"")</f>
        <v/>
      </c>
      <c r="F413">
        <f>IFERROR(SUMIFS('Match Log'!$I$4:$I$1510,'Match Log'!$A$4:$A$1510,$A413,'Match Log'!$E$4:$E$1510,"Win"),"")</f>
        <v>0</v>
      </c>
      <c r="G413" t="str">
        <f t="shared" si="35"/>
        <v/>
      </c>
      <c r="H413" t="str">
        <f t="array" ref="H413">IFERROR(IF(COUNTIFS('Match Log'!$A$4:$A$1510,$A413,'Match Log'!$E$4:$E$1510,"Win")&gt;1,_xlfn.TEXTJOIN(" + ",TRUE(),IF(('Match Log'!$A$4:$A$1510=$A413)*('Match Log'!$E$4:$E$1510="Loss"),'Match Log'!$D$4:$D$1510,"")),IF($E413=2,LOOKUP(2,1/(('Match Log'!$A$4:$A$1510=$A413)*('Match Log'!$E$4:$E$1510="Loss")),'Match Log'!$D$4:$D$1510),"the field")),"")</f>
        <v>the field</v>
      </c>
      <c r="I413" t="str">
        <f t="shared" si="36"/>
        <v/>
      </c>
      <c r="J413">
        <v>389</v>
      </c>
      <c r="K413" t="e">
        <f>IF($J413&gt;MAX('Match Log'!$A$4:$A$1510),NA(),IFERROR(LOOKUP(2,1/(('Match Log'!$D$4:$D$1510=$K$24)*('Match Log'!$A$4:$A$1510&lt;=$J413)),'Match Log'!$N$4:$N$1510),NA()))</f>
        <v>#N/A</v>
      </c>
      <c r="L413" t="e">
        <f>IF($J413&gt;MAX('Match Log'!$A$4:$A$1510),NA(),IFERROR(LOOKUP(2,1/(('Match Log'!$D$4:$D$1510=$L$24)*('Match Log'!$A$4:$A$1510&lt;=$J413)),'Match Log'!$N$4:$N$1510),NA()))</f>
        <v>#N/A</v>
      </c>
      <c r="M413" t="e">
        <f>IF($J413&gt;MAX('Match Log'!$A$4:$A$1510),NA(),IFERROR(LOOKUP(2,1/(('Match Log'!$D$4:$D$1510=$M$24)*('Match Log'!$A$4:$A$1510&lt;=$J413)),'Match Log'!$N$4:$N$1510),NA()))</f>
        <v>#N/A</v>
      </c>
      <c r="N413" t="e">
        <f>IF($J413&gt;MAX('Match Log'!$A$4:$A$1510),NA(),IFERROR(LOOKUP(2,1/(('Match Log'!$D$4:$D$1510=$N$24)*('Match Log'!$A$4:$A$1510&lt;=$J413)),'Match Log'!$N$4:$N$1510),NA()))</f>
        <v>#N/A</v>
      </c>
      <c r="O413" t="e">
        <f>IF($J413&gt;MAX('Match Log'!$A$4:$A$1510),NA(),IFERROR(LOOKUP(2,1/(('Match Log'!$D$4:$D$1510=$O$24)*('Match Log'!$A$4:$A$1510&lt;=$J413)),'Match Log'!$N$4:$N$1510),NA()))</f>
        <v>#N/A</v>
      </c>
      <c r="P413" t="e">
        <f>IF($J413&gt;MAX('Match Log'!$A$4:$A$1510),NA(),IFERROR(LOOKUP(2,1/(('Match Log'!$D$4:$D$1510=$P$24)*('Match Log'!$A$4:$A$1510&lt;=$J413)),'Match Log'!$N$4:$N$1510),NA()))</f>
        <v>#N/A</v>
      </c>
      <c r="Q413" t="e">
        <f>IF($J413&gt;MAX('Match Log'!$A$4:$A$1510),NA(),IFERROR(LOOKUP(2,1/(('Match Log'!$D$4:$D$1510=$Q$24)*('Match Log'!$A$4:$A$1510&lt;=$J413)),'Match Log'!$N$4:$N$1510),NA()))</f>
        <v>#N/A</v>
      </c>
      <c r="R413" t="e">
        <f>IF($J413&gt;MAX('Match Log'!$A$4:$A$1510),NA(),IFERROR(LOOKUP(2,1/(('Match Log'!$D$4:$D$1510=$R$24)*('Match Log'!$A$4:$A$1510&lt;=$J413)),'Match Log'!$N$4:$N$1510),NA()))</f>
        <v>#N/A</v>
      </c>
      <c r="S413" t="e">
        <f>IF($J413&gt;MAX('Match Log'!$A$4:$A$1510),NA(),IFERROR(LOOKUP(2,1/(('Match Log'!$D$4:$D$1510=$S$24)*('Match Log'!$A$4:$A$1510&lt;=$J413)),'Match Log'!$N$4:$N$1510),NA()))</f>
        <v>#N/A</v>
      </c>
      <c r="T413" t="e">
        <f>IF($J413&gt;MAX('Match Log'!$A$4:$A$1510),NA(),IFERROR(LOOKUP(2,1/(('Match Log'!$D$4:$D$1510=$T$24)*('Match Log'!$A$4:$A$1510&lt;=$J413)),'Match Log'!$N$4:$N$1510),NA()))</f>
        <v>#N/A</v>
      </c>
      <c r="U413" t="e">
        <f>IF($J413&gt;MAX('Match Log'!$A$4:$A$1510),NA(),IFERROR(LOOKUP(2,1/(('Match Log'!$D$4:$D$1510=$U$24)*('Match Log'!$A$4:$A$1510&lt;=$J413)),'Match Log'!$N$4:$N$1510),NA()))</f>
        <v>#N/A</v>
      </c>
      <c r="V413" t="e">
        <f>IF($J413&gt;MAX('Match Log'!$A$4:$A$1510),NA(),IFERROR(LOOKUP(2,1/(('Match Log'!$D$4:$D$1510=$V$24)*('Match Log'!$A$4:$A$1510&lt;=$J413)),'Match Log'!$N$4:$N$1510),NA()))</f>
        <v>#N/A</v>
      </c>
      <c r="W413" t="e">
        <f>IF($J413&gt;MAX('Match Log'!$A$4:$A$1510),NA(),IFERROR(LOOKUP(2,1/(('Match Log'!$D$4:$D$1510=$W$24)*('Match Log'!$A$4:$A$1510&lt;=$J413)),'Match Log'!$N$4:$N$1510),NA()))</f>
        <v>#N/A</v>
      </c>
      <c r="X413" t="e">
        <f>IF($J413&gt;MAX('Match Log'!$A$4:$A$1510),NA(),IFERROR(LOOKUP(2,1/(('Match Log'!$D$4:$D$1510=$X$24)*('Match Log'!$A$4:$A$1510&lt;=$J413)),'Match Log'!$N$4:$N$1510),NA()))</f>
        <v>#N/A</v>
      </c>
      <c r="Y413" t="str">
        <f t="shared" ca="1" si="37"/>
        <v/>
      </c>
    </row>
    <row r="414" spans="1:25" x14ac:dyDescent="0.2">
      <c r="A414">
        <v>390</v>
      </c>
      <c r="B414" t="str">
        <f>IFERROR(INDEX('Match Log'!$B$4:$B$1510,MATCH($A414,'Match Log'!$A$4:$A$1510,0)),"")</f>
        <v/>
      </c>
      <c r="C414" t="str">
        <f>IFERROR(INDEX('Match Log'!$C$4:$C$1510,MATCH($A414,'Match Log'!$A$4:$A$1510,0)),"")</f>
        <v/>
      </c>
      <c r="D414" t="str">
        <f t="array" ref="D414">IFERROR(_xlfn.TEXTJOIN(" + ",TRUE(),IF(('Match Log'!$A$4:$A$1510=$A414)*('Match Log'!$E$4:$E$1510="Win"),'Match Log'!$D$4:$D$1510,"")),IFERROR(LOOKUP(2,1/(('Match Log'!$A$4:$A$1510=$A414)*('Match Log'!$E$4:$E$1510="Win")),'Match Log'!$D$4:$D$1510),""))</f>
        <v/>
      </c>
      <c r="E414" t="str">
        <f>IFERROR(INDEX('Match Log'!$F$4:$F$1510,MATCH($A414,'Match Log'!$A$4:$A$1510,0)),"")</f>
        <v/>
      </c>
      <c r="F414">
        <f>IFERROR(SUMIFS('Match Log'!$I$4:$I$1510,'Match Log'!$A$4:$A$1510,$A414,'Match Log'!$E$4:$E$1510,"Win"),"")</f>
        <v>0</v>
      </c>
      <c r="G414" t="str">
        <f t="shared" si="35"/>
        <v/>
      </c>
      <c r="H414" t="str">
        <f t="array" ref="H414">IFERROR(IF(COUNTIFS('Match Log'!$A$4:$A$1510,$A414,'Match Log'!$E$4:$E$1510,"Win")&gt;1,_xlfn.TEXTJOIN(" + ",TRUE(),IF(('Match Log'!$A$4:$A$1510=$A414)*('Match Log'!$E$4:$E$1510="Loss"),'Match Log'!$D$4:$D$1510,"")),IF($E414=2,LOOKUP(2,1/(('Match Log'!$A$4:$A$1510=$A414)*('Match Log'!$E$4:$E$1510="Loss")),'Match Log'!$D$4:$D$1510),"the field")),"")</f>
        <v>the field</v>
      </c>
      <c r="I414" t="str">
        <f t="shared" si="36"/>
        <v/>
      </c>
      <c r="J414">
        <v>390</v>
      </c>
      <c r="K414" t="e">
        <f>IF($J414&gt;MAX('Match Log'!$A$4:$A$1510),NA(),IFERROR(LOOKUP(2,1/(('Match Log'!$D$4:$D$1510=$K$24)*('Match Log'!$A$4:$A$1510&lt;=$J414)),'Match Log'!$N$4:$N$1510),NA()))</f>
        <v>#N/A</v>
      </c>
      <c r="L414" t="e">
        <f>IF($J414&gt;MAX('Match Log'!$A$4:$A$1510),NA(),IFERROR(LOOKUP(2,1/(('Match Log'!$D$4:$D$1510=$L$24)*('Match Log'!$A$4:$A$1510&lt;=$J414)),'Match Log'!$N$4:$N$1510),NA()))</f>
        <v>#N/A</v>
      </c>
      <c r="M414" t="e">
        <f>IF($J414&gt;MAX('Match Log'!$A$4:$A$1510),NA(),IFERROR(LOOKUP(2,1/(('Match Log'!$D$4:$D$1510=$M$24)*('Match Log'!$A$4:$A$1510&lt;=$J414)),'Match Log'!$N$4:$N$1510),NA()))</f>
        <v>#N/A</v>
      </c>
      <c r="N414" t="e">
        <f>IF($J414&gt;MAX('Match Log'!$A$4:$A$1510),NA(),IFERROR(LOOKUP(2,1/(('Match Log'!$D$4:$D$1510=$N$24)*('Match Log'!$A$4:$A$1510&lt;=$J414)),'Match Log'!$N$4:$N$1510),NA()))</f>
        <v>#N/A</v>
      </c>
      <c r="O414" t="e">
        <f>IF($J414&gt;MAX('Match Log'!$A$4:$A$1510),NA(),IFERROR(LOOKUP(2,1/(('Match Log'!$D$4:$D$1510=$O$24)*('Match Log'!$A$4:$A$1510&lt;=$J414)),'Match Log'!$N$4:$N$1510),NA()))</f>
        <v>#N/A</v>
      </c>
      <c r="P414" t="e">
        <f>IF($J414&gt;MAX('Match Log'!$A$4:$A$1510),NA(),IFERROR(LOOKUP(2,1/(('Match Log'!$D$4:$D$1510=$P$24)*('Match Log'!$A$4:$A$1510&lt;=$J414)),'Match Log'!$N$4:$N$1510),NA()))</f>
        <v>#N/A</v>
      </c>
      <c r="Q414" t="e">
        <f>IF($J414&gt;MAX('Match Log'!$A$4:$A$1510),NA(),IFERROR(LOOKUP(2,1/(('Match Log'!$D$4:$D$1510=$Q$24)*('Match Log'!$A$4:$A$1510&lt;=$J414)),'Match Log'!$N$4:$N$1510),NA()))</f>
        <v>#N/A</v>
      </c>
      <c r="R414" t="e">
        <f>IF($J414&gt;MAX('Match Log'!$A$4:$A$1510),NA(),IFERROR(LOOKUP(2,1/(('Match Log'!$D$4:$D$1510=$R$24)*('Match Log'!$A$4:$A$1510&lt;=$J414)),'Match Log'!$N$4:$N$1510),NA()))</f>
        <v>#N/A</v>
      </c>
      <c r="S414" t="e">
        <f>IF($J414&gt;MAX('Match Log'!$A$4:$A$1510),NA(),IFERROR(LOOKUP(2,1/(('Match Log'!$D$4:$D$1510=$S$24)*('Match Log'!$A$4:$A$1510&lt;=$J414)),'Match Log'!$N$4:$N$1510),NA()))</f>
        <v>#N/A</v>
      </c>
      <c r="T414" t="e">
        <f>IF($J414&gt;MAX('Match Log'!$A$4:$A$1510),NA(),IFERROR(LOOKUP(2,1/(('Match Log'!$D$4:$D$1510=$T$24)*('Match Log'!$A$4:$A$1510&lt;=$J414)),'Match Log'!$N$4:$N$1510),NA()))</f>
        <v>#N/A</v>
      </c>
      <c r="U414" t="e">
        <f>IF($J414&gt;MAX('Match Log'!$A$4:$A$1510),NA(),IFERROR(LOOKUP(2,1/(('Match Log'!$D$4:$D$1510=$U$24)*('Match Log'!$A$4:$A$1510&lt;=$J414)),'Match Log'!$N$4:$N$1510),NA()))</f>
        <v>#N/A</v>
      </c>
      <c r="V414" t="e">
        <f>IF($J414&gt;MAX('Match Log'!$A$4:$A$1510),NA(),IFERROR(LOOKUP(2,1/(('Match Log'!$D$4:$D$1510=$V$24)*('Match Log'!$A$4:$A$1510&lt;=$J414)),'Match Log'!$N$4:$N$1510),NA()))</f>
        <v>#N/A</v>
      </c>
      <c r="W414" t="e">
        <f>IF($J414&gt;MAX('Match Log'!$A$4:$A$1510),NA(),IFERROR(LOOKUP(2,1/(('Match Log'!$D$4:$D$1510=$W$24)*('Match Log'!$A$4:$A$1510&lt;=$J414)),'Match Log'!$N$4:$N$1510),NA()))</f>
        <v>#N/A</v>
      </c>
      <c r="X414" t="e">
        <f>IF($J414&gt;MAX('Match Log'!$A$4:$A$1510),NA(),IFERROR(LOOKUP(2,1/(('Match Log'!$D$4:$D$1510=$X$24)*('Match Log'!$A$4:$A$1510&lt;=$J414)),'Match Log'!$N$4:$N$1510),NA()))</f>
        <v>#N/A</v>
      </c>
      <c r="Y414" t="str">
        <f t="shared" ca="1" si="37"/>
        <v/>
      </c>
    </row>
    <row r="415" spans="1:25" x14ac:dyDescent="0.2">
      <c r="A415">
        <v>391</v>
      </c>
      <c r="B415" t="str">
        <f>IFERROR(INDEX('Match Log'!$B$4:$B$1510,MATCH($A415,'Match Log'!$A$4:$A$1510,0)),"")</f>
        <v/>
      </c>
      <c r="C415" t="str">
        <f>IFERROR(INDEX('Match Log'!$C$4:$C$1510,MATCH($A415,'Match Log'!$A$4:$A$1510,0)),"")</f>
        <v/>
      </c>
      <c r="D415" t="str">
        <f t="array" ref="D415">IFERROR(_xlfn.TEXTJOIN(" + ",TRUE(),IF(('Match Log'!$A$4:$A$1510=$A415)*('Match Log'!$E$4:$E$1510="Win"),'Match Log'!$D$4:$D$1510,"")),IFERROR(LOOKUP(2,1/(('Match Log'!$A$4:$A$1510=$A415)*('Match Log'!$E$4:$E$1510="Win")),'Match Log'!$D$4:$D$1510),""))</f>
        <v/>
      </c>
      <c r="E415" t="str">
        <f>IFERROR(INDEX('Match Log'!$F$4:$F$1510,MATCH($A415,'Match Log'!$A$4:$A$1510,0)),"")</f>
        <v/>
      </c>
      <c r="F415">
        <f>IFERROR(SUMIFS('Match Log'!$I$4:$I$1510,'Match Log'!$A$4:$A$1510,$A415,'Match Log'!$E$4:$E$1510,"Win"),"")</f>
        <v>0</v>
      </c>
      <c r="G415" t="str">
        <f t="shared" si="35"/>
        <v/>
      </c>
      <c r="H415" t="str">
        <f t="array" ref="H415">IFERROR(IF(COUNTIFS('Match Log'!$A$4:$A$1510,$A415,'Match Log'!$E$4:$E$1510,"Win")&gt;1,_xlfn.TEXTJOIN(" + ",TRUE(),IF(('Match Log'!$A$4:$A$1510=$A415)*('Match Log'!$E$4:$E$1510="Loss"),'Match Log'!$D$4:$D$1510,"")),IF($E415=2,LOOKUP(2,1/(('Match Log'!$A$4:$A$1510=$A415)*('Match Log'!$E$4:$E$1510="Loss")),'Match Log'!$D$4:$D$1510),"the field")),"")</f>
        <v>the field</v>
      </c>
      <c r="I415" t="str">
        <f t="shared" si="36"/>
        <v/>
      </c>
      <c r="J415">
        <v>391</v>
      </c>
      <c r="K415" t="e">
        <f>IF($J415&gt;MAX('Match Log'!$A$4:$A$1510),NA(),IFERROR(LOOKUP(2,1/(('Match Log'!$D$4:$D$1510=$K$24)*('Match Log'!$A$4:$A$1510&lt;=$J415)),'Match Log'!$N$4:$N$1510),NA()))</f>
        <v>#N/A</v>
      </c>
      <c r="L415" t="e">
        <f>IF($J415&gt;MAX('Match Log'!$A$4:$A$1510),NA(),IFERROR(LOOKUP(2,1/(('Match Log'!$D$4:$D$1510=$L$24)*('Match Log'!$A$4:$A$1510&lt;=$J415)),'Match Log'!$N$4:$N$1510),NA()))</f>
        <v>#N/A</v>
      </c>
      <c r="M415" t="e">
        <f>IF($J415&gt;MAX('Match Log'!$A$4:$A$1510),NA(),IFERROR(LOOKUP(2,1/(('Match Log'!$D$4:$D$1510=$M$24)*('Match Log'!$A$4:$A$1510&lt;=$J415)),'Match Log'!$N$4:$N$1510),NA()))</f>
        <v>#N/A</v>
      </c>
      <c r="N415" t="e">
        <f>IF($J415&gt;MAX('Match Log'!$A$4:$A$1510),NA(),IFERROR(LOOKUP(2,1/(('Match Log'!$D$4:$D$1510=$N$24)*('Match Log'!$A$4:$A$1510&lt;=$J415)),'Match Log'!$N$4:$N$1510),NA()))</f>
        <v>#N/A</v>
      </c>
      <c r="O415" t="e">
        <f>IF($J415&gt;MAX('Match Log'!$A$4:$A$1510),NA(),IFERROR(LOOKUP(2,1/(('Match Log'!$D$4:$D$1510=$O$24)*('Match Log'!$A$4:$A$1510&lt;=$J415)),'Match Log'!$N$4:$N$1510),NA()))</f>
        <v>#N/A</v>
      </c>
      <c r="P415" t="e">
        <f>IF($J415&gt;MAX('Match Log'!$A$4:$A$1510),NA(),IFERROR(LOOKUP(2,1/(('Match Log'!$D$4:$D$1510=$P$24)*('Match Log'!$A$4:$A$1510&lt;=$J415)),'Match Log'!$N$4:$N$1510),NA()))</f>
        <v>#N/A</v>
      </c>
      <c r="Q415" t="e">
        <f>IF($J415&gt;MAX('Match Log'!$A$4:$A$1510),NA(),IFERROR(LOOKUP(2,1/(('Match Log'!$D$4:$D$1510=$Q$24)*('Match Log'!$A$4:$A$1510&lt;=$J415)),'Match Log'!$N$4:$N$1510),NA()))</f>
        <v>#N/A</v>
      </c>
      <c r="R415" t="e">
        <f>IF($J415&gt;MAX('Match Log'!$A$4:$A$1510),NA(),IFERROR(LOOKUP(2,1/(('Match Log'!$D$4:$D$1510=$R$24)*('Match Log'!$A$4:$A$1510&lt;=$J415)),'Match Log'!$N$4:$N$1510),NA()))</f>
        <v>#N/A</v>
      </c>
      <c r="S415" t="e">
        <f>IF($J415&gt;MAX('Match Log'!$A$4:$A$1510),NA(),IFERROR(LOOKUP(2,1/(('Match Log'!$D$4:$D$1510=$S$24)*('Match Log'!$A$4:$A$1510&lt;=$J415)),'Match Log'!$N$4:$N$1510),NA()))</f>
        <v>#N/A</v>
      </c>
      <c r="T415" t="e">
        <f>IF($J415&gt;MAX('Match Log'!$A$4:$A$1510),NA(),IFERROR(LOOKUP(2,1/(('Match Log'!$D$4:$D$1510=$T$24)*('Match Log'!$A$4:$A$1510&lt;=$J415)),'Match Log'!$N$4:$N$1510),NA()))</f>
        <v>#N/A</v>
      </c>
      <c r="U415" t="e">
        <f>IF($J415&gt;MAX('Match Log'!$A$4:$A$1510),NA(),IFERROR(LOOKUP(2,1/(('Match Log'!$D$4:$D$1510=$U$24)*('Match Log'!$A$4:$A$1510&lt;=$J415)),'Match Log'!$N$4:$N$1510),NA()))</f>
        <v>#N/A</v>
      </c>
      <c r="V415" t="e">
        <f>IF($J415&gt;MAX('Match Log'!$A$4:$A$1510),NA(),IFERROR(LOOKUP(2,1/(('Match Log'!$D$4:$D$1510=$V$24)*('Match Log'!$A$4:$A$1510&lt;=$J415)),'Match Log'!$N$4:$N$1510),NA()))</f>
        <v>#N/A</v>
      </c>
      <c r="W415" t="e">
        <f>IF($J415&gt;MAX('Match Log'!$A$4:$A$1510),NA(),IFERROR(LOOKUP(2,1/(('Match Log'!$D$4:$D$1510=$W$24)*('Match Log'!$A$4:$A$1510&lt;=$J415)),'Match Log'!$N$4:$N$1510),NA()))</f>
        <v>#N/A</v>
      </c>
      <c r="X415" t="e">
        <f>IF($J415&gt;MAX('Match Log'!$A$4:$A$1510),NA(),IFERROR(LOOKUP(2,1/(('Match Log'!$D$4:$D$1510=$X$24)*('Match Log'!$A$4:$A$1510&lt;=$J415)),'Match Log'!$N$4:$N$1510),NA()))</f>
        <v>#N/A</v>
      </c>
      <c r="Y415" t="str">
        <f t="shared" ca="1" si="37"/>
        <v/>
      </c>
    </row>
    <row r="416" spans="1:25" x14ac:dyDescent="0.2">
      <c r="A416">
        <v>392</v>
      </c>
      <c r="B416" t="str">
        <f>IFERROR(INDEX('Match Log'!$B$4:$B$1510,MATCH($A416,'Match Log'!$A$4:$A$1510,0)),"")</f>
        <v/>
      </c>
      <c r="C416" t="str">
        <f>IFERROR(INDEX('Match Log'!$C$4:$C$1510,MATCH($A416,'Match Log'!$A$4:$A$1510,0)),"")</f>
        <v/>
      </c>
      <c r="D416" t="str">
        <f t="array" ref="D416">IFERROR(_xlfn.TEXTJOIN(" + ",TRUE(),IF(('Match Log'!$A$4:$A$1510=$A416)*('Match Log'!$E$4:$E$1510="Win"),'Match Log'!$D$4:$D$1510,"")),IFERROR(LOOKUP(2,1/(('Match Log'!$A$4:$A$1510=$A416)*('Match Log'!$E$4:$E$1510="Win")),'Match Log'!$D$4:$D$1510),""))</f>
        <v/>
      </c>
      <c r="E416" t="str">
        <f>IFERROR(INDEX('Match Log'!$F$4:$F$1510,MATCH($A416,'Match Log'!$A$4:$A$1510,0)),"")</f>
        <v/>
      </c>
      <c r="F416">
        <f>IFERROR(SUMIFS('Match Log'!$I$4:$I$1510,'Match Log'!$A$4:$A$1510,$A416,'Match Log'!$E$4:$E$1510,"Win"),"")</f>
        <v>0</v>
      </c>
      <c r="G416" t="str">
        <f t="shared" si="35"/>
        <v/>
      </c>
      <c r="H416" t="str">
        <f t="array" ref="H416">IFERROR(IF(COUNTIFS('Match Log'!$A$4:$A$1510,$A416,'Match Log'!$E$4:$E$1510,"Win")&gt;1,_xlfn.TEXTJOIN(" + ",TRUE(),IF(('Match Log'!$A$4:$A$1510=$A416)*('Match Log'!$E$4:$E$1510="Loss"),'Match Log'!$D$4:$D$1510,"")),IF($E416=2,LOOKUP(2,1/(('Match Log'!$A$4:$A$1510=$A416)*('Match Log'!$E$4:$E$1510="Loss")),'Match Log'!$D$4:$D$1510),"the field")),"")</f>
        <v>the field</v>
      </c>
      <c r="I416" t="str">
        <f t="shared" si="36"/>
        <v/>
      </c>
      <c r="J416">
        <v>392</v>
      </c>
      <c r="K416" t="e">
        <f>IF($J416&gt;MAX('Match Log'!$A$4:$A$1510),NA(),IFERROR(LOOKUP(2,1/(('Match Log'!$D$4:$D$1510=$K$24)*('Match Log'!$A$4:$A$1510&lt;=$J416)),'Match Log'!$N$4:$N$1510),NA()))</f>
        <v>#N/A</v>
      </c>
      <c r="L416" t="e">
        <f>IF($J416&gt;MAX('Match Log'!$A$4:$A$1510),NA(),IFERROR(LOOKUP(2,1/(('Match Log'!$D$4:$D$1510=$L$24)*('Match Log'!$A$4:$A$1510&lt;=$J416)),'Match Log'!$N$4:$N$1510),NA()))</f>
        <v>#N/A</v>
      </c>
      <c r="M416" t="e">
        <f>IF($J416&gt;MAX('Match Log'!$A$4:$A$1510),NA(),IFERROR(LOOKUP(2,1/(('Match Log'!$D$4:$D$1510=$M$24)*('Match Log'!$A$4:$A$1510&lt;=$J416)),'Match Log'!$N$4:$N$1510),NA()))</f>
        <v>#N/A</v>
      </c>
      <c r="N416" t="e">
        <f>IF($J416&gt;MAX('Match Log'!$A$4:$A$1510),NA(),IFERROR(LOOKUP(2,1/(('Match Log'!$D$4:$D$1510=$N$24)*('Match Log'!$A$4:$A$1510&lt;=$J416)),'Match Log'!$N$4:$N$1510),NA()))</f>
        <v>#N/A</v>
      </c>
      <c r="O416" t="e">
        <f>IF($J416&gt;MAX('Match Log'!$A$4:$A$1510),NA(),IFERROR(LOOKUP(2,1/(('Match Log'!$D$4:$D$1510=$O$24)*('Match Log'!$A$4:$A$1510&lt;=$J416)),'Match Log'!$N$4:$N$1510),NA()))</f>
        <v>#N/A</v>
      </c>
      <c r="P416" t="e">
        <f>IF($J416&gt;MAX('Match Log'!$A$4:$A$1510),NA(),IFERROR(LOOKUP(2,1/(('Match Log'!$D$4:$D$1510=$P$24)*('Match Log'!$A$4:$A$1510&lt;=$J416)),'Match Log'!$N$4:$N$1510),NA()))</f>
        <v>#N/A</v>
      </c>
      <c r="Q416" t="e">
        <f>IF($J416&gt;MAX('Match Log'!$A$4:$A$1510),NA(),IFERROR(LOOKUP(2,1/(('Match Log'!$D$4:$D$1510=$Q$24)*('Match Log'!$A$4:$A$1510&lt;=$J416)),'Match Log'!$N$4:$N$1510),NA()))</f>
        <v>#N/A</v>
      </c>
      <c r="R416" t="e">
        <f>IF($J416&gt;MAX('Match Log'!$A$4:$A$1510),NA(),IFERROR(LOOKUP(2,1/(('Match Log'!$D$4:$D$1510=$R$24)*('Match Log'!$A$4:$A$1510&lt;=$J416)),'Match Log'!$N$4:$N$1510),NA()))</f>
        <v>#N/A</v>
      </c>
      <c r="S416" t="e">
        <f>IF($J416&gt;MAX('Match Log'!$A$4:$A$1510),NA(),IFERROR(LOOKUP(2,1/(('Match Log'!$D$4:$D$1510=$S$24)*('Match Log'!$A$4:$A$1510&lt;=$J416)),'Match Log'!$N$4:$N$1510),NA()))</f>
        <v>#N/A</v>
      </c>
      <c r="T416" t="e">
        <f>IF($J416&gt;MAX('Match Log'!$A$4:$A$1510),NA(),IFERROR(LOOKUP(2,1/(('Match Log'!$D$4:$D$1510=$T$24)*('Match Log'!$A$4:$A$1510&lt;=$J416)),'Match Log'!$N$4:$N$1510),NA()))</f>
        <v>#N/A</v>
      </c>
      <c r="U416" t="e">
        <f>IF($J416&gt;MAX('Match Log'!$A$4:$A$1510),NA(),IFERROR(LOOKUP(2,1/(('Match Log'!$D$4:$D$1510=$U$24)*('Match Log'!$A$4:$A$1510&lt;=$J416)),'Match Log'!$N$4:$N$1510),NA()))</f>
        <v>#N/A</v>
      </c>
      <c r="V416" t="e">
        <f>IF($J416&gt;MAX('Match Log'!$A$4:$A$1510),NA(),IFERROR(LOOKUP(2,1/(('Match Log'!$D$4:$D$1510=$V$24)*('Match Log'!$A$4:$A$1510&lt;=$J416)),'Match Log'!$N$4:$N$1510),NA()))</f>
        <v>#N/A</v>
      </c>
      <c r="W416" t="e">
        <f>IF($J416&gt;MAX('Match Log'!$A$4:$A$1510),NA(),IFERROR(LOOKUP(2,1/(('Match Log'!$D$4:$D$1510=$W$24)*('Match Log'!$A$4:$A$1510&lt;=$J416)),'Match Log'!$N$4:$N$1510),NA()))</f>
        <v>#N/A</v>
      </c>
      <c r="X416" t="e">
        <f>IF($J416&gt;MAX('Match Log'!$A$4:$A$1510),NA(),IFERROR(LOOKUP(2,1/(('Match Log'!$D$4:$D$1510=$X$24)*('Match Log'!$A$4:$A$1510&lt;=$J416)),'Match Log'!$N$4:$N$1510),NA()))</f>
        <v>#N/A</v>
      </c>
      <c r="Y416" t="str">
        <f t="shared" ca="1" si="37"/>
        <v/>
      </c>
    </row>
    <row r="417" spans="1:25" x14ac:dyDescent="0.2">
      <c r="A417">
        <v>393</v>
      </c>
      <c r="B417" t="str">
        <f>IFERROR(INDEX('Match Log'!$B$4:$B$1510,MATCH($A417,'Match Log'!$A$4:$A$1510,0)),"")</f>
        <v/>
      </c>
      <c r="C417" t="str">
        <f>IFERROR(INDEX('Match Log'!$C$4:$C$1510,MATCH($A417,'Match Log'!$A$4:$A$1510,0)),"")</f>
        <v/>
      </c>
      <c r="D417" t="str">
        <f t="array" ref="D417">IFERROR(_xlfn.TEXTJOIN(" + ",TRUE(),IF(('Match Log'!$A$4:$A$1510=$A417)*('Match Log'!$E$4:$E$1510="Win"),'Match Log'!$D$4:$D$1510,"")),IFERROR(LOOKUP(2,1/(('Match Log'!$A$4:$A$1510=$A417)*('Match Log'!$E$4:$E$1510="Win")),'Match Log'!$D$4:$D$1510),""))</f>
        <v/>
      </c>
      <c r="E417" t="str">
        <f>IFERROR(INDEX('Match Log'!$F$4:$F$1510,MATCH($A417,'Match Log'!$A$4:$A$1510,0)),"")</f>
        <v/>
      </c>
      <c r="F417">
        <f>IFERROR(SUMIFS('Match Log'!$I$4:$I$1510,'Match Log'!$A$4:$A$1510,$A417,'Match Log'!$E$4:$E$1510,"Win"),"")</f>
        <v>0</v>
      </c>
      <c r="G417" t="str">
        <f t="shared" si="35"/>
        <v/>
      </c>
      <c r="H417" t="str">
        <f t="array" ref="H417">IFERROR(IF(COUNTIFS('Match Log'!$A$4:$A$1510,$A417,'Match Log'!$E$4:$E$1510,"Win")&gt;1,_xlfn.TEXTJOIN(" + ",TRUE(),IF(('Match Log'!$A$4:$A$1510=$A417)*('Match Log'!$E$4:$E$1510="Loss"),'Match Log'!$D$4:$D$1510,"")),IF($E417=2,LOOKUP(2,1/(('Match Log'!$A$4:$A$1510=$A417)*('Match Log'!$E$4:$E$1510="Loss")),'Match Log'!$D$4:$D$1510),"the field")),"")</f>
        <v>the field</v>
      </c>
      <c r="I417" t="str">
        <f t="shared" si="36"/>
        <v/>
      </c>
      <c r="J417">
        <v>393</v>
      </c>
      <c r="K417" t="e">
        <f>IF($J417&gt;MAX('Match Log'!$A$4:$A$1510),NA(),IFERROR(LOOKUP(2,1/(('Match Log'!$D$4:$D$1510=$K$24)*('Match Log'!$A$4:$A$1510&lt;=$J417)),'Match Log'!$N$4:$N$1510),NA()))</f>
        <v>#N/A</v>
      </c>
      <c r="L417" t="e">
        <f>IF($J417&gt;MAX('Match Log'!$A$4:$A$1510),NA(),IFERROR(LOOKUP(2,1/(('Match Log'!$D$4:$D$1510=$L$24)*('Match Log'!$A$4:$A$1510&lt;=$J417)),'Match Log'!$N$4:$N$1510),NA()))</f>
        <v>#N/A</v>
      </c>
      <c r="M417" t="e">
        <f>IF($J417&gt;MAX('Match Log'!$A$4:$A$1510),NA(),IFERROR(LOOKUP(2,1/(('Match Log'!$D$4:$D$1510=$M$24)*('Match Log'!$A$4:$A$1510&lt;=$J417)),'Match Log'!$N$4:$N$1510),NA()))</f>
        <v>#N/A</v>
      </c>
      <c r="N417" t="e">
        <f>IF($J417&gt;MAX('Match Log'!$A$4:$A$1510),NA(),IFERROR(LOOKUP(2,1/(('Match Log'!$D$4:$D$1510=$N$24)*('Match Log'!$A$4:$A$1510&lt;=$J417)),'Match Log'!$N$4:$N$1510),NA()))</f>
        <v>#N/A</v>
      </c>
      <c r="O417" t="e">
        <f>IF($J417&gt;MAX('Match Log'!$A$4:$A$1510),NA(),IFERROR(LOOKUP(2,1/(('Match Log'!$D$4:$D$1510=$O$24)*('Match Log'!$A$4:$A$1510&lt;=$J417)),'Match Log'!$N$4:$N$1510),NA()))</f>
        <v>#N/A</v>
      </c>
      <c r="P417" t="e">
        <f>IF($J417&gt;MAX('Match Log'!$A$4:$A$1510),NA(),IFERROR(LOOKUP(2,1/(('Match Log'!$D$4:$D$1510=$P$24)*('Match Log'!$A$4:$A$1510&lt;=$J417)),'Match Log'!$N$4:$N$1510),NA()))</f>
        <v>#N/A</v>
      </c>
      <c r="Q417" t="e">
        <f>IF($J417&gt;MAX('Match Log'!$A$4:$A$1510),NA(),IFERROR(LOOKUP(2,1/(('Match Log'!$D$4:$D$1510=$Q$24)*('Match Log'!$A$4:$A$1510&lt;=$J417)),'Match Log'!$N$4:$N$1510),NA()))</f>
        <v>#N/A</v>
      </c>
      <c r="R417" t="e">
        <f>IF($J417&gt;MAX('Match Log'!$A$4:$A$1510),NA(),IFERROR(LOOKUP(2,1/(('Match Log'!$D$4:$D$1510=$R$24)*('Match Log'!$A$4:$A$1510&lt;=$J417)),'Match Log'!$N$4:$N$1510),NA()))</f>
        <v>#N/A</v>
      </c>
      <c r="S417" t="e">
        <f>IF($J417&gt;MAX('Match Log'!$A$4:$A$1510),NA(),IFERROR(LOOKUP(2,1/(('Match Log'!$D$4:$D$1510=$S$24)*('Match Log'!$A$4:$A$1510&lt;=$J417)),'Match Log'!$N$4:$N$1510),NA()))</f>
        <v>#N/A</v>
      </c>
      <c r="T417" t="e">
        <f>IF($J417&gt;MAX('Match Log'!$A$4:$A$1510),NA(),IFERROR(LOOKUP(2,1/(('Match Log'!$D$4:$D$1510=$T$24)*('Match Log'!$A$4:$A$1510&lt;=$J417)),'Match Log'!$N$4:$N$1510),NA()))</f>
        <v>#N/A</v>
      </c>
      <c r="U417" t="e">
        <f>IF($J417&gt;MAX('Match Log'!$A$4:$A$1510),NA(),IFERROR(LOOKUP(2,1/(('Match Log'!$D$4:$D$1510=$U$24)*('Match Log'!$A$4:$A$1510&lt;=$J417)),'Match Log'!$N$4:$N$1510),NA()))</f>
        <v>#N/A</v>
      </c>
      <c r="V417" t="e">
        <f>IF($J417&gt;MAX('Match Log'!$A$4:$A$1510),NA(),IFERROR(LOOKUP(2,1/(('Match Log'!$D$4:$D$1510=$V$24)*('Match Log'!$A$4:$A$1510&lt;=$J417)),'Match Log'!$N$4:$N$1510),NA()))</f>
        <v>#N/A</v>
      </c>
      <c r="W417" t="e">
        <f>IF($J417&gt;MAX('Match Log'!$A$4:$A$1510),NA(),IFERROR(LOOKUP(2,1/(('Match Log'!$D$4:$D$1510=$W$24)*('Match Log'!$A$4:$A$1510&lt;=$J417)),'Match Log'!$N$4:$N$1510),NA()))</f>
        <v>#N/A</v>
      </c>
      <c r="X417" t="e">
        <f>IF($J417&gt;MAX('Match Log'!$A$4:$A$1510),NA(),IFERROR(LOOKUP(2,1/(('Match Log'!$D$4:$D$1510=$X$24)*('Match Log'!$A$4:$A$1510&lt;=$J417)),'Match Log'!$N$4:$N$1510),NA()))</f>
        <v>#N/A</v>
      </c>
      <c r="Y417" t="str">
        <f t="shared" ca="1" si="37"/>
        <v/>
      </c>
    </row>
    <row r="418" spans="1:25" x14ac:dyDescent="0.2">
      <c r="A418">
        <v>394</v>
      </c>
      <c r="B418" t="str">
        <f>IFERROR(INDEX('Match Log'!$B$4:$B$1510,MATCH($A418,'Match Log'!$A$4:$A$1510,0)),"")</f>
        <v/>
      </c>
      <c r="C418" t="str">
        <f>IFERROR(INDEX('Match Log'!$C$4:$C$1510,MATCH($A418,'Match Log'!$A$4:$A$1510,0)),"")</f>
        <v/>
      </c>
      <c r="D418" t="str">
        <f t="array" ref="D418">IFERROR(_xlfn.TEXTJOIN(" + ",TRUE(),IF(('Match Log'!$A$4:$A$1510=$A418)*('Match Log'!$E$4:$E$1510="Win"),'Match Log'!$D$4:$D$1510,"")),IFERROR(LOOKUP(2,1/(('Match Log'!$A$4:$A$1510=$A418)*('Match Log'!$E$4:$E$1510="Win")),'Match Log'!$D$4:$D$1510),""))</f>
        <v/>
      </c>
      <c r="E418" t="str">
        <f>IFERROR(INDEX('Match Log'!$F$4:$F$1510,MATCH($A418,'Match Log'!$A$4:$A$1510,0)),"")</f>
        <v/>
      </c>
      <c r="F418">
        <f>IFERROR(SUMIFS('Match Log'!$I$4:$I$1510,'Match Log'!$A$4:$A$1510,$A418,'Match Log'!$E$4:$E$1510,"Win"),"")</f>
        <v>0</v>
      </c>
      <c r="G418" t="str">
        <f t="shared" si="35"/>
        <v/>
      </c>
      <c r="H418" t="str">
        <f t="array" ref="H418">IFERROR(IF(COUNTIFS('Match Log'!$A$4:$A$1510,$A418,'Match Log'!$E$4:$E$1510,"Win")&gt;1,_xlfn.TEXTJOIN(" + ",TRUE(),IF(('Match Log'!$A$4:$A$1510=$A418)*('Match Log'!$E$4:$E$1510="Loss"),'Match Log'!$D$4:$D$1510,"")),IF($E418=2,LOOKUP(2,1/(('Match Log'!$A$4:$A$1510=$A418)*('Match Log'!$E$4:$E$1510="Loss")),'Match Log'!$D$4:$D$1510),"the field")),"")</f>
        <v>the field</v>
      </c>
      <c r="I418" t="str">
        <f t="shared" si="36"/>
        <v/>
      </c>
      <c r="J418">
        <v>394</v>
      </c>
      <c r="K418" t="e">
        <f>IF($J418&gt;MAX('Match Log'!$A$4:$A$1510),NA(),IFERROR(LOOKUP(2,1/(('Match Log'!$D$4:$D$1510=$K$24)*('Match Log'!$A$4:$A$1510&lt;=$J418)),'Match Log'!$N$4:$N$1510),NA()))</f>
        <v>#N/A</v>
      </c>
      <c r="L418" t="e">
        <f>IF($J418&gt;MAX('Match Log'!$A$4:$A$1510),NA(),IFERROR(LOOKUP(2,1/(('Match Log'!$D$4:$D$1510=$L$24)*('Match Log'!$A$4:$A$1510&lt;=$J418)),'Match Log'!$N$4:$N$1510),NA()))</f>
        <v>#N/A</v>
      </c>
      <c r="M418" t="e">
        <f>IF($J418&gt;MAX('Match Log'!$A$4:$A$1510),NA(),IFERROR(LOOKUP(2,1/(('Match Log'!$D$4:$D$1510=$M$24)*('Match Log'!$A$4:$A$1510&lt;=$J418)),'Match Log'!$N$4:$N$1510),NA()))</f>
        <v>#N/A</v>
      </c>
      <c r="N418" t="e">
        <f>IF($J418&gt;MAX('Match Log'!$A$4:$A$1510),NA(),IFERROR(LOOKUP(2,1/(('Match Log'!$D$4:$D$1510=$N$24)*('Match Log'!$A$4:$A$1510&lt;=$J418)),'Match Log'!$N$4:$N$1510),NA()))</f>
        <v>#N/A</v>
      </c>
      <c r="O418" t="e">
        <f>IF($J418&gt;MAX('Match Log'!$A$4:$A$1510),NA(),IFERROR(LOOKUP(2,1/(('Match Log'!$D$4:$D$1510=$O$24)*('Match Log'!$A$4:$A$1510&lt;=$J418)),'Match Log'!$N$4:$N$1510),NA()))</f>
        <v>#N/A</v>
      </c>
      <c r="P418" t="e">
        <f>IF($J418&gt;MAX('Match Log'!$A$4:$A$1510),NA(),IFERROR(LOOKUP(2,1/(('Match Log'!$D$4:$D$1510=$P$24)*('Match Log'!$A$4:$A$1510&lt;=$J418)),'Match Log'!$N$4:$N$1510),NA()))</f>
        <v>#N/A</v>
      </c>
      <c r="Q418" t="e">
        <f>IF($J418&gt;MAX('Match Log'!$A$4:$A$1510),NA(),IFERROR(LOOKUP(2,1/(('Match Log'!$D$4:$D$1510=$Q$24)*('Match Log'!$A$4:$A$1510&lt;=$J418)),'Match Log'!$N$4:$N$1510),NA()))</f>
        <v>#N/A</v>
      </c>
      <c r="R418" t="e">
        <f>IF($J418&gt;MAX('Match Log'!$A$4:$A$1510),NA(),IFERROR(LOOKUP(2,1/(('Match Log'!$D$4:$D$1510=$R$24)*('Match Log'!$A$4:$A$1510&lt;=$J418)),'Match Log'!$N$4:$N$1510),NA()))</f>
        <v>#N/A</v>
      </c>
      <c r="S418" t="e">
        <f>IF($J418&gt;MAX('Match Log'!$A$4:$A$1510),NA(),IFERROR(LOOKUP(2,1/(('Match Log'!$D$4:$D$1510=$S$24)*('Match Log'!$A$4:$A$1510&lt;=$J418)),'Match Log'!$N$4:$N$1510),NA()))</f>
        <v>#N/A</v>
      </c>
      <c r="T418" t="e">
        <f>IF($J418&gt;MAX('Match Log'!$A$4:$A$1510),NA(),IFERROR(LOOKUP(2,1/(('Match Log'!$D$4:$D$1510=$T$24)*('Match Log'!$A$4:$A$1510&lt;=$J418)),'Match Log'!$N$4:$N$1510),NA()))</f>
        <v>#N/A</v>
      </c>
      <c r="U418" t="e">
        <f>IF($J418&gt;MAX('Match Log'!$A$4:$A$1510),NA(),IFERROR(LOOKUP(2,1/(('Match Log'!$D$4:$D$1510=$U$24)*('Match Log'!$A$4:$A$1510&lt;=$J418)),'Match Log'!$N$4:$N$1510),NA()))</f>
        <v>#N/A</v>
      </c>
      <c r="V418" t="e">
        <f>IF($J418&gt;MAX('Match Log'!$A$4:$A$1510),NA(),IFERROR(LOOKUP(2,1/(('Match Log'!$D$4:$D$1510=$V$24)*('Match Log'!$A$4:$A$1510&lt;=$J418)),'Match Log'!$N$4:$N$1510),NA()))</f>
        <v>#N/A</v>
      </c>
      <c r="W418" t="e">
        <f>IF($J418&gt;MAX('Match Log'!$A$4:$A$1510),NA(),IFERROR(LOOKUP(2,1/(('Match Log'!$D$4:$D$1510=$W$24)*('Match Log'!$A$4:$A$1510&lt;=$J418)),'Match Log'!$N$4:$N$1510),NA()))</f>
        <v>#N/A</v>
      </c>
      <c r="X418" t="e">
        <f>IF($J418&gt;MAX('Match Log'!$A$4:$A$1510),NA(),IFERROR(LOOKUP(2,1/(('Match Log'!$D$4:$D$1510=$X$24)*('Match Log'!$A$4:$A$1510&lt;=$J418)),'Match Log'!$N$4:$N$1510),NA()))</f>
        <v>#N/A</v>
      </c>
      <c r="Y418" t="str">
        <f t="shared" ca="1" si="37"/>
        <v/>
      </c>
    </row>
    <row r="419" spans="1:25" x14ac:dyDescent="0.2">
      <c r="A419">
        <v>395</v>
      </c>
      <c r="B419" t="str">
        <f>IFERROR(INDEX('Match Log'!$B$4:$B$1510,MATCH($A419,'Match Log'!$A$4:$A$1510,0)),"")</f>
        <v/>
      </c>
      <c r="C419" t="str">
        <f>IFERROR(INDEX('Match Log'!$C$4:$C$1510,MATCH($A419,'Match Log'!$A$4:$A$1510,0)),"")</f>
        <v/>
      </c>
      <c r="D419" t="str">
        <f t="array" ref="D419">IFERROR(_xlfn.TEXTJOIN(" + ",TRUE(),IF(('Match Log'!$A$4:$A$1510=$A419)*('Match Log'!$E$4:$E$1510="Win"),'Match Log'!$D$4:$D$1510,"")),IFERROR(LOOKUP(2,1/(('Match Log'!$A$4:$A$1510=$A419)*('Match Log'!$E$4:$E$1510="Win")),'Match Log'!$D$4:$D$1510),""))</f>
        <v/>
      </c>
      <c r="E419" t="str">
        <f>IFERROR(INDEX('Match Log'!$F$4:$F$1510,MATCH($A419,'Match Log'!$A$4:$A$1510,0)),"")</f>
        <v/>
      </c>
      <c r="F419">
        <f>IFERROR(SUMIFS('Match Log'!$I$4:$I$1510,'Match Log'!$A$4:$A$1510,$A419,'Match Log'!$E$4:$E$1510,"Win"),"")</f>
        <v>0</v>
      </c>
      <c r="G419" t="str">
        <f t="shared" si="35"/>
        <v/>
      </c>
      <c r="H419" t="str">
        <f t="array" ref="H419">IFERROR(IF(COUNTIFS('Match Log'!$A$4:$A$1510,$A419,'Match Log'!$E$4:$E$1510,"Win")&gt;1,_xlfn.TEXTJOIN(" + ",TRUE(),IF(('Match Log'!$A$4:$A$1510=$A419)*('Match Log'!$E$4:$E$1510="Loss"),'Match Log'!$D$4:$D$1510,"")),IF($E419=2,LOOKUP(2,1/(('Match Log'!$A$4:$A$1510=$A419)*('Match Log'!$E$4:$E$1510="Loss")),'Match Log'!$D$4:$D$1510),"the field")),"")</f>
        <v>the field</v>
      </c>
      <c r="I419" t="str">
        <f t="shared" si="36"/>
        <v/>
      </c>
      <c r="J419">
        <v>395</v>
      </c>
      <c r="K419" t="e">
        <f>IF($J419&gt;MAX('Match Log'!$A$4:$A$1510),NA(),IFERROR(LOOKUP(2,1/(('Match Log'!$D$4:$D$1510=$K$24)*('Match Log'!$A$4:$A$1510&lt;=$J419)),'Match Log'!$N$4:$N$1510),NA()))</f>
        <v>#N/A</v>
      </c>
      <c r="L419" t="e">
        <f>IF($J419&gt;MAX('Match Log'!$A$4:$A$1510),NA(),IFERROR(LOOKUP(2,1/(('Match Log'!$D$4:$D$1510=$L$24)*('Match Log'!$A$4:$A$1510&lt;=$J419)),'Match Log'!$N$4:$N$1510),NA()))</f>
        <v>#N/A</v>
      </c>
      <c r="M419" t="e">
        <f>IF($J419&gt;MAX('Match Log'!$A$4:$A$1510),NA(),IFERROR(LOOKUP(2,1/(('Match Log'!$D$4:$D$1510=$M$24)*('Match Log'!$A$4:$A$1510&lt;=$J419)),'Match Log'!$N$4:$N$1510),NA()))</f>
        <v>#N/A</v>
      </c>
      <c r="N419" t="e">
        <f>IF($J419&gt;MAX('Match Log'!$A$4:$A$1510),NA(),IFERROR(LOOKUP(2,1/(('Match Log'!$D$4:$D$1510=$N$24)*('Match Log'!$A$4:$A$1510&lt;=$J419)),'Match Log'!$N$4:$N$1510),NA()))</f>
        <v>#N/A</v>
      </c>
      <c r="O419" t="e">
        <f>IF($J419&gt;MAX('Match Log'!$A$4:$A$1510),NA(),IFERROR(LOOKUP(2,1/(('Match Log'!$D$4:$D$1510=$O$24)*('Match Log'!$A$4:$A$1510&lt;=$J419)),'Match Log'!$N$4:$N$1510),NA()))</f>
        <v>#N/A</v>
      </c>
      <c r="P419" t="e">
        <f>IF($J419&gt;MAX('Match Log'!$A$4:$A$1510),NA(),IFERROR(LOOKUP(2,1/(('Match Log'!$D$4:$D$1510=$P$24)*('Match Log'!$A$4:$A$1510&lt;=$J419)),'Match Log'!$N$4:$N$1510),NA()))</f>
        <v>#N/A</v>
      </c>
      <c r="Q419" t="e">
        <f>IF($J419&gt;MAX('Match Log'!$A$4:$A$1510),NA(),IFERROR(LOOKUP(2,1/(('Match Log'!$D$4:$D$1510=$Q$24)*('Match Log'!$A$4:$A$1510&lt;=$J419)),'Match Log'!$N$4:$N$1510),NA()))</f>
        <v>#N/A</v>
      </c>
      <c r="R419" t="e">
        <f>IF($J419&gt;MAX('Match Log'!$A$4:$A$1510),NA(),IFERROR(LOOKUP(2,1/(('Match Log'!$D$4:$D$1510=$R$24)*('Match Log'!$A$4:$A$1510&lt;=$J419)),'Match Log'!$N$4:$N$1510),NA()))</f>
        <v>#N/A</v>
      </c>
      <c r="S419" t="e">
        <f>IF($J419&gt;MAX('Match Log'!$A$4:$A$1510),NA(),IFERROR(LOOKUP(2,1/(('Match Log'!$D$4:$D$1510=$S$24)*('Match Log'!$A$4:$A$1510&lt;=$J419)),'Match Log'!$N$4:$N$1510),NA()))</f>
        <v>#N/A</v>
      </c>
      <c r="T419" t="e">
        <f>IF($J419&gt;MAX('Match Log'!$A$4:$A$1510),NA(),IFERROR(LOOKUP(2,1/(('Match Log'!$D$4:$D$1510=$T$24)*('Match Log'!$A$4:$A$1510&lt;=$J419)),'Match Log'!$N$4:$N$1510),NA()))</f>
        <v>#N/A</v>
      </c>
      <c r="U419" t="e">
        <f>IF($J419&gt;MAX('Match Log'!$A$4:$A$1510),NA(),IFERROR(LOOKUP(2,1/(('Match Log'!$D$4:$D$1510=$U$24)*('Match Log'!$A$4:$A$1510&lt;=$J419)),'Match Log'!$N$4:$N$1510),NA()))</f>
        <v>#N/A</v>
      </c>
      <c r="V419" t="e">
        <f>IF($J419&gt;MAX('Match Log'!$A$4:$A$1510),NA(),IFERROR(LOOKUP(2,1/(('Match Log'!$D$4:$D$1510=$V$24)*('Match Log'!$A$4:$A$1510&lt;=$J419)),'Match Log'!$N$4:$N$1510),NA()))</f>
        <v>#N/A</v>
      </c>
      <c r="W419" t="e">
        <f>IF($J419&gt;MAX('Match Log'!$A$4:$A$1510),NA(),IFERROR(LOOKUP(2,1/(('Match Log'!$D$4:$D$1510=$W$24)*('Match Log'!$A$4:$A$1510&lt;=$J419)),'Match Log'!$N$4:$N$1510),NA()))</f>
        <v>#N/A</v>
      </c>
      <c r="X419" t="e">
        <f>IF($J419&gt;MAX('Match Log'!$A$4:$A$1510),NA(),IFERROR(LOOKUP(2,1/(('Match Log'!$D$4:$D$1510=$X$24)*('Match Log'!$A$4:$A$1510&lt;=$J419)),'Match Log'!$N$4:$N$1510),NA()))</f>
        <v>#N/A</v>
      </c>
      <c r="Y419" t="str">
        <f t="shared" ca="1" si="37"/>
        <v/>
      </c>
    </row>
    <row r="420" spans="1:25" x14ac:dyDescent="0.2">
      <c r="A420">
        <v>396</v>
      </c>
      <c r="B420" t="str">
        <f>IFERROR(INDEX('Match Log'!$B$4:$B$1510,MATCH($A420,'Match Log'!$A$4:$A$1510,0)),"")</f>
        <v/>
      </c>
      <c r="C420" t="str">
        <f>IFERROR(INDEX('Match Log'!$C$4:$C$1510,MATCH($A420,'Match Log'!$A$4:$A$1510,0)),"")</f>
        <v/>
      </c>
      <c r="D420" t="str">
        <f t="array" ref="D420">IFERROR(_xlfn.TEXTJOIN(" + ",TRUE(),IF(('Match Log'!$A$4:$A$1510=$A420)*('Match Log'!$E$4:$E$1510="Win"),'Match Log'!$D$4:$D$1510,"")),IFERROR(LOOKUP(2,1/(('Match Log'!$A$4:$A$1510=$A420)*('Match Log'!$E$4:$E$1510="Win")),'Match Log'!$D$4:$D$1510),""))</f>
        <v/>
      </c>
      <c r="E420" t="str">
        <f>IFERROR(INDEX('Match Log'!$F$4:$F$1510,MATCH($A420,'Match Log'!$A$4:$A$1510,0)),"")</f>
        <v/>
      </c>
      <c r="F420">
        <f>IFERROR(SUMIFS('Match Log'!$I$4:$I$1510,'Match Log'!$A$4:$A$1510,$A420,'Match Log'!$E$4:$E$1510,"Win"),"")</f>
        <v>0</v>
      </c>
      <c r="G420" t="str">
        <f t="shared" si="35"/>
        <v/>
      </c>
      <c r="H420" t="str">
        <f t="array" ref="H420">IFERROR(IF(COUNTIFS('Match Log'!$A$4:$A$1510,$A420,'Match Log'!$E$4:$E$1510,"Win")&gt;1,_xlfn.TEXTJOIN(" + ",TRUE(),IF(('Match Log'!$A$4:$A$1510=$A420)*('Match Log'!$E$4:$E$1510="Loss"),'Match Log'!$D$4:$D$1510,"")),IF($E420=2,LOOKUP(2,1/(('Match Log'!$A$4:$A$1510=$A420)*('Match Log'!$E$4:$E$1510="Loss")),'Match Log'!$D$4:$D$1510),"the field")),"")</f>
        <v>the field</v>
      </c>
      <c r="I420" t="str">
        <f t="shared" si="36"/>
        <v/>
      </c>
      <c r="J420">
        <v>396</v>
      </c>
      <c r="K420" t="e">
        <f>IF($J420&gt;MAX('Match Log'!$A$4:$A$1510),NA(),IFERROR(LOOKUP(2,1/(('Match Log'!$D$4:$D$1510=$K$24)*('Match Log'!$A$4:$A$1510&lt;=$J420)),'Match Log'!$N$4:$N$1510),NA()))</f>
        <v>#N/A</v>
      </c>
      <c r="L420" t="e">
        <f>IF($J420&gt;MAX('Match Log'!$A$4:$A$1510),NA(),IFERROR(LOOKUP(2,1/(('Match Log'!$D$4:$D$1510=$L$24)*('Match Log'!$A$4:$A$1510&lt;=$J420)),'Match Log'!$N$4:$N$1510),NA()))</f>
        <v>#N/A</v>
      </c>
      <c r="M420" t="e">
        <f>IF($J420&gt;MAX('Match Log'!$A$4:$A$1510),NA(),IFERROR(LOOKUP(2,1/(('Match Log'!$D$4:$D$1510=$M$24)*('Match Log'!$A$4:$A$1510&lt;=$J420)),'Match Log'!$N$4:$N$1510),NA()))</f>
        <v>#N/A</v>
      </c>
      <c r="N420" t="e">
        <f>IF($J420&gt;MAX('Match Log'!$A$4:$A$1510),NA(),IFERROR(LOOKUP(2,1/(('Match Log'!$D$4:$D$1510=$N$24)*('Match Log'!$A$4:$A$1510&lt;=$J420)),'Match Log'!$N$4:$N$1510),NA()))</f>
        <v>#N/A</v>
      </c>
      <c r="O420" t="e">
        <f>IF($J420&gt;MAX('Match Log'!$A$4:$A$1510),NA(),IFERROR(LOOKUP(2,1/(('Match Log'!$D$4:$D$1510=$O$24)*('Match Log'!$A$4:$A$1510&lt;=$J420)),'Match Log'!$N$4:$N$1510),NA()))</f>
        <v>#N/A</v>
      </c>
      <c r="P420" t="e">
        <f>IF($J420&gt;MAX('Match Log'!$A$4:$A$1510),NA(),IFERROR(LOOKUP(2,1/(('Match Log'!$D$4:$D$1510=$P$24)*('Match Log'!$A$4:$A$1510&lt;=$J420)),'Match Log'!$N$4:$N$1510),NA()))</f>
        <v>#N/A</v>
      </c>
      <c r="Q420" t="e">
        <f>IF($J420&gt;MAX('Match Log'!$A$4:$A$1510),NA(),IFERROR(LOOKUP(2,1/(('Match Log'!$D$4:$D$1510=$Q$24)*('Match Log'!$A$4:$A$1510&lt;=$J420)),'Match Log'!$N$4:$N$1510),NA()))</f>
        <v>#N/A</v>
      </c>
      <c r="R420" t="e">
        <f>IF($J420&gt;MAX('Match Log'!$A$4:$A$1510),NA(),IFERROR(LOOKUP(2,1/(('Match Log'!$D$4:$D$1510=$R$24)*('Match Log'!$A$4:$A$1510&lt;=$J420)),'Match Log'!$N$4:$N$1510),NA()))</f>
        <v>#N/A</v>
      </c>
      <c r="S420" t="e">
        <f>IF($J420&gt;MAX('Match Log'!$A$4:$A$1510),NA(),IFERROR(LOOKUP(2,1/(('Match Log'!$D$4:$D$1510=$S$24)*('Match Log'!$A$4:$A$1510&lt;=$J420)),'Match Log'!$N$4:$N$1510),NA()))</f>
        <v>#N/A</v>
      </c>
      <c r="T420" t="e">
        <f>IF($J420&gt;MAX('Match Log'!$A$4:$A$1510),NA(),IFERROR(LOOKUP(2,1/(('Match Log'!$D$4:$D$1510=$T$24)*('Match Log'!$A$4:$A$1510&lt;=$J420)),'Match Log'!$N$4:$N$1510),NA()))</f>
        <v>#N/A</v>
      </c>
      <c r="U420" t="e">
        <f>IF($J420&gt;MAX('Match Log'!$A$4:$A$1510),NA(),IFERROR(LOOKUP(2,1/(('Match Log'!$D$4:$D$1510=$U$24)*('Match Log'!$A$4:$A$1510&lt;=$J420)),'Match Log'!$N$4:$N$1510),NA()))</f>
        <v>#N/A</v>
      </c>
      <c r="V420" t="e">
        <f>IF($J420&gt;MAX('Match Log'!$A$4:$A$1510),NA(),IFERROR(LOOKUP(2,1/(('Match Log'!$D$4:$D$1510=$V$24)*('Match Log'!$A$4:$A$1510&lt;=$J420)),'Match Log'!$N$4:$N$1510),NA()))</f>
        <v>#N/A</v>
      </c>
      <c r="W420" t="e">
        <f>IF($J420&gt;MAX('Match Log'!$A$4:$A$1510),NA(),IFERROR(LOOKUP(2,1/(('Match Log'!$D$4:$D$1510=$W$24)*('Match Log'!$A$4:$A$1510&lt;=$J420)),'Match Log'!$N$4:$N$1510),NA()))</f>
        <v>#N/A</v>
      </c>
      <c r="X420" t="e">
        <f>IF($J420&gt;MAX('Match Log'!$A$4:$A$1510),NA(),IFERROR(LOOKUP(2,1/(('Match Log'!$D$4:$D$1510=$X$24)*('Match Log'!$A$4:$A$1510&lt;=$J420)),'Match Log'!$N$4:$N$1510),NA()))</f>
        <v>#N/A</v>
      </c>
      <c r="Y420" t="str">
        <f t="shared" ca="1" si="37"/>
        <v/>
      </c>
    </row>
    <row r="421" spans="1:25" x14ac:dyDescent="0.2">
      <c r="A421">
        <v>397</v>
      </c>
      <c r="B421" t="str">
        <f>IFERROR(INDEX('Match Log'!$B$4:$B$1510,MATCH($A421,'Match Log'!$A$4:$A$1510,0)),"")</f>
        <v/>
      </c>
      <c r="C421" t="str">
        <f>IFERROR(INDEX('Match Log'!$C$4:$C$1510,MATCH($A421,'Match Log'!$A$4:$A$1510,0)),"")</f>
        <v/>
      </c>
      <c r="D421" t="str">
        <f t="array" ref="D421">IFERROR(_xlfn.TEXTJOIN(" + ",TRUE(),IF(('Match Log'!$A$4:$A$1510=$A421)*('Match Log'!$E$4:$E$1510="Win"),'Match Log'!$D$4:$D$1510,"")),IFERROR(LOOKUP(2,1/(('Match Log'!$A$4:$A$1510=$A421)*('Match Log'!$E$4:$E$1510="Win")),'Match Log'!$D$4:$D$1510),""))</f>
        <v/>
      </c>
      <c r="E421" t="str">
        <f>IFERROR(INDEX('Match Log'!$F$4:$F$1510,MATCH($A421,'Match Log'!$A$4:$A$1510,0)),"")</f>
        <v/>
      </c>
      <c r="F421">
        <f>IFERROR(SUMIFS('Match Log'!$I$4:$I$1510,'Match Log'!$A$4:$A$1510,$A421,'Match Log'!$E$4:$E$1510,"Win"),"")</f>
        <v>0</v>
      </c>
      <c r="G421" t="str">
        <f t="shared" si="35"/>
        <v/>
      </c>
      <c r="H421" t="str">
        <f t="array" ref="H421">IFERROR(IF(COUNTIFS('Match Log'!$A$4:$A$1510,$A421,'Match Log'!$E$4:$E$1510,"Win")&gt;1,_xlfn.TEXTJOIN(" + ",TRUE(),IF(('Match Log'!$A$4:$A$1510=$A421)*('Match Log'!$E$4:$E$1510="Loss"),'Match Log'!$D$4:$D$1510,"")),IF($E421=2,LOOKUP(2,1/(('Match Log'!$A$4:$A$1510=$A421)*('Match Log'!$E$4:$E$1510="Loss")),'Match Log'!$D$4:$D$1510),"the field")),"")</f>
        <v>the field</v>
      </c>
      <c r="I421" t="str">
        <f t="shared" si="36"/>
        <v/>
      </c>
      <c r="J421">
        <v>397</v>
      </c>
      <c r="K421" t="e">
        <f>IF($J421&gt;MAX('Match Log'!$A$4:$A$1510),NA(),IFERROR(LOOKUP(2,1/(('Match Log'!$D$4:$D$1510=$K$24)*('Match Log'!$A$4:$A$1510&lt;=$J421)),'Match Log'!$N$4:$N$1510),NA()))</f>
        <v>#N/A</v>
      </c>
      <c r="L421" t="e">
        <f>IF($J421&gt;MAX('Match Log'!$A$4:$A$1510),NA(),IFERROR(LOOKUP(2,1/(('Match Log'!$D$4:$D$1510=$L$24)*('Match Log'!$A$4:$A$1510&lt;=$J421)),'Match Log'!$N$4:$N$1510),NA()))</f>
        <v>#N/A</v>
      </c>
      <c r="M421" t="e">
        <f>IF($J421&gt;MAX('Match Log'!$A$4:$A$1510),NA(),IFERROR(LOOKUP(2,1/(('Match Log'!$D$4:$D$1510=$M$24)*('Match Log'!$A$4:$A$1510&lt;=$J421)),'Match Log'!$N$4:$N$1510),NA()))</f>
        <v>#N/A</v>
      </c>
      <c r="N421" t="e">
        <f>IF($J421&gt;MAX('Match Log'!$A$4:$A$1510),NA(),IFERROR(LOOKUP(2,1/(('Match Log'!$D$4:$D$1510=$N$24)*('Match Log'!$A$4:$A$1510&lt;=$J421)),'Match Log'!$N$4:$N$1510),NA()))</f>
        <v>#N/A</v>
      </c>
      <c r="O421" t="e">
        <f>IF($J421&gt;MAX('Match Log'!$A$4:$A$1510),NA(),IFERROR(LOOKUP(2,1/(('Match Log'!$D$4:$D$1510=$O$24)*('Match Log'!$A$4:$A$1510&lt;=$J421)),'Match Log'!$N$4:$N$1510),NA()))</f>
        <v>#N/A</v>
      </c>
      <c r="P421" t="e">
        <f>IF($J421&gt;MAX('Match Log'!$A$4:$A$1510),NA(),IFERROR(LOOKUP(2,1/(('Match Log'!$D$4:$D$1510=$P$24)*('Match Log'!$A$4:$A$1510&lt;=$J421)),'Match Log'!$N$4:$N$1510),NA()))</f>
        <v>#N/A</v>
      </c>
      <c r="Q421" t="e">
        <f>IF($J421&gt;MAX('Match Log'!$A$4:$A$1510),NA(),IFERROR(LOOKUP(2,1/(('Match Log'!$D$4:$D$1510=$Q$24)*('Match Log'!$A$4:$A$1510&lt;=$J421)),'Match Log'!$N$4:$N$1510),NA()))</f>
        <v>#N/A</v>
      </c>
      <c r="R421" t="e">
        <f>IF($J421&gt;MAX('Match Log'!$A$4:$A$1510),NA(),IFERROR(LOOKUP(2,1/(('Match Log'!$D$4:$D$1510=$R$24)*('Match Log'!$A$4:$A$1510&lt;=$J421)),'Match Log'!$N$4:$N$1510),NA()))</f>
        <v>#N/A</v>
      </c>
      <c r="S421" t="e">
        <f>IF($J421&gt;MAX('Match Log'!$A$4:$A$1510),NA(),IFERROR(LOOKUP(2,1/(('Match Log'!$D$4:$D$1510=$S$24)*('Match Log'!$A$4:$A$1510&lt;=$J421)),'Match Log'!$N$4:$N$1510),NA()))</f>
        <v>#N/A</v>
      </c>
      <c r="T421" t="e">
        <f>IF($J421&gt;MAX('Match Log'!$A$4:$A$1510),NA(),IFERROR(LOOKUP(2,1/(('Match Log'!$D$4:$D$1510=$T$24)*('Match Log'!$A$4:$A$1510&lt;=$J421)),'Match Log'!$N$4:$N$1510),NA()))</f>
        <v>#N/A</v>
      </c>
      <c r="U421" t="e">
        <f>IF($J421&gt;MAX('Match Log'!$A$4:$A$1510),NA(),IFERROR(LOOKUP(2,1/(('Match Log'!$D$4:$D$1510=$U$24)*('Match Log'!$A$4:$A$1510&lt;=$J421)),'Match Log'!$N$4:$N$1510),NA()))</f>
        <v>#N/A</v>
      </c>
      <c r="V421" t="e">
        <f>IF($J421&gt;MAX('Match Log'!$A$4:$A$1510),NA(),IFERROR(LOOKUP(2,1/(('Match Log'!$D$4:$D$1510=$V$24)*('Match Log'!$A$4:$A$1510&lt;=$J421)),'Match Log'!$N$4:$N$1510),NA()))</f>
        <v>#N/A</v>
      </c>
      <c r="W421" t="e">
        <f>IF($J421&gt;MAX('Match Log'!$A$4:$A$1510),NA(),IFERROR(LOOKUP(2,1/(('Match Log'!$D$4:$D$1510=$W$24)*('Match Log'!$A$4:$A$1510&lt;=$J421)),'Match Log'!$N$4:$N$1510),NA()))</f>
        <v>#N/A</v>
      </c>
      <c r="X421" t="e">
        <f>IF($J421&gt;MAX('Match Log'!$A$4:$A$1510),NA(),IFERROR(LOOKUP(2,1/(('Match Log'!$D$4:$D$1510=$X$24)*('Match Log'!$A$4:$A$1510&lt;=$J421)),'Match Log'!$N$4:$N$1510),NA()))</f>
        <v>#N/A</v>
      </c>
      <c r="Y421" t="str">
        <f t="shared" ca="1" si="37"/>
        <v/>
      </c>
    </row>
    <row r="422" spans="1:25" x14ac:dyDescent="0.2">
      <c r="A422">
        <v>398</v>
      </c>
      <c r="B422" t="str">
        <f>IFERROR(INDEX('Match Log'!$B$4:$B$1510,MATCH($A422,'Match Log'!$A$4:$A$1510,0)),"")</f>
        <v/>
      </c>
      <c r="C422" t="str">
        <f>IFERROR(INDEX('Match Log'!$C$4:$C$1510,MATCH($A422,'Match Log'!$A$4:$A$1510,0)),"")</f>
        <v/>
      </c>
      <c r="D422" t="str">
        <f t="array" ref="D422">IFERROR(_xlfn.TEXTJOIN(" + ",TRUE(),IF(('Match Log'!$A$4:$A$1510=$A422)*('Match Log'!$E$4:$E$1510="Win"),'Match Log'!$D$4:$D$1510,"")),IFERROR(LOOKUP(2,1/(('Match Log'!$A$4:$A$1510=$A422)*('Match Log'!$E$4:$E$1510="Win")),'Match Log'!$D$4:$D$1510),""))</f>
        <v/>
      </c>
      <c r="E422" t="str">
        <f>IFERROR(INDEX('Match Log'!$F$4:$F$1510,MATCH($A422,'Match Log'!$A$4:$A$1510,0)),"")</f>
        <v/>
      </c>
      <c r="F422">
        <f>IFERROR(SUMIFS('Match Log'!$I$4:$I$1510,'Match Log'!$A$4:$A$1510,$A422,'Match Log'!$E$4:$E$1510,"Win"),"")</f>
        <v>0</v>
      </c>
      <c r="G422" t="str">
        <f t="shared" si="35"/>
        <v/>
      </c>
      <c r="H422" t="str">
        <f t="array" ref="H422">IFERROR(IF(COUNTIFS('Match Log'!$A$4:$A$1510,$A422,'Match Log'!$E$4:$E$1510,"Win")&gt;1,_xlfn.TEXTJOIN(" + ",TRUE(),IF(('Match Log'!$A$4:$A$1510=$A422)*('Match Log'!$E$4:$E$1510="Loss"),'Match Log'!$D$4:$D$1510,"")),IF($E422=2,LOOKUP(2,1/(('Match Log'!$A$4:$A$1510=$A422)*('Match Log'!$E$4:$E$1510="Loss")),'Match Log'!$D$4:$D$1510),"the field")),"")</f>
        <v>the field</v>
      </c>
      <c r="I422" t="str">
        <f t="shared" si="36"/>
        <v/>
      </c>
      <c r="J422">
        <v>398</v>
      </c>
      <c r="K422" t="e">
        <f>IF($J422&gt;MAX('Match Log'!$A$4:$A$1510),NA(),IFERROR(LOOKUP(2,1/(('Match Log'!$D$4:$D$1510=$K$24)*('Match Log'!$A$4:$A$1510&lt;=$J422)),'Match Log'!$N$4:$N$1510),NA()))</f>
        <v>#N/A</v>
      </c>
      <c r="L422" t="e">
        <f>IF($J422&gt;MAX('Match Log'!$A$4:$A$1510),NA(),IFERROR(LOOKUP(2,1/(('Match Log'!$D$4:$D$1510=$L$24)*('Match Log'!$A$4:$A$1510&lt;=$J422)),'Match Log'!$N$4:$N$1510),NA()))</f>
        <v>#N/A</v>
      </c>
      <c r="M422" t="e">
        <f>IF($J422&gt;MAX('Match Log'!$A$4:$A$1510),NA(),IFERROR(LOOKUP(2,1/(('Match Log'!$D$4:$D$1510=$M$24)*('Match Log'!$A$4:$A$1510&lt;=$J422)),'Match Log'!$N$4:$N$1510),NA()))</f>
        <v>#N/A</v>
      </c>
      <c r="N422" t="e">
        <f>IF($J422&gt;MAX('Match Log'!$A$4:$A$1510),NA(),IFERROR(LOOKUP(2,1/(('Match Log'!$D$4:$D$1510=$N$24)*('Match Log'!$A$4:$A$1510&lt;=$J422)),'Match Log'!$N$4:$N$1510),NA()))</f>
        <v>#N/A</v>
      </c>
      <c r="O422" t="e">
        <f>IF($J422&gt;MAX('Match Log'!$A$4:$A$1510),NA(),IFERROR(LOOKUP(2,1/(('Match Log'!$D$4:$D$1510=$O$24)*('Match Log'!$A$4:$A$1510&lt;=$J422)),'Match Log'!$N$4:$N$1510),NA()))</f>
        <v>#N/A</v>
      </c>
      <c r="P422" t="e">
        <f>IF($J422&gt;MAX('Match Log'!$A$4:$A$1510),NA(),IFERROR(LOOKUP(2,1/(('Match Log'!$D$4:$D$1510=$P$24)*('Match Log'!$A$4:$A$1510&lt;=$J422)),'Match Log'!$N$4:$N$1510),NA()))</f>
        <v>#N/A</v>
      </c>
      <c r="Q422" t="e">
        <f>IF($J422&gt;MAX('Match Log'!$A$4:$A$1510),NA(),IFERROR(LOOKUP(2,1/(('Match Log'!$D$4:$D$1510=$Q$24)*('Match Log'!$A$4:$A$1510&lt;=$J422)),'Match Log'!$N$4:$N$1510),NA()))</f>
        <v>#N/A</v>
      </c>
      <c r="R422" t="e">
        <f>IF($J422&gt;MAX('Match Log'!$A$4:$A$1510),NA(),IFERROR(LOOKUP(2,1/(('Match Log'!$D$4:$D$1510=$R$24)*('Match Log'!$A$4:$A$1510&lt;=$J422)),'Match Log'!$N$4:$N$1510),NA()))</f>
        <v>#N/A</v>
      </c>
      <c r="S422" t="e">
        <f>IF($J422&gt;MAX('Match Log'!$A$4:$A$1510),NA(),IFERROR(LOOKUP(2,1/(('Match Log'!$D$4:$D$1510=$S$24)*('Match Log'!$A$4:$A$1510&lt;=$J422)),'Match Log'!$N$4:$N$1510),NA()))</f>
        <v>#N/A</v>
      </c>
      <c r="T422" t="e">
        <f>IF($J422&gt;MAX('Match Log'!$A$4:$A$1510),NA(),IFERROR(LOOKUP(2,1/(('Match Log'!$D$4:$D$1510=$T$24)*('Match Log'!$A$4:$A$1510&lt;=$J422)),'Match Log'!$N$4:$N$1510),NA()))</f>
        <v>#N/A</v>
      </c>
      <c r="U422" t="e">
        <f>IF($J422&gt;MAX('Match Log'!$A$4:$A$1510),NA(),IFERROR(LOOKUP(2,1/(('Match Log'!$D$4:$D$1510=$U$24)*('Match Log'!$A$4:$A$1510&lt;=$J422)),'Match Log'!$N$4:$N$1510),NA()))</f>
        <v>#N/A</v>
      </c>
      <c r="V422" t="e">
        <f>IF($J422&gt;MAX('Match Log'!$A$4:$A$1510),NA(),IFERROR(LOOKUP(2,1/(('Match Log'!$D$4:$D$1510=$V$24)*('Match Log'!$A$4:$A$1510&lt;=$J422)),'Match Log'!$N$4:$N$1510),NA()))</f>
        <v>#N/A</v>
      </c>
      <c r="W422" t="e">
        <f>IF($J422&gt;MAX('Match Log'!$A$4:$A$1510),NA(),IFERROR(LOOKUP(2,1/(('Match Log'!$D$4:$D$1510=$W$24)*('Match Log'!$A$4:$A$1510&lt;=$J422)),'Match Log'!$N$4:$N$1510),NA()))</f>
        <v>#N/A</v>
      </c>
      <c r="X422" t="e">
        <f>IF($J422&gt;MAX('Match Log'!$A$4:$A$1510),NA(),IFERROR(LOOKUP(2,1/(('Match Log'!$D$4:$D$1510=$X$24)*('Match Log'!$A$4:$A$1510&lt;=$J422)),'Match Log'!$N$4:$N$1510),NA()))</f>
        <v>#N/A</v>
      </c>
      <c r="Y422" t="str">
        <f t="shared" ca="1" si="37"/>
        <v/>
      </c>
    </row>
    <row r="423" spans="1:25" x14ac:dyDescent="0.2">
      <c r="A423">
        <v>399</v>
      </c>
      <c r="B423" t="str">
        <f>IFERROR(INDEX('Match Log'!$B$4:$B$1510,MATCH($A423,'Match Log'!$A$4:$A$1510,0)),"")</f>
        <v/>
      </c>
      <c r="C423" t="str">
        <f>IFERROR(INDEX('Match Log'!$C$4:$C$1510,MATCH($A423,'Match Log'!$A$4:$A$1510,0)),"")</f>
        <v/>
      </c>
      <c r="D423" t="str">
        <f t="array" ref="D423">IFERROR(_xlfn.TEXTJOIN(" + ",TRUE(),IF(('Match Log'!$A$4:$A$1510=$A423)*('Match Log'!$E$4:$E$1510="Win"),'Match Log'!$D$4:$D$1510,"")),IFERROR(LOOKUP(2,1/(('Match Log'!$A$4:$A$1510=$A423)*('Match Log'!$E$4:$E$1510="Win")),'Match Log'!$D$4:$D$1510),""))</f>
        <v/>
      </c>
      <c r="E423" t="str">
        <f>IFERROR(INDEX('Match Log'!$F$4:$F$1510,MATCH($A423,'Match Log'!$A$4:$A$1510,0)),"")</f>
        <v/>
      </c>
      <c r="F423">
        <f>IFERROR(SUMIFS('Match Log'!$I$4:$I$1510,'Match Log'!$A$4:$A$1510,$A423,'Match Log'!$E$4:$E$1510,"Win"),"")</f>
        <v>0</v>
      </c>
      <c r="G423" t="str">
        <f t="shared" si="35"/>
        <v/>
      </c>
      <c r="H423" t="str">
        <f t="array" ref="H423">IFERROR(IF(COUNTIFS('Match Log'!$A$4:$A$1510,$A423,'Match Log'!$E$4:$E$1510,"Win")&gt;1,_xlfn.TEXTJOIN(" + ",TRUE(),IF(('Match Log'!$A$4:$A$1510=$A423)*('Match Log'!$E$4:$E$1510="Loss"),'Match Log'!$D$4:$D$1510,"")),IF($E423=2,LOOKUP(2,1/(('Match Log'!$A$4:$A$1510=$A423)*('Match Log'!$E$4:$E$1510="Loss")),'Match Log'!$D$4:$D$1510),"the field")),"")</f>
        <v>the field</v>
      </c>
      <c r="I423" t="str">
        <f t="shared" si="36"/>
        <v/>
      </c>
      <c r="J423">
        <v>399</v>
      </c>
      <c r="K423" t="e">
        <f>IF($J423&gt;MAX('Match Log'!$A$4:$A$1510),NA(),IFERROR(LOOKUP(2,1/(('Match Log'!$D$4:$D$1510=$K$24)*('Match Log'!$A$4:$A$1510&lt;=$J423)),'Match Log'!$N$4:$N$1510),NA()))</f>
        <v>#N/A</v>
      </c>
      <c r="L423" t="e">
        <f>IF($J423&gt;MAX('Match Log'!$A$4:$A$1510),NA(),IFERROR(LOOKUP(2,1/(('Match Log'!$D$4:$D$1510=$L$24)*('Match Log'!$A$4:$A$1510&lt;=$J423)),'Match Log'!$N$4:$N$1510),NA()))</f>
        <v>#N/A</v>
      </c>
      <c r="M423" t="e">
        <f>IF($J423&gt;MAX('Match Log'!$A$4:$A$1510),NA(),IFERROR(LOOKUP(2,1/(('Match Log'!$D$4:$D$1510=$M$24)*('Match Log'!$A$4:$A$1510&lt;=$J423)),'Match Log'!$N$4:$N$1510),NA()))</f>
        <v>#N/A</v>
      </c>
      <c r="N423" t="e">
        <f>IF($J423&gt;MAX('Match Log'!$A$4:$A$1510),NA(),IFERROR(LOOKUP(2,1/(('Match Log'!$D$4:$D$1510=$N$24)*('Match Log'!$A$4:$A$1510&lt;=$J423)),'Match Log'!$N$4:$N$1510),NA()))</f>
        <v>#N/A</v>
      </c>
      <c r="O423" t="e">
        <f>IF($J423&gt;MAX('Match Log'!$A$4:$A$1510),NA(),IFERROR(LOOKUP(2,1/(('Match Log'!$D$4:$D$1510=$O$24)*('Match Log'!$A$4:$A$1510&lt;=$J423)),'Match Log'!$N$4:$N$1510),NA()))</f>
        <v>#N/A</v>
      </c>
      <c r="P423" t="e">
        <f>IF($J423&gt;MAX('Match Log'!$A$4:$A$1510),NA(),IFERROR(LOOKUP(2,1/(('Match Log'!$D$4:$D$1510=$P$24)*('Match Log'!$A$4:$A$1510&lt;=$J423)),'Match Log'!$N$4:$N$1510),NA()))</f>
        <v>#N/A</v>
      </c>
      <c r="Q423" t="e">
        <f>IF($J423&gt;MAX('Match Log'!$A$4:$A$1510),NA(),IFERROR(LOOKUP(2,1/(('Match Log'!$D$4:$D$1510=$Q$24)*('Match Log'!$A$4:$A$1510&lt;=$J423)),'Match Log'!$N$4:$N$1510),NA()))</f>
        <v>#N/A</v>
      </c>
      <c r="R423" t="e">
        <f>IF($J423&gt;MAX('Match Log'!$A$4:$A$1510),NA(),IFERROR(LOOKUP(2,1/(('Match Log'!$D$4:$D$1510=$R$24)*('Match Log'!$A$4:$A$1510&lt;=$J423)),'Match Log'!$N$4:$N$1510),NA()))</f>
        <v>#N/A</v>
      </c>
      <c r="S423" t="e">
        <f>IF($J423&gt;MAX('Match Log'!$A$4:$A$1510),NA(),IFERROR(LOOKUP(2,1/(('Match Log'!$D$4:$D$1510=$S$24)*('Match Log'!$A$4:$A$1510&lt;=$J423)),'Match Log'!$N$4:$N$1510),NA()))</f>
        <v>#N/A</v>
      </c>
      <c r="T423" t="e">
        <f>IF($J423&gt;MAX('Match Log'!$A$4:$A$1510),NA(),IFERROR(LOOKUP(2,1/(('Match Log'!$D$4:$D$1510=$T$24)*('Match Log'!$A$4:$A$1510&lt;=$J423)),'Match Log'!$N$4:$N$1510),NA()))</f>
        <v>#N/A</v>
      </c>
      <c r="U423" t="e">
        <f>IF($J423&gt;MAX('Match Log'!$A$4:$A$1510),NA(),IFERROR(LOOKUP(2,1/(('Match Log'!$D$4:$D$1510=$U$24)*('Match Log'!$A$4:$A$1510&lt;=$J423)),'Match Log'!$N$4:$N$1510),NA()))</f>
        <v>#N/A</v>
      </c>
      <c r="V423" t="e">
        <f>IF($J423&gt;MAX('Match Log'!$A$4:$A$1510),NA(),IFERROR(LOOKUP(2,1/(('Match Log'!$D$4:$D$1510=$V$24)*('Match Log'!$A$4:$A$1510&lt;=$J423)),'Match Log'!$N$4:$N$1510),NA()))</f>
        <v>#N/A</v>
      </c>
      <c r="W423" t="e">
        <f>IF($J423&gt;MAX('Match Log'!$A$4:$A$1510),NA(),IFERROR(LOOKUP(2,1/(('Match Log'!$D$4:$D$1510=$W$24)*('Match Log'!$A$4:$A$1510&lt;=$J423)),'Match Log'!$N$4:$N$1510),NA()))</f>
        <v>#N/A</v>
      </c>
      <c r="X423" t="e">
        <f>IF($J423&gt;MAX('Match Log'!$A$4:$A$1510),NA(),IFERROR(LOOKUP(2,1/(('Match Log'!$D$4:$D$1510=$X$24)*('Match Log'!$A$4:$A$1510&lt;=$J423)),'Match Log'!$N$4:$N$1510),NA()))</f>
        <v>#N/A</v>
      </c>
      <c r="Y423" t="str">
        <f t="shared" ca="1" si="37"/>
        <v/>
      </c>
    </row>
    <row r="424" spans="1:25" x14ac:dyDescent="0.2">
      <c r="A424">
        <v>400</v>
      </c>
      <c r="B424" t="str">
        <f>IFERROR(INDEX('Match Log'!$B$4:$B$1510,MATCH($A424,'Match Log'!$A$4:$A$1510,0)),"")</f>
        <v/>
      </c>
      <c r="C424" t="str">
        <f>IFERROR(INDEX('Match Log'!$C$4:$C$1510,MATCH($A424,'Match Log'!$A$4:$A$1510,0)),"")</f>
        <v/>
      </c>
      <c r="D424" t="str">
        <f t="array" ref="D424">IFERROR(_xlfn.TEXTJOIN(" + ",TRUE(),IF(('Match Log'!$A$4:$A$1510=$A424)*('Match Log'!$E$4:$E$1510="Win"),'Match Log'!$D$4:$D$1510,"")),IFERROR(LOOKUP(2,1/(('Match Log'!$A$4:$A$1510=$A424)*('Match Log'!$E$4:$E$1510="Win")),'Match Log'!$D$4:$D$1510),""))</f>
        <v/>
      </c>
      <c r="E424" t="str">
        <f>IFERROR(INDEX('Match Log'!$F$4:$F$1510,MATCH($A424,'Match Log'!$A$4:$A$1510,0)),"")</f>
        <v/>
      </c>
      <c r="F424">
        <f>IFERROR(SUMIFS('Match Log'!$I$4:$I$1510,'Match Log'!$A$4:$A$1510,$A424,'Match Log'!$E$4:$E$1510,"Win"),"")</f>
        <v>0</v>
      </c>
      <c r="G424" t="str">
        <f t="shared" si="35"/>
        <v/>
      </c>
      <c r="H424" t="str">
        <f t="array" ref="H424">IFERROR(IF(COUNTIFS('Match Log'!$A$4:$A$1510,$A424,'Match Log'!$E$4:$E$1510,"Win")&gt;1,_xlfn.TEXTJOIN(" + ",TRUE(),IF(('Match Log'!$A$4:$A$1510=$A424)*('Match Log'!$E$4:$E$1510="Loss"),'Match Log'!$D$4:$D$1510,"")),IF($E424=2,LOOKUP(2,1/(('Match Log'!$A$4:$A$1510=$A424)*('Match Log'!$E$4:$E$1510="Loss")),'Match Log'!$D$4:$D$1510),"the field")),"")</f>
        <v>the field</v>
      </c>
      <c r="I424" t="str">
        <f t="shared" si="36"/>
        <v/>
      </c>
      <c r="J424">
        <v>400</v>
      </c>
      <c r="K424" t="e">
        <f>IF($J424&gt;MAX('Match Log'!$A$4:$A$1510),NA(),IFERROR(LOOKUP(2,1/(('Match Log'!$D$4:$D$1510=$K$24)*('Match Log'!$A$4:$A$1510&lt;=$J424)),'Match Log'!$N$4:$N$1510),NA()))</f>
        <v>#N/A</v>
      </c>
      <c r="L424" t="e">
        <f>IF($J424&gt;MAX('Match Log'!$A$4:$A$1510),NA(),IFERROR(LOOKUP(2,1/(('Match Log'!$D$4:$D$1510=$L$24)*('Match Log'!$A$4:$A$1510&lt;=$J424)),'Match Log'!$N$4:$N$1510),NA()))</f>
        <v>#N/A</v>
      </c>
      <c r="M424" t="e">
        <f>IF($J424&gt;MAX('Match Log'!$A$4:$A$1510),NA(),IFERROR(LOOKUP(2,1/(('Match Log'!$D$4:$D$1510=$M$24)*('Match Log'!$A$4:$A$1510&lt;=$J424)),'Match Log'!$N$4:$N$1510),NA()))</f>
        <v>#N/A</v>
      </c>
      <c r="N424" t="e">
        <f>IF($J424&gt;MAX('Match Log'!$A$4:$A$1510),NA(),IFERROR(LOOKUP(2,1/(('Match Log'!$D$4:$D$1510=$N$24)*('Match Log'!$A$4:$A$1510&lt;=$J424)),'Match Log'!$N$4:$N$1510),NA()))</f>
        <v>#N/A</v>
      </c>
      <c r="O424" t="e">
        <f>IF($J424&gt;MAX('Match Log'!$A$4:$A$1510),NA(),IFERROR(LOOKUP(2,1/(('Match Log'!$D$4:$D$1510=$O$24)*('Match Log'!$A$4:$A$1510&lt;=$J424)),'Match Log'!$N$4:$N$1510),NA()))</f>
        <v>#N/A</v>
      </c>
      <c r="P424" t="e">
        <f>IF($J424&gt;MAX('Match Log'!$A$4:$A$1510),NA(),IFERROR(LOOKUP(2,1/(('Match Log'!$D$4:$D$1510=$P$24)*('Match Log'!$A$4:$A$1510&lt;=$J424)),'Match Log'!$N$4:$N$1510),NA()))</f>
        <v>#N/A</v>
      </c>
      <c r="Q424" t="e">
        <f>IF($J424&gt;MAX('Match Log'!$A$4:$A$1510),NA(),IFERROR(LOOKUP(2,1/(('Match Log'!$D$4:$D$1510=$Q$24)*('Match Log'!$A$4:$A$1510&lt;=$J424)),'Match Log'!$N$4:$N$1510),NA()))</f>
        <v>#N/A</v>
      </c>
      <c r="R424" t="e">
        <f>IF($J424&gt;MAX('Match Log'!$A$4:$A$1510),NA(),IFERROR(LOOKUP(2,1/(('Match Log'!$D$4:$D$1510=$R$24)*('Match Log'!$A$4:$A$1510&lt;=$J424)),'Match Log'!$N$4:$N$1510),NA()))</f>
        <v>#N/A</v>
      </c>
      <c r="S424" t="e">
        <f>IF($J424&gt;MAX('Match Log'!$A$4:$A$1510),NA(),IFERROR(LOOKUP(2,1/(('Match Log'!$D$4:$D$1510=$S$24)*('Match Log'!$A$4:$A$1510&lt;=$J424)),'Match Log'!$N$4:$N$1510),NA()))</f>
        <v>#N/A</v>
      </c>
      <c r="T424" t="e">
        <f>IF($J424&gt;MAX('Match Log'!$A$4:$A$1510),NA(),IFERROR(LOOKUP(2,1/(('Match Log'!$D$4:$D$1510=$T$24)*('Match Log'!$A$4:$A$1510&lt;=$J424)),'Match Log'!$N$4:$N$1510),NA()))</f>
        <v>#N/A</v>
      </c>
      <c r="U424" t="e">
        <f>IF($J424&gt;MAX('Match Log'!$A$4:$A$1510),NA(),IFERROR(LOOKUP(2,1/(('Match Log'!$D$4:$D$1510=$U$24)*('Match Log'!$A$4:$A$1510&lt;=$J424)),'Match Log'!$N$4:$N$1510),NA()))</f>
        <v>#N/A</v>
      </c>
      <c r="V424" t="e">
        <f>IF($J424&gt;MAX('Match Log'!$A$4:$A$1510),NA(),IFERROR(LOOKUP(2,1/(('Match Log'!$D$4:$D$1510=$V$24)*('Match Log'!$A$4:$A$1510&lt;=$J424)),'Match Log'!$N$4:$N$1510),NA()))</f>
        <v>#N/A</v>
      </c>
      <c r="W424" t="e">
        <f>IF($J424&gt;MAX('Match Log'!$A$4:$A$1510),NA(),IFERROR(LOOKUP(2,1/(('Match Log'!$D$4:$D$1510=$W$24)*('Match Log'!$A$4:$A$1510&lt;=$J424)),'Match Log'!$N$4:$N$1510),NA()))</f>
        <v>#N/A</v>
      </c>
      <c r="X424" t="e">
        <f>IF($J424&gt;MAX('Match Log'!$A$4:$A$1510),NA(),IFERROR(LOOKUP(2,1/(('Match Log'!$D$4:$D$1510=$X$24)*('Match Log'!$A$4:$A$1510&lt;=$J424)),'Match Log'!$N$4:$N$1510),NA()))</f>
        <v>#N/A</v>
      </c>
      <c r="Y424" t="str">
        <f t="shared" ca="1" si="37"/>
        <v/>
      </c>
    </row>
    <row r="425" spans="1:25" x14ac:dyDescent="0.2">
      <c r="A425">
        <v>401</v>
      </c>
      <c r="B425" t="str">
        <f>IFERROR(INDEX('Match Log'!$B$4:$B$1510,MATCH($A425,'Match Log'!$A$4:$A$1510,0)),"")</f>
        <v/>
      </c>
      <c r="C425" t="str">
        <f>IFERROR(INDEX('Match Log'!$C$4:$C$1510,MATCH($A425,'Match Log'!$A$4:$A$1510,0)),"")</f>
        <v/>
      </c>
      <c r="D425" t="str">
        <f t="array" ref="D425">IFERROR(_xlfn.TEXTJOIN(" + ",TRUE(),IF(('Match Log'!$A$4:$A$1510=$A425)*('Match Log'!$E$4:$E$1510="Win"),'Match Log'!$D$4:$D$1510,"")),IFERROR(LOOKUP(2,1/(('Match Log'!$A$4:$A$1510=$A425)*('Match Log'!$E$4:$E$1510="Win")),'Match Log'!$D$4:$D$1510),""))</f>
        <v/>
      </c>
      <c r="E425" t="str">
        <f>IFERROR(INDEX('Match Log'!$F$4:$F$1510,MATCH($A425,'Match Log'!$A$4:$A$1510,0)),"")</f>
        <v/>
      </c>
      <c r="F425">
        <f>IFERROR(SUMIFS('Match Log'!$I$4:$I$1510,'Match Log'!$A$4:$A$1510,$A425,'Match Log'!$E$4:$E$1510,"Win"),"")</f>
        <v>0</v>
      </c>
      <c r="G425" t="str">
        <f t="shared" si="35"/>
        <v/>
      </c>
      <c r="H425" t="str">
        <f t="array" ref="H425">IFERROR(IF(COUNTIFS('Match Log'!$A$4:$A$1510,$A425,'Match Log'!$E$4:$E$1510,"Win")&gt;1,_xlfn.TEXTJOIN(" + ",TRUE(),IF(('Match Log'!$A$4:$A$1510=$A425)*('Match Log'!$E$4:$E$1510="Loss"),'Match Log'!$D$4:$D$1510,"")),IF($E425=2,LOOKUP(2,1/(('Match Log'!$A$4:$A$1510=$A425)*('Match Log'!$E$4:$E$1510="Loss")),'Match Log'!$D$4:$D$1510),"the field")),"")</f>
        <v>the field</v>
      </c>
      <c r="I425" t="str">
        <f t="shared" si="36"/>
        <v/>
      </c>
      <c r="J425">
        <v>401</v>
      </c>
      <c r="K425" t="e">
        <f>IF($J425&gt;MAX('Match Log'!$A$4:$A$1510),NA(),IFERROR(LOOKUP(2,1/(('Match Log'!$D$4:$D$1510=$K$24)*('Match Log'!$A$4:$A$1510&lt;=$J425)),'Match Log'!$N$4:$N$1510),NA()))</f>
        <v>#N/A</v>
      </c>
      <c r="L425" t="e">
        <f>IF($J425&gt;MAX('Match Log'!$A$4:$A$1510),NA(),IFERROR(LOOKUP(2,1/(('Match Log'!$D$4:$D$1510=$L$24)*('Match Log'!$A$4:$A$1510&lt;=$J425)),'Match Log'!$N$4:$N$1510),NA()))</f>
        <v>#N/A</v>
      </c>
      <c r="M425" t="e">
        <f>IF($J425&gt;MAX('Match Log'!$A$4:$A$1510),NA(),IFERROR(LOOKUP(2,1/(('Match Log'!$D$4:$D$1510=$M$24)*('Match Log'!$A$4:$A$1510&lt;=$J425)),'Match Log'!$N$4:$N$1510),NA()))</f>
        <v>#N/A</v>
      </c>
      <c r="N425" t="e">
        <f>IF($J425&gt;MAX('Match Log'!$A$4:$A$1510),NA(),IFERROR(LOOKUP(2,1/(('Match Log'!$D$4:$D$1510=$N$24)*('Match Log'!$A$4:$A$1510&lt;=$J425)),'Match Log'!$N$4:$N$1510),NA()))</f>
        <v>#N/A</v>
      </c>
      <c r="O425" t="e">
        <f>IF($J425&gt;MAX('Match Log'!$A$4:$A$1510),NA(),IFERROR(LOOKUP(2,1/(('Match Log'!$D$4:$D$1510=$O$24)*('Match Log'!$A$4:$A$1510&lt;=$J425)),'Match Log'!$N$4:$N$1510),NA()))</f>
        <v>#N/A</v>
      </c>
      <c r="P425" t="e">
        <f>IF($J425&gt;MAX('Match Log'!$A$4:$A$1510),NA(),IFERROR(LOOKUP(2,1/(('Match Log'!$D$4:$D$1510=$P$24)*('Match Log'!$A$4:$A$1510&lt;=$J425)),'Match Log'!$N$4:$N$1510),NA()))</f>
        <v>#N/A</v>
      </c>
      <c r="Q425" t="e">
        <f>IF($J425&gt;MAX('Match Log'!$A$4:$A$1510),NA(),IFERROR(LOOKUP(2,1/(('Match Log'!$D$4:$D$1510=$Q$24)*('Match Log'!$A$4:$A$1510&lt;=$J425)),'Match Log'!$N$4:$N$1510),NA()))</f>
        <v>#N/A</v>
      </c>
      <c r="R425" t="e">
        <f>IF($J425&gt;MAX('Match Log'!$A$4:$A$1510),NA(),IFERROR(LOOKUP(2,1/(('Match Log'!$D$4:$D$1510=$R$24)*('Match Log'!$A$4:$A$1510&lt;=$J425)),'Match Log'!$N$4:$N$1510),NA()))</f>
        <v>#N/A</v>
      </c>
      <c r="S425" t="e">
        <f>IF($J425&gt;MAX('Match Log'!$A$4:$A$1510),NA(),IFERROR(LOOKUP(2,1/(('Match Log'!$D$4:$D$1510=$S$24)*('Match Log'!$A$4:$A$1510&lt;=$J425)),'Match Log'!$N$4:$N$1510),NA()))</f>
        <v>#N/A</v>
      </c>
      <c r="T425" t="e">
        <f>IF($J425&gt;MAX('Match Log'!$A$4:$A$1510),NA(),IFERROR(LOOKUP(2,1/(('Match Log'!$D$4:$D$1510=$T$24)*('Match Log'!$A$4:$A$1510&lt;=$J425)),'Match Log'!$N$4:$N$1510),NA()))</f>
        <v>#N/A</v>
      </c>
      <c r="U425" t="e">
        <f>IF($J425&gt;MAX('Match Log'!$A$4:$A$1510),NA(),IFERROR(LOOKUP(2,1/(('Match Log'!$D$4:$D$1510=$U$24)*('Match Log'!$A$4:$A$1510&lt;=$J425)),'Match Log'!$N$4:$N$1510),NA()))</f>
        <v>#N/A</v>
      </c>
      <c r="V425" t="e">
        <f>IF($J425&gt;MAX('Match Log'!$A$4:$A$1510),NA(),IFERROR(LOOKUP(2,1/(('Match Log'!$D$4:$D$1510=$V$24)*('Match Log'!$A$4:$A$1510&lt;=$J425)),'Match Log'!$N$4:$N$1510),NA()))</f>
        <v>#N/A</v>
      </c>
      <c r="W425" t="e">
        <f>IF($J425&gt;MAX('Match Log'!$A$4:$A$1510),NA(),IFERROR(LOOKUP(2,1/(('Match Log'!$D$4:$D$1510=$W$24)*('Match Log'!$A$4:$A$1510&lt;=$J425)),'Match Log'!$N$4:$N$1510),NA()))</f>
        <v>#N/A</v>
      </c>
      <c r="X425" t="e">
        <f>IF($J425&gt;MAX('Match Log'!$A$4:$A$1510),NA(),IFERROR(LOOKUP(2,1/(('Match Log'!$D$4:$D$1510=$X$24)*('Match Log'!$A$4:$A$1510&lt;=$J425)),'Match Log'!$N$4:$N$1510),NA()))</f>
        <v>#N/A</v>
      </c>
      <c r="Y425" t="str">
        <f t="shared" ca="1" si="37"/>
        <v/>
      </c>
    </row>
    <row r="426" spans="1:25" x14ac:dyDescent="0.2">
      <c r="A426">
        <v>402</v>
      </c>
      <c r="B426" t="str">
        <f>IFERROR(INDEX('Match Log'!$B$4:$B$1510,MATCH($A426,'Match Log'!$A$4:$A$1510,0)),"")</f>
        <v/>
      </c>
      <c r="C426" t="str">
        <f>IFERROR(INDEX('Match Log'!$C$4:$C$1510,MATCH($A426,'Match Log'!$A$4:$A$1510,0)),"")</f>
        <v/>
      </c>
      <c r="D426" t="str">
        <f t="array" ref="D426">IFERROR(_xlfn.TEXTJOIN(" + ",TRUE(),IF(('Match Log'!$A$4:$A$1510=$A426)*('Match Log'!$E$4:$E$1510="Win"),'Match Log'!$D$4:$D$1510,"")),IFERROR(LOOKUP(2,1/(('Match Log'!$A$4:$A$1510=$A426)*('Match Log'!$E$4:$E$1510="Win")),'Match Log'!$D$4:$D$1510),""))</f>
        <v/>
      </c>
      <c r="E426" t="str">
        <f>IFERROR(INDEX('Match Log'!$F$4:$F$1510,MATCH($A426,'Match Log'!$A$4:$A$1510,0)),"")</f>
        <v/>
      </c>
      <c r="F426">
        <f>IFERROR(SUMIFS('Match Log'!$I$4:$I$1510,'Match Log'!$A$4:$A$1510,$A426,'Match Log'!$E$4:$E$1510,"Win"),"")</f>
        <v>0</v>
      </c>
      <c r="G426" t="str">
        <f t="shared" si="35"/>
        <v/>
      </c>
      <c r="H426" t="str">
        <f t="array" ref="H426">IFERROR(IF(COUNTIFS('Match Log'!$A$4:$A$1510,$A426,'Match Log'!$E$4:$E$1510,"Win")&gt;1,_xlfn.TEXTJOIN(" + ",TRUE(),IF(('Match Log'!$A$4:$A$1510=$A426)*('Match Log'!$E$4:$E$1510="Loss"),'Match Log'!$D$4:$D$1510,"")),IF($E426=2,LOOKUP(2,1/(('Match Log'!$A$4:$A$1510=$A426)*('Match Log'!$E$4:$E$1510="Loss")),'Match Log'!$D$4:$D$1510),"the field")),"")</f>
        <v>the field</v>
      </c>
      <c r="I426" t="str">
        <f t="shared" si="36"/>
        <v/>
      </c>
      <c r="J426">
        <v>402</v>
      </c>
      <c r="K426" t="e">
        <f>IF($J426&gt;MAX('Match Log'!$A$4:$A$1510),NA(),IFERROR(LOOKUP(2,1/(('Match Log'!$D$4:$D$1510=$K$24)*('Match Log'!$A$4:$A$1510&lt;=$J426)),'Match Log'!$N$4:$N$1510),NA()))</f>
        <v>#N/A</v>
      </c>
      <c r="L426" t="e">
        <f>IF($J426&gt;MAX('Match Log'!$A$4:$A$1510),NA(),IFERROR(LOOKUP(2,1/(('Match Log'!$D$4:$D$1510=$L$24)*('Match Log'!$A$4:$A$1510&lt;=$J426)),'Match Log'!$N$4:$N$1510),NA()))</f>
        <v>#N/A</v>
      </c>
      <c r="M426" t="e">
        <f>IF($J426&gt;MAX('Match Log'!$A$4:$A$1510),NA(),IFERROR(LOOKUP(2,1/(('Match Log'!$D$4:$D$1510=$M$24)*('Match Log'!$A$4:$A$1510&lt;=$J426)),'Match Log'!$N$4:$N$1510),NA()))</f>
        <v>#N/A</v>
      </c>
      <c r="N426" t="e">
        <f>IF($J426&gt;MAX('Match Log'!$A$4:$A$1510),NA(),IFERROR(LOOKUP(2,1/(('Match Log'!$D$4:$D$1510=$N$24)*('Match Log'!$A$4:$A$1510&lt;=$J426)),'Match Log'!$N$4:$N$1510),NA()))</f>
        <v>#N/A</v>
      </c>
      <c r="O426" t="e">
        <f>IF($J426&gt;MAX('Match Log'!$A$4:$A$1510),NA(),IFERROR(LOOKUP(2,1/(('Match Log'!$D$4:$D$1510=$O$24)*('Match Log'!$A$4:$A$1510&lt;=$J426)),'Match Log'!$N$4:$N$1510),NA()))</f>
        <v>#N/A</v>
      </c>
      <c r="P426" t="e">
        <f>IF($J426&gt;MAX('Match Log'!$A$4:$A$1510),NA(),IFERROR(LOOKUP(2,1/(('Match Log'!$D$4:$D$1510=$P$24)*('Match Log'!$A$4:$A$1510&lt;=$J426)),'Match Log'!$N$4:$N$1510),NA()))</f>
        <v>#N/A</v>
      </c>
      <c r="Q426" t="e">
        <f>IF($J426&gt;MAX('Match Log'!$A$4:$A$1510),NA(),IFERROR(LOOKUP(2,1/(('Match Log'!$D$4:$D$1510=$Q$24)*('Match Log'!$A$4:$A$1510&lt;=$J426)),'Match Log'!$N$4:$N$1510),NA()))</f>
        <v>#N/A</v>
      </c>
      <c r="R426" t="e">
        <f>IF($J426&gt;MAX('Match Log'!$A$4:$A$1510),NA(),IFERROR(LOOKUP(2,1/(('Match Log'!$D$4:$D$1510=$R$24)*('Match Log'!$A$4:$A$1510&lt;=$J426)),'Match Log'!$N$4:$N$1510),NA()))</f>
        <v>#N/A</v>
      </c>
      <c r="S426" t="e">
        <f>IF($J426&gt;MAX('Match Log'!$A$4:$A$1510),NA(),IFERROR(LOOKUP(2,1/(('Match Log'!$D$4:$D$1510=$S$24)*('Match Log'!$A$4:$A$1510&lt;=$J426)),'Match Log'!$N$4:$N$1510),NA()))</f>
        <v>#N/A</v>
      </c>
      <c r="T426" t="e">
        <f>IF($J426&gt;MAX('Match Log'!$A$4:$A$1510),NA(),IFERROR(LOOKUP(2,1/(('Match Log'!$D$4:$D$1510=$T$24)*('Match Log'!$A$4:$A$1510&lt;=$J426)),'Match Log'!$N$4:$N$1510),NA()))</f>
        <v>#N/A</v>
      </c>
      <c r="U426" t="e">
        <f>IF($J426&gt;MAX('Match Log'!$A$4:$A$1510),NA(),IFERROR(LOOKUP(2,1/(('Match Log'!$D$4:$D$1510=$U$24)*('Match Log'!$A$4:$A$1510&lt;=$J426)),'Match Log'!$N$4:$N$1510),NA()))</f>
        <v>#N/A</v>
      </c>
      <c r="V426" t="e">
        <f>IF($J426&gt;MAX('Match Log'!$A$4:$A$1510),NA(),IFERROR(LOOKUP(2,1/(('Match Log'!$D$4:$D$1510=$V$24)*('Match Log'!$A$4:$A$1510&lt;=$J426)),'Match Log'!$N$4:$N$1510),NA()))</f>
        <v>#N/A</v>
      </c>
      <c r="W426" t="e">
        <f>IF($J426&gt;MAX('Match Log'!$A$4:$A$1510),NA(),IFERROR(LOOKUP(2,1/(('Match Log'!$D$4:$D$1510=$W$24)*('Match Log'!$A$4:$A$1510&lt;=$J426)),'Match Log'!$N$4:$N$1510),NA()))</f>
        <v>#N/A</v>
      </c>
      <c r="X426" t="e">
        <f>IF($J426&gt;MAX('Match Log'!$A$4:$A$1510),NA(),IFERROR(LOOKUP(2,1/(('Match Log'!$D$4:$D$1510=$X$24)*('Match Log'!$A$4:$A$1510&lt;=$J426)),'Match Log'!$N$4:$N$1510),NA()))</f>
        <v>#N/A</v>
      </c>
      <c r="Y426" t="str">
        <f t="shared" ca="1" si="37"/>
        <v/>
      </c>
    </row>
    <row r="427" spans="1:25" x14ac:dyDescent="0.2">
      <c r="A427">
        <v>403</v>
      </c>
      <c r="B427" t="str">
        <f>IFERROR(INDEX('Match Log'!$B$4:$B$1510,MATCH($A427,'Match Log'!$A$4:$A$1510,0)),"")</f>
        <v/>
      </c>
      <c r="C427" t="str">
        <f>IFERROR(INDEX('Match Log'!$C$4:$C$1510,MATCH($A427,'Match Log'!$A$4:$A$1510,0)),"")</f>
        <v/>
      </c>
      <c r="D427" t="str">
        <f t="array" ref="D427">IFERROR(_xlfn.TEXTJOIN(" + ",TRUE(),IF(('Match Log'!$A$4:$A$1510=$A427)*('Match Log'!$E$4:$E$1510="Win"),'Match Log'!$D$4:$D$1510,"")),IFERROR(LOOKUP(2,1/(('Match Log'!$A$4:$A$1510=$A427)*('Match Log'!$E$4:$E$1510="Win")),'Match Log'!$D$4:$D$1510),""))</f>
        <v/>
      </c>
      <c r="E427" t="str">
        <f>IFERROR(INDEX('Match Log'!$F$4:$F$1510,MATCH($A427,'Match Log'!$A$4:$A$1510,0)),"")</f>
        <v/>
      </c>
      <c r="F427">
        <f>IFERROR(SUMIFS('Match Log'!$I$4:$I$1510,'Match Log'!$A$4:$A$1510,$A427,'Match Log'!$E$4:$E$1510,"Win"),"")</f>
        <v>0</v>
      </c>
      <c r="G427" t="str">
        <f t="shared" si="35"/>
        <v/>
      </c>
      <c r="H427" t="str">
        <f t="array" ref="H427">IFERROR(IF(COUNTIFS('Match Log'!$A$4:$A$1510,$A427,'Match Log'!$E$4:$E$1510,"Win")&gt;1,_xlfn.TEXTJOIN(" + ",TRUE(),IF(('Match Log'!$A$4:$A$1510=$A427)*('Match Log'!$E$4:$E$1510="Loss"),'Match Log'!$D$4:$D$1510,"")),IF($E427=2,LOOKUP(2,1/(('Match Log'!$A$4:$A$1510=$A427)*('Match Log'!$E$4:$E$1510="Loss")),'Match Log'!$D$4:$D$1510),"the field")),"")</f>
        <v>the field</v>
      </c>
      <c r="I427" t="str">
        <f t="shared" si="36"/>
        <v/>
      </c>
      <c r="J427">
        <v>403</v>
      </c>
      <c r="K427" t="e">
        <f>IF($J427&gt;MAX('Match Log'!$A$4:$A$1510),NA(),IFERROR(LOOKUP(2,1/(('Match Log'!$D$4:$D$1510=$K$24)*('Match Log'!$A$4:$A$1510&lt;=$J427)),'Match Log'!$N$4:$N$1510),NA()))</f>
        <v>#N/A</v>
      </c>
      <c r="L427" t="e">
        <f>IF($J427&gt;MAX('Match Log'!$A$4:$A$1510),NA(),IFERROR(LOOKUP(2,1/(('Match Log'!$D$4:$D$1510=$L$24)*('Match Log'!$A$4:$A$1510&lt;=$J427)),'Match Log'!$N$4:$N$1510),NA()))</f>
        <v>#N/A</v>
      </c>
      <c r="M427" t="e">
        <f>IF($J427&gt;MAX('Match Log'!$A$4:$A$1510),NA(),IFERROR(LOOKUP(2,1/(('Match Log'!$D$4:$D$1510=$M$24)*('Match Log'!$A$4:$A$1510&lt;=$J427)),'Match Log'!$N$4:$N$1510),NA()))</f>
        <v>#N/A</v>
      </c>
      <c r="N427" t="e">
        <f>IF($J427&gt;MAX('Match Log'!$A$4:$A$1510),NA(),IFERROR(LOOKUP(2,1/(('Match Log'!$D$4:$D$1510=$N$24)*('Match Log'!$A$4:$A$1510&lt;=$J427)),'Match Log'!$N$4:$N$1510),NA()))</f>
        <v>#N/A</v>
      </c>
      <c r="O427" t="e">
        <f>IF($J427&gt;MAX('Match Log'!$A$4:$A$1510),NA(),IFERROR(LOOKUP(2,1/(('Match Log'!$D$4:$D$1510=$O$24)*('Match Log'!$A$4:$A$1510&lt;=$J427)),'Match Log'!$N$4:$N$1510),NA()))</f>
        <v>#N/A</v>
      </c>
      <c r="P427" t="e">
        <f>IF($J427&gt;MAX('Match Log'!$A$4:$A$1510),NA(),IFERROR(LOOKUP(2,1/(('Match Log'!$D$4:$D$1510=$P$24)*('Match Log'!$A$4:$A$1510&lt;=$J427)),'Match Log'!$N$4:$N$1510),NA()))</f>
        <v>#N/A</v>
      </c>
      <c r="Q427" t="e">
        <f>IF($J427&gt;MAX('Match Log'!$A$4:$A$1510),NA(),IFERROR(LOOKUP(2,1/(('Match Log'!$D$4:$D$1510=$Q$24)*('Match Log'!$A$4:$A$1510&lt;=$J427)),'Match Log'!$N$4:$N$1510),NA()))</f>
        <v>#N/A</v>
      </c>
      <c r="R427" t="e">
        <f>IF($J427&gt;MAX('Match Log'!$A$4:$A$1510),NA(),IFERROR(LOOKUP(2,1/(('Match Log'!$D$4:$D$1510=$R$24)*('Match Log'!$A$4:$A$1510&lt;=$J427)),'Match Log'!$N$4:$N$1510),NA()))</f>
        <v>#N/A</v>
      </c>
      <c r="S427" t="e">
        <f>IF($J427&gt;MAX('Match Log'!$A$4:$A$1510),NA(),IFERROR(LOOKUP(2,1/(('Match Log'!$D$4:$D$1510=$S$24)*('Match Log'!$A$4:$A$1510&lt;=$J427)),'Match Log'!$N$4:$N$1510),NA()))</f>
        <v>#N/A</v>
      </c>
      <c r="T427" t="e">
        <f>IF($J427&gt;MAX('Match Log'!$A$4:$A$1510),NA(),IFERROR(LOOKUP(2,1/(('Match Log'!$D$4:$D$1510=$T$24)*('Match Log'!$A$4:$A$1510&lt;=$J427)),'Match Log'!$N$4:$N$1510),NA()))</f>
        <v>#N/A</v>
      </c>
      <c r="U427" t="e">
        <f>IF($J427&gt;MAX('Match Log'!$A$4:$A$1510),NA(),IFERROR(LOOKUP(2,1/(('Match Log'!$D$4:$D$1510=$U$24)*('Match Log'!$A$4:$A$1510&lt;=$J427)),'Match Log'!$N$4:$N$1510),NA()))</f>
        <v>#N/A</v>
      </c>
      <c r="V427" t="e">
        <f>IF($J427&gt;MAX('Match Log'!$A$4:$A$1510),NA(),IFERROR(LOOKUP(2,1/(('Match Log'!$D$4:$D$1510=$V$24)*('Match Log'!$A$4:$A$1510&lt;=$J427)),'Match Log'!$N$4:$N$1510),NA()))</f>
        <v>#N/A</v>
      </c>
      <c r="W427" t="e">
        <f>IF($J427&gt;MAX('Match Log'!$A$4:$A$1510),NA(),IFERROR(LOOKUP(2,1/(('Match Log'!$D$4:$D$1510=$W$24)*('Match Log'!$A$4:$A$1510&lt;=$J427)),'Match Log'!$N$4:$N$1510),NA()))</f>
        <v>#N/A</v>
      </c>
      <c r="X427" t="e">
        <f>IF($J427&gt;MAX('Match Log'!$A$4:$A$1510),NA(),IFERROR(LOOKUP(2,1/(('Match Log'!$D$4:$D$1510=$X$24)*('Match Log'!$A$4:$A$1510&lt;=$J427)),'Match Log'!$N$4:$N$1510),NA()))</f>
        <v>#N/A</v>
      </c>
      <c r="Y427" t="str">
        <f t="shared" ca="1" si="37"/>
        <v/>
      </c>
    </row>
    <row r="428" spans="1:25" x14ac:dyDescent="0.2">
      <c r="A428">
        <v>404</v>
      </c>
      <c r="B428" t="str">
        <f>IFERROR(INDEX('Match Log'!$B$4:$B$1510,MATCH($A428,'Match Log'!$A$4:$A$1510,0)),"")</f>
        <v/>
      </c>
      <c r="C428" t="str">
        <f>IFERROR(INDEX('Match Log'!$C$4:$C$1510,MATCH($A428,'Match Log'!$A$4:$A$1510,0)),"")</f>
        <v/>
      </c>
      <c r="D428" t="str">
        <f t="array" ref="D428">IFERROR(_xlfn.TEXTJOIN(" + ",TRUE(),IF(('Match Log'!$A$4:$A$1510=$A428)*('Match Log'!$E$4:$E$1510="Win"),'Match Log'!$D$4:$D$1510,"")),IFERROR(LOOKUP(2,1/(('Match Log'!$A$4:$A$1510=$A428)*('Match Log'!$E$4:$E$1510="Win")),'Match Log'!$D$4:$D$1510),""))</f>
        <v/>
      </c>
      <c r="E428" t="str">
        <f>IFERROR(INDEX('Match Log'!$F$4:$F$1510,MATCH($A428,'Match Log'!$A$4:$A$1510,0)),"")</f>
        <v/>
      </c>
      <c r="F428">
        <f>IFERROR(SUMIFS('Match Log'!$I$4:$I$1510,'Match Log'!$A$4:$A$1510,$A428,'Match Log'!$E$4:$E$1510,"Win"),"")</f>
        <v>0</v>
      </c>
      <c r="G428" t="str">
        <f t="shared" si="35"/>
        <v/>
      </c>
      <c r="H428" t="str">
        <f t="array" ref="H428">IFERROR(IF(COUNTIFS('Match Log'!$A$4:$A$1510,$A428,'Match Log'!$E$4:$E$1510,"Win")&gt;1,_xlfn.TEXTJOIN(" + ",TRUE(),IF(('Match Log'!$A$4:$A$1510=$A428)*('Match Log'!$E$4:$E$1510="Loss"),'Match Log'!$D$4:$D$1510,"")),IF($E428=2,LOOKUP(2,1/(('Match Log'!$A$4:$A$1510=$A428)*('Match Log'!$E$4:$E$1510="Loss")),'Match Log'!$D$4:$D$1510),"the field")),"")</f>
        <v>the field</v>
      </c>
      <c r="I428" t="str">
        <f t="shared" si="36"/>
        <v/>
      </c>
      <c r="J428">
        <v>404</v>
      </c>
      <c r="K428" t="e">
        <f>IF($J428&gt;MAX('Match Log'!$A$4:$A$1510),NA(),IFERROR(LOOKUP(2,1/(('Match Log'!$D$4:$D$1510=$K$24)*('Match Log'!$A$4:$A$1510&lt;=$J428)),'Match Log'!$N$4:$N$1510),NA()))</f>
        <v>#N/A</v>
      </c>
      <c r="L428" t="e">
        <f>IF($J428&gt;MAX('Match Log'!$A$4:$A$1510),NA(),IFERROR(LOOKUP(2,1/(('Match Log'!$D$4:$D$1510=$L$24)*('Match Log'!$A$4:$A$1510&lt;=$J428)),'Match Log'!$N$4:$N$1510),NA()))</f>
        <v>#N/A</v>
      </c>
      <c r="M428" t="e">
        <f>IF($J428&gt;MAX('Match Log'!$A$4:$A$1510),NA(),IFERROR(LOOKUP(2,1/(('Match Log'!$D$4:$D$1510=$M$24)*('Match Log'!$A$4:$A$1510&lt;=$J428)),'Match Log'!$N$4:$N$1510),NA()))</f>
        <v>#N/A</v>
      </c>
      <c r="N428" t="e">
        <f>IF($J428&gt;MAX('Match Log'!$A$4:$A$1510),NA(),IFERROR(LOOKUP(2,1/(('Match Log'!$D$4:$D$1510=$N$24)*('Match Log'!$A$4:$A$1510&lt;=$J428)),'Match Log'!$N$4:$N$1510),NA()))</f>
        <v>#N/A</v>
      </c>
      <c r="O428" t="e">
        <f>IF($J428&gt;MAX('Match Log'!$A$4:$A$1510),NA(),IFERROR(LOOKUP(2,1/(('Match Log'!$D$4:$D$1510=$O$24)*('Match Log'!$A$4:$A$1510&lt;=$J428)),'Match Log'!$N$4:$N$1510),NA()))</f>
        <v>#N/A</v>
      </c>
      <c r="P428" t="e">
        <f>IF($J428&gt;MAX('Match Log'!$A$4:$A$1510),NA(),IFERROR(LOOKUP(2,1/(('Match Log'!$D$4:$D$1510=$P$24)*('Match Log'!$A$4:$A$1510&lt;=$J428)),'Match Log'!$N$4:$N$1510),NA()))</f>
        <v>#N/A</v>
      </c>
      <c r="Q428" t="e">
        <f>IF($J428&gt;MAX('Match Log'!$A$4:$A$1510),NA(),IFERROR(LOOKUP(2,1/(('Match Log'!$D$4:$D$1510=$Q$24)*('Match Log'!$A$4:$A$1510&lt;=$J428)),'Match Log'!$N$4:$N$1510),NA()))</f>
        <v>#N/A</v>
      </c>
      <c r="R428" t="e">
        <f>IF($J428&gt;MAX('Match Log'!$A$4:$A$1510),NA(),IFERROR(LOOKUP(2,1/(('Match Log'!$D$4:$D$1510=$R$24)*('Match Log'!$A$4:$A$1510&lt;=$J428)),'Match Log'!$N$4:$N$1510),NA()))</f>
        <v>#N/A</v>
      </c>
      <c r="S428" t="e">
        <f>IF($J428&gt;MAX('Match Log'!$A$4:$A$1510),NA(),IFERROR(LOOKUP(2,1/(('Match Log'!$D$4:$D$1510=$S$24)*('Match Log'!$A$4:$A$1510&lt;=$J428)),'Match Log'!$N$4:$N$1510),NA()))</f>
        <v>#N/A</v>
      </c>
      <c r="T428" t="e">
        <f>IF($J428&gt;MAX('Match Log'!$A$4:$A$1510),NA(),IFERROR(LOOKUP(2,1/(('Match Log'!$D$4:$D$1510=$T$24)*('Match Log'!$A$4:$A$1510&lt;=$J428)),'Match Log'!$N$4:$N$1510),NA()))</f>
        <v>#N/A</v>
      </c>
      <c r="U428" t="e">
        <f>IF($J428&gt;MAX('Match Log'!$A$4:$A$1510),NA(),IFERROR(LOOKUP(2,1/(('Match Log'!$D$4:$D$1510=$U$24)*('Match Log'!$A$4:$A$1510&lt;=$J428)),'Match Log'!$N$4:$N$1510),NA()))</f>
        <v>#N/A</v>
      </c>
      <c r="V428" t="e">
        <f>IF($J428&gt;MAX('Match Log'!$A$4:$A$1510),NA(),IFERROR(LOOKUP(2,1/(('Match Log'!$D$4:$D$1510=$V$24)*('Match Log'!$A$4:$A$1510&lt;=$J428)),'Match Log'!$N$4:$N$1510),NA()))</f>
        <v>#N/A</v>
      </c>
      <c r="W428" t="e">
        <f>IF($J428&gt;MAX('Match Log'!$A$4:$A$1510),NA(),IFERROR(LOOKUP(2,1/(('Match Log'!$D$4:$D$1510=$W$24)*('Match Log'!$A$4:$A$1510&lt;=$J428)),'Match Log'!$N$4:$N$1510),NA()))</f>
        <v>#N/A</v>
      </c>
      <c r="X428" t="e">
        <f>IF($J428&gt;MAX('Match Log'!$A$4:$A$1510),NA(),IFERROR(LOOKUP(2,1/(('Match Log'!$D$4:$D$1510=$X$24)*('Match Log'!$A$4:$A$1510&lt;=$J428)),'Match Log'!$N$4:$N$1510),NA()))</f>
        <v>#N/A</v>
      </c>
      <c r="Y428" t="str">
        <f t="shared" ca="1" si="37"/>
        <v/>
      </c>
    </row>
    <row r="429" spans="1:25" x14ac:dyDescent="0.2">
      <c r="A429">
        <v>405</v>
      </c>
      <c r="B429" t="str">
        <f>IFERROR(INDEX('Match Log'!$B$4:$B$1510,MATCH($A429,'Match Log'!$A$4:$A$1510,0)),"")</f>
        <v/>
      </c>
      <c r="C429" t="str">
        <f>IFERROR(INDEX('Match Log'!$C$4:$C$1510,MATCH($A429,'Match Log'!$A$4:$A$1510,0)),"")</f>
        <v/>
      </c>
      <c r="D429" t="str">
        <f t="array" ref="D429">IFERROR(_xlfn.TEXTJOIN(" + ",TRUE(),IF(('Match Log'!$A$4:$A$1510=$A429)*('Match Log'!$E$4:$E$1510="Win"),'Match Log'!$D$4:$D$1510,"")),IFERROR(LOOKUP(2,1/(('Match Log'!$A$4:$A$1510=$A429)*('Match Log'!$E$4:$E$1510="Win")),'Match Log'!$D$4:$D$1510),""))</f>
        <v/>
      </c>
      <c r="E429" t="str">
        <f>IFERROR(INDEX('Match Log'!$F$4:$F$1510,MATCH($A429,'Match Log'!$A$4:$A$1510,0)),"")</f>
        <v/>
      </c>
      <c r="F429">
        <f>IFERROR(SUMIFS('Match Log'!$I$4:$I$1510,'Match Log'!$A$4:$A$1510,$A429,'Match Log'!$E$4:$E$1510,"Win"),"")</f>
        <v>0</v>
      </c>
      <c r="G429" t="str">
        <f t="shared" si="35"/>
        <v/>
      </c>
      <c r="H429" t="str">
        <f t="array" ref="H429">IFERROR(IF(COUNTIFS('Match Log'!$A$4:$A$1510,$A429,'Match Log'!$E$4:$E$1510,"Win")&gt;1,_xlfn.TEXTJOIN(" + ",TRUE(),IF(('Match Log'!$A$4:$A$1510=$A429)*('Match Log'!$E$4:$E$1510="Loss"),'Match Log'!$D$4:$D$1510,"")),IF($E429=2,LOOKUP(2,1/(('Match Log'!$A$4:$A$1510=$A429)*('Match Log'!$E$4:$E$1510="Loss")),'Match Log'!$D$4:$D$1510),"the field")),"")</f>
        <v>the field</v>
      </c>
      <c r="I429" t="str">
        <f t="shared" si="36"/>
        <v/>
      </c>
      <c r="J429">
        <v>405</v>
      </c>
      <c r="K429" t="e">
        <f>IF($J429&gt;MAX('Match Log'!$A$4:$A$1510),NA(),IFERROR(LOOKUP(2,1/(('Match Log'!$D$4:$D$1510=$K$24)*('Match Log'!$A$4:$A$1510&lt;=$J429)),'Match Log'!$N$4:$N$1510),NA()))</f>
        <v>#N/A</v>
      </c>
      <c r="L429" t="e">
        <f>IF($J429&gt;MAX('Match Log'!$A$4:$A$1510),NA(),IFERROR(LOOKUP(2,1/(('Match Log'!$D$4:$D$1510=$L$24)*('Match Log'!$A$4:$A$1510&lt;=$J429)),'Match Log'!$N$4:$N$1510),NA()))</f>
        <v>#N/A</v>
      </c>
      <c r="M429" t="e">
        <f>IF($J429&gt;MAX('Match Log'!$A$4:$A$1510),NA(),IFERROR(LOOKUP(2,1/(('Match Log'!$D$4:$D$1510=$M$24)*('Match Log'!$A$4:$A$1510&lt;=$J429)),'Match Log'!$N$4:$N$1510),NA()))</f>
        <v>#N/A</v>
      </c>
      <c r="N429" t="e">
        <f>IF($J429&gt;MAX('Match Log'!$A$4:$A$1510),NA(),IFERROR(LOOKUP(2,1/(('Match Log'!$D$4:$D$1510=$N$24)*('Match Log'!$A$4:$A$1510&lt;=$J429)),'Match Log'!$N$4:$N$1510),NA()))</f>
        <v>#N/A</v>
      </c>
      <c r="O429" t="e">
        <f>IF($J429&gt;MAX('Match Log'!$A$4:$A$1510),NA(),IFERROR(LOOKUP(2,1/(('Match Log'!$D$4:$D$1510=$O$24)*('Match Log'!$A$4:$A$1510&lt;=$J429)),'Match Log'!$N$4:$N$1510),NA()))</f>
        <v>#N/A</v>
      </c>
      <c r="P429" t="e">
        <f>IF($J429&gt;MAX('Match Log'!$A$4:$A$1510),NA(),IFERROR(LOOKUP(2,1/(('Match Log'!$D$4:$D$1510=$P$24)*('Match Log'!$A$4:$A$1510&lt;=$J429)),'Match Log'!$N$4:$N$1510),NA()))</f>
        <v>#N/A</v>
      </c>
      <c r="Q429" t="e">
        <f>IF($J429&gt;MAX('Match Log'!$A$4:$A$1510),NA(),IFERROR(LOOKUP(2,1/(('Match Log'!$D$4:$D$1510=$Q$24)*('Match Log'!$A$4:$A$1510&lt;=$J429)),'Match Log'!$N$4:$N$1510),NA()))</f>
        <v>#N/A</v>
      </c>
      <c r="R429" t="e">
        <f>IF($J429&gt;MAX('Match Log'!$A$4:$A$1510),NA(),IFERROR(LOOKUP(2,1/(('Match Log'!$D$4:$D$1510=$R$24)*('Match Log'!$A$4:$A$1510&lt;=$J429)),'Match Log'!$N$4:$N$1510),NA()))</f>
        <v>#N/A</v>
      </c>
      <c r="S429" t="e">
        <f>IF($J429&gt;MAX('Match Log'!$A$4:$A$1510),NA(),IFERROR(LOOKUP(2,1/(('Match Log'!$D$4:$D$1510=$S$24)*('Match Log'!$A$4:$A$1510&lt;=$J429)),'Match Log'!$N$4:$N$1510),NA()))</f>
        <v>#N/A</v>
      </c>
      <c r="T429" t="e">
        <f>IF($J429&gt;MAX('Match Log'!$A$4:$A$1510),NA(),IFERROR(LOOKUP(2,1/(('Match Log'!$D$4:$D$1510=$T$24)*('Match Log'!$A$4:$A$1510&lt;=$J429)),'Match Log'!$N$4:$N$1510),NA()))</f>
        <v>#N/A</v>
      </c>
      <c r="U429" t="e">
        <f>IF($J429&gt;MAX('Match Log'!$A$4:$A$1510),NA(),IFERROR(LOOKUP(2,1/(('Match Log'!$D$4:$D$1510=$U$24)*('Match Log'!$A$4:$A$1510&lt;=$J429)),'Match Log'!$N$4:$N$1510),NA()))</f>
        <v>#N/A</v>
      </c>
      <c r="V429" t="e">
        <f>IF($J429&gt;MAX('Match Log'!$A$4:$A$1510),NA(),IFERROR(LOOKUP(2,1/(('Match Log'!$D$4:$D$1510=$V$24)*('Match Log'!$A$4:$A$1510&lt;=$J429)),'Match Log'!$N$4:$N$1510),NA()))</f>
        <v>#N/A</v>
      </c>
      <c r="W429" t="e">
        <f>IF($J429&gt;MAX('Match Log'!$A$4:$A$1510),NA(),IFERROR(LOOKUP(2,1/(('Match Log'!$D$4:$D$1510=$W$24)*('Match Log'!$A$4:$A$1510&lt;=$J429)),'Match Log'!$N$4:$N$1510),NA()))</f>
        <v>#N/A</v>
      </c>
      <c r="X429" t="e">
        <f>IF($J429&gt;MAX('Match Log'!$A$4:$A$1510),NA(),IFERROR(LOOKUP(2,1/(('Match Log'!$D$4:$D$1510=$X$24)*('Match Log'!$A$4:$A$1510&lt;=$J429)),'Match Log'!$N$4:$N$1510),NA()))</f>
        <v>#N/A</v>
      </c>
      <c r="Y429" t="str">
        <f t="shared" ca="1" si="37"/>
        <v/>
      </c>
    </row>
    <row r="430" spans="1:25" x14ac:dyDescent="0.2">
      <c r="A430">
        <v>406</v>
      </c>
      <c r="B430" t="str">
        <f>IFERROR(INDEX('Match Log'!$B$4:$B$1510,MATCH($A430,'Match Log'!$A$4:$A$1510,0)),"")</f>
        <v/>
      </c>
      <c r="C430" t="str">
        <f>IFERROR(INDEX('Match Log'!$C$4:$C$1510,MATCH($A430,'Match Log'!$A$4:$A$1510,0)),"")</f>
        <v/>
      </c>
      <c r="D430" t="str">
        <f t="array" ref="D430">IFERROR(_xlfn.TEXTJOIN(" + ",TRUE(),IF(('Match Log'!$A$4:$A$1510=$A430)*('Match Log'!$E$4:$E$1510="Win"),'Match Log'!$D$4:$D$1510,"")),IFERROR(LOOKUP(2,1/(('Match Log'!$A$4:$A$1510=$A430)*('Match Log'!$E$4:$E$1510="Win")),'Match Log'!$D$4:$D$1510),""))</f>
        <v/>
      </c>
      <c r="E430" t="str">
        <f>IFERROR(INDEX('Match Log'!$F$4:$F$1510,MATCH($A430,'Match Log'!$A$4:$A$1510,0)),"")</f>
        <v/>
      </c>
      <c r="F430">
        <f>IFERROR(SUMIFS('Match Log'!$I$4:$I$1510,'Match Log'!$A$4:$A$1510,$A430,'Match Log'!$E$4:$E$1510,"Win"),"")</f>
        <v>0</v>
      </c>
      <c r="G430" t="str">
        <f t="shared" si="35"/>
        <v/>
      </c>
      <c r="H430" t="str">
        <f t="array" ref="H430">IFERROR(IF(COUNTIFS('Match Log'!$A$4:$A$1510,$A430,'Match Log'!$E$4:$E$1510,"Win")&gt;1,_xlfn.TEXTJOIN(" + ",TRUE(),IF(('Match Log'!$A$4:$A$1510=$A430)*('Match Log'!$E$4:$E$1510="Loss"),'Match Log'!$D$4:$D$1510,"")),IF($E430=2,LOOKUP(2,1/(('Match Log'!$A$4:$A$1510=$A430)*('Match Log'!$E$4:$E$1510="Loss")),'Match Log'!$D$4:$D$1510),"the field")),"")</f>
        <v>the field</v>
      </c>
      <c r="I430" t="str">
        <f t="shared" si="36"/>
        <v/>
      </c>
      <c r="J430">
        <v>406</v>
      </c>
      <c r="K430" t="e">
        <f>IF($J430&gt;MAX('Match Log'!$A$4:$A$1510),NA(),IFERROR(LOOKUP(2,1/(('Match Log'!$D$4:$D$1510=$K$24)*('Match Log'!$A$4:$A$1510&lt;=$J430)),'Match Log'!$N$4:$N$1510),NA()))</f>
        <v>#N/A</v>
      </c>
      <c r="L430" t="e">
        <f>IF($J430&gt;MAX('Match Log'!$A$4:$A$1510),NA(),IFERROR(LOOKUP(2,1/(('Match Log'!$D$4:$D$1510=$L$24)*('Match Log'!$A$4:$A$1510&lt;=$J430)),'Match Log'!$N$4:$N$1510),NA()))</f>
        <v>#N/A</v>
      </c>
      <c r="M430" t="e">
        <f>IF($J430&gt;MAX('Match Log'!$A$4:$A$1510),NA(),IFERROR(LOOKUP(2,1/(('Match Log'!$D$4:$D$1510=$M$24)*('Match Log'!$A$4:$A$1510&lt;=$J430)),'Match Log'!$N$4:$N$1510),NA()))</f>
        <v>#N/A</v>
      </c>
      <c r="N430" t="e">
        <f>IF($J430&gt;MAX('Match Log'!$A$4:$A$1510),NA(),IFERROR(LOOKUP(2,1/(('Match Log'!$D$4:$D$1510=$N$24)*('Match Log'!$A$4:$A$1510&lt;=$J430)),'Match Log'!$N$4:$N$1510),NA()))</f>
        <v>#N/A</v>
      </c>
      <c r="O430" t="e">
        <f>IF($J430&gt;MAX('Match Log'!$A$4:$A$1510),NA(),IFERROR(LOOKUP(2,1/(('Match Log'!$D$4:$D$1510=$O$24)*('Match Log'!$A$4:$A$1510&lt;=$J430)),'Match Log'!$N$4:$N$1510),NA()))</f>
        <v>#N/A</v>
      </c>
      <c r="P430" t="e">
        <f>IF($J430&gt;MAX('Match Log'!$A$4:$A$1510),NA(),IFERROR(LOOKUP(2,1/(('Match Log'!$D$4:$D$1510=$P$24)*('Match Log'!$A$4:$A$1510&lt;=$J430)),'Match Log'!$N$4:$N$1510),NA()))</f>
        <v>#N/A</v>
      </c>
      <c r="Q430" t="e">
        <f>IF($J430&gt;MAX('Match Log'!$A$4:$A$1510),NA(),IFERROR(LOOKUP(2,1/(('Match Log'!$D$4:$D$1510=$Q$24)*('Match Log'!$A$4:$A$1510&lt;=$J430)),'Match Log'!$N$4:$N$1510),NA()))</f>
        <v>#N/A</v>
      </c>
      <c r="R430" t="e">
        <f>IF($J430&gt;MAX('Match Log'!$A$4:$A$1510),NA(),IFERROR(LOOKUP(2,1/(('Match Log'!$D$4:$D$1510=$R$24)*('Match Log'!$A$4:$A$1510&lt;=$J430)),'Match Log'!$N$4:$N$1510),NA()))</f>
        <v>#N/A</v>
      </c>
      <c r="S430" t="e">
        <f>IF($J430&gt;MAX('Match Log'!$A$4:$A$1510),NA(),IFERROR(LOOKUP(2,1/(('Match Log'!$D$4:$D$1510=$S$24)*('Match Log'!$A$4:$A$1510&lt;=$J430)),'Match Log'!$N$4:$N$1510),NA()))</f>
        <v>#N/A</v>
      </c>
      <c r="T430" t="e">
        <f>IF($J430&gt;MAX('Match Log'!$A$4:$A$1510),NA(),IFERROR(LOOKUP(2,1/(('Match Log'!$D$4:$D$1510=$T$24)*('Match Log'!$A$4:$A$1510&lt;=$J430)),'Match Log'!$N$4:$N$1510),NA()))</f>
        <v>#N/A</v>
      </c>
      <c r="U430" t="e">
        <f>IF($J430&gt;MAX('Match Log'!$A$4:$A$1510),NA(),IFERROR(LOOKUP(2,1/(('Match Log'!$D$4:$D$1510=$U$24)*('Match Log'!$A$4:$A$1510&lt;=$J430)),'Match Log'!$N$4:$N$1510),NA()))</f>
        <v>#N/A</v>
      </c>
      <c r="V430" t="e">
        <f>IF($J430&gt;MAX('Match Log'!$A$4:$A$1510),NA(),IFERROR(LOOKUP(2,1/(('Match Log'!$D$4:$D$1510=$V$24)*('Match Log'!$A$4:$A$1510&lt;=$J430)),'Match Log'!$N$4:$N$1510),NA()))</f>
        <v>#N/A</v>
      </c>
      <c r="W430" t="e">
        <f>IF($J430&gt;MAX('Match Log'!$A$4:$A$1510),NA(),IFERROR(LOOKUP(2,1/(('Match Log'!$D$4:$D$1510=$W$24)*('Match Log'!$A$4:$A$1510&lt;=$J430)),'Match Log'!$N$4:$N$1510),NA()))</f>
        <v>#N/A</v>
      </c>
      <c r="X430" t="e">
        <f>IF($J430&gt;MAX('Match Log'!$A$4:$A$1510),NA(),IFERROR(LOOKUP(2,1/(('Match Log'!$D$4:$D$1510=$X$24)*('Match Log'!$A$4:$A$1510&lt;=$J430)),'Match Log'!$N$4:$N$1510),NA()))</f>
        <v>#N/A</v>
      </c>
      <c r="Y430" t="str">
        <f t="shared" ca="1" si="37"/>
        <v/>
      </c>
    </row>
    <row r="431" spans="1:25" x14ac:dyDescent="0.2">
      <c r="A431">
        <v>407</v>
      </c>
      <c r="B431" t="str">
        <f>IFERROR(INDEX('Match Log'!$B$4:$B$1510,MATCH($A431,'Match Log'!$A$4:$A$1510,0)),"")</f>
        <v/>
      </c>
      <c r="C431" t="str">
        <f>IFERROR(INDEX('Match Log'!$C$4:$C$1510,MATCH($A431,'Match Log'!$A$4:$A$1510,0)),"")</f>
        <v/>
      </c>
      <c r="D431" t="str">
        <f t="array" ref="D431">IFERROR(_xlfn.TEXTJOIN(" + ",TRUE(),IF(('Match Log'!$A$4:$A$1510=$A431)*('Match Log'!$E$4:$E$1510="Win"),'Match Log'!$D$4:$D$1510,"")),IFERROR(LOOKUP(2,1/(('Match Log'!$A$4:$A$1510=$A431)*('Match Log'!$E$4:$E$1510="Win")),'Match Log'!$D$4:$D$1510),""))</f>
        <v/>
      </c>
      <c r="E431" t="str">
        <f>IFERROR(INDEX('Match Log'!$F$4:$F$1510,MATCH($A431,'Match Log'!$A$4:$A$1510,0)),"")</f>
        <v/>
      </c>
      <c r="F431">
        <f>IFERROR(SUMIFS('Match Log'!$I$4:$I$1510,'Match Log'!$A$4:$A$1510,$A431,'Match Log'!$E$4:$E$1510,"Win"),"")</f>
        <v>0</v>
      </c>
      <c r="G431" t="str">
        <f t="shared" si="35"/>
        <v/>
      </c>
      <c r="H431" t="str">
        <f t="array" ref="H431">IFERROR(IF(COUNTIFS('Match Log'!$A$4:$A$1510,$A431,'Match Log'!$E$4:$E$1510,"Win")&gt;1,_xlfn.TEXTJOIN(" + ",TRUE(),IF(('Match Log'!$A$4:$A$1510=$A431)*('Match Log'!$E$4:$E$1510="Loss"),'Match Log'!$D$4:$D$1510,"")),IF($E431=2,LOOKUP(2,1/(('Match Log'!$A$4:$A$1510=$A431)*('Match Log'!$E$4:$E$1510="Loss")),'Match Log'!$D$4:$D$1510),"the field")),"")</f>
        <v>the field</v>
      </c>
      <c r="I431" t="str">
        <f t="shared" si="36"/>
        <v/>
      </c>
      <c r="J431">
        <v>407</v>
      </c>
      <c r="K431" t="e">
        <f>IF($J431&gt;MAX('Match Log'!$A$4:$A$1510),NA(),IFERROR(LOOKUP(2,1/(('Match Log'!$D$4:$D$1510=$K$24)*('Match Log'!$A$4:$A$1510&lt;=$J431)),'Match Log'!$N$4:$N$1510),NA()))</f>
        <v>#N/A</v>
      </c>
      <c r="L431" t="e">
        <f>IF($J431&gt;MAX('Match Log'!$A$4:$A$1510),NA(),IFERROR(LOOKUP(2,1/(('Match Log'!$D$4:$D$1510=$L$24)*('Match Log'!$A$4:$A$1510&lt;=$J431)),'Match Log'!$N$4:$N$1510),NA()))</f>
        <v>#N/A</v>
      </c>
      <c r="M431" t="e">
        <f>IF($J431&gt;MAX('Match Log'!$A$4:$A$1510),NA(),IFERROR(LOOKUP(2,1/(('Match Log'!$D$4:$D$1510=$M$24)*('Match Log'!$A$4:$A$1510&lt;=$J431)),'Match Log'!$N$4:$N$1510),NA()))</f>
        <v>#N/A</v>
      </c>
      <c r="N431" t="e">
        <f>IF($J431&gt;MAX('Match Log'!$A$4:$A$1510),NA(),IFERROR(LOOKUP(2,1/(('Match Log'!$D$4:$D$1510=$N$24)*('Match Log'!$A$4:$A$1510&lt;=$J431)),'Match Log'!$N$4:$N$1510),NA()))</f>
        <v>#N/A</v>
      </c>
      <c r="O431" t="e">
        <f>IF($J431&gt;MAX('Match Log'!$A$4:$A$1510),NA(),IFERROR(LOOKUP(2,1/(('Match Log'!$D$4:$D$1510=$O$24)*('Match Log'!$A$4:$A$1510&lt;=$J431)),'Match Log'!$N$4:$N$1510),NA()))</f>
        <v>#N/A</v>
      </c>
      <c r="P431" t="e">
        <f>IF($J431&gt;MAX('Match Log'!$A$4:$A$1510),NA(),IFERROR(LOOKUP(2,1/(('Match Log'!$D$4:$D$1510=$P$24)*('Match Log'!$A$4:$A$1510&lt;=$J431)),'Match Log'!$N$4:$N$1510),NA()))</f>
        <v>#N/A</v>
      </c>
      <c r="Q431" t="e">
        <f>IF($J431&gt;MAX('Match Log'!$A$4:$A$1510),NA(),IFERROR(LOOKUP(2,1/(('Match Log'!$D$4:$D$1510=$Q$24)*('Match Log'!$A$4:$A$1510&lt;=$J431)),'Match Log'!$N$4:$N$1510),NA()))</f>
        <v>#N/A</v>
      </c>
      <c r="R431" t="e">
        <f>IF($J431&gt;MAX('Match Log'!$A$4:$A$1510),NA(),IFERROR(LOOKUP(2,1/(('Match Log'!$D$4:$D$1510=$R$24)*('Match Log'!$A$4:$A$1510&lt;=$J431)),'Match Log'!$N$4:$N$1510),NA()))</f>
        <v>#N/A</v>
      </c>
      <c r="S431" t="e">
        <f>IF($J431&gt;MAX('Match Log'!$A$4:$A$1510),NA(),IFERROR(LOOKUP(2,1/(('Match Log'!$D$4:$D$1510=$S$24)*('Match Log'!$A$4:$A$1510&lt;=$J431)),'Match Log'!$N$4:$N$1510),NA()))</f>
        <v>#N/A</v>
      </c>
      <c r="T431" t="e">
        <f>IF($J431&gt;MAX('Match Log'!$A$4:$A$1510),NA(),IFERROR(LOOKUP(2,1/(('Match Log'!$D$4:$D$1510=$T$24)*('Match Log'!$A$4:$A$1510&lt;=$J431)),'Match Log'!$N$4:$N$1510),NA()))</f>
        <v>#N/A</v>
      </c>
      <c r="U431" t="e">
        <f>IF($J431&gt;MAX('Match Log'!$A$4:$A$1510),NA(),IFERROR(LOOKUP(2,1/(('Match Log'!$D$4:$D$1510=$U$24)*('Match Log'!$A$4:$A$1510&lt;=$J431)),'Match Log'!$N$4:$N$1510),NA()))</f>
        <v>#N/A</v>
      </c>
      <c r="V431" t="e">
        <f>IF($J431&gt;MAX('Match Log'!$A$4:$A$1510),NA(),IFERROR(LOOKUP(2,1/(('Match Log'!$D$4:$D$1510=$V$24)*('Match Log'!$A$4:$A$1510&lt;=$J431)),'Match Log'!$N$4:$N$1510),NA()))</f>
        <v>#N/A</v>
      </c>
      <c r="W431" t="e">
        <f>IF($J431&gt;MAX('Match Log'!$A$4:$A$1510),NA(),IFERROR(LOOKUP(2,1/(('Match Log'!$D$4:$D$1510=$W$24)*('Match Log'!$A$4:$A$1510&lt;=$J431)),'Match Log'!$N$4:$N$1510),NA()))</f>
        <v>#N/A</v>
      </c>
      <c r="X431" t="e">
        <f>IF($J431&gt;MAX('Match Log'!$A$4:$A$1510),NA(),IFERROR(LOOKUP(2,1/(('Match Log'!$D$4:$D$1510=$X$24)*('Match Log'!$A$4:$A$1510&lt;=$J431)),'Match Log'!$N$4:$N$1510),NA()))</f>
        <v>#N/A</v>
      </c>
      <c r="Y431" t="str">
        <f t="shared" ca="1" si="37"/>
        <v/>
      </c>
    </row>
    <row r="432" spans="1:25" x14ac:dyDescent="0.2">
      <c r="A432">
        <v>408</v>
      </c>
      <c r="B432" t="str">
        <f>IFERROR(INDEX('Match Log'!$B$4:$B$1510,MATCH($A432,'Match Log'!$A$4:$A$1510,0)),"")</f>
        <v/>
      </c>
      <c r="C432" t="str">
        <f>IFERROR(INDEX('Match Log'!$C$4:$C$1510,MATCH($A432,'Match Log'!$A$4:$A$1510,0)),"")</f>
        <v/>
      </c>
      <c r="D432" t="str">
        <f t="array" ref="D432">IFERROR(_xlfn.TEXTJOIN(" + ",TRUE(),IF(('Match Log'!$A$4:$A$1510=$A432)*('Match Log'!$E$4:$E$1510="Win"),'Match Log'!$D$4:$D$1510,"")),IFERROR(LOOKUP(2,1/(('Match Log'!$A$4:$A$1510=$A432)*('Match Log'!$E$4:$E$1510="Win")),'Match Log'!$D$4:$D$1510),""))</f>
        <v/>
      </c>
      <c r="E432" t="str">
        <f>IFERROR(INDEX('Match Log'!$F$4:$F$1510,MATCH($A432,'Match Log'!$A$4:$A$1510,0)),"")</f>
        <v/>
      </c>
      <c r="F432">
        <f>IFERROR(SUMIFS('Match Log'!$I$4:$I$1510,'Match Log'!$A$4:$A$1510,$A432,'Match Log'!$E$4:$E$1510,"Win"),"")</f>
        <v>0</v>
      </c>
      <c r="G432" t="str">
        <f t="shared" si="35"/>
        <v/>
      </c>
      <c r="H432" t="str">
        <f t="array" ref="H432">IFERROR(IF(COUNTIFS('Match Log'!$A$4:$A$1510,$A432,'Match Log'!$E$4:$E$1510,"Win")&gt;1,_xlfn.TEXTJOIN(" + ",TRUE(),IF(('Match Log'!$A$4:$A$1510=$A432)*('Match Log'!$E$4:$E$1510="Loss"),'Match Log'!$D$4:$D$1510,"")),IF($E432=2,LOOKUP(2,1/(('Match Log'!$A$4:$A$1510=$A432)*('Match Log'!$E$4:$E$1510="Loss")),'Match Log'!$D$4:$D$1510),"the field")),"")</f>
        <v>the field</v>
      </c>
      <c r="I432" t="str">
        <f t="shared" si="36"/>
        <v/>
      </c>
      <c r="J432">
        <v>408</v>
      </c>
      <c r="K432" t="e">
        <f>IF($J432&gt;MAX('Match Log'!$A$4:$A$1510),NA(),IFERROR(LOOKUP(2,1/(('Match Log'!$D$4:$D$1510=$K$24)*('Match Log'!$A$4:$A$1510&lt;=$J432)),'Match Log'!$N$4:$N$1510),NA()))</f>
        <v>#N/A</v>
      </c>
      <c r="L432" t="e">
        <f>IF($J432&gt;MAX('Match Log'!$A$4:$A$1510),NA(),IFERROR(LOOKUP(2,1/(('Match Log'!$D$4:$D$1510=$L$24)*('Match Log'!$A$4:$A$1510&lt;=$J432)),'Match Log'!$N$4:$N$1510),NA()))</f>
        <v>#N/A</v>
      </c>
      <c r="M432" t="e">
        <f>IF($J432&gt;MAX('Match Log'!$A$4:$A$1510),NA(),IFERROR(LOOKUP(2,1/(('Match Log'!$D$4:$D$1510=$M$24)*('Match Log'!$A$4:$A$1510&lt;=$J432)),'Match Log'!$N$4:$N$1510),NA()))</f>
        <v>#N/A</v>
      </c>
      <c r="N432" t="e">
        <f>IF($J432&gt;MAX('Match Log'!$A$4:$A$1510),NA(),IFERROR(LOOKUP(2,1/(('Match Log'!$D$4:$D$1510=$N$24)*('Match Log'!$A$4:$A$1510&lt;=$J432)),'Match Log'!$N$4:$N$1510),NA()))</f>
        <v>#N/A</v>
      </c>
      <c r="O432" t="e">
        <f>IF($J432&gt;MAX('Match Log'!$A$4:$A$1510),NA(),IFERROR(LOOKUP(2,1/(('Match Log'!$D$4:$D$1510=$O$24)*('Match Log'!$A$4:$A$1510&lt;=$J432)),'Match Log'!$N$4:$N$1510),NA()))</f>
        <v>#N/A</v>
      </c>
      <c r="P432" t="e">
        <f>IF($J432&gt;MAX('Match Log'!$A$4:$A$1510),NA(),IFERROR(LOOKUP(2,1/(('Match Log'!$D$4:$D$1510=$P$24)*('Match Log'!$A$4:$A$1510&lt;=$J432)),'Match Log'!$N$4:$N$1510),NA()))</f>
        <v>#N/A</v>
      </c>
      <c r="Q432" t="e">
        <f>IF($J432&gt;MAX('Match Log'!$A$4:$A$1510),NA(),IFERROR(LOOKUP(2,1/(('Match Log'!$D$4:$D$1510=$Q$24)*('Match Log'!$A$4:$A$1510&lt;=$J432)),'Match Log'!$N$4:$N$1510),NA()))</f>
        <v>#N/A</v>
      </c>
      <c r="R432" t="e">
        <f>IF($J432&gt;MAX('Match Log'!$A$4:$A$1510),NA(),IFERROR(LOOKUP(2,1/(('Match Log'!$D$4:$D$1510=$R$24)*('Match Log'!$A$4:$A$1510&lt;=$J432)),'Match Log'!$N$4:$N$1510),NA()))</f>
        <v>#N/A</v>
      </c>
      <c r="S432" t="e">
        <f>IF($J432&gt;MAX('Match Log'!$A$4:$A$1510),NA(),IFERROR(LOOKUP(2,1/(('Match Log'!$D$4:$D$1510=$S$24)*('Match Log'!$A$4:$A$1510&lt;=$J432)),'Match Log'!$N$4:$N$1510),NA()))</f>
        <v>#N/A</v>
      </c>
      <c r="T432" t="e">
        <f>IF($J432&gt;MAX('Match Log'!$A$4:$A$1510),NA(),IFERROR(LOOKUP(2,1/(('Match Log'!$D$4:$D$1510=$T$24)*('Match Log'!$A$4:$A$1510&lt;=$J432)),'Match Log'!$N$4:$N$1510),NA()))</f>
        <v>#N/A</v>
      </c>
      <c r="U432" t="e">
        <f>IF($J432&gt;MAX('Match Log'!$A$4:$A$1510),NA(),IFERROR(LOOKUP(2,1/(('Match Log'!$D$4:$D$1510=$U$24)*('Match Log'!$A$4:$A$1510&lt;=$J432)),'Match Log'!$N$4:$N$1510),NA()))</f>
        <v>#N/A</v>
      </c>
      <c r="V432" t="e">
        <f>IF($J432&gt;MAX('Match Log'!$A$4:$A$1510),NA(),IFERROR(LOOKUP(2,1/(('Match Log'!$D$4:$D$1510=$V$24)*('Match Log'!$A$4:$A$1510&lt;=$J432)),'Match Log'!$N$4:$N$1510),NA()))</f>
        <v>#N/A</v>
      </c>
      <c r="W432" t="e">
        <f>IF($J432&gt;MAX('Match Log'!$A$4:$A$1510),NA(),IFERROR(LOOKUP(2,1/(('Match Log'!$D$4:$D$1510=$W$24)*('Match Log'!$A$4:$A$1510&lt;=$J432)),'Match Log'!$N$4:$N$1510),NA()))</f>
        <v>#N/A</v>
      </c>
      <c r="X432" t="e">
        <f>IF($J432&gt;MAX('Match Log'!$A$4:$A$1510),NA(),IFERROR(LOOKUP(2,1/(('Match Log'!$D$4:$D$1510=$X$24)*('Match Log'!$A$4:$A$1510&lt;=$J432)),'Match Log'!$N$4:$N$1510),NA()))</f>
        <v>#N/A</v>
      </c>
      <c r="Y432" t="str">
        <f t="shared" ca="1" si="37"/>
        <v/>
      </c>
    </row>
    <row r="433" spans="1:25" x14ac:dyDescent="0.2">
      <c r="A433">
        <v>409</v>
      </c>
      <c r="B433" t="str">
        <f>IFERROR(INDEX('Match Log'!$B$4:$B$1510,MATCH($A433,'Match Log'!$A$4:$A$1510,0)),"")</f>
        <v/>
      </c>
      <c r="C433" t="str">
        <f>IFERROR(INDEX('Match Log'!$C$4:$C$1510,MATCH($A433,'Match Log'!$A$4:$A$1510,0)),"")</f>
        <v/>
      </c>
      <c r="D433" t="str">
        <f t="array" ref="D433">IFERROR(_xlfn.TEXTJOIN(" + ",TRUE(),IF(('Match Log'!$A$4:$A$1510=$A433)*('Match Log'!$E$4:$E$1510="Win"),'Match Log'!$D$4:$D$1510,"")),IFERROR(LOOKUP(2,1/(('Match Log'!$A$4:$A$1510=$A433)*('Match Log'!$E$4:$E$1510="Win")),'Match Log'!$D$4:$D$1510),""))</f>
        <v/>
      </c>
      <c r="E433" t="str">
        <f>IFERROR(INDEX('Match Log'!$F$4:$F$1510,MATCH($A433,'Match Log'!$A$4:$A$1510,0)),"")</f>
        <v/>
      </c>
      <c r="F433">
        <f>IFERROR(SUMIFS('Match Log'!$I$4:$I$1510,'Match Log'!$A$4:$A$1510,$A433,'Match Log'!$E$4:$E$1510,"Win"),"")</f>
        <v>0</v>
      </c>
      <c r="G433" t="str">
        <f t="shared" si="35"/>
        <v/>
      </c>
      <c r="H433" t="str">
        <f t="array" ref="H433">IFERROR(IF(COUNTIFS('Match Log'!$A$4:$A$1510,$A433,'Match Log'!$E$4:$E$1510,"Win")&gt;1,_xlfn.TEXTJOIN(" + ",TRUE(),IF(('Match Log'!$A$4:$A$1510=$A433)*('Match Log'!$E$4:$E$1510="Loss"),'Match Log'!$D$4:$D$1510,"")),IF($E433=2,LOOKUP(2,1/(('Match Log'!$A$4:$A$1510=$A433)*('Match Log'!$E$4:$E$1510="Loss")),'Match Log'!$D$4:$D$1510),"the field")),"")</f>
        <v>the field</v>
      </c>
      <c r="I433" t="str">
        <f t="shared" si="36"/>
        <v/>
      </c>
      <c r="J433">
        <v>409</v>
      </c>
      <c r="K433" t="e">
        <f>IF($J433&gt;MAX('Match Log'!$A$4:$A$1510),NA(),IFERROR(LOOKUP(2,1/(('Match Log'!$D$4:$D$1510=$K$24)*('Match Log'!$A$4:$A$1510&lt;=$J433)),'Match Log'!$N$4:$N$1510),NA()))</f>
        <v>#N/A</v>
      </c>
      <c r="L433" t="e">
        <f>IF($J433&gt;MAX('Match Log'!$A$4:$A$1510),NA(),IFERROR(LOOKUP(2,1/(('Match Log'!$D$4:$D$1510=$L$24)*('Match Log'!$A$4:$A$1510&lt;=$J433)),'Match Log'!$N$4:$N$1510),NA()))</f>
        <v>#N/A</v>
      </c>
      <c r="M433" t="e">
        <f>IF($J433&gt;MAX('Match Log'!$A$4:$A$1510),NA(),IFERROR(LOOKUP(2,1/(('Match Log'!$D$4:$D$1510=$M$24)*('Match Log'!$A$4:$A$1510&lt;=$J433)),'Match Log'!$N$4:$N$1510),NA()))</f>
        <v>#N/A</v>
      </c>
      <c r="N433" t="e">
        <f>IF($J433&gt;MAX('Match Log'!$A$4:$A$1510),NA(),IFERROR(LOOKUP(2,1/(('Match Log'!$D$4:$D$1510=$N$24)*('Match Log'!$A$4:$A$1510&lt;=$J433)),'Match Log'!$N$4:$N$1510),NA()))</f>
        <v>#N/A</v>
      </c>
      <c r="O433" t="e">
        <f>IF($J433&gt;MAX('Match Log'!$A$4:$A$1510),NA(),IFERROR(LOOKUP(2,1/(('Match Log'!$D$4:$D$1510=$O$24)*('Match Log'!$A$4:$A$1510&lt;=$J433)),'Match Log'!$N$4:$N$1510),NA()))</f>
        <v>#N/A</v>
      </c>
      <c r="P433" t="e">
        <f>IF($J433&gt;MAX('Match Log'!$A$4:$A$1510),NA(),IFERROR(LOOKUP(2,1/(('Match Log'!$D$4:$D$1510=$P$24)*('Match Log'!$A$4:$A$1510&lt;=$J433)),'Match Log'!$N$4:$N$1510),NA()))</f>
        <v>#N/A</v>
      </c>
      <c r="Q433" t="e">
        <f>IF($J433&gt;MAX('Match Log'!$A$4:$A$1510),NA(),IFERROR(LOOKUP(2,1/(('Match Log'!$D$4:$D$1510=$Q$24)*('Match Log'!$A$4:$A$1510&lt;=$J433)),'Match Log'!$N$4:$N$1510),NA()))</f>
        <v>#N/A</v>
      </c>
      <c r="R433" t="e">
        <f>IF($J433&gt;MAX('Match Log'!$A$4:$A$1510),NA(),IFERROR(LOOKUP(2,1/(('Match Log'!$D$4:$D$1510=$R$24)*('Match Log'!$A$4:$A$1510&lt;=$J433)),'Match Log'!$N$4:$N$1510),NA()))</f>
        <v>#N/A</v>
      </c>
      <c r="S433" t="e">
        <f>IF($J433&gt;MAX('Match Log'!$A$4:$A$1510),NA(),IFERROR(LOOKUP(2,1/(('Match Log'!$D$4:$D$1510=$S$24)*('Match Log'!$A$4:$A$1510&lt;=$J433)),'Match Log'!$N$4:$N$1510),NA()))</f>
        <v>#N/A</v>
      </c>
      <c r="T433" t="e">
        <f>IF($J433&gt;MAX('Match Log'!$A$4:$A$1510),NA(),IFERROR(LOOKUP(2,1/(('Match Log'!$D$4:$D$1510=$T$24)*('Match Log'!$A$4:$A$1510&lt;=$J433)),'Match Log'!$N$4:$N$1510),NA()))</f>
        <v>#N/A</v>
      </c>
      <c r="U433" t="e">
        <f>IF($J433&gt;MAX('Match Log'!$A$4:$A$1510),NA(),IFERROR(LOOKUP(2,1/(('Match Log'!$D$4:$D$1510=$U$24)*('Match Log'!$A$4:$A$1510&lt;=$J433)),'Match Log'!$N$4:$N$1510),NA()))</f>
        <v>#N/A</v>
      </c>
      <c r="V433" t="e">
        <f>IF($J433&gt;MAX('Match Log'!$A$4:$A$1510),NA(),IFERROR(LOOKUP(2,1/(('Match Log'!$D$4:$D$1510=$V$24)*('Match Log'!$A$4:$A$1510&lt;=$J433)),'Match Log'!$N$4:$N$1510),NA()))</f>
        <v>#N/A</v>
      </c>
      <c r="W433" t="e">
        <f>IF($J433&gt;MAX('Match Log'!$A$4:$A$1510),NA(),IFERROR(LOOKUP(2,1/(('Match Log'!$D$4:$D$1510=$W$24)*('Match Log'!$A$4:$A$1510&lt;=$J433)),'Match Log'!$N$4:$N$1510),NA()))</f>
        <v>#N/A</v>
      </c>
      <c r="X433" t="e">
        <f>IF($J433&gt;MAX('Match Log'!$A$4:$A$1510),NA(),IFERROR(LOOKUP(2,1/(('Match Log'!$D$4:$D$1510=$X$24)*('Match Log'!$A$4:$A$1510&lt;=$J433)),'Match Log'!$N$4:$N$1510),NA()))</f>
        <v>#N/A</v>
      </c>
      <c r="Y433" t="str">
        <f t="shared" ca="1" si="37"/>
        <v/>
      </c>
    </row>
    <row r="434" spans="1:25" x14ac:dyDescent="0.2">
      <c r="A434">
        <v>410</v>
      </c>
      <c r="B434" t="str">
        <f>IFERROR(INDEX('Match Log'!$B$4:$B$1510,MATCH($A434,'Match Log'!$A$4:$A$1510,0)),"")</f>
        <v/>
      </c>
      <c r="C434" t="str">
        <f>IFERROR(INDEX('Match Log'!$C$4:$C$1510,MATCH($A434,'Match Log'!$A$4:$A$1510,0)),"")</f>
        <v/>
      </c>
      <c r="D434" t="str">
        <f t="array" ref="D434">IFERROR(_xlfn.TEXTJOIN(" + ",TRUE(),IF(('Match Log'!$A$4:$A$1510=$A434)*('Match Log'!$E$4:$E$1510="Win"),'Match Log'!$D$4:$D$1510,"")),IFERROR(LOOKUP(2,1/(('Match Log'!$A$4:$A$1510=$A434)*('Match Log'!$E$4:$E$1510="Win")),'Match Log'!$D$4:$D$1510),""))</f>
        <v/>
      </c>
      <c r="E434" t="str">
        <f>IFERROR(INDEX('Match Log'!$F$4:$F$1510,MATCH($A434,'Match Log'!$A$4:$A$1510,0)),"")</f>
        <v/>
      </c>
      <c r="F434">
        <f>IFERROR(SUMIFS('Match Log'!$I$4:$I$1510,'Match Log'!$A$4:$A$1510,$A434,'Match Log'!$E$4:$E$1510,"Win"),"")</f>
        <v>0</v>
      </c>
      <c r="G434" t="str">
        <f t="shared" si="35"/>
        <v/>
      </c>
      <c r="H434" t="str">
        <f t="array" ref="H434">IFERROR(IF(COUNTIFS('Match Log'!$A$4:$A$1510,$A434,'Match Log'!$E$4:$E$1510,"Win")&gt;1,_xlfn.TEXTJOIN(" + ",TRUE(),IF(('Match Log'!$A$4:$A$1510=$A434)*('Match Log'!$E$4:$E$1510="Loss"),'Match Log'!$D$4:$D$1510,"")),IF($E434=2,LOOKUP(2,1/(('Match Log'!$A$4:$A$1510=$A434)*('Match Log'!$E$4:$E$1510="Loss")),'Match Log'!$D$4:$D$1510),"the field")),"")</f>
        <v>the field</v>
      </c>
      <c r="I434" t="str">
        <f t="shared" si="36"/>
        <v/>
      </c>
      <c r="J434">
        <v>410</v>
      </c>
      <c r="K434" t="e">
        <f>IF($J434&gt;MAX('Match Log'!$A$4:$A$1510),NA(),IFERROR(LOOKUP(2,1/(('Match Log'!$D$4:$D$1510=$K$24)*('Match Log'!$A$4:$A$1510&lt;=$J434)),'Match Log'!$N$4:$N$1510),NA()))</f>
        <v>#N/A</v>
      </c>
      <c r="L434" t="e">
        <f>IF($J434&gt;MAX('Match Log'!$A$4:$A$1510),NA(),IFERROR(LOOKUP(2,1/(('Match Log'!$D$4:$D$1510=$L$24)*('Match Log'!$A$4:$A$1510&lt;=$J434)),'Match Log'!$N$4:$N$1510),NA()))</f>
        <v>#N/A</v>
      </c>
      <c r="M434" t="e">
        <f>IF($J434&gt;MAX('Match Log'!$A$4:$A$1510),NA(),IFERROR(LOOKUP(2,1/(('Match Log'!$D$4:$D$1510=$M$24)*('Match Log'!$A$4:$A$1510&lt;=$J434)),'Match Log'!$N$4:$N$1510),NA()))</f>
        <v>#N/A</v>
      </c>
      <c r="N434" t="e">
        <f>IF($J434&gt;MAX('Match Log'!$A$4:$A$1510),NA(),IFERROR(LOOKUP(2,1/(('Match Log'!$D$4:$D$1510=$N$24)*('Match Log'!$A$4:$A$1510&lt;=$J434)),'Match Log'!$N$4:$N$1510),NA()))</f>
        <v>#N/A</v>
      </c>
      <c r="O434" t="e">
        <f>IF($J434&gt;MAX('Match Log'!$A$4:$A$1510),NA(),IFERROR(LOOKUP(2,1/(('Match Log'!$D$4:$D$1510=$O$24)*('Match Log'!$A$4:$A$1510&lt;=$J434)),'Match Log'!$N$4:$N$1510),NA()))</f>
        <v>#N/A</v>
      </c>
      <c r="P434" t="e">
        <f>IF($J434&gt;MAX('Match Log'!$A$4:$A$1510),NA(),IFERROR(LOOKUP(2,1/(('Match Log'!$D$4:$D$1510=$P$24)*('Match Log'!$A$4:$A$1510&lt;=$J434)),'Match Log'!$N$4:$N$1510),NA()))</f>
        <v>#N/A</v>
      </c>
      <c r="Q434" t="e">
        <f>IF($J434&gt;MAX('Match Log'!$A$4:$A$1510),NA(),IFERROR(LOOKUP(2,1/(('Match Log'!$D$4:$D$1510=$Q$24)*('Match Log'!$A$4:$A$1510&lt;=$J434)),'Match Log'!$N$4:$N$1510),NA()))</f>
        <v>#N/A</v>
      </c>
      <c r="R434" t="e">
        <f>IF($J434&gt;MAX('Match Log'!$A$4:$A$1510),NA(),IFERROR(LOOKUP(2,1/(('Match Log'!$D$4:$D$1510=$R$24)*('Match Log'!$A$4:$A$1510&lt;=$J434)),'Match Log'!$N$4:$N$1510),NA()))</f>
        <v>#N/A</v>
      </c>
      <c r="S434" t="e">
        <f>IF($J434&gt;MAX('Match Log'!$A$4:$A$1510),NA(),IFERROR(LOOKUP(2,1/(('Match Log'!$D$4:$D$1510=$S$24)*('Match Log'!$A$4:$A$1510&lt;=$J434)),'Match Log'!$N$4:$N$1510),NA()))</f>
        <v>#N/A</v>
      </c>
      <c r="T434" t="e">
        <f>IF($J434&gt;MAX('Match Log'!$A$4:$A$1510),NA(),IFERROR(LOOKUP(2,1/(('Match Log'!$D$4:$D$1510=$T$24)*('Match Log'!$A$4:$A$1510&lt;=$J434)),'Match Log'!$N$4:$N$1510),NA()))</f>
        <v>#N/A</v>
      </c>
      <c r="U434" t="e">
        <f>IF($J434&gt;MAX('Match Log'!$A$4:$A$1510),NA(),IFERROR(LOOKUP(2,1/(('Match Log'!$D$4:$D$1510=$U$24)*('Match Log'!$A$4:$A$1510&lt;=$J434)),'Match Log'!$N$4:$N$1510),NA()))</f>
        <v>#N/A</v>
      </c>
      <c r="V434" t="e">
        <f>IF($J434&gt;MAX('Match Log'!$A$4:$A$1510),NA(),IFERROR(LOOKUP(2,1/(('Match Log'!$D$4:$D$1510=$V$24)*('Match Log'!$A$4:$A$1510&lt;=$J434)),'Match Log'!$N$4:$N$1510),NA()))</f>
        <v>#N/A</v>
      </c>
      <c r="W434" t="e">
        <f>IF($J434&gt;MAX('Match Log'!$A$4:$A$1510),NA(),IFERROR(LOOKUP(2,1/(('Match Log'!$D$4:$D$1510=$W$24)*('Match Log'!$A$4:$A$1510&lt;=$J434)),'Match Log'!$N$4:$N$1510),NA()))</f>
        <v>#N/A</v>
      </c>
      <c r="X434" t="e">
        <f>IF($J434&gt;MAX('Match Log'!$A$4:$A$1510),NA(),IFERROR(LOOKUP(2,1/(('Match Log'!$D$4:$D$1510=$X$24)*('Match Log'!$A$4:$A$1510&lt;=$J434)),'Match Log'!$N$4:$N$1510),NA()))</f>
        <v>#N/A</v>
      </c>
      <c r="Y434" t="str">
        <f t="shared" ca="1" si="37"/>
        <v/>
      </c>
    </row>
    <row r="435" spans="1:25" x14ac:dyDescent="0.2">
      <c r="A435">
        <v>411</v>
      </c>
      <c r="B435" t="str">
        <f>IFERROR(INDEX('Match Log'!$B$4:$B$1510,MATCH($A435,'Match Log'!$A$4:$A$1510,0)),"")</f>
        <v/>
      </c>
      <c r="C435" t="str">
        <f>IFERROR(INDEX('Match Log'!$C$4:$C$1510,MATCH($A435,'Match Log'!$A$4:$A$1510,0)),"")</f>
        <v/>
      </c>
      <c r="D435" t="str">
        <f t="array" ref="D435">IFERROR(_xlfn.TEXTJOIN(" + ",TRUE(),IF(('Match Log'!$A$4:$A$1510=$A435)*('Match Log'!$E$4:$E$1510="Win"),'Match Log'!$D$4:$D$1510,"")),IFERROR(LOOKUP(2,1/(('Match Log'!$A$4:$A$1510=$A435)*('Match Log'!$E$4:$E$1510="Win")),'Match Log'!$D$4:$D$1510),""))</f>
        <v/>
      </c>
      <c r="E435" t="str">
        <f>IFERROR(INDEX('Match Log'!$F$4:$F$1510,MATCH($A435,'Match Log'!$A$4:$A$1510,0)),"")</f>
        <v/>
      </c>
      <c r="F435">
        <f>IFERROR(SUMIFS('Match Log'!$I$4:$I$1510,'Match Log'!$A$4:$A$1510,$A435,'Match Log'!$E$4:$E$1510,"Win"),"")</f>
        <v>0</v>
      </c>
      <c r="G435" t="str">
        <f t="shared" si="35"/>
        <v/>
      </c>
      <c r="H435" t="str">
        <f t="array" ref="H435">IFERROR(IF(COUNTIFS('Match Log'!$A$4:$A$1510,$A435,'Match Log'!$E$4:$E$1510,"Win")&gt;1,_xlfn.TEXTJOIN(" + ",TRUE(),IF(('Match Log'!$A$4:$A$1510=$A435)*('Match Log'!$E$4:$E$1510="Loss"),'Match Log'!$D$4:$D$1510,"")),IF($E435=2,LOOKUP(2,1/(('Match Log'!$A$4:$A$1510=$A435)*('Match Log'!$E$4:$E$1510="Loss")),'Match Log'!$D$4:$D$1510),"the field")),"")</f>
        <v>the field</v>
      </c>
      <c r="I435" t="str">
        <f t="shared" si="36"/>
        <v/>
      </c>
      <c r="J435">
        <v>411</v>
      </c>
      <c r="K435" t="e">
        <f>IF($J435&gt;MAX('Match Log'!$A$4:$A$1510),NA(),IFERROR(LOOKUP(2,1/(('Match Log'!$D$4:$D$1510=$K$24)*('Match Log'!$A$4:$A$1510&lt;=$J435)),'Match Log'!$N$4:$N$1510),NA()))</f>
        <v>#N/A</v>
      </c>
      <c r="L435" t="e">
        <f>IF($J435&gt;MAX('Match Log'!$A$4:$A$1510),NA(),IFERROR(LOOKUP(2,1/(('Match Log'!$D$4:$D$1510=$L$24)*('Match Log'!$A$4:$A$1510&lt;=$J435)),'Match Log'!$N$4:$N$1510),NA()))</f>
        <v>#N/A</v>
      </c>
      <c r="M435" t="e">
        <f>IF($J435&gt;MAX('Match Log'!$A$4:$A$1510),NA(),IFERROR(LOOKUP(2,1/(('Match Log'!$D$4:$D$1510=$M$24)*('Match Log'!$A$4:$A$1510&lt;=$J435)),'Match Log'!$N$4:$N$1510),NA()))</f>
        <v>#N/A</v>
      </c>
      <c r="N435" t="e">
        <f>IF($J435&gt;MAX('Match Log'!$A$4:$A$1510),NA(),IFERROR(LOOKUP(2,1/(('Match Log'!$D$4:$D$1510=$N$24)*('Match Log'!$A$4:$A$1510&lt;=$J435)),'Match Log'!$N$4:$N$1510),NA()))</f>
        <v>#N/A</v>
      </c>
      <c r="O435" t="e">
        <f>IF($J435&gt;MAX('Match Log'!$A$4:$A$1510),NA(),IFERROR(LOOKUP(2,1/(('Match Log'!$D$4:$D$1510=$O$24)*('Match Log'!$A$4:$A$1510&lt;=$J435)),'Match Log'!$N$4:$N$1510),NA()))</f>
        <v>#N/A</v>
      </c>
      <c r="P435" t="e">
        <f>IF($J435&gt;MAX('Match Log'!$A$4:$A$1510),NA(),IFERROR(LOOKUP(2,1/(('Match Log'!$D$4:$D$1510=$P$24)*('Match Log'!$A$4:$A$1510&lt;=$J435)),'Match Log'!$N$4:$N$1510),NA()))</f>
        <v>#N/A</v>
      </c>
      <c r="Q435" t="e">
        <f>IF($J435&gt;MAX('Match Log'!$A$4:$A$1510),NA(),IFERROR(LOOKUP(2,1/(('Match Log'!$D$4:$D$1510=$Q$24)*('Match Log'!$A$4:$A$1510&lt;=$J435)),'Match Log'!$N$4:$N$1510),NA()))</f>
        <v>#N/A</v>
      </c>
      <c r="R435" t="e">
        <f>IF($J435&gt;MAX('Match Log'!$A$4:$A$1510),NA(),IFERROR(LOOKUP(2,1/(('Match Log'!$D$4:$D$1510=$R$24)*('Match Log'!$A$4:$A$1510&lt;=$J435)),'Match Log'!$N$4:$N$1510),NA()))</f>
        <v>#N/A</v>
      </c>
      <c r="S435" t="e">
        <f>IF($J435&gt;MAX('Match Log'!$A$4:$A$1510),NA(),IFERROR(LOOKUP(2,1/(('Match Log'!$D$4:$D$1510=$S$24)*('Match Log'!$A$4:$A$1510&lt;=$J435)),'Match Log'!$N$4:$N$1510),NA()))</f>
        <v>#N/A</v>
      </c>
      <c r="T435" t="e">
        <f>IF($J435&gt;MAX('Match Log'!$A$4:$A$1510),NA(),IFERROR(LOOKUP(2,1/(('Match Log'!$D$4:$D$1510=$T$24)*('Match Log'!$A$4:$A$1510&lt;=$J435)),'Match Log'!$N$4:$N$1510),NA()))</f>
        <v>#N/A</v>
      </c>
      <c r="U435" t="e">
        <f>IF($J435&gt;MAX('Match Log'!$A$4:$A$1510),NA(),IFERROR(LOOKUP(2,1/(('Match Log'!$D$4:$D$1510=$U$24)*('Match Log'!$A$4:$A$1510&lt;=$J435)),'Match Log'!$N$4:$N$1510),NA()))</f>
        <v>#N/A</v>
      </c>
      <c r="V435" t="e">
        <f>IF($J435&gt;MAX('Match Log'!$A$4:$A$1510),NA(),IFERROR(LOOKUP(2,1/(('Match Log'!$D$4:$D$1510=$V$24)*('Match Log'!$A$4:$A$1510&lt;=$J435)),'Match Log'!$N$4:$N$1510),NA()))</f>
        <v>#N/A</v>
      </c>
      <c r="W435" t="e">
        <f>IF($J435&gt;MAX('Match Log'!$A$4:$A$1510),NA(),IFERROR(LOOKUP(2,1/(('Match Log'!$D$4:$D$1510=$W$24)*('Match Log'!$A$4:$A$1510&lt;=$J435)),'Match Log'!$N$4:$N$1510),NA()))</f>
        <v>#N/A</v>
      </c>
      <c r="X435" t="e">
        <f>IF($J435&gt;MAX('Match Log'!$A$4:$A$1510),NA(),IFERROR(LOOKUP(2,1/(('Match Log'!$D$4:$D$1510=$X$24)*('Match Log'!$A$4:$A$1510&lt;=$J435)),'Match Log'!$N$4:$N$1510),NA()))</f>
        <v>#N/A</v>
      </c>
      <c r="Y435" t="str">
        <f t="shared" ca="1" si="37"/>
        <v/>
      </c>
    </row>
    <row r="436" spans="1:25" x14ac:dyDescent="0.2">
      <c r="A436">
        <v>412</v>
      </c>
      <c r="B436" t="str">
        <f>IFERROR(INDEX('Match Log'!$B$4:$B$1510,MATCH($A436,'Match Log'!$A$4:$A$1510,0)),"")</f>
        <v/>
      </c>
      <c r="C436" t="str">
        <f>IFERROR(INDEX('Match Log'!$C$4:$C$1510,MATCH($A436,'Match Log'!$A$4:$A$1510,0)),"")</f>
        <v/>
      </c>
      <c r="D436" t="str">
        <f t="array" ref="D436">IFERROR(_xlfn.TEXTJOIN(" + ",TRUE(),IF(('Match Log'!$A$4:$A$1510=$A436)*('Match Log'!$E$4:$E$1510="Win"),'Match Log'!$D$4:$D$1510,"")),IFERROR(LOOKUP(2,1/(('Match Log'!$A$4:$A$1510=$A436)*('Match Log'!$E$4:$E$1510="Win")),'Match Log'!$D$4:$D$1510),""))</f>
        <v/>
      </c>
      <c r="E436" t="str">
        <f>IFERROR(INDEX('Match Log'!$F$4:$F$1510,MATCH($A436,'Match Log'!$A$4:$A$1510,0)),"")</f>
        <v/>
      </c>
      <c r="F436">
        <f>IFERROR(SUMIFS('Match Log'!$I$4:$I$1510,'Match Log'!$A$4:$A$1510,$A436,'Match Log'!$E$4:$E$1510,"Win"),"")</f>
        <v>0</v>
      </c>
      <c r="G436" t="str">
        <f t="shared" si="35"/>
        <v/>
      </c>
      <c r="H436" t="str">
        <f t="array" ref="H436">IFERROR(IF(COUNTIFS('Match Log'!$A$4:$A$1510,$A436,'Match Log'!$E$4:$E$1510,"Win")&gt;1,_xlfn.TEXTJOIN(" + ",TRUE(),IF(('Match Log'!$A$4:$A$1510=$A436)*('Match Log'!$E$4:$E$1510="Loss"),'Match Log'!$D$4:$D$1510,"")),IF($E436=2,LOOKUP(2,1/(('Match Log'!$A$4:$A$1510=$A436)*('Match Log'!$E$4:$E$1510="Loss")),'Match Log'!$D$4:$D$1510),"the field")),"")</f>
        <v>the field</v>
      </c>
      <c r="I436" t="str">
        <f t="shared" si="36"/>
        <v/>
      </c>
      <c r="J436">
        <v>412</v>
      </c>
      <c r="K436" t="e">
        <f>IF($J436&gt;MAX('Match Log'!$A$4:$A$1510),NA(),IFERROR(LOOKUP(2,1/(('Match Log'!$D$4:$D$1510=$K$24)*('Match Log'!$A$4:$A$1510&lt;=$J436)),'Match Log'!$N$4:$N$1510),NA()))</f>
        <v>#N/A</v>
      </c>
      <c r="L436" t="e">
        <f>IF($J436&gt;MAX('Match Log'!$A$4:$A$1510),NA(),IFERROR(LOOKUP(2,1/(('Match Log'!$D$4:$D$1510=$L$24)*('Match Log'!$A$4:$A$1510&lt;=$J436)),'Match Log'!$N$4:$N$1510),NA()))</f>
        <v>#N/A</v>
      </c>
      <c r="M436" t="e">
        <f>IF($J436&gt;MAX('Match Log'!$A$4:$A$1510),NA(),IFERROR(LOOKUP(2,1/(('Match Log'!$D$4:$D$1510=$M$24)*('Match Log'!$A$4:$A$1510&lt;=$J436)),'Match Log'!$N$4:$N$1510),NA()))</f>
        <v>#N/A</v>
      </c>
      <c r="N436" t="e">
        <f>IF($J436&gt;MAX('Match Log'!$A$4:$A$1510),NA(),IFERROR(LOOKUP(2,1/(('Match Log'!$D$4:$D$1510=$N$24)*('Match Log'!$A$4:$A$1510&lt;=$J436)),'Match Log'!$N$4:$N$1510),NA()))</f>
        <v>#N/A</v>
      </c>
      <c r="O436" t="e">
        <f>IF($J436&gt;MAX('Match Log'!$A$4:$A$1510),NA(),IFERROR(LOOKUP(2,1/(('Match Log'!$D$4:$D$1510=$O$24)*('Match Log'!$A$4:$A$1510&lt;=$J436)),'Match Log'!$N$4:$N$1510),NA()))</f>
        <v>#N/A</v>
      </c>
      <c r="P436" t="e">
        <f>IF($J436&gt;MAX('Match Log'!$A$4:$A$1510),NA(),IFERROR(LOOKUP(2,1/(('Match Log'!$D$4:$D$1510=$P$24)*('Match Log'!$A$4:$A$1510&lt;=$J436)),'Match Log'!$N$4:$N$1510),NA()))</f>
        <v>#N/A</v>
      </c>
      <c r="Q436" t="e">
        <f>IF($J436&gt;MAX('Match Log'!$A$4:$A$1510),NA(),IFERROR(LOOKUP(2,1/(('Match Log'!$D$4:$D$1510=$Q$24)*('Match Log'!$A$4:$A$1510&lt;=$J436)),'Match Log'!$N$4:$N$1510),NA()))</f>
        <v>#N/A</v>
      </c>
      <c r="R436" t="e">
        <f>IF($J436&gt;MAX('Match Log'!$A$4:$A$1510),NA(),IFERROR(LOOKUP(2,1/(('Match Log'!$D$4:$D$1510=$R$24)*('Match Log'!$A$4:$A$1510&lt;=$J436)),'Match Log'!$N$4:$N$1510),NA()))</f>
        <v>#N/A</v>
      </c>
      <c r="S436" t="e">
        <f>IF($J436&gt;MAX('Match Log'!$A$4:$A$1510),NA(),IFERROR(LOOKUP(2,1/(('Match Log'!$D$4:$D$1510=$S$24)*('Match Log'!$A$4:$A$1510&lt;=$J436)),'Match Log'!$N$4:$N$1510),NA()))</f>
        <v>#N/A</v>
      </c>
      <c r="T436" t="e">
        <f>IF($J436&gt;MAX('Match Log'!$A$4:$A$1510),NA(),IFERROR(LOOKUP(2,1/(('Match Log'!$D$4:$D$1510=$T$24)*('Match Log'!$A$4:$A$1510&lt;=$J436)),'Match Log'!$N$4:$N$1510),NA()))</f>
        <v>#N/A</v>
      </c>
      <c r="U436" t="e">
        <f>IF($J436&gt;MAX('Match Log'!$A$4:$A$1510),NA(),IFERROR(LOOKUP(2,1/(('Match Log'!$D$4:$D$1510=$U$24)*('Match Log'!$A$4:$A$1510&lt;=$J436)),'Match Log'!$N$4:$N$1510),NA()))</f>
        <v>#N/A</v>
      </c>
      <c r="V436" t="e">
        <f>IF($J436&gt;MAX('Match Log'!$A$4:$A$1510),NA(),IFERROR(LOOKUP(2,1/(('Match Log'!$D$4:$D$1510=$V$24)*('Match Log'!$A$4:$A$1510&lt;=$J436)),'Match Log'!$N$4:$N$1510),NA()))</f>
        <v>#N/A</v>
      </c>
      <c r="W436" t="e">
        <f>IF($J436&gt;MAX('Match Log'!$A$4:$A$1510),NA(),IFERROR(LOOKUP(2,1/(('Match Log'!$D$4:$D$1510=$W$24)*('Match Log'!$A$4:$A$1510&lt;=$J436)),'Match Log'!$N$4:$N$1510),NA()))</f>
        <v>#N/A</v>
      </c>
      <c r="X436" t="e">
        <f>IF($J436&gt;MAX('Match Log'!$A$4:$A$1510),NA(),IFERROR(LOOKUP(2,1/(('Match Log'!$D$4:$D$1510=$X$24)*('Match Log'!$A$4:$A$1510&lt;=$J436)),'Match Log'!$N$4:$N$1510),NA()))</f>
        <v>#N/A</v>
      </c>
      <c r="Y436" t="str">
        <f t="shared" ca="1" si="37"/>
        <v/>
      </c>
    </row>
    <row r="437" spans="1:25" x14ac:dyDescent="0.2">
      <c r="A437">
        <v>413</v>
      </c>
      <c r="B437" t="str">
        <f>IFERROR(INDEX('Match Log'!$B$4:$B$1510,MATCH($A437,'Match Log'!$A$4:$A$1510,0)),"")</f>
        <v/>
      </c>
      <c r="C437" t="str">
        <f>IFERROR(INDEX('Match Log'!$C$4:$C$1510,MATCH($A437,'Match Log'!$A$4:$A$1510,0)),"")</f>
        <v/>
      </c>
      <c r="D437" t="str">
        <f t="array" ref="D437">IFERROR(_xlfn.TEXTJOIN(" + ",TRUE(),IF(('Match Log'!$A$4:$A$1510=$A437)*('Match Log'!$E$4:$E$1510="Win"),'Match Log'!$D$4:$D$1510,"")),IFERROR(LOOKUP(2,1/(('Match Log'!$A$4:$A$1510=$A437)*('Match Log'!$E$4:$E$1510="Win")),'Match Log'!$D$4:$D$1510),""))</f>
        <v/>
      </c>
      <c r="E437" t="str">
        <f>IFERROR(INDEX('Match Log'!$F$4:$F$1510,MATCH($A437,'Match Log'!$A$4:$A$1510,0)),"")</f>
        <v/>
      </c>
      <c r="F437">
        <f>IFERROR(SUMIFS('Match Log'!$I$4:$I$1510,'Match Log'!$A$4:$A$1510,$A437,'Match Log'!$E$4:$E$1510,"Win"),"")</f>
        <v>0</v>
      </c>
      <c r="G437" t="str">
        <f t="shared" si="35"/>
        <v/>
      </c>
      <c r="H437" t="str">
        <f t="array" ref="H437">IFERROR(IF(COUNTIFS('Match Log'!$A$4:$A$1510,$A437,'Match Log'!$E$4:$E$1510,"Win")&gt;1,_xlfn.TEXTJOIN(" + ",TRUE(),IF(('Match Log'!$A$4:$A$1510=$A437)*('Match Log'!$E$4:$E$1510="Loss"),'Match Log'!$D$4:$D$1510,"")),IF($E437=2,LOOKUP(2,1/(('Match Log'!$A$4:$A$1510=$A437)*('Match Log'!$E$4:$E$1510="Loss")),'Match Log'!$D$4:$D$1510),"the field")),"")</f>
        <v>the field</v>
      </c>
      <c r="I437" t="str">
        <f t="shared" si="36"/>
        <v/>
      </c>
      <c r="J437">
        <v>413</v>
      </c>
      <c r="K437" t="e">
        <f>IF($J437&gt;MAX('Match Log'!$A$4:$A$1510),NA(),IFERROR(LOOKUP(2,1/(('Match Log'!$D$4:$D$1510=$K$24)*('Match Log'!$A$4:$A$1510&lt;=$J437)),'Match Log'!$N$4:$N$1510),NA()))</f>
        <v>#N/A</v>
      </c>
      <c r="L437" t="e">
        <f>IF($J437&gt;MAX('Match Log'!$A$4:$A$1510),NA(),IFERROR(LOOKUP(2,1/(('Match Log'!$D$4:$D$1510=$L$24)*('Match Log'!$A$4:$A$1510&lt;=$J437)),'Match Log'!$N$4:$N$1510),NA()))</f>
        <v>#N/A</v>
      </c>
      <c r="M437" t="e">
        <f>IF($J437&gt;MAX('Match Log'!$A$4:$A$1510),NA(),IFERROR(LOOKUP(2,1/(('Match Log'!$D$4:$D$1510=$M$24)*('Match Log'!$A$4:$A$1510&lt;=$J437)),'Match Log'!$N$4:$N$1510),NA()))</f>
        <v>#N/A</v>
      </c>
      <c r="N437" t="e">
        <f>IF($J437&gt;MAX('Match Log'!$A$4:$A$1510),NA(),IFERROR(LOOKUP(2,1/(('Match Log'!$D$4:$D$1510=$N$24)*('Match Log'!$A$4:$A$1510&lt;=$J437)),'Match Log'!$N$4:$N$1510),NA()))</f>
        <v>#N/A</v>
      </c>
      <c r="O437" t="e">
        <f>IF($J437&gt;MAX('Match Log'!$A$4:$A$1510),NA(),IFERROR(LOOKUP(2,1/(('Match Log'!$D$4:$D$1510=$O$24)*('Match Log'!$A$4:$A$1510&lt;=$J437)),'Match Log'!$N$4:$N$1510),NA()))</f>
        <v>#N/A</v>
      </c>
      <c r="P437" t="e">
        <f>IF($J437&gt;MAX('Match Log'!$A$4:$A$1510),NA(),IFERROR(LOOKUP(2,1/(('Match Log'!$D$4:$D$1510=$P$24)*('Match Log'!$A$4:$A$1510&lt;=$J437)),'Match Log'!$N$4:$N$1510),NA()))</f>
        <v>#N/A</v>
      </c>
      <c r="Q437" t="e">
        <f>IF($J437&gt;MAX('Match Log'!$A$4:$A$1510),NA(),IFERROR(LOOKUP(2,1/(('Match Log'!$D$4:$D$1510=$Q$24)*('Match Log'!$A$4:$A$1510&lt;=$J437)),'Match Log'!$N$4:$N$1510),NA()))</f>
        <v>#N/A</v>
      </c>
      <c r="R437" t="e">
        <f>IF($J437&gt;MAX('Match Log'!$A$4:$A$1510),NA(),IFERROR(LOOKUP(2,1/(('Match Log'!$D$4:$D$1510=$R$24)*('Match Log'!$A$4:$A$1510&lt;=$J437)),'Match Log'!$N$4:$N$1510),NA()))</f>
        <v>#N/A</v>
      </c>
      <c r="S437" t="e">
        <f>IF($J437&gt;MAX('Match Log'!$A$4:$A$1510),NA(),IFERROR(LOOKUP(2,1/(('Match Log'!$D$4:$D$1510=$S$24)*('Match Log'!$A$4:$A$1510&lt;=$J437)),'Match Log'!$N$4:$N$1510),NA()))</f>
        <v>#N/A</v>
      </c>
      <c r="T437" t="e">
        <f>IF($J437&gt;MAX('Match Log'!$A$4:$A$1510),NA(),IFERROR(LOOKUP(2,1/(('Match Log'!$D$4:$D$1510=$T$24)*('Match Log'!$A$4:$A$1510&lt;=$J437)),'Match Log'!$N$4:$N$1510),NA()))</f>
        <v>#N/A</v>
      </c>
      <c r="U437" t="e">
        <f>IF($J437&gt;MAX('Match Log'!$A$4:$A$1510),NA(),IFERROR(LOOKUP(2,1/(('Match Log'!$D$4:$D$1510=$U$24)*('Match Log'!$A$4:$A$1510&lt;=$J437)),'Match Log'!$N$4:$N$1510),NA()))</f>
        <v>#N/A</v>
      </c>
      <c r="V437" t="e">
        <f>IF($J437&gt;MAX('Match Log'!$A$4:$A$1510),NA(),IFERROR(LOOKUP(2,1/(('Match Log'!$D$4:$D$1510=$V$24)*('Match Log'!$A$4:$A$1510&lt;=$J437)),'Match Log'!$N$4:$N$1510),NA()))</f>
        <v>#N/A</v>
      </c>
      <c r="W437" t="e">
        <f>IF($J437&gt;MAX('Match Log'!$A$4:$A$1510),NA(),IFERROR(LOOKUP(2,1/(('Match Log'!$D$4:$D$1510=$W$24)*('Match Log'!$A$4:$A$1510&lt;=$J437)),'Match Log'!$N$4:$N$1510),NA()))</f>
        <v>#N/A</v>
      </c>
      <c r="X437" t="e">
        <f>IF($J437&gt;MAX('Match Log'!$A$4:$A$1510),NA(),IFERROR(LOOKUP(2,1/(('Match Log'!$D$4:$D$1510=$X$24)*('Match Log'!$A$4:$A$1510&lt;=$J437)),'Match Log'!$N$4:$N$1510),NA()))</f>
        <v>#N/A</v>
      </c>
      <c r="Y437" t="str">
        <f t="shared" ca="1" si="37"/>
        <v/>
      </c>
    </row>
    <row r="438" spans="1:25" x14ac:dyDescent="0.2">
      <c r="A438">
        <v>414</v>
      </c>
      <c r="B438" t="str">
        <f>IFERROR(INDEX('Match Log'!$B$4:$B$1510,MATCH($A438,'Match Log'!$A$4:$A$1510,0)),"")</f>
        <v/>
      </c>
      <c r="C438" t="str">
        <f>IFERROR(INDEX('Match Log'!$C$4:$C$1510,MATCH($A438,'Match Log'!$A$4:$A$1510,0)),"")</f>
        <v/>
      </c>
      <c r="D438" t="str">
        <f t="array" ref="D438">IFERROR(_xlfn.TEXTJOIN(" + ",TRUE(),IF(('Match Log'!$A$4:$A$1510=$A438)*('Match Log'!$E$4:$E$1510="Win"),'Match Log'!$D$4:$D$1510,"")),IFERROR(LOOKUP(2,1/(('Match Log'!$A$4:$A$1510=$A438)*('Match Log'!$E$4:$E$1510="Win")),'Match Log'!$D$4:$D$1510),""))</f>
        <v/>
      </c>
      <c r="E438" t="str">
        <f>IFERROR(INDEX('Match Log'!$F$4:$F$1510,MATCH($A438,'Match Log'!$A$4:$A$1510,0)),"")</f>
        <v/>
      </c>
      <c r="F438">
        <f>IFERROR(SUMIFS('Match Log'!$I$4:$I$1510,'Match Log'!$A$4:$A$1510,$A438,'Match Log'!$E$4:$E$1510,"Win"),"")</f>
        <v>0</v>
      </c>
      <c r="G438" t="str">
        <f t="shared" si="35"/>
        <v/>
      </c>
      <c r="H438" t="str">
        <f t="array" ref="H438">IFERROR(IF(COUNTIFS('Match Log'!$A$4:$A$1510,$A438,'Match Log'!$E$4:$E$1510,"Win")&gt;1,_xlfn.TEXTJOIN(" + ",TRUE(),IF(('Match Log'!$A$4:$A$1510=$A438)*('Match Log'!$E$4:$E$1510="Loss"),'Match Log'!$D$4:$D$1510,"")),IF($E438=2,LOOKUP(2,1/(('Match Log'!$A$4:$A$1510=$A438)*('Match Log'!$E$4:$E$1510="Loss")),'Match Log'!$D$4:$D$1510),"the field")),"")</f>
        <v>the field</v>
      </c>
      <c r="I438" t="str">
        <f t="shared" si="36"/>
        <v/>
      </c>
      <c r="J438">
        <v>414</v>
      </c>
      <c r="K438" t="e">
        <f>IF($J438&gt;MAX('Match Log'!$A$4:$A$1510),NA(),IFERROR(LOOKUP(2,1/(('Match Log'!$D$4:$D$1510=$K$24)*('Match Log'!$A$4:$A$1510&lt;=$J438)),'Match Log'!$N$4:$N$1510),NA()))</f>
        <v>#N/A</v>
      </c>
      <c r="L438" t="e">
        <f>IF($J438&gt;MAX('Match Log'!$A$4:$A$1510),NA(),IFERROR(LOOKUP(2,1/(('Match Log'!$D$4:$D$1510=$L$24)*('Match Log'!$A$4:$A$1510&lt;=$J438)),'Match Log'!$N$4:$N$1510),NA()))</f>
        <v>#N/A</v>
      </c>
      <c r="M438" t="e">
        <f>IF($J438&gt;MAX('Match Log'!$A$4:$A$1510),NA(),IFERROR(LOOKUP(2,1/(('Match Log'!$D$4:$D$1510=$M$24)*('Match Log'!$A$4:$A$1510&lt;=$J438)),'Match Log'!$N$4:$N$1510),NA()))</f>
        <v>#N/A</v>
      </c>
      <c r="N438" t="e">
        <f>IF($J438&gt;MAX('Match Log'!$A$4:$A$1510),NA(),IFERROR(LOOKUP(2,1/(('Match Log'!$D$4:$D$1510=$N$24)*('Match Log'!$A$4:$A$1510&lt;=$J438)),'Match Log'!$N$4:$N$1510),NA()))</f>
        <v>#N/A</v>
      </c>
      <c r="O438" t="e">
        <f>IF($J438&gt;MAX('Match Log'!$A$4:$A$1510),NA(),IFERROR(LOOKUP(2,1/(('Match Log'!$D$4:$D$1510=$O$24)*('Match Log'!$A$4:$A$1510&lt;=$J438)),'Match Log'!$N$4:$N$1510),NA()))</f>
        <v>#N/A</v>
      </c>
      <c r="P438" t="e">
        <f>IF($J438&gt;MAX('Match Log'!$A$4:$A$1510),NA(),IFERROR(LOOKUP(2,1/(('Match Log'!$D$4:$D$1510=$P$24)*('Match Log'!$A$4:$A$1510&lt;=$J438)),'Match Log'!$N$4:$N$1510),NA()))</f>
        <v>#N/A</v>
      </c>
      <c r="Q438" t="e">
        <f>IF($J438&gt;MAX('Match Log'!$A$4:$A$1510),NA(),IFERROR(LOOKUP(2,1/(('Match Log'!$D$4:$D$1510=$Q$24)*('Match Log'!$A$4:$A$1510&lt;=$J438)),'Match Log'!$N$4:$N$1510),NA()))</f>
        <v>#N/A</v>
      </c>
      <c r="R438" t="e">
        <f>IF($J438&gt;MAX('Match Log'!$A$4:$A$1510),NA(),IFERROR(LOOKUP(2,1/(('Match Log'!$D$4:$D$1510=$R$24)*('Match Log'!$A$4:$A$1510&lt;=$J438)),'Match Log'!$N$4:$N$1510),NA()))</f>
        <v>#N/A</v>
      </c>
      <c r="S438" t="e">
        <f>IF($J438&gt;MAX('Match Log'!$A$4:$A$1510),NA(),IFERROR(LOOKUP(2,1/(('Match Log'!$D$4:$D$1510=$S$24)*('Match Log'!$A$4:$A$1510&lt;=$J438)),'Match Log'!$N$4:$N$1510),NA()))</f>
        <v>#N/A</v>
      </c>
      <c r="T438" t="e">
        <f>IF($J438&gt;MAX('Match Log'!$A$4:$A$1510),NA(),IFERROR(LOOKUP(2,1/(('Match Log'!$D$4:$D$1510=$T$24)*('Match Log'!$A$4:$A$1510&lt;=$J438)),'Match Log'!$N$4:$N$1510),NA()))</f>
        <v>#N/A</v>
      </c>
      <c r="U438" t="e">
        <f>IF($J438&gt;MAX('Match Log'!$A$4:$A$1510),NA(),IFERROR(LOOKUP(2,1/(('Match Log'!$D$4:$D$1510=$U$24)*('Match Log'!$A$4:$A$1510&lt;=$J438)),'Match Log'!$N$4:$N$1510),NA()))</f>
        <v>#N/A</v>
      </c>
      <c r="V438" t="e">
        <f>IF($J438&gt;MAX('Match Log'!$A$4:$A$1510),NA(),IFERROR(LOOKUP(2,1/(('Match Log'!$D$4:$D$1510=$V$24)*('Match Log'!$A$4:$A$1510&lt;=$J438)),'Match Log'!$N$4:$N$1510),NA()))</f>
        <v>#N/A</v>
      </c>
      <c r="W438" t="e">
        <f>IF($J438&gt;MAX('Match Log'!$A$4:$A$1510),NA(),IFERROR(LOOKUP(2,1/(('Match Log'!$D$4:$D$1510=$W$24)*('Match Log'!$A$4:$A$1510&lt;=$J438)),'Match Log'!$N$4:$N$1510),NA()))</f>
        <v>#N/A</v>
      </c>
      <c r="X438" t="e">
        <f>IF($J438&gt;MAX('Match Log'!$A$4:$A$1510),NA(),IFERROR(LOOKUP(2,1/(('Match Log'!$D$4:$D$1510=$X$24)*('Match Log'!$A$4:$A$1510&lt;=$J438)),'Match Log'!$N$4:$N$1510),NA()))</f>
        <v>#N/A</v>
      </c>
      <c r="Y438" t="str">
        <f t="shared" ca="1" si="37"/>
        <v/>
      </c>
    </row>
    <row r="439" spans="1:25" x14ac:dyDescent="0.2">
      <c r="A439">
        <v>415</v>
      </c>
      <c r="B439" t="str">
        <f>IFERROR(INDEX('Match Log'!$B$4:$B$1510,MATCH($A439,'Match Log'!$A$4:$A$1510,0)),"")</f>
        <v/>
      </c>
      <c r="C439" t="str">
        <f>IFERROR(INDEX('Match Log'!$C$4:$C$1510,MATCH($A439,'Match Log'!$A$4:$A$1510,0)),"")</f>
        <v/>
      </c>
      <c r="D439" t="str">
        <f t="array" ref="D439">IFERROR(_xlfn.TEXTJOIN(" + ",TRUE(),IF(('Match Log'!$A$4:$A$1510=$A439)*('Match Log'!$E$4:$E$1510="Win"),'Match Log'!$D$4:$D$1510,"")),IFERROR(LOOKUP(2,1/(('Match Log'!$A$4:$A$1510=$A439)*('Match Log'!$E$4:$E$1510="Win")),'Match Log'!$D$4:$D$1510),""))</f>
        <v/>
      </c>
      <c r="E439" t="str">
        <f>IFERROR(INDEX('Match Log'!$F$4:$F$1510,MATCH($A439,'Match Log'!$A$4:$A$1510,0)),"")</f>
        <v/>
      </c>
      <c r="F439">
        <f>IFERROR(SUMIFS('Match Log'!$I$4:$I$1510,'Match Log'!$A$4:$A$1510,$A439,'Match Log'!$E$4:$E$1510,"Win"),"")</f>
        <v>0</v>
      </c>
      <c r="G439" t="str">
        <f t="shared" si="35"/>
        <v/>
      </c>
      <c r="H439" t="str">
        <f t="array" ref="H439">IFERROR(IF(COUNTIFS('Match Log'!$A$4:$A$1510,$A439,'Match Log'!$E$4:$E$1510,"Win")&gt;1,_xlfn.TEXTJOIN(" + ",TRUE(),IF(('Match Log'!$A$4:$A$1510=$A439)*('Match Log'!$E$4:$E$1510="Loss"),'Match Log'!$D$4:$D$1510,"")),IF($E439=2,LOOKUP(2,1/(('Match Log'!$A$4:$A$1510=$A439)*('Match Log'!$E$4:$E$1510="Loss")),'Match Log'!$D$4:$D$1510),"the field")),"")</f>
        <v>the field</v>
      </c>
      <c r="I439" t="str">
        <f t="shared" si="36"/>
        <v/>
      </c>
      <c r="J439">
        <v>415</v>
      </c>
      <c r="K439" t="e">
        <f>IF($J439&gt;MAX('Match Log'!$A$4:$A$1510),NA(),IFERROR(LOOKUP(2,1/(('Match Log'!$D$4:$D$1510=$K$24)*('Match Log'!$A$4:$A$1510&lt;=$J439)),'Match Log'!$N$4:$N$1510),NA()))</f>
        <v>#N/A</v>
      </c>
      <c r="L439" t="e">
        <f>IF($J439&gt;MAX('Match Log'!$A$4:$A$1510),NA(),IFERROR(LOOKUP(2,1/(('Match Log'!$D$4:$D$1510=$L$24)*('Match Log'!$A$4:$A$1510&lt;=$J439)),'Match Log'!$N$4:$N$1510),NA()))</f>
        <v>#N/A</v>
      </c>
      <c r="M439" t="e">
        <f>IF($J439&gt;MAX('Match Log'!$A$4:$A$1510),NA(),IFERROR(LOOKUP(2,1/(('Match Log'!$D$4:$D$1510=$M$24)*('Match Log'!$A$4:$A$1510&lt;=$J439)),'Match Log'!$N$4:$N$1510),NA()))</f>
        <v>#N/A</v>
      </c>
      <c r="N439" t="e">
        <f>IF($J439&gt;MAX('Match Log'!$A$4:$A$1510),NA(),IFERROR(LOOKUP(2,1/(('Match Log'!$D$4:$D$1510=$N$24)*('Match Log'!$A$4:$A$1510&lt;=$J439)),'Match Log'!$N$4:$N$1510),NA()))</f>
        <v>#N/A</v>
      </c>
      <c r="O439" t="e">
        <f>IF($J439&gt;MAX('Match Log'!$A$4:$A$1510),NA(),IFERROR(LOOKUP(2,1/(('Match Log'!$D$4:$D$1510=$O$24)*('Match Log'!$A$4:$A$1510&lt;=$J439)),'Match Log'!$N$4:$N$1510),NA()))</f>
        <v>#N/A</v>
      </c>
      <c r="P439" t="e">
        <f>IF($J439&gt;MAX('Match Log'!$A$4:$A$1510),NA(),IFERROR(LOOKUP(2,1/(('Match Log'!$D$4:$D$1510=$P$24)*('Match Log'!$A$4:$A$1510&lt;=$J439)),'Match Log'!$N$4:$N$1510),NA()))</f>
        <v>#N/A</v>
      </c>
      <c r="Q439" t="e">
        <f>IF($J439&gt;MAX('Match Log'!$A$4:$A$1510),NA(),IFERROR(LOOKUP(2,1/(('Match Log'!$D$4:$D$1510=$Q$24)*('Match Log'!$A$4:$A$1510&lt;=$J439)),'Match Log'!$N$4:$N$1510),NA()))</f>
        <v>#N/A</v>
      </c>
      <c r="R439" t="e">
        <f>IF($J439&gt;MAX('Match Log'!$A$4:$A$1510),NA(),IFERROR(LOOKUP(2,1/(('Match Log'!$D$4:$D$1510=$R$24)*('Match Log'!$A$4:$A$1510&lt;=$J439)),'Match Log'!$N$4:$N$1510),NA()))</f>
        <v>#N/A</v>
      </c>
      <c r="S439" t="e">
        <f>IF($J439&gt;MAX('Match Log'!$A$4:$A$1510),NA(),IFERROR(LOOKUP(2,1/(('Match Log'!$D$4:$D$1510=$S$24)*('Match Log'!$A$4:$A$1510&lt;=$J439)),'Match Log'!$N$4:$N$1510),NA()))</f>
        <v>#N/A</v>
      </c>
      <c r="T439" t="e">
        <f>IF($J439&gt;MAX('Match Log'!$A$4:$A$1510),NA(),IFERROR(LOOKUP(2,1/(('Match Log'!$D$4:$D$1510=$T$24)*('Match Log'!$A$4:$A$1510&lt;=$J439)),'Match Log'!$N$4:$N$1510),NA()))</f>
        <v>#N/A</v>
      </c>
      <c r="U439" t="e">
        <f>IF($J439&gt;MAX('Match Log'!$A$4:$A$1510),NA(),IFERROR(LOOKUP(2,1/(('Match Log'!$D$4:$D$1510=$U$24)*('Match Log'!$A$4:$A$1510&lt;=$J439)),'Match Log'!$N$4:$N$1510),NA()))</f>
        <v>#N/A</v>
      </c>
      <c r="V439" t="e">
        <f>IF($J439&gt;MAX('Match Log'!$A$4:$A$1510),NA(),IFERROR(LOOKUP(2,1/(('Match Log'!$D$4:$D$1510=$V$24)*('Match Log'!$A$4:$A$1510&lt;=$J439)),'Match Log'!$N$4:$N$1510),NA()))</f>
        <v>#N/A</v>
      </c>
      <c r="W439" t="e">
        <f>IF($J439&gt;MAX('Match Log'!$A$4:$A$1510),NA(),IFERROR(LOOKUP(2,1/(('Match Log'!$D$4:$D$1510=$W$24)*('Match Log'!$A$4:$A$1510&lt;=$J439)),'Match Log'!$N$4:$N$1510),NA()))</f>
        <v>#N/A</v>
      </c>
      <c r="X439" t="e">
        <f>IF($J439&gt;MAX('Match Log'!$A$4:$A$1510),NA(),IFERROR(LOOKUP(2,1/(('Match Log'!$D$4:$D$1510=$X$24)*('Match Log'!$A$4:$A$1510&lt;=$J439)),'Match Log'!$N$4:$N$1510),NA()))</f>
        <v>#N/A</v>
      </c>
      <c r="Y439" t="str">
        <f t="shared" ca="1" si="37"/>
        <v/>
      </c>
    </row>
    <row r="440" spans="1:25" x14ac:dyDescent="0.2">
      <c r="A440">
        <v>416</v>
      </c>
      <c r="B440" t="str">
        <f>IFERROR(INDEX('Match Log'!$B$4:$B$1510,MATCH($A440,'Match Log'!$A$4:$A$1510,0)),"")</f>
        <v/>
      </c>
      <c r="C440" t="str">
        <f>IFERROR(INDEX('Match Log'!$C$4:$C$1510,MATCH($A440,'Match Log'!$A$4:$A$1510,0)),"")</f>
        <v/>
      </c>
      <c r="D440" t="str">
        <f t="array" ref="D440">IFERROR(_xlfn.TEXTJOIN(" + ",TRUE(),IF(('Match Log'!$A$4:$A$1510=$A440)*('Match Log'!$E$4:$E$1510="Win"),'Match Log'!$D$4:$D$1510,"")),IFERROR(LOOKUP(2,1/(('Match Log'!$A$4:$A$1510=$A440)*('Match Log'!$E$4:$E$1510="Win")),'Match Log'!$D$4:$D$1510),""))</f>
        <v/>
      </c>
      <c r="E440" t="str">
        <f>IFERROR(INDEX('Match Log'!$F$4:$F$1510,MATCH($A440,'Match Log'!$A$4:$A$1510,0)),"")</f>
        <v/>
      </c>
      <c r="F440">
        <f>IFERROR(SUMIFS('Match Log'!$I$4:$I$1510,'Match Log'!$A$4:$A$1510,$A440,'Match Log'!$E$4:$E$1510,"Win"),"")</f>
        <v>0</v>
      </c>
      <c r="G440" t="str">
        <f t="shared" si="35"/>
        <v/>
      </c>
      <c r="H440" t="str">
        <f t="array" ref="H440">IFERROR(IF(COUNTIFS('Match Log'!$A$4:$A$1510,$A440,'Match Log'!$E$4:$E$1510,"Win")&gt;1,_xlfn.TEXTJOIN(" + ",TRUE(),IF(('Match Log'!$A$4:$A$1510=$A440)*('Match Log'!$E$4:$E$1510="Loss"),'Match Log'!$D$4:$D$1510,"")),IF($E440=2,LOOKUP(2,1/(('Match Log'!$A$4:$A$1510=$A440)*('Match Log'!$E$4:$E$1510="Loss")),'Match Log'!$D$4:$D$1510),"the field")),"")</f>
        <v>the field</v>
      </c>
      <c r="I440" t="str">
        <f t="shared" si="36"/>
        <v/>
      </c>
      <c r="J440">
        <v>416</v>
      </c>
      <c r="K440" t="e">
        <f>IF($J440&gt;MAX('Match Log'!$A$4:$A$1510),NA(),IFERROR(LOOKUP(2,1/(('Match Log'!$D$4:$D$1510=$K$24)*('Match Log'!$A$4:$A$1510&lt;=$J440)),'Match Log'!$N$4:$N$1510),NA()))</f>
        <v>#N/A</v>
      </c>
      <c r="L440" t="e">
        <f>IF($J440&gt;MAX('Match Log'!$A$4:$A$1510),NA(),IFERROR(LOOKUP(2,1/(('Match Log'!$D$4:$D$1510=$L$24)*('Match Log'!$A$4:$A$1510&lt;=$J440)),'Match Log'!$N$4:$N$1510),NA()))</f>
        <v>#N/A</v>
      </c>
      <c r="M440" t="e">
        <f>IF($J440&gt;MAX('Match Log'!$A$4:$A$1510),NA(),IFERROR(LOOKUP(2,1/(('Match Log'!$D$4:$D$1510=$M$24)*('Match Log'!$A$4:$A$1510&lt;=$J440)),'Match Log'!$N$4:$N$1510),NA()))</f>
        <v>#N/A</v>
      </c>
      <c r="N440" t="e">
        <f>IF($J440&gt;MAX('Match Log'!$A$4:$A$1510),NA(),IFERROR(LOOKUP(2,1/(('Match Log'!$D$4:$D$1510=$N$24)*('Match Log'!$A$4:$A$1510&lt;=$J440)),'Match Log'!$N$4:$N$1510),NA()))</f>
        <v>#N/A</v>
      </c>
      <c r="O440" t="e">
        <f>IF($J440&gt;MAX('Match Log'!$A$4:$A$1510),NA(),IFERROR(LOOKUP(2,1/(('Match Log'!$D$4:$D$1510=$O$24)*('Match Log'!$A$4:$A$1510&lt;=$J440)),'Match Log'!$N$4:$N$1510),NA()))</f>
        <v>#N/A</v>
      </c>
      <c r="P440" t="e">
        <f>IF($J440&gt;MAX('Match Log'!$A$4:$A$1510),NA(),IFERROR(LOOKUP(2,1/(('Match Log'!$D$4:$D$1510=$P$24)*('Match Log'!$A$4:$A$1510&lt;=$J440)),'Match Log'!$N$4:$N$1510),NA()))</f>
        <v>#N/A</v>
      </c>
      <c r="Q440" t="e">
        <f>IF($J440&gt;MAX('Match Log'!$A$4:$A$1510),NA(),IFERROR(LOOKUP(2,1/(('Match Log'!$D$4:$D$1510=$Q$24)*('Match Log'!$A$4:$A$1510&lt;=$J440)),'Match Log'!$N$4:$N$1510),NA()))</f>
        <v>#N/A</v>
      </c>
      <c r="R440" t="e">
        <f>IF($J440&gt;MAX('Match Log'!$A$4:$A$1510),NA(),IFERROR(LOOKUP(2,1/(('Match Log'!$D$4:$D$1510=$R$24)*('Match Log'!$A$4:$A$1510&lt;=$J440)),'Match Log'!$N$4:$N$1510),NA()))</f>
        <v>#N/A</v>
      </c>
      <c r="S440" t="e">
        <f>IF($J440&gt;MAX('Match Log'!$A$4:$A$1510),NA(),IFERROR(LOOKUP(2,1/(('Match Log'!$D$4:$D$1510=$S$24)*('Match Log'!$A$4:$A$1510&lt;=$J440)),'Match Log'!$N$4:$N$1510),NA()))</f>
        <v>#N/A</v>
      </c>
      <c r="T440" t="e">
        <f>IF($J440&gt;MAX('Match Log'!$A$4:$A$1510),NA(),IFERROR(LOOKUP(2,1/(('Match Log'!$D$4:$D$1510=$T$24)*('Match Log'!$A$4:$A$1510&lt;=$J440)),'Match Log'!$N$4:$N$1510),NA()))</f>
        <v>#N/A</v>
      </c>
      <c r="U440" t="e">
        <f>IF($J440&gt;MAX('Match Log'!$A$4:$A$1510),NA(),IFERROR(LOOKUP(2,1/(('Match Log'!$D$4:$D$1510=$U$24)*('Match Log'!$A$4:$A$1510&lt;=$J440)),'Match Log'!$N$4:$N$1510),NA()))</f>
        <v>#N/A</v>
      </c>
      <c r="V440" t="e">
        <f>IF($J440&gt;MAX('Match Log'!$A$4:$A$1510),NA(),IFERROR(LOOKUP(2,1/(('Match Log'!$D$4:$D$1510=$V$24)*('Match Log'!$A$4:$A$1510&lt;=$J440)),'Match Log'!$N$4:$N$1510),NA()))</f>
        <v>#N/A</v>
      </c>
      <c r="W440" t="e">
        <f>IF($J440&gt;MAX('Match Log'!$A$4:$A$1510),NA(),IFERROR(LOOKUP(2,1/(('Match Log'!$D$4:$D$1510=$W$24)*('Match Log'!$A$4:$A$1510&lt;=$J440)),'Match Log'!$N$4:$N$1510),NA()))</f>
        <v>#N/A</v>
      </c>
      <c r="X440" t="e">
        <f>IF($J440&gt;MAX('Match Log'!$A$4:$A$1510),NA(),IFERROR(LOOKUP(2,1/(('Match Log'!$D$4:$D$1510=$X$24)*('Match Log'!$A$4:$A$1510&lt;=$J440)),'Match Log'!$N$4:$N$1510),NA()))</f>
        <v>#N/A</v>
      </c>
      <c r="Y440" t="str">
        <f t="shared" ca="1" si="37"/>
        <v/>
      </c>
    </row>
    <row r="441" spans="1:25" x14ac:dyDescent="0.2">
      <c r="A441">
        <v>417</v>
      </c>
      <c r="B441" t="str">
        <f>IFERROR(INDEX('Match Log'!$B$4:$B$1510,MATCH($A441,'Match Log'!$A$4:$A$1510,0)),"")</f>
        <v/>
      </c>
      <c r="C441" t="str">
        <f>IFERROR(INDEX('Match Log'!$C$4:$C$1510,MATCH($A441,'Match Log'!$A$4:$A$1510,0)),"")</f>
        <v/>
      </c>
      <c r="D441" t="str">
        <f t="array" ref="D441">IFERROR(_xlfn.TEXTJOIN(" + ",TRUE(),IF(('Match Log'!$A$4:$A$1510=$A441)*('Match Log'!$E$4:$E$1510="Win"),'Match Log'!$D$4:$D$1510,"")),IFERROR(LOOKUP(2,1/(('Match Log'!$A$4:$A$1510=$A441)*('Match Log'!$E$4:$E$1510="Win")),'Match Log'!$D$4:$D$1510),""))</f>
        <v/>
      </c>
      <c r="E441" t="str">
        <f>IFERROR(INDEX('Match Log'!$F$4:$F$1510,MATCH($A441,'Match Log'!$A$4:$A$1510,0)),"")</f>
        <v/>
      </c>
      <c r="F441">
        <f>IFERROR(SUMIFS('Match Log'!$I$4:$I$1510,'Match Log'!$A$4:$A$1510,$A441,'Match Log'!$E$4:$E$1510,"Win"),"")</f>
        <v>0</v>
      </c>
      <c r="G441" t="str">
        <f t="shared" si="35"/>
        <v/>
      </c>
      <c r="H441" t="str">
        <f t="array" ref="H441">IFERROR(IF(COUNTIFS('Match Log'!$A$4:$A$1510,$A441,'Match Log'!$E$4:$E$1510,"Win")&gt;1,_xlfn.TEXTJOIN(" + ",TRUE(),IF(('Match Log'!$A$4:$A$1510=$A441)*('Match Log'!$E$4:$E$1510="Loss"),'Match Log'!$D$4:$D$1510,"")),IF($E441=2,LOOKUP(2,1/(('Match Log'!$A$4:$A$1510=$A441)*('Match Log'!$E$4:$E$1510="Loss")),'Match Log'!$D$4:$D$1510),"the field")),"")</f>
        <v>the field</v>
      </c>
      <c r="I441" t="str">
        <f t="shared" si="36"/>
        <v/>
      </c>
      <c r="J441">
        <v>417</v>
      </c>
      <c r="K441" t="e">
        <f>IF($J441&gt;MAX('Match Log'!$A$4:$A$1510),NA(),IFERROR(LOOKUP(2,1/(('Match Log'!$D$4:$D$1510=$K$24)*('Match Log'!$A$4:$A$1510&lt;=$J441)),'Match Log'!$N$4:$N$1510),NA()))</f>
        <v>#N/A</v>
      </c>
      <c r="L441" t="e">
        <f>IF($J441&gt;MAX('Match Log'!$A$4:$A$1510),NA(),IFERROR(LOOKUP(2,1/(('Match Log'!$D$4:$D$1510=$L$24)*('Match Log'!$A$4:$A$1510&lt;=$J441)),'Match Log'!$N$4:$N$1510),NA()))</f>
        <v>#N/A</v>
      </c>
      <c r="M441" t="e">
        <f>IF($J441&gt;MAX('Match Log'!$A$4:$A$1510),NA(),IFERROR(LOOKUP(2,1/(('Match Log'!$D$4:$D$1510=$M$24)*('Match Log'!$A$4:$A$1510&lt;=$J441)),'Match Log'!$N$4:$N$1510),NA()))</f>
        <v>#N/A</v>
      </c>
      <c r="N441" t="e">
        <f>IF($J441&gt;MAX('Match Log'!$A$4:$A$1510),NA(),IFERROR(LOOKUP(2,1/(('Match Log'!$D$4:$D$1510=$N$24)*('Match Log'!$A$4:$A$1510&lt;=$J441)),'Match Log'!$N$4:$N$1510),NA()))</f>
        <v>#N/A</v>
      </c>
      <c r="O441" t="e">
        <f>IF($J441&gt;MAX('Match Log'!$A$4:$A$1510),NA(),IFERROR(LOOKUP(2,1/(('Match Log'!$D$4:$D$1510=$O$24)*('Match Log'!$A$4:$A$1510&lt;=$J441)),'Match Log'!$N$4:$N$1510),NA()))</f>
        <v>#N/A</v>
      </c>
      <c r="P441" t="e">
        <f>IF($J441&gt;MAX('Match Log'!$A$4:$A$1510),NA(),IFERROR(LOOKUP(2,1/(('Match Log'!$D$4:$D$1510=$P$24)*('Match Log'!$A$4:$A$1510&lt;=$J441)),'Match Log'!$N$4:$N$1510),NA()))</f>
        <v>#N/A</v>
      </c>
      <c r="Q441" t="e">
        <f>IF($J441&gt;MAX('Match Log'!$A$4:$A$1510),NA(),IFERROR(LOOKUP(2,1/(('Match Log'!$D$4:$D$1510=$Q$24)*('Match Log'!$A$4:$A$1510&lt;=$J441)),'Match Log'!$N$4:$N$1510),NA()))</f>
        <v>#N/A</v>
      </c>
      <c r="R441" t="e">
        <f>IF($J441&gt;MAX('Match Log'!$A$4:$A$1510),NA(),IFERROR(LOOKUP(2,1/(('Match Log'!$D$4:$D$1510=$R$24)*('Match Log'!$A$4:$A$1510&lt;=$J441)),'Match Log'!$N$4:$N$1510),NA()))</f>
        <v>#N/A</v>
      </c>
      <c r="S441" t="e">
        <f>IF($J441&gt;MAX('Match Log'!$A$4:$A$1510),NA(),IFERROR(LOOKUP(2,1/(('Match Log'!$D$4:$D$1510=$S$24)*('Match Log'!$A$4:$A$1510&lt;=$J441)),'Match Log'!$N$4:$N$1510),NA()))</f>
        <v>#N/A</v>
      </c>
      <c r="T441" t="e">
        <f>IF($J441&gt;MAX('Match Log'!$A$4:$A$1510),NA(),IFERROR(LOOKUP(2,1/(('Match Log'!$D$4:$D$1510=$T$24)*('Match Log'!$A$4:$A$1510&lt;=$J441)),'Match Log'!$N$4:$N$1510),NA()))</f>
        <v>#N/A</v>
      </c>
      <c r="U441" t="e">
        <f>IF($J441&gt;MAX('Match Log'!$A$4:$A$1510),NA(),IFERROR(LOOKUP(2,1/(('Match Log'!$D$4:$D$1510=$U$24)*('Match Log'!$A$4:$A$1510&lt;=$J441)),'Match Log'!$N$4:$N$1510),NA()))</f>
        <v>#N/A</v>
      </c>
      <c r="V441" t="e">
        <f>IF($J441&gt;MAX('Match Log'!$A$4:$A$1510),NA(),IFERROR(LOOKUP(2,1/(('Match Log'!$D$4:$D$1510=$V$24)*('Match Log'!$A$4:$A$1510&lt;=$J441)),'Match Log'!$N$4:$N$1510),NA()))</f>
        <v>#N/A</v>
      </c>
      <c r="W441" t="e">
        <f>IF($J441&gt;MAX('Match Log'!$A$4:$A$1510),NA(),IFERROR(LOOKUP(2,1/(('Match Log'!$D$4:$D$1510=$W$24)*('Match Log'!$A$4:$A$1510&lt;=$J441)),'Match Log'!$N$4:$N$1510),NA()))</f>
        <v>#N/A</v>
      </c>
      <c r="X441" t="e">
        <f>IF($J441&gt;MAX('Match Log'!$A$4:$A$1510),NA(),IFERROR(LOOKUP(2,1/(('Match Log'!$D$4:$D$1510=$X$24)*('Match Log'!$A$4:$A$1510&lt;=$J441)),'Match Log'!$N$4:$N$1510),NA()))</f>
        <v>#N/A</v>
      </c>
      <c r="Y441" t="str">
        <f t="shared" ca="1" si="37"/>
        <v/>
      </c>
    </row>
    <row r="442" spans="1:25" x14ac:dyDescent="0.2">
      <c r="A442">
        <v>418</v>
      </c>
      <c r="B442" t="str">
        <f>IFERROR(INDEX('Match Log'!$B$4:$B$1510,MATCH($A442,'Match Log'!$A$4:$A$1510,0)),"")</f>
        <v/>
      </c>
      <c r="C442" t="str">
        <f>IFERROR(INDEX('Match Log'!$C$4:$C$1510,MATCH($A442,'Match Log'!$A$4:$A$1510,0)),"")</f>
        <v/>
      </c>
      <c r="D442" t="str">
        <f t="array" ref="D442">IFERROR(_xlfn.TEXTJOIN(" + ",TRUE(),IF(('Match Log'!$A$4:$A$1510=$A442)*('Match Log'!$E$4:$E$1510="Win"),'Match Log'!$D$4:$D$1510,"")),IFERROR(LOOKUP(2,1/(('Match Log'!$A$4:$A$1510=$A442)*('Match Log'!$E$4:$E$1510="Win")),'Match Log'!$D$4:$D$1510),""))</f>
        <v/>
      </c>
      <c r="E442" t="str">
        <f>IFERROR(INDEX('Match Log'!$F$4:$F$1510,MATCH($A442,'Match Log'!$A$4:$A$1510,0)),"")</f>
        <v/>
      </c>
      <c r="F442">
        <f>IFERROR(SUMIFS('Match Log'!$I$4:$I$1510,'Match Log'!$A$4:$A$1510,$A442,'Match Log'!$E$4:$E$1510,"Win"),"")</f>
        <v>0</v>
      </c>
      <c r="G442" t="str">
        <f t="shared" si="35"/>
        <v/>
      </c>
      <c r="H442" t="str">
        <f t="array" ref="H442">IFERROR(IF(COUNTIFS('Match Log'!$A$4:$A$1510,$A442,'Match Log'!$E$4:$E$1510,"Win")&gt;1,_xlfn.TEXTJOIN(" + ",TRUE(),IF(('Match Log'!$A$4:$A$1510=$A442)*('Match Log'!$E$4:$E$1510="Loss"),'Match Log'!$D$4:$D$1510,"")),IF($E442=2,LOOKUP(2,1/(('Match Log'!$A$4:$A$1510=$A442)*('Match Log'!$E$4:$E$1510="Loss")),'Match Log'!$D$4:$D$1510),"the field")),"")</f>
        <v>the field</v>
      </c>
      <c r="I442" t="str">
        <f t="shared" si="36"/>
        <v/>
      </c>
      <c r="J442">
        <v>418</v>
      </c>
      <c r="K442" t="e">
        <f>IF($J442&gt;MAX('Match Log'!$A$4:$A$1510),NA(),IFERROR(LOOKUP(2,1/(('Match Log'!$D$4:$D$1510=$K$24)*('Match Log'!$A$4:$A$1510&lt;=$J442)),'Match Log'!$N$4:$N$1510),NA()))</f>
        <v>#N/A</v>
      </c>
      <c r="L442" t="e">
        <f>IF($J442&gt;MAX('Match Log'!$A$4:$A$1510),NA(),IFERROR(LOOKUP(2,1/(('Match Log'!$D$4:$D$1510=$L$24)*('Match Log'!$A$4:$A$1510&lt;=$J442)),'Match Log'!$N$4:$N$1510),NA()))</f>
        <v>#N/A</v>
      </c>
      <c r="M442" t="e">
        <f>IF($J442&gt;MAX('Match Log'!$A$4:$A$1510),NA(),IFERROR(LOOKUP(2,1/(('Match Log'!$D$4:$D$1510=$M$24)*('Match Log'!$A$4:$A$1510&lt;=$J442)),'Match Log'!$N$4:$N$1510),NA()))</f>
        <v>#N/A</v>
      </c>
      <c r="N442" t="e">
        <f>IF($J442&gt;MAX('Match Log'!$A$4:$A$1510),NA(),IFERROR(LOOKUP(2,1/(('Match Log'!$D$4:$D$1510=$N$24)*('Match Log'!$A$4:$A$1510&lt;=$J442)),'Match Log'!$N$4:$N$1510),NA()))</f>
        <v>#N/A</v>
      </c>
      <c r="O442" t="e">
        <f>IF($J442&gt;MAX('Match Log'!$A$4:$A$1510),NA(),IFERROR(LOOKUP(2,1/(('Match Log'!$D$4:$D$1510=$O$24)*('Match Log'!$A$4:$A$1510&lt;=$J442)),'Match Log'!$N$4:$N$1510),NA()))</f>
        <v>#N/A</v>
      </c>
      <c r="P442" t="e">
        <f>IF($J442&gt;MAX('Match Log'!$A$4:$A$1510),NA(),IFERROR(LOOKUP(2,1/(('Match Log'!$D$4:$D$1510=$P$24)*('Match Log'!$A$4:$A$1510&lt;=$J442)),'Match Log'!$N$4:$N$1510),NA()))</f>
        <v>#N/A</v>
      </c>
      <c r="Q442" t="e">
        <f>IF($J442&gt;MAX('Match Log'!$A$4:$A$1510),NA(),IFERROR(LOOKUP(2,1/(('Match Log'!$D$4:$D$1510=$Q$24)*('Match Log'!$A$4:$A$1510&lt;=$J442)),'Match Log'!$N$4:$N$1510),NA()))</f>
        <v>#N/A</v>
      </c>
      <c r="R442" t="e">
        <f>IF($J442&gt;MAX('Match Log'!$A$4:$A$1510),NA(),IFERROR(LOOKUP(2,1/(('Match Log'!$D$4:$D$1510=$R$24)*('Match Log'!$A$4:$A$1510&lt;=$J442)),'Match Log'!$N$4:$N$1510),NA()))</f>
        <v>#N/A</v>
      </c>
      <c r="S442" t="e">
        <f>IF($J442&gt;MAX('Match Log'!$A$4:$A$1510),NA(),IFERROR(LOOKUP(2,1/(('Match Log'!$D$4:$D$1510=$S$24)*('Match Log'!$A$4:$A$1510&lt;=$J442)),'Match Log'!$N$4:$N$1510),NA()))</f>
        <v>#N/A</v>
      </c>
      <c r="T442" t="e">
        <f>IF($J442&gt;MAX('Match Log'!$A$4:$A$1510),NA(),IFERROR(LOOKUP(2,1/(('Match Log'!$D$4:$D$1510=$T$24)*('Match Log'!$A$4:$A$1510&lt;=$J442)),'Match Log'!$N$4:$N$1510),NA()))</f>
        <v>#N/A</v>
      </c>
      <c r="U442" t="e">
        <f>IF($J442&gt;MAX('Match Log'!$A$4:$A$1510),NA(),IFERROR(LOOKUP(2,1/(('Match Log'!$D$4:$D$1510=$U$24)*('Match Log'!$A$4:$A$1510&lt;=$J442)),'Match Log'!$N$4:$N$1510),NA()))</f>
        <v>#N/A</v>
      </c>
      <c r="V442" t="e">
        <f>IF($J442&gt;MAX('Match Log'!$A$4:$A$1510),NA(),IFERROR(LOOKUP(2,1/(('Match Log'!$D$4:$D$1510=$V$24)*('Match Log'!$A$4:$A$1510&lt;=$J442)),'Match Log'!$N$4:$N$1510),NA()))</f>
        <v>#N/A</v>
      </c>
      <c r="W442" t="e">
        <f>IF($J442&gt;MAX('Match Log'!$A$4:$A$1510),NA(),IFERROR(LOOKUP(2,1/(('Match Log'!$D$4:$D$1510=$W$24)*('Match Log'!$A$4:$A$1510&lt;=$J442)),'Match Log'!$N$4:$N$1510),NA()))</f>
        <v>#N/A</v>
      </c>
      <c r="X442" t="e">
        <f>IF($J442&gt;MAX('Match Log'!$A$4:$A$1510),NA(),IFERROR(LOOKUP(2,1/(('Match Log'!$D$4:$D$1510=$X$24)*('Match Log'!$A$4:$A$1510&lt;=$J442)),'Match Log'!$N$4:$N$1510),NA()))</f>
        <v>#N/A</v>
      </c>
      <c r="Y442" t="str">
        <f t="shared" ca="1" si="37"/>
        <v/>
      </c>
    </row>
    <row r="443" spans="1:25" x14ac:dyDescent="0.2">
      <c r="A443">
        <v>419</v>
      </c>
      <c r="B443" t="str">
        <f>IFERROR(INDEX('Match Log'!$B$4:$B$1510,MATCH($A443,'Match Log'!$A$4:$A$1510,0)),"")</f>
        <v/>
      </c>
      <c r="C443" t="str">
        <f>IFERROR(INDEX('Match Log'!$C$4:$C$1510,MATCH($A443,'Match Log'!$A$4:$A$1510,0)),"")</f>
        <v/>
      </c>
      <c r="D443" t="str">
        <f t="array" ref="D443">IFERROR(_xlfn.TEXTJOIN(" + ",TRUE(),IF(('Match Log'!$A$4:$A$1510=$A443)*('Match Log'!$E$4:$E$1510="Win"),'Match Log'!$D$4:$D$1510,"")),IFERROR(LOOKUP(2,1/(('Match Log'!$A$4:$A$1510=$A443)*('Match Log'!$E$4:$E$1510="Win")),'Match Log'!$D$4:$D$1510),""))</f>
        <v/>
      </c>
      <c r="E443" t="str">
        <f>IFERROR(INDEX('Match Log'!$F$4:$F$1510,MATCH($A443,'Match Log'!$A$4:$A$1510,0)),"")</f>
        <v/>
      </c>
      <c r="F443">
        <f>IFERROR(SUMIFS('Match Log'!$I$4:$I$1510,'Match Log'!$A$4:$A$1510,$A443,'Match Log'!$E$4:$E$1510,"Win"),"")</f>
        <v>0</v>
      </c>
      <c r="G443" t="str">
        <f t="shared" si="35"/>
        <v/>
      </c>
      <c r="H443" t="str">
        <f t="array" ref="H443">IFERROR(IF(COUNTIFS('Match Log'!$A$4:$A$1510,$A443,'Match Log'!$E$4:$E$1510,"Win")&gt;1,_xlfn.TEXTJOIN(" + ",TRUE(),IF(('Match Log'!$A$4:$A$1510=$A443)*('Match Log'!$E$4:$E$1510="Loss"),'Match Log'!$D$4:$D$1510,"")),IF($E443=2,LOOKUP(2,1/(('Match Log'!$A$4:$A$1510=$A443)*('Match Log'!$E$4:$E$1510="Loss")),'Match Log'!$D$4:$D$1510),"the field")),"")</f>
        <v>the field</v>
      </c>
      <c r="I443" t="str">
        <f t="shared" si="36"/>
        <v/>
      </c>
      <c r="J443">
        <v>419</v>
      </c>
      <c r="K443" t="e">
        <f>IF($J443&gt;MAX('Match Log'!$A$4:$A$1510),NA(),IFERROR(LOOKUP(2,1/(('Match Log'!$D$4:$D$1510=$K$24)*('Match Log'!$A$4:$A$1510&lt;=$J443)),'Match Log'!$N$4:$N$1510),NA()))</f>
        <v>#N/A</v>
      </c>
      <c r="L443" t="e">
        <f>IF($J443&gt;MAX('Match Log'!$A$4:$A$1510),NA(),IFERROR(LOOKUP(2,1/(('Match Log'!$D$4:$D$1510=$L$24)*('Match Log'!$A$4:$A$1510&lt;=$J443)),'Match Log'!$N$4:$N$1510),NA()))</f>
        <v>#N/A</v>
      </c>
      <c r="M443" t="e">
        <f>IF($J443&gt;MAX('Match Log'!$A$4:$A$1510),NA(),IFERROR(LOOKUP(2,1/(('Match Log'!$D$4:$D$1510=$M$24)*('Match Log'!$A$4:$A$1510&lt;=$J443)),'Match Log'!$N$4:$N$1510),NA()))</f>
        <v>#N/A</v>
      </c>
      <c r="N443" t="e">
        <f>IF($J443&gt;MAX('Match Log'!$A$4:$A$1510),NA(),IFERROR(LOOKUP(2,1/(('Match Log'!$D$4:$D$1510=$N$24)*('Match Log'!$A$4:$A$1510&lt;=$J443)),'Match Log'!$N$4:$N$1510),NA()))</f>
        <v>#N/A</v>
      </c>
      <c r="O443" t="e">
        <f>IF($J443&gt;MAX('Match Log'!$A$4:$A$1510),NA(),IFERROR(LOOKUP(2,1/(('Match Log'!$D$4:$D$1510=$O$24)*('Match Log'!$A$4:$A$1510&lt;=$J443)),'Match Log'!$N$4:$N$1510),NA()))</f>
        <v>#N/A</v>
      </c>
      <c r="P443" t="e">
        <f>IF($J443&gt;MAX('Match Log'!$A$4:$A$1510),NA(),IFERROR(LOOKUP(2,1/(('Match Log'!$D$4:$D$1510=$P$24)*('Match Log'!$A$4:$A$1510&lt;=$J443)),'Match Log'!$N$4:$N$1510),NA()))</f>
        <v>#N/A</v>
      </c>
      <c r="Q443" t="e">
        <f>IF($J443&gt;MAX('Match Log'!$A$4:$A$1510),NA(),IFERROR(LOOKUP(2,1/(('Match Log'!$D$4:$D$1510=$Q$24)*('Match Log'!$A$4:$A$1510&lt;=$J443)),'Match Log'!$N$4:$N$1510),NA()))</f>
        <v>#N/A</v>
      </c>
      <c r="R443" t="e">
        <f>IF($J443&gt;MAX('Match Log'!$A$4:$A$1510),NA(),IFERROR(LOOKUP(2,1/(('Match Log'!$D$4:$D$1510=$R$24)*('Match Log'!$A$4:$A$1510&lt;=$J443)),'Match Log'!$N$4:$N$1510),NA()))</f>
        <v>#N/A</v>
      </c>
      <c r="S443" t="e">
        <f>IF($J443&gt;MAX('Match Log'!$A$4:$A$1510),NA(),IFERROR(LOOKUP(2,1/(('Match Log'!$D$4:$D$1510=$S$24)*('Match Log'!$A$4:$A$1510&lt;=$J443)),'Match Log'!$N$4:$N$1510),NA()))</f>
        <v>#N/A</v>
      </c>
      <c r="T443" t="e">
        <f>IF($J443&gt;MAX('Match Log'!$A$4:$A$1510),NA(),IFERROR(LOOKUP(2,1/(('Match Log'!$D$4:$D$1510=$T$24)*('Match Log'!$A$4:$A$1510&lt;=$J443)),'Match Log'!$N$4:$N$1510),NA()))</f>
        <v>#N/A</v>
      </c>
      <c r="U443" t="e">
        <f>IF($J443&gt;MAX('Match Log'!$A$4:$A$1510),NA(),IFERROR(LOOKUP(2,1/(('Match Log'!$D$4:$D$1510=$U$24)*('Match Log'!$A$4:$A$1510&lt;=$J443)),'Match Log'!$N$4:$N$1510),NA()))</f>
        <v>#N/A</v>
      </c>
      <c r="V443" t="e">
        <f>IF($J443&gt;MAX('Match Log'!$A$4:$A$1510),NA(),IFERROR(LOOKUP(2,1/(('Match Log'!$D$4:$D$1510=$V$24)*('Match Log'!$A$4:$A$1510&lt;=$J443)),'Match Log'!$N$4:$N$1510),NA()))</f>
        <v>#N/A</v>
      </c>
      <c r="W443" t="e">
        <f>IF($J443&gt;MAX('Match Log'!$A$4:$A$1510),NA(),IFERROR(LOOKUP(2,1/(('Match Log'!$D$4:$D$1510=$W$24)*('Match Log'!$A$4:$A$1510&lt;=$J443)),'Match Log'!$N$4:$N$1510),NA()))</f>
        <v>#N/A</v>
      </c>
      <c r="X443" t="e">
        <f>IF($J443&gt;MAX('Match Log'!$A$4:$A$1510),NA(),IFERROR(LOOKUP(2,1/(('Match Log'!$D$4:$D$1510=$X$24)*('Match Log'!$A$4:$A$1510&lt;=$J443)),'Match Log'!$N$4:$N$1510),NA()))</f>
        <v>#N/A</v>
      </c>
      <c r="Y443" t="str">
        <f t="shared" ca="1" si="37"/>
        <v/>
      </c>
    </row>
    <row r="444" spans="1:25" x14ac:dyDescent="0.2">
      <c r="A444">
        <v>420</v>
      </c>
      <c r="B444" t="str">
        <f>IFERROR(INDEX('Match Log'!$B$4:$B$1510,MATCH($A444,'Match Log'!$A$4:$A$1510,0)),"")</f>
        <v/>
      </c>
      <c r="C444" t="str">
        <f>IFERROR(INDEX('Match Log'!$C$4:$C$1510,MATCH($A444,'Match Log'!$A$4:$A$1510,0)),"")</f>
        <v/>
      </c>
      <c r="D444" t="str">
        <f t="array" ref="D444">IFERROR(_xlfn.TEXTJOIN(" + ",TRUE(),IF(('Match Log'!$A$4:$A$1510=$A444)*('Match Log'!$E$4:$E$1510="Win"),'Match Log'!$D$4:$D$1510,"")),IFERROR(LOOKUP(2,1/(('Match Log'!$A$4:$A$1510=$A444)*('Match Log'!$E$4:$E$1510="Win")),'Match Log'!$D$4:$D$1510),""))</f>
        <v/>
      </c>
      <c r="E444" t="str">
        <f>IFERROR(INDEX('Match Log'!$F$4:$F$1510,MATCH($A444,'Match Log'!$A$4:$A$1510,0)),"")</f>
        <v/>
      </c>
      <c r="F444">
        <f>IFERROR(SUMIFS('Match Log'!$I$4:$I$1510,'Match Log'!$A$4:$A$1510,$A444,'Match Log'!$E$4:$E$1510,"Win"),"")</f>
        <v>0</v>
      </c>
      <c r="G444" t="str">
        <f t="shared" si="35"/>
        <v/>
      </c>
      <c r="H444" t="str">
        <f t="array" ref="H444">IFERROR(IF(COUNTIFS('Match Log'!$A$4:$A$1510,$A444,'Match Log'!$E$4:$E$1510,"Win")&gt;1,_xlfn.TEXTJOIN(" + ",TRUE(),IF(('Match Log'!$A$4:$A$1510=$A444)*('Match Log'!$E$4:$E$1510="Loss"),'Match Log'!$D$4:$D$1510,"")),IF($E444=2,LOOKUP(2,1/(('Match Log'!$A$4:$A$1510=$A444)*('Match Log'!$E$4:$E$1510="Loss")),'Match Log'!$D$4:$D$1510),"the field")),"")</f>
        <v>the field</v>
      </c>
      <c r="I444" t="str">
        <f t="shared" si="36"/>
        <v/>
      </c>
      <c r="J444">
        <v>420</v>
      </c>
      <c r="K444" t="e">
        <f>IF($J444&gt;MAX('Match Log'!$A$4:$A$1510),NA(),IFERROR(LOOKUP(2,1/(('Match Log'!$D$4:$D$1510=$K$24)*('Match Log'!$A$4:$A$1510&lt;=$J444)),'Match Log'!$N$4:$N$1510),NA()))</f>
        <v>#N/A</v>
      </c>
      <c r="L444" t="e">
        <f>IF($J444&gt;MAX('Match Log'!$A$4:$A$1510),NA(),IFERROR(LOOKUP(2,1/(('Match Log'!$D$4:$D$1510=$L$24)*('Match Log'!$A$4:$A$1510&lt;=$J444)),'Match Log'!$N$4:$N$1510),NA()))</f>
        <v>#N/A</v>
      </c>
      <c r="M444" t="e">
        <f>IF($J444&gt;MAX('Match Log'!$A$4:$A$1510),NA(),IFERROR(LOOKUP(2,1/(('Match Log'!$D$4:$D$1510=$M$24)*('Match Log'!$A$4:$A$1510&lt;=$J444)),'Match Log'!$N$4:$N$1510),NA()))</f>
        <v>#N/A</v>
      </c>
      <c r="N444" t="e">
        <f>IF($J444&gt;MAX('Match Log'!$A$4:$A$1510),NA(),IFERROR(LOOKUP(2,1/(('Match Log'!$D$4:$D$1510=$N$24)*('Match Log'!$A$4:$A$1510&lt;=$J444)),'Match Log'!$N$4:$N$1510),NA()))</f>
        <v>#N/A</v>
      </c>
      <c r="O444" t="e">
        <f>IF($J444&gt;MAX('Match Log'!$A$4:$A$1510),NA(),IFERROR(LOOKUP(2,1/(('Match Log'!$D$4:$D$1510=$O$24)*('Match Log'!$A$4:$A$1510&lt;=$J444)),'Match Log'!$N$4:$N$1510),NA()))</f>
        <v>#N/A</v>
      </c>
      <c r="P444" t="e">
        <f>IF($J444&gt;MAX('Match Log'!$A$4:$A$1510),NA(),IFERROR(LOOKUP(2,1/(('Match Log'!$D$4:$D$1510=$P$24)*('Match Log'!$A$4:$A$1510&lt;=$J444)),'Match Log'!$N$4:$N$1510),NA()))</f>
        <v>#N/A</v>
      </c>
      <c r="Q444" t="e">
        <f>IF($J444&gt;MAX('Match Log'!$A$4:$A$1510),NA(),IFERROR(LOOKUP(2,1/(('Match Log'!$D$4:$D$1510=$Q$24)*('Match Log'!$A$4:$A$1510&lt;=$J444)),'Match Log'!$N$4:$N$1510),NA()))</f>
        <v>#N/A</v>
      </c>
      <c r="R444" t="e">
        <f>IF($J444&gt;MAX('Match Log'!$A$4:$A$1510),NA(),IFERROR(LOOKUP(2,1/(('Match Log'!$D$4:$D$1510=$R$24)*('Match Log'!$A$4:$A$1510&lt;=$J444)),'Match Log'!$N$4:$N$1510),NA()))</f>
        <v>#N/A</v>
      </c>
      <c r="S444" t="e">
        <f>IF($J444&gt;MAX('Match Log'!$A$4:$A$1510),NA(),IFERROR(LOOKUP(2,1/(('Match Log'!$D$4:$D$1510=$S$24)*('Match Log'!$A$4:$A$1510&lt;=$J444)),'Match Log'!$N$4:$N$1510),NA()))</f>
        <v>#N/A</v>
      </c>
      <c r="T444" t="e">
        <f>IF($J444&gt;MAX('Match Log'!$A$4:$A$1510),NA(),IFERROR(LOOKUP(2,1/(('Match Log'!$D$4:$D$1510=$T$24)*('Match Log'!$A$4:$A$1510&lt;=$J444)),'Match Log'!$N$4:$N$1510),NA()))</f>
        <v>#N/A</v>
      </c>
      <c r="U444" t="e">
        <f>IF($J444&gt;MAX('Match Log'!$A$4:$A$1510),NA(),IFERROR(LOOKUP(2,1/(('Match Log'!$D$4:$D$1510=$U$24)*('Match Log'!$A$4:$A$1510&lt;=$J444)),'Match Log'!$N$4:$N$1510),NA()))</f>
        <v>#N/A</v>
      </c>
      <c r="V444" t="e">
        <f>IF($J444&gt;MAX('Match Log'!$A$4:$A$1510),NA(),IFERROR(LOOKUP(2,1/(('Match Log'!$D$4:$D$1510=$V$24)*('Match Log'!$A$4:$A$1510&lt;=$J444)),'Match Log'!$N$4:$N$1510),NA()))</f>
        <v>#N/A</v>
      </c>
      <c r="W444" t="e">
        <f>IF($J444&gt;MAX('Match Log'!$A$4:$A$1510),NA(),IFERROR(LOOKUP(2,1/(('Match Log'!$D$4:$D$1510=$W$24)*('Match Log'!$A$4:$A$1510&lt;=$J444)),'Match Log'!$N$4:$N$1510),NA()))</f>
        <v>#N/A</v>
      </c>
      <c r="X444" t="e">
        <f>IF($J444&gt;MAX('Match Log'!$A$4:$A$1510),NA(),IFERROR(LOOKUP(2,1/(('Match Log'!$D$4:$D$1510=$X$24)*('Match Log'!$A$4:$A$1510&lt;=$J444)),'Match Log'!$N$4:$N$1510),NA()))</f>
        <v>#N/A</v>
      </c>
      <c r="Y444" t="str">
        <f t="shared" ca="1" si="37"/>
        <v/>
      </c>
    </row>
    <row r="445" spans="1:25" x14ac:dyDescent="0.2">
      <c r="A445">
        <v>421</v>
      </c>
      <c r="B445" t="str">
        <f>IFERROR(INDEX('Match Log'!$B$4:$B$1510,MATCH($A445,'Match Log'!$A$4:$A$1510,0)),"")</f>
        <v/>
      </c>
      <c r="C445" t="str">
        <f>IFERROR(INDEX('Match Log'!$C$4:$C$1510,MATCH($A445,'Match Log'!$A$4:$A$1510,0)),"")</f>
        <v/>
      </c>
      <c r="D445" t="str">
        <f t="array" ref="D445">IFERROR(_xlfn.TEXTJOIN(" + ",TRUE(),IF(('Match Log'!$A$4:$A$1510=$A445)*('Match Log'!$E$4:$E$1510="Win"),'Match Log'!$D$4:$D$1510,"")),IFERROR(LOOKUP(2,1/(('Match Log'!$A$4:$A$1510=$A445)*('Match Log'!$E$4:$E$1510="Win")),'Match Log'!$D$4:$D$1510),""))</f>
        <v/>
      </c>
      <c r="E445" t="str">
        <f>IFERROR(INDEX('Match Log'!$F$4:$F$1510,MATCH($A445,'Match Log'!$A$4:$A$1510,0)),"")</f>
        <v/>
      </c>
      <c r="F445">
        <f>IFERROR(SUMIFS('Match Log'!$I$4:$I$1510,'Match Log'!$A$4:$A$1510,$A445,'Match Log'!$E$4:$E$1510,"Win"),"")</f>
        <v>0</v>
      </c>
      <c r="G445" t="str">
        <f t="shared" si="35"/>
        <v/>
      </c>
      <c r="H445" t="str">
        <f t="array" ref="H445">IFERROR(IF(COUNTIFS('Match Log'!$A$4:$A$1510,$A445,'Match Log'!$E$4:$E$1510,"Win")&gt;1,_xlfn.TEXTJOIN(" + ",TRUE(),IF(('Match Log'!$A$4:$A$1510=$A445)*('Match Log'!$E$4:$E$1510="Loss"),'Match Log'!$D$4:$D$1510,"")),IF($E445=2,LOOKUP(2,1/(('Match Log'!$A$4:$A$1510=$A445)*('Match Log'!$E$4:$E$1510="Loss")),'Match Log'!$D$4:$D$1510),"the field")),"")</f>
        <v>the field</v>
      </c>
      <c r="I445" t="str">
        <f t="shared" si="36"/>
        <v/>
      </c>
      <c r="J445">
        <v>421</v>
      </c>
      <c r="K445" t="e">
        <f>IF($J445&gt;MAX('Match Log'!$A$4:$A$1510),NA(),IFERROR(LOOKUP(2,1/(('Match Log'!$D$4:$D$1510=$K$24)*('Match Log'!$A$4:$A$1510&lt;=$J445)),'Match Log'!$N$4:$N$1510),NA()))</f>
        <v>#N/A</v>
      </c>
      <c r="L445" t="e">
        <f>IF($J445&gt;MAX('Match Log'!$A$4:$A$1510),NA(),IFERROR(LOOKUP(2,1/(('Match Log'!$D$4:$D$1510=$L$24)*('Match Log'!$A$4:$A$1510&lt;=$J445)),'Match Log'!$N$4:$N$1510),NA()))</f>
        <v>#N/A</v>
      </c>
      <c r="M445" t="e">
        <f>IF($J445&gt;MAX('Match Log'!$A$4:$A$1510),NA(),IFERROR(LOOKUP(2,1/(('Match Log'!$D$4:$D$1510=$M$24)*('Match Log'!$A$4:$A$1510&lt;=$J445)),'Match Log'!$N$4:$N$1510),NA()))</f>
        <v>#N/A</v>
      </c>
      <c r="N445" t="e">
        <f>IF($J445&gt;MAX('Match Log'!$A$4:$A$1510),NA(),IFERROR(LOOKUP(2,1/(('Match Log'!$D$4:$D$1510=$N$24)*('Match Log'!$A$4:$A$1510&lt;=$J445)),'Match Log'!$N$4:$N$1510),NA()))</f>
        <v>#N/A</v>
      </c>
      <c r="O445" t="e">
        <f>IF($J445&gt;MAX('Match Log'!$A$4:$A$1510),NA(),IFERROR(LOOKUP(2,1/(('Match Log'!$D$4:$D$1510=$O$24)*('Match Log'!$A$4:$A$1510&lt;=$J445)),'Match Log'!$N$4:$N$1510),NA()))</f>
        <v>#N/A</v>
      </c>
      <c r="P445" t="e">
        <f>IF($J445&gt;MAX('Match Log'!$A$4:$A$1510),NA(),IFERROR(LOOKUP(2,1/(('Match Log'!$D$4:$D$1510=$P$24)*('Match Log'!$A$4:$A$1510&lt;=$J445)),'Match Log'!$N$4:$N$1510),NA()))</f>
        <v>#N/A</v>
      </c>
      <c r="Q445" t="e">
        <f>IF($J445&gt;MAX('Match Log'!$A$4:$A$1510),NA(),IFERROR(LOOKUP(2,1/(('Match Log'!$D$4:$D$1510=$Q$24)*('Match Log'!$A$4:$A$1510&lt;=$J445)),'Match Log'!$N$4:$N$1510),NA()))</f>
        <v>#N/A</v>
      </c>
      <c r="R445" t="e">
        <f>IF($J445&gt;MAX('Match Log'!$A$4:$A$1510),NA(),IFERROR(LOOKUP(2,1/(('Match Log'!$D$4:$D$1510=$R$24)*('Match Log'!$A$4:$A$1510&lt;=$J445)),'Match Log'!$N$4:$N$1510),NA()))</f>
        <v>#N/A</v>
      </c>
      <c r="S445" t="e">
        <f>IF($J445&gt;MAX('Match Log'!$A$4:$A$1510),NA(),IFERROR(LOOKUP(2,1/(('Match Log'!$D$4:$D$1510=$S$24)*('Match Log'!$A$4:$A$1510&lt;=$J445)),'Match Log'!$N$4:$N$1510),NA()))</f>
        <v>#N/A</v>
      </c>
      <c r="T445" t="e">
        <f>IF($J445&gt;MAX('Match Log'!$A$4:$A$1510),NA(),IFERROR(LOOKUP(2,1/(('Match Log'!$D$4:$D$1510=$T$24)*('Match Log'!$A$4:$A$1510&lt;=$J445)),'Match Log'!$N$4:$N$1510),NA()))</f>
        <v>#N/A</v>
      </c>
      <c r="U445" t="e">
        <f>IF($J445&gt;MAX('Match Log'!$A$4:$A$1510),NA(),IFERROR(LOOKUP(2,1/(('Match Log'!$D$4:$D$1510=$U$24)*('Match Log'!$A$4:$A$1510&lt;=$J445)),'Match Log'!$N$4:$N$1510),NA()))</f>
        <v>#N/A</v>
      </c>
      <c r="V445" t="e">
        <f>IF($J445&gt;MAX('Match Log'!$A$4:$A$1510),NA(),IFERROR(LOOKUP(2,1/(('Match Log'!$D$4:$D$1510=$V$24)*('Match Log'!$A$4:$A$1510&lt;=$J445)),'Match Log'!$N$4:$N$1510),NA()))</f>
        <v>#N/A</v>
      </c>
      <c r="W445" t="e">
        <f>IF($J445&gt;MAX('Match Log'!$A$4:$A$1510),NA(),IFERROR(LOOKUP(2,1/(('Match Log'!$D$4:$D$1510=$W$24)*('Match Log'!$A$4:$A$1510&lt;=$J445)),'Match Log'!$N$4:$N$1510),NA()))</f>
        <v>#N/A</v>
      </c>
      <c r="X445" t="e">
        <f>IF($J445&gt;MAX('Match Log'!$A$4:$A$1510),NA(),IFERROR(LOOKUP(2,1/(('Match Log'!$D$4:$D$1510=$X$24)*('Match Log'!$A$4:$A$1510&lt;=$J445)),'Match Log'!$N$4:$N$1510),NA()))</f>
        <v>#N/A</v>
      </c>
      <c r="Y445" t="str">
        <f t="shared" ca="1" si="37"/>
        <v/>
      </c>
    </row>
    <row r="446" spans="1:25" x14ac:dyDescent="0.2">
      <c r="A446">
        <v>422</v>
      </c>
      <c r="B446" t="str">
        <f>IFERROR(INDEX('Match Log'!$B$4:$B$1510,MATCH($A446,'Match Log'!$A$4:$A$1510,0)),"")</f>
        <v/>
      </c>
      <c r="C446" t="str">
        <f>IFERROR(INDEX('Match Log'!$C$4:$C$1510,MATCH($A446,'Match Log'!$A$4:$A$1510,0)),"")</f>
        <v/>
      </c>
      <c r="D446" t="str">
        <f t="array" ref="D446">IFERROR(_xlfn.TEXTJOIN(" + ",TRUE(),IF(('Match Log'!$A$4:$A$1510=$A446)*('Match Log'!$E$4:$E$1510="Win"),'Match Log'!$D$4:$D$1510,"")),IFERROR(LOOKUP(2,1/(('Match Log'!$A$4:$A$1510=$A446)*('Match Log'!$E$4:$E$1510="Win")),'Match Log'!$D$4:$D$1510),""))</f>
        <v/>
      </c>
      <c r="E446" t="str">
        <f>IFERROR(INDEX('Match Log'!$F$4:$F$1510,MATCH($A446,'Match Log'!$A$4:$A$1510,0)),"")</f>
        <v/>
      </c>
      <c r="F446">
        <f>IFERROR(SUMIFS('Match Log'!$I$4:$I$1510,'Match Log'!$A$4:$A$1510,$A446,'Match Log'!$E$4:$E$1510,"Win"),"")</f>
        <v>0</v>
      </c>
      <c r="G446" t="str">
        <f t="shared" si="35"/>
        <v/>
      </c>
      <c r="H446" t="str">
        <f t="array" ref="H446">IFERROR(IF(COUNTIFS('Match Log'!$A$4:$A$1510,$A446,'Match Log'!$E$4:$E$1510,"Win")&gt;1,_xlfn.TEXTJOIN(" + ",TRUE(),IF(('Match Log'!$A$4:$A$1510=$A446)*('Match Log'!$E$4:$E$1510="Loss"),'Match Log'!$D$4:$D$1510,"")),IF($E446=2,LOOKUP(2,1/(('Match Log'!$A$4:$A$1510=$A446)*('Match Log'!$E$4:$E$1510="Loss")),'Match Log'!$D$4:$D$1510),"the field")),"")</f>
        <v>the field</v>
      </c>
      <c r="I446" t="str">
        <f t="shared" si="36"/>
        <v/>
      </c>
      <c r="J446">
        <v>422</v>
      </c>
      <c r="K446" t="e">
        <f>IF($J446&gt;MAX('Match Log'!$A$4:$A$1510),NA(),IFERROR(LOOKUP(2,1/(('Match Log'!$D$4:$D$1510=$K$24)*('Match Log'!$A$4:$A$1510&lt;=$J446)),'Match Log'!$N$4:$N$1510),NA()))</f>
        <v>#N/A</v>
      </c>
      <c r="L446" t="e">
        <f>IF($J446&gt;MAX('Match Log'!$A$4:$A$1510),NA(),IFERROR(LOOKUP(2,1/(('Match Log'!$D$4:$D$1510=$L$24)*('Match Log'!$A$4:$A$1510&lt;=$J446)),'Match Log'!$N$4:$N$1510),NA()))</f>
        <v>#N/A</v>
      </c>
      <c r="M446" t="e">
        <f>IF($J446&gt;MAX('Match Log'!$A$4:$A$1510),NA(),IFERROR(LOOKUP(2,1/(('Match Log'!$D$4:$D$1510=$M$24)*('Match Log'!$A$4:$A$1510&lt;=$J446)),'Match Log'!$N$4:$N$1510),NA()))</f>
        <v>#N/A</v>
      </c>
      <c r="N446" t="e">
        <f>IF($J446&gt;MAX('Match Log'!$A$4:$A$1510),NA(),IFERROR(LOOKUP(2,1/(('Match Log'!$D$4:$D$1510=$N$24)*('Match Log'!$A$4:$A$1510&lt;=$J446)),'Match Log'!$N$4:$N$1510),NA()))</f>
        <v>#N/A</v>
      </c>
      <c r="O446" t="e">
        <f>IF($J446&gt;MAX('Match Log'!$A$4:$A$1510),NA(),IFERROR(LOOKUP(2,1/(('Match Log'!$D$4:$D$1510=$O$24)*('Match Log'!$A$4:$A$1510&lt;=$J446)),'Match Log'!$N$4:$N$1510),NA()))</f>
        <v>#N/A</v>
      </c>
      <c r="P446" t="e">
        <f>IF($J446&gt;MAX('Match Log'!$A$4:$A$1510),NA(),IFERROR(LOOKUP(2,1/(('Match Log'!$D$4:$D$1510=$P$24)*('Match Log'!$A$4:$A$1510&lt;=$J446)),'Match Log'!$N$4:$N$1510),NA()))</f>
        <v>#N/A</v>
      </c>
      <c r="Q446" t="e">
        <f>IF($J446&gt;MAX('Match Log'!$A$4:$A$1510),NA(),IFERROR(LOOKUP(2,1/(('Match Log'!$D$4:$D$1510=$Q$24)*('Match Log'!$A$4:$A$1510&lt;=$J446)),'Match Log'!$N$4:$N$1510),NA()))</f>
        <v>#N/A</v>
      </c>
      <c r="R446" t="e">
        <f>IF($J446&gt;MAX('Match Log'!$A$4:$A$1510),NA(),IFERROR(LOOKUP(2,1/(('Match Log'!$D$4:$D$1510=$R$24)*('Match Log'!$A$4:$A$1510&lt;=$J446)),'Match Log'!$N$4:$N$1510),NA()))</f>
        <v>#N/A</v>
      </c>
      <c r="S446" t="e">
        <f>IF($J446&gt;MAX('Match Log'!$A$4:$A$1510),NA(),IFERROR(LOOKUP(2,1/(('Match Log'!$D$4:$D$1510=$S$24)*('Match Log'!$A$4:$A$1510&lt;=$J446)),'Match Log'!$N$4:$N$1510),NA()))</f>
        <v>#N/A</v>
      </c>
      <c r="T446" t="e">
        <f>IF($J446&gt;MAX('Match Log'!$A$4:$A$1510),NA(),IFERROR(LOOKUP(2,1/(('Match Log'!$D$4:$D$1510=$T$24)*('Match Log'!$A$4:$A$1510&lt;=$J446)),'Match Log'!$N$4:$N$1510),NA()))</f>
        <v>#N/A</v>
      </c>
      <c r="U446" t="e">
        <f>IF($J446&gt;MAX('Match Log'!$A$4:$A$1510),NA(),IFERROR(LOOKUP(2,1/(('Match Log'!$D$4:$D$1510=$U$24)*('Match Log'!$A$4:$A$1510&lt;=$J446)),'Match Log'!$N$4:$N$1510),NA()))</f>
        <v>#N/A</v>
      </c>
      <c r="V446" t="e">
        <f>IF($J446&gt;MAX('Match Log'!$A$4:$A$1510),NA(),IFERROR(LOOKUP(2,1/(('Match Log'!$D$4:$D$1510=$V$24)*('Match Log'!$A$4:$A$1510&lt;=$J446)),'Match Log'!$N$4:$N$1510),NA()))</f>
        <v>#N/A</v>
      </c>
      <c r="W446" t="e">
        <f>IF($J446&gt;MAX('Match Log'!$A$4:$A$1510),NA(),IFERROR(LOOKUP(2,1/(('Match Log'!$D$4:$D$1510=$W$24)*('Match Log'!$A$4:$A$1510&lt;=$J446)),'Match Log'!$N$4:$N$1510),NA()))</f>
        <v>#N/A</v>
      </c>
      <c r="X446" t="e">
        <f>IF($J446&gt;MAX('Match Log'!$A$4:$A$1510),NA(),IFERROR(LOOKUP(2,1/(('Match Log'!$D$4:$D$1510=$X$24)*('Match Log'!$A$4:$A$1510&lt;=$J446)),'Match Log'!$N$4:$N$1510),NA()))</f>
        <v>#N/A</v>
      </c>
      <c r="Y446" t="str">
        <f t="shared" ca="1" si="37"/>
        <v/>
      </c>
    </row>
    <row r="447" spans="1:25" x14ac:dyDescent="0.2">
      <c r="A447">
        <v>423</v>
      </c>
      <c r="B447" t="str">
        <f>IFERROR(INDEX('Match Log'!$B$4:$B$1510,MATCH($A447,'Match Log'!$A$4:$A$1510,0)),"")</f>
        <v/>
      </c>
      <c r="C447" t="str">
        <f>IFERROR(INDEX('Match Log'!$C$4:$C$1510,MATCH($A447,'Match Log'!$A$4:$A$1510,0)),"")</f>
        <v/>
      </c>
      <c r="D447" t="str">
        <f t="array" ref="D447">IFERROR(_xlfn.TEXTJOIN(" + ",TRUE(),IF(('Match Log'!$A$4:$A$1510=$A447)*('Match Log'!$E$4:$E$1510="Win"),'Match Log'!$D$4:$D$1510,"")),IFERROR(LOOKUP(2,1/(('Match Log'!$A$4:$A$1510=$A447)*('Match Log'!$E$4:$E$1510="Win")),'Match Log'!$D$4:$D$1510),""))</f>
        <v/>
      </c>
      <c r="E447" t="str">
        <f>IFERROR(INDEX('Match Log'!$F$4:$F$1510,MATCH($A447,'Match Log'!$A$4:$A$1510,0)),"")</f>
        <v/>
      </c>
      <c r="F447">
        <f>IFERROR(SUMIFS('Match Log'!$I$4:$I$1510,'Match Log'!$A$4:$A$1510,$A447,'Match Log'!$E$4:$E$1510,"Win"),"")</f>
        <v>0</v>
      </c>
      <c r="G447" t="str">
        <f t="shared" si="35"/>
        <v/>
      </c>
      <c r="H447" t="str">
        <f t="array" ref="H447">IFERROR(IF(COUNTIFS('Match Log'!$A$4:$A$1510,$A447,'Match Log'!$E$4:$E$1510,"Win")&gt;1,_xlfn.TEXTJOIN(" + ",TRUE(),IF(('Match Log'!$A$4:$A$1510=$A447)*('Match Log'!$E$4:$E$1510="Loss"),'Match Log'!$D$4:$D$1510,"")),IF($E447=2,LOOKUP(2,1/(('Match Log'!$A$4:$A$1510=$A447)*('Match Log'!$E$4:$E$1510="Loss")),'Match Log'!$D$4:$D$1510),"the field")),"")</f>
        <v>the field</v>
      </c>
      <c r="I447" t="str">
        <f t="shared" si="36"/>
        <v/>
      </c>
      <c r="J447">
        <v>423</v>
      </c>
      <c r="K447" t="e">
        <f>IF($J447&gt;MAX('Match Log'!$A$4:$A$1510),NA(),IFERROR(LOOKUP(2,1/(('Match Log'!$D$4:$D$1510=$K$24)*('Match Log'!$A$4:$A$1510&lt;=$J447)),'Match Log'!$N$4:$N$1510),NA()))</f>
        <v>#N/A</v>
      </c>
      <c r="L447" t="e">
        <f>IF($J447&gt;MAX('Match Log'!$A$4:$A$1510),NA(),IFERROR(LOOKUP(2,1/(('Match Log'!$D$4:$D$1510=$L$24)*('Match Log'!$A$4:$A$1510&lt;=$J447)),'Match Log'!$N$4:$N$1510),NA()))</f>
        <v>#N/A</v>
      </c>
      <c r="M447" t="e">
        <f>IF($J447&gt;MAX('Match Log'!$A$4:$A$1510),NA(),IFERROR(LOOKUP(2,1/(('Match Log'!$D$4:$D$1510=$M$24)*('Match Log'!$A$4:$A$1510&lt;=$J447)),'Match Log'!$N$4:$N$1510),NA()))</f>
        <v>#N/A</v>
      </c>
      <c r="N447" t="e">
        <f>IF($J447&gt;MAX('Match Log'!$A$4:$A$1510),NA(),IFERROR(LOOKUP(2,1/(('Match Log'!$D$4:$D$1510=$N$24)*('Match Log'!$A$4:$A$1510&lt;=$J447)),'Match Log'!$N$4:$N$1510),NA()))</f>
        <v>#N/A</v>
      </c>
      <c r="O447" t="e">
        <f>IF($J447&gt;MAX('Match Log'!$A$4:$A$1510),NA(),IFERROR(LOOKUP(2,1/(('Match Log'!$D$4:$D$1510=$O$24)*('Match Log'!$A$4:$A$1510&lt;=$J447)),'Match Log'!$N$4:$N$1510),NA()))</f>
        <v>#N/A</v>
      </c>
      <c r="P447" t="e">
        <f>IF($J447&gt;MAX('Match Log'!$A$4:$A$1510),NA(),IFERROR(LOOKUP(2,1/(('Match Log'!$D$4:$D$1510=$P$24)*('Match Log'!$A$4:$A$1510&lt;=$J447)),'Match Log'!$N$4:$N$1510),NA()))</f>
        <v>#N/A</v>
      </c>
      <c r="Q447" t="e">
        <f>IF($J447&gt;MAX('Match Log'!$A$4:$A$1510),NA(),IFERROR(LOOKUP(2,1/(('Match Log'!$D$4:$D$1510=$Q$24)*('Match Log'!$A$4:$A$1510&lt;=$J447)),'Match Log'!$N$4:$N$1510),NA()))</f>
        <v>#N/A</v>
      </c>
      <c r="R447" t="e">
        <f>IF($J447&gt;MAX('Match Log'!$A$4:$A$1510),NA(),IFERROR(LOOKUP(2,1/(('Match Log'!$D$4:$D$1510=$R$24)*('Match Log'!$A$4:$A$1510&lt;=$J447)),'Match Log'!$N$4:$N$1510),NA()))</f>
        <v>#N/A</v>
      </c>
      <c r="S447" t="e">
        <f>IF($J447&gt;MAX('Match Log'!$A$4:$A$1510),NA(),IFERROR(LOOKUP(2,1/(('Match Log'!$D$4:$D$1510=$S$24)*('Match Log'!$A$4:$A$1510&lt;=$J447)),'Match Log'!$N$4:$N$1510),NA()))</f>
        <v>#N/A</v>
      </c>
      <c r="T447" t="e">
        <f>IF($J447&gt;MAX('Match Log'!$A$4:$A$1510),NA(),IFERROR(LOOKUP(2,1/(('Match Log'!$D$4:$D$1510=$T$24)*('Match Log'!$A$4:$A$1510&lt;=$J447)),'Match Log'!$N$4:$N$1510),NA()))</f>
        <v>#N/A</v>
      </c>
      <c r="U447" t="e">
        <f>IF($J447&gt;MAX('Match Log'!$A$4:$A$1510),NA(),IFERROR(LOOKUP(2,1/(('Match Log'!$D$4:$D$1510=$U$24)*('Match Log'!$A$4:$A$1510&lt;=$J447)),'Match Log'!$N$4:$N$1510),NA()))</f>
        <v>#N/A</v>
      </c>
      <c r="V447" t="e">
        <f>IF($J447&gt;MAX('Match Log'!$A$4:$A$1510),NA(),IFERROR(LOOKUP(2,1/(('Match Log'!$D$4:$D$1510=$V$24)*('Match Log'!$A$4:$A$1510&lt;=$J447)),'Match Log'!$N$4:$N$1510),NA()))</f>
        <v>#N/A</v>
      </c>
      <c r="W447" t="e">
        <f>IF($J447&gt;MAX('Match Log'!$A$4:$A$1510),NA(),IFERROR(LOOKUP(2,1/(('Match Log'!$D$4:$D$1510=$W$24)*('Match Log'!$A$4:$A$1510&lt;=$J447)),'Match Log'!$N$4:$N$1510),NA()))</f>
        <v>#N/A</v>
      </c>
      <c r="X447" t="e">
        <f>IF($J447&gt;MAX('Match Log'!$A$4:$A$1510),NA(),IFERROR(LOOKUP(2,1/(('Match Log'!$D$4:$D$1510=$X$24)*('Match Log'!$A$4:$A$1510&lt;=$J447)),'Match Log'!$N$4:$N$1510),NA()))</f>
        <v>#N/A</v>
      </c>
      <c r="Y447" t="str">
        <f t="shared" ca="1" si="37"/>
        <v/>
      </c>
    </row>
    <row r="448" spans="1:25" x14ac:dyDescent="0.2">
      <c r="A448">
        <v>424</v>
      </c>
      <c r="B448" t="str">
        <f>IFERROR(INDEX('Match Log'!$B$4:$B$1510,MATCH($A448,'Match Log'!$A$4:$A$1510,0)),"")</f>
        <v/>
      </c>
      <c r="C448" t="str">
        <f>IFERROR(INDEX('Match Log'!$C$4:$C$1510,MATCH($A448,'Match Log'!$A$4:$A$1510,0)),"")</f>
        <v/>
      </c>
      <c r="D448" t="str">
        <f t="array" ref="D448">IFERROR(_xlfn.TEXTJOIN(" + ",TRUE(),IF(('Match Log'!$A$4:$A$1510=$A448)*('Match Log'!$E$4:$E$1510="Win"),'Match Log'!$D$4:$D$1510,"")),IFERROR(LOOKUP(2,1/(('Match Log'!$A$4:$A$1510=$A448)*('Match Log'!$E$4:$E$1510="Win")),'Match Log'!$D$4:$D$1510),""))</f>
        <v/>
      </c>
      <c r="E448" t="str">
        <f>IFERROR(INDEX('Match Log'!$F$4:$F$1510,MATCH($A448,'Match Log'!$A$4:$A$1510,0)),"")</f>
        <v/>
      </c>
      <c r="F448">
        <f>IFERROR(SUMIFS('Match Log'!$I$4:$I$1510,'Match Log'!$A$4:$A$1510,$A448,'Match Log'!$E$4:$E$1510,"Win"),"")</f>
        <v>0</v>
      </c>
      <c r="G448" t="str">
        <f t="shared" si="35"/>
        <v/>
      </c>
      <c r="H448" t="str">
        <f t="array" ref="H448">IFERROR(IF(COUNTIFS('Match Log'!$A$4:$A$1510,$A448,'Match Log'!$E$4:$E$1510,"Win")&gt;1,_xlfn.TEXTJOIN(" + ",TRUE(),IF(('Match Log'!$A$4:$A$1510=$A448)*('Match Log'!$E$4:$E$1510="Loss"),'Match Log'!$D$4:$D$1510,"")),IF($E448=2,LOOKUP(2,1/(('Match Log'!$A$4:$A$1510=$A448)*('Match Log'!$E$4:$E$1510="Loss")),'Match Log'!$D$4:$D$1510),"the field")),"")</f>
        <v>the field</v>
      </c>
      <c r="I448" t="str">
        <f t="shared" si="36"/>
        <v/>
      </c>
      <c r="J448">
        <v>424</v>
      </c>
      <c r="K448" t="e">
        <f>IF($J448&gt;MAX('Match Log'!$A$4:$A$1510),NA(),IFERROR(LOOKUP(2,1/(('Match Log'!$D$4:$D$1510=$K$24)*('Match Log'!$A$4:$A$1510&lt;=$J448)),'Match Log'!$N$4:$N$1510),NA()))</f>
        <v>#N/A</v>
      </c>
      <c r="L448" t="e">
        <f>IF($J448&gt;MAX('Match Log'!$A$4:$A$1510),NA(),IFERROR(LOOKUP(2,1/(('Match Log'!$D$4:$D$1510=$L$24)*('Match Log'!$A$4:$A$1510&lt;=$J448)),'Match Log'!$N$4:$N$1510),NA()))</f>
        <v>#N/A</v>
      </c>
      <c r="M448" t="e">
        <f>IF($J448&gt;MAX('Match Log'!$A$4:$A$1510),NA(),IFERROR(LOOKUP(2,1/(('Match Log'!$D$4:$D$1510=$M$24)*('Match Log'!$A$4:$A$1510&lt;=$J448)),'Match Log'!$N$4:$N$1510),NA()))</f>
        <v>#N/A</v>
      </c>
      <c r="N448" t="e">
        <f>IF($J448&gt;MAX('Match Log'!$A$4:$A$1510),NA(),IFERROR(LOOKUP(2,1/(('Match Log'!$D$4:$D$1510=$N$24)*('Match Log'!$A$4:$A$1510&lt;=$J448)),'Match Log'!$N$4:$N$1510),NA()))</f>
        <v>#N/A</v>
      </c>
      <c r="O448" t="e">
        <f>IF($J448&gt;MAX('Match Log'!$A$4:$A$1510),NA(),IFERROR(LOOKUP(2,1/(('Match Log'!$D$4:$D$1510=$O$24)*('Match Log'!$A$4:$A$1510&lt;=$J448)),'Match Log'!$N$4:$N$1510),NA()))</f>
        <v>#N/A</v>
      </c>
      <c r="P448" t="e">
        <f>IF($J448&gt;MAX('Match Log'!$A$4:$A$1510),NA(),IFERROR(LOOKUP(2,1/(('Match Log'!$D$4:$D$1510=$P$24)*('Match Log'!$A$4:$A$1510&lt;=$J448)),'Match Log'!$N$4:$N$1510),NA()))</f>
        <v>#N/A</v>
      </c>
      <c r="Q448" t="e">
        <f>IF($J448&gt;MAX('Match Log'!$A$4:$A$1510),NA(),IFERROR(LOOKUP(2,1/(('Match Log'!$D$4:$D$1510=$Q$24)*('Match Log'!$A$4:$A$1510&lt;=$J448)),'Match Log'!$N$4:$N$1510),NA()))</f>
        <v>#N/A</v>
      </c>
      <c r="R448" t="e">
        <f>IF($J448&gt;MAX('Match Log'!$A$4:$A$1510),NA(),IFERROR(LOOKUP(2,1/(('Match Log'!$D$4:$D$1510=$R$24)*('Match Log'!$A$4:$A$1510&lt;=$J448)),'Match Log'!$N$4:$N$1510),NA()))</f>
        <v>#N/A</v>
      </c>
      <c r="S448" t="e">
        <f>IF($J448&gt;MAX('Match Log'!$A$4:$A$1510),NA(),IFERROR(LOOKUP(2,1/(('Match Log'!$D$4:$D$1510=$S$24)*('Match Log'!$A$4:$A$1510&lt;=$J448)),'Match Log'!$N$4:$N$1510),NA()))</f>
        <v>#N/A</v>
      </c>
      <c r="T448" t="e">
        <f>IF($J448&gt;MAX('Match Log'!$A$4:$A$1510),NA(),IFERROR(LOOKUP(2,1/(('Match Log'!$D$4:$D$1510=$T$24)*('Match Log'!$A$4:$A$1510&lt;=$J448)),'Match Log'!$N$4:$N$1510),NA()))</f>
        <v>#N/A</v>
      </c>
      <c r="U448" t="e">
        <f>IF($J448&gt;MAX('Match Log'!$A$4:$A$1510),NA(),IFERROR(LOOKUP(2,1/(('Match Log'!$D$4:$D$1510=$U$24)*('Match Log'!$A$4:$A$1510&lt;=$J448)),'Match Log'!$N$4:$N$1510),NA()))</f>
        <v>#N/A</v>
      </c>
      <c r="V448" t="e">
        <f>IF($J448&gt;MAX('Match Log'!$A$4:$A$1510),NA(),IFERROR(LOOKUP(2,1/(('Match Log'!$D$4:$D$1510=$V$24)*('Match Log'!$A$4:$A$1510&lt;=$J448)),'Match Log'!$N$4:$N$1510),NA()))</f>
        <v>#N/A</v>
      </c>
      <c r="W448" t="e">
        <f>IF($J448&gt;MAX('Match Log'!$A$4:$A$1510),NA(),IFERROR(LOOKUP(2,1/(('Match Log'!$D$4:$D$1510=$W$24)*('Match Log'!$A$4:$A$1510&lt;=$J448)),'Match Log'!$N$4:$N$1510),NA()))</f>
        <v>#N/A</v>
      </c>
      <c r="X448" t="e">
        <f>IF($J448&gt;MAX('Match Log'!$A$4:$A$1510),NA(),IFERROR(LOOKUP(2,1/(('Match Log'!$D$4:$D$1510=$X$24)*('Match Log'!$A$4:$A$1510&lt;=$J448)),'Match Log'!$N$4:$N$1510),NA()))</f>
        <v>#N/A</v>
      </c>
      <c r="Y448" t="str">
        <f t="shared" ca="1" si="37"/>
        <v/>
      </c>
    </row>
    <row r="449" spans="1:25" x14ac:dyDescent="0.2">
      <c r="A449">
        <v>425</v>
      </c>
      <c r="B449" t="str">
        <f>IFERROR(INDEX('Match Log'!$B$4:$B$1510,MATCH($A449,'Match Log'!$A$4:$A$1510,0)),"")</f>
        <v/>
      </c>
      <c r="C449" t="str">
        <f>IFERROR(INDEX('Match Log'!$C$4:$C$1510,MATCH($A449,'Match Log'!$A$4:$A$1510,0)),"")</f>
        <v/>
      </c>
      <c r="D449" t="str">
        <f t="array" ref="D449">IFERROR(_xlfn.TEXTJOIN(" + ",TRUE(),IF(('Match Log'!$A$4:$A$1510=$A449)*('Match Log'!$E$4:$E$1510="Win"),'Match Log'!$D$4:$D$1510,"")),IFERROR(LOOKUP(2,1/(('Match Log'!$A$4:$A$1510=$A449)*('Match Log'!$E$4:$E$1510="Win")),'Match Log'!$D$4:$D$1510),""))</f>
        <v/>
      </c>
      <c r="E449" t="str">
        <f>IFERROR(INDEX('Match Log'!$F$4:$F$1510,MATCH($A449,'Match Log'!$A$4:$A$1510,0)),"")</f>
        <v/>
      </c>
      <c r="F449">
        <f>IFERROR(SUMIFS('Match Log'!$I$4:$I$1510,'Match Log'!$A$4:$A$1510,$A449,'Match Log'!$E$4:$E$1510,"Win"),"")</f>
        <v>0</v>
      </c>
      <c r="G449" t="str">
        <f t="shared" si="35"/>
        <v/>
      </c>
      <c r="H449" t="str">
        <f t="array" ref="H449">IFERROR(IF(COUNTIFS('Match Log'!$A$4:$A$1510,$A449,'Match Log'!$E$4:$E$1510,"Win")&gt;1,_xlfn.TEXTJOIN(" + ",TRUE(),IF(('Match Log'!$A$4:$A$1510=$A449)*('Match Log'!$E$4:$E$1510="Loss"),'Match Log'!$D$4:$D$1510,"")),IF($E449=2,LOOKUP(2,1/(('Match Log'!$A$4:$A$1510=$A449)*('Match Log'!$E$4:$E$1510="Loss")),'Match Log'!$D$4:$D$1510),"the field")),"")</f>
        <v>the field</v>
      </c>
      <c r="I449" t="str">
        <f t="shared" si="36"/>
        <v/>
      </c>
      <c r="J449">
        <v>425</v>
      </c>
      <c r="K449" t="e">
        <f>IF($J449&gt;MAX('Match Log'!$A$4:$A$1510),NA(),IFERROR(LOOKUP(2,1/(('Match Log'!$D$4:$D$1510=$K$24)*('Match Log'!$A$4:$A$1510&lt;=$J449)),'Match Log'!$N$4:$N$1510),NA()))</f>
        <v>#N/A</v>
      </c>
      <c r="L449" t="e">
        <f>IF($J449&gt;MAX('Match Log'!$A$4:$A$1510),NA(),IFERROR(LOOKUP(2,1/(('Match Log'!$D$4:$D$1510=$L$24)*('Match Log'!$A$4:$A$1510&lt;=$J449)),'Match Log'!$N$4:$N$1510),NA()))</f>
        <v>#N/A</v>
      </c>
      <c r="M449" t="e">
        <f>IF($J449&gt;MAX('Match Log'!$A$4:$A$1510),NA(),IFERROR(LOOKUP(2,1/(('Match Log'!$D$4:$D$1510=$M$24)*('Match Log'!$A$4:$A$1510&lt;=$J449)),'Match Log'!$N$4:$N$1510),NA()))</f>
        <v>#N/A</v>
      </c>
      <c r="N449" t="e">
        <f>IF($J449&gt;MAX('Match Log'!$A$4:$A$1510),NA(),IFERROR(LOOKUP(2,1/(('Match Log'!$D$4:$D$1510=$N$24)*('Match Log'!$A$4:$A$1510&lt;=$J449)),'Match Log'!$N$4:$N$1510),NA()))</f>
        <v>#N/A</v>
      </c>
      <c r="O449" t="e">
        <f>IF($J449&gt;MAX('Match Log'!$A$4:$A$1510),NA(),IFERROR(LOOKUP(2,1/(('Match Log'!$D$4:$D$1510=$O$24)*('Match Log'!$A$4:$A$1510&lt;=$J449)),'Match Log'!$N$4:$N$1510),NA()))</f>
        <v>#N/A</v>
      </c>
      <c r="P449" t="e">
        <f>IF($J449&gt;MAX('Match Log'!$A$4:$A$1510),NA(),IFERROR(LOOKUP(2,1/(('Match Log'!$D$4:$D$1510=$P$24)*('Match Log'!$A$4:$A$1510&lt;=$J449)),'Match Log'!$N$4:$N$1510),NA()))</f>
        <v>#N/A</v>
      </c>
      <c r="Q449" t="e">
        <f>IF($J449&gt;MAX('Match Log'!$A$4:$A$1510),NA(),IFERROR(LOOKUP(2,1/(('Match Log'!$D$4:$D$1510=$Q$24)*('Match Log'!$A$4:$A$1510&lt;=$J449)),'Match Log'!$N$4:$N$1510),NA()))</f>
        <v>#N/A</v>
      </c>
      <c r="R449" t="e">
        <f>IF($J449&gt;MAX('Match Log'!$A$4:$A$1510),NA(),IFERROR(LOOKUP(2,1/(('Match Log'!$D$4:$D$1510=$R$24)*('Match Log'!$A$4:$A$1510&lt;=$J449)),'Match Log'!$N$4:$N$1510),NA()))</f>
        <v>#N/A</v>
      </c>
      <c r="S449" t="e">
        <f>IF($J449&gt;MAX('Match Log'!$A$4:$A$1510),NA(),IFERROR(LOOKUP(2,1/(('Match Log'!$D$4:$D$1510=$S$24)*('Match Log'!$A$4:$A$1510&lt;=$J449)),'Match Log'!$N$4:$N$1510),NA()))</f>
        <v>#N/A</v>
      </c>
      <c r="T449" t="e">
        <f>IF($J449&gt;MAX('Match Log'!$A$4:$A$1510),NA(),IFERROR(LOOKUP(2,1/(('Match Log'!$D$4:$D$1510=$T$24)*('Match Log'!$A$4:$A$1510&lt;=$J449)),'Match Log'!$N$4:$N$1510),NA()))</f>
        <v>#N/A</v>
      </c>
      <c r="U449" t="e">
        <f>IF($J449&gt;MAX('Match Log'!$A$4:$A$1510),NA(),IFERROR(LOOKUP(2,1/(('Match Log'!$D$4:$D$1510=$U$24)*('Match Log'!$A$4:$A$1510&lt;=$J449)),'Match Log'!$N$4:$N$1510),NA()))</f>
        <v>#N/A</v>
      </c>
      <c r="V449" t="e">
        <f>IF($J449&gt;MAX('Match Log'!$A$4:$A$1510),NA(),IFERROR(LOOKUP(2,1/(('Match Log'!$D$4:$D$1510=$V$24)*('Match Log'!$A$4:$A$1510&lt;=$J449)),'Match Log'!$N$4:$N$1510),NA()))</f>
        <v>#N/A</v>
      </c>
      <c r="W449" t="e">
        <f>IF($J449&gt;MAX('Match Log'!$A$4:$A$1510),NA(),IFERROR(LOOKUP(2,1/(('Match Log'!$D$4:$D$1510=$W$24)*('Match Log'!$A$4:$A$1510&lt;=$J449)),'Match Log'!$N$4:$N$1510),NA()))</f>
        <v>#N/A</v>
      </c>
      <c r="X449" t="e">
        <f>IF($J449&gt;MAX('Match Log'!$A$4:$A$1510),NA(),IFERROR(LOOKUP(2,1/(('Match Log'!$D$4:$D$1510=$X$24)*('Match Log'!$A$4:$A$1510&lt;=$J449)),'Match Log'!$N$4:$N$1510),NA()))</f>
        <v>#N/A</v>
      </c>
      <c r="Y449" t="str">
        <f t="shared" ca="1" si="37"/>
        <v/>
      </c>
    </row>
    <row r="450" spans="1:25" x14ac:dyDescent="0.2">
      <c r="A450">
        <v>426</v>
      </c>
      <c r="B450" t="str">
        <f>IFERROR(INDEX('Match Log'!$B$4:$B$1510,MATCH($A450,'Match Log'!$A$4:$A$1510,0)),"")</f>
        <v/>
      </c>
      <c r="C450" t="str">
        <f>IFERROR(INDEX('Match Log'!$C$4:$C$1510,MATCH($A450,'Match Log'!$A$4:$A$1510,0)),"")</f>
        <v/>
      </c>
      <c r="D450" t="str">
        <f t="array" ref="D450">IFERROR(_xlfn.TEXTJOIN(" + ",TRUE(),IF(('Match Log'!$A$4:$A$1510=$A450)*('Match Log'!$E$4:$E$1510="Win"),'Match Log'!$D$4:$D$1510,"")),IFERROR(LOOKUP(2,1/(('Match Log'!$A$4:$A$1510=$A450)*('Match Log'!$E$4:$E$1510="Win")),'Match Log'!$D$4:$D$1510),""))</f>
        <v/>
      </c>
      <c r="E450" t="str">
        <f>IFERROR(INDEX('Match Log'!$F$4:$F$1510,MATCH($A450,'Match Log'!$A$4:$A$1510,0)),"")</f>
        <v/>
      </c>
      <c r="F450">
        <f>IFERROR(SUMIFS('Match Log'!$I$4:$I$1510,'Match Log'!$A$4:$A$1510,$A450,'Match Log'!$E$4:$E$1510,"Win"),"")</f>
        <v>0</v>
      </c>
      <c r="G450" t="str">
        <f t="shared" si="35"/>
        <v/>
      </c>
      <c r="H450" t="str">
        <f t="array" ref="H450">IFERROR(IF(COUNTIFS('Match Log'!$A$4:$A$1510,$A450,'Match Log'!$E$4:$E$1510,"Win")&gt;1,_xlfn.TEXTJOIN(" + ",TRUE(),IF(('Match Log'!$A$4:$A$1510=$A450)*('Match Log'!$E$4:$E$1510="Loss"),'Match Log'!$D$4:$D$1510,"")),IF($E450=2,LOOKUP(2,1/(('Match Log'!$A$4:$A$1510=$A450)*('Match Log'!$E$4:$E$1510="Loss")),'Match Log'!$D$4:$D$1510),"the field")),"")</f>
        <v>the field</v>
      </c>
      <c r="I450" t="str">
        <f t="shared" si="36"/>
        <v/>
      </c>
      <c r="J450">
        <v>426</v>
      </c>
      <c r="K450" t="e">
        <f>IF($J450&gt;MAX('Match Log'!$A$4:$A$1510),NA(),IFERROR(LOOKUP(2,1/(('Match Log'!$D$4:$D$1510=$K$24)*('Match Log'!$A$4:$A$1510&lt;=$J450)),'Match Log'!$N$4:$N$1510),NA()))</f>
        <v>#N/A</v>
      </c>
      <c r="L450" t="e">
        <f>IF($J450&gt;MAX('Match Log'!$A$4:$A$1510),NA(),IFERROR(LOOKUP(2,1/(('Match Log'!$D$4:$D$1510=$L$24)*('Match Log'!$A$4:$A$1510&lt;=$J450)),'Match Log'!$N$4:$N$1510),NA()))</f>
        <v>#N/A</v>
      </c>
      <c r="M450" t="e">
        <f>IF($J450&gt;MAX('Match Log'!$A$4:$A$1510),NA(),IFERROR(LOOKUP(2,1/(('Match Log'!$D$4:$D$1510=$M$24)*('Match Log'!$A$4:$A$1510&lt;=$J450)),'Match Log'!$N$4:$N$1510),NA()))</f>
        <v>#N/A</v>
      </c>
      <c r="N450" t="e">
        <f>IF($J450&gt;MAX('Match Log'!$A$4:$A$1510),NA(),IFERROR(LOOKUP(2,1/(('Match Log'!$D$4:$D$1510=$N$24)*('Match Log'!$A$4:$A$1510&lt;=$J450)),'Match Log'!$N$4:$N$1510),NA()))</f>
        <v>#N/A</v>
      </c>
      <c r="O450" t="e">
        <f>IF($J450&gt;MAX('Match Log'!$A$4:$A$1510),NA(),IFERROR(LOOKUP(2,1/(('Match Log'!$D$4:$D$1510=$O$24)*('Match Log'!$A$4:$A$1510&lt;=$J450)),'Match Log'!$N$4:$N$1510),NA()))</f>
        <v>#N/A</v>
      </c>
      <c r="P450" t="e">
        <f>IF($J450&gt;MAX('Match Log'!$A$4:$A$1510),NA(),IFERROR(LOOKUP(2,1/(('Match Log'!$D$4:$D$1510=$P$24)*('Match Log'!$A$4:$A$1510&lt;=$J450)),'Match Log'!$N$4:$N$1510),NA()))</f>
        <v>#N/A</v>
      </c>
      <c r="Q450" t="e">
        <f>IF($J450&gt;MAX('Match Log'!$A$4:$A$1510),NA(),IFERROR(LOOKUP(2,1/(('Match Log'!$D$4:$D$1510=$Q$24)*('Match Log'!$A$4:$A$1510&lt;=$J450)),'Match Log'!$N$4:$N$1510),NA()))</f>
        <v>#N/A</v>
      </c>
      <c r="R450" t="e">
        <f>IF($J450&gt;MAX('Match Log'!$A$4:$A$1510),NA(),IFERROR(LOOKUP(2,1/(('Match Log'!$D$4:$D$1510=$R$24)*('Match Log'!$A$4:$A$1510&lt;=$J450)),'Match Log'!$N$4:$N$1510),NA()))</f>
        <v>#N/A</v>
      </c>
      <c r="S450" t="e">
        <f>IF($J450&gt;MAX('Match Log'!$A$4:$A$1510),NA(),IFERROR(LOOKUP(2,1/(('Match Log'!$D$4:$D$1510=$S$24)*('Match Log'!$A$4:$A$1510&lt;=$J450)),'Match Log'!$N$4:$N$1510),NA()))</f>
        <v>#N/A</v>
      </c>
      <c r="T450" t="e">
        <f>IF($J450&gt;MAX('Match Log'!$A$4:$A$1510),NA(),IFERROR(LOOKUP(2,1/(('Match Log'!$D$4:$D$1510=$T$24)*('Match Log'!$A$4:$A$1510&lt;=$J450)),'Match Log'!$N$4:$N$1510),NA()))</f>
        <v>#N/A</v>
      </c>
      <c r="U450" t="e">
        <f>IF($J450&gt;MAX('Match Log'!$A$4:$A$1510),NA(),IFERROR(LOOKUP(2,1/(('Match Log'!$D$4:$D$1510=$U$24)*('Match Log'!$A$4:$A$1510&lt;=$J450)),'Match Log'!$N$4:$N$1510),NA()))</f>
        <v>#N/A</v>
      </c>
      <c r="V450" t="e">
        <f>IF($J450&gt;MAX('Match Log'!$A$4:$A$1510),NA(),IFERROR(LOOKUP(2,1/(('Match Log'!$D$4:$D$1510=$V$24)*('Match Log'!$A$4:$A$1510&lt;=$J450)),'Match Log'!$N$4:$N$1510),NA()))</f>
        <v>#N/A</v>
      </c>
      <c r="W450" t="e">
        <f>IF($J450&gt;MAX('Match Log'!$A$4:$A$1510),NA(),IFERROR(LOOKUP(2,1/(('Match Log'!$D$4:$D$1510=$W$24)*('Match Log'!$A$4:$A$1510&lt;=$J450)),'Match Log'!$N$4:$N$1510),NA()))</f>
        <v>#N/A</v>
      </c>
      <c r="X450" t="e">
        <f>IF($J450&gt;MAX('Match Log'!$A$4:$A$1510),NA(),IFERROR(LOOKUP(2,1/(('Match Log'!$D$4:$D$1510=$X$24)*('Match Log'!$A$4:$A$1510&lt;=$J450)),'Match Log'!$N$4:$N$1510),NA()))</f>
        <v>#N/A</v>
      </c>
      <c r="Y450" t="str">
        <f t="shared" ca="1" si="37"/>
        <v/>
      </c>
    </row>
    <row r="451" spans="1:25" x14ac:dyDescent="0.2">
      <c r="A451">
        <v>427</v>
      </c>
      <c r="B451" t="str">
        <f>IFERROR(INDEX('Match Log'!$B$4:$B$1510,MATCH($A451,'Match Log'!$A$4:$A$1510,0)),"")</f>
        <v/>
      </c>
      <c r="C451" t="str">
        <f>IFERROR(INDEX('Match Log'!$C$4:$C$1510,MATCH($A451,'Match Log'!$A$4:$A$1510,0)),"")</f>
        <v/>
      </c>
      <c r="D451" t="str">
        <f t="array" ref="D451">IFERROR(_xlfn.TEXTJOIN(" + ",TRUE(),IF(('Match Log'!$A$4:$A$1510=$A451)*('Match Log'!$E$4:$E$1510="Win"),'Match Log'!$D$4:$D$1510,"")),IFERROR(LOOKUP(2,1/(('Match Log'!$A$4:$A$1510=$A451)*('Match Log'!$E$4:$E$1510="Win")),'Match Log'!$D$4:$D$1510),""))</f>
        <v/>
      </c>
      <c r="E451" t="str">
        <f>IFERROR(INDEX('Match Log'!$F$4:$F$1510,MATCH($A451,'Match Log'!$A$4:$A$1510,0)),"")</f>
        <v/>
      </c>
      <c r="F451">
        <f>IFERROR(SUMIFS('Match Log'!$I$4:$I$1510,'Match Log'!$A$4:$A$1510,$A451,'Match Log'!$E$4:$E$1510,"Win"),"")</f>
        <v>0</v>
      </c>
      <c r="G451" t="str">
        <f t="shared" si="35"/>
        <v/>
      </c>
      <c r="H451" t="str">
        <f t="array" ref="H451">IFERROR(IF(COUNTIFS('Match Log'!$A$4:$A$1510,$A451,'Match Log'!$E$4:$E$1510,"Win")&gt;1,_xlfn.TEXTJOIN(" + ",TRUE(),IF(('Match Log'!$A$4:$A$1510=$A451)*('Match Log'!$E$4:$E$1510="Loss"),'Match Log'!$D$4:$D$1510,"")),IF($E451=2,LOOKUP(2,1/(('Match Log'!$A$4:$A$1510=$A451)*('Match Log'!$E$4:$E$1510="Loss")),'Match Log'!$D$4:$D$1510),"the field")),"")</f>
        <v>the field</v>
      </c>
      <c r="I451" t="str">
        <f t="shared" si="36"/>
        <v/>
      </c>
      <c r="J451">
        <v>427</v>
      </c>
      <c r="K451" t="e">
        <f>IF($J451&gt;MAX('Match Log'!$A$4:$A$1510),NA(),IFERROR(LOOKUP(2,1/(('Match Log'!$D$4:$D$1510=$K$24)*('Match Log'!$A$4:$A$1510&lt;=$J451)),'Match Log'!$N$4:$N$1510),NA()))</f>
        <v>#N/A</v>
      </c>
      <c r="L451" t="e">
        <f>IF($J451&gt;MAX('Match Log'!$A$4:$A$1510),NA(),IFERROR(LOOKUP(2,1/(('Match Log'!$D$4:$D$1510=$L$24)*('Match Log'!$A$4:$A$1510&lt;=$J451)),'Match Log'!$N$4:$N$1510),NA()))</f>
        <v>#N/A</v>
      </c>
      <c r="M451" t="e">
        <f>IF($J451&gt;MAX('Match Log'!$A$4:$A$1510),NA(),IFERROR(LOOKUP(2,1/(('Match Log'!$D$4:$D$1510=$M$24)*('Match Log'!$A$4:$A$1510&lt;=$J451)),'Match Log'!$N$4:$N$1510),NA()))</f>
        <v>#N/A</v>
      </c>
      <c r="N451" t="e">
        <f>IF($J451&gt;MAX('Match Log'!$A$4:$A$1510),NA(),IFERROR(LOOKUP(2,1/(('Match Log'!$D$4:$D$1510=$N$24)*('Match Log'!$A$4:$A$1510&lt;=$J451)),'Match Log'!$N$4:$N$1510),NA()))</f>
        <v>#N/A</v>
      </c>
      <c r="O451" t="e">
        <f>IF($J451&gt;MAX('Match Log'!$A$4:$A$1510),NA(),IFERROR(LOOKUP(2,1/(('Match Log'!$D$4:$D$1510=$O$24)*('Match Log'!$A$4:$A$1510&lt;=$J451)),'Match Log'!$N$4:$N$1510),NA()))</f>
        <v>#N/A</v>
      </c>
      <c r="P451" t="e">
        <f>IF($J451&gt;MAX('Match Log'!$A$4:$A$1510),NA(),IFERROR(LOOKUP(2,1/(('Match Log'!$D$4:$D$1510=$P$24)*('Match Log'!$A$4:$A$1510&lt;=$J451)),'Match Log'!$N$4:$N$1510),NA()))</f>
        <v>#N/A</v>
      </c>
      <c r="Q451" t="e">
        <f>IF($J451&gt;MAX('Match Log'!$A$4:$A$1510),NA(),IFERROR(LOOKUP(2,1/(('Match Log'!$D$4:$D$1510=$Q$24)*('Match Log'!$A$4:$A$1510&lt;=$J451)),'Match Log'!$N$4:$N$1510),NA()))</f>
        <v>#N/A</v>
      </c>
      <c r="R451" t="e">
        <f>IF($J451&gt;MAX('Match Log'!$A$4:$A$1510),NA(),IFERROR(LOOKUP(2,1/(('Match Log'!$D$4:$D$1510=$R$24)*('Match Log'!$A$4:$A$1510&lt;=$J451)),'Match Log'!$N$4:$N$1510),NA()))</f>
        <v>#N/A</v>
      </c>
      <c r="S451" t="e">
        <f>IF($J451&gt;MAX('Match Log'!$A$4:$A$1510),NA(),IFERROR(LOOKUP(2,1/(('Match Log'!$D$4:$D$1510=$S$24)*('Match Log'!$A$4:$A$1510&lt;=$J451)),'Match Log'!$N$4:$N$1510),NA()))</f>
        <v>#N/A</v>
      </c>
      <c r="T451" t="e">
        <f>IF($J451&gt;MAX('Match Log'!$A$4:$A$1510),NA(),IFERROR(LOOKUP(2,1/(('Match Log'!$D$4:$D$1510=$T$24)*('Match Log'!$A$4:$A$1510&lt;=$J451)),'Match Log'!$N$4:$N$1510),NA()))</f>
        <v>#N/A</v>
      </c>
      <c r="U451" t="e">
        <f>IF($J451&gt;MAX('Match Log'!$A$4:$A$1510),NA(),IFERROR(LOOKUP(2,1/(('Match Log'!$D$4:$D$1510=$U$24)*('Match Log'!$A$4:$A$1510&lt;=$J451)),'Match Log'!$N$4:$N$1510),NA()))</f>
        <v>#N/A</v>
      </c>
      <c r="V451" t="e">
        <f>IF($J451&gt;MAX('Match Log'!$A$4:$A$1510),NA(),IFERROR(LOOKUP(2,1/(('Match Log'!$D$4:$D$1510=$V$24)*('Match Log'!$A$4:$A$1510&lt;=$J451)),'Match Log'!$N$4:$N$1510),NA()))</f>
        <v>#N/A</v>
      </c>
      <c r="W451" t="e">
        <f>IF($J451&gt;MAX('Match Log'!$A$4:$A$1510),NA(),IFERROR(LOOKUP(2,1/(('Match Log'!$D$4:$D$1510=$W$24)*('Match Log'!$A$4:$A$1510&lt;=$J451)),'Match Log'!$N$4:$N$1510),NA()))</f>
        <v>#N/A</v>
      </c>
      <c r="X451" t="e">
        <f>IF($J451&gt;MAX('Match Log'!$A$4:$A$1510),NA(),IFERROR(LOOKUP(2,1/(('Match Log'!$D$4:$D$1510=$X$24)*('Match Log'!$A$4:$A$1510&lt;=$J451)),'Match Log'!$N$4:$N$1510),NA()))</f>
        <v>#N/A</v>
      </c>
      <c r="Y451" t="str">
        <f t="shared" ca="1" si="37"/>
        <v/>
      </c>
    </row>
    <row r="452" spans="1:25" x14ac:dyDescent="0.2">
      <c r="A452">
        <v>428</v>
      </c>
      <c r="B452" t="str">
        <f>IFERROR(INDEX('Match Log'!$B$4:$B$1510,MATCH($A452,'Match Log'!$A$4:$A$1510,0)),"")</f>
        <v/>
      </c>
      <c r="C452" t="str">
        <f>IFERROR(INDEX('Match Log'!$C$4:$C$1510,MATCH($A452,'Match Log'!$A$4:$A$1510,0)),"")</f>
        <v/>
      </c>
      <c r="D452" t="str">
        <f t="array" ref="D452">IFERROR(_xlfn.TEXTJOIN(" + ",TRUE(),IF(('Match Log'!$A$4:$A$1510=$A452)*('Match Log'!$E$4:$E$1510="Win"),'Match Log'!$D$4:$D$1510,"")),IFERROR(LOOKUP(2,1/(('Match Log'!$A$4:$A$1510=$A452)*('Match Log'!$E$4:$E$1510="Win")),'Match Log'!$D$4:$D$1510),""))</f>
        <v/>
      </c>
      <c r="E452" t="str">
        <f>IFERROR(INDEX('Match Log'!$F$4:$F$1510,MATCH($A452,'Match Log'!$A$4:$A$1510,0)),"")</f>
        <v/>
      </c>
      <c r="F452">
        <f>IFERROR(SUMIFS('Match Log'!$I$4:$I$1510,'Match Log'!$A$4:$A$1510,$A452,'Match Log'!$E$4:$E$1510,"Win"),"")</f>
        <v>0</v>
      </c>
      <c r="G452" t="str">
        <f t="shared" si="35"/>
        <v/>
      </c>
      <c r="H452" t="str">
        <f t="array" ref="H452">IFERROR(IF(COUNTIFS('Match Log'!$A$4:$A$1510,$A452,'Match Log'!$E$4:$E$1510,"Win")&gt;1,_xlfn.TEXTJOIN(" + ",TRUE(),IF(('Match Log'!$A$4:$A$1510=$A452)*('Match Log'!$E$4:$E$1510="Loss"),'Match Log'!$D$4:$D$1510,"")),IF($E452=2,LOOKUP(2,1/(('Match Log'!$A$4:$A$1510=$A452)*('Match Log'!$E$4:$E$1510="Loss")),'Match Log'!$D$4:$D$1510),"the field")),"")</f>
        <v>the field</v>
      </c>
      <c r="I452" t="str">
        <f t="shared" si="36"/>
        <v/>
      </c>
      <c r="J452">
        <v>428</v>
      </c>
      <c r="K452" t="e">
        <f>IF($J452&gt;MAX('Match Log'!$A$4:$A$1510),NA(),IFERROR(LOOKUP(2,1/(('Match Log'!$D$4:$D$1510=$K$24)*('Match Log'!$A$4:$A$1510&lt;=$J452)),'Match Log'!$N$4:$N$1510),NA()))</f>
        <v>#N/A</v>
      </c>
      <c r="L452" t="e">
        <f>IF($J452&gt;MAX('Match Log'!$A$4:$A$1510),NA(),IFERROR(LOOKUP(2,1/(('Match Log'!$D$4:$D$1510=$L$24)*('Match Log'!$A$4:$A$1510&lt;=$J452)),'Match Log'!$N$4:$N$1510),NA()))</f>
        <v>#N/A</v>
      </c>
      <c r="M452" t="e">
        <f>IF($J452&gt;MAX('Match Log'!$A$4:$A$1510),NA(),IFERROR(LOOKUP(2,1/(('Match Log'!$D$4:$D$1510=$M$24)*('Match Log'!$A$4:$A$1510&lt;=$J452)),'Match Log'!$N$4:$N$1510),NA()))</f>
        <v>#N/A</v>
      </c>
      <c r="N452" t="e">
        <f>IF($J452&gt;MAX('Match Log'!$A$4:$A$1510),NA(),IFERROR(LOOKUP(2,1/(('Match Log'!$D$4:$D$1510=$N$24)*('Match Log'!$A$4:$A$1510&lt;=$J452)),'Match Log'!$N$4:$N$1510),NA()))</f>
        <v>#N/A</v>
      </c>
      <c r="O452" t="e">
        <f>IF($J452&gt;MAX('Match Log'!$A$4:$A$1510),NA(),IFERROR(LOOKUP(2,1/(('Match Log'!$D$4:$D$1510=$O$24)*('Match Log'!$A$4:$A$1510&lt;=$J452)),'Match Log'!$N$4:$N$1510),NA()))</f>
        <v>#N/A</v>
      </c>
      <c r="P452" t="e">
        <f>IF($J452&gt;MAX('Match Log'!$A$4:$A$1510),NA(),IFERROR(LOOKUP(2,1/(('Match Log'!$D$4:$D$1510=$P$24)*('Match Log'!$A$4:$A$1510&lt;=$J452)),'Match Log'!$N$4:$N$1510),NA()))</f>
        <v>#N/A</v>
      </c>
      <c r="Q452" t="e">
        <f>IF($J452&gt;MAX('Match Log'!$A$4:$A$1510),NA(),IFERROR(LOOKUP(2,1/(('Match Log'!$D$4:$D$1510=$Q$24)*('Match Log'!$A$4:$A$1510&lt;=$J452)),'Match Log'!$N$4:$N$1510),NA()))</f>
        <v>#N/A</v>
      </c>
      <c r="R452" t="e">
        <f>IF($J452&gt;MAX('Match Log'!$A$4:$A$1510),NA(),IFERROR(LOOKUP(2,1/(('Match Log'!$D$4:$D$1510=$R$24)*('Match Log'!$A$4:$A$1510&lt;=$J452)),'Match Log'!$N$4:$N$1510),NA()))</f>
        <v>#N/A</v>
      </c>
      <c r="S452" t="e">
        <f>IF($J452&gt;MAX('Match Log'!$A$4:$A$1510),NA(),IFERROR(LOOKUP(2,1/(('Match Log'!$D$4:$D$1510=$S$24)*('Match Log'!$A$4:$A$1510&lt;=$J452)),'Match Log'!$N$4:$N$1510),NA()))</f>
        <v>#N/A</v>
      </c>
      <c r="T452" t="e">
        <f>IF($J452&gt;MAX('Match Log'!$A$4:$A$1510),NA(),IFERROR(LOOKUP(2,1/(('Match Log'!$D$4:$D$1510=$T$24)*('Match Log'!$A$4:$A$1510&lt;=$J452)),'Match Log'!$N$4:$N$1510),NA()))</f>
        <v>#N/A</v>
      </c>
      <c r="U452" t="e">
        <f>IF($J452&gt;MAX('Match Log'!$A$4:$A$1510),NA(),IFERROR(LOOKUP(2,1/(('Match Log'!$D$4:$D$1510=$U$24)*('Match Log'!$A$4:$A$1510&lt;=$J452)),'Match Log'!$N$4:$N$1510),NA()))</f>
        <v>#N/A</v>
      </c>
      <c r="V452" t="e">
        <f>IF($J452&gt;MAX('Match Log'!$A$4:$A$1510),NA(),IFERROR(LOOKUP(2,1/(('Match Log'!$D$4:$D$1510=$V$24)*('Match Log'!$A$4:$A$1510&lt;=$J452)),'Match Log'!$N$4:$N$1510),NA()))</f>
        <v>#N/A</v>
      </c>
      <c r="W452" t="e">
        <f>IF($J452&gt;MAX('Match Log'!$A$4:$A$1510),NA(),IFERROR(LOOKUP(2,1/(('Match Log'!$D$4:$D$1510=$W$24)*('Match Log'!$A$4:$A$1510&lt;=$J452)),'Match Log'!$N$4:$N$1510),NA()))</f>
        <v>#N/A</v>
      </c>
      <c r="X452" t="e">
        <f>IF($J452&gt;MAX('Match Log'!$A$4:$A$1510),NA(),IFERROR(LOOKUP(2,1/(('Match Log'!$D$4:$D$1510=$X$24)*('Match Log'!$A$4:$A$1510&lt;=$J452)),'Match Log'!$N$4:$N$1510),NA()))</f>
        <v>#N/A</v>
      </c>
      <c r="Y452" t="str">
        <f t="shared" ca="1" si="37"/>
        <v/>
      </c>
    </row>
    <row r="453" spans="1:25" x14ac:dyDescent="0.2">
      <c r="A453">
        <v>429</v>
      </c>
      <c r="B453" t="str">
        <f>IFERROR(INDEX('Match Log'!$B$4:$B$1510,MATCH($A453,'Match Log'!$A$4:$A$1510,0)),"")</f>
        <v/>
      </c>
      <c r="C453" t="str">
        <f>IFERROR(INDEX('Match Log'!$C$4:$C$1510,MATCH($A453,'Match Log'!$A$4:$A$1510,0)),"")</f>
        <v/>
      </c>
      <c r="D453" t="str">
        <f t="array" ref="D453">IFERROR(_xlfn.TEXTJOIN(" + ",TRUE(),IF(('Match Log'!$A$4:$A$1510=$A453)*('Match Log'!$E$4:$E$1510="Win"),'Match Log'!$D$4:$D$1510,"")),IFERROR(LOOKUP(2,1/(('Match Log'!$A$4:$A$1510=$A453)*('Match Log'!$E$4:$E$1510="Win")),'Match Log'!$D$4:$D$1510),""))</f>
        <v/>
      </c>
      <c r="E453" t="str">
        <f>IFERROR(INDEX('Match Log'!$F$4:$F$1510,MATCH($A453,'Match Log'!$A$4:$A$1510,0)),"")</f>
        <v/>
      </c>
      <c r="F453">
        <f>IFERROR(SUMIFS('Match Log'!$I$4:$I$1510,'Match Log'!$A$4:$A$1510,$A453,'Match Log'!$E$4:$E$1510,"Win"),"")</f>
        <v>0</v>
      </c>
      <c r="G453" t="str">
        <f t="shared" si="35"/>
        <v/>
      </c>
      <c r="H453" t="str">
        <f t="array" ref="H453">IFERROR(IF(COUNTIFS('Match Log'!$A$4:$A$1510,$A453,'Match Log'!$E$4:$E$1510,"Win")&gt;1,_xlfn.TEXTJOIN(" + ",TRUE(),IF(('Match Log'!$A$4:$A$1510=$A453)*('Match Log'!$E$4:$E$1510="Loss"),'Match Log'!$D$4:$D$1510,"")),IF($E453=2,LOOKUP(2,1/(('Match Log'!$A$4:$A$1510=$A453)*('Match Log'!$E$4:$E$1510="Loss")),'Match Log'!$D$4:$D$1510),"the field")),"")</f>
        <v>the field</v>
      </c>
      <c r="I453" t="str">
        <f t="shared" si="36"/>
        <v/>
      </c>
      <c r="J453">
        <v>429</v>
      </c>
      <c r="K453" t="e">
        <f>IF($J453&gt;MAX('Match Log'!$A$4:$A$1510),NA(),IFERROR(LOOKUP(2,1/(('Match Log'!$D$4:$D$1510=$K$24)*('Match Log'!$A$4:$A$1510&lt;=$J453)),'Match Log'!$N$4:$N$1510),NA()))</f>
        <v>#N/A</v>
      </c>
      <c r="L453" t="e">
        <f>IF($J453&gt;MAX('Match Log'!$A$4:$A$1510),NA(),IFERROR(LOOKUP(2,1/(('Match Log'!$D$4:$D$1510=$L$24)*('Match Log'!$A$4:$A$1510&lt;=$J453)),'Match Log'!$N$4:$N$1510),NA()))</f>
        <v>#N/A</v>
      </c>
      <c r="M453" t="e">
        <f>IF($J453&gt;MAX('Match Log'!$A$4:$A$1510),NA(),IFERROR(LOOKUP(2,1/(('Match Log'!$D$4:$D$1510=$M$24)*('Match Log'!$A$4:$A$1510&lt;=$J453)),'Match Log'!$N$4:$N$1510),NA()))</f>
        <v>#N/A</v>
      </c>
      <c r="N453" t="e">
        <f>IF($J453&gt;MAX('Match Log'!$A$4:$A$1510),NA(),IFERROR(LOOKUP(2,1/(('Match Log'!$D$4:$D$1510=$N$24)*('Match Log'!$A$4:$A$1510&lt;=$J453)),'Match Log'!$N$4:$N$1510),NA()))</f>
        <v>#N/A</v>
      </c>
      <c r="O453" t="e">
        <f>IF($J453&gt;MAX('Match Log'!$A$4:$A$1510),NA(),IFERROR(LOOKUP(2,1/(('Match Log'!$D$4:$D$1510=$O$24)*('Match Log'!$A$4:$A$1510&lt;=$J453)),'Match Log'!$N$4:$N$1510),NA()))</f>
        <v>#N/A</v>
      </c>
      <c r="P453" t="e">
        <f>IF($J453&gt;MAX('Match Log'!$A$4:$A$1510),NA(),IFERROR(LOOKUP(2,1/(('Match Log'!$D$4:$D$1510=$P$24)*('Match Log'!$A$4:$A$1510&lt;=$J453)),'Match Log'!$N$4:$N$1510),NA()))</f>
        <v>#N/A</v>
      </c>
      <c r="Q453" t="e">
        <f>IF($J453&gt;MAX('Match Log'!$A$4:$A$1510),NA(),IFERROR(LOOKUP(2,1/(('Match Log'!$D$4:$D$1510=$Q$24)*('Match Log'!$A$4:$A$1510&lt;=$J453)),'Match Log'!$N$4:$N$1510),NA()))</f>
        <v>#N/A</v>
      </c>
      <c r="R453" t="e">
        <f>IF($J453&gt;MAX('Match Log'!$A$4:$A$1510),NA(),IFERROR(LOOKUP(2,1/(('Match Log'!$D$4:$D$1510=$R$24)*('Match Log'!$A$4:$A$1510&lt;=$J453)),'Match Log'!$N$4:$N$1510),NA()))</f>
        <v>#N/A</v>
      </c>
      <c r="S453" t="e">
        <f>IF($J453&gt;MAX('Match Log'!$A$4:$A$1510),NA(),IFERROR(LOOKUP(2,1/(('Match Log'!$D$4:$D$1510=$S$24)*('Match Log'!$A$4:$A$1510&lt;=$J453)),'Match Log'!$N$4:$N$1510),NA()))</f>
        <v>#N/A</v>
      </c>
      <c r="T453" t="e">
        <f>IF($J453&gt;MAX('Match Log'!$A$4:$A$1510),NA(),IFERROR(LOOKUP(2,1/(('Match Log'!$D$4:$D$1510=$T$24)*('Match Log'!$A$4:$A$1510&lt;=$J453)),'Match Log'!$N$4:$N$1510),NA()))</f>
        <v>#N/A</v>
      </c>
      <c r="U453" t="e">
        <f>IF($J453&gt;MAX('Match Log'!$A$4:$A$1510),NA(),IFERROR(LOOKUP(2,1/(('Match Log'!$D$4:$D$1510=$U$24)*('Match Log'!$A$4:$A$1510&lt;=$J453)),'Match Log'!$N$4:$N$1510),NA()))</f>
        <v>#N/A</v>
      </c>
      <c r="V453" t="e">
        <f>IF($J453&gt;MAX('Match Log'!$A$4:$A$1510),NA(),IFERROR(LOOKUP(2,1/(('Match Log'!$D$4:$D$1510=$V$24)*('Match Log'!$A$4:$A$1510&lt;=$J453)),'Match Log'!$N$4:$N$1510),NA()))</f>
        <v>#N/A</v>
      </c>
      <c r="W453" t="e">
        <f>IF($J453&gt;MAX('Match Log'!$A$4:$A$1510),NA(),IFERROR(LOOKUP(2,1/(('Match Log'!$D$4:$D$1510=$W$24)*('Match Log'!$A$4:$A$1510&lt;=$J453)),'Match Log'!$N$4:$N$1510),NA()))</f>
        <v>#N/A</v>
      </c>
      <c r="X453" t="e">
        <f>IF($J453&gt;MAX('Match Log'!$A$4:$A$1510),NA(),IFERROR(LOOKUP(2,1/(('Match Log'!$D$4:$D$1510=$X$24)*('Match Log'!$A$4:$A$1510&lt;=$J453)),'Match Log'!$N$4:$N$1510),NA()))</f>
        <v>#N/A</v>
      </c>
      <c r="Y453" t="str">
        <f t="shared" ca="1" si="37"/>
        <v/>
      </c>
    </row>
    <row r="454" spans="1:25" x14ac:dyDescent="0.2">
      <c r="A454">
        <v>430</v>
      </c>
      <c r="B454" t="str">
        <f>IFERROR(INDEX('Match Log'!$B$4:$B$1510,MATCH($A454,'Match Log'!$A$4:$A$1510,0)),"")</f>
        <v/>
      </c>
      <c r="C454" t="str">
        <f>IFERROR(INDEX('Match Log'!$C$4:$C$1510,MATCH($A454,'Match Log'!$A$4:$A$1510,0)),"")</f>
        <v/>
      </c>
      <c r="D454" t="str">
        <f t="array" ref="D454">IFERROR(_xlfn.TEXTJOIN(" + ",TRUE(),IF(('Match Log'!$A$4:$A$1510=$A454)*('Match Log'!$E$4:$E$1510="Win"),'Match Log'!$D$4:$D$1510,"")),IFERROR(LOOKUP(2,1/(('Match Log'!$A$4:$A$1510=$A454)*('Match Log'!$E$4:$E$1510="Win")),'Match Log'!$D$4:$D$1510),""))</f>
        <v/>
      </c>
      <c r="E454" t="str">
        <f>IFERROR(INDEX('Match Log'!$F$4:$F$1510,MATCH($A454,'Match Log'!$A$4:$A$1510,0)),"")</f>
        <v/>
      </c>
      <c r="F454">
        <f>IFERROR(SUMIFS('Match Log'!$I$4:$I$1510,'Match Log'!$A$4:$A$1510,$A454,'Match Log'!$E$4:$E$1510,"Win"),"")</f>
        <v>0</v>
      </c>
      <c r="G454" t="str">
        <f t="shared" si="35"/>
        <v/>
      </c>
      <c r="H454" t="str">
        <f t="array" ref="H454">IFERROR(IF(COUNTIFS('Match Log'!$A$4:$A$1510,$A454,'Match Log'!$E$4:$E$1510,"Win")&gt;1,_xlfn.TEXTJOIN(" + ",TRUE(),IF(('Match Log'!$A$4:$A$1510=$A454)*('Match Log'!$E$4:$E$1510="Loss"),'Match Log'!$D$4:$D$1510,"")),IF($E454=2,LOOKUP(2,1/(('Match Log'!$A$4:$A$1510=$A454)*('Match Log'!$E$4:$E$1510="Loss")),'Match Log'!$D$4:$D$1510),"the field")),"")</f>
        <v>the field</v>
      </c>
      <c r="I454" t="str">
        <f t="shared" si="36"/>
        <v/>
      </c>
      <c r="J454">
        <v>430</v>
      </c>
      <c r="K454" t="e">
        <f>IF($J454&gt;MAX('Match Log'!$A$4:$A$1510),NA(),IFERROR(LOOKUP(2,1/(('Match Log'!$D$4:$D$1510=$K$24)*('Match Log'!$A$4:$A$1510&lt;=$J454)),'Match Log'!$N$4:$N$1510),NA()))</f>
        <v>#N/A</v>
      </c>
      <c r="L454" t="e">
        <f>IF($J454&gt;MAX('Match Log'!$A$4:$A$1510),NA(),IFERROR(LOOKUP(2,1/(('Match Log'!$D$4:$D$1510=$L$24)*('Match Log'!$A$4:$A$1510&lt;=$J454)),'Match Log'!$N$4:$N$1510),NA()))</f>
        <v>#N/A</v>
      </c>
      <c r="M454" t="e">
        <f>IF($J454&gt;MAX('Match Log'!$A$4:$A$1510),NA(),IFERROR(LOOKUP(2,1/(('Match Log'!$D$4:$D$1510=$M$24)*('Match Log'!$A$4:$A$1510&lt;=$J454)),'Match Log'!$N$4:$N$1510),NA()))</f>
        <v>#N/A</v>
      </c>
      <c r="N454" t="e">
        <f>IF($J454&gt;MAX('Match Log'!$A$4:$A$1510),NA(),IFERROR(LOOKUP(2,1/(('Match Log'!$D$4:$D$1510=$N$24)*('Match Log'!$A$4:$A$1510&lt;=$J454)),'Match Log'!$N$4:$N$1510),NA()))</f>
        <v>#N/A</v>
      </c>
      <c r="O454" t="e">
        <f>IF($J454&gt;MAX('Match Log'!$A$4:$A$1510),NA(),IFERROR(LOOKUP(2,1/(('Match Log'!$D$4:$D$1510=$O$24)*('Match Log'!$A$4:$A$1510&lt;=$J454)),'Match Log'!$N$4:$N$1510),NA()))</f>
        <v>#N/A</v>
      </c>
      <c r="P454" t="e">
        <f>IF($J454&gt;MAX('Match Log'!$A$4:$A$1510),NA(),IFERROR(LOOKUP(2,1/(('Match Log'!$D$4:$D$1510=$P$24)*('Match Log'!$A$4:$A$1510&lt;=$J454)),'Match Log'!$N$4:$N$1510),NA()))</f>
        <v>#N/A</v>
      </c>
      <c r="Q454" t="e">
        <f>IF($J454&gt;MAX('Match Log'!$A$4:$A$1510),NA(),IFERROR(LOOKUP(2,1/(('Match Log'!$D$4:$D$1510=$Q$24)*('Match Log'!$A$4:$A$1510&lt;=$J454)),'Match Log'!$N$4:$N$1510),NA()))</f>
        <v>#N/A</v>
      </c>
      <c r="R454" t="e">
        <f>IF($J454&gt;MAX('Match Log'!$A$4:$A$1510),NA(),IFERROR(LOOKUP(2,1/(('Match Log'!$D$4:$D$1510=$R$24)*('Match Log'!$A$4:$A$1510&lt;=$J454)),'Match Log'!$N$4:$N$1510),NA()))</f>
        <v>#N/A</v>
      </c>
      <c r="S454" t="e">
        <f>IF($J454&gt;MAX('Match Log'!$A$4:$A$1510),NA(),IFERROR(LOOKUP(2,1/(('Match Log'!$D$4:$D$1510=$S$24)*('Match Log'!$A$4:$A$1510&lt;=$J454)),'Match Log'!$N$4:$N$1510),NA()))</f>
        <v>#N/A</v>
      </c>
      <c r="T454" t="e">
        <f>IF($J454&gt;MAX('Match Log'!$A$4:$A$1510),NA(),IFERROR(LOOKUP(2,1/(('Match Log'!$D$4:$D$1510=$T$24)*('Match Log'!$A$4:$A$1510&lt;=$J454)),'Match Log'!$N$4:$N$1510),NA()))</f>
        <v>#N/A</v>
      </c>
      <c r="U454" t="e">
        <f>IF($J454&gt;MAX('Match Log'!$A$4:$A$1510),NA(),IFERROR(LOOKUP(2,1/(('Match Log'!$D$4:$D$1510=$U$24)*('Match Log'!$A$4:$A$1510&lt;=$J454)),'Match Log'!$N$4:$N$1510),NA()))</f>
        <v>#N/A</v>
      </c>
      <c r="V454" t="e">
        <f>IF($J454&gt;MAX('Match Log'!$A$4:$A$1510),NA(),IFERROR(LOOKUP(2,1/(('Match Log'!$D$4:$D$1510=$V$24)*('Match Log'!$A$4:$A$1510&lt;=$J454)),'Match Log'!$N$4:$N$1510),NA()))</f>
        <v>#N/A</v>
      </c>
      <c r="W454" t="e">
        <f>IF($J454&gt;MAX('Match Log'!$A$4:$A$1510),NA(),IFERROR(LOOKUP(2,1/(('Match Log'!$D$4:$D$1510=$W$24)*('Match Log'!$A$4:$A$1510&lt;=$J454)),'Match Log'!$N$4:$N$1510),NA()))</f>
        <v>#N/A</v>
      </c>
      <c r="X454" t="e">
        <f>IF($J454&gt;MAX('Match Log'!$A$4:$A$1510),NA(),IFERROR(LOOKUP(2,1/(('Match Log'!$D$4:$D$1510=$X$24)*('Match Log'!$A$4:$A$1510&lt;=$J454)),'Match Log'!$N$4:$N$1510),NA()))</f>
        <v>#N/A</v>
      </c>
      <c r="Y454" t="str">
        <f t="shared" ca="1" si="37"/>
        <v/>
      </c>
    </row>
    <row r="455" spans="1:25" x14ac:dyDescent="0.2">
      <c r="A455">
        <v>431</v>
      </c>
      <c r="B455" t="str">
        <f>IFERROR(INDEX('Match Log'!$B$4:$B$1510,MATCH($A455,'Match Log'!$A$4:$A$1510,0)),"")</f>
        <v/>
      </c>
      <c r="C455" t="str">
        <f>IFERROR(INDEX('Match Log'!$C$4:$C$1510,MATCH($A455,'Match Log'!$A$4:$A$1510,0)),"")</f>
        <v/>
      </c>
      <c r="D455" t="str">
        <f t="array" ref="D455">IFERROR(_xlfn.TEXTJOIN(" + ",TRUE(),IF(('Match Log'!$A$4:$A$1510=$A455)*('Match Log'!$E$4:$E$1510="Win"),'Match Log'!$D$4:$D$1510,"")),IFERROR(LOOKUP(2,1/(('Match Log'!$A$4:$A$1510=$A455)*('Match Log'!$E$4:$E$1510="Win")),'Match Log'!$D$4:$D$1510),""))</f>
        <v/>
      </c>
      <c r="E455" t="str">
        <f>IFERROR(INDEX('Match Log'!$F$4:$F$1510,MATCH($A455,'Match Log'!$A$4:$A$1510,0)),"")</f>
        <v/>
      </c>
      <c r="F455">
        <f>IFERROR(SUMIFS('Match Log'!$I$4:$I$1510,'Match Log'!$A$4:$A$1510,$A455,'Match Log'!$E$4:$E$1510,"Win"),"")</f>
        <v>0</v>
      </c>
      <c r="G455" t="str">
        <f t="shared" si="35"/>
        <v/>
      </c>
      <c r="H455" t="str">
        <f t="array" ref="H455">IFERROR(IF(COUNTIFS('Match Log'!$A$4:$A$1510,$A455,'Match Log'!$E$4:$E$1510,"Win")&gt;1,_xlfn.TEXTJOIN(" + ",TRUE(),IF(('Match Log'!$A$4:$A$1510=$A455)*('Match Log'!$E$4:$E$1510="Loss"),'Match Log'!$D$4:$D$1510,"")),IF($E455=2,LOOKUP(2,1/(('Match Log'!$A$4:$A$1510=$A455)*('Match Log'!$E$4:$E$1510="Loss")),'Match Log'!$D$4:$D$1510),"the field")),"")</f>
        <v>the field</v>
      </c>
      <c r="I455" t="str">
        <f t="shared" si="36"/>
        <v/>
      </c>
      <c r="J455">
        <v>431</v>
      </c>
      <c r="K455" t="e">
        <f>IF($J455&gt;MAX('Match Log'!$A$4:$A$1510),NA(),IFERROR(LOOKUP(2,1/(('Match Log'!$D$4:$D$1510=$K$24)*('Match Log'!$A$4:$A$1510&lt;=$J455)),'Match Log'!$N$4:$N$1510),NA()))</f>
        <v>#N/A</v>
      </c>
      <c r="L455" t="e">
        <f>IF($J455&gt;MAX('Match Log'!$A$4:$A$1510),NA(),IFERROR(LOOKUP(2,1/(('Match Log'!$D$4:$D$1510=$L$24)*('Match Log'!$A$4:$A$1510&lt;=$J455)),'Match Log'!$N$4:$N$1510),NA()))</f>
        <v>#N/A</v>
      </c>
      <c r="M455" t="e">
        <f>IF($J455&gt;MAX('Match Log'!$A$4:$A$1510),NA(),IFERROR(LOOKUP(2,1/(('Match Log'!$D$4:$D$1510=$M$24)*('Match Log'!$A$4:$A$1510&lt;=$J455)),'Match Log'!$N$4:$N$1510),NA()))</f>
        <v>#N/A</v>
      </c>
      <c r="N455" t="e">
        <f>IF($J455&gt;MAX('Match Log'!$A$4:$A$1510),NA(),IFERROR(LOOKUP(2,1/(('Match Log'!$D$4:$D$1510=$N$24)*('Match Log'!$A$4:$A$1510&lt;=$J455)),'Match Log'!$N$4:$N$1510),NA()))</f>
        <v>#N/A</v>
      </c>
      <c r="O455" t="e">
        <f>IF($J455&gt;MAX('Match Log'!$A$4:$A$1510),NA(),IFERROR(LOOKUP(2,1/(('Match Log'!$D$4:$D$1510=$O$24)*('Match Log'!$A$4:$A$1510&lt;=$J455)),'Match Log'!$N$4:$N$1510),NA()))</f>
        <v>#N/A</v>
      </c>
      <c r="P455" t="e">
        <f>IF($J455&gt;MAX('Match Log'!$A$4:$A$1510),NA(),IFERROR(LOOKUP(2,1/(('Match Log'!$D$4:$D$1510=$P$24)*('Match Log'!$A$4:$A$1510&lt;=$J455)),'Match Log'!$N$4:$N$1510),NA()))</f>
        <v>#N/A</v>
      </c>
      <c r="Q455" t="e">
        <f>IF($J455&gt;MAX('Match Log'!$A$4:$A$1510),NA(),IFERROR(LOOKUP(2,1/(('Match Log'!$D$4:$D$1510=$Q$24)*('Match Log'!$A$4:$A$1510&lt;=$J455)),'Match Log'!$N$4:$N$1510),NA()))</f>
        <v>#N/A</v>
      </c>
      <c r="R455" t="e">
        <f>IF($J455&gt;MAX('Match Log'!$A$4:$A$1510),NA(),IFERROR(LOOKUP(2,1/(('Match Log'!$D$4:$D$1510=$R$24)*('Match Log'!$A$4:$A$1510&lt;=$J455)),'Match Log'!$N$4:$N$1510),NA()))</f>
        <v>#N/A</v>
      </c>
      <c r="S455" t="e">
        <f>IF($J455&gt;MAX('Match Log'!$A$4:$A$1510),NA(),IFERROR(LOOKUP(2,1/(('Match Log'!$D$4:$D$1510=$S$24)*('Match Log'!$A$4:$A$1510&lt;=$J455)),'Match Log'!$N$4:$N$1510),NA()))</f>
        <v>#N/A</v>
      </c>
      <c r="T455" t="e">
        <f>IF($J455&gt;MAX('Match Log'!$A$4:$A$1510),NA(),IFERROR(LOOKUP(2,1/(('Match Log'!$D$4:$D$1510=$T$24)*('Match Log'!$A$4:$A$1510&lt;=$J455)),'Match Log'!$N$4:$N$1510),NA()))</f>
        <v>#N/A</v>
      </c>
      <c r="U455" t="e">
        <f>IF($J455&gt;MAX('Match Log'!$A$4:$A$1510),NA(),IFERROR(LOOKUP(2,1/(('Match Log'!$D$4:$D$1510=$U$24)*('Match Log'!$A$4:$A$1510&lt;=$J455)),'Match Log'!$N$4:$N$1510),NA()))</f>
        <v>#N/A</v>
      </c>
      <c r="V455" t="e">
        <f>IF($J455&gt;MAX('Match Log'!$A$4:$A$1510),NA(),IFERROR(LOOKUP(2,1/(('Match Log'!$D$4:$D$1510=$V$24)*('Match Log'!$A$4:$A$1510&lt;=$J455)),'Match Log'!$N$4:$N$1510),NA()))</f>
        <v>#N/A</v>
      </c>
      <c r="W455" t="e">
        <f>IF($J455&gt;MAX('Match Log'!$A$4:$A$1510),NA(),IFERROR(LOOKUP(2,1/(('Match Log'!$D$4:$D$1510=$W$24)*('Match Log'!$A$4:$A$1510&lt;=$J455)),'Match Log'!$N$4:$N$1510),NA()))</f>
        <v>#N/A</v>
      </c>
      <c r="X455" t="e">
        <f>IF($J455&gt;MAX('Match Log'!$A$4:$A$1510),NA(),IFERROR(LOOKUP(2,1/(('Match Log'!$D$4:$D$1510=$X$24)*('Match Log'!$A$4:$A$1510&lt;=$J455)),'Match Log'!$N$4:$N$1510),NA()))</f>
        <v>#N/A</v>
      </c>
      <c r="Y455" t="str">
        <f t="shared" ca="1" si="37"/>
        <v/>
      </c>
    </row>
    <row r="456" spans="1:25" x14ac:dyDescent="0.2">
      <c r="A456">
        <v>432</v>
      </c>
      <c r="B456" t="str">
        <f>IFERROR(INDEX('Match Log'!$B$4:$B$1510,MATCH($A456,'Match Log'!$A$4:$A$1510,0)),"")</f>
        <v/>
      </c>
      <c r="C456" t="str">
        <f>IFERROR(INDEX('Match Log'!$C$4:$C$1510,MATCH($A456,'Match Log'!$A$4:$A$1510,0)),"")</f>
        <v/>
      </c>
      <c r="D456" t="str">
        <f t="array" ref="D456">IFERROR(_xlfn.TEXTJOIN(" + ",TRUE(),IF(('Match Log'!$A$4:$A$1510=$A456)*('Match Log'!$E$4:$E$1510="Win"),'Match Log'!$D$4:$D$1510,"")),IFERROR(LOOKUP(2,1/(('Match Log'!$A$4:$A$1510=$A456)*('Match Log'!$E$4:$E$1510="Win")),'Match Log'!$D$4:$D$1510),""))</f>
        <v/>
      </c>
      <c r="E456" t="str">
        <f>IFERROR(INDEX('Match Log'!$F$4:$F$1510,MATCH($A456,'Match Log'!$A$4:$A$1510,0)),"")</f>
        <v/>
      </c>
      <c r="F456">
        <f>IFERROR(SUMIFS('Match Log'!$I$4:$I$1510,'Match Log'!$A$4:$A$1510,$A456,'Match Log'!$E$4:$E$1510,"Win"),"")</f>
        <v>0</v>
      </c>
      <c r="G456" t="str">
        <f t="shared" si="35"/>
        <v/>
      </c>
      <c r="H456" t="str">
        <f t="array" ref="H456">IFERROR(IF(COUNTIFS('Match Log'!$A$4:$A$1510,$A456,'Match Log'!$E$4:$E$1510,"Win")&gt;1,_xlfn.TEXTJOIN(" + ",TRUE(),IF(('Match Log'!$A$4:$A$1510=$A456)*('Match Log'!$E$4:$E$1510="Loss"),'Match Log'!$D$4:$D$1510,"")),IF($E456=2,LOOKUP(2,1/(('Match Log'!$A$4:$A$1510=$A456)*('Match Log'!$E$4:$E$1510="Loss")),'Match Log'!$D$4:$D$1510),"the field")),"")</f>
        <v>the field</v>
      </c>
      <c r="I456" t="str">
        <f t="shared" si="36"/>
        <v/>
      </c>
      <c r="J456">
        <v>432</v>
      </c>
      <c r="K456" t="e">
        <f>IF($J456&gt;MAX('Match Log'!$A$4:$A$1510),NA(),IFERROR(LOOKUP(2,1/(('Match Log'!$D$4:$D$1510=$K$24)*('Match Log'!$A$4:$A$1510&lt;=$J456)),'Match Log'!$N$4:$N$1510),NA()))</f>
        <v>#N/A</v>
      </c>
      <c r="L456" t="e">
        <f>IF($J456&gt;MAX('Match Log'!$A$4:$A$1510),NA(),IFERROR(LOOKUP(2,1/(('Match Log'!$D$4:$D$1510=$L$24)*('Match Log'!$A$4:$A$1510&lt;=$J456)),'Match Log'!$N$4:$N$1510),NA()))</f>
        <v>#N/A</v>
      </c>
      <c r="M456" t="e">
        <f>IF($J456&gt;MAX('Match Log'!$A$4:$A$1510),NA(),IFERROR(LOOKUP(2,1/(('Match Log'!$D$4:$D$1510=$M$24)*('Match Log'!$A$4:$A$1510&lt;=$J456)),'Match Log'!$N$4:$N$1510),NA()))</f>
        <v>#N/A</v>
      </c>
      <c r="N456" t="e">
        <f>IF($J456&gt;MAX('Match Log'!$A$4:$A$1510),NA(),IFERROR(LOOKUP(2,1/(('Match Log'!$D$4:$D$1510=$N$24)*('Match Log'!$A$4:$A$1510&lt;=$J456)),'Match Log'!$N$4:$N$1510),NA()))</f>
        <v>#N/A</v>
      </c>
      <c r="O456" t="e">
        <f>IF($J456&gt;MAX('Match Log'!$A$4:$A$1510),NA(),IFERROR(LOOKUP(2,1/(('Match Log'!$D$4:$D$1510=$O$24)*('Match Log'!$A$4:$A$1510&lt;=$J456)),'Match Log'!$N$4:$N$1510),NA()))</f>
        <v>#N/A</v>
      </c>
      <c r="P456" t="e">
        <f>IF($J456&gt;MAX('Match Log'!$A$4:$A$1510),NA(),IFERROR(LOOKUP(2,1/(('Match Log'!$D$4:$D$1510=$P$24)*('Match Log'!$A$4:$A$1510&lt;=$J456)),'Match Log'!$N$4:$N$1510),NA()))</f>
        <v>#N/A</v>
      </c>
      <c r="Q456" t="e">
        <f>IF($J456&gt;MAX('Match Log'!$A$4:$A$1510),NA(),IFERROR(LOOKUP(2,1/(('Match Log'!$D$4:$D$1510=$Q$24)*('Match Log'!$A$4:$A$1510&lt;=$J456)),'Match Log'!$N$4:$N$1510),NA()))</f>
        <v>#N/A</v>
      </c>
      <c r="R456" t="e">
        <f>IF($J456&gt;MAX('Match Log'!$A$4:$A$1510),NA(),IFERROR(LOOKUP(2,1/(('Match Log'!$D$4:$D$1510=$R$24)*('Match Log'!$A$4:$A$1510&lt;=$J456)),'Match Log'!$N$4:$N$1510),NA()))</f>
        <v>#N/A</v>
      </c>
      <c r="S456" t="e">
        <f>IF($J456&gt;MAX('Match Log'!$A$4:$A$1510),NA(),IFERROR(LOOKUP(2,1/(('Match Log'!$D$4:$D$1510=$S$24)*('Match Log'!$A$4:$A$1510&lt;=$J456)),'Match Log'!$N$4:$N$1510),NA()))</f>
        <v>#N/A</v>
      </c>
      <c r="T456" t="e">
        <f>IF($J456&gt;MAX('Match Log'!$A$4:$A$1510),NA(),IFERROR(LOOKUP(2,1/(('Match Log'!$D$4:$D$1510=$T$24)*('Match Log'!$A$4:$A$1510&lt;=$J456)),'Match Log'!$N$4:$N$1510),NA()))</f>
        <v>#N/A</v>
      </c>
      <c r="U456" t="e">
        <f>IF($J456&gt;MAX('Match Log'!$A$4:$A$1510),NA(),IFERROR(LOOKUP(2,1/(('Match Log'!$D$4:$D$1510=$U$24)*('Match Log'!$A$4:$A$1510&lt;=$J456)),'Match Log'!$N$4:$N$1510),NA()))</f>
        <v>#N/A</v>
      </c>
      <c r="V456" t="e">
        <f>IF($J456&gt;MAX('Match Log'!$A$4:$A$1510),NA(),IFERROR(LOOKUP(2,1/(('Match Log'!$D$4:$D$1510=$V$24)*('Match Log'!$A$4:$A$1510&lt;=$J456)),'Match Log'!$N$4:$N$1510),NA()))</f>
        <v>#N/A</v>
      </c>
      <c r="W456" t="e">
        <f>IF($J456&gt;MAX('Match Log'!$A$4:$A$1510),NA(),IFERROR(LOOKUP(2,1/(('Match Log'!$D$4:$D$1510=$W$24)*('Match Log'!$A$4:$A$1510&lt;=$J456)),'Match Log'!$N$4:$N$1510),NA()))</f>
        <v>#N/A</v>
      </c>
      <c r="X456" t="e">
        <f>IF($J456&gt;MAX('Match Log'!$A$4:$A$1510),NA(),IFERROR(LOOKUP(2,1/(('Match Log'!$D$4:$D$1510=$X$24)*('Match Log'!$A$4:$A$1510&lt;=$J456)),'Match Log'!$N$4:$N$1510),NA()))</f>
        <v>#N/A</v>
      </c>
      <c r="Y456" t="str">
        <f t="shared" ca="1" si="37"/>
        <v/>
      </c>
    </row>
    <row r="457" spans="1:25" x14ac:dyDescent="0.2">
      <c r="A457">
        <v>433</v>
      </c>
      <c r="B457" t="str">
        <f>IFERROR(INDEX('Match Log'!$B$4:$B$1510,MATCH($A457,'Match Log'!$A$4:$A$1510,0)),"")</f>
        <v/>
      </c>
      <c r="C457" t="str">
        <f>IFERROR(INDEX('Match Log'!$C$4:$C$1510,MATCH($A457,'Match Log'!$A$4:$A$1510,0)),"")</f>
        <v/>
      </c>
      <c r="D457" t="str">
        <f t="array" ref="D457">IFERROR(_xlfn.TEXTJOIN(" + ",TRUE(),IF(('Match Log'!$A$4:$A$1510=$A457)*('Match Log'!$E$4:$E$1510="Win"),'Match Log'!$D$4:$D$1510,"")),IFERROR(LOOKUP(2,1/(('Match Log'!$A$4:$A$1510=$A457)*('Match Log'!$E$4:$E$1510="Win")),'Match Log'!$D$4:$D$1510),""))</f>
        <v/>
      </c>
      <c r="E457" t="str">
        <f>IFERROR(INDEX('Match Log'!$F$4:$F$1510,MATCH($A457,'Match Log'!$A$4:$A$1510,0)),"")</f>
        <v/>
      </c>
      <c r="F457">
        <f>IFERROR(SUMIFS('Match Log'!$I$4:$I$1510,'Match Log'!$A$4:$A$1510,$A457,'Match Log'!$E$4:$E$1510,"Win"),"")</f>
        <v>0</v>
      </c>
      <c r="G457" t="str">
        <f t="shared" si="35"/>
        <v/>
      </c>
      <c r="H457" t="str">
        <f t="array" ref="H457">IFERROR(IF(COUNTIFS('Match Log'!$A$4:$A$1510,$A457,'Match Log'!$E$4:$E$1510,"Win")&gt;1,_xlfn.TEXTJOIN(" + ",TRUE(),IF(('Match Log'!$A$4:$A$1510=$A457)*('Match Log'!$E$4:$E$1510="Loss"),'Match Log'!$D$4:$D$1510,"")),IF($E457=2,LOOKUP(2,1/(('Match Log'!$A$4:$A$1510=$A457)*('Match Log'!$E$4:$E$1510="Loss")),'Match Log'!$D$4:$D$1510),"the field")),"")</f>
        <v>the field</v>
      </c>
      <c r="I457" t="str">
        <f t="shared" si="36"/>
        <v/>
      </c>
      <c r="J457">
        <v>433</v>
      </c>
      <c r="K457" t="e">
        <f>IF($J457&gt;MAX('Match Log'!$A$4:$A$1510),NA(),IFERROR(LOOKUP(2,1/(('Match Log'!$D$4:$D$1510=$K$24)*('Match Log'!$A$4:$A$1510&lt;=$J457)),'Match Log'!$N$4:$N$1510),NA()))</f>
        <v>#N/A</v>
      </c>
      <c r="L457" t="e">
        <f>IF($J457&gt;MAX('Match Log'!$A$4:$A$1510),NA(),IFERROR(LOOKUP(2,1/(('Match Log'!$D$4:$D$1510=$L$24)*('Match Log'!$A$4:$A$1510&lt;=$J457)),'Match Log'!$N$4:$N$1510),NA()))</f>
        <v>#N/A</v>
      </c>
      <c r="M457" t="e">
        <f>IF($J457&gt;MAX('Match Log'!$A$4:$A$1510),NA(),IFERROR(LOOKUP(2,1/(('Match Log'!$D$4:$D$1510=$M$24)*('Match Log'!$A$4:$A$1510&lt;=$J457)),'Match Log'!$N$4:$N$1510),NA()))</f>
        <v>#N/A</v>
      </c>
      <c r="N457" t="e">
        <f>IF($J457&gt;MAX('Match Log'!$A$4:$A$1510),NA(),IFERROR(LOOKUP(2,1/(('Match Log'!$D$4:$D$1510=$N$24)*('Match Log'!$A$4:$A$1510&lt;=$J457)),'Match Log'!$N$4:$N$1510),NA()))</f>
        <v>#N/A</v>
      </c>
      <c r="O457" t="e">
        <f>IF($J457&gt;MAX('Match Log'!$A$4:$A$1510),NA(),IFERROR(LOOKUP(2,1/(('Match Log'!$D$4:$D$1510=$O$24)*('Match Log'!$A$4:$A$1510&lt;=$J457)),'Match Log'!$N$4:$N$1510),NA()))</f>
        <v>#N/A</v>
      </c>
      <c r="P457" t="e">
        <f>IF($J457&gt;MAX('Match Log'!$A$4:$A$1510),NA(),IFERROR(LOOKUP(2,1/(('Match Log'!$D$4:$D$1510=$P$24)*('Match Log'!$A$4:$A$1510&lt;=$J457)),'Match Log'!$N$4:$N$1510),NA()))</f>
        <v>#N/A</v>
      </c>
      <c r="Q457" t="e">
        <f>IF($J457&gt;MAX('Match Log'!$A$4:$A$1510),NA(),IFERROR(LOOKUP(2,1/(('Match Log'!$D$4:$D$1510=$Q$24)*('Match Log'!$A$4:$A$1510&lt;=$J457)),'Match Log'!$N$4:$N$1510),NA()))</f>
        <v>#N/A</v>
      </c>
      <c r="R457" t="e">
        <f>IF($J457&gt;MAX('Match Log'!$A$4:$A$1510),NA(),IFERROR(LOOKUP(2,1/(('Match Log'!$D$4:$D$1510=$R$24)*('Match Log'!$A$4:$A$1510&lt;=$J457)),'Match Log'!$N$4:$N$1510),NA()))</f>
        <v>#N/A</v>
      </c>
      <c r="S457" t="e">
        <f>IF($J457&gt;MAX('Match Log'!$A$4:$A$1510),NA(),IFERROR(LOOKUP(2,1/(('Match Log'!$D$4:$D$1510=$S$24)*('Match Log'!$A$4:$A$1510&lt;=$J457)),'Match Log'!$N$4:$N$1510),NA()))</f>
        <v>#N/A</v>
      </c>
      <c r="T457" t="e">
        <f>IF($J457&gt;MAX('Match Log'!$A$4:$A$1510),NA(),IFERROR(LOOKUP(2,1/(('Match Log'!$D$4:$D$1510=$T$24)*('Match Log'!$A$4:$A$1510&lt;=$J457)),'Match Log'!$N$4:$N$1510),NA()))</f>
        <v>#N/A</v>
      </c>
      <c r="U457" t="e">
        <f>IF($J457&gt;MAX('Match Log'!$A$4:$A$1510),NA(),IFERROR(LOOKUP(2,1/(('Match Log'!$D$4:$D$1510=$U$24)*('Match Log'!$A$4:$A$1510&lt;=$J457)),'Match Log'!$N$4:$N$1510),NA()))</f>
        <v>#N/A</v>
      </c>
      <c r="V457" t="e">
        <f>IF($J457&gt;MAX('Match Log'!$A$4:$A$1510),NA(),IFERROR(LOOKUP(2,1/(('Match Log'!$D$4:$D$1510=$V$24)*('Match Log'!$A$4:$A$1510&lt;=$J457)),'Match Log'!$N$4:$N$1510),NA()))</f>
        <v>#N/A</v>
      </c>
      <c r="W457" t="e">
        <f>IF($J457&gt;MAX('Match Log'!$A$4:$A$1510),NA(),IFERROR(LOOKUP(2,1/(('Match Log'!$D$4:$D$1510=$W$24)*('Match Log'!$A$4:$A$1510&lt;=$J457)),'Match Log'!$N$4:$N$1510),NA()))</f>
        <v>#N/A</v>
      </c>
      <c r="X457" t="e">
        <f>IF($J457&gt;MAX('Match Log'!$A$4:$A$1510),NA(),IFERROR(LOOKUP(2,1/(('Match Log'!$D$4:$D$1510=$X$24)*('Match Log'!$A$4:$A$1510&lt;=$J457)),'Match Log'!$N$4:$N$1510),NA()))</f>
        <v>#N/A</v>
      </c>
      <c r="Y457" t="str">
        <f t="shared" ca="1" si="37"/>
        <v/>
      </c>
    </row>
    <row r="458" spans="1:25" x14ac:dyDescent="0.2">
      <c r="A458">
        <v>434</v>
      </c>
      <c r="B458" t="str">
        <f>IFERROR(INDEX('Match Log'!$B$4:$B$1510,MATCH($A458,'Match Log'!$A$4:$A$1510,0)),"")</f>
        <v/>
      </c>
      <c r="C458" t="str">
        <f>IFERROR(INDEX('Match Log'!$C$4:$C$1510,MATCH($A458,'Match Log'!$A$4:$A$1510,0)),"")</f>
        <v/>
      </c>
      <c r="D458" t="str">
        <f t="array" ref="D458">IFERROR(_xlfn.TEXTJOIN(" + ",TRUE(),IF(('Match Log'!$A$4:$A$1510=$A458)*('Match Log'!$E$4:$E$1510="Win"),'Match Log'!$D$4:$D$1510,"")),IFERROR(LOOKUP(2,1/(('Match Log'!$A$4:$A$1510=$A458)*('Match Log'!$E$4:$E$1510="Win")),'Match Log'!$D$4:$D$1510),""))</f>
        <v/>
      </c>
      <c r="E458" t="str">
        <f>IFERROR(INDEX('Match Log'!$F$4:$F$1510,MATCH($A458,'Match Log'!$A$4:$A$1510,0)),"")</f>
        <v/>
      </c>
      <c r="F458">
        <f>IFERROR(SUMIFS('Match Log'!$I$4:$I$1510,'Match Log'!$A$4:$A$1510,$A458,'Match Log'!$E$4:$E$1510,"Win"),"")</f>
        <v>0</v>
      </c>
      <c r="G458" t="str">
        <f t="shared" si="35"/>
        <v/>
      </c>
      <c r="H458" t="str">
        <f t="array" ref="H458">IFERROR(IF(COUNTIFS('Match Log'!$A$4:$A$1510,$A458,'Match Log'!$E$4:$E$1510,"Win")&gt;1,_xlfn.TEXTJOIN(" + ",TRUE(),IF(('Match Log'!$A$4:$A$1510=$A458)*('Match Log'!$E$4:$E$1510="Loss"),'Match Log'!$D$4:$D$1510,"")),IF($E458=2,LOOKUP(2,1/(('Match Log'!$A$4:$A$1510=$A458)*('Match Log'!$E$4:$E$1510="Loss")),'Match Log'!$D$4:$D$1510),"the field")),"")</f>
        <v>the field</v>
      </c>
      <c r="I458" t="str">
        <f t="shared" si="36"/>
        <v/>
      </c>
      <c r="J458">
        <v>434</v>
      </c>
      <c r="K458" t="e">
        <f>IF($J458&gt;MAX('Match Log'!$A$4:$A$1510),NA(),IFERROR(LOOKUP(2,1/(('Match Log'!$D$4:$D$1510=$K$24)*('Match Log'!$A$4:$A$1510&lt;=$J458)),'Match Log'!$N$4:$N$1510),NA()))</f>
        <v>#N/A</v>
      </c>
      <c r="L458" t="e">
        <f>IF($J458&gt;MAX('Match Log'!$A$4:$A$1510),NA(),IFERROR(LOOKUP(2,1/(('Match Log'!$D$4:$D$1510=$L$24)*('Match Log'!$A$4:$A$1510&lt;=$J458)),'Match Log'!$N$4:$N$1510),NA()))</f>
        <v>#N/A</v>
      </c>
      <c r="M458" t="e">
        <f>IF($J458&gt;MAX('Match Log'!$A$4:$A$1510),NA(),IFERROR(LOOKUP(2,1/(('Match Log'!$D$4:$D$1510=$M$24)*('Match Log'!$A$4:$A$1510&lt;=$J458)),'Match Log'!$N$4:$N$1510),NA()))</f>
        <v>#N/A</v>
      </c>
      <c r="N458" t="e">
        <f>IF($J458&gt;MAX('Match Log'!$A$4:$A$1510),NA(),IFERROR(LOOKUP(2,1/(('Match Log'!$D$4:$D$1510=$N$24)*('Match Log'!$A$4:$A$1510&lt;=$J458)),'Match Log'!$N$4:$N$1510),NA()))</f>
        <v>#N/A</v>
      </c>
      <c r="O458" t="e">
        <f>IF($J458&gt;MAX('Match Log'!$A$4:$A$1510),NA(),IFERROR(LOOKUP(2,1/(('Match Log'!$D$4:$D$1510=$O$24)*('Match Log'!$A$4:$A$1510&lt;=$J458)),'Match Log'!$N$4:$N$1510),NA()))</f>
        <v>#N/A</v>
      </c>
      <c r="P458" t="e">
        <f>IF($J458&gt;MAX('Match Log'!$A$4:$A$1510),NA(),IFERROR(LOOKUP(2,1/(('Match Log'!$D$4:$D$1510=$P$24)*('Match Log'!$A$4:$A$1510&lt;=$J458)),'Match Log'!$N$4:$N$1510),NA()))</f>
        <v>#N/A</v>
      </c>
      <c r="Q458" t="e">
        <f>IF($J458&gt;MAX('Match Log'!$A$4:$A$1510),NA(),IFERROR(LOOKUP(2,1/(('Match Log'!$D$4:$D$1510=$Q$24)*('Match Log'!$A$4:$A$1510&lt;=$J458)),'Match Log'!$N$4:$N$1510),NA()))</f>
        <v>#N/A</v>
      </c>
      <c r="R458" t="e">
        <f>IF($J458&gt;MAX('Match Log'!$A$4:$A$1510),NA(),IFERROR(LOOKUP(2,1/(('Match Log'!$D$4:$D$1510=$R$24)*('Match Log'!$A$4:$A$1510&lt;=$J458)),'Match Log'!$N$4:$N$1510),NA()))</f>
        <v>#N/A</v>
      </c>
      <c r="S458" t="e">
        <f>IF($J458&gt;MAX('Match Log'!$A$4:$A$1510),NA(),IFERROR(LOOKUP(2,1/(('Match Log'!$D$4:$D$1510=$S$24)*('Match Log'!$A$4:$A$1510&lt;=$J458)),'Match Log'!$N$4:$N$1510),NA()))</f>
        <v>#N/A</v>
      </c>
      <c r="T458" t="e">
        <f>IF($J458&gt;MAX('Match Log'!$A$4:$A$1510),NA(),IFERROR(LOOKUP(2,1/(('Match Log'!$D$4:$D$1510=$T$24)*('Match Log'!$A$4:$A$1510&lt;=$J458)),'Match Log'!$N$4:$N$1510),NA()))</f>
        <v>#N/A</v>
      </c>
      <c r="U458" t="e">
        <f>IF($J458&gt;MAX('Match Log'!$A$4:$A$1510),NA(),IFERROR(LOOKUP(2,1/(('Match Log'!$D$4:$D$1510=$U$24)*('Match Log'!$A$4:$A$1510&lt;=$J458)),'Match Log'!$N$4:$N$1510),NA()))</f>
        <v>#N/A</v>
      </c>
      <c r="V458" t="e">
        <f>IF($J458&gt;MAX('Match Log'!$A$4:$A$1510),NA(),IFERROR(LOOKUP(2,1/(('Match Log'!$D$4:$D$1510=$V$24)*('Match Log'!$A$4:$A$1510&lt;=$J458)),'Match Log'!$N$4:$N$1510),NA()))</f>
        <v>#N/A</v>
      </c>
      <c r="W458" t="e">
        <f>IF($J458&gt;MAX('Match Log'!$A$4:$A$1510),NA(),IFERROR(LOOKUP(2,1/(('Match Log'!$D$4:$D$1510=$W$24)*('Match Log'!$A$4:$A$1510&lt;=$J458)),'Match Log'!$N$4:$N$1510),NA()))</f>
        <v>#N/A</v>
      </c>
      <c r="X458" t="e">
        <f>IF($J458&gt;MAX('Match Log'!$A$4:$A$1510),NA(),IFERROR(LOOKUP(2,1/(('Match Log'!$D$4:$D$1510=$X$24)*('Match Log'!$A$4:$A$1510&lt;=$J458)),'Match Log'!$N$4:$N$1510),NA()))</f>
        <v>#N/A</v>
      </c>
      <c r="Y458" t="str">
        <f t="shared" ca="1" si="37"/>
        <v/>
      </c>
    </row>
    <row r="459" spans="1:25" x14ac:dyDescent="0.2">
      <c r="A459">
        <v>435</v>
      </c>
      <c r="B459" t="str">
        <f>IFERROR(INDEX('Match Log'!$B$4:$B$1510,MATCH($A459,'Match Log'!$A$4:$A$1510,0)),"")</f>
        <v/>
      </c>
      <c r="C459" t="str">
        <f>IFERROR(INDEX('Match Log'!$C$4:$C$1510,MATCH($A459,'Match Log'!$A$4:$A$1510,0)),"")</f>
        <v/>
      </c>
      <c r="D459" t="str">
        <f t="array" ref="D459">IFERROR(_xlfn.TEXTJOIN(" + ",TRUE(),IF(('Match Log'!$A$4:$A$1510=$A459)*('Match Log'!$E$4:$E$1510="Win"),'Match Log'!$D$4:$D$1510,"")),IFERROR(LOOKUP(2,1/(('Match Log'!$A$4:$A$1510=$A459)*('Match Log'!$E$4:$E$1510="Win")),'Match Log'!$D$4:$D$1510),""))</f>
        <v/>
      </c>
      <c r="E459" t="str">
        <f>IFERROR(INDEX('Match Log'!$F$4:$F$1510,MATCH($A459,'Match Log'!$A$4:$A$1510,0)),"")</f>
        <v/>
      </c>
      <c r="F459">
        <f>IFERROR(SUMIFS('Match Log'!$I$4:$I$1510,'Match Log'!$A$4:$A$1510,$A459,'Match Log'!$E$4:$E$1510,"Win"),"")</f>
        <v>0</v>
      </c>
      <c r="G459" t="str">
        <f t="shared" si="35"/>
        <v/>
      </c>
      <c r="H459" t="str">
        <f t="array" ref="H459">IFERROR(IF(COUNTIFS('Match Log'!$A$4:$A$1510,$A459,'Match Log'!$E$4:$E$1510,"Win")&gt;1,_xlfn.TEXTJOIN(" + ",TRUE(),IF(('Match Log'!$A$4:$A$1510=$A459)*('Match Log'!$E$4:$E$1510="Loss"),'Match Log'!$D$4:$D$1510,"")),IF($E459=2,LOOKUP(2,1/(('Match Log'!$A$4:$A$1510=$A459)*('Match Log'!$E$4:$E$1510="Loss")),'Match Log'!$D$4:$D$1510),"the field")),"")</f>
        <v>the field</v>
      </c>
      <c r="I459" t="str">
        <f t="shared" si="36"/>
        <v/>
      </c>
      <c r="J459">
        <v>435</v>
      </c>
      <c r="K459" t="e">
        <f>IF($J459&gt;MAX('Match Log'!$A$4:$A$1510),NA(),IFERROR(LOOKUP(2,1/(('Match Log'!$D$4:$D$1510=$K$24)*('Match Log'!$A$4:$A$1510&lt;=$J459)),'Match Log'!$N$4:$N$1510),NA()))</f>
        <v>#N/A</v>
      </c>
      <c r="L459" t="e">
        <f>IF($J459&gt;MAX('Match Log'!$A$4:$A$1510),NA(),IFERROR(LOOKUP(2,1/(('Match Log'!$D$4:$D$1510=$L$24)*('Match Log'!$A$4:$A$1510&lt;=$J459)),'Match Log'!$N$4:$N$1510),NA()))</f>
        <v>#N/A</v>
      </c>
      <c r="M459" t="e">
        <f>IF($J459&gt;MAX('Match Log'!$A$4:$A$1510),NA(),IFERROR(LOOKUP(2,1/(('Match Log'!$D$4:$D$1510=$M$24)*('Match Log'!$A$4:$A$1510&lt;=$J459)),'Match Log'!$N$4:$N$1510),NA()))</f>
        <v>#N/A</v>
      </c>
      <c r="N459" t="e">
        <f>IF($J459&gt;MAX('Match Log'!$A$4:$A$1510),NA(),IFERROR(LOOKUP(2,1/(('Match Log'!$D$4:$D$1510=$N$24)*('Match Log'!$A$4:$A$1510&lt;=$J459)),'Match Log'!$N$4:$N$1510),NA()))</f>
        <v>#N/A</v>
      </c>
      <c r="O459" t="e">
        <f>IF($J459&gt;MAX('Match Log'!$A$4:$A$1510),NA(),IFERROR(LOOKUP(2,1/(('Match Log'!$D$4:$D$1510=$O$24)*('Match Log'!$A$4:$A$1510&lt;=$J459)),'Match Log'!$N$4:$N$1510),NA()))</f>
        <v>#N/A</v>
      </c>
      <c r="P459" t="e">
        <f>IF($J459&gt;MAX('Match Log'!$A$4:$A$1510),NA(),IFERROR(LOOKUP(2,1/(('Match Log'!$D$4:$D$1510=$P$24)*('Match Log'!$A$4:$A$1510&lt;=$J459)),'Match Log'!$N$4:$N$1510),NA()))</f>
        <v>#N/A</v>
      </c>
      <c r="Q459" t="e">
        <f>IF($J459&gt;MAX('Match Log'!$A$4:$A$1510),NA(),IFERROR(LOOKUP(2,1/(('Match Log'!$D$4:$D$1510=$Q$24)*('Match Log'!$A$4:$A$1510&lt;=$J459)),'Match Log'!$N$4:$N$1510),NA()))</f>
        <v>#N/A</v>
      </c>
      <c r="R459" t="e">
        <f>IF($J459&gt;MAX('Match Log'!$A$4:$A$1510),NA(),IFERROR(LOOKUP(2,1/(('Match Log'!$D$4:$D$1510=$R$24)*('Match Log'!$A$4:$A$1510&lt;=$J459)),'Match Log'!$N$4:$N$1510),NA()))</f>
        <v>#N/A</v>
      </c>
      <c r="S459" t="e">
        <f>IF($J459&gt;MAX('Match Log'!$A$4:$A$1510),NA(),IFERROR(LOOKUP(2,1/(('Match Log'!$D$4:$D$1510=$S$24)*('Match Log'!$A$4:$A$1510&lt;=$J459)),'Match Log'!$N$4:$N$1510),NA()))</f>
        <v>#N/A</v>
      </c>
      <c r="T459" t="e">
        <f>IF($J459&gt;MAX('Match Log'!$A$4:$A$1510),NA(),IFERROR(LOOKUP(2,1/(('Match Log'!$D$4:$D$1510=$T$24)*('Match Log'!$A$4:$A$1510&lt;=$J459)),'Match Log'!$N$4:$N$1510),NA()))</f>
        <v>#N/A</v>
      </c>
      <c r="U459" t="e">
        <f>IF($J459&gt;MAX('Match Log'!$A$4:$A$1510),NA(),IFERROR(LOOKUP(2,1/(('Match Log'!$D$4:$D$1510=$U$24)*('Match Log'!$A$4:$A$1510&lt;=$J459)),'Match Log'!$N$4:$N$1510),NA()))</f>
        <v>#N/A</v>
      </c>
      <c r="V459" t="e">
        <f>IF($J459&gt;MAX('Match Log'!$A$4:$A$1510),NA(),IFERROR(LOOKUP(2,1/(('Match Log'!$D$4:$D$1510=$V$24)*('Match Log'!$A$4:$A$1510&lt;=$J459)),'Match Log'!$N$4:$N$1510),NA()))</f>
        <v>#N/A</v>
      </c>
      <c r="W459" t="e">
        <f>IF($J459&gt;MAX('Match Log'!$A$4:$A$1510),NA(),IFERROR(LOOKUP(2,1/(('Match Log'!$D$4:$D$1510=$W$24)*('Match Log'!$A$4:$A$1510&lt;=$J459)),'Match Log'!$N$4:$N$1510),NA()))</f>
        <v>#N/A</v>
      </c>
      <c r="X459" t="e">
        <f>IF($J459&gt;MAX('Match Log'!$A$4:$A$1510),NA(),IFERROR(LOOKUP(2,1/(('Match Log'!$D$4:$D$1510=$X$24)*('Match Log'!$A$4:$A$1510&lt;=$J459)),'Match Log'!$N$4:$N$1510),NA()))</f>
        <v>#N/A</v>
      </c>
      <c r="Y459" t="str">
        <f t="shared" ca="1" si="37"/>
        <v/>
      </c>
    </row>
    <row r="460" spans="1:25" x14ac:dyDescent="0.2">
      <c r="A460">
        <v>436</v>
      </c>
      <c r="B460" t="str">
        <f>IFERROR(INDEX('Match Log'!$B$4:$B$1510,MATCH($A460,'Match Log'!$A$4:$A$1510,0)),"")</f>
        <v/>
      </c>
      <c r="C460" t="str">
        <f>IFERROR(INDEX('Match Log'!$C$4:$C$1510,MATCH($A460,'Match Log'!$A$4:$A$1510,0)),"")</f>
        <v/>
      </c>
      <c r="D460" t="str">
        <f t="array" ref="D460">IFERROR(_xlfn.TEXTJOIN(" + ",TRUE(),IF(('Match Log'!$A$4:$A$1510=$A460)*('Match Log'!$E$4:$E$1510="Win"),'Match Log'!$D$4:$D$1510,"")),IFERROR(LOOKUP(2,1/(('Match Log'!$A$4:$A$1510=$A460)*('Match Log'!$E$4:$E$1510="Win")),'Match Log'!$D$4:$D$1510),""))</f>
        <v/>
      </c>
      <c r="E460" t="str">
        <f>IFERROR(INDEX('Match Log'!$F$4:$F$1510,MATCH($A460,'Match Log'!$A$4:$A$1510,0)),"")</f>
        <v/>
      </c>
      <c r="F460">
        <f>IFERROR(SUMIFS('Match Log'!$I$4:$I$1510,'Match Log'!$A$4:$A$1510,$A460,'Match Log'!$E$4:$E$1510,"Win"),"")</f>
        <v>0</v>
      </c>
      <c r="G460" t="str">
        <f t="shared" si="35"/>
        <v/>
      </c>
      <c r="H460" t="str">
        <f t="array" ref="H460">IFERROR(IF(COUNTIFS('Match Log'!$A$4:$A$1510,$A460,'Match Log'!$E$4:$E$1510,"Win")&gt;1,_xlfn.TEXTJOIN(" + ",TRUE(),IF(('Match Log'!$A$4:$A$1510=$A460)*('Match Log'!$E$4:$E$1510="Loss"),'Match Log'!$D$4:$D$1510,"")),IF($E460=2,LOOKUP(2,1/(('Match Log'!$A$4:$A$1510=$A460)*('Match Log'!$E$4:$E$1510="Loss")),'Match Log'!$D$4:$D$1510),"the field")),"")</f>
        <v>the field</v>
      </c>
      <c r="I460" t="str">
        <f t="shared" si="36"/>
        <v/>
      </c>
      <c r="J460">
        <v>436</v>
      </c>
      <c r="K460" t="e">
        <f>IF($J460&gt;MAX('Match Log'!$A$4:$A$1510),NA(),IFERROR(LOOKUP(2,1/(('Match Log'!$D$4:$D$1510=$K$24)*('Match Log'!$A$4:$A$1510&lt;=$J460)),'Match Log'!$N$4:$N$1510),NA()))</f>
        <v>#N/A</v>
      </c>
      <c r="L460" t="e">
        <f>IF($J460&gt;MAX('Match Log'!$A$4:$A$1510),NA(),IFERROR(LOOKUP(2,1/(('Match Log'!$D$4:$D$1510=$L$24)*('Match Log'!$A$4:$A$1510&lt;=$J460)),'Match Log'!$N$4:$N$1510),NA()))</f>
        <v>#N/A</v>
      </c>
      <c r="M460" t="e">
        <f>IF($J460&gt;MAX('Match Log'!$A$4:$A$1510),NA(),IFERROR(LOOKUP(2,1/(('Match Log'!$D$4:$D$1510=$M$24)*('Match Log'!$A$4:$A$1510&lt;=$J460)),'Match Log'!$N$4:$N$1510),NA()))</f>
        <v>#N/A</v>
      </c>
      <c r="N460" t="e">
        <f>IF($J460&gt;MAX('Match Log'!$A$4:$A$1510),NA(),IFERROR(LOOKUP(2,1/(('Match Log'!$D$4:$D$1510=$N$24)*('Match Log'!$A$4:$A$1510&lt;=$J460)),'Match Log'!$N$4:$N$1510),NA()))</f>
        <v>#N/A</v>
      </c>
      <c r="O460" t="e">
        <f>IF($J460&gt;MAX('Match Log'!$A$4:$A$1510),NA(),IFERROR(LOOKUP(2,1/(('Match Log'!$D$4:$D$1510=$O$24)*('Match Log'!$A$4:$A$1510&lt;=$J460)),'Match Log'!$N$4:$N$1510),NA()))</f>
        <v>#N/A</v>
      </c>
      <c r="P460" t="e">
        <f>IF($J460&gt;MAX('Match Log'!$A$4:$A$1510),NA(),IFERROR(LOOKUP(2,1/(('Match Log'!$D$4:$D$1510=$P$24)*('Match Log'!$A$4:$A$1510&lt;=$J460)),'Match Log'!$N$4:$N$1510),NA()))</f>
        <v>#N/A</v>
      </c>
      <c r="Q460" t="e">
        <f>IF($J460&gt;MAX('Match Log'!$A$4:$A$1510),NA(),IFERROR(LOOKUP(2,1/(('Match Log'!$D$4:$D$1510=$Q$24)*('Match Log'!$A$4:$A$1510&lt;=$J460)),'Match Log'!$N$4:$N$1510),NA()))</f>
        <v>#N/A</v>
      </c>
      <c r="R460" t="e">
        <f>IF($J460&gt;MAX('Match Log'!$A$4:$A$1510),NA(),IFERROR(LOOKUP(2,1/(('Match Log'!$D$4:$D$1510=$R$24)*('Match Log'!$A$4:$A$1510&lt;=$J460)),'Match Log'!$N$4:$N$1510),NA()))</f>
        <v>#N/A</v>
      </c>
      <c r="S460" t="e">
        <f>IF($J460&gt;MAX('Match Log'!$A$4:$A$1510),NA(),IFERROR(LOOKUP(2,1/(('Match Log'!$D$4:$D$1510=$S$24)*('Match Log'!$A$4:$A$1510&lt;=$J460)),'Match Log'!$N$4:$N$1510),NA()))</f>
        <v>#N/A</v>
      </c>
      <c r="T460" t="e">
        <f>IF($J460&gt;MAX('Match Log'!$A$4:$A$1510),NA(),IFERROR(LOOKUP(2,1/(('Match Log'!$D$4:$D$1510=$T$24)*('Match Log'!$A$4:$A$1510&lt;=$J460)),'Match Log'!$N$4:$N$1510),NA()))</f>
        <v>#N/A</v>
      </c>
      <c r="U460" t="e">
        <f>IF($J460&gt;MAX('Match Log'!$A$4:$A$1510),NA(),IFERROR(LOOKUP(2,1/(('Match Log'!$D$4:$D$1510=$U$24)*('Match Log'!$A$4:$A$1510&lt;=$J460)),'Match Log'!$N$4:$N$1510),NA()))</f>
        <v>#N/A</v>
      </c>
      <c r="V460" t="e">
        <f>IF($J460&gt;MAX('Match Log'!$A$4:$A$1510),NA(),IFERROR(LOOKUP(2,1/(('Match Log'!$D$4:$D$1510=$V$24)*('Match Log'!$A$4:$A$1510&lt;=$J460)),'Match Log'!$N$4:$N$1510),NA()))</f>
        <v>#N/A</v>
      </c>
      <c r="W460" t="e">
        <f>IF($J460&gt;MAX('Match Log'!$A$4:$A$1510),NA(),IFERROR(LOOKUP(2,1/(('Match Log'!$D$4:$D$1510=$W$24)*('Match Log'!$A$4:$A$1510&lt;=$J460)),'Match Log'!$N$4:$N$1510),NA()))</f>
        <v>#N/A</v>
      </c>
      <c r="X460" t="e">
        <f>IF($J460&gt;MAX('Match Log'!$A$4:$A$1510),NA(),IFERROR(LOOKUP(2,1/(('Match Log'!$D$4:$D$1510=$X$24)*('Match Log'!$A$4:$A$1510&lt;=$J460)),'Match Log'!$N$4:$N$1510),NA()))</f>
        <v>#N/A</v>
      </c>
      <c r="Y460" t="str">
        <f t="shared" ca="1" si="37"/>
        <v/>
      </c>
    </row>
    <row r="461" spans="1:25" x14ac:dyDescent="0.2">
      <c r="A461">
        <v>437</v>
      </c>
      <c r="B461" t="str">
        <f>IFERROR(INDEX('Match Log'!$B$4:$B$1510,MATCH($A461,'Match Log'!$A$4:$A$1510,0)),"")</f>
        <v/>
      </c>
      <c r="C461" t="str">
        <f>IFERROR(INDEX('Match Log'!$C$4:$C$1510,MATCH($A461,'Match Log'!$A$4:$A$1510,0)),"")</f>
        <v/>
      </c>
      <c r="D461" t="str">
        <f t="array" ref="D461">IFERROR(_xlfn.TEXTJOIN(" + ",TRUE(),IF(('Match Log'!$A$4:$A$1510=$A461)*('Match Log'!$E$4:$E$1510="Win"),'Match Log'!$D$4:$D$1510,"")),IFERROR(LOOKUP(2,1/(('Match Log'!$A$4:$A$1510=$A461)*('Match Log'!$E$4:$E$1510="Win")),'Match Log'!$D$4:$D$1510),""))</f>
        <v/>
      </c>
      <c r="E461" t="str">
        <f>IFERROR(INDEX('Match Log'!$F$4:$F$1510,MATCH($A461,'Match Log'!$A$4:$A$1510,0)),"")</f>
        <v/>
      </c>
      <c r="F461">
        <f>IFERROR(SUMIFS('Match Log'!$I$4:$I$1510,'Match Log'!$A$4:$A$1510,$A461,'Match Log'!$E$4:$E$1510,"Win"),"")</f>
        <v>0</v>
      </c>
      <c r="G461" t="str">
        <f t="shared" si="35"/>
        <v/>
      </c>
      <c r="H461" t="str">
        <f t="array" ref="H461">IFERROR(IF(COUNTIFS('Match Log'!$A$4:$A$1510,$A461,'Match Log'!$E$4:$E$1510,"Win")&gt;1,_xlfn.TEXTJOIN(" + ",TRUE(),IF(('Match Log'!$A$4:$A$1510=$A461)*('Match Log'!$E$4:$E$1510="Loss"),'Match Log'!$D$4:$D$1510,"")),IF($E461=2,LOOKUP(2,1/(('Match Log'!$A$4:$A$1510=$A461)*('Match Log'!$E$4:$E$1510="Loss")),'Match Log'!$D$4:$D$1510),"the field")),"")</f>
        <v>the field</v>
      </c>
      <c r="I461" t="str">
        <f t="shared" si="36"/>
        <v/>
      </c>
      <c r="J461">
        <v>437</v>
      </c>
      <c r="K461" t="e">
        <f>IF($J461&gt;MAX('Match Log'!$A$4:$A$1510),NA(),IFERROR(LOOKUP(2,1/(('Match Log'!$D$4:$D$1510=$K$24)*('Match Log'!$A$4:$A$1510&lt;=$J461)),'Match Log'!$N$4:$N$1510),NA()))</f>
        <v>#N/A</v>
      </c>
      <c r="L461" t="e">
        <f>IF($J461&gt;MAX('Match Log'!$A$4:$A$1510),NA(),IFERROR(LOOKUP(2,1/(('Match Log'!$D$4:$D$1510=$L$24)*('Match Log'!$A$4:$A$1510&lt;=$J461)),'Match Log'!$N$4:$N$1510),NA()))</f>
        <v>#N/A</v>
      </c>
      <c r="M461" t="e">
        <f>IF($J461&gt;MAX('Match Log'!$A$4:$A$1510),NA(),IFERROR(LOOKUP(2,1/(('Match Log'!$D$4:$D$1510=$M$24)*('Match Log'!$A$4:$A$1510&lt;=$J461)),'Match Log'!$N$4:$N$1510),NA()))</f>
        <v>#N/A</v>
      </c>
      <c r="N461" t="e">
        <f>IF($J461&gt;MAX('Match Log'!$A$4:$A$1510),NA(),IFERROR(LOOKUP(2,1/(('Match Log'!$D$4:$D$1510=$N$24)*('Match Log'!$A$4:$A$1510&lt;=$J461)),'Match Log'!$N$4:$N$1510),NA()))</f>
        <v>#N/A</v>
      </c>
      <c r="O461" t="e">
        <f>IF($J461&gt;MAX('Match Log'!$A$4:$A$1510),NA(),IFERROR(LOOKUP(2,1/(('Match Log'!$D$4:$D$1510=$O$24)*('Match Log'!$A$4:$A$1510&lt;=$J461)),'Match Log'!$N$4:$N$1510),NA()))</f>
        <v>#N/A</v>
      </c>
      <c r="P461" t="e">
        <f>IF($J461&gt;MAX('Match Log'!$A$4:$A$1510),NA(),IFERROR(LOOKUP(2,1/(('Match Log'!$D$4:$D$1510=$P$24)*('Match Log'!$A$4:$A$1510&lt;=$J461)),'Match Log'!$N$4:$N$1510),NA()))</f>
        <v>#N/A</v>
      </c>
      <c r="Q461" t="e">
        <f>IF($J461&gt;MAX('Match Log'!$A$4:$A$1510),NA(),IFERROR(LOOKUP(2,1/(('Match Log'!$D$4:$D$1510=$Q$24)*('Match Log'!$A$4:$A$1510&lt;=$J461)),'Match Log'!$N$4:$N$1510),NA()))</f>
        <v>#N/A</v>
      </c>
      <c r="R461" t="e">
        <f>IF($J461&gt;MAX('Match Log'!$A$4:$A$1510),NA(),IFERROR(LOOKUP(2,1/(('Match Log'!$D$4:$D$1510=$R$24)*('Match Log'!$A$4:$A$1510&lt;=$J461)),'Match Log'!$N$4:$N$1510),NA()))</f>
        <v>#N/A</v>
      </c>
      <c r="S461" t="e">
        <f>IF($J461&gt;MAX('Match Log'!$A$4:$A$1510),NA(),IFERROR(LOOKUP(2,1/(('Match Log'!$D$4:$D$1510=$S$24)*('Match Log'!$A$4:$A$1510&lt;=$J461)),'Match Log'!$N$4:$N$1510),NA()))</f>
        <v>#N/A</v>
      </c>
      <c r="T461" t="e">
        <f>IF($J461&gt;MAX('Match Log'!$A$4:$A$1510),NA(),IFERROR(LOOKUP(2,1/(('Match Log'!$D$4:$D$1510=$T$24)*('Match Log'!$A$4:$A$1510&lt;=$J461)),'Match Log'!$N$4:$N$1510),NA()))</f>
        <v>#N/A</v>
      </c>
      <c r="U461" t="e">
        <f>IF($J461&gt;MAX('Match Log'!$A$4:$A$1510),NA(),IFERROR(LOOKUP(2,1/(('Match Log'!$D$4:$D$1510=$U$24)*('Match Log'!$A$4:$A$1510&lt;=$J461)),'Match Log'!$N$4:$N$1510),NA()))</f>
        <v>#N/A</v>
      </c>
      <c r="V461" t="e">
        <f>IF($J461&gt;MAX('Match Log'!$A$4:$A$1510),NA(),IFERROR(LOOKUP(2,1/(('Match Log'!$D$4:$D$1510=$V$24)*('Match Log'!$A$4:$A$1510&lt;=$J461)),'Match Log'!$N$4:$N$1510),NA()))</f>
        <v>#N/A</v>
      </c>
      <c r="W461" t="e">
        <f>IF($J461&gt;MAX('Match Log'!$A$4:$A$1510),NA(),IFERROR(LOOKUP(2,1/(('Match Log'!$D$4:$D$1510=$W$24)*('Match Log'!$A$4:$A$1510&lt;=$J461)),'Match Log'!$N$4:$N$1510),NA()))</f>
        <v>#N/A</v>
      </c>
      <c r="X461" t="e">
        <f>IF($J461&gt;MAX('Match Log'!$A$4:$A$1510),NA(),IFERROR(LOOKUP(2,1/(('Match Log'!$D$4:$D$1510=$X$24)*('Match Log'!$A$4:$A$1510&lt;=$J461)),'Match Log'!$N$4:$N$1510),NA()))</f>
        <v>#N/A</v>
      </c>
      <c r="Y461" t="str">
        <f t="shared" ca="1" si="37"/>
        <v/>
      </c>
    </row>
    <row r="462" spans="1:25" x14ac:dyDescent="0.2">
      <c r="A462">
        <v>438</v>
      </c>
      <c r="B462" t="str">
        <f>IFERROR(INDEX('Match Log'!$B$4:$B$1510,MATCH($A462,'Match Log'!$A$4:$A$1510,0)),"")</f>
        <v/>
      </c>
      <c r="C462" t="str">
        <f>IFERROR(INDEX('Match Log'!$C$4:$C$1510,MATCH($A462,'Match Log'!$A$4:$A$1510,0)),"")</f>
        <v/>
      </c>
      <c r="D462" t="str">
        <f t="array" ref="D462">IFERROR(_xlfn.TEXTJOIN(" + ",TRUE(),IF(('Match Log'!$A$4:$A$1510=$A462)*('Match Log'!$E$4:$E$1510="Win"),'Match Log'!$D$4:$D$1510,"")),IFERROR(LOOKUP(2,1/(('Match Log'!$A$4:$A$1510=$A462)*('Match Log'!$E$4:$E$1510="Win")),'Match Log'!$D$4:$D$1510),""))</f>
        <v/>
      </c>
      <c r="E462" t="str">
        <f>IFERROR(INDEX('Match Log'!$F$4:$F$1510,MATCH($A462,'Match Log'!$A$4:$A$1510,0)),"")</f>
        <v/>
      </c>
      <c r="F462">
        <f>IFERROR(SUMIFS('Match Log'!$I$4:$I$1510,'Match Log'!$A$4:$A$1510,$A462,'Match Log'!$E$4:$E$1510,"Win"),"")</f>
        <v>0</v>
      </c>
      <c r="G462" t="str">
        <f t="shared" si="35"/>
        <v/>
      </c>
      <c r="H462" t="str">
        <f t="array" ref="H462">IFERROR(IF(COUNTIFS('Match Log'!$A$4:$A$1510,$A462,'Match Log'!$E$4:$E$1510,"Win")&gt;1,_xlfn.TEXTJOIN(" + ",TRUE(),IF(('Match Log'!$A$4:$A$1510=$A462)*('Match Log'!$E$4:$E$1510="Loss"),'Match Log'!$D$4:$D$1510,"")),IF($E462=2,LOOKUP(2,1/(('Match Log'!$A$4:$A$1510=$A462)*('Match Log'!$E$4:$E$1510="Loss")),'Match Log'!$D$4:$D$1510),"the field")),"")</f>
        <v>the field</v>
      </c>
      <c r="I462" t="str">
        <f t="shared" si="36"/>
        <v/>
      </c>
      <c r="J462">
        <v>438</v>
      </c>
      <c r="K462" t="e">
        <f>IF($J462&gt;MAX('Match Log'!$A$4:$A$1510),NA(),IFERROR(LOOKUP(2,1/(('Match Log'!$D$4:$D$1510=$K$24)*('Match Log'!$A$4:$A$1510&lt;=$J462)),'Match Log'!$N$4:$N$1510),NA()))</f>
        <v>#N/A</v>
      </c>
      <c r="L462" t="e">
        <f>IF($J462&gt;MAX('Match Log'!$A$4:$A$1510),NA(),IFERROR(LOOKUP(2,1/(('Match Log'!$D$4:$D$1510=$L$24)*('Match Log'!$A$4:$A$1510&lt;=$J462)),'Match Log'!$N$4:$N$1510),NA()))</f>
        <v>#N/A</v>
      </c>
      <c r="M462" t="e">
        <f>IF($J462&gt;MAX('Match Log'!$A$4:$A$1510),NA(),IFERROR(LOOKUP(2,1/(('Match Log'!$D$4:$D$1510=$M$24)*('Match Log'!$A$4:$A$1510&lt;=$J462)),'Match Log'!$N$4:$N$1510),NA()))</f>
        <v>#N/A</v>
      </c>
      <c r="N462" t="e">
        <f>IF($J462&gt;MAX('Match Log'!$A$4:$A$1510),NA(),IFERROR(LOOKUP(2,1/(('Match Log'!$D$4:$D$1510=$N$24)*('Match Log'!$A$4:$A$1510&lt;=$J462)),'Match Log'!$N$4:$N$1510),NA()))</f>
        <v>#N/A</v>
      </c>
      <c r="O462" t="e">
        <f>IF($J462&gt;MAX('Match Log'!$A$4:$A$1510),NA(),IFERROR(LOOKUP(2,1/(('Match Log'!$D$4:$D$1510=$O$24)*('Match Log'!$A$4:$A$1510&lt;=$J462)),'Match Log'!$N$4:$N$1510),NA()))</f>
        <v>#N/A</v>
      </c>
      <c r="P462" t="e">
        <f>IF($J462&gt;MAX('Match Log'!$A$4:$A$1510),NA(),IFERROR(LOOKUP(2,1/(('Match Log'!$D$4:$D$1510=$P$24)*('Match Log'!$A$4:$A$1510&lt;=$J462)),'Match Log'!$N$4:$N$1510),NA()))</f>
        <v>#N/A</v>
      </c>
      <c r="Q462" t="e">
        <f>IF($J462&gt;MAX('Match Log'!$A$4:$A$1510),NA(),IFERROR(LOOKUP(2,1/(('Match Log'!$D$4:$D$1510=$Q$24)*('Match Log'!$A$4:$A$1510&lt;=$J462)),'Match Log'!$N$4:$N$1510),NA()))</f>
        <v>#N/A</v>
      </c>
      <c r="R462" t="e">
        <f>IF($J462&gt;MAX('Match Log'!$A$4:$A$1510),NA(),IFERROR(LOOKUP(2,1/(('Match Log'!$D$4:$D$1510=$R$24)*('Match Log'!$A$4:$A$1510&lt;=$J462)),'Match Log'!$N$4:$N$1510),NA()))</f>
        <v>#N/A</v>
      </c>
      <c r="S462" t="e">
        <f>IF($J462&gt;MAX('Match Log'!$A$4:$A$1510),NA(),IFERROR(LOOKUP(2,1/(('Match Log'!$D$4:$D$1510=$S$24)*('Match Log'!$A$4:$A$1510&lt;=$J462)),'Match Log'!$N$4:$N$1510),NA()))</f>
        <v>#N/A</v>
      </c>
      <c r="T462" t="e">
        <f>IF($J462&gt;MAX('Match Log'!$A$4:$A$1510),NA(),IFERROR(LOOKUP(2,1/(('Match Log'!$D$4:$D$1510=$T$24)*('Match Log'!$A$4:$A$1510&lt;=$J462)),'Match Log'!$N$4:$N$1510),NA()))</f>
        <v>#N/A</v>
      </c>
      <c r="U462" t="e">
        <f>IF($J462&gt;MAX('Match Log'!$A$4:$A$1510),NA(),IFERROR(LOOKUP(2,1/(('Match Log'!$D$4:$D$1510=$U$24)*('Match Log'!$A$4:$A$1510&lt;=$J462)),'Match Log'!$N$4:$N$1510),NA()))</f>
        <v>#N/A</v>
      </c>
      <c r="V462" t="e">
        <f>IF($J462&gt;MAX('Match Log'!$A$4:$A$1510),NA(),IFERROR(LOOKUP(2,1/(('Match Log'!$D$4:$D$1510=$V$24)*('Match Log'!$A$4:$A$1510&lt;=$J462)),'Match Log'!$N$4:$N$1510),NA()))</f>
        <v>#N/A</v>
      </c>
      <c r="W462" t="e">
        <f>IF($J462&gt;MAX('Match Log'!$A$4:$A$1510),NA(),IFERROR(LOOKUP(2,1/(('Match Log'!$D$4:$D$1510=$W$24)*('Match Log'!$A$4:$A$1510&lt;=$J462)),'Match Log'!$N$4:$N$1510),NA()))</f>
        <v>#N/A</v>
      </c>
      <c r="X462" t="e">
        <f>IF($J462&gt;MAX('Match Log'!$A$4:$A$1510),NA(),IFERROR(LOOKUP(2,1/(('Match Log'!$D$4:$D$1510=$X$24)*('Match Log'!$A$4:$A$1510&lt;=$J462)),'Match Log'!$N$4:$N$1510),NA()))</f>
        <v>#N/A</v>
      </c>
      <c r="Y462" t="str">
        <f t="shared" ca="1" si="37"/>
        <v/>
      </c>
    </row>
    <row r="463" spans="1:25" x14ac:dyDescent="0.2">
      <c r="A463">
        <v>439</v>
      </c>
      <c r="B463" t="str">
        <f>IFERROR(INDEX('Match Log'!$B$4:$B$1510,MATCH($A463,'Match Log'!$A$4:$A$1510,0)),"")</f>
        <v/>
      </c>
      <c r="C463" t="str">
        <f>IFERROR(INDEX('Match Log'!$C$4:$C$1510,MATCH($A463,'Match Log'!$A$4:$A$1510,0)),"")</f>
        <v/>
      </c>
      <c r="D463" t="str">
        <f t="array" ref="D463">IFERROR(_xlfn.TEXTJOIN(" + ",TRUE(),IF(('Match Log'!$A$4:$A$1510=$A463)*('Match Log'!$E$4:$E$1510="Win"),'Match Log'!$D$4:$D$1510,"")),IFERROR(LOOKUP(2,1/(('Match Log'!$A$4:$A$1510=$A463)*('Match Log'!$E$4:$E$1510="Win")),'Match Log'!$D$4:$D$1510),""))</f>
        <v/>
      </c>
      <c r="E463" t="str">
        <f>IFERROR(INDEX('Match Log'!$F$4:$F$1510,MATCH($A463,'Match Log'!$A$4:$A$1510,0)),"")</f>
        <v/>
      </c>
      <c r="F463">
        <f>IFERROR(SUMIFS('Match Log'!$I$4:$I$1510,'Match Log'!$A$4:$A$1510,$A463,'Match Log'!$E$4:$E$1510,"Win"),"")</f>
        <v>0</v>
      </c>
      <c r="G463" t="str">
        <f t="shared" si="35"/>
        <v/>
      </c>
      <c r="H463" t="str">
        <f t="array" ref="H463">IFERROR(IF(COUNTIFS('Match Log'!$A$4:$A$1510,$A463,'Match Log'!$E$4:$E$1510,"Win")&gt;1,_xlfn.TEXTJOIN(" + ",TRUE(),IF(('Match Log'!$A$4:$A$1510=$A463)*('Match Log'!$E$4:$E$1510="Loss"),'Match Log'!$D$4:$D$1510,"")),IF($E463=2,LOOKUP(2,1/(('Match Log'!$A$4:$A$1510=$A463)*('Match Log'!$E$4:$E$1510="Loss")),'Match Log'!$D$4:$D$1510),"the field")),"")</f>
        <v>the field</v>
      </c>
      <c r="I463" t="str">
        <f t="shared" si="36"/>
        <v/>
      </c>
      <c r="J463">
        <v>439</v>
      </c>
      <c r="K463" t="e">
        <f>IF($J463&gt;MAX('Match Log'!$A$4:$A$1510),NA(),IFERROR(LOOKUP(2,1/(('Match Log'!$D$4:$D$1510=$K$24)*('Match Log'!$A$4:$A$1510&lt;=$J463)),'Match Log'!$N$4:$N$1510),NA()))</f>
        <v>#N/A</v>
      </c>
      <c r="L463" t="e">
        <f>IF($J463&gt;MAX('Match Log'!$A$4:$A$1510),NA(),IFERROR(LOOKUP(2,1/(('Match Log'!$D$4:$D$1510=$L$24)*('Match Log'!$A$4:$A$1510&lt;=$J463)),'Match Log'!$N$4:$N$1510),NA()))</f>
        <v>#N/A</v>
      </c>
      <c r="M463" t="e">
        <f>IF($J463&gt;MAX('Match Log'!$A$4:$A$1510),NA(),IFERROR(LOOKUP(2,1/(('Match Log'!$D$4:$D$1510=$M$24)*('Match Log'!$A$4:$A$1510&lt;=$J463)),'Match Log'!$N$4:$N$1510),NA()))</f>
        <v>#N/A</v>
      </c>
      <c r="N463" t="e">
        <f>IF($J463&gt;MAX('Match Log'!$A$4:$A$1510),NA(),IFERROR(LOOKUP(2,1/(('Match Log'!$D$4:$D$1510=$N$24)*('Match Log'!$A$4:$A$1510&lt;=$J463)),'Match Log'!$N$4:$N$1510),NA()))</f>
        <v>#N/A</v>
      </c>
      <c r="O463" t="e">
        <f>IF($J463&gt;MAX('Match Log'!$A$4:$A$1510),NA(),IFERROR(LOOKUP(2,1/(('Match Log'!$D$4:$D$1510=$O$24)*('Match Log'!$A$4:$A$1510&lt;=$J463)),'Match Log'!$N$4:$N$1510),NA()))</f>
        <v>#N/A</v>
      </c>
      <c r="P463" t="e">
        <f>IF($J463&gt;MAX('Match Log'!$A$4:$A$1510),NA(),IFERROR(LOOKUP(2,1/(('Match Log'!$D$4:$D$1510=$P$24)*('Match Log'!$A$4:$A$1510&lt;=$J463)),'Match Log'!$N$4:$N$1510),NA()))</f>
        <v>#N/A</v>
      </c>
      <c r="Q463" t="e">
        <f>IF($J463&gt;MAX('Match Log'!$A$4:$A$1510),NA(),IFERROR(LOOKUP(2,1/(('Match Log'!$D$4:$D$1510=$Q$24)*('Match Log'!$A$4:$A$1510&lt;=$J463)),'Match Log'!$N$4:$N$1510),NA()))</f>
        <v>#N/A</v>
      </c>
      <c r="R463" t="e">
        <f>IF($J463&gt;MAX('Match Log'!$A$4:$A$1510),NA(),IFERROR(LOOKUP(2,1/(('Match Log'!$D$4:$D$1510=$R$24)*('Match Log'!$A$4:$A$1510&lt;=$J463)),'Match Log'!$N$4:$N$1510),NA()))</f>
        <v>#N/A</v>
      </c>
      <c r="S463" t="e">
        <f>IF($J463&gt;MAX('Match Log'!$A$4:$A$1510),NA(),IFERROR(LOOKUP(2,1/(('Match Log'!$D$4:$D$1510=$S$24)*('Match Log'!$A$4:$A$1510&lt;=$J463)),'Match Log'!$N$4:$N$1510),NA()))</f>
        <v>#N/A</v>
      </c>
      <c r="T463" t="e">
        <f>IF($J463&gt;MAX('Match Log'!$A$4:$A$1510),NA(),IFERROR(LOOKUP(2,1/(('Match Log'!$D$4:$D$1510=$T$24)*('Match Log'!$A$4:$A$1510&lt;=$J463)),'Match Log'!$N$4:$N$1510),NA()))</f>
        <v>#N/A</v>
      </c>
      <c r="U463" t="e">
        <f>IF($J463&gt;MAX('Match Log'!$A$4:$A$1510),NA(),IFERROR(LOOKUP(2,1/(('Match Log'!$D$4:$D$1510=$U$24)*('Match Log'!$A$4:$A$1510&lt;=$J463)),'Match Log'!$N$4:$N$1510),NA()))</f>
        <v>#N/A</v>
      </c>
      <c r="V463" t="e">
        <f>IF($J463&gt;MAX('Match Log'!$A$4:$A$1510),NA(),IFERROR(LOOKUP(2,1/(('Match Log'!$D$4:$D$1510=$V$24)*('Match Log'!$A$4:$A$1510&lt;=$J463)),'Match Log'!$N$4:$N$1510),NA()))</f>
        <v>#N/A</v>
      </c>
      <c r="W463" t="e">
        <f>IF($J463&gt;MAX('Match Log'!$A$4:$A$1510),NA(),IFERROR(LOOKUP(2,1/(('Match Log'!$D$4:$D$1510=$W$24)*('Match Log'!$A$4:$A$1510&lt;=$J463)),'Match Log'!$N$4:$N$1510),NA()))</f>
        <v>#N/A</v>
      </c>
      <c r="X463" t="e">
        <f>IF($J463&gt;MAX('Match Log'!$A$4:$A$1510),NA(),IFERROR(LOOKUP(2,1/(('Match Log'!$D$4:$D$1510=$X$24)*('Match Log'!$A$4:$A$1510&lt;=$J463)),'Match Log'!$N$4:$N$1510),NA()))</f>
        <v>#N/A</v>
      </c>
      <c r="Y463" t="str">
        <f t="shared" ca="1" si="37"/>
        <v/>
      </c>
    </row>
    <row r="464" spans="1:25" x14ac:dyDescent="0.2">
      <c r="A464">
        <v>440</v>
      </c>
      <c r="B464" t="str">
        <f>IFERROR(INDEX('Match Log'!$B$4:$B$1510,MATCH($A464,'Match Log'!$A$4:$A$1510,0)),"")</f>
        <v/>
      </c>
      <c r="C464" t="str">
        <f>IFERROR(INDEX('Match Log'!$C$4:$C$1510,MATCH($A464,'Match Log'!$A$4:$A$1510,0)),"")</f>
        <v/>
      </c>
      <c r="D464" t="str">
        <f t="array" ref="D464">IFERROR(_xlfn.TEXTJOIN(" + ",TRUE(),IF(('Match Log'!$A$4:$A$1510=$A464)*('Match Log'!$E$4:$E$1510="Win"),'Match Log'!$D$4:$D$1510,"")),IFERROR(LOOKUP(2,1/(('Match Log'!$A$4:$A$1510=$A464)*('Match Log'!$E$4:$E$1510="Win")),'Match Log'!$D$4:$D$1510),""))</f>
        <v/>
      </c>
      <c r="E464" t="str">
        <f>IFERROR(INDEX('Match Log'!$F$4:$F$1510,MATCH($A464,'Match Log'!$A$4:$A$1510,0)),"")</f>
        <v/>
      </c>
      <c r="F464">
        <f>IFERROR(SUMIFS('Match Log'!$I$4:$I$1510,'Match Log'!$A$4:$A$1510,$A464,'Match Log'!$E$4:$E$1510,"Win"),"")</f>
        <v>0</v>
      </c>
      <c r="G464" t="str">
        <f t="shared" si="35"/>
        <v/>
      </c>
      <c r="H464" t="str">
        <f t="array" ref="H464">IFERROR(IF(COUNTIFS('Match Log'!$A$4:$A$1510,$A464,'Match Log'!$E$4:$E$1510,"Win")&gt;1,_xlfn.TEXTJOIN(" + ",TRUE(),IF(('Match Log'!$A$4:$A$1510=$A464)*('Match Log'!$E$4:$E$1510="Loss"),'Match Log'!$D$4:$D$1510,"")),IF($E464=2,LOOKUP(2,1/(('Match Log'!$A$4:$A$1510=$A464)*('Match Log'!$E$4:$E$1510="Loss")),'Match Log'!$D$4:$D$1510),"the field")),"")</f>
        <v>the field</v>
      </c>
      <c r="I464" t="str">
        <f t="shared" si="36"/>
        <v/>
      </c>
      <c r="J464">
        <v>440</v>
      </c>
      <c r="K464" t="e">
        <f>IF($J464&gt;MAX('Match Log'!$A$4:$A$1510),NA(),IFERROR(LOOKUP(2,1/(('Match Log'!$D$4:$D$1510=$K$24)*('Match Log'!$A$4:$A$1510&lt;=$J464)),'Match Log'!$N$4:$N$1510),NA()))</f>
        <v>#N/A</v>
      </c>
      <c r="L464" t="e">
        <f>IF($J464&gt;MAX('Match Log'!$A$4:$A$1510),NA(),IFERROR(LOOKUP(2,1/(('Match Log'!$D$4:$D$1510=$L$24)*('Match Log'!$A$4:$A$1510&lt;=$J464)),'Match Log'!$N$4:$N$1510),NA()))</f>
        <v>#N/A</v>
      </c>
      <c r="M464" t="e">
        <f>IF($J464&gt;MAX('Match Log'!$A$4:$A$1510),NA(),IFERROR(LOOKUP(2,1/(('Match Log'!$D$4:$D$1510=$M$24)*('Match Log'!$A$4:$A$1510&lt;=$J464)),'Match Log'!$N$4:$N$1510),NA()))</f>
        <v>#N/A</v>
      </c>
      <c r="N464" t="e">
        <f>IF($J464&gt;MAX('Match Log'!$A$4:$A$1510),NA(),IFERROR(LOOKUP(2,1/(('Match Log'!$D$4:$D$1510=$N$24)*('Match Log'!$A$4:$A$1510&lt;=$J464)),'Match Log'!$N$4:$N$1510),NA()))</f>
        <v>#N/A</v>
      </c>
      <c r="O464" t="e">
        <f>IF($J464&gt;MAX('Match Log'!$A$4:$A$1510),NA(),IFERROR(LOOKUP(2,1/(('Match Log'!$D$4:$D$1510=$O$24)*('Match Log'!$A$4:$A$1510&lt;=$J464)),'Match Log'!$N$4:$N$1510),NA()))</f>
        <v>#N/A</v>
      </c>
      <c r="P464" t="e">
        <f>IF($J464&gt;MAX('Match Log'!$A$4:$A$1510),NA(),IFERROR(LOOKUP(2,1/(('Match Log'!$D$4:$D$1510=$P$24)*('Match Log'!$A$4:$A$1510&lt;=$J464)),'Match Log'!$N$4:$N$1510),NA()))</f>
        <v>#N/A</v>
      </c>
      <c r="Q464" t="e">
        <f>IF($J464&gt;MAX('Match Log'!$A$4:$A$1510),NA(),IFERROR(LOOKUP(2,1/(('Match Log'!$D$4:$D$1510=$Q$24)*('Match Log'!$A$4:$A$1510&lt;=$J464)),'Match Log'!$N$4:$N$1510),NA()))</f>
        <v>#N/A</v>
      </c>
      <c r="R464" t="e">
        <f>IF($J464&gt;MAX('Match Log'!$A$4:$A$1510),NA(),IFERROR(LOOKUP(2,1/(('Match Log'!$D$4:$D$1510=$R$24)*('Match Log'!$A$4:$A$1510&lt;=$J464)),'Match Log'!$N$4:$N$1510),NA()))</f>
        <v>#N/A</v>
      </c>
      <c r="S464" t="e">
        <f>IF($J464&gt;MAX('Match Log'!$A$4:$A$1510),NA(),IFERROR(LOOKUP(2,1/(('Match Log'!$D$4:$D$1510=$S$24)*('Match Log'!$A$4:$A$1510&lt;=$J464)),'Match Log'!$N$4:$N$1510),NA()))</f>
        <v>#N/A</v>
      </c>
      <c r="T464" t="e">
        <f>IF($J464&gt;MAX('Match Log'!$A$4:$A$1510),NA(),IFERROR(LOOKUP(2,1/(('Match Log'!$D$4:$D$1510=$T$24)*('Match Log'!$A$4:$A$1510&lt;=$J464)),'Match Log'!$N$4:$N$1510),NA()))</f>
        <v>#N/A</v>
      </c>
      <c r="U464" t="e">
        <f>IF($J464&gt;MAX('Match Log'!$A$4:$A$1510),NA(),IFERROR(LOOKUP(2,1/(('Match Log'!$D$4:$D$1510=$U$24)*('Match Log'!$A$4:$A$1510&lt;=$J464)),'Match Log'!$N$4:$N$1510),NA()))</f>
        <v>#N/A</v>
      </c>
      <c r="V464" t="e">
        <f>IF($J464&gt;MAX('Match Log'!$A$4:$A$1510),NA(),IFERROR(LOOKUP(2,1/(('Match Log'!$D$4:$D$1510=$V$24)*('Match Log'!$A$4:$A$1510&lt;=$J464)),'Match Log'!$N$4:$N$1510),NA()))</f>
        <v>#N/A</v>
      </c>
      <c r="W464" t="e">
        <f>IF($J464&gt;MAX('Match Log'!$A$4:$A$1510),NA(),IFERROR(LOOKUP(2,1/(('Match Log'!$D$4:$D$1510=$W$24)*('Match Log'!$A$4:$A$1510&lt;=$J464)),'Match Log'!$N$4:$N$1510),NA()))</f>
        <v>#N/A</v>
      </c>
      <c r="X464" t="e">
        <f>IF($J464&gt;MAX('Match Log'!$A$4:$A$1510),NA(),IFERROR(LOOKUP(2,1/(('Match Log'!$D$4:$D$1510=$X$24)*('Match Log'!$A$4:$A$1510&lt;=$J464)),'Match Log'!$N$4:$N$1510),NA()))</f>
        <v>#N/A</v>
      </c>
      <c r="Y464" t="str">
        <f t="shared" ca="1" si="37"/>
        <v/>
      </c>
    </row>
    <row r="465" spans="1:25" x14ac:dyDescent="0.2">
      <c r="A465">
        <v>441</v>
      </c>
      <c r="B465" t="str">
        <f>IFERROR(INDEX('Match Log'!$B$4:$B$1510,MATCH($A465,'Match Log'!$A$4:$A$1510,0)),"")</f>
        <v/>
      </c>
      <c r="C465" t="str">
        <f>IFERROR(INDEX('Match Log'!$C$4:$C$1510,MATCH($A465,'Match Log'!$A$4:$A$1510,0)),"")</f>
        <v/>
      </c>
      <c r="D465" t="str">
        <f t="array" ref="D465">IFERROR(_xlfn.TEXTJOIN(" + ",TRUE(),IF(('Match Log'!$A$4:$A$1510=$A465)*('Match Log'!$E$4:$E$1510="Win"),'Match Log'!$D$4:$D$1510,"")),IFERROR(LOOKUP(2,1/(('Match Log'!$A$4:$A$1510=$A465)*('Match Log'!$E$4:$E$1510="Win")),'Match Log'!$D$4:$D$1510),""))</f>
        <v/>
      </c>
      <c r="E465" t="str">
        <f>IFERROR(INDEX('Match Log'!$F$4:$F$1510,MATCH($A465,'Match Log'!$A$4:$A$1510,0)),"")</f>
        <v/>
      </c>
      <c r="F465">
        <f>IFERROR(SUMIFS('Match Log'!$I$4:$I$1510,'Match Log'!$A$4:$A$1510,$A465,'Match Log'!$E$4:$E$1510,"Win"),"")</f>
        <v>0</v>
      </c>
      <c r="G465" t="str">
        <f t="shared" si="35"/>
        <v/>
      </c>
      <c r="H465" t="str">
        <f t="array" ref="H465">IFERROR(IF(COUNTIFS('Match Log'!$A$4:$A$1510,$A465,'Match Log'!$E$4:$E$1510,"Win")&gt;1,_xlfn.TEXTJOIN(" + ",TRUE(),IF(('Match Log'!$A$4:$A$1510=$A465)*('Match Log'!$E$4:$E$1510="Loss"),'Match Log'!$D$4:$D$1510,"")),IF($E465=2,LOOKUP(2,1/(('Match Log'!$A$4:$A$1510=$A465)*('Match Log'!$E$4:$E$1510="Loss")),'Match Log'!$D$4:$D$1510),"the field")),"")</f>
        <v>the field</v>
      </c>
      <c r="I465" t="str">
        <f t="shared" si="36"/>
        <v/>
      </c>
      <c r="J465">
        <v>441</v>
      </c>
      <c r="K465" t="e">
        <f>IF($J465&gt;MAX('Match Log'!$A$4:$A$1510),NA(),IFERROR(LOOKUP(2,1/(('Match Log'!$D$4:$D$1510=$K$24)*('Match Log'!$A$4:$A$1510&lt;=$J465)),'Match Log'!$N$4:$N$1510),NA()))</f>
        <v>#N/A</v>
      </c>
      <c r="L465" t="e">
        <f>IF($J465&gt;MAX('Match Log'!$A$4:$A$1510),NA(),IFERROR(LOOKUP(2,1/(('Match Log'!$D$4:$D$1510=$L$24)*('Match Log'!$A$4:$A$1510&lt;=$J465)),'Match Log'!$N$4:$N$1510),NA()))</f>
        <v>#N/A</v>
      </c>
      <c r="M465" t="e">
        <f>IF($J465&gt;MAX('Match Log'!$A$4:$A$1510),NA(),IFERROR(LOOKUP(2,1/(('Match Log'!$D$4:$D$1510=$M$24)*('Match Log'!$A$4:$A$1510&lt;=$J465)),'Match Log'!$N$4:$N$1510),NA()))</f>
        <v>#N/A</v>
      </c>
      <c r="N465" t="e">
        <f>IF($J465&gt;MAX('Match Log'!$A$4:$A$1510),NA(),IFERROR(LOOKUP(2,1/(('Match Log'!$D$4:$D$1510=$N$24)*('Match Log'!$A$4:$A$1510&lt;=$J465)),'Match Log'!$N$4:$N$1510),NA()))</f>
        <v>#N/A</v>
      </c>
      <c r="O465" t="e">
        <f>IF($J465&gt;MAX('Match Log'!$A$4:$A$1510),NA(),IFERROR(LOOKUP(2,1/(('Match Log'!$D$4:$D$1510=$O$24)*('Match Log'!$A$4:$A$1510&lt;=$J465)),'Match Log'!$N$4:$N$1510),NA()))</f>
        <v>#N/A</v>
      </c>
      <c r="P465" t="e">
        <f>IF($J465&gt;MAX('Match Log'!$A$4:$A$1510),NA(),IFERROR(LOOKUP(2,1/(('Match Log'!$D$4:$D$1510=$P$24)*('Match Log'!$A$4:$A$1510&lt;=$J465)),'Match Log'!$N$4:$N$1510),NA()))</f>
        <v>#N/A</v>
      </c>
      <c r="Q465" t="e">
        <f>IF($J465&gt;MAX('Match Log'!$A$4:$A$1510),NA(),IFERROR(LOOKUP(2,1/(('Match Log'!$D$4:$D$1510=$Q$24)*('Match Log'!$A$4:$A$1510&lt;=$J465)),'Match Log'!$N$4:$N$1510),NA()))</f>
        <v>#N/A</v>
      </c>
      <c r="R465" t="e">
        <f>IF($J465&gt;MAX('Match Log'!$A$4:$A$1510),NA(),IFERROR(LOOKUP(2,1/(('Match Log'!$D$4:$D$1510=$R$24)*('Match Log'!$A$4:$A$1510&lt;=$J465)),'Match Log'!$N$4:$N$1510),NA()))</f>
        <v>#N/A</v>
      </c>
      <c r="S465" t="e">
        <f>IF($J465&gt;MAX('Match Log'!$A$4:$A$1510),NA(),IFERROR(LOOKUP(2,1/(('Match Log'!$D$4:$D$1510=$S$24)*('Match Log'!$A$4:$A$1510&lt;=$J465)),'Match Log'!$N$4:$N$1510),NA()))</f>
        <v>#N/A</v>
      </c>
      <c r="T465" t="e">
        <f>IF($J465&gt;MAX('Match Log'!$A$4:$A$1510),NA(),IFERROR(LOOKUP(2,1/(('Match Log'!$D$4:$D$1510=$T$24)*('Match Log'!$A$4:$A$1510&lt;=$J465)),'Match Log'!$N$4:$N$1510),NA()))</f>
        <v>#N/A</v>
      </c>
      <c r="U465" t="e">
        <f>IF($J465&gt;MAX('Match Log'!$A$4:$A$1510),NA(),IFERROR(LOOKUP(2,1/(('Match Log'!$D$4:$D$1510=$U$24)*('Match Log'!$A$4:$A$1510&lt;=$J465)),'Match Log'!$N$4:$N$1510),NA()))</f>
        <v>#N/A</v>
      </c>
      <c r="V465" t="e">
        <f>IF($J465&gt;MAX('Match Log'!$A$4:$A$1510),NA(),IFERROR(LOOKUP(2,1/(('Match Log'!$D$4:$D$1510=$V$24)*('Match Log'!$A$4:$A$1510&lt;=$J465)),'Match Log'!$N$4:$N$1510),NA()))</f>
        <v>#N/A</v>
      </c>
      <c r="W465" t="e">
        <f>IF($J465&gt;MAX('Match Log'!$A$4:$A$1510),NA(),IFERROR(LOOKUP(2,1/(('Match Log'!$D$4:$D$1510=$W$24)*('Match Log'!$A$4:$A$1510&lt;=$J465)),'Match Log'!$N$4:$N$1510),NA()))</f>
        <v>#N/A</v>
      </c>
      <c r="X465" t="e">
        <f>IF($J465&gt;MAX('Match Log'!$A$4:$A$1510),NA(),IFERROR(LOOKUP(2,1/(('Match Log'!$D$4:$D$1510=$X$24)*('Match Log'!$A$4:$A$1510&lt;=$J465)),'Match Log'!$N$4:$N$1510),NA()))</f>
        <v>#N/A</v>
      </c>
      <c r="Y465" t="str">
        <f t="shared" ca="1" si="37"/>
        <v/>
      </c>
    </row>
    <row r="466" spans="1:25" x14ac:dyDescent="0.2">
      <c r="A466">
        <v>442</v>
      </c>
      <c r="B466" t="str">
        <f>IFERROR(INDEX('Match Log'!$B$4:$B$1510,MATCH($A466,'Match Log'!$A$4:$A$1510,0)),"")</f>
        <v/>
      </c>
      <c r="C466" t="str">
        <f>IFERROR(INDEX('Match Log'!$C$4:$C$1510,MATCH($A466,'Match Log'!$A$4:$A$1510,0)),"")</f>
        <v/>
      </c>
      <c r="D466" t="str">
        <f t="array" ref="D466">IFERROR(_xlfn.TEXTJOIN(" + ",TRUE(),IF(('Match Log'!$A$4:$A$1510=$A466)*('Match Log'!$E$4:$E$1510="Win"),'Match Log'!$D$4:$D$1510,"")),IFERROR(LOOKUP(2,1/(('Match Log'!$A$4:$A$1510=$A466)*('Match Log'!$E$4:$E$1510="Win")),'Match Log'!$D$4:$D$1510),""))</f>
        <v/>
      </c>
      <c r="E466" t="str">
        <f>IFERROR(INDEX('Match Log'!$F$4:$F$1510,MATCH($A466,'Match Log'!$A$4:$A$1510,0)),"")</f>
        <v/>
      </c>
      <c r="F466">
        <f>IFERROR(SUMIFS('Match Log'!$I$4:$I$1510,'Match Log'!$A$4:$A$1510,$A466,'Match Log'!$E$4:$E$1510,"Win"),"")</f>
        <v>0</v>
      </c>
      <c r="G466" t="str">
        <f t="shared" si="35"/>
        <v/>
      </c>
      <c r="H466" t="str">
        <f t="array" ref="H466">IFERROR(IF(COUNTIFS('Match Log'!$A$4:$A$1510,$A466,'Match Log'!$E$4:$E$1510,"Win")&gt;1,_xlfn.TEXTJOIN(" + ",TRUE(),IF(('Match Log'!$A$4:$A$1510=$A466)*('Match Log'!$E$4:$E$1510="Loss"),'Match Log'!$D$4:$D$1510,"")),IF($E466=2,LOOKUP(2,1/(('Match Log'!$A$4:$A$1510=$A466)*('Match Log'!$E$4:$E$1510="Loss")),'Match Log'!$D$4:$D$1510),"the field")),"")</f>
        <v>the field</v>
      </c>
      <c r="I466" t="str">
        <f t="shared" si="36"/>
        <v/>
      </c>
      <c r="J466">
        <v>442</v>
      </c>
      <c r="K466" t="e">
        <f>IF($J466&gt;MAX('Match Log'!$A$4:$A$1510),NA(),IFERROR(LOOKUP(2,1/(('Match Log'!$D$4:$D$1510=$K$24)*('Match Log'!$A$4:$A$1510&lt;=$J466)),'Match Log'!$N$4:$N$1510),NA()))</f>
        <v>#N/A</v>
      </c>
      <c r="L466" t="e">
        <f>IF($J466&gt;MAX('Match Log'!$A$4:$A$1510),NA(),IFERROR(LOOKUP(2,1/(('Match Log'!$D$4:$D$1510=$L$24)*('Match Log'!$A$4:$A$1510&lt;=$J466)),'Match Log'!$N$4:$N$1510),NA()))</f>
        <v>#N/A</v>
      </c>
      <c r="M466" t="e">
        <f>IF($J466&gt;MAX('Match Log'!$A$4:$A$1510),NA(),IFERROR(LOOKUP(2,1/(('Match Log'!$D$4:$D$1510=$M$24)*('Match Log'!$A$4:$A$1510&lt;=$J466)),'Match Log'!$N$4:$N$1510),NA()))</f>
        <v>#N/A</v>
      </c>
      <c r="N466" t="e">
        <f>IF($J466&gt;MAX('Match Log'!$A$4:$A$1510),NA(),IFERROR(LOOKUP(2,1/(('Match Log'!$D$4:$D$1510=$N$24)*('Match Log'!$A$4:$A$1510&lt;=$J466)),'Match Log'!$N$4:$N$1510),NA()))</f>
        <v>#N/A</v>
      </c>
      <c r="O466" t="e">
        <f>IF($J466&gt;MAX('Match Log'!$A$4:$A$1510),NA(),IFERROR(LOOKUP(2,1/(('Match Log'!$D$4:$D$1510=$O$24)*('Match Log'!$A$4:$A$1510&lt;=$J466)),'Match Log'!$N$4:$N$1510),NA()))</f>
        <v>#N/A</v>
      </c>
      <c r="P466" t="e">
        <f>IF($J466&gt;MAX('Match Log'!$A$4:$A$1510),NA(),IFERROR(LOOKUP(2,1/(('Match Log'!$D$4:$D$1510=$P$24)*('Match Log'!$A$4:$A$1510&lt;=$J466)),'Match Log'!$N$4:$N$1510),NA()))</f>
        <v>#N/A</v>
      </c>
      <c r="Q466" t="e">
        <f>IF($J466&gt;MAX('Match Log'!$A$4:$A$1510),NA(),IFERROR(LOOKUP(2,1/(('Match Log'!$D$4:$D$1510=$Q$24)*('Match Log'!$A$4:$A$1510&lt;=$J466)),'Match Log'!$N$4:$N$1510),NA()))</f>
        <v>#N/A</v>
      </c>
      <c r="R466" t="e">
        <f>IF($J466&gt;MAX('Match Log'!$A$4:$A$1510),NA(),IFERROR(LOOKUP(2,1/(('Match Log'!$D$4:$D$1510=$R$24)*('Match Log'!$A$4:$A$1510&lt;=$J466)),'Match Log'!$N$4:$N$1510),NA()))</f>
        <v>#N/A</v>
      </c>
      <c r="S466" t="e">
        <f>IF($J466&gt;MAX('Match Log'!$A$4:$A$1510),NA(),IFERROR(LOOKUP(2,1/(('Match Log'!$D$4:$D$1510=$S$24)*('Match Log'!$A$4:$A$1510&lt;=$J466)),'Match Log'!$N$4:$N$1510),NA()))</f>
        <v>#N/A</v>
      </c>
      <c r="T466" t="e">
        <f>IF($J466&gt;MAX('Match Log'!$A$4:$A$1510),NA(),IFERROR(LOOKUP(2,1/(('Match Log'!$D$4:$D$1510=$T$24)*('Match Log'!$A$4:$A$1510&lt;=$J466)),'Match Log'!$N$4:$N$1510),NA()))</f>
        <v>#N/A</v>
      </c>
      <c r="U466" t="e">
        <f>IF($J466&gt;MAX('Match Log'!$A$4:$A$1510),NA(),IFERROR(LOOKUP(2,1/(('Match Log'!$D$4:$D$1510=$U$24)*('Match Log'!$A$4:$A$1510&lt;=$J466)),'Match Log'!$N$4:$N$1510),NA()))</f>
        <v>#N/A</v>
      </c>
      <c r="V466" t="e">
        <f>IF($J466&gt;MAX('Match Log'!$A$4:$A$1510),NA(),IFERROR(LOOKUP(2,1/(('Match Log'!$D$4:$D$1510=$V$24)*('Match Log'!$A$4:$A$1510&lt;=$J466)),'Match Log'!$N$4:$N$1510),NA()))</f>
        <v>#N/A</v>
      </c>
      <c r="W466" t="e">
        <f>IF($J466&gt;MAX('Match Log'!$A$4:$A$1510),NA(),IFERROR(LOOKUP(2,1/(('Match Log'!$D$4:$D$1510=$W$24)*('Match Log'!$A$4:$A$1510&lt;=$J466)),'Match Log'!$N$4:$N$1510),NA()))</f>
        <v>#N/A</v>
      </c>
      <c r="X466" t="e">
        <f>IF($J466&gt;MAX('Match Log'!$A$4:$A$1510),NA(),IFERROR(LOOKUP(2,1/(('Match Log'!$D$4:$D$1510=$X$24)*('Match Log'!$A$4:$A$1510&lt;=$J466)),'Match Log'!$N$4:$N$1510),NA()))</f>
        <v>#N/A</v>
      </c>
      <c r="Y466" t="str">
        <f t="shared" ca="1" si="37"/>
        <v/>
      </c>
    </row>
    <row r="467" spans="1:25" x14ac:dyDescent="0.2">
      <c r="A467">
        <v>443</v>
      </c>
      <c r="B467" t="str">
        <f>IFERROR(INDEX('Match Log'!$B$4:$B$1510,MATCH($A467,'Match Log'!$A$4:$A$1510,0)),"")</f>
        <v/>
      </c>
      <c r="C467" t="str">
        <f>IFERROR(INDEX('Match Log'!$C$4:$C$1510,MATCH($A467,'Match Log'!$A$4:$A$1510,0)),"")</f>
        <v/>
      </c>
      <c r="D467" t="str">
        <f t="array" ref="D467">IFERROR(_xlfn.TEXTJOIN(" + ",TRUE(),IF(('Match Log'!$A$4:$A$1510=$A467)*('Match Log'!$E$4:$E$1510="Win"),'Match Log'!$D$4:$D$1510,"")),IFERROR(LOOKUP(2,1/(('Match Log'!$A$4:$A$1510=$A467)*('Match Log'!$E$4:$E$1510="Win")),'Match Log'!$D$4:$D$1510),""))</f>
        <v/>
      </c>
      <c r="E467" t="str">
        <f>IFERROR(INDEX('Match Log'!$F$4:$F$1510,MATCH($A467,'Match Log'!$A$4:$A$1510,0)),"")</f>
        <v/>
      </c>
      <c r="F467">
        <f>IFERROR(SUMIFS('Match Log'!$I$4:$I$1510,'Match Log'!$A$4:$A$1510,$A467,'Match Log'!$E$4:$E$1510,"Win"),"")</f>
        <v>0</v>
      </c>
      <c r="G467" t="str">
        <f t="shared" si="35"/>
        <v/>
      </c>
      <c r="H467" t="str">
        <f t="array" ref="H467">IFERROR(IF(COUNTIFS('Match Log'!$A$4:$A$1510,$A467,'Match Log'!$E$4:$E$1510,"Win")&gt;1,_xlfn.TEXTJOIN(" + ",TRUE(),IF(('Match Log'!$A$4:$A$1510=$A467)*('Match Log'!$E$4:$E$1510="Loss"),'Match Log'!$D$4:$D$1510,"")),IF($E467=2,LOOKUP(2,1/(('Match Log'!$A$4:$A$1510=$A467)*('Match Log'!$E$4:$E$1510="Loss")),'Match Log'!$D$4:$D$1510),"the field")),"")</f>
        <v>the field</v>
      </c>
      <c r="I467" t="str">
        <f t="shared" si="36"/>
        <v/>
      </c>
      <c r="J467">
        <v>443</v>
      </c>
      <c r="K467" t="e">
        <f>IF($J467&gt;MAX('Match Log'!$A$4:$A$1510),NA(),IFERROR(LOOKUP(2,1/(('Match Log'!$D$4:$D$1510=$K$24)*('Match Log'!$A$4:$A$1510&lt;=$J467)),'Match Log'!$N$4:$N$1510),NA()))</f>
        <v>#N/A</v>
      </c>
      <c r="L467" t="e">
        <f>IF($J467&gt;MAX('Match Log'!$A$4:$A$1510),NA(),IFERROR(LOOKUP(2,1/(('Match Log'!$D$4:$D$1510=$L$24)*('Match Log'!$A$4:$A$1510&lt;=$J467)),'Match Log'!$N$4:$N$1510),NA()))</f>
        <v>#N/A</v>
      </c>
      <c r="M467" t="e">
        <f>IF($J467&gt;MAX('Match Log'!$A$4:$A$1510),NA(),IFERROR(LOOKUP(2,1/(('Match Log'!$D$4:$D$1510=$M$24)*('Match Log'!$A$4:$A$1510&lt;=$J467)),'Match Log'!$N$4:$N$1510),NA()))</f>
        <v>#N/A</v>
      </c>
      <c r="N467" t="e">
        <f>IF($J467&gt;MAX('Match Log'!$A$4:$A$1510),NA(),IFERROR(LOOKUP(2,1/(('Match Log'!$D$4:$D$1510=$N$24)*('Match Log'!$A$4:$A$1510&lt;=$J467)),'Match Log'!$N$4:$N$1510),NA()))</f>
        <v>#N/A</v>
      </c>
      <c r="O467" t="e">
        <f>IF($J467&gt;MAX('Match Log'!$A$4:$A$1510),NA(),IFERROR(LOOKUP(2,1/(('Match Log'!$D$4:$D$1510=$O$24)*('Match Log'!$A$4:$A$1510&lt;=$J467)),'Match Log'!$N$4:$N$1510),NA()))</f>
        <v>#N/A</v>
      </c>
      <c r="P467" t="e">
        <f>IF($J467&gt;MAX('Match Log'!$A$4:$A$1510),NA(),IFERROR(LOOKUP(2,1/(('Match Log'!$D$4:$D$1510=$P$24)*('Match Log'!$A$4:$A$1510&lt;=$J467)),'Match Log'!$N$4:$N$1510),NA()))</f>
        <v>#N/A</v>
      </c>
      <c r="Q467" t="e">
        <f>IF($J467&gt;MAX('Match Log'!$A$4:$A$1510),NA(),IFERROR(LOOKUP(2,1/(('Match Log'!$D$4:$D$1510=$Q$24)*('Match Log'!$A$4:$A$1510&lt;=$J467)),'Match Log'!$N$4:$N$1510),NA()))</f>
        <v>#N/A</v>
      </c>
      <c r="R467" t="e">
        <f>IF($J467&gt;MAX('Match Log'!$A$4:$A$1510),NA(),IFERROR(LOOKUP(2,1/(('Match Log'!$D$4:$D$1510=$R$24)*('Match Log'!$A$4:$A$1510&lt;=$J467)),'Match Log'!$N$4:$N$1510),NA()))</f>
        <v>#N/A</v>
      </c>
      <c r="S467" t="e">
        <f>IF($J467&gt;MAX('Match Log'!$A$4:$A$1510),NA(),IFERROR(LOOKUP(2,1/(('Match Log'!$D$4:$D$1510=$S$24)*('Match Log'!$A$4:$A$1510&lt;=$J467)),'Match Log'!$N$4:$N$1510),NA()))</f>
        <v>#N/A</v>
      </c>
      <c r="T467" t="e">
        <f>IF($J467&gt;MAX('Match Log'!$A$4:$A$1510),NA(),IFERROR(LOOKUP(2,1/(('Match Log'!$D$4:$D$1510=$T$24)*('Match Log'!$A$4:$A$1510&lt;=$J467)),'Match Log'!$N$4:$N$1510),NA()))</f>
        <v>#N/A</v>
      </c>
      <c r="U467" t="e">
        <f>IF($J467&gt;MAX('Match Log'!$A$4:$A$1510),NA(),IFERROR(LOOKUP(2,1/(('Match Log'!$D$4:$D$1510=$U$24)*('Match Log'!$A$4:$A$1510&lt;=$J467)),'Match Log'!$N$4:$N$1510),NA()))</f>
        <v>#N/A</v>
      </c>
      <c r="V467" t="e">
        <f>IF($J467&gt;MAX('Match Log'!$A$4:$A$1510),NA(),IFERROR(LOOKUP(2,1/(('Match Log'!$D$4:$D$1510=$V$24)*('Match Log'!$A$4:$A$1510&lt;=$J467)),'Match Log'!$N$4:$N$1510),NA()))</f>
        <v>#N/A</v>
      </c>
      <c r="W467" t="e">
        <f>IF($J467&gt;MAX('Match Log'!$A$4:$A$1510),NA(),IFERROR(LOOKUP(2,1/(('Match Log'!$D$4:$D$1510=$W$24)*('Match Log'!$A$4:$A$1510&lt;=$J467)),'Match Log'!$N$4:$N$1510),NA()))</f>
        <v>#N/A</v>
      </c>
      <c r="X467" t="e">
        <f>IF($J467&gt;MAX('Match Log'!$A$4:$A$1510),NA(),IFERROR(LOOKUP(2,1/(('Match Log'!$D$4:$D$1510=$X$24)*('Match Log'!$A$4:$A$1510&lt;=$J467)),'Match Log'!$N$4:$N$1510),NA()))</f>
        <v>#N/A</v>
      </c>
      <c r="Y467" t="str">
        <f t="shared" ca="1" si="37"/>
        <v/>
      </c>
    </row>
    <row r="468" spans="1:25" x14ac:dyDescent="0.2">
      <c r="A468">
        <v>444</v>
      </c>
      <c r="B468" t="str">
        <f>IFERROR(INDEX('Match Log'!$B$4:$B$1510,MATCH($A468,'Match Log'!$A$4:$A$1510,0)),"")</f>
        <v/>
      </c>
      <c r="C468" t="str">
        <f>IFERROR(INDEX('Match Log'!$C$4:$C$1510,MATCH($A468,'Match Log'!$A$4:$A$1510,0)),"")</f>
        <v/>
      </c>
      <c r="D468" t="str">
        <f t="array" ref="D468">IFERROR(_xlfn.TEXTJOIN(" + ",TRUE(),IF(('Match Log'!$A$4:$A$1510=$A468)*('Match Log'!$E$4:$E$1510="Win"),'Match Log'!$D$4:$D$1510,"")),IFERROR(LOOKUP(2,1/(('Match Log'!$A$4:$A$1510=$A468)*('Match Log'!$E$4:$E$1510="Win")),'Match Log'!$D$4:$D$1510),""))</f>
        <v/>
      </c>
      <c r="E468" t="str">
        <f>IFERROR(INDEX('Match Log'!$F$4:$F$1510,MATCH($A468,'Match Log'!$A$4:$A$1510,0)),"")</f>
        <v/>
      </c>
      <c r="F468">
        <f>IFERROR(SUMIFS('Match Log'!$I$4:$I$1510,'Match Log'!$A$4:$A$1510,$A468,'Match Log'!$E$4:$E$1510,"Win"),"")</f>
        <v>0</v>
      </c>
      <c r="G468" t="str">
        <f t="shared" si="35"/>
        <v/>
      </c>
      <c r="H468" t="str">
        <f t="array" ref="H468">IFERROR(IF(COUNTIFS('Match Log'!$A$4:$A$1510,$A468,'Match Log'!$E$4:$E$1510,"Win")&gt;1,_xlfn.TEXTJOIN(" + ",TRUE(),IF(('Match Log'!$A$4:$A$1510=$A468)*('Match Log'!$E$4:$E$1510="Loss"),'Match Log'!$D$4:$D$1510,"")),IF($E468=2,LOOKUP(2,1/(('Match Log'!$A$4:$A$1510=$A468)*('Match Log'!$E$4:$E$1510="Loss")),'Match Log'!$D$4:$D$1510),"the field")),"")</f>
        <v>the field</v>
      </c>
      <c r="I468" t="str">
        <f t="shared" si="36"/>
        <v/>
      </c>
      <c r="J468">
        <v>444</v>
      </c>
      <c r="K468" t="e">
        <f>IF($J468&gt;MAX('Match Log'!$A$4:$A$1510),NA(),IFERROR(LOOKUP(2,1/(('Match Log'!$D$4:$D$1510=$K$24)*('Match Log'!$A$4:$A$1510&lt;=$J468)),'Match Log'!$N$4:$N$1510),NA()))</f>
        <v>#N/A</v>
      </c>
      <c r="L468" t="e">
        <f>IF($J468&gt;MAX('Match Log'!$A$4:$A$1510),NA(),IFERROR(LOOKUP(2,1/(('Match Log'!$D$4:$D$1510=$L$24)*('Match Log'!$A$4:$A$1510&lt;=$J468)),'Match Log'!$N$4:$N$1510),NA()))</f>
        <v>#N/A</v>
      </c>
      <c r="M468" t="e">
        <f>IF($J468&gt;MAX('Match Log'!$A$4:$A$1510),NA(),IFERROR(LOOKUP(2,1/(('Match Log'!$D$4:$D$1510=$M$24)*('Match Log'!$A$4:$A$1510&lt;=$J468)),'Match Log'!$N$4:$N$1510),NA()))</f>
        <v>#N/A</v>
      </c>
      <c r="N468" t="e">
        <f>IF($J468&gt;MAX('Match Log'!$A$4:$A$1510),NA(),IFERROR(LOOKUP(2,1/(('Match Log'!$D$4:$D$1510=$N$24)*('Match Log'!$A$4:$A$1510&lt;=$J468)),'Match Log'!$N$4:$N$1510),NA()))</f>
        <v>#N/A</v>
      </c>
      <c r="O468" t="e">
        <f>IF($J468&gt;MAX('Match Log'!$A$4:$A$1510),NA(),IFERROR(LOOKUP(2,1/(('Match Log'!$D$4:$D$1510=$O$24)*('Match Log'!$A$4:$A$1510&lt;=$J468)),'Match Log'!$N$4:$N$1510),NA()))</f>
        <v>#N/A</v>
      </c>
      <c r="P468" t="e">
        <f>IF($J468&gt;MAX('Match Log'!$A$4:$A$1510),NA(),IFERROR(LOOKUP(2,1/(('Match Log'!$D$4:$D$1510=$P$24)*('Match Log'!$A$4:$A$1510&lt;=$J468)),'Match Log'!$N$4:$N$1510),NA()))</f>
        <v>#N/A</v>
      </c>
      <c r="Q468" t="e">
        <f>IF($J468&gt;MAX('Match Log'!$A$4:$A$1510),NA(),IFERROR(LOOKUP(2,1/(('Match Log'!$D$4:$D$1510=$Q$24)*('Match Log'!$A$4:$A$1510&lt;=$J468)),'Match Log'!$N$4:$N$1510),NA()))</f>
        <v>#N/A</v>
      </c>
      <c r="R468" t="e">
        <f>IF($J468&gt;MAX('Match Log'!$A$4:$A$1510),NA(),IFERROR(LOOKUP(2,1/(('Match Log'!$D$4:$D$1510=$R$24)*('Match Log'!$A$4:$A$1510&lt;=$J468)),'Match Log'!$N$4:$N$1510),NA()))</f>
        <v>#N/A</v>
      </c>
      <c r="S468" t="e">
        <f>IF($J468&gt;MAX('Match Log'!$A$4:$A$1510),NA(),IFERROR(LOOKUP(2,1/(('Match Log'!$D$4:$D$1510=$S$24)*('Match Log'!$A$4:$A$1510&lt;=$J468)),'Match Log'!$N$4:$N$1510),NA()))</f>
        <v>#N/A</v>
      </c>
      <c r="T468" t="e">
        <f>IF($J468&gt;MAX('Match Log'!$A$4:$A$1510),NA(),IFERROR(LOOKUP(2,1/(('Match Log'!$D$4:$D$1510=$T$24)*('Match Log'!$A$4:$A$1510&lt;=$J468)),'Match Log'!$N$4:$N$1510),NA()))</f>
        <v>#N/A</v>
      </c>
      <c r="U468" t="e">
        <f>IF($J468&gt;MAX('Match Log'!$A$4:$A$1510),NA(),IFERROR(LOOKUP(2,1/(('Match Log'!$D$4:$D$1510=$U$24)*('Match Log'!$A$4:$A$1510&lt;=$J468)),'Match Log'!$N$4:$N$1510),NA()))</f>
        <v>#N/A</v>
      </c>
      <c r="V468" t="e">
        <f>IF($J468&gt;MAX('Match Log'!$A$4:$A$1510),NA(),IFERROR(LOOKUP(2,1/(('Match Log'!$D$4:$D$1510=$V$24)*('Match Log'!$A$4:$A$1510&lt;=$J468)),'Match Log'!$N$4:$N$1510),NA()))</f>
        <v>#N/A</v>
      </c>
      <c r="W468" t="e">
        <f>IF($J468&gt;MAX('Match Log'!$A$4:$A$1510),NA(),IFERROR(LOOKUP(2,1/(('Match Log'!$D$4:$D$1510=$W$24)*('Match Log'!$A$4:$A$1510&lt;=$J468)),'Match Log'!$N$4:$N$1510),NA()))</f>
        <v>#N/A</v>
      </c>
      <c r="X468" t="e">
        <f>IF($J468&gt;MAX('Match Log'!$A$4:$A$1510),NA(),IFERROR(LOOKUP(2,1/(('Match Log'!$D$4:$D$1510=$X$24)*('Match Log'!$A$4:$A$1510&lt;=$J468)),'Match Log'!$N$4:$N$1510),NA()))</f>
        <v>#N/A</v>
      </c>
      <c r="Y468" t="str">
        <f t="shared" ca="1" si="37"/>
        <v/>
      </c>
    </row>
    <row r="469" spans="1:25" x14ac:dyDescent="0.2">
      <c r="A469">
        <v>445</v>
      </c>
      <c r="B469" t="str">
        <f>IFERROR(INDEX('Match Log'!$B$4:$B$1510,MATCH($A469,'Match Log'!$A$4:$A$1510,0)),"")</f>
        <v/>
      </c>
      <c r="C469" t="str">
        <f>IFERROR(INDEX('Match Log'!$C$4:$C$1510,MATCH($A469,'Match Log'!$A$4:$A$1510,0)),"")</f>
        <v/>
      </c>
      <c r="D469" t="str">
        <f t="array" ref="D469">IFERROR(_xlfn.TEXTJOIN(" + ",TRUE(),IF(('Match Log'!$A$4:$A$1510=$A469)*('Match Log'!$E$4:$E$1510="Win"),'Match Log'!$D$4:$D$1510,"")),IFERROR(LOOKUP(2,1/(('Match Log'!$A$4:$A$1510=$A469)*('Match Log'!$E$4:$E$1510="Win")),'Match Log'!$D$4:$D$1510),""))</f>
        <v/>
      </c>
      <c r="E469" t="str">
        <f>IFERROR(INDEX('Match Log'!$F$4:$F$1510,MATCH($A469,'Match Log'!$A$4:$A$1510,0)),"")</f>
        <v/>
      </c>
      <c r="F469">
        <f>IFERROR(SUMIFS('Match Log'!$I$4:$I$1510,'Match Log'!$A$4:$A$1510,$A469,'Match Log'!$E$4:$E$1510,"Win"),"")</f>
        <v>0</v>
      </c>
      <c r="G469" t="str">
        <f t="shared" si="35"/>
        <v/>
      </c>
      <c r="H469" t="str">
        <f t="array" ref="H469">IFERROR(IF(COUNTIFS('Match Log'!$A$4:$A$1510,$A469,'Match Log'!$E$4:$E$1510,"Win")&gt;1,_xlfn.TEXTJOIN(" + ",TRUE(),IF(('Match Log'!$A$4:$A$1510=$A469)*('Match Log'!$E$4:$E$1510="Loss"),'Match Log'!$D$4:$D$1510,"")),IF($E469=2,LOOKUP(2,1/(('Match Log'!$A$4:$A$1510=$A469)*('Match Log'!$E$4:$E$1510="Loss")),'Match Log'!$D$4:$D$1510),"the field")),"")</f>
        <v>the field</v>
      </c>
      <c r="I469" t="str">
        <f t="shared" si="36"/>
        <v/>
      </c>
      <c r="J469">
        <v>445</v>
      </c>
      <c r="K469" t="e">
        <f>IF($J469&gt;MAX('Match Log'!$A$4:$A$1510),NA(),IFERROR(LOOKUP(2,1/(('Match Log'!$D$4:$D$1510=$K$24)*('Match Log'!$A$4:$A$1510&lt;=$J469)),'Match Log'!$N$4:$N$1510),NA()))</f>
        <v>#N/A</v>
      </c>
      <c r="L469" t="e">
        <f>IF($J469&gt;MAX('Match Log'!$A$4:$A$1510),NA(),IFERROR(LOOKUP(2,1/(('Match Log'!$D$4:$D$1510=$L$24)*('Match Log'!$A$4:$A$1510&lt;=$J469)),'Match Log'!$N$4:$N$1510),NA()))</f>
        <v>#N/A</v>
      </c>
      <c r="M469" t="e">
        <f>IF($J469&gt;MAX('Match Log'!$A$4:$A$1510),NA(),IFERROR(LOOKUP(2,1/(('Match Log'!$D$4:$D$1510=$M$24)*('Match Log'!$A$4:$A$1510&lt;=$J469)),'Match Log'!$N$4:$N$1510),NA()))</f>
        <v>#N/A</v>
      </c>
      <c r="N469" t="e">
        <f>IF($J469&gt;MAX('Match Log'!$A$4:$A$1510),NA(),IFERROR(LOOKUP(2,1/(('Match Log'!$D$4:$D$1510=$N$24)*('Match Log'!$A$4:$A$1510&lt;=$J469)),'Match Log'!$N$4:$N$1510),NA()))</f>
        <v>#N/A</v>
      </c>
      <c r="O469" t="e">
        <f>IF($J469&gt;MAX('Match Log'!$A$4:$A$1510),NA(),IFERROR(LOOKUP(2,1/(('Match Log'!$D$4:$D$1510=$O$24)*('Match Log'!$A$4:$A$1510&lt;=$J469)),'Match Log'!$N$4:$N$1510),NA()))</f>
        <v>#N/A</v>
      </c>
      <c r="P469" t="e">
        <f>IF($J469&gt;MAX('Match Log'!$A$4:$A$1510),NA(),IFERROR(LOOKUP(2,1/(('Match Log'!$D$4:$D$1510=$P$24)*('Match Log'!$A$4:$A$1510&lt;=$J469)),'Match Log'!$N$4:$N$1510),NA()))</f>
        <v>#N/A</v>
      </c>
      <c r="Q469" t="e">
        <f>IF($J469&gt;MAX('Match Log'!$A$4:$A$1510),NA(),IFERROR(LOOKUP(2,1/(('Match Log'!$D$4:$D$1510=$Q$24)*('Match Log'!$A$4:$A$1510&lt;=$J469)),'Match Log'!$N$4:$N$1510),NA()))</f>
        <v>#N/A</v>
      </c>
      <c r="R469" t="e">
        <f>IF($J469&gt;MAX('Match Log'!$A$4:$A$1510),NA(),IFERROR(LOOKUP(2,1/(('Match Log'!$D$4:$D$1510=$R$24)*('Match Log'!$A$4:$A$1510&lt;=$J469)),'Match Log'!$N$4:$N$1510),NA()))</f>
        <v>#N/A</v>
      </c>
      <c r="S469" t="e">
        <f>IF($J469&gt;MAX('Match Log'!$A$4:$A$1510),NA(),IFERROR(LOOKUP(2,1/(('Match Log'!$D$4:$D$1510=$S$24)*('Match Log'!$A$4:$A$1510&lt;=$J469)),'Match Log'!$N$4:$N$1510),NA()))</f>
        <v>#N/A</v>
      </c>
      <c r="T469" t="e">
        <f>IF($J469&gt;MAX('Match Log'!$A$4:$A$1510),NA(),IFERROR(LOOKUP(2,1/(('Match Log'!$D$4:$D$1510=$T$24)*('Match Log'!$A$4:$A$1510&lt;=$J469)),'Match Log'!$N$4:$N$1510),NA()))</f>
        <v>#N/A</v>
      </c>
      <c r="U469" t="e">
        <f>IF($J469&gt;MAX('Match Log'!$A$4:$A$1510),NA(),IFERROR(LOOKUP(2,1/(('Match Log'!$D$4:$D$1510=$U$24)*('Match Log'!$A$4:$A$1510&lt;=$J469)),'Match Log'!$N$4:$N$1510),NA()))</f>
        <v>#N/A</v>
      </c>
      <c r="V469" t="e">
        <f>IF($J469&gt;MAX('Match Log'!$A$4:$A$1510),NA(),IFERROR(LOOKUP(2,1/(('Match Log'!$D$4:$D$1510=$V$24)*('Match Log'!$A$4:$A$1510&lt;=$J469)),'Match Log'!$N$4:$N$1510),NA()))</f>
        <v>#N/A</v>
      </c>
      <c r="W469" t="e">
        <f>IF($J469&gt;MAX('Match Log'!$A$4:$A$1510),NA(),IFERROR(LOOKUP(2,1/(('Match Log'!$D$4:$D$1510=$W$24)*('Match Log'!$A$4:$A$1510&lt;=$J469)),'Match Log'!$N$4:$N$1510),NA()))</f>
        <v>#N/A</v>
      </c>
      <c r="X469" t="e">
        <f>IF($J469&gt;MAX('Match Log'!$A$4:$A$1510),NA(),IFERROR(LOOKUP(2,1/(('Match Log'!$D$4:$D$1510=$X$24)*('Match Log'!$A$4:$A$1510&lt;=$J469)),'Match Log'!$N$4:$N$1510),NA()))</f>
        <v>#N/A</v>
      </c>
      <c r="Y469" t="str">
        <f t="shared" ca="1" si="37"/>
        <v/>
      </c>
    </row>
    <row r="470" spans="1:25" x14ac:dyDescent="0.2">
      <c r="A470">
        <v>446</v>
      </c>
      <c r="B470" t="str">
        <f>IFERROR(INDEX('Match Log'!$B$4:$B$1510,MATCH($A470,'Match Log'!$A$4:$A$1510,0)),"")</f>
        <v/>
      </c>
      <c r="C470" t="str">
        <f>IFERROR(INDEX('Match Log'!$C$4:$C$1510,MATCH($A470,'Match Log'!$A$4:$A$1510,0)),"")</f>
        <v/>
      </c>
      <c r="D470" t="str">
        <f t="array" ref="D470">IFERROR(_xlfn.TEXTJOIN(" + ",TRUE(),IF(('Match Log'!$A$4:$A$1510=$A470)*('Match Log'!$E$4:$E$1510="Win"),'Match Log'!$D$4:$D$1510,"")),IFERROR(LOOKUP(2,1/(('Match Log'!$A$4:$A$1510=$A470)*('Match Log'!$E$4:$E$1510="Win")),'Match Log'!$D$4:$D$1510),""))</f>
        <v/>
      </c>
      <c r="E470" t="str">
        <f>IFERROR(INDEX('Match Log'!$F$4:$F$1510,MATCH($A470,'Match Log'!$A$4:$A$1510,0)),"")</f>
        <v/>
      </c>
      <c r="F470">
        <f>IFERROR(SUMIFS('Match Log'!$I$4:$I$1510,'Match Log'!$A$4:$A$1510,$A470,'Match Log'!$E$4:$E$1510,"Win"),"")</f>
        <v>0</v>
      </c>
      <c r="G470" t="str">
        <f t="shared" si="35"/>
        <v/>
      </c>
      <c r="H470" t="str">
        <f t="array" ref="H470">IFERROR(IF(COUNTIFS('Match Log'!$A$4:$A$1510,$A470,'Match Log'!$E$4:$E$1510,"Win")&gt;1,_xlfn.TEXTJOIN(" + ",TRUE(),IF(('Match Log'!$A$4:$A$1510=$A470)*('Match Log'!$E$4:$E$1510="Loss"),'Match Log'!$D$4:$D$1510,"")),IF($E470=2,LOOKUP(2,1/(('Match Log'!$A$4:$A$1510=$A470)*('Match Log'!$E$4:$E$1510="Loss")),'Match Log'!$D$4:$D$1510),"the field")),"")</f>
        <v>the field</v>
      </c>
      <c r="I470" t="str">
        <f t="shared" si="36"/>
        <v/>
      </c>
      <c r="J470">
        <v>446</v>
      </c>
      <c r="K470" t="e">
        <f>IF($J470&gt;MAX('Match Log'!$A$4:$A$1510),NA(),IFERROR(LOOKUP(2,1/(('Match Log'!$D$4:$D$1510=$K$24)*('Match Log'!$A$4:$A$1510&lt;=$J470)),'Match Log'!$N$4:$N$1510),NA()))</f>
        <v>#N/A</v>
      </c>
      <c r="L470" t="e">
        <f>IF($J470&gt;MAX('Match Log'!$A$4:$A$1510),NA(),IFERROR(LOOKUP(2,1/(('Match Log'!$D$4:$D$1510=$L$24)*('Match Log'!$A$4:$A$1510&lt;=$J470)),'Match Log'!$N$4:$N$1510),NA()))</f>
        <v>#N/A</v>
      </c>
      <c r="M470" t="e">
        <f>IF($J470&gt;MAX('Match Log'!$A$4:$A$1510),NA(),IFERROR(LOOKUP(2,1/(('Match Log'!$D$4:$D$1510=$M$24)*('Match Log'!$A$4:$A$1510&lt;=$J470)),'Match Log'!$N$4:$N$1510),NA()))</f>
        <v>#N/A</v>
      </c>
      <c r="N470" t="e">
        <f>IF($J470&gt;MAX('Match Log'!$A$4:$A$1510),NA(),IFERROR(LOOKUP(2,1/(('Match Log'!$D$4:$D$1510=$N$24)*('Match Log'!$A$4:$A$1510&lt;=$J470)),'Match Log'!$N$4:$N$1510),NA()))</f>
        <v>#N/A</v>
      </c>
      <c r="O470" t="e">
        <f>IF($J470&gt;MAX('Match Log'!$A$4:$A$1510),NA(),IFERROR(LOOKUP(2,1/(('Match Log'!$D$4:$D$1510=$O$24)*('Match Log'!$A$4:$A$1510&lt;=$J470)),'Match Log'!$N$4:$N$1510),NA()))</f>
        <v>#N/A</v>
      </c>
      <c r="P470" t="e">
        <f>IF($J470&gt;MAX('Match Log'!$A$4:$A$1510),NA(),IFERROR(LOOKUP(2,1/(('Match Log'!$D$4:$D$1510=$P$24)*('Match Log'!$A$4:$A$1510&lt;=$J470)),'Match Log'!$N$4:$N$1510),NA()))</f>
        <v>#N/A</v>
      </c>
      <c r="Q470" t="e">
        <f>IF($J470&gt;MAX('Match Log'!$A$4:$A$1510),NA(),IFERROR(LOOKUP(2,1/(('Match Log'!$D$4:$D$1510=$Q$24)*('Match Log'!$A$4:$A$1510&lt;=$J470)),'Match Log'!$N$4:$N$1510),NA()))</f>
        <v>#N/A</v>
      </c>
      <c r="R470" t="e">
        <f>IF($J470&gt;MAX('Match Log'!$A$4:$A$1510),NA(),IFERROR(LOOKUP(2,1/(('Match Log'!$D$4:$D$1510=$R$24)*('Match Log'!$A$4:$A$1510&lt;=$J470)),'Match Log'!$N$4:$N$1510),NA()))</f>
        <v>#N/A</v>
      </c>
      <c r="S470" t="e">
        <f>IF($J470&gt;MAX('Match Log'!$A$4:$A$1510),NA(),IFERROR(LOOKUP(2,1/(('Match Log'!$D$4:$D$1510=$S$24)*('Match Log'!$A$4:$A$1510&lt;=$J470)),'Match Log'!$N$4:$N$1510),NA()))</f>
        <v>#N/A</v>
      </c>
      <c r="T470" t="e">
        <f>IF($J470&gt;MAX('Match Log'!$A$4:$A$1510),NA(),IFERROR(LOOKUP(2,1/(('Match Log'!$D$4:$D$1510=$T$24)*('Match Log'!$A$4:$A$1510&lt;=$J470)),'Match Log'!$N$4:$N$1510),NA()))</f>
        <v>#N/A</v>
      </c>
      <c r="U470" t="e">
        <f>IF($J470&gt;MAX('Match Log'!$A$4:$A$1510),NA(),IFERROR(LOOKUP(2,1/(('Match Log'!$D$4:$D$1510=$U$24)*('Match Log'!$A$4:$A$1510&lt;=$J470)),'Match Log'!$N$4:$N$1510),NA()))</f>
        <v>#N/A</v>
      </c>
      <c r="V470" t="e">
        <f>IF($J470&gt;MAX('Match Log'!$A$4:$A$1510),NA(),IFERROR(LOOKUP(2,1/(('Match Log'!$D$4:$D$1510=$V$24)*('Match Log'!$A$4:$A$1510&lt;=$J470)),'Match Log'!$N$4:$N$1510),NA()))</f>
        <v>#N/A</v>
      </c>
      <c r="W470" t="e">
        <f>IF($J470&gt;MAX('Match Log'!$A$4:$A$1510),NA(),IFERROR(LOOKUP(2,1/(('Match Log'!$D$4:$D$1510=$W$24)*('Match Log'!$A$4:$A$1510&lt;=$J470)),'Match Log'!$N$4:$N$1510),NA()))</f>
        <v>#N/A</v>
      </c>
      <c r="X470" t="e">
        <f>IF($J470&gt;MAX('Match Log'!$A$4:$A$1510),NA(),IFERROR(LOOKUP(2,1/(('Match Log'!$D$4:$D$1510=$X$24)*('Match Log'!$A$4:$A$1510&lt;=$J470)),'Match Log'!$N$4:$N$1510),NA()))</f>
        <v>#N/A</v>
      </c>
      <c r="Y470" t="str">
        <f t="shared" ca="1" si="37"/>
        <v/>
      </c>
    </row>
    <row r="471" spans="1:25" x14ac:dyDescent="0.2">
      <c r="A471">
        <v>447</v>
      </c>
      <c r="B471" t="str">
        <f>IFERROR(INDEX('Match Log'!$B$4:$B$1510,MATCH($A471,'Match Log'!$A$4:$A$1510,0)),"")</f>
        <v/>
      </c>
      <c r="C471" t="str">
        <f>IFERROR(INDEX('Match Log'!$C$4:$C$1510,MATCH($A471,'Match Log'!$A$4:$A$1510,0)),"")</f>
        <v/>
      </c>
      <c r="D471" t="str">
        <f t="array" ref="D471">IFERROR(_xlfn.TEXTJOIN(" + ",TRUE(),IF(('Match Log'!$A$4:$A$1510=$A471)*('Match Log'!$E$4:$E$1510="Win"),'Match Log'!$D$4:$D$1510,"")),IFERROR(LOOKUP(2,1/(('Match Log'!$A$4:$A$1510=$A471)*('Match Log'!$E$4:$E$1510="Win")),'Match Log'!$D$4:$D$1510),""))</f>
        <v/>
      </c>
      <c r="E471" t="str">
        <f>IFERROR(INDEX('Match Log'!$F$4:$F$1510,MATCH($A471,'Match Log'!$A$4:$A$1510,0)),"")</f>
        <v/>
      </c>
      <c r="F471">
        <f>IFERROR(SUMIFS('Match Log'!$I$4:$I$1510,'Match Log'!$A$4:$A$1510,$A471,'Match Log'!$E$4:$E$1510,"Win"),"")</f>
        <v>0</v>
      </c>
      <c r="G471" t="str">
        <f t="shared" si="35"/>
        <v/>
      </c>
      <c r="H471" t="str">
        <f t="array" ref="H471">IFERROR(IF(COUNTIFS('Match Log'!$A$4:$A$1510,$A471,'Match Log'!$E$4:$E$1510,"Win")&gt;1,_xlfn.TEXTJOIN(" + ",TRUE(),IF(('Match Log'!$A$4:$A$1510=$A471)*('Match Log'!$E$4:$E$1510="Loss"),'Match Log'!$D$4:$D$1510,"")),IF($E471=2,LOOKUP(2,1/(('Match Log'!$A$4:$A$1510=$A471)*('Match Log'!$E$4:$E$1510="Loss")),'Match Log'!$D$4:$D$1510),"the field")),"")</f>
        <v>the field</v>
      </c>
      <c r="I471" t="str">
        <f t="shared" si="36"/>
        <v/>
      </c>
      <c r="J471">
        <v>447</v>
      </c>
      <c r="K471" t="e">
        <f>IF($J471&gt;MAX('Match Log'!$A$4:$A$1510),NA(),IFERROR(LOOKUP(2,1/(('Match Log'!$D$4:$D$1510=$K$24)*('Match Log'!$A$4:$A$1510&lt;=$J471)),'Match Log'!$N$4:$N$1510),NA()))</f>
        <v>#N/A</v>
      </c>
      <c r="L471" t="e">
        <f>IF($J471&gt;MAX('Match Log'!$A$4:$A$1510),NA(),IFERROR(LOOKUP(2,1/(('Match Log'!$D$4:$D$1510=$L$24)*('Match Log'!$A$4:$A$1510&lt;=$J471)),'Match Log'!$N$4:$N$1510),NA()))</f>
        <v>#N/A</v>
      </c>
      <c r="M471" t="e">
        <f>IF($J471&gt;MAX('Match Log'!$A$4:$A$1510),NA(),IFERROR(LOOKUP(2,1/(('Match Log'!$D$4:$D$1510=$M$24)*('Match Log'!$A$4:$A$1510&lt;=$J471)),'Match Log'!$N$4:$N$1510),NA()))</f>
        <v>#N/A</v>
      </c>
      <c r="N471" t="e">
        <f>IF($J471&gt;MAX('Match Log'!$A$4:$A$1510),NA(),IFERROR(LOOKUP(2,1/(('Match Log'!$D$4:$D$1510=$N$24)*('Match Log'!$A$4:$A$1510&lt;=$J471)),'Match Log'!$N$4:$N$1510),NA()))</f>
        <v>#N/A</v>
      </c>
      <c r="O471" t="e">
        <f>IF($J471&gt;MAX('Match Log'!$A$4:$A$1510),NA(),IFERROR(LOOKUP(2,1/(('Match Log'!$D$4:$D$1510=$O$24)*('Match Log'!$A$4:$A$1510&lt;=$J471)),'Match Log'!$N$4:$N$1510),NA()))</f>
        <v>#N/A</v>
      </c>
      <c r="P471" t="e">
        <f>IF($J471&gt;MAX('Match Log'!$A$4:$A$1510),NA(),IFERROR(LOOKUP(2,1/(('Match Log'!$D$4:$D$1510=$P$24)*('Match Log'!$A$4:$A$1510&lt;=$J471)),'Match Log'!$N$4:$N$1510),NA()))</f>
        <v>#N/A</v>
      </c>
      <c r="Q471" t="e">
        <f>IF($J471&gt;MAX('Match Log'!$A$4:$A$1510),NA(),IFERROR(LOOKUP(2,1/(('Match Log'!$D$4:$D$1510=$Q$24)*('Match Log'!$A$4:$A$1510&lt;=$J471)),'Match Log'!$N$4:$N$1510),NA()))</f>
        <v>#N/A</v>
      </c>
      <c r="R471" t="e">
        <f>IF($J471&gt;MAX('Match Log'!$A$4:$A$1510),NA(),IFERROR(LOOKUP(2,1/(('Match Log'!$D$4:$D$1510=$R$24)*('Match Log'!$A$4:$A$1510&lt;=$J471)),'Match Log'!$N$4:$N$1510),NA()))</f>
        <v>#N/A</v>
      </c>
      <c r="S471" t="e">
        <f>IF($J471&gt;MAX('Match Log'!$A$4:$A$1510),NA(),IFERROR(LOOKUP(2,1/(('Match Log'!$D$4:$D$1510=$S$24)*('Match Log'!$A$4:$A$1510&lt;=$J471)),'Match Log'!$N$4:$N$1510),NA()))</f>
        <v>#N/A</v>
      </c>
      <c r="T471" t="e">
        <f>IF($J471&gt;MAX('Match Log'!$A$4:$A$1510),NA(),IFERROR(LOOKUP(2,1/(('Match Log'!$D$4:$D$1510=$T$24)*('Match Log'!$A$4:$A$1510&lt;=$J471)),'Match Log'!$N$4:$N$1510),NA()))</f>
        <v>#N/A</v>
      </c>
      <c r="U471" t="e">
        <f>IF($J471&gt;MAX('Match Log'!$A$4:$A$1510),NA(),IFERROR(LOOKUP(2,1/(('Match Log'!$D$4:$D$1510=$U$24)*('Match Log'!$A$4:$A$1510&lt;=$J471)),'Match Log'!$N$4:$N$1510),NA()))</f>
        <v>#N/A</v>
      </c>
      <c r="V471" t="e">
        <f>IF($J471&gt;MAX('Match Log'!$A$4:$A$1510),NA(),IFERROR(LOOKUP(2,1/(('Match Log'!$D$4:$D$1510=$V$24)*('Match Log'!$A$4:$A$1510&lt;=$J471)),'Match Log'!$N$4:$N$1510),NA()))</f>
        <v>#N/A</v>
      </c>
      <c r="W471" t="e">
        <f>IF($J471&gt;MAX('Match Log'!$A$4:$A$1510),NA(),IFERROR(LOOKUP(2,1/(('Match Log'!$D$4:$D$1510=$W$24)*('Match Log'!$A$4:$A$1510&lt;=$J471)),'Match Log'!$N$4:$N$1510),NA()))</f>
        <v>#N/A</v>
      </c>
      <c r="X471" t="e">
        <f>IF($J471&gt;MAX('Match Log'!$A$4:$A$1510),NA(),IFERROR(LOOKUP(2,1/(('Match Log'!$D$4:$D$1510=$X$24)*('Match Log'!$A$4:$A$1510&lt;=$J471)),'Match Log'!$N$4:$N$1510),NA()))</f>
        <v>#N/A</v>
      </c>
      <c r="Y471" t="str">
        <f t="shared" ca="1" si="37"/>
        <v/>
      </c>
    </row>
    <row r="472" spans="1:25" x14ac:dyDescent="0.2">
      <c r="A472">
        <v>448</v>
      </c>
      <c r="B472" t="str">
        <f>IFERROR(INDEX('Match Log'!$B$4:$B$1510,MATCH($A472,'Match Log'!$A$4:$A$1510,0)),"")</f>
        <v/>
      </c>
      <c r="C472" t="str">
        <f>IFERROR(INDEX('Match Log'!$C$4:$C$1510,MATCH($A472,'Match Log'!$A$4:$A$1510,0)),"")</f>
        <v/>
      </c>
      <c r="D472" t="str">
        <f t="array" ref="D472">IFERROR(_xlfn.TEXTJOIN(" + ",TRUE(),IF(('Match Log'!$A$4:$A$1510=$A472)*('Match Log'!$E$4:$E$1510="Win"),'Match Log'!$D$4:$D$1510,"")),IFERROR(LOOKUP(2,1/(('Match Log'!$A$4:$A$1510=$A472)*('Match Log'!$E$4:$E$1510="Win")),'Match Log'!$D$4:$D$1510),""))</f>
        <v/>
      </c>
      <c r="E472" t="str">
        <f>IFERROR(INDEX('Match Log'!$F$4:$F$1510,MATCH($A472,'Match Log'!$A$4:$A$1510,0)),"")</f>
        <v/>
      </c>
      <c r="F472">
        <f>IFERROR(SUMIFS('Match Log'!$I$4:$I$1510,'Match Log'!$A$4:$A$1510,$A472,'Match Log'!$E$4:$E$1510,"Win"),"")</f>
        <v>0</v>
      </c>
      <c r="G472" t="str">
        <f t="shared" si="35"/>
        <v/>
      </c>
      <c r="H472" t="str">
        <f t="array" ref="H472">IFERROR(IF(COUNTIFS('Match Log'!$A$4:$A$1510,$A472,'Match Log'!$E$4:$E$1510,"Win")&gt;1,_xlfn.TEXTJOIN(" + ",TRUE(),IF(('Match Log'!$A$4:$A$1510=$A472)*('Match Log'!$E$4:$E$1510="Loss"),'Match Log'!$D$4:$D$1510,"")),IF($E472=2,LOOKUP(2,1/(('Match Log'!$A$4:$A$1510=$A472)*('Match Log'!$E$4:$E$1510="Loss")),'Match Log'!$D$4:$D$1510),"the field")),"")</f>
        <v>the field</v>
      </c>
      <c r="I472" t="str">
        <f t="shared" si="36"/>
        <v/>
      </c>
      <c r="J472">
        <v>448</v>
      </c>
      <c r="K472" t="e">
        <f>IF($J472&gt;MAX('Match Log'!$A$4:$A$1510),NA(),IFERROR(LOOKUP(2,1/(('Match Log'!$D$4:$D$1510=$K$24)*('Match Log'!$A$4:$A$1510&lt;=$J472)),'Match Log'!$N$4:$N$1510),NA()))</f>
        <v>#N/A</v>
      </c>
      <c r="L472" t="e">
        <f>IF($J472&gt;MAX('Match Log'!$A$4:$A$1510),NA(),IFERROR(LOOKUP(2,1/(('Match Log'!$D$4:$D$1510=$L$24)*('Match Log'!$A$4:$A$1510&lt;=$J472)),'Match Log'!$N$4:$N$1510),NA()))</f>
        <v>#N/A</v>
      </c>
      <c r="M472" t="e">
        <f>IF($J472&gt;MAX('Match Log'!$A$4:$A$1510),NA(),IFERROR(LOOKUP(2,1/(('Match Log'!$D$4:$D$1510=$M$24)*('Match Log'!$A$4:$A$1510&lt;=$J472)),'Match Log'!$N$4:$N$1510),NA()))</f>
        <v>#N/A</v>
      </c>
      <c r="N472" t="e">
        <f>IF($J472&gt;MAX('Match Log'!$A$4:$A$1510),NA(),IFERROR(LOOKUP(2,1/(('Match Log'!$D$4:$D$1510=$N$24)*('Match Log'!$A$4:$A$1510&lt;=$J472)),'Match Log'!$N$4:$N$1510),NA()))</f>
        <v>#N/A</v>
      </c>
      <c r="O472" t="e">
        <f>IF($J472&gt;MAX('Match Log'!$A$4:$A$1510),NA(),IFERROR(LOOKUP(2,1/(('Match Log'!$D$4:$D$1510=$O$24)*('Match Log'!$A$4:$A$1510&lt;=$J472)),'Match Log'!$N$4:$N$1510),NA()))</f>
        <v>#N/A</v>
      </c>
      <c r="P472" t="e">
        <f>IF($J472&gt;MAX('Match Log'!$A$4:$A$1510),NA(),IFERROR(LOOKUP(2,1/(('Match Log'!$D$4:$D$1510=$P$24)*('Match Log'!$A$4:$A$1510&lt;=$J472)),'Match Log'!$N$4:$N$1510),NA()))</f>
        <v>#N/A</v>
      </c>
      <c r="Q472" t="e">
        <f>IF($J472&gt;MAX('Match Log'!$A$4:$A$1510),NA(),IFERROR(LOOKUP(2,1/(('Match Log'!$D$4:$D$1510=$Q$24)*('Match Log'!$A$4:$A$1510&lt;=$J472)),'Match Log'!$N$4:$N$1510),NA()))</f>
        <v>#N/A</v>
      </c>
      <c r="R472" t="e">
        <f>IF($J472&gt;MAX('Match Log'!$A$4:$A$1510),NA(),IFERROR(LOOKUP(2,1/(('Match Log'!$D$4:$D$1510=$R$24)*('Match Log'!$A$4:$A$1510&lt;=$J472)),'Match Log'!$N$4:$N$1510),NA()))</f>
        <v>#N/A</v>
      </c>
      <c r="S472" t="e">
        <f>IF($J472&gt;MAX('Match Log'!$A$4:$A$1510),NA(),IFERROR(LOOKUP(2,1/(('Match Log'!$D$4:$D$1510=$S$24)*('Match Log'!$A$4:$A$1510&lt;=$J472)),'Match Log'!$N$4:$N$1510),NA()))</f>
        <v>#N/A</v>
      </c>
      <c r="T472" t="e">
        <f>IF($J472&gt;MAX('Match Log'!$A$4:$A$1510),NA(),IFERROR(LOOKUP(2,1/(('Match Log'!$D$4:$D$1510=$T$24)*('Match Log'!$A$4:$A$1510&lt;=$J472)),'Match Log'!$N$4:$N$1510),NA()))</f>
        <v>#N/A</v>
      </c>
      <c r="U472" t="e">
        <f>IF($J472&gt;MAX('Match Log'!$A$4:$A$1510),NA(),IFERROR(LOOKUP(2,1/(('Match Log'!$D$4:$D$1510=$U$24)*('Match Log'!$A$4:$A$1510&lt;=$J472)),'Match Log'!$N$4:$N$1510),NA()))</f>
        <v>#N/A</v>
      </c>
      <c r="V472" t="e">
        <f>IF($J472&gt;MAX('Match Log'!$A$4:$A$1510),NA(),IFERROR(LOOKUP(2,1/(('Match Log'!$D$4:$D$1510=$V$24)*('Match Log'!$A$4:$A$1510&lt;=$J472)),'Match Log'!$N$4:$N$1510),NA()))</f>
        <v>#N/A</v>
      </c>
      <c r="W472" t="e">
        <f>IF($J472&gt;MAX('Match Log'!$A$4:$A$1510),NA(),IFERROR(LOOKUP(2,1/(('Match Log'!$D$4:$D$1510=$W$24)*('Match Log'!$A$4:$A$1510&lt;=$J472)),'Match Log'!$N$4:$N$1510),NA()))</f>
        <v>#N/A</v>
      </c>
      <c r="X472" t="e">
        <f>IF($J472&gt;MAX('Match Log'!$A$4:$A$1510),NA(),IFERROR(LOOKUP(2,1/(('Match Log'!$D$4:$D$1510=$X$24)*('Match Log'!$A$4:$A$1510&lt;=$J472)),'Match Log'!$N$4:$N$1510),NA()))</f>
        <v>#N/A</v>
      </c>
      <c r="Y472" t="str">
        <f t="shared" ca="1" si="37"/>
        <v/>
      </c>
    </row>
    <row r="473" spans="1:25" x14ac:dyDescent="0.2">
      <c r="A473">
        <v>449</v>
      </c>
      <c r="B473" t="str">
        <f>IFERROR(INDEX('Match Log'!$B$4:$B$1510,MATCH($A473,'Match Log'!$A$4:$A$1510,0)),"")</f>
        <v/>
      </c>
      <c r="C473" t="str">
        <f>IFERROR(INDEX('Match Log'!$C$4:$C$1510,MATCH($A473,'Match Log'!$A$4:$A$1510,0)),"")</f>
        <v/>
      </c>
      <c r="D473" t="str">
        <f t="array" ref="D473">IFERROR(_xlfn.TEXTJOIN(" + ",TRUE(),IF(('Match Log'!$A$4:$A$1510=$A473)*('Match Log'!$E$4:$E$1510="Win"),'Match Log'!$D$4:$D$1510,"")),IFERROR(LOOKUP(2,1/(('Match Log'!$A$4:$A$1510=$A473)*('Match Log'!$E$4:$E$1510="Win")),'Match Log'!$D$4:$D$1510),""))</f>
        <v/>
      </c>
      <c r="E473" t="str">
        <f>IFERROR(INDEX('Match Log'!$F$4:$F$1510,MATCH($A473,'Match Log'!$A$4:$A$1510,0)),"")</f>
        <v/>
      </c>
      <c r="F473">
        <f>IFERROR(SUMIFS('Match Log'!$I$4:$I$1510,'Match Log'!$A$4:$A$1510,$A473,'Match Log'!$E$4:$E$1510,"Win"),"")</f>
        <v>0</v>
      </c>
      <c r="G473" t="str">
        <f t="shared" si="35"/>
        <v/>
      </c>
      <c r="H473" t="str">
        <f t="array" ref="H473">IFERROR(IF(COUNTIFS('Match Log'!$A$4:$A$1510,$A473,'Match Log'!$E$4:$E$1510,"Win")&gt;1,_xlfn.TEXTJOIN(" + ",TRUE(),IF(('Match Log'!$A$4:$A$1510=$A473)*('Match Log'!$E$4:$E$1510="Loss"),'Match Log'!$D$4:$D$1510,"")),IF($E473=2,LOOKUP(2,1/(('Match Log'!$A$4:$A$1510=$A473)*('Match Log'!$E$4:$E$1510="Loss")),'Match Log'!$D$4:$D$1510),"the field")),"")</f>
        <v>the field</v>
      </c>
      <c r="I473" t="str">
        <f t="shared" si="36"/>
        <v/>
      </c>
      <c r="J473">
        <v>449</v>
      </c>
      <c r="K473" t="e">
        <f>IF($J473&gt;MAX('Match Log'!$A$4:$A$1510),NA(),IFERROR(LOOKUP(2,1/(('Match Log'!$D$4:$D$1510=$K$24)*('Match Log'!$A$4:$A$1510&lt;=$J473)),'Match Log'!$N$4:$N$1510),NA()))</f>
        <v>#N/A</v>
      </c>
      <c r="L473" t="e">
        <f>IF($J473&gt;MAX('Match Log'!$A$4:$A$1510),NA(),IFERROR(LOOKUP(2,1/(('Match Log'!$D$4:$D$1510=$L$24)*('Match Log'!$A$4:$A$1510&lt;=$J473)),'Match Log'!$N$4:$N$1510),NA()))</f>
        <v>#N/A</v>
      </c>
      <c r="M473" t="e">
        <f>IF($J473&gt;MAX('Match Log'!$A$4:$A$1510),NA(),IFERROR(LOOKUP(2,1/(('Match Log'!$D$4:$D$1510=$M$24)*('Match Log'!$A$4:$A$1510&lt;=$J473)),'Match Log'!$N$4:$N$1510),NA()))</f>
        <v>#N/A</v>
      </c>
      <c r="N473" t="e">
        <f>IF($J473&gt;MAX('Match Log'!$A$4:$A$1510),NA(),IFERROR(LOOKUP(2,1/(('Match Log'!$D$4:$D$1510=$N$24)*('Match Log'!$A$4:$A$1510&lt;=$J473)),'Match Log'!$N$4:$N$1510),NA()))</f>
        <v>#N/A</v>
      </c>
      <c r="O473" t="e">
        <f>IF($J473&gt;MAX('Match Log'!$A$4:$A$1510),NA(),IFERROR(LOOKUP(2,1/(('Match Log'!$D$4:$D$1510=$O$24)*('Match Log'!$A$4:$A$1510&lt;=$J473)),'Match Log'!$N$4:$N$1510),NA()))</f>
        <v>#N/A</v>
      </c>
      <c r="P473" t="e">
        <f>IF($J473&gt;MAX('Match Log'!$A$4:$A$1510),NA(),IFERROR(LOOKUP(2,1/(('Match Log'!$D$4:$D$1510=$P$24)*('Match Log'!$A$4:$A$1510&lt;=$J473)),'Match Log'!$N$4:$N$1510),NA()))</f>
        <v>#N/A</v>
      </c>
      <c r="Q473" t="e">
        <f>IF($J473&gt;MAX('Match Log'!$A$4:$A$1510),NA(),IFERROR(LOOKUP(2,1/(('Match Log'!$D$4:$D$1510=$Q$24)*('Match Log'!$A$4:$A$1510&lt;=$J473)),'Match Log'!$N$4:$N$1510),NA()))</f>
        <v>#N/A</v>
      </c>
      <c r="R473" t="e">
        <f>IF($J473&gt;MAX('Match Log'!$A$4:$A$1510),NA(),IFERROR(LOOKUP(2,1/(('Match Log'!$D$4:$D$1510=$R$24)*('Match Log'!$A$4:$A$1510&lt;=$J473)),'Match Log'!$N$4:$N$1510),NA()))</f>
        <v>#N/A</v>
      </c>
      <c r="S473" t="e">
        <f>IF($J473&gt;MAX('Match Log'!$A$4:$A$1510),NA(),IFERROR(LOOKUP(2,1/(('Match Log'!$D$4:$D$1510=$S$24)*('Match Log'!$A$4:$A$1510&lt;=$J473)),'Match Log'!$N$4:$N$1510),NA()))</f>
        <v>#N/A</v>
      </c>
      <c r="T473" t="e">
        <f>IF($J473&gt;MAX('Match Log'!$A$4:$A$1510),NA(),IFERROR(LOOKUP(2,1/(('Match Log'!$D$4:$D$1510=$T$24)*('Match Log'!$A$4:$A$1510&lt;=$J473)),'Match Log'!$N$4:$N$1510),NA()))</f>
        <v>#N/A</v>
      </c>
      <c r="U473" t="e">
        <f>IF($J473&gt;MAX('Match Log'!$A$4:$A$1510),NA(),IFERROR(LOOKUP(2,1/(('Match Log'!$D$4:$D$1510=$U$24)*('Match Log'!$A$4:$A$1510&lt;=$J473)),'Match Log'!$N$4:$N$1510),NA()))</f>
        <v>#N/A</v>
      </c>
      <c r="V473" t="e">
        <f>IF($J473&gt;MAX('Match Log'!$A$4:$A$1510),NA(),IFERROR(LOOKUP(2,1/(('Match Log'!$D$4:$D$1510=$V$24)*('Match Log'!$A$4:$A$1510&lt;=$J473)),'Match Log'!$N$4:$N$1510),NA()))</f>
        <v>#N/A</v>
      </c>
      <c r="W473" t="e">
        <f>IF($J473&gt;MAX('Match Log'!$A$4:$A$1510),NA(),IFERROR(LOOKUP(2,1/(('Match Log'!$D$4:$D$1510=$W$24)*('Match Log'!$A$4:$A$1510&lt;=$J473)),'Match Log'!$N$4:$N$1510),NA()))</f>
        <v>#N/A</v>
      </c>
      <c r="X473" t="e">
        <f>IF($J473&gt;MAX('Match Log'!$A$4:$A$1510),NA(),IFERROR(LOOKUP(2,1/(('Match Log'!$D$4:$D$1510=$X$24)*('Match Log'!$A$4:$A$1510&lt;=$J473)),'Match Log'!$N$4:$N$1510),NA()))</f>
        <v>#N/A</v>
      </c>
      <c r="Y473" t="str">
        <f t="shared" ca="1" si="37"/>
        <v/>
      </c>
    </row>
    <row r="474" spans="1:25" x14ac:dyDescent="0.2">
      <c r="A474">
        <v>450</v>
      </c>
      <c r="B474" t="str">
        <f>IFERROR(INDEX('Match Log'!$B$4:$B$1510,MATCH($A474,'Match Log'!$A$4:$A$1510,0)),"")</f>
        <v/>
      </c>
      <c r="C474" t="str">
        <f>IFERROR(INDEX('Match Log'!$C$4:$C$1510,MATCH($A474,'Match Log'!$A$4:$A$1510,0)),"")</f>
        <v/>
      </c>
      <c r="D474" t="str">
        <f t="array" ref="D474">IFERROR(_xlfn.TEXTJOIN(" + ",TRUE(),IF(('Match Log'!$A$4:$A$1510=$A474)*('Match Log'!$E$4:$E$1510="Win"),'Match Log'!$D$4:$D$1510,"")),IFERROR(LOOKUP(2,1/(('Match Log'!$A$4:$A$1510=$A474)*('Match Log'!$E$4:$E$1510="Win")),'Match Log'!$D$4:$D$1510),""))</f>
        <v/>
      </c>
      <c r="E474" t="str">
        <f>IFERROR(INDEX('Match Log'!$F$4:$F$1510,MATCH($A474,'Match Log'!$A$4:$A$1510,0)),"")</f>
        <v/>
      </c>
      <c r="F474">
        <f>IFERROR(SUMIFS('Match Log'!$I$4:$I$1510,'Match Log'!$A$4:$A$1510,$A474,'Match Log'!$E$4:$E$1510,"Win"),"")</f>
        <v>0</v>
      </c>
      <c r="G474" t="str">
        <f t="shared" si="35"/>
        <v/>
      </c>
      <c r="H474" t="str">
        <f t="array" ref="H474">IFERROR(IF(COUNTIFS('Match Log'!$A$4:$A$1510,$A474,'Match Log'!$E$4:$E$1510,"Win")&gt;1,_xlfn.TEXTJOIN(" + ",TRUE(),IF(('Match Log'!$A$4:$A$1510=$A474)*('Match Log'!$E$4:$E$1510="Loss"),'Match Log'!$D$4:$D$1510,"")),IF($E474=2,LOOKUP(2,1/(('Match Log'!$A$4:$A$1510=$A474)*('Match Log'!$E$4:$E$1510="Loss")),'Match Log'!$D$4:$D$1510),"the field")),"")</f>
        <v>the field</v>
      </c>
      <c r="I474" t="str">
        <f t="shared" si="36"/>
        <v/>
      </c>
      <c r="J474">
        <v>450</v>
      </c>
      <c r="K474" t="e">
        <f>IF($J474&gt;MAX('Match Log'!$A$4:$A$1510),NA(),IFERROR(LOOKUP(2,1/(('Match Log'!$D$4:$D$1510=$K$24)*('Match Log'!$A$4:$A$1510&lt;=$J474)),'Match Log'!$N$4:$N$1510),NA()))</f>
        <v>#N/A</v>
      </c>
      <c r="L474" t="e">
        <f>IF($J474&gt;MAX('Match Log'!$A$4:$A$1510),NA(),IFERROR(LOOKUP(2,1/(('Match Log'!$D$4:$D$1510=$L$24)*('Match Log'!$A$4:$A$1510&lt;=$J474)),'Match Log'!$N$4:$N$1510),NA()))</f>
        <v>#N/A</v>
      </c>
      <c r="M474" t="e">
        <f>IF($J474&gt;MAX('Match Log'!$A$4:$A$1510),NA(),IFERROR(LOOKUP(2,1/(('Match Log'!$D$4:$D$1510=$M$24)*('Match Log'!$A$4:$A$1510&lt;=$J474)),'Match Log'!$N$4:$N$1510),NA()))</f>
        <v>#N/A</v>
      </c>
      <c r="N474" t="e">
        <f>IF($J474&gt;MAX('Match Log'!$A$4:$A$1510),NA(),IFERROR(LOOKUP(2,1/(('Match Log'!$D$4:$D$1510=$N$24)*('Match Log'!$A$4:$A$1510&lt;=$J474)),'Match Log'!$N$4:$N$1510),NA()))</f>
        <v>#N/A</v>
      </c>
      <c r="O474" t="e">
        <f>IF($J474&gt;MAX('Match Log'!$A$4:$A$1510),NA(),IFERROR(LOOKUP(2,1/(('Match Log'!$D$4:$D$1510=$O$24)*('Match Log'!$A$4:$A$1510&lt;=$J474)),'Match Log'!$N$4:$N$1510),NA()))</f>
        <v>#N/A</v>
      </c>
      <c r="P474" t="e">
        <f>IF($J474&gt;MAX('Match Log'!$A$4:$A$1510),NA(),IFERROR(LOOKUP(2,1/(('Match Log'!$D$4:$D$1510=$P$24)*('Match Log'!$A$4:$A$1510&lt;=$J474)),'Match Log'!$N$4:$N$1510),NA()))</f>
        <v>#N/A</v>
      </c>
      <c r="Q474" t="e">
        <f>IF($J474&gt;MAX('Match Log'!$A$4:$A$1510),NA(),IFERROR(LOOKUP(2,1/(('Match Log'!$D$4:$D$1510=$Q$24)*('Match Log'!$A$4:$A$1510&lt;=$J474)),'Match Log'!$N$4:$N$1510),NA()))</f>
        <v>#N/A</v>
      </c>
      <c r="R474" t="e">
        <f>IF($J474&gt;MAX('Match Log'!$A$4:$A$1510),NA(),IFERROR(LOOKUP(2,1/(('Match Log'!$D$4:$D$1510=$R$24)*('Match Log'!$A$4:$A$1510&lt;=$J474)),'Match Log'!$N$4:$N$1510),NA()))</f>
        <v>#N/A</v>
      </c>
      <c r="S474" t="e">
        <f>IF($J474&gt;MAX('Match Log'!$A$4:$A$1510),NA(),IFERROR(LOOKUP(2,1/(('Match Log'!$D$4:$D$1510=$S$24)*('Match Log'!$A$4:$A$1510&lt;=$J474)),'Match Log'!$N$4:$N$1510),NA()))</f>
        <v>#N/A</v>
      </c>
      <c r="T474" t="e">
        <f>IF($J474&gt;MAX('Match Log'!$A$4:$A$1510),NA(),IFERROR(LOOKUP(2,1/(('Match Log'!$D$4:$D$1510=$T$24)*('Match Log'!$A$4:$A$1510&lt;=$J474)),'Match Log'!$N$4:$N$1510),NA()))</f>
        <v>#N/A</v>
      </c>
      <c r="U474" t="e">
        <f>IF($J474&gt;MAX('Match Log'!$A$4:$A$1510),NA(),IFERROR(LOOKUP(2,1/(('Match Log'!$D$4:$D$1510=$U$24)*('Match Log'!$A$4:$A$1510&lt;=$J474)),'Match Log'!$N$4:$N$1510),NA()))</f>
        <v>#N/A</v>
      </c>
      <c r="V474" t="e">
        <f>IF($J474&gt;MAX('Match Log'!$A$4:$A$1510),NA(),IFERROR(LOOKUP(2,1/(('Match Log'!$D$4:$D$1510=$V$24)*('Match Log'!$A$4:$A$1510&lt;=$J474)),'Match Log'!$N$4:$N$1510),NA()))</f>
        <v>#N/A</v>
      </c>
      <c r="W474" t="e">
        <f>IF($J474&gt;MAX('Match Log'!$A$4:$A$1510),NA(),IFERROR(LOOKUP(2,1/(('Match Log'!$D$4:$D$1510=$W$24)*('Match Log'!$A$4:$A$1510&lt;=$J474)),'Match Log'!$N$4:$N$1510),NA()))</f>
        <v>#N/A</v>
      </c>
      <c r="X474" t="e">
        <f>IF($J474&gt;MAX('Match Log'!$A$4:$A$1510),NA(),IFERROR(LOOKUP(2,1/(('Match Log'!$D$4:$D$1510=$X$24)*('Match Log'!$A$4:$A$1510&lt;=$J474)),'Match Log'!$N$4:$N$1510),NA()))</f>
        <v>#N/A</v>
      </c>
      <c r="Y474" t="str">
        <f t="shared" ca="1" si="37"/>
        <v/>
      </c>
    </row>
    <row r="475" spans="1:25" x14ac:dyDescent="0.2">
      <c r="A475">
        <v>451</v>
      </c>
      <c r="B475" t="str">
        <f>IFERROR(INDEX('Match Log'!$B$4:$B$1510,MATCH($A475,'Match Log'!$A$4:$A$1510,0)),"")</f>
        <v/>
      </c>
      <c r="C475" t="str">
        <f>IFERROR(INDEX('Match Log'!$C$4:$C$1510,MATCH($A475,'Match Log'!$A$4:$A$1510,0)),"")</f>
        <v/>
      </c>
      <c r="D475" t="str">
        <f t="array" ref="D475">IFERROR(_xlfn.TEXTJOIN(" + ",TRUE(),IF(('Match Log'!$A$4:$A$1510=$A475)*('Match Log'!$E$4:$E$1510="Win"),'Match Log'!$D$4:$D$1510,"")),IFERROR(LOOKUP(2,1/(('Match Log'!$A$4:$A$1510=$A475)*('Match Log'!$E$4:$E$1510="Win")),'Match Log'!$D$4:$D$1510),""))</f>
        <v/>
      </c>
      <c r="E475" t="str">
        <f>IFERROR(INDEX('Match Log'!$F$4:$F$1510,MATCH($A475,'Match Log'!$A$4:$A$1510,0)),"")</f>
        <v/>
      </c>
      <c r="F475">
        <f>IFERROR(SUMIFS('Match Log'!$I$4:$I$1510,'Match Log'!$A$4:$A$1510,$A475,'Match Log'!$E$4:$E$1510,"Win"),"")</f>
        <v>0</v>
      </c>
      <c r="G475" t="str">
        <f t="shared" si="35"/>
        <v/>
      </c>
      <c r="H475" t="str">
        <f t="array" ref="H475">IFERROR(IF(COUNTIFS('Match Log'!$A$4:$A$1510,$A475,'Match Log'!$E$4:$E$1510,"Win")&gt;1,_xlfn.TEXTJOIN(" + ",TRUE(),IF(('Match Log'!$A$4:$A$1510=$A475)*('Match Log'!$E$4:$E$1510="Loss"),'Match Log'!$D$4:$D$1510,"")),IF($E475=2,LOOKUP(2,1/(('Match Log'!$A$4:$A$1510=$A475)*('Match Log'!$E$4:$E$1510="Loss")),'Match Log'!$D$4:$D$1510),"the field")),"")</f>
        <v>the field</v>
      </c>
      <c r="I475" t="str">
        <f t="shared" si="36"/>
        <v/>
      </c>
      <c r="J475">
        <v>451</v>
      </c>
      <c r="K475" t="e">
        <f>IF($J475&gt;MAX('Match Log'!$A$4:$A$1510),NA(),IFERROR(LOOKUP(2,1/(('Match Log'!$D$4:$D$1510=$K$24)*('Match Log'!$A$4:$A$1510&lt;=$J475)),'Match Log'!$N$4:$N$1510),NA()))</f>
        <v>#N/A</v>
      </c>
      <c r="L475" t="e">
        <f>IF($J475&gt;MAX('Match Log'!$A$4:$A$1510),NA(),IFERROR(LOOKUP(2,1/(('Match Log'!$D$4:$D$1510=$L$24)*('Match Log'!$A$4:$A$1510&lt;=$J475)),'Match Log'!$N$4:$N$1510),NA()))</f>
        <v>#N/A</v>
      </c>
      <c r="M475" t="e">
        <f>IF($J475&gt;MAX('Match Log'!$A$4:$A$1510),NA(),IFERROR(LOOKUP(2,1/(('Match Log'!$D$4:$D$1510=$M$24)*('Match Log'!$A$4:$A$1510&lt;=$J475)),'Match Log'!$N$4:$N$1510),NA()))</f>
        <v>#N/A</v>
      </c>
      <c r="N475" t="e">
        <f>IF($J475&gt;MAX('Match Log'!$A$4:$A$1510),NA(),IFERROR(LOOKUP(2,1/(('Match Log'!$D$4:$D$1510=$N$24)*('Match Log'!$A$4:$A$1510&lt;=$J475)),'Match Log'!$N$4:$N$1510),NA()))</f>
        <v>#N/A</v>
      </c>
      <c r="O475" t="e">
        <f>IF($J475&gt;MAX('Match Log'!$A$4:$A$1510),NA(),IFERROR(LOOKUP(2,1/(('Match Log'!$D$4:$D$1510=$O$24)*('Match Log'!$A$4:$A$1510&lt;=$J475)),'Match Log'!$N$4:$N$1510),NA()))</f>
        <v>#N/A</v>
      </c>
      <c r="P475" t="e">
        <f>IF($J475&gt;MAX('Match Log'!$A$4:$A$1510),NA(),IFERROR(LOOKUP(2,1/(('Match Log'!$D$4:$D$1510=$P$24)*('Match Log'!$A$4:$A$1510&lt;=$J475)),'Match Log'!$N$4:$N$1510),NA()))</f>
        <v>#N/A</v>
      </c>
      <c r="Q475" t="e">
        <f>IF($J475&gt;MAX('Match Log'!$A$4:$A$1510),NA(),IFERROR(LOOKUP(2,1/(('Match Log'!$D$4:$D$1510=$Q$24)*('Match Log'!$A$4:$A$1510&lt;=$J475)),'Match Log'!$N$4:$N$1510),NA()))</f>
        <v>#N/A</v>
      </c>
      <c r="R475" t="e">
        <f>IF($J475&gt;MAX('Match Log'!$A$4:$A$1510),NA(),IFERROR(LOOKUP(2,1/(('Match Log'!$D$4:$D$1510=$R$24)*('Match Log'!$A$4:$A$1510&lt;=$J475)),'Match Log'!$N$4:$N$1510),NA()))</f>
        <v>#N/A</v>
      </c>
      <c r="S475" t="e">
        <f>IF($J475&gt;MAX('Match Log'!$A$4:$A$1510),NA(),IFERROR(LOOKUP(2,1/(('Match Log'!$D$4:$D$1510=$S$24)*('Match Log'!$A$4:$A$1510&lt;=$J475)),'Match Log'!$N$4:$N$1510),NA()))</f>
        <v>#N/A</v>
      </c>
      <c r="T475" t="e">
        <f>IF($J475&gt;MAX('Match Log'!$A$4:$A$1510),NA(),IFERROR(LOOKUP(2,1/(('Match Log'!$D$4:$D$1510=$T$24)*('Match Log'!$A$4:$A$1510&lt;=$J475)),'Match Log'!$N$4:$N$1510),NA()))</f>
        <v>#N/A</v>
      </c>
      <c r="U475" t="e">
        <f>IF($J475&gt;MAX('Match Log'!$A$4:$A$1510),NA(),IFERROR(LOOKUP(2,1/(('Match Log'!$D$4:$D$1510=$U$24)*('Match Log'!$A$4:$A$1510&lt;=$J475)),'Match Log'!$N$4:$N$1510),NA()))</f>
        <v>#N/A</v>
      </c>
      <c r="V475" t="e">
        <f>IF($J475&gt;MAX('Match Log'!$A$4:$A$1510),NA(),IFERROR(LOOKUP(2,1/(('Match Log'!$D$4:$D$1510=$V$24)*('Match Log'!$A$4:$A$1510&lt;=$J475)),'Match Log'!$N$4:$N$1510),NA()))</f>
        <v>#N/A</v>
      </c>
      <c r="W475" t="e">
        <f>IF($J475&gt;MAX('Match Log'!$A$4:$A$1510),NA(),IFERROR(LOOKUP(2,1/(('Match Log'!$D$4:$D$1510=$W$24)*('Match Log'!$A$4:$A$1510&lt;=$J475)),'Match Log'!$N$4:$N$1510),NA()))</f>
        <v>#N/A</v>
      </c>
      <c r="X475" t="e">
        <f>IF($J475&gt;MAX('Match Log'!$A$4:$A$1510),NA(),IFERROR(LOOKUP(2,1/(('Match Log'!$D$4:$D$1510=$X$24)*('Match Log'!$A$4:$A$1510&lt;=$J475)),'Match Log'!$N$4:$N$1510),NA()))</f>
        <v>#N/A</v>
      </c>
      <c r="Y475" t="str">
        <f t="shared" ca="1" si="37"/>
        <v/>
      </c>
    </row>
    <row r="476" spans="1:25" x14ac:dyDescent="0.2">
      <c r="A476">
        <v>452</v>
      </c>
      <c r="B476" t="str">
        <f>IFERROR(INDEX('Match Log'!$B$4:$B$1510,MATCH($A476,'Match Log'!$A$4:$A$1510,0)),"")</f>
        <v/>
      </c>
      <c r="C476" t="str">
        <f>IFERROR(INDEX('Match Log'!$C$4:$C$1510,MATCH($A476,'Match Log'!$A$4:$A$1510,0)),"")</f>
        <v/>
      </c>
      <c r="D476" t="str">
        <f t="array" ref="D476">IFERROR(_xlfn.TEXTJOIN(" + ",TRUE(),IF(('Match Log'!$A$4:$A$1510=$A476)*('Match Log'!$E$4:$E$1510="Win"),'Match Log'!$D$4:$D$1510,"")),IFERROR(LOOKUP(2,1/(('Match Log'!$A$4:$A$1510=$A476)*('Match Log'!$E$4:$E$1510="Win")),'Match Log'!$D$4:$D$1510),""))</f>
        <v/>
      </c>
      <c r="E476" t="str">
        <f>IFERROR(INDEX('Match Log'!$F$4:$F$1510,MATCH($A476,'Match Log'!$A$4:$A$1510,0)),"")</f>
        <v/>
      </c>
      <c r="F476">
        <f>IFERROR(SUMIFS('Match Log'!$I$4:$I$1510,'Match Log'!$A$4:$A$1510,$A476,'Match Log'!$E$4:$E$1510,"Win"),"")</f>
        <v>0</v>
      </c>
      <c r="G476" t="str">
        <f t="shared" si="35"/>
        <v/>
      </c>
      <c r="H476" t="str">
        <f t="array" ref="H476">IFERROR(IF(COUNTIFS('Match Log'!$A$4:$A$1510,$A476,'Match Log'!$E$4:$E$1510,"Win")&gt;1,_xlfn.TEXTJOIN(" + ",TRUE(),IF(('Match Log'!$A$4:$A$1510=$A476)*('Match Log'!$E$4:$E$1510="Loss"),'Match Log'!$D$4:$D$1510,"")),IF($E476=2,LOOKUP(2,1/(('Match Log'!$A$4:$A$1510=$A476)*('Match Log'!$E$4:$E$1510="Loss")),'Match Log'!$D$4:$D$1510),"the field")),"")</f>
        <v>the field</v>
      </c>
      <c r="I476" t="str">
        <f t="shared" si="36"/>
        <v/>
      </c>
      <c r="J476">
        <v>452</v>
      </c>
      <c r="K476" t="e">
        <f>IF($J476&gt;MAX('Match Log'!$A$4:$A$1510),NA(),IFERROR(LOOKUP(2,1/(('Match Log'!$D$4:$D$1510=$K$24)*('Match Log'!$A$4:$A$1510&lt;=$J476)),'Match Log'!$N$4:$N$1510),NA()))</f>
        <v>#N/A</v>
      </c>
      <c r="L476" t="e">
        <f>IF($J476&gt;MAX('Match Log'!$A$4:$A$1510),NA(),IFERROR(LOOKUP(2,1/(('Match Log'!$D$4:$D$1510=$L$24)*('Match Log'!$A$4:$A$1510&lt;=$J476)),'Match Log'!$N$4:$N$1510),NA()))</f>
        <v>#N/A</v>
      </c>
      <c r="M476" t="e">
        <f>IF($J476&gt;MAX('Match Log'!$A$4:$A$1510),NA(),IFERROR(LOOKUP(2,1/(('Match Log'!$D$4:$D$1510=$M$24)*('Match Log'!$A$4:$A$1510&lt;=$J476)),'Match Log'!$N$4:$N$1510),NA()))</f>
        <v>#N/A</v>
      </c>
      <c r="N476" t="e">
        <f>IF($J476&gt;MAX('Match Log'!$A$4:$A$1510),NA(),IFERROR(LOOKUP(2,1/(('Match Log'!$D$4:$D$1510=$N$24)*('Match Log'!$A$4:$A$1510&lt;=$J476)),'Match Log'!$N$4:$N$1510),NA()))</f>
        <v>#N/A</v>
      </c>
      <c r="O476" t="e">
        <f>IF($J476&gt;MAX('Match Log'!$A$4:$A$1510),NA(),IFERROR(LOOKUP(2,1/(('Match Log'!$D$4:$D$1510=$O$24)*('Match Log'!$A$4:$A$1510&lt;=$J476)),'Match Log'!$N$4:$N$1510),NA()))</f>
        <v>#N/A</v>
      </c>
      <c r="P476" t="e">
        <f>IF($J476&gt;MAX('Match Log'!$A$4:$A$1510),NA(),IFERROR(LOOKUP(2,1/(('Match Log'!$D$4:$D$1510=$P$24)*('Match Log'!$A$4:$A$1510&lt;=$J476)),'Match Log'!$N$4:$N$1510),NA()))</f>
        <v>#N/A</v>
      </c>
      <c r="Q476" t="e">
        <f>IF($J476&gt;MAX('Match Log'!$A$4:$A$1510),NA(),IFERROR(LOOKUP(2,1/(('Match Log'!$D$4:$D$1510=$Q$24)*('Match Log'!$A$4:$A$1510&lt;=$J476)),'Match Log'!$N$4:$N$1510),NA()))</f>
        <v>#N/A</v>
      </c>
      <c r="R476" t="e">
        <f>IF($J476&gt;MAX('Match Log'!$A$4:$A$1510),NA(),IFERROR(LOOKUP(2,1/(('Match Log'!$D$4:$D$1510=$R$24)*('Match Log'!$A$4:$A$1510&lt;=$J476)),'Match Log'!$N$4:$N$1510),NA()))</f>
        <v>#N/A</v>
      </c>
      <c r="S476" t="e">
        <f>IF($J476&gt;MAX('Match Log'!$A$4:$A$1510),NA(),IFERROR(LOOKUP(2,1/(('Match Log'!$D$4:$D$1510=$S$24)*('Match Log'!$A$4:$A$1510&lt;=$J476)),'Match Log'!$N$4:$N$1510),NA()))</f>
        <v>#N/A</v>
      </c>
      <c r="T476" t="e">
        <f>IF($J476&gt;MAX('Match Log'!$A$4:$A$1510),NA(),IFERROR(LOOKUP(2,1/(('Match Log'!$D$4:$D$1510=$T$24)*('Match Log'!$A$4:$A$1510&lt;=$J476)),'Match Log'!$N$4:$N$1510),NA()))</f>
        <v>#N/A</v>
      </c>
      <c r="U476" t="e">
        <f>IF($J476&gt;MAX('Match Log'!$A$4:$A$1510),NA(),IFERROR(LOOKUP(2,1/(('Match Log'!$D$4:$D$1510=$U$24)*('Match Log'!$A$4:$A$1510&lt;=$J476)),'Match Log'!$N$4:$N$1510),NA()))</f>
        <v>#N/A</v>
      </c>
      <c r="V476" t="e">
        <f>IF($J476&gt;MAX('Match Log'!$A$4:$A$1510),NA(),IFERROR(LOOKUP(2,1/(('Match Log'!$D$4:$D$1510=$V$24)*('Match Log'!$A$4:$A$1510&lt;=$J476)),'Match Log'!$N$4:$N$1510),NA()))</f>
        <v>#N/A</v>
      </c>
      <c r="W476" t="e">
        <f>IF($J476&gt;MAX('Match Log'!$A$4:$A$1510),NA(),IFERROR(LOOKUP(2,1/(('Match Log'!$D$4:$D$1510=$W$24)*('Match Log'!$A$4:$A$1510&lt;=$J476)),'Match Log'!$N$4:$N$1510),NA()))</f>
        <v>#N/A</v>
      </c>
      <c r="X476" t="e">
        <f>IF($J476&gt;MAX('Match Log'!$A$4:$A$1510),NA(),IFERROR(LOOKUP(2,1/(('Match Log'!$D$4:$D$1510=$X$24)*('Match Log'!$A$4:$A$1510&lt;=$J476)),'Match Log'!$N$4:$N$1510),NA()))</f>
        <v>#N/A</v>
      </c>
      <c r="Y476" t="str">
        <f t="shared" ca="1" si="37"/>
        <v/>
      </c>
    </row>
    <row r="477" spans="1:25" x14ac:dyDescent="0.2">
      <c r="A477">
        <v>453</v>
      </c>
      <c r="B477" t="str">
        <f>IFERROR(INDEX('Match Log'!$B$4:$B$1510,MATCH($A477,'Match Log'!$A$4:$A$1510,0)),"")</f>
        <v/>
      </c>
      <c r="C477" t="str">
        <f>IFERROR(INDEX('Match Log'!$C$4:$C$1510,MATCH($A477,'Match Log'!$A$4:$A$1510,0)),"")</f>
        <v/>
      </c>
      <c r="D477" t="str">
        <f t="array" ref="D477">IFERROR(_xlfn.TEXTJOIN(" + ",TRUE(),IF(('Match Log'!$A$4:$A$1510=$A477)*('Match Log'!$E$4:$E$1510="Win"),'Match Log'!$D$4:$D$1510,"")),IFERROR(LOOKUP(2,1/(('Match Log'!$A$4:$A$1510=$A477)*('Match Log'!$E$4:$E$1510="Win")),'Match Log'!$D$4:$D$1510),""))</f>
        <v/>
      </c>
      <c r="E477" t="str">
        <f>IFERROR(INDEX('Match Log'!$F$4:$F$1510,MATCH($A477,'Match Log'!$A$4:$A$1510,0)),"")</f>
        <v/>
      </c>
      <c r="F477">
        <f>IFERROR(SUMIFS('Match Log'!$I$4:$I$1510,'Match Log'!$A$4:$A$1510,$A477,'Match Log'!$E$4:$E$1510,"Win"),"")</f>
        <v>0</v>
      </c>
      <c r="G477" t="str">
        <f t="shared" si="35"/>
        <v/>
      </c>
      <c r="H477" t="str">
        <f t="array" ref="H477">IFERROR(IF(COUNTIFS('Match Log'!$A$4:$A$1510,$A477,'Match Log'!$E$4:$E$1510,"Win")&gt;1,_xlfn.TEXTJOIN(" + ",TRUE(),IF(('Match Log'!$A$4:$A$1510=$A477)*('Match Log'!$E$4:$E$1510="Loss"),'Match Log'!$D$4:$D$1510,"")),IF($E477=2,LOOKUP(2,1/(('Match Log'!$A$4:$A$1510=$A477)*('Match Log'!$E$4:$E$1510="Loss")),'Match Log'!$D$4:$D$1510),"the field")),"")</f>
        <v>the field</v>
      </c>
      <c r="I477" t="str">
        <f t="shared" si="36"/>
        <v/>
      </c>
      <c r="J477">
        <v>453</v>
      </c>
      <c r="K477" t="e">
        <f>IF($J477&gt;MAX('Match Log'!$A$4:$A$1510),NA(),IFERROR(LOOKUP(2,1/(('Match Log'!$D$4:$D$1510=$K$24)*('Match Log'!$A$4:$A$1510&lt;=$J477)),'Match Log'!$N$4:$N$1510),NA()))</f>
        <v>#N/A</v>
      </c>
      <c r="L477" t="e">
        <f>IF($J477&gt;MAX('Match Log'!$A$4:$A$1510),NA(),IFERROR(LOOKUP(2,1/(('Match Log'!$D$4:$D$1510=$L$24)*('Match Log'!$A$4:$A$1510&lt;=$J477)),'Match Log'!$N$4:$N$1510),NA()))</f>
        <v>#N/A</v>
      </c>
      <c r="M477" t="e">
        <f>IF($J477&gt;MAX('Match Log'!$A$4:$A$1510),NA(),IFERROR(LOOKUP(2,1/(('Match Log'!$D$4:$D$1510=$M$24)*('Match Log'!$A$4:$A$1510&lt;=$J477)),'Match Log'!$N$4:$N$1510),NA()))</f>
        <v>#N/A</v>
      </c>
      <c r="N477" t="e">
        <f>IF($J477&gt;MAX('Match Log'!$A$4:$A$1510),NA(),IFERROR(LOOKUP(2,1/(('Match Log'!$D$4:$D$1510=$N$24)*('Match Log'!$A$4:$A$1510&lt;=$J477)),'Match Log'!$N$4:$N$1510),NA()))</f>
        <v>#N/A</v>
      </c>
      <c r="O477" t="e">
        <f>IF($J477&gt;MAX('Match Log'!$A$4:$A$1510),NA(),IFERROR(LOOKUP(2,1/(('Match Log'!$D$4:$D$1510=$O$24)*('Match Log'!$A$4:$A$1510&lt;=$J477)),'Match Log'!$N$4:$N$1510),NA()))</f>
        <v>#N/A</v>
      </c>
      <c r="P477" t="e">
        <f>IF($J477&gt;MAX('Match Log'!$A$4:$A$1510),NA(),IFERROR(LOOKUP(2,1/(('Match Log'!$D$4:$D$1510=$P$24)*('Match Log'!$A$4:$A$1510&lt;=$J477)),'Match Log'!$N$4:$N$1510),NA()))</f>
        <v>#N/A</v>
      </c>
      <c r="Q477" t="e">
        <f>IF($J477&gt;MAX('Match Log'!$A$4:$A$1510),NA(),IFERROR(LOOKUP(2,1/(('Match Log'!$D$4:$D$1510=$Q$24)*('Match Log'!$A$4:$A$1510&lt;=$J477)),'Match Log'!$N$4:$N$1510),NA()))</f>
        <v>#N/A</v>
      </c>
      <c r="R477" t="e">
        <f>IF($J477&gt;MAX('Match Log'!$A$4:$A$1510),NA(),IFERROR(LOOKUP(2,1/(('Match Log'!$D$4:$D$1510=$R$24)*('Match Log'!$A$4:$A$1510&lt;=$J477)),'Match Log'!$N$4:$N$1510),NA()))</f>
        <v>#N/A</v>
      </c>
      <c r="S477" t="e">
        <f>IF($J477&gt;MAX('Match Log'!$A$4:$A$1510),NA(),IFERROR(LOOKUP(2,1/(('Match Log'!$D$4:$D$1510=$S$24)*('Match Log'!$A$4:$A$1510&lt;=$J477)),'Match Log'!$N$4:$N$1510),NA()))</f>
        <v>#N/A</v>
      </c>
      <c r="T477" t="e">
        <f>IF($J477&gt;MAX('Match Log'!$A$4:$A$1510),NA(),IFERROR(LOOKUP(2,1/(('Match Log'!$D$4:$D$1510=$T$24)*('Match Log'!$A$4:$A$1510&lt;=$J477)),'Match Log'!$N$4:$N$1510),NA()))</f>
        <v>#N/A</v>
      </c>
      <c r="U477" t="e">
        <f>IF($J477&gt;MAX('Match Log'!$A$4:$A$1510),NA(),IFERROR(LOOKUP(2,1/(('Match Log'!$D$4:$D$1510=$U$24)*('Match Log'!$A$4:$A$1510&lt;=$J477)),'Match Log'!$N$4:$N$1510),NA()))</f>
        <v>#N/A</v>
      </c>
      <c r="V477" t="e">
        <f>IF($J477&gt;MAX('Match Log'!$A$4:$A$1510),NA(),IFERROR(LOOKUP(2,1/(('Match Log'!$D$4:$D$1510=$V$24)*('Match Log'!$A$4:$A$1510&lt;=$J477)),'Match Log'!$N$4:$N$1510),NA()))</f>
        <v>#N/A</v>
      </c>
      <c r="W477" t="e">
        <f>IF($J477&gt;MAX('Match Log'!$A$4:$A$1510),NA(),IFERROR(LOOKUP(2,1/(('Match Log'!$D$4:$D$1510=$W$24)*('Match Log'!$A$4:$A$1510&lt;=$J477)),'Match Log'!$N$4:$N$1510),NA()))</f>
        <v>#N/A</v>
      </c>
      <c r="X477" t="e">
        <f>IF($J477&gt;MAX('Match Log'!$A$4:$A$1510),NA(),IFERROR(LOOKUP(2,1/(('Match Log'!$D$4:$D$1510=$X$24)*('Match Log'!$A$4:$A$1510&lt;=$J477)),'Match Log'!$N$4:$N$1510),NA()))</f>
        <v>#N/A</v>
      </c>
      <c r="Y477" t="str">
        <f t="shared" ca="1" si="37"/>
        <v/>
      </c>
    </row>
    <row r="478" spans="1:25" x14ac:dyDescent="0.2">
      <c r="A478">
        <v>454</v>
      </c>
      <c r="B478" t="str">
        <f>IFERROR(INDEX('Match Log'!$B$4:$B$1510,MATCH($A478,'Match Log'!$A$4:$A$1510,0)),"")</f>
        <v/>
      </c>
      <c r="C478" t="str">
        <f>IFERROR(INDEX('Match Log'!$C$4:$C$1510,MATCH($A478,'Match Log'!$A$4:$A$1510,0)),"")</f>
        <v/>
      </c>
      <c r="D478" t="str">
        <f t="array" ref="D478">IFERROR(_xlfn.TEXTJOIN(" + ",TRUE(),IF(('Match Log'!$A$4:$A$1510=$A478)*('Match Log'!$E$4:$E$1510="Win"),'Match Log'!$D$4:$D$1510,"")),IFERROR(LOOKUP(2,1/(('Match Log'!$A$4:$A$1510=$A478)*('Match Log'!$E$4:$E$1510="Win")),'Match Log'!$D$4:$D$1510),""))</f>
        <v/>
      </c>
      <c r="E478" t="str">
        <f>IFERROR(INDEX('Match Log'!$F$4:$F$1510,MATCH($A478,'Match Log'!$A$4:$A$1510,0)),"")</f>
        <v/>
      </c>
      <c r="F478">
        <f>IFERROR(SUMIFS('Match Log'!$I$4:$I$1510,'Match Log'!$A$4:$A$1510,$A478,'Match Log'!$E$4:$E$1510,"Win"),"")</f>
        <v>0</v>
      </c>
      <c r="G478" t="str">
        <f t="shared" si="35"/>
        <v/>
      </c>
      <c r="H478" t="str">
        <f t="array" ref="H478">IFERROR(IF(COUNTIFS('Match Log'!$A$4:$A$1510,$A478,'Match Log'!$E$4:$E$1510,"Win")&gt;1,_xlfn.TEXTJOIN(" + ",TRUE(),IF(('Match Log'!$A$4:$A$1510=$A478)*('Match Log'!$E$4:$E$1510="Loss"),'Match Log'!$D$4:$D$1510,"")),IF($E478=2,LOOKUP(2,1/(('Match Log'!$A$4:$A$1510=$A478)*('Match Log'!$E$4:$E$1510="Loss")),'Match Log'!$D$4:$D$1510),"the field")),"")</f>
        <v>the field</v>
      </c>
      <c r="I478" t="str">
        <f t="shared" si="36"/>
        <v/>
      </c>
      <c r="J478">
        <v>454</v>
      </c>
      <c r="K478" t="e">
        <f>IF($J478&gt;MAX('Match Log'!$A$4:$A$1510),NA(),IFERROR(LOOKUP(2,1/(('Match Log'!$D$4:$D$1510=$K$24)*('Match Log'!$A$4:$A$1510&lt;=$J478)),'Match Log'!$N$4:$N$1510),NA()))</f>
        <v>#N/A</v>
      </c>
      <c r="L478" t="e">
        <f>IF($J478&gt;MAX('Match Log'!$A$4:$A$1510),NA(),IFERROR(LOOKUP(2,1/(('Match Log'!$D$4:$D$1510=$L$24)*('Match Log'!$A$4:$A$1510&lt;=$J478)),'Match Log'!$N$4:$N$1510),NA()))</f>
        <v>#N/A</v>
      </c>
      <c r="M478" t="e">
        <f>IF($J478&gt;MAX('Match Log'!$A$4:$A$1510),NA(),IFERROR(LOOKUP(2,1/(('Match Log'!$D$4:$D$1510=$M$24)*('Match Log'!$A$4:$A$1510&lt;=$J478)),'Match Log'!$N$4:$N$1510),NA()))</f>
        <v>#N/A</v>
      </c>
      <c r="N478" t="e">
        <f>IF($J478&gt;MAX('Match Log'!$A$4:$A$1510),NA(),IFERROR(LOOKUP(2,1/(('Match Log'!$D$4:$D$1510=$N$24)*('Match Log'!$A$4:$A$1510&lt;=$J478)),'Match Log'!$N$4:$N$1510),NA()))</f>
        <v>#N/A</v>
      </c>
      <c r="O478" t="e">
        <f>IF($J478&gt;MAX('Match Log'!$A$4:$A$1510),NA(),IFERROR(LOOKUP(2,1/(('Match Log'!$D$4:$D$1510=$O$24)*('Match Log'!$A$4:$A$1510&lt;=$J478)),'Match Log'!$N$4:$N$1510),NA()))</f>
        <v>#N/A</v>
      </c>
      <c r="P478" t="e">
        <f>IF($J478&gt;MAX('Match Log'!$A$4:$A$1510),NA(),IFERROR(LOOKUP(2,1/(('Match Log'!$D$4:$D$1510=$P$24)*('Match Log'!$A$4:$A$1510&lt;=$J478)),'Match Log'!$N$4:$N$1510),NA()))</f>
        <v>#N/A</v>
      </c>
      <c r="Q478" t="e">
        <f>IF($J478&gt;MAX('Match Log'!$A$4:$A$1510),NA(),IFERROR(LOOKUP(2,1/(('Match Log'!$D$4:$D$1510=$Q$24)*('Match Log'!$A$4:$A$1510&lt;=$J478)),'Match Log'!$N$4:$N$1510),NA()))</f>
        <v>#N/A</v>
      </c>
      <c r="R478" t="e">
        <f>IF($J478&gt;MAX('Match Log'!$A$4:$A$1510),NA(),IFERROR(LOOKUP(2,1/(('Match Log'!$D$4:$D$1510=$R$24)*('Match Log'!$A$4:$A$1510&lt;=$J478)),'Match Log'!$N$4:$N$1510),NA()))</f>
        <v>#N/A</v>
      </c>
      <c r="S478" t="e">
        <f>IF($J478&gt;MAX('Match Log'!$A$4:$A$1510),NA(),IFERROR(LOOKUP(2,1/(('Match Log'!$D$4:$D$1510=$S$24)*('Match Log'!$A$4:$A$1510&lt;=$J478)),'Match Log'!$N$4:$N$1510),NA()))</f>
        <v>#N/A</v>
      </c>
      <c r="T478" t="e">
        <f>IF($J478&gt;MAX('Match Log'!$A$4:$A$1510),NA(),IFERROR(LOOKUP(2,1/(('Match Log'!$D$4:$D$1510=$T$24)*('Match Log'!$A$4:$A$1510&lt;=$J478)),'Match Log'!$N$4:$N$1510),NA()))</f>
        <v>#N/A</v>
      </c>
      <c r="U478" t="e">
        <f>IF($J478&gt;MAX('Match Log'!$A$4:$A$1510),NA(),IFERROR(LOOKUP(2,1/(('Match Log'!$D$4:$D$1510=$U$24)*('Match Log'!$A$4:$A$1510&lt;=$J478)),'Match Log'!$N$4:$N$1510),NA()))</f>
        <v>#N/A</v>
      </c>
      <c r="V478" t="e">
        <f>IF($J478&gt;MAX('Match Log'!$A$4:$A$1510),NA(),IFERROR(LOOKUP(2,1/(('Match Log'!$D$4:$D$1510=$V$24)*('Match Log'!$A$4:$A$1510&lt;=$J478)),'Match Log'!$N$4:$N$1510),NA()))</f>
        <v>#N/A</v>
      </c>
      <c r="W478" t="e">
        <f>IF($J478&gt;MAX('Match Log'!$A$4:$A$1510),NA(),IFERROR(LOOKUP(2,1/(('Match Log'!$D$4:$D$1510=$W$24)*('Match Log'!$A$4:$A$1510&lt;=$J478)),'Match Log'!$N$4:$N$1510),NA()))</f>
        <v>#N/A</v>
      </c>
      <c r="X478" t="e">
        <f>IF($J478&gt;MAX('Match Log'!$A$4:$A$1510),NA(),IFERROR(LOOKUP(2,1/(('Match Log'!$D$4:$D$1510=$X$24)*('Match Log'!$A$4:$A$1510&lt;=$J478)),'Match Log'!$N$4:$N$1510),NA()))</f>
        <v>#N/A</v>
      </c>
      <c r="Y478" t="str">
        <f t="shared" ca="1" si="37"/>
        <v/>
      </c>
    </row>
    <row r="479" spans="1:25" x14ac:dyDescent="0.2">
      <c r="A479">
        <v>455</v>
      </c>
      <c r="B479" t="str">
        <f>IFERROR(INDEX('Match Log'!$B$4:$B$1510,MATCH($A479,'Match Log'!$A$4:$A$1510,0)),"")</f>
        <v/>
      </c>
      <c r="C479" t="str">
        <f>IFERROR(INDEX('Match Log'!$C$4:$C$1510,MATCH($A479,'Match Log'!$A$4:$A$1510,0)),"")</f>
        <v/>
      </c>
      <c r="D479" t="str">
        <f t="array" ref="D479">IFERROR(_xlfn.TEXTJOIN(" + ",TRUE(),IF(('Match Log'!$A$4:$A$1510=$A479)*('Match Log'!$E$4:$E$1510="Win"),'Match Log'!$D$4:$D$1510,"")),IFERROR(LOOKUP(2,1/(('Match Log'!$A$4:$A$1510=$A479)*('Match Log'!$E$4:$E$1510="Win")),'Match Log'!$D$4:$D$1510),""))</f>
        <v/>
      </c>
      <c r="E479" t="str">
        <f>IFERROR(INDEX('Match Log'!$F$4:$F$1510,MATCH($A479,'Match Log'!$A$4:$A$1510,0)),"")</f>
        <v/>
      </c>
      <c r="F479">
        <f>IFERROR(SUMIFS('Match Log'!$I$4:$I$1510,'Match Log'!$A$4:$A$1510,$A479,'Match Log'!$E$4:$E$1510,"Win"),"")</f>
        <v>0</v>
      </c>
      <c r="G479" t="str">
        <f t="shared" si="35"/>
        <v/>
      </c>
      <c r="H479" t="str">
        <f t="array" ref="H479">IFERROR(IF(COUNTIFS('Match Log'!$A$4:$A$1510,$A479,'Match Log'!$E$4:$E$1510,"Win")&gt;1,_xlfn.TEXTJOIN(" + ",TRUE(),IF(('Match Log'!$A$4:$A$1510=$A479)*('Match Log'!$E$4:$E$1510="Loss"),'Match Log'!$D$4:$D$1510,"")),IF($E479=2,LOOKUP(2,1/(('Match Log'!$A$4:$A$1510=$A479)*('Match Log'!$E$4:$E$1510="Loss")),'Match Log'!$D$4:$D$1510),"the field")),"")</f>
        <v>the field</v>
      </c>
      <c r="I479" t="str">
        <f t="shared" si="36"/>
        <v/>
      </c>
      <c r="J479">
        <v>455</v>
      </c>
      <c r="K479" t="e">
        <f>IF($J479&gt;MAX('Match Log'!$A$4:$A$1510),NA(),IFERROR(LOOKUP(2,1/(('Match Log'!$D$4:$D$1510=$K$24)*('Match Log'!$A$4:$A$1510&lt;=$J479)),'Match Log'!$N$4:$N$1510),NA()))</f>
        <v>#N/A</v>
      </c>
      <c r="L479" t="e">
        <f>IF($J479&gt;MAX('Match Log'!$A$4:$A$1510),NA(),IFERROR(LOOKUP(2,1/(('Match Log'!$D$4:$D$1510=$L$24)*('Match Log'!$A$4:$A$1510&lt;=$J479)),'Match Log'!$N$4:$N$1510),NA()))</f>
        <v>#N/A</v>
      </c>
      <c r="M479" t="e">
        <f>IF($J479&gt;MAX('Match Log'!$A$4:$A$1510),NA(),IFERROR(LOOKUP(2,1/(('Match Log'!$D$4:$D$1510=$M$24)*('Match Log'!$A$4:$A$1510&lt;=$J479)),'Match Log'!$N$4:$N$1510),NA()))</f>
        <v>#N/A</v>
      </c>
      <c r="N479" t="e">
        <f>IF($J479&gt;MAX('Match Log'!$A$4:$A$1510),NA(),IFERROR(LOOKUP(2,1/(('Match Log'!$D$4:$D$1510=$N$24)*('Match Log'!$A$4:$A$1510&lt;=$J479)),'Match Log'!$N$4:$N$1510),NA()))</f>
        <v>#N/A</v>
      </c>
      <c r="O479" t="e">
        <f>IF($J479&gt;MAX('Match Log'!$A$4:$A$1510),NA(),IFERROR(LOOKUP(2,1/(('Match Log'!$D$4:$D$1510=$O$24)*('Match Log'!$A$4:$A$1510&lt;=$J479)),'Match Log'!$N$4:$N$1510),NA()))</f>
        <v>#N/A</v>
      </c>
      <c r="P479" t="e">
        <f>IF($J479&gt;MAX('Match Log'!$A$4:$A$1510),NA(),IFERROR(LOOKUP(2,1/(('Match Log'!$D$4:$D$1510=$P$24)*('Match Log'!$A$4:$A$1510&lt;=$J479)),'Match Log'!$N$4:$N$1510),NA()))</f>
        <v>#N/A</v>
      </c>
      <c r="Q479" t="e">
        <f>IF($J479&gt;MAX('Match Log'!$A$4:$A$1510),NA(),IFERROR(LOOKUP(2,1/(('Match Log'!$D$4:$D$1510=$Q$24)*('Match Log'!$A$4:$A$1510&lt;=$J479)),'Match Log'!$N$4:$N$1510),NA()))</f>
        <v>#N/A</v>
      </c>
      <c r="R479" t="e">
        <f>IF($J479&gt;MAX('Match Log'!$A$4:$A$1510),NA(),IFERROR(LOOKUP(2,1/(('Match Log'!$D$4:$D$1510=$R$24)*('Match Log'!$A$4:$A$1510&lt;=$J479)),'Match Log'!$N$4:$N$1510),NA()))</f>
        <v>#N/A</v>
      </c>
      <c r="S479" t="e">
        <f>IF($J479&gt;MAX('Match Log'!$A$4:$A$1510),NA(),IFERROR(LOOKUP(2,1/(('Match Log'!$D$4:$D$1510=$S$24)*('Match Log'!$A$4:$A$1510&lt;=$J479)),'Match Log'!$N$4:$N$1510),NA()))</f>
        <v>#N/A</v>
      </c>
      <c r="T479" t="e">
        <f>IF($J479&gt;MAX('Match Log'!$A$4:$A$1510),NA(),IFERROR(LOOKUP(2,1/(('Match Log'!$D$4:$D$1510=$T$24)*('Match Log'!$A$4:$A$1510&lt;=$J479)),'Match Log'!$N$4:$N$1510),NA()))</f>
        <v>#N/A</v>
      </c>
      <c r="U479" t="e">
        <f>IF($J479&gt;MAX('Match Log'!$A$4:$A$1510),NA(),IFERROR(LOOKUP(2,1/(('Match Log'!$D$4:$D$1510=$U$24)*('Match Log'!$A$4:$A$1510&lt;=$J479)),'Match Log'!$N$4:$N$1510),NA()))</f>
        <v>#N/A</v>
      </c>
      <c r="V479" t="e">
        <f>IF($J479&gt;MAX('Match Log'!$A$4:$A$1510),NA(),IFERROR(LOOKUP(2,1/(('Match Log'!$D$4:$D$1510=$V$24)*('Match Log'!$A$4:$A$1510&lt;=$J479)),'Match Log'!$N$4:$N$1510),NA()))</f>
        <v>#N/A</v>
      </c>
      <c r="W479" t="e">
        <f>IF($J479&gt;MAX('Match Log'!$A$4:$A$1510),NA(),IFERROR(LOOKUP(2,1/(('Match Log'!$D$4:$D$1510=$W$24)*('Match Log'!$A$4:$A$1510&lt;=$J479)),'Match Log'!$N$4:$N$1510),NA()))</f>
        <v>#N/A</v>
      </c>
      <c r="X479" t="e">
        <f>IF($J479&gt;MAX('Match Log'!$A$4:$A$1510),NA(),IFERROR(LOOKUP(2,1/(('Match Log'!$D$4:$D$1510=$X$24)*('Match Log'!$A$4:$A$1510&lt;=$J479)),'Match Log'!$N$4:$N$1510),NA()))</f>
        <v>#N/A</v>
      </c>
      <c r="Y479" t="str">
        <f t="shared" ca="1" si="37"/>
        <v/>
      </c>
    </row>
    <row r="480" spans="1:25" x14ac:dyDescent="0.2">
      <c r="A480">
        <v>456</v>
      </c>
      <c r="B480" t="str">
        <f>IFERROR(INDEX('Match Log'!$B$4:$B$1510,MATCH($A480,'Match Log'!$A$4:$A$1510,0)),"")</f>
        <v/>
      </c>
      <c r="C480" t="str">
        <f>IFERROR(INDEX('Match Log'!$C$4:$C$1510,MATCH($A480,'Match Log'!$A$4:$A$1510,0)),"")</f>
        <v/>
      </c>
      <c r="D480" t="str">
        <f t="array" ref="D480">IFERROR(_xlfn.TEXTJOIN(" + ",TRUE(),IF(('Match Log'!$A$4:$A$1510=$A480)*('Match Log'!$E$4:$E$1510="Win"),'Match Log'!$D$4:$D$1510,"")),IFERROR(LOOKUP(2,1/(('Match Log'!$A$4:$A$1510=$A480)*('Match Log'!$E$4:$E$1510="Win")),'Match Log'!$D$4:$D$1510),""))</f>
        <v/>
      </c>
      <c r="E480" t="str">
        <f>IFERROR(INDEX('Match Log'!$F$4:$F$1510,MATCH($A480,'Match Log'!$A$4:$A$1510,0)),"")</f>
        <v/>
      </c>
      <c r="F480">
        <f>IFERROR(SUMIFS('Match Log'!$I$4:$I$1510,'Match Log'!$A$4:$A$1510,$A480,'Match Log'!$E$4:$E$1510,"Win"),"")</f>
        <v>0</v>
      </c>
      <c r="G480" t="str">
        <f t="shared" si="35"/>
        <v/>
      </c>
      <c r="H480" t="str">
        <f t="array" ref="H480">IFERROR(IF(COUNTIFS('Match Log'!$A$4:$A$1510,$A480,'Match Log'!$E$4:$E$1510,"Win")&gt;1,_xlfn.TEXTJOIN(" + ",TRUE(),IF(('Match Log'!$A$4:$A$1510=$A480)*('Match Log'!$E$4:$E$1510="Loss"),'Match Log'!$D$4:$D$1510,"")),IF($E480=2,LOOKUP(2,1/(('Match Log'!$A$4:$A$1510=$A480)*('Match Log'!$E$4:$E$1510="Loss")),'Match Log'!$D$4:$D$1510),"the field")),"")</f>
        <v>the field</v>
      </c>
      <c r="I480" t="str">
        <f t="shared" si="36"/>
        <v/>
      </c>
      <c r="J480">
        <v>456</v>
      </c>
      <c r="K480" t="e">
        <f>IF($J480&gt;MAX('Match Log'!$A$4:$A$1510),NA(),IFERROR(LOOKUP(2,1/(('Match Log'!$D$4:$D$1510=$K$24)*('Match Log'!$A$4:$A$1510&lt;=$J480)),'Match Log'!$N$4:$N$1510),NA()))</f>
        <v>#N/A</v>
      </c>
      <c r="L480" t="e">
        <f>IF($J480&gt;MAX('Match Log'!$A$4:$A$1510),NA(),IFERROR(LOOKUP(2,1/(('Match Log'!$D$4:$D$1510=$L$24)*('Match Log'!$A$4:$A$1510&lt;=$J480)),'Match Log'!$N$4:$N$1510),NA()))</f>
        <v>#N/A</v>
      </c>
      <c r="M480" t="e">
        <f>IF($J480&gt;MAX('Match Log'!$A$4:$A$1510),NA(),IFERROR(LOOKUP(2,1/(('Match Log'!$D$4:$D$1510=$M$24)*('Match Log'!$A$4:$A$1510&lt;=$J480)),'Match Log'!$N$4:$N$1510),NA()))</f>
        <v>#N/A</v>
      </c>
      <c r="N480" t="e">
        <f>IF($J480&gt;MAX('Match Log'!$A$4:$A$1510),NA(),IFERROR(LOOKUP(2,1/(('Match Log'!$D$4:$D$1510=$N$24)*('Match Log'!$A$4:$A$1510&lt;=$J480)),'Match Log'!$N$4:$N$1510),NA()))</f>
        <v>#N/A</v>
      </c>
      <c r="O480" t="e">
        <f>IF($J480&gt;MAX('Match Log'!$A$4:$A$1510),NA(),IFERROR(LOOKUP(2,1/(('Match Log'!$D$4:$D$1510=$O$24)*('Match Log'!$A$4:$A$1510&lt;=$J480)),'Match Log'!$N$4:$N$1510),NA()))</f>
        <v>#N/A</v>
      </c>
      <c r="P480" t="e">
        <f>IF($J480&gt;MAX('Match Log'!$A$4:$A$1510),NA(),IFERROR(LOOKUP(2,1/(('Match Log'!$D$4:$D$1510=$P$24)*('Match Log'!$A$4:$A$1510&lt;=$J480)),'Match Log'!$N$4:$N$1510),NA()))</f>
        <v>#N/A</v>
      </c>
      <c r="Q480" t="e">
        <f>IF($J480&gt;MAX('Match Log'!$A$4:$A$1510),NA(),IFERROR(LOOKUP(2,1/(('Match Log'!$D$4:$D$1510=$Q$24)*('Match Log'!$A$4:$A$1510&lt;=$J480)),'Match Log'!$N$4:$N$1510),NA()))</f>
        <v>#N/A</v>
      </c>
      <c r="R480" t="e">
        <f>IF($J480&gt;MAX('Match Log'!$A$4:$A$1510),NA(),IFERROR(LOOKUP(2,1/(('Match Log'!$D$4:$D$1510=$R$24)*('Match Log'!$A$4:$A$1510&lt;=$J480)),'Match Log'!$N$4:$N$1510),NA()))</f>
        <v>#N/A</v>
      </c>
      <c r="S480" t="e">
        <f>IF($J480&gt;MAX('Match Log'!$A$4:$A$1510),NA(),IFERROR(LOOKUP(2,1/(('Match Log'!$D$4:$D$1510=$S$24)*('Match Log'!$A$4:$A$1510&lt;=$J480)),'Match Log'!$N$4:$N$1510),NA()))</f>
        <v>#N/A</v>
      </c>
      <c r="T480" t="e">
        <f>IF($J480&gt;MAX('Match Log'!$A$4:$A$1510),NA(),IFERROR(LOOKUP(2,1/(('Match Log'!$D$4:$D$1510=$T$24)*('Match Log'!$A$4:$A$1510&lt;=$J480)),'Match Log'!$N$4:$N$1510),NA()))</f>
        <v>#N/A</v>
      </c>
      <c r="U480" t="e">
        <f>IF($J480&gt;MAX('Match Log'!$A$4:$A$1510),NA(),IFERROR(LOOKUP(2,1/(('Match Log'!$D$4:$D$1510=$U$24)*('Match Log'!$A$4:$A$1510&lt;=$J480)),'Match Log'!$N$4:$N$1510),NA()))</f>
        <v>#N/A</v>
      </c>
      <c r="V480" t="e">
        <f>IF($J480&gt;MAX('Match Log'!$A$4:$A$1510),NA(),IFERROR(LOOKUP(2,1/(('Match Log'!$D$4:$D$1510=$V$24)*('Match Log'!$A$4:$A$1510&lt;=$J480)),'Match Log'!$N$4:$N$1510),NA()))</f>
        <v>#N/A</v>
      </c>
      <c r="W480" t="e">
        <f>IF($J480&gt;MAX('Match Log'!$A$4:$A$1510),NA(),IFERROR(LOOKUP(2,1/(('Match Log'!$D$4:$D$1510=$W$24)*('Match Log'!$A$4:$A$1510&lt;=$J480)),'Match Log'!$N$4:$N$1510),NA()))</f>
        <v>#N/A</v>
      </c>
      <c r="X480" t="e">
        <f>IF($J480&gt;MAX('Match Log'!$A$4:$A$1510),NA(),IFERROR(LOOKUP(2,1/(('Match Log'!$D$4:$D$1510=$X$24)*('Match Log'!$A$4:$A$1510&lt;=$J480)),'Match Log'!$N$4:$N$1510),NA()))</f>
        <v>#N/A</v>
      </c>
      <c r="Y480" t="str">
        <f t="shared" ca="1" si="37"/>
        <v/>
      </c>
    </row>
    <row r="481" spans="1:25" x14ac:dyDescent="0.2">
      <c r="A481">
        <v>457</v>
      </c>
      <c r="B481" t="str">
        <f>IFERROR(INDEX('Match Log'!$B$4:$B$1510,MATCH($A481,'Match Log'!$A$4:$A$1510,0)),"")</f>
        <v/>
      </c>
      <c r="C481" t="str">
        <f>IFERROR(INDEX('Match Log'!$C$4:$C$1510,MATCH($A481,'Match Log'!$A$4:$A$1510,0)),"")</f>
        <v/>
      </c>
      <c r="D481" t="str">
        <f t="array" ref="D481">IFERROR(_xlfn.TEXTJOIN(" + ",TRUE(),IF(('Match Log'!$A$4:$A$1510=$A481)*('Match Log'!$E$4:$E$1510="Win"),'Match Log'!$D$4:$D$1510,"")),IFERROR(LOOKUP(2,1/(('Match Log'!$A$4:$A$1510=$A481)*('Match Log'!$E$4:$E$1510="Win")),'Match Log'!$D$4:$D$1510),""))</f>
        <v/>
      </c>
      <c r="E481" t="str">
        <f>IFERROR(INDEX('Match Log'!$F$4:$F$1510,MATCH($A481,'Match Log'!$A$4:$A$1510,0)),"")</f>
        <v/>
      </c>
      <c r="F481">
        <f>IFERROR(SUMIFS('Match Log'!$I$4:$I$1510,'Match Log'!$A$4:$A$1510,$A481,'Match Log'!$E$4:$E$1510,"Win"),"")</f>
        <v>0</v>
      </c>
      <c r="G481" t="str">
        <f t="shared" si="35"/>
        <v/>
      </c>
      <c r="H481" t="str">
        <f t="array" ref="H481">IFERROR(IF(COUNTIFS('Match Log'!$A$4:$A$1510,$A481,'Match Log'!$E$4:$E$1510,"Win")&gt;1,_xlfn.TEXTJOIN(" + ",TRUE(),IF(('Match Log'!$A$4:$A$1510=$A481)*('Match Log'!$E$4:$E$1510="Loss"),'Match Log'!$D$4:$D$1510,"")),IF($E481=2,LOOKUP(2,1/(('Match Log'!$A$4:$A$1510=$A481)*('Match Log'!$E$4:$E$1510="Loss")),'Match Log'!$D$4:$D$1510),"the field")),"")</f>
        <v>the field</v>
      </c>
      <c r="I481" t="str">
        <f t="shared" si="36"/>
        <v/>
      </c>
      <c r="J481">
        <v>457</v>
      </c>
      <c r="K481" t="e">
        <f>IF($J481&gt;MAX('Match Log'!$A$4:$A$1510),NA(),IFERROR(LOOKUP(2,1/(('Match Log'!$D$4:$D$1510=$K$24)*('Match Log'!$A$4:$A$1510&lt;=$J481)),'Match Log'!$N$4:$N$1510),NA()))</f>
        <v>#N/A</v>
      </c>
      <c r="L481" t="e">
        <f>IF($J481&gt;MAX('Match Log'!$A$4:$A$1510),NA(),IFERROR(LOOKUP(2,1/(('Match Log'!$D$4:$D$1510=$L$24)*('Match Log'!$A$4:$A$1510&lt;=$J481)),'Match Log'!$N$4:$N$1510),NA()))</f>
        <v>#N/A</v>
      </c>
      <c r="M481" t="e">
        <f>IF($J481&gt;MAX('Match Log'!$A$4:$A$1510),NA(),IFERROR(LOOKUP(2,1/(('Match Log'!$D$4:$D$1510=$M$24)*('Match Log'!$A$4:$A$1510&lt;=$J481)),'Match Log'!$N$4:$N$1510),NA()))</f>
        <v>#N/A</v>
      </c>
      <c r="N481" t="e">
        <f>IF($J481&gt;MAX('Match Log'!$A$4:$A$1510),NA(),IFERROR(LOOKUP(2,1/(('Match Log'!$D$4:$D$1510=$N$24)*('Match Log'!$A$4:$A$1510&lt;=$J481)),'Match Log'!$N$4:$N$1510),NA()))</f>
        <v>#N/A</v>
      </c>
      <c r="O481" t="e">
        <f>IF($J481&gt;MAX('Match Log'!$A$4:$A$1510),NA(),IFERROR(LOOKUP(2,1/(('Match Log'!$D$4:$D$1510=$O$24)*('Match Log'!$A$4:$A$1510&lt;=$J481)),'Match Log'!$N$4:$N$1510),NA()))</f>
        <v>#N/A</v>
      </c>
      <c r="P481" t="e">
        <f>IF($J481&gt;MAX('Match Log'!$A$4:$A$1510),NA(),IFERROR(LOOKUP(2,1/(('Match Log'!$D$4:$D$1510=$P$24)*('Match Log'!$A$4:$A$1510&lt;=$J481)),'Match Log'!$N$4:$N$1510),NA()))</f>
        <v>#N/A</v>
      </c>
      <c r="Q481" t="e">
        <f>IF($J481&gt;MAX('Match Log'!$A$4:$A$1510),NA(),IFERROR(LOOKUP(2,1/(('Match Log'!$D$4:$D$1510=$Q$24)*('Match Log'!$A$4:$A$1510&lt;=$J481)),'Match Log'!$N$4:$N$1510),NA()))</f>
        <v>#N/A</v>
      </c>
      <c r="R481" t="e">
        <f>IF($J481&gt;MAX('Match Log'!$A$4:$A$1510),NA(),IFERROR(LOOKUP(2,1/(('Match Log'!$D$4:$D$1510=$R$24)*('Match Log'!$A$4:$A$1510&lt;=$J481)),'Match Log'!$N$4:$N$1510),NA()))</f>
        <v>#N/A</v>
      </c>
      <c r="S481" t="e">
        <f>IF($J481&gt;MAX('Match Log'!$A$4:$A$1510),NA(),IFERROR(LOOKUP(2,1/(('Match Log'!$D$4:$D$1510=$S$24)*('Match Log'!$A$4:$A$1510&lt;=$J481)),'Match Log'!$N$4:$N$1510),NA()))</f>
        <v>#N/A</v>
      </c>
      <c r="T481" t="e">
        <f>IF($J481&gt;MAX('Match Log'!$A$4:$A$1510),NA(),IFERROR(LOOKUP(2,1/(('Match Log'!$D$4:$D$1510=$T$24)*('Match Log'!$A$4:$A$1510&lt;=$J481)),'Match Log'!$N$4:$N$1510),NA()))</f>
        <v>#N/A</v>
      </c>
      <c r="U481" t="e">
        <f>IF($J481&gt;MAX('Match Log'!$A$4:$A$1510),NA(),IFERROR(LOOKUP(2,1/(('Match Log'!$D$4:$D$1510=$U$24)*('Match Log'!$A$4:$A$1510&lt;=$J481)),'Match Log'!$N$4:$N$1510),NA()))</f>
        <v>#N/A</v>
      </c>
      <c r="V481" t="e">
        <f>IF($J481&gt;MAX('Match Log'!$A$4:$A$1510),NA(),IFERROR(LOOKUP(2,1/(('Match Log'!$D$4:$D$1510=$V$24)*('Match Log'!$A$4:$A$1510&lt;=$J481)),'Match Log'!$N$4:$N$1510),NA()))</f>
        <v>#N/A</v>
      </c>
      <c r="W481" t="e">
        <f>IF($J481&gt;MAX('Match Log'!$A$4:$A$1510),NA(),IFERROR(LOOKUP(2,1/(('Match Log'!$D$4:$D$1510=$W$24)*('Match Log'!$A$4:$A$1510&lt;=$J481)),'Match Log'!$N$4:$N$1510),NA()))</f>
        <v>#N/A</v>
      </c>
      <c r="X481" t="e">
        <f>IF($J481&gt;MAX('Match Log'!$A$4:$A$1510),NA(),IFERROR(LOOKUP(2,1/(('Match Log'!$D$4:$D$1510=$X$24)*('Match Log'!$A$4:$A$1510&lt;=$J481)),'Match Log'!$N$4:$N$1510),NA()))</f>
        <v>#N/A</v>
      </c>
      <c r="Y481" t="str">
        <f t="shared" ca="1" si="37"/>
        <v/>
      </c>
    </row>
    <row r="482" spans="1:25" x14ac:dyDescent="0.2">
      <c r="A482">
        <v>458</v>
      </c>
      <c r="B482" t="str">
        <f>IFERROR(INDEX('Match Log'!$B$4:$B$1510,MATCH($A482,'Match Log'!$A$4:$A$1510,0)),"")</f>
        <v/>
      </c>
      <c r="C482" t="str">
        <f>IFERROR(INDEX('Match Log'!$C$4:$C$1510,MATCH($A482,'Match Log'!$A$4:$A$1510,0)),"")</f>
        <v/>
      </c>
      <c r="D482" t="str">
        <f t="array" ref="D482">IFERROR(_xlfn.TEXTJOIN(" + ",TRUE(),IF(('Match Log'!$A$4:$A$1510=$A482)*('Match Log'!$E$4:$E$1510="Win"),'Match Log'!$D$4:$D$1510,"")),IFERROR(LOOKUP(2,1/(('Match Log'!$A$4:$A$1510=$A482)*('Match Log'!$E$4:$E$1510="Win")),'Match Log'!$D$4:$D$1510),""))</f>
        <v/>
      </c>
      <c r="E482" t="str">
        <f>IFERROR(INDEX('Match Log'!$F$4:$F$1510,MATCH($A482,'Match Log'!$A$4:$A$1510,0)),"")</f>
        <v/>
      </c>
      <c r="F482">
        <f>IFERROR(SUMIFS('Match Log'!$I$4:$I$1510,'Match Log'!$A$4:$A$1510,$A482,'Match Log'!$E$4:$E$1510,"Win"),"")</f>
        <v>0</v>
      </c>
      <c r="G482" t="str">
        <f t="shared" si="35"/>
        <v/>
      </c>
      <c r="H482" t="str">
        <f t="array" ref="H482">IFERROR(IF(COUNTIFS('Match Log'!$A$4:$A$1510,$A482,'Match Log'!$E$4:$E$1510,"Win")&gt;1,_xlfn.TEXTJOIN(" + ",TRUE(),IF(('Match Log'!$A$4:$A$1510=$A482)*('Match Log'!$E$4:$E$1510="Loss"),'Match Log'!$D$4:$D$1510,"")),IF($E482=2,LOOKUP(2,1/(('Match Log'!$A$4:$A$1510=$A482)*('Match Log'!$E$4:$E$1510="Loss")),'Match Log'!$D$4:$D$1510),"the field")),"")</f>
        <v>the field</v>
      </c>
      <c r="I482" t="str">
        <f t="shared" si="36"/>
        <v/>
      </c>
      <c r="J482">
        <v>458</v>
      </c>
      <c r="K482" t="e">
        <f>IF($J482&gt;MAX('Match Log'!$A$4:$A$1510),NA(),IFERROR(LOOKUP(2,1/(('Match Log'!$D$4:$D$1510=$K$24)*('Match Log'!$A$4:$A$1510&lt;=$J482)),'Match Log'!$N$4:$N$1510),NA()))</f>
        <v>#N/A</v>
      </c>
      <c r="L482" t="e">
        <f>IF($J482&gt;MAX('Match Log'!$A$4:$A$1510),NA(),IFERROR(LOOKUP(2,1/(('Match Log'!$D$4:$D$1510=$L$24)*('Match Log'!$A$4:$A$1510&lt;=$J482)),'Match Log'!$N$4:$N$1510),NA()))</f>
        <v>#N/A</v>
      </c>
      <c r="M482" t="e">
        <f>IF($J482&gt;MAX('Match Log'!$A$4:$A$1510),NA(),IFERROR(LOOKUP(2,1/(('Match Log'!$D$4:$D$1510=$M$24)*('Match Log'!$A$4:$A$1510&lt;=$J482)),'Match Log'!$N$4:$N$1510),NA()))</f>
        <v>#N/A</v>
      </c>
      <c r="N482" t="e">
        <f>IF($J482&gt;MAX('Match Log'!$A$4:$A$1510),NA(),IFERROR(LOOKUP(2,1/(('Match Log'!$D$4:$D$1510=$N$24)*('Match Log'!$A$4:$A$1510&lt;=$J482)),'Match Log'!$N$4:$N$1510),NA()))</f>
        <v>#N/A</v>
      </c>
      <c r="O482" t="e">
        <f>IF($J482&gt;MAX('Match Log'!$A$4:$A$1510),NA(),IFERROR(LOOKUP(2,1/(('Match Log'!$D$4:$D$1510=$O$24)*('Match Log'!$A$4:$A$1510&lt;=$J482)),'Match Log'!$N$4:$N$1510),NA()))</f>
        <v>#N/A</v>
      </c>
      <c r="P482" t="e">
        <f>IF($J482&gt;MAX('Match Log'!$A$4:$A$1510),NA(),IFERROR(LOOKUP(2,1/(('Match Log'!$D$4:$D$1510=$P$24)*('Match Log'!$A$4:$A$1510&lt;=$J482)),'Match Log'!$N$4:$N$1510),NA()))</f>
        <v>#N/A</v>
      </c>
      <c r="Q482" t="e">
        <f>IF($J482&gt;MAX('Match Log'!$A$4:$A$1510),NA(),IFERROR(LOOKUP(2,1/(('Match Log'!$D$4:$D$1510=$Q$24)*('Match Log'!$A$4:$A$1510&lt;=$J482)),'Match Log'!$N$4:$N$1510),NA()))</f>
        <v>#N/A</v>
      </c>
      <c r="R482" t="e">
        <f>IF($J482&gt;MAX('Match Log'!$A$4:$A$1510),NA(),IFERROR(LOOKUP(2,1/(('Match Log'!$D$4:$D$1510=$R$24)*('Match Log'!$A$4:$A$1510&lt;=$J482)),'Match Log'!$N$4:$N$1510),NA()))</f>
        <v>#N/A</v>
      </c>
      <c r="S482" t="e">
        <f>IF($J482&gt;MAX('Match Log'!$A$4:$A$1510),NA(),IFERROR(LOOKUP(2,1/(('Match Log'!$D$4:$D$1510=$S$24)*('Match Log'!$A$4:$A$1510&lt;=$J482)),'Match Log'!$N$4:$N$1510),NA()))</f>
        <v>#N/A</v>
      </c>
      <c r="T482" t="e">
        <f>IF($J482&gt;MAX('Match Log'!$A$4:$A$1510),NA(),IFERROR(LOOKUP(2,1/(('Match Log'!$D$4:$D$1510=$T$24)*('Match Log'!$A$4:$A$1510&lt;=$J482)),'Match Log'!$N$4:$N$1510),NA()))</f>
        <v>#N/A</v>
      </c>
      <c r="U482" t="e">
        <f>IF($J482&gt;MAX('Match Log'!$A$4:$A$1510),NA(),IFERROR(LOOKUP(2,1/(('Match Log'!$D$4:$D$1510=$U$24)*('Match Log'!$A$4:$A$1510&lt;=$J482)),'Match Log'!$N$4:$N$1510),NA()))</f>
        <v>#N/A</v>
      </c>
      <c r="V482" t="e">
        <f>IF($J482&gt;MAX('Match Log'!$A$4:$A$1510),NA(),IFERROR(LOOKUP(2,1/(('Match Log'!$D$4:$D$1510=$V$24)*('Match Log'!$A$4:$A$1510&lt;=$J482)),'Match Log'!$N$4:$N$1510),NA()))</f>
        <v>#N/A</v>
      </c>
      <c r="W482" t="e">
        <f>IF($J482&gt;MAX('Match Log'!$A$4:$A$1510),NA(),IFERROR(LOOKUP(2,1/(('Match Log'!$D$4:$D$1510=$W$24)*('Match Log'!$A$4:$A$1510&lt;=$J482)),'Match Log'!$N$4:$N$1510),NA()))</f>
        <v>#N/A</v>
      </c>
      <c r="X482" t="e">
        <f>IF($J482&gt;MAX('Match Log'!$A$4:$A$1510),NA(),IFERROR(LOOKUP(2,1/(('Match Log'!$D$4:$D$1510=$X$24)*('Match Log'!$A$4:$A$1510&lt;=$J482)),'Match Log'!$N$4:$N$1510),NA()))</f>
        <v>#N/A</v>
      </c>
      <c r="Y482" t="str">
        <f t="shared" ca="1" si="37"/>
        <v/>
      </c>
    </row>
    <row r="483" spans="1:25" x14ac:dyDescent="0.2">
      <c r="A483">
        <v>459</v>
      </c>
      <c r="B483" t="str">
        <f>IFERROR(INDEX('Match Log'!$B$4:$B$1510,MATCH($A483,'Match Log'!$A$4:$A$1510,0)),"")</f>
        <v/>
      </c>
      <c r="C483" t="str">
        <f>IFERROR(INDEX('Match Log'!$C$4:$C$1510,MATCH($A483,'Match Log'!$A$4:$A$1510,0)),"")</f>
        <v/>
      </c>
      <c r="D483" t="str">
        <f t="array" ref="D483">IFERROR(_xlfn.TEXTJOIN(" + ",TRUE(),IF(('Match Log'!$A$4:$A$1510=$A483)*('Match Log'!$E$4:$E$1510="Win"),'Match Log'!$D$4:$D$1510,"")),IFERROR(LOOKUP(2,1/(('Match Log'!$A$4:$A$1510=$A483)*('Match Log'!$E$4:$E$1510="Win")),'Match Log'!$D$4:$D$1510),""))</f>
        <v/>
      </c>
      <c r="E483" t="str">
        <f>IFERROR(INDEX('Match Log'!$F$4:$F$1510,MATCH($A483,'Match Log'!$A$4:$A$1510,0)),"")</f>
        <v/>
      </c>
      <c r="F483">
        <f>IFERROR(SUMIFS('Match Log'!$I$4:$I$1510,'Match Log'!$A$4:$A$1510,$A483,'Match Log'!$E$4:$E$1510,"Win"),"")</f>
        <v>0</v>
      </c>
      <c r="G483" t="str">
        <f t="shared" si="35"/>
        <v/>
      </c>
      <c r="H483" t="str">
        <f t="array" ref="H483">IFERROR(IF(COUNTIFS('Match Log'!$A$4:$A$1510,$A483,'Match Log'!$E$4:$E$1510,"Win")&gt;1,_xlfn.TEXTJOIN(" + ",TRUE(),IF(('Match Log'!$A$4:$A$1510=$A483)*('Match Log'!$E$4:$E$1510="Loss"),'Match Log'!$D$4:$D$1510,"")),IF($E483=2,LOOKUP(2,1/(('Match Log'!$A$4:$A$1510=$A483)*('Match Log'!$E$4:$E$1510="Loss")),'Match Log'!$D$4:$D$1510),"the field")),"")</f>
        <v>the field</v>
      </c>
      <c r="I483" t="str">
        <f t="shared" si="36"/>
        <v/>
      </c>
      <c r="J483">
        <v>459</v>
      </c>
      <c r="K483" t="e">
        <f>IF($J483&gt;MAX('Match Log'!$A$4:$A$1510),NA(),IFERROR(LOOKUP(2,1/(('Match Log'!$D$4:$D$1510=$K$24)*('Match Log'!$A$4:$A$1510&lt;=$J483)),'Match Log'!$N$4:$N$1510),NA()))</f>
        <v>#N/A</v>
      </c>
      <c r="L483" t="e">
        <f>IF($J483&gt;MAX('Match Log'!$A$4:$A$1510),NA(),IFERROR(LOOKUP(2,1/(('Match Log'!$D$4:$D$1510=$L$24)*('Match Log'!$A$4:$A$1510&lt;=$J483)),'Match Log'!$N$4:$N$1510),NA()))</f>
        <v>#N/A</v>
      </c>
      <c r="M483" t="e">
        <f>IF($J483&gt;MAX('Match Log'!$A$4:$A$1510),NA(),IFERROR(LOOKUP(2,1/(('Match Log'!$D$4:$D$1510=$M$24)*('Match Log'!$A$4:$A$1510&lt;=$J483)),'Match Log'!$N$4:$N$1510),NA()))</f>
        <v>#N/A</v>
      </c>
      <c r="N483" t="e">
        <f>IF($J483&gt;MAX('Match Log'!$A$4:$A$1510),NA(),IFERROR(LOOKUP(2,1/(('Match Log'!$D$4:$D$1510=$N$24)*('Match Log'!$A$4:$A$1510&lt;=$J483)),'Match Log'!$N$4:$N$1510),NA()))</f>
        <v>#N/A</v>
      </c>
      <c r="O483" t="e">
        <f>IF($J483&gt;MAX('Match Log'!$A$4:$A$1510),NA(),IFERROR(LOOKUP(2,1/(('Match Log'!$D$4:$D$1510=$O$24)*('Match Log'!$A$4:$A$1510&lt;=$J483)),'Match Log'!$N$4:$N$1510),NA()))</f>
        <v>#N/A</v>
      </c>
      <c r="P483" t="e">
        <f>IF($J483&gt;MAX('Match Log'!$A$4:$A$1510),NA(),IFERROR(LOOKUP(2,1/(('Match Log'!$D$4:$D$1510=$P$24)*('Match Log'!$A$4:$A$1510&lt;=$J483)),'Match Log'!$N$4:$N$1510),NA()))</f>
        <v>#N/A</v>
      </c>
      <c r="Q483" t="e">
        <f>IF($J483&gt;MAX('Match Log'!$A$4:$A$1510),NA(),IFERROR(LOOKUP(2,1/(('Match Log'!$D$4:$D$1510=$Q$24)*('Match Log'!$A$4:$A$1510&lt;=$J483)),'Match Log'!$N$4:$N$1510),NA()))</f>
        <v>#N/A</v>
      </c>
      <c r="R483" t="e">
        <f>IF($J483&gt;MAX('Match Log'!$A$4:$A$1510),NA(),IFERROR(LOOKUP(2,1/(('Match Log'!$D$4:$D$1510=$R$24)*('Match Log'!$A$4:$A$1510&lt;=$J483)),'Match Log'!$N$4:$N$1510),NA()))</f>
        <v>#N/A</v>
      </c>
      <c r="S483" t="e">
        <f>IF($J483&gt;MAX('Match Log'!$A$4:$A$1510),NA(),IFERROR(LOOKUP(2,1/(('Match Log'!$D$4:$D$1510=$S$24)*('Match Log'!$A$4:$A$1510&lt;=$J483)),'Match Log'!$N$4:$N$1510),NA()))</f>
        <v>#N/A</v>
      </c>
      <c r="T483" t="e">
        <f>IF($J483&gt;MAX('Match Log'!$A$4:$A$1510),NA(),IFERROR(LOOKUP(2,1/(('Match Log'!$D$4:$D$1510=$T$24)*('Match Log'!$A$4:$A$1510&lt;=$J483)),'Match Log'!$N$4:$N$1510),NA()))</f>
        <v>#N/A</v>
      </c>
      <c r="U483" t="e">
        <f>IF($J483&gt;MAX('Match Log'!$A$4:$A$1510),NA(),IFERROR(LOOKUP(2,1/(('Match Log'!$D$4:$D$1510=$U$24)*('Match Log'!$A$4:$A$1510&lt;=$J483)),'Match Log'!$N$4:$N$1510),NA()))</f>
        <v>#N/A</v>
      </c>
      <c r="V483" t="e">
        <f>IF($J483&gt;MAX('Match Log'!$A$4:$A$1510),NA(),IFERROR(LOOKUP(2,1/(('Match Log'!$D$4:$D$1510=$V$24)*('Match Log'!$A$4:$A$1510&lt;=$J483)),'Match Log'!$N$4:$N$1510),NA()))</f>
        <v>#N/A</v>
      </c>
      <c r="W483" t="e">
        <f>IF($J483&gt;MAX('Match Log'!$A$4:$A$1510),NA(),IFERROR(LOOKUP(2,1/(('Match Log'!$D$4:$D$1510=$W$24)*('Match Log'!$A$4:$A$1510&lt;=$J483)),'Match Log'!$N$4:$N$1510),NA()))</f>
        <v>#N/A</v>
      </c>
      <c r="X483" t="e">
        <f>IF($J483&gt;MAX('Match Log'!$A$4:$A$1510),NA(),IFERROR(LOOKUP(2,1/(('Match Log'!$D$4:$D$1510=$X$24)*('Match Log'!$A$4:$A$1510&lt;=$J483)),'Match Log'!$N$4:$N$1510),NA()))</f>
        <v>#N/A</v>
      </c>
      <c r="Y483" t="str">
        <f t="shared" ca="1" si="37"/>
        <v/>
      </c>
    </row>
    <row r="484" spans="1:25" x14ac:dyDescent="0.2">
      <c r="A484">
        <v>460</v>
      </c>
      <c r="B484" t="str">
        <f>IFERROR(INDEX('Match Log'!$B$4:$B$1510,MATCH($A484,'Match Log'!$A$4:$A$1510,0)),"")</f>
        <v/>
      </c>
      <c r="C484" t="str">
        <f>IFERROR(INDEX('Match Log'!$C$4:$C$1510,MATCH($A484,'Match Log'!$A$4:$A$1510,0)),"")</f>
        <v/>
      </c>
      <c r="D484" t="str">
        <f t="array" ref="D484">IFERROR(_xlfn.TEXTJOIN(" + ",TRUE(),IF(('Match Log'!$A$4:$A$1510=$A484)*('Match Log'!$E$4:$E$1510="Win"),'Match Log'!$D$4:$D$1510,"")),IFERROR(LOOKUP(2,1/(('Match Log'!$A$4:$A$1510=$A484)*('Match Log'!$E$4:$E$1510="Win")),'Match Log'!$D$4:$D$1510),""))</f>
        <v/>
      </c>
      <c r="E484" t="str">
        <f>IFERROR(INDEX('Match Log'!$F$4:$F$1510,MATCH($A484,'Match Log'!$A$4:$A$1510,0)),"")</f>
        <v/>
      </c>
      <c r="F484">
        <f>IFERROR(SUMIFS('Match Log'!$I$4:$I$1510,'Match Log'!$A$4:$A$1510,$A484,'Match Log'!$E$4:$E$1510,"Win"),"")</f>
        <v>0</v>
      </c>
      <c r="G484" t="str">
        <f t="shared" si="35"/>
        <v/>
      </c>
      <c r="H484" t="str">
        <f t="array" ref="H484">IFERROR(IF(COUNTIFS('Match Log'!$A$4:$A$1510,$A484,'Match Log'!$E$4:$E$1510,"Win")&gt;1,_xlfn.TEXTJOIN(" + ",TRUE(),IF(('Match Log'!$A$4:$A$1510=$A484)*('Match Log'!$E$4:$E$1510="Loss"),'Match Log'!$D$4:$D$1510,"")),IF($E484=2,LOOKUP(2,1/(('Match Log'!$A$4:$A$1510=$A484)*('Match Log'!$E$4:$E$1510="Loss")),'Match Log'!$D$4:$D$1510),"the field")),"")</f>
        <v>the field</v>
      </c>
      <c r="I484" t="str">
        <f t="shared" si="36"/>
        <v/>
      </c>
      <c r="J484">
        <v>460</v>
      </c>
      <c r="K484" t="e">
        <f>IF($J484&gt;MAX('Match Log'!$A$4:$A$1510),NA(),IFERROR(LOOKUP(2,1/(('Match Log'!$D$4:$D$1510=$K$24)*('Match Log'!$A$4:$A$1510&lt;=$J484)),'Match Log'!$N$4:$N$1510),NA()))</f>
        <v>#N/A</v>
      </c>
      <c r="L484" t="e">
        <f>IF($J484&gt;MAX('Match Log'!$A$4:$A$1510),NA(),IFERROR(LOOKUP(2,1/(('Match Log'!$D$4:$D$1510=$L$24)*('Match Log'!$A$4:$A$1510&lt;=$J484)),'Match Log'!$N$4:$N$1510),NA()))</f>
        <v>#N/A</v>
      </c>
      <c r="M484" t="e">
        <f>IF($J484&gt;MAX('Match Log'!$A$4:$A$1510),NA(),IFERROR(LOOKUP(2,1/(('Match Log'!$D$4:$D$1510=$M$24)*('Match Log'!$A$4:$A$1510&lt;=$J484)),'Match Log'!$N$4:$N$1510),NA()))</f>
        <v>#N/A</v>
      </c>
      <c r="N484" t="e">
        <f>IF($J484&gt;MAX('Match Log'!$A$4:$A$1510),NA(),IFERROR(LOOKUP(2,1/(('Match Log'!$D$4:$D$1510=$N$24)*('Match Log'!$A$4:$A$1510&lt;=$J484)),'Match Log'!$N$4:$N$1510),NA()))</f>
        <v>#N/A</v>
      </c>
      <c r="O484" t="e">
        <f>IF($J484&gt;MAX('Match Log'!$A$4:$A$1510),NA(),IFERROR(LOOKUP(2,1/(('Match Log'!$D$4:$D$1510=$O$24)*('Match Log'!$A$4:$A$1510&lt;=$J484)),'Match Log'!$N$4:$N$1510),NA()))</f>
        <v>#N/A</v>
      </c>
      <c r="P484" t="e">
        <f>IF($J484&gt;MAX('Match Log'!$A$4:$A$1510),NA(),IFERROR(LOOKUP(2,1/(('Match Log'!$D$4:$D$1510=$P$24)*('Match Log'!$A$4:$A$1510&lt;=$J484)),'Match Log'!$N$4:$N$1510),NA()))</f>
        <v>#N/A</v>
      </c>
      <c r="Q484" t="e">
        <f>IF($J484&gt;MAX('Match Log'!$A$4:$A$1510),NA(),IFERROR(LOOKUP(2,1/(('Match Log'!$D$4:$D$1510=$Q$24)*('Match Log'!$A$4:$A$1510&lt;=$J484)),'Match Log'!$N$4:$N$1510),NA()))</f>
        <v>#N/A</v>
      </c>
      <c r="R484" t="e">
        <f>IF($J484&gt;MAX('Match Log'!$A$4:$A$1510),NA(),IFERROR(LOOKUP(2,1/(('Match Log'!$D$4:$D$1510=$R$24)*('Match Log'!$A$4:$A$1510&lt;=$J484)),'Match Log'!$N$4:$N$1510),NA()))</f>
        <v>#N/A</v>
      </c>
      <c r="S484" t="e">
        <f>IF($J484&gt;MAX('Match Log'!$A$4:$A$1510),NA(),IFERROR(LOOKUP(2,1/(('Match Log'!$D$4:$D$1510=$S$24)*('Match Log'!$A$4:$A$1510&lt;=$J484)),'Match Log'!$N$4:$N$1510),NA()))</f>
        <v>#N/A</v>
      </c>
      <c r="T484" t="e">
        <f>IF($J484&gt;MAX('Match Log'!$A$4:$A$1510),NA(),IFERROR(LOOKUP(2,1/(('Match Log'!$D$4:$D$1510=$T$24)*('Match Log'!$A$4:$A$1510&lt;=$J484)),'Match Log'!$N$4:$N$1510),NA()))</f>
        <v>#N/A</v>
      </c>
      <c r="U484" t="e">
        <f>IF($J484&gt;MAX('Match Log'!$A$4:$A$1510),NA(),IFERROR(LOOKUP(2,1/(('Match Log'!$D$4:$D$1510=$U$24)*('Match Log'!$A$4:$A$1510&lt;=$J484)),'Match Log'!$N$4:$N$1510),NA()))</f>
        <v>#N/A</v>
      </c>
      <c r="V484" t="e">
        <f>IF($J484&gt;MAX('Match Log'!$A$4:$A$1510),NA(),IFERROR(LOOKUP(2,1/(('Match Log'!$D$4:$D$1510=$V$24)*('Match Log'!$A$4:$A$1510&lt;=$J484)),'Match Log'!$N$4:$N$1510),NA()))</f>
        <v>#N/A</v>
      </c>
      <c r="W484" t="e">
        <f>IF($J484&gt;MAX('Match Log'!$A$4:$A$1510),NA(),IFERROR(LOOKUP(2,1/(('Match Log'!$D$4:$D$1510=$W$24)*('Match Log'!$A$4:$A$1510&lt;=$J484)),'Match Log'!$N$4:$N$1510),NA()))</f>
        <v>#N/A</v>
      </c>
      <c r="X484" t="e">
        <f>IF($J484&gt;MAX('Match Log'!$A$4:$A$1510),NA(),IFERROR(LOOKUP(2,1/(('Match Log'!$D$4:$D$1510=$X$24)*('Match Log'!$A$4:$A$1510&lt;=$J484)),'Match Log'!$N$4:$N$1510),NA()))</f>
        <v>#N/A</v>
      </c>
      <c r="Y484" t="str">
        <f t="shared" ca="1" si="37"/>
        <v/>
      </c>
    </row>
    <row r="485" spans="1:25" x14ac:dyDescent="0.2">
      <c r="A485">
        <v>461</v>
      </c>
      <c r="B485" t="str">
        <f>IFERROR(INDEX('Match Log'!$B$4:$B$1510,MATCH($A485,'Match Log'!$A$4:$A$1510,0)),"")</f>
        <v/>
      </c>
      <c r="C485" t="str">
        <f>IFERROR(INDEX('Match Log'!$C$4:$C$1510,MATCH($A485,'Match Log'!$A$4:$A$1510,0)),"")</f>
        <v/>
      </c>
      <c r="D485" t="str">
        <f t="array" ref="D485">IFERROR(_xlfn.TEXTJOIN(" + ",TRUE(),IF(('Match Log'!$A$4:$A$1510=$A485)*('Match Log'!$E$4:$E$1510="Win"),'Match Log'!$D$4:$D$1510,"")),IFERROR(LOOKUP(2,1/(('Match Log'!$A$4:$A$1510=$A485)*('Match Log'!$E$4:$E$1510="Win")),'Match Log'!$D$4:$D$1510),""))</f>
        <v/>
      </c>
      <c r="E485" t="str">
        <f>IFERROR(INDEX('Match Log'!$F$4:$F$1510,MATCH($A485,'Match Log'!$A$4:$A$1510,0)),"")</f>
        <v/>
      </c>
      <c r="F485">
        <f>IFERROR(SUMIFS('Match Log'!$I$4:$I$1510,'Match Log'!$A$4:$A$1510,$A485,'Match Log'!$E$4:$E$1510,"Win"),"")</f>
        <v>0</v>
      </c>
      <c r="G485" t="str">
        <f t="shared" si="35"/>
        <v/>
      </c>
      <c r="H485" t="str">
        <f t="array" ref="H485">IFERROR(IF(COUNTIFS('Match Log'!$A$4:$A$1510,$A485,'Match Log'!$E$4:$E$1510,"Win")&gt;1,_xlfn.TEXTJOIN(" + ",TRUE(),IF(('Match Log'!$A$4:$A$1510=$A485)*('Match Log'!$E$4:$E$1510="Loss"),'Match Log'!$D$4:$D$1510,"")),IF($E485=2,LOOKUP(2,1/(('Match Log'!$A$4:$A$1510=$A485)*('Match Log'!$E$4:$E$1510="Loss")),'Match Log'!$D$4:$D$1510),"the field")),"")</f>
        <v>the field</v>
      </c>
      <c r="I485" t="str">
        <f t="shared" si="36"/>
        <v/>
      </c>
      <c r="J485">
        <v>461</v>
      </c>
      <c r="K485" t="e">
        <f>IF($J485&gt;MAX('Match Log'!$A$4:$A$1510),NA(),IFERROR(LOOKUP(2,1/(('Match Log'!$D$4:$D$1510=$K$24)*('Match Log'!$A$4:$A$1510&lt;=$J485)),'Match Log'!$N$4:$N$1510),NA()))</f>
        <v>#N/A</v>
      </c>
      <c r="L485" t="e">
        <f>IF($J485&gt;MAX('Match Log'!$A$4:$A$1510),NA(),IFERROR(LOOKUP(2,1/(('Match Log'!$D$4:$D$1510=$L$24)*('Match Log'!$A$4:$A$1510&lt;=$J485)),'Match Log'!$N$4:$N$1510),NA()))</f>
        <v>#N/A</v>
      </c>
      <c r="M485" t="e">
        <f>IF($J485&gt;MAX('Match Log'!$A$4:$A$1510),NA(),IFERROR(LOOKUP(2,1/(('Match Log'!$D$4:$D$1510=$M$24)*('Match Log'!$A$4:$A$1510&lt;=$J485)),'Match Log'!$N$4:$N$1510),NA()))</f>
        <v>#N/A</v>
      </c>
      <c r="N485" t="e">
        <f>IF($J485&gt;MAX('Match Log'!$A$4:$A$1510),NA(),IFERROR(LOOKUP(2,1/(('Match Log'!$D$4:$D$1510=$N$24)*('Match Log'!$A$4:$A$1510&lt;=$J485)),'Match Log'!$N$4:$N$1510),NA()))</f>
        <v>#N/A</v>
      </c>
      <c r="O485" t="e">
        <f>IF($J485&gt;MAX('Match Log'!$A$4:$A$1510),NA(),IFERROR(LOOKUP(2,1/(('Match Log'!$D$4:$D$1510=$O$24)*('Match Log'!$A$4:$A$1510&lt;=$J485)),'Match Log'!$N$4:$N$1510),NA()))</f>
        <v>#N/A</v>
      </c>
      <c r="P485" t="e">
        <f>IF($J485&gt;MAX('Match Log'!$A$4:$A$1510),NA(),IFERROR(LOOKUP(2,1/(('Match Log'!$D$4:$D$1510=$P$24)*('Match Log'!$A$4:$A$1510&lt;=$J485)),'Match Log'!$N$4:$N$1510),NA()))</f>
        <v>#N/A</v>
      </c>
      <c r="Q485" t="e">
        <f>IF($J485&gt;MAX('Match Log'!$A$4:$A$1510),NA(),IFERROR(LOOKUP(2,1/(('Match Log'!$D$4:$D$1510=$Q$24)*('Match Log'!$A$4:$A$1510&lt;=$J485)),'Match Log'!$N$4:$N$1510),NA()))</f>
        <v>#N/A</v>
      </c>
      <c r="R485" t="e">
        <f>IF($J485&gt;MAX('Match Log'!$A$4:$A$1510),NA(),IFERROR(LOOKUP(2,1/(('Match Log'!$D$4:$D$1510=$R$24)*('Match Log'!$A$4:$A$1510&lt;=$J485)),'Match Log'!$N$4:$N$1510),NA()))</f>
        <v>#N/A</v>
      </c>
      <c r="S485" t="e">
        <f>IF($J485&gt;MAX('Match Log'!$A$4:$A$1510),NA(),IFERROR(LOOKUP(2,1/(('Match Log'!$D$4:$D$1510=$S$24)*('Match Log'!$A$4:$A$1510&lt;=$J485)),'Match Log'!$N$4:$N$1510),NA()))</f>
        <v>#N/A</v>
      </c>
      <c r="T485" t="e">
        <f>IF($J485&gt;MAX('Match Log'!$A$4:$A$1510),NA(),IFERROR(LOOKUP(2,1/(('Match Log'!$D$4:$D$1510=$T$24)*('Match Log'!$A$4:$A$1510&lt;=$J485)),'Match Log'!$N$4:$N$1510),NA()))</f>
        <v>#N/A</v>
      </c>
      <c r="U485" t="e">
        <f>IF($J485&gt;MAX('Match Log'!$A$4:$A$1510),NA(),IFERROR(LOOKUP(2,1/(('Match Log'!$D$4:$D$1510=$U$24)*('Match Log'!$A$4:$A$1510&lt;=$J485)),'Match Log'!$N$4:$N$1510),NA()))</f>
        <v>#N/A</v>
      </c>
      <c r="V485" t="e">
        <f>IF($J485&gt;MAX('Match Log'!$A$4:$A$1510),NA(),IFERROR(LOOKUP(2,1/(('Match Log'!$D$4:$D$1510=$V$24)*('Match Log'!$A$4:$A$1510&lt;=$J485)),'Match Log'!$N$4:$N$1510),NA()))</f>
        <v>#N/A</v>
      </c>
      <c r="W485" t="e">
        <f>IF($J485&gt;MAX('Match Log'!$A$4:$A$1510),NA(),IFERROR(LOOKUP(2,1/(('Match Log'!$D$4:$D$1510=$W$24)*('Match Log'!$A$4:$A$1510&lt;=$J485)),'Match Log'!$N$4:$N$1510),NA()))</f>
        <v>#N/A</v>
      </c>
      <c r="X485" t="e">
        <f>IF($J485&gt;MAX('Match Log'!$A$4:$A$1510),NA(),IFERROR(LOOKUP(2,1/(('Match Log'!$D$4:$D$1510=$X$24)*('Match Log'!$A$4:$A$1510&lt;=$J485)),'Match Log'!$N$4:$N$1510),NA()))</f>
        <v>#N/A</v>
      </c>
      <c r="Y485" t="str">
        <f t="shared" ca="1" si="37"/>
        <v/>
      </c>
    </row>
    <row r="486" spans="1:25" x14ac:dyDescent="0.2">
      <c r="A486">
        <v>462</v>
      </c>
      <c r="B486" t="str">
        <f>IFERROR(INDEX('Match Log'!$B$4:$B$1510,MATCH($A486,'Match Log'!$A$4:$A$1510,0)),"")</f>
        <v/>
      </c>
      <c r="C486" t="str">
        <f>IFERROR(INDEX('Match Log'!$C$4:$C$1510,MATCH($A486,'Match Log'!$A$4:$A$1510,0)),"")</f>
        <v/>
      </c>
      <c r="D486" t="str">
        <f t="array" ref="D486">IFERROR(_xlfn.TEXTJOIN(" + ",TRUE(),IF(('Match Log'!$A$4:$A$1510=$A486)*('Match Log'!$E$4:$E$1510="Win"),'Match Log'!$D$4:$D$1510,"")),IFERROR(LOOKUP(2,1/(('Match Log'!$A$4:$A$1510=$A486)*('Match Log'!$E$4:$E$1510="Win")),'Match Log'!$D$4:$D$1510),""))</f>
        <v/>
      </c>
      <c r="E486" t="str">
        <f>IFERROR(INDEX('Match Log'!$F$4:$F$1510,MATCH($A486,'Match Log'!$A$4:$A$1510,0)),"")</f>
        <v/>
      </c>
      <c r="F486">
        <f>IFERROR(SUMIFS('Match Log'!$I$4:$I$1510,'Match Log'!$A$4:$A$1510,$A486,'Match Log'!$E$4:$E$1510,"Win"),"")</f>
        <v>0</v>
      </c>
      <c r="G486" t="str">
        <f t="shared" si="35"/>
        <v/>
      </c>
      <c r="H486" t="str">
        <f t="array" ref="H486">IFERROR(IF(COUNTIFS('Match Log'!$A$4:$A$1510,$A486,'Match Log'!$E$4:$E$1510,"Win")&gt;1,_xlfn.TEXTJOIN(" + ",TRUE(),IF(('Match Log'!$A$4:$A$1510=$A486)*('Match Log'!$E$4:$E$1510="Loss"),'Match Log'!$D$4:$D$1510,"")),IF($E486=2,LOOKUP(2,1/(('Match Log'!$A$4:$A$1510=$A486)*('Match Log'!$E$4:$E$1510="Loss")),'Match Log'!$D$4:$D$1510),"the field")),"")</f>
        <v>the field</v>
      </c>
      <c r="I486" t="str">
        <f t="shared" si="36"/>
        <v/>
      </c>
      <c r="J486">
        <v>462</v>
      </c>
      <c r="K486" t="e">
        <f>IF($J486&gt;MAX('Match Log'!$A$4:$A$1510),NA(),IFERROR(LOOKUP(2,1/(('Match Log'!$D$4:$D$1510=$K$24)*('Match Log'!$A$4:$A$1510&lt;=$J486)),'Match Log'!$N$4:$N$1510),NA()))</f>
        <v>#N/A</v>
      </c>
      <c r="L486" t="e">
        <f>IF($J486&gt;MAX('Match Log'!$A$4:$A$1510),NA(),IFERROR(LOOKUP(2,1/(('Match Log'!$D$4:$D$1510=$L$24)*('Match Log'!$A$4:$A$1510&lt;=$J486)),'Match Log'!$N$4:$N$1510),NA()))</f>
        <v>#N/A</v>
      </c>
      <c r="M486" t="e">
        <f>IF($J486&gt;MAX('Match Log'!$A$4:$A$1510),NA(),IFERROR(LOOKUP(2,1/(('Match Log'!$D$4:$D$1510=$M$24)*('Match Log'!$A$4:$A$1510&lt;=$J486)),'Match Log'!$N$4:$N$1510),NA()))</f>
        <v>#N/A</v>
      </c>
      <c r="N486" t="e">
        <f>IF($J486&gt;MAX('Match Log'!$A$4:$A$1510),NA(),IFERROR(LOOKUP(2,1/(('Match Log'!$D$4:$D$1510=$N$24)*('Match Log'!$A$4:$A$1510&lt;=$J486)),'Match Log'!$N$4:$N$1510),NA()))</f>
        <v>#N/A</v>
      </c>
      <c r="O486" t="e">
        <f>IF($J486&gt;MAX('Match Log'!$A$4:$A$1510),NA(),IFERROR(LOOKUP(2,1/(('Match Log'!$D$4:$D$1510=$O$24)*('Match Log'!$A$4:$A$1510&lt;=$J486)),'Match Log'!$N$4:$N$1510),NA()))</f>
        <v>#N/A</v>
      </c>
      <c r="P486" t="e">
        <f>IF($J486&gt;MAX('Match Log'!$A$4:$A$1510),NA(),IFERROR(LOOKUP(2,1/(('Match Log'!$D$4:$D$1510=$P$24)*('Match Log'!$A$4:$A$1510&lt;=$J486)),'Match Log'!$N$4:$N$1510),NA()))</f>
        <v>#N/A</v>
      </c>
      <c r="Q486" t="e">
        <f>IF($J486&gt;MAX('Match Log'!$A$4:$A$1510),NA(),IFERROR(LOOKUP(2,1/(('Match Log'!$D$4:$D$1510=$Q$24)*('Match Log'!$A$4:$A$1510&lt;=$J486)),'Match Log'!$N$4:$N$1510),NA()))</f>
        <v>#N/A</v>
      </c>
      <c r="R486" t="e">
        <f>IF($J486&gt;MAX('Match Log'!$A$4:$A$1510),NA(),IFERROR(LOOKUP(2,1/(('Match Log'!$D$4:$D$1510=$R$24)*('Match Log'!$A$4:$A$1510&lt;=$J486)),'Match Log'!$N$4:$N$1510),NA()))</f>
        <v>#N/A</v>
      </c>
      <c r="S486" t="e">
        <f>IF($J486&gt;MAX('Match Log'!$A$4:$A$1510),NA(),IFERROR(LOOKUP(2,1/(('Match Log'!$D$4:$D$1510=$S$24)*('Match Log'!$A$4:$A$1510&lt;=$J486)),'Match Log'!$N$4:$N$1510),NA()))</f>
        <v>#N/A</v>
      </c>
      <c r="T486" t="e">
        <f>IF($J486&gt;MAX('Match Log'!$A$4:$A$1510),NA(),IFERROR(LOOKUP(2,1/(('Match Log'!$D$4:$D$1510=$T$24)*('Match Log'!$A$4:$A$1510&lt;=$J486)),'Match Log'!$N$4:$N$1510),NA()))</f>
        <v>#N/A</v>
      </c>
      <c r="U486" t="e">
        <f>IF($J486&gt;MAX('Match Log'!$A$4:$A$1510),NA(),IFERROR(LOOKUP(2,1/(('Match Log'!$D$4:$D$1510=$U$24)*('Match Log'!$A$4:$A$1510&lt;=$J486)),'Match Log'!$N$4:$N$1510),NA()))</f>
        <v>#N/A</v>
      </c>
      <c r="V486" t="e">
        <f>IF($J486&gt;MAX('Match Log'!$A$4:$A$1510),NA(),IFERROR(LOOKUP(2,1/(('Match Log'!$D$4:$D$1510=$V$24)*('Match Log'!$A$4:$A$1510&lt;=$J486)),'Match Log'!$N$4:$N$1510),NA()))</f>
        <v>#N/A</v>
      </c>
      <c r="W486" t="e">
        <f>IF($J486&gt;MAX('Match Log'!$A$4:$A$1510),NA(),IFERROR(LOOKUP(2,1/(('Match Log'!$D$4:$D$1510=$W$24)*('Match Log'!$A$4:$A$1510&lt;=$J486)),'Match Log'!$N$4:$N$1510),NA()))</f>
        <v>#N/A</v>
      </c>
      <c r="X486" t="e">
        <f>IF($J486&gt;MAX('Match Log'!$A$4:$A$1510),NA(),IFERROR(LOOKUP(2,1/(('Match Log'!$D$4:$D$1510=$X$24)*('Match Log'!$A$4:$A$1510&lt;=$J486)),'Match Log'!$N$4:$N$1510),NA()))</f>
        <v>#N/A</v>
      </c>
      <c r="Y486" t="str">
        <f t="shared" ca="1" si="37"/>
        <v/>
      </c>
    </row>
    <row r="487" spans="1:25" x14ac:dyDescent="0.2">
      <c r="A487">
        <v>463</v>
      </c>
      <c r="B487" t="str">
        <f>IFERROR(INDEX('Match Log'!$B$4:$B$1510,MATCH($A487,'Match Log'!$A$4:$A$1510,0)),"")</f>
        <v/>
      </c>
      <c r="C487" t="str">
        <f>IFERROR(INDEX('Match Log'!$C$4:$C$1510,MATCH($A487,'Match Log'!$A$4:$A$1510,0)),"")</f>
        <v/>
      </c>
      <c r="D487" t="str">
        <f t="array" ref="D487">IFERROR(_xlfn.TEXTJOIN(" + ",TRUE(),IF(('Match Log'!$A$4:$A$1510=$A487)*('Match Log'!$E$4:$E$1510="Win"),'Match Log'!$D$4:$D$1510,"")),IFERROR(LOOKUP(2,1/(('Match Log'!$A$4:$A$1510=$A487)*('Match Log'!$E$4:$E$1510="Win")),'Match Log'!$D$4:$D$1510),""))</f>
        <v/>
      </c>
      <c r="E487" t="str">
        <f>IFERROR(INDEX('Match Log'!$F$4:$F$1510,MATCH($A487,'Match Log'!$A$4:$A$1510,0)),"")</f>
        <v/>
      </c>
      <c r="F487">
        <f>IFERROR(SUMIFS('Match Log'!$I$4:$I$1510,'Match Log'!$A$4:$A$1510,$A487,'Match Log'!$E$4:$E$1510,"Win"),"")</f>
        <v>0</v>
      </c>
      <c r="G487" t="str">
        <f t="shared" si="35"/>
        <v/>
      </c>
      <c r="H487" t="str">
        <f t="array" ref="H487">IFERROR(IF(COUNTIFS('Match Log'!$A$4:$A$1510,$A487,'Match Log'!$E$4:$E$1510,"Win")&gt;1,_xlfn.TEXTJOIN(" + ",TRUE(),IF(('Match Log'!$A$4:$A$1510=$A487)*('Match Log'!$E$4:$E$1510="Loss"),'Match Log'!$D$4:$D$1510,"")),IF($E487=2,LOOKUP(2,1/(('Match Log'!$A$4:$A$1510=$A487)*('Match Log'!$E$4:$E$1510="Loss")),'Match Log'!$D$4:$D$1510),"the field")),"")</f>
        <v>the field</v>
      </c>
      <c r="I487" t="str">
        <f t="shared" si="36"/>
        <v/>
      </c>
      <c r="J487">
        <v>463</v>
      </c>
      <c r="K487" t="e">
        <f>IF($J487&gt;MAX('Match Log'!$A$4:$A$1510),NA(),IFERROR(LOOKUP(2,1/(('Match Log'!$D$4:$D$1510=$K$24)*('Match Log'!$A$4:$A$1510&lt;=$J487)),'Match Log'!$N$4:$N$1510),NA()))</f>
        <v>#N/A</v>
      </c>
      <c r="L487" t="e">
        <f>IF($J487&gt;MAX('Match Log'!$A$4:$A$1510),NA(),IFERROR(LOOKUP(2,1/(('Match Log'!$D$4:$D$1510=$L$24)*('Match Log'!$A$4:$A$1510&lt;=$J487)),'Match Log'!$N$4:$N$1510),NA()))</f>
        <v>#N/A</v>
      </c>
      <c r="M487" t="e">
        <f>IF($J487&gt;MAX('Match Log'!$A$4:$A$1510),NA(),IFERROR(LOOKUP(2,1/(('Match Log'!$D$4:$D$1510=$M$24)*('Match Log'!$A$4:$A$1510&lt;=$J487)),'Match Log'!$N$4:$N$1510),NA()))</f>
        <v>#N/A</v>
      </c>
      <c r="N487" t="e">
        <f>IF($J487&gt;MAX('Match Log'!$A$4:$A$1510),NA(),IFERROR(LOOKUP(2,1/(('Match Log'!$D$4:$D$1510=$N$24)*('Match Log'!$A$4:$A$1510&lt;=$J487)),'Match Log'!$N$4:$N$1510),NA()))</f>
        <v>#N/A</v>
      </c>
      <c r="O487" t="e">
        <f>IF($J487&gt;MAX('Match Log'!$A$4:$A$1510),NA(),IFERROR(LOOKUP(2,1/(('Match Log'!$D$4:$D$1510=$O$24)*('Match Log'!$A$4:$A$1510&lt;=$J487)),'Match Log'!$N$4:$N$1510),NA()))</f>
        <v>#N/A</v>
      </c>
      <c r="P487" t="e">
        <f>IF($J487&gt;MAX('Match Log'!$A$4:$A$1510),NA(),IFERROR(LOOKUP(2,1/(('Match Log'!$D$4:$D$1510=$P$24)*('Match Log'!$A$4:$A$1510&lt;=$J487)),'Match Log'!$N$4:$N$1510),NA()))</f>
        <v>#N/A</v>
      </c>
      <c r="Q487" t="e">
        <f>IF($J487&gt;MAX('Match Log'!$A$4:$A$1510),NA(),IFERROR(LOOKUP(2,1/(('Match Log'!$D$4:$D$1510=$Q$24)*('Match Log'!$A$4:$A$1510&lt;=$J487)),'Match Log'!$N$4:$N$1510),NA()))</f>
        <v>#N/A</v>
      </c>
      <c r="R487" t="e">
        <f>IF($J487&gt;MAX('Match Log'!$A$4:$A$1510),NA(),IFERROR(LOOKUP(2,1/(('Match Log'!$D$4:$D$1510=$R$24)*('Match Log'!$A$4:$A$1510&lt;=$J487)),'Match Log'!$N$4:$N$1510),NA()))</f>
        <v>#N/A</v>
      </c>
      <c r="S487" t="e">
        <f>IF($J487&gt;MAX('Match Log'!$A$4:$A$1510),NA(),IFERROR(LOOKUP(2,1/(('Match Log'!$D$4:$D$1510=$S$24)*('Match Log'!$A$4:$A$1510&lt;=$J487)),'Match Log'!$N$4:$N$1510),NA()))</f>
        <v>#N/A</v>
      </c>
      <c r="T487" t="e">
        <f>IF($J487&gt;MAX('Match Log'!$A$4:$A$1510),NA(),IFERROR(LOOKUP(2,1/(('Match Log'!$D$4:$D$1510=$T$24)*('Match Log'!$A$4:$A$1510&lt;=$J487)),'Match Log'!$N$4:$N$1510),NA()))</f>
        <v>#N/A</v>
      </c>
      <c r="U487" t="e">
        <f>IF($J487&gt;MAX('Match Log'!$A$4:$A$1510),NA(),IFERROR(LOOKUP(2,1/(('Match Log'!$D$4:$D$1510=$U$24)*('Match Log'!$A$4:$A$1510&lt;=$J487)),'Match Log'!$N$4:$N$1510),NA()))</f>
        <v>#N/A</v>
      </c>
      <c r="V487" t="e">
        <f>IF($J487&gt;MAX('Match Log'!$A$4:$A$1510),NA(),IFERROR(LOOKUP(2,1/(('Match Log'!$D$4:$D$1510=$V$24)*('Match Log'!$A$4:$A$1510&lt;=$J487)),'Match Log'!$N$4:$N$1510),NA()))</f>
        <v>#N/A</v>
      </c>
      <c r="W487" t="e">
        <f>IF($J487&gt;MAX('Match Log'!$A$4:$A$1510),NA(),IFERROR(LOOKUP(2,1/(('Match Log'!$D$4:$D$1510=$W$24)*('Match Log'!$A$4:$A$1510&lt;=$J487)),'Match Log'!$N$4:$N$1510),NA()))</f>
        <v>#N/A</v>
      </c>
      <c r="X487" t="e">
        <f>IF($J487&gt;MAX('Match Log'!$A$4:$A$1510),NA(),IFERROR(LOOKUP(2,1/(('Match Log'!$D$4:$D$1510=$X$24)*('Match Log'!$A$4:$A$1510&lt;=$J487)),'Match Log'!$N$4:$N$1510),NA()))</f>
        <v>#N/A</v>
      </c>
      <c r="Y487" t="str">
        <f t="shared" ca="1" si="37"/>
        <v/>
      </c>
    </row>
    <row r="488" spans="1:25" x14ac:dyDescent="0.2">
      <c r="A488">
        <v>464</v>
      </c>
      <c r="B488" t="str">
        <f>IFERROR(INDEX('Match Log'!$B$4:$B$1510,MATCH($A488,'Match Log'!$A$4:$A$1510,0)),"")</f>
        <v/>
      </c>
      <c r="C488" t="str">
        <f>IFERROR(INDEX('Match Log'!$C$4:$C$1510,MATCH($A488,'Match Log'!$A$4:$A$1510,0)),"")</f>
        <v/>
      </c>
      <c r="D488" t="str">
        <f t="array" ref="D488">IFERROR(_xlfn.TEXTJOIN(" + ",TRUE(),IF(('Match Log'!$A$4:$A$1510=$A488)*('Match Log'!$E$4:$E$1510="Win"),'Match Log'!$D$4:$D$1510,"")),IFERROR(LOOKUP(2,1/(('Match Log'!$A$4:$A$1510=$A488)*('Match Log'!$E$4:$E$1510="Win")),'Match Log'!$D$4:$D$1510),""))</f>
        <v/>
      </c>
      <c r="E488" t="str">
        <f>IFERROR(INDEX('Match Log'!$F$4:$F$1510,MATCH($A488,'Match Log'!$A$4:$A$1510,0)),"")</f>
        <v/>
      </c>
      <c r="F488">
        <f>IFERROR(SUMIFS('Match Log'!$I$4:$I$1510,'Match Log'!$A$4:$A$1510,$A488,'Match Log'!$E$4:$E$1510,"Win"),"")</f>
        <v>0</v>
      </c>
      <c r="G488" t="str">
        <f t="shared" si="35"/>
        <v/>
      </c>
      <c r="H488" t="str">
        <f t="array" ref="H488">IFERROR(IF(COUNTIFS('Match Log'!$A$4:$A$1510,$A488,'Match Log'!$E$4:$E$1510,"Win")&gt;1,_xlfn.TEXTJOIN(" + ",TRUE(),IF(('Match Log'!$A$4:$A$1510=$A488)*('Match Log'!$E$4:$E$1510="Loss"),'Match Log'!$D$4:$D$1510,"")),IF($E488=2,LOOKUP(2,1/(('Match Log'!$A$4:$A$1510=$A488)*('Match Log'!$E$4:$E$1510="Loss")),'Match Log'!$D$4:$D$1510),"the field")),"")</f>
        <v>the field</v>
      </c>
      <c r="I488" t="str">
        <f t="shared" si="36"/>
        <v/>
      </c>
      <c r="J488">
        <v>464</v>
      </c>
      <c r="K488" t="e">
        <f>IF($J488&gt;MAX('Match Log'!$A$4:$A$1510),NA(),IFERROR(LOOKUP(2,1/(('Match Log'!$D$4:$D$1510=$K$24)*('Match Log'!$A$4:$A$1510&lt;=$J488)),'Match Log'!$N$4:$N$1510),NA()))</f>
        <v>#N/A</v>
      </c>
      <c r="L488" t="e">
        <f>IF($J488&gt;MAX('Match Log'!$A$4:$A$1510),NA(),IFERROR(LOOKUP(2,1/(('Match Log'!$D$4:$D$1510=$L$24)*('Match Log'!$A$4:$A$1510&lt;=$J488)),'Match Log'!$N$4:$N$1510),NA()))</f>
        <v>#N/A</v>
      </c>
      <c r="M488" t="e">
        <f>IF($J488&gt;MAX('Match Log'!$A$4:$A$1510),NA(),IFERROR(LOOKUP(2,1/(('Match Log'!$D$4:$D$1510=$M$24)*('Match Log'!$A$4:$A$1510&lt;=$J488)),'Match Log'!$N$4:$N$1510),NA()))</f>
        <v>#N/A</v>
      </c>
      <c r="N488" t="e">
        <f>IF($J488&gt;MAX('Match Log'!$A$4:$A$1510),NA(),IFERROR(LOOKUP(2,1/(('Match Log'!$D$4:$D$1510=$N$24)*('Match Log'!$A$4:$A$1510&lt;=$J488)),'Match Log'!$N$4:$N$1510),NA()))</f>
        <v>#N/A</v>
      </c>
      <c r="O488" t="e">
        <f>IF($J488&gt;MAX('Match Log'!$A$4:$A$1510),NA(),IFERROR(LOOKUP(2,1/(('Match Log'!$D$4:$D$1510=$O$24)*('Match Log'!$A$4:$A$1510&lt;=$J488)),'Match Log'!$N$4:$N$1510),NA()))</f>
        <v>#N/A</v>
      </c>
      <c r="P488" t="e">
        <f>IF($J488&gt;MAX('Match Log'!$A$4:$A$1510),NA(),IFERROR(LOOKUP(2,1/(('Match Log'!$D$4:$D$1510=$P$24)*('Match Log'!$A$4:$A$1510&lt;=$J488)),'Match Log'!$N$4:$N$1510),NA()))</f>
        <v>#N/A</v>
      </c>
      <c r="Q488" t="e">
        <f>IF($J488&gt;MAX('Match Log'!$A$4:$A$1510),NA(),IFERROR(LOOKUP(2,1/(('Match Log'!$D$4:$D$1510=$Q$24)*('Match Log'!$A$4:$A$1510&lt;=$J488)),'Match Log'!$N$4:$N$1510),NA()))</f>
        <v>#N/A</v>
      </c>
      <c r="R488" t="e">
        <f>IF($J488&gt;MAX('Match Log'!$A$4:$A$1510),NA(),IFERROR(LOOKUP(2,1/(('Match Log'!$D$4:$D$1510=$R$24)*('Match Log'!$A$4:$A$1510&lt;=$J488)),'Match Log'!$N$4:$N$1510),NA()))</f>
        <v>#N/A</v>
      </c>
      <c r="S488" t="e">
        <f>IF($J488&gt;MAX('Match Log'!$A$4:$A$1510),NA(),IFERROR(LOOKUP(2,1/(('Match Log'!$D$4:$D$1510=$S$24)*('Match Log'!$A$4:$A$1510&lt;=$J488)),'Match Log'!$N$4:$N$1510),NA()))</f>
        <v>#N/A</v>
      </c>
      <c r="T488" t="e">
        <f>IF($J488&gt;MAX('Match Log'!$A$4:$A$1510),NA(),IFERROR(LOOKUP(2,1/(('Match Log'!$D$4:$D$1510=$T$24)*('Match Log'!$A$4:$A$1510&lt;=$J488)),'Match Log'!$N$4:$N$1510),NA()))</f>
        <v>#N/A</v>
      </c>
      <c r="U488" t="e">
        <f>IF($J488&gt;MAX('Match Log'!$A$4:$A$1510),NA(),IFERROR(LOOKUP(2,1/(('Match Log'!$D$4:$D$1510=$U$24)*('Match Log'!$A$4:$A$1510&lt;=$J488)),'Match Log'!$N$4:$N$1510),NA()))</f>
        <v>#N/A</v>
      </c>
      <c r="V488" t="e">
        <f>IF($J488&gt;MAX('Match Log'!$A$4:$A$1510),NA(),IFERROR(LOOKUP(2,1/(('Match Log'!$D$4:$D$1510=$V$24)*('Match Log'!$A$4:$A$1510&lt;=$J488)),'Match Log'!$N$4:$N$1510),NA()))</f>
        <v>#N/A</v>
      </c>
      <c r="W488" t="e">
        <f>IF($J488&gt;MAX('Match Log'!$A$4:$A$1510),NA(),IFERROR(LOOKUP(2,1/(('Match Log'!$D$4:$D$1510=$W$24)*('Match Log'!$A$4:$A$1510&lt;=$J488)),'Match Log'!$N$4:$N$1510),NA()))</f>
        <v>#N/A</v>
      </c>
      <c r="X488" t="e">
        <f>IF($J488&gt;MAX('Match Log'!$A$4:$A$1510),NA(),IFERROR(LOOKUP(2,1/(('Match Log'!$D$4:$D$1510=$X$24)*('Match Log'!$A$4:$A$1510&lt;=$J488)),'Match Log'!$N$4:$N$1510),NA()))</f>
        <v>#N/A</v>
      </c>
      <c r="Y488" t="str">
        <f t="shared" ca="1" si="37"/>
        <v/>
      </c>
    </row>
    <row r="489" spans="1:25" x14ac:dyDescent="0.2">
      <c r="A489">
        <v>465</v>
      </c>
      <c r="B489" t="str">
        <f>IFERROR(INDEX('Match Log'!$B$4:$B$1510,MATCH($A489,'Match Log'!$A$4:$A$1510,0)),"")</f>
        <v/>
      </c>
      <c r="C489" t="str">
        <f>IFERROR(INDEX('Match Log'!$C$4:$C$1510,MATCH($A489,'Match Log'!$A$4:$A$1510,0)),"")</f>
        <v/>
      </c>
      <c r="D489" t="str">
        <f t="array" ref="D489">IFERROR(_xlfn.TEXTJOIN(" + ",TRUE(),IF(('Match Log'!$A$4:$A$1510=$A489)*('Match Log'!$E$4:$E$1510="Win"),'Match Log'!$D$4:$D$1510,"")),IFERROR(LOOKUP(2,1/(('Match Log'!$A$4:$A$1510=$A489)*('Match Log'!$E$4:$E$1510="Win")),'Match Log'!$D$4:$D$1510),""))</f>
        <v/>
      </c>
      <c r="E489" t="str">
        <f>IFERROR(INDEX('Match Log'!$F$4:$F$1510,MATCH($A489,'Match Log'!$A$4:$A$1510,0)),"")</f>
        <v/>
      </c>
      <c r="F489">
        <f>IFERROR(SUMIFS('Match Log'!$I$4:$I$1510,'Match Log'!$A$4:$A$1510,$A489,'Match Log'!$E$4:$E$1510,"Win"),"")</f>
        <v>0</v>
      </c>
      <c r="G489" t="str">
        <f t="shared" si="35"/>
        <v/>
      </c>
      <c r="H489" t="str">
        <f t="array" ref="H489">IFERROR(IF(COUNTIFS('Match Log'!$A$4:$A$1510,$A489,'Match Log'!$E$4:$E$1510,"Win")&gt;1,_xlfn.TEXTJOIN(" + ",TRUE(),IF(('Match Log'!$A$4:$A$1510=$A489)*('Match Log'!$E$4:$E$1510="Loss"),'Match Log'!$D$4:$D$1510,"")),IF($E489=2,LOOKUP(2,1/(('Match Log'!$A$4:$A$1510=$A489)*('Match Log'!$E$4:$E$1510="Loss")),'Match Log'!$D$4:$D$1510),"the field")),"")</f>
        <v>the field</v>
      </c>
      <c r="I489" t="str">
        <f t="shared" si="36"/>
        <v/>
      </c>
      <c r="J489">
        <v>465</v>
      </c>
      <c r="K489" t="e">
        <f>IF($J489&gt;MAX('Match Log'!$A$4:$A$1510),NA(),IFERROR(LOOKUP(2,1/(('Match Log'!$D$4:$D$1510=$K$24)*('Match Log'!$A$4:$A$1510&lt;=$J489)),'Match Log'!$N$4:$N$1510),NA()))</f>
        <v>#N/A</v>
      </c>
      <c r="L489" t="e">
        <f>IF($J489&gt;MAX('Match Log'!$A$4:$A$1510),NA(),IFERROR(LOOKUP(2,1/(('Match Log'!$D$4:$D$1510=$L$24)*('Match Log'!$A$4:$A$1510&lt;=$J489)),'Match Log'!$N$4:$N$1510),NA()))</f>
        <v>#N/A</v>
      </c>
      <c r="M489" t="e">
        <f>IF($J489&gt;MAX('Match Log'!$A$4:$A$1510),NA(),IFERROR(LOOKUP(2,1/(('Match Log'!$D$4:$D$1510=$M$24)*('Match Log'!$A$4:$A$1510&lt;=$J489)),'Match Log'!$N$4:$N$1510),NA()))</f>
        <v>#N/A</v>
      </c>
      <c r="N489" t="e">
        <f>IF($J489&gt;MAX('Match Log'!$A$4:$A$1510),NA(),IFERROR(LOOKUP(2,1/(('Match Log'!$D$4:$D$1510=$N$24)*('Match Log'!$A$4:$A$1510&lt;=$J489)),'Match Log'!$N$4:$N$1510),NA()))</f>
        <v>#N/A</v>
      </c>
      <c r="O489" t="e">
        <f>IF($J489&gt;MAX('Match Log'!$A$4:$A$1510),NA(),IFERROR(LOOKUP(2,1/(('Match Log'!$D$4:$D$1510=$O$24)*('Match Log'!$A$4:$A$1510&lt;=$J489)),'Match Log'!$N$4:$N$1510),NA()))</f>
        <v>#N/A</v>
      </c>
      <c r="P489" t="e">
        <f>IF($J489&gt;MAX('Match Log'!$A$4:$A$1510),NA(),IFERROR(LOOKUP(2,1/(('Match Log'!$D$4:$D$1510=$P$24)*('Match Log'!$A$4:$A$1510&lt;=$J489)),'Match Log'!$N$4:$N$1510),NA()))</f>
        <v>#N/A</v>
      </c>
      <c r="Q489" t="e">
        <f>IF($J489&gt;MAX('Match Log'!$A$4:$A$1510),NA(),IFERROR(LOOKUP(2,1/(('Match Log'!$D$4:$D$1510=$Q$24)*('Match Log'!$A$4:$A$1510&lt;=$J489)),'Match Log'!$N$4:$N$1510),NA()))</f>
        <v>#N/A</v>
      </c>
      <c r="R489" t="e">
        <f>IF($J489&gt;MAX('Match Log'!$A$4:$A$1510),NA(),IFERROR(LOOKUP(2,1/(('Match Log'!$D$4:$D$1510=$R$24)*('Match Log'!$A$4:$A$1510&lt;=$J489)),'Match Log'!$N$4:$N$1510),NA()))</f>
        <v>#N/A</v>
      </c>
      <c r="S489" t="e">
        <f>IF($J489&gt;MAX('Match Log'!$A$4:$A$1510),NA(),IFERROR(LOOKUP(2,1/(('Match Log'!$D$4:$D$1510=$S$24)*('Match Log'!$A$4:$A$1510&lt;=$J489)),'Match Log'!$N$4:$N$1510),NA()))</f>
        <v>#N/A</v>
      </c>
      <c r="T489" t="e">
        <f>IF($J489&gt;MAX('Match Log'!$A$4:$A$1510),NA(),IFERROR(LOOKUP(2,1/(('Match Log'!$D$4:$D$1510=$T$24)*('Match Log'!$A$4:$A$1510&lt;=$J489)),'Match Log'!$N$4:$N$1510),NA()))</f>
        <v>#N/A</v>
      </c>
      <c r="U489" t="e">
        <f>IF($J489&gt;MAX('Match Log'!$A$4:$A$1510),NA(),IFERROR(LOOKUP(2,1/(('Match Log'!$D$4:$D$1510=$U$24)*('Match Log'!$A$4:$A$1510&lt;=$J489)),'Match Log'!$N$4:$N$1510),NA()))</f>
        <v>#N/A</v>
      </c>
      <c r="V489" t="e">
        <f>IF($J489&gt;MAX('Match Log'!$A$4:$A$1510),NA(),IFERROR(LOOKUP(2,1/(('Match Log'!$D$4:$D$1510=$V$24)*('Match Log'!$A$4:$A$1510&lt;=$J489)),'Match Log'!$N$4:$N$1510),NA()))</f>
        <v>#N/A</v>
      </c>
      <c r="W489" t="e">
        <f>IF($J489&gt;MAX('Match Log'!$A$4:$A$1510),NA(),IFERROR(LOOKUP(2,1/(('Match Log'!$D$4:$D$1510=$W$24)*('Match Log'!$A$4:$A$1510&lt;=$J489)),'Match Log'!$N$4:$N$1510),NA()))</f>
        <v>#N/A</v>
      </c>
      <c r="X489" t="e">
        <f>IF($J489&gt;MAX('Match Log'!$A$4:$A$1510),NA(),IFERROR(LOOKUP(2,1/(('Match Log'!$D$4:$D$1510=$X$24)*('Match Log'!$A$4:$A$1510&lt;=$J489)),'Match Log'!$N$4:$N$1510),NA()))</f>
        <v>#N/A</v>
      </c>
      <c r="Y489" t="str">
        <f t="shared" ca="1" si="37"/>
        <v/>
      </c>
    </row>
    <row r="490" spans="1:25" x14ac:dyDescent="0.2">
      <c r="A490">
        <v>466</v>
      </c>
      <c r="B490" t="str">
        <f>IFERROR(INDEX('Match Log'!$B$4:$B$1510,MATCH($A490,'Match Log'!$A$4:$A$1510,0)),"")</f>
        <v/>
      </c>
      <c r="C490" t="str">
        <f>IFERROR(INDEX('Match Log'!$C$4:$C$1510,MATCH($A490,'Match Log'!$A$4:$A$1510,0)),"")</f>
        <v/>
      </c>
      <c r="D490" t="str">
        <f t="array" ref="D490">IFERROR(_xlfn.TEXTJOIN(" + ",TRUE(),IF(('Match Log'!$A$4:$A$1510=$A490)*('Match Log'!$E$4:$E$1510="Win"),'Match Log'!$D$4:$D$1510,"")),IFERROR(LOOKUP(2,1/(('Match Log'!$A$4:$A$1510=$A490)*('Match Log'!$E$4:$E$1510="Win")),'Match Log'!$D$4:$D$1510),""))</f>
        <v/>
      </c>
      <c r="E490" t="str">
        <f>IFERROR(INDEX('Match Log'!$F$4:$F$1510,MATCH($A490,'Match Log'!$A$4:$A$1510,0)),"")</f>
        <v/>
      </c>
      <c r="F490">
        <f>IFERROR(SUMIFS('Match Log'!$I$4:$I$1510,'Match Log'!$A$4:$A$1510,$A490,'Match Log'!$E$4:$E$1510,"Win"),"")</f>
        <v>0</v>
      </c>
      <c r="G490" t="str">
        <f t="shared" si="35"/>
        <v/>
      </c>
      <c r="H490" t="str">
        <f t="array" ref="H490">IFERROR(IF(COUNTIFS('Match Log'!$A$4:$A$1510,$A490,'Match Log'!$E$4:$E$1510,"Win")&gt;1,_xlfn.TEXTJOIN(" + ",TRUE(),IF(('Match Log'!$A$4:$A$1510=$A490)*('Match Log'!$E$4:$E$1510="Loss"),'Match Log'!$D$4:$D$1510,"")),IF($E490=2,LOOKUP(2,1/(('Match Log'!$A$4:$A$1510=$A490)*('Match Log'!$E$4:$E$1510="Loss")),'Match Log'!$D$4:$D$1510),"the field")),"")</f>
        <v>the field</v>
      </c>
      <c r="I490" t="str">
        <f t="shared" si="36"/>
        <v/>
      </c>
      <c r="J490">
        <v>466</v>
      </c>
      <c r="K490" t="e">
        <f>IF($J490&gt;MAX('Match Log'!$A$4:$A$1510),NA(),IFERROR(LOOKUP(2,1/(('Match Log'!$D$4:$D$1510=$K$24)*('Match Log'!$A$4:$A$1510&lt;=$J490)),'Match Log'!$N$4:$N$1510),NA()))</f>
        <v>#N/A</v>
      </c>
      <c r="L490" t="e">
        <f>IF($J490&gt;MAX('Match Log'!$A$4:$A$1510),NA(),IFERROR(LOOKUP(2,1/(('Match Log'!$D$4:$D$1510=$L$24)*('Match Log'!$A$4:$A$1510&lt;=$J490)),'Match Log'!$N$4:$N$1510),NA()))</f>
        <v>#N/A</v>
      </c>
      <c r="M490" t="e">
        <f>IF($J490&gt;MAX('Match Log'!$A$4:$A$1510),NA(),IFERROR(LOOKUP(2,1/(('Match Log'!$D$4:$D$1510=$M$24)*('Match Log'!$A$4:$A$1510&lt;=$J490)),'Match Log'!$N$4:$N$1510),NA()))</f>
        <v>#N/A</v>
      </c>
      <c r="N490" t="e">
        <f>IF($J490&gt;MAX('Match Log'!$A$4:$A$1510),NA(),IFERROR(LOOKUP(2,1/(('Match Log'!$D$4:$D$1510=$N$24)*('Match Log'!$A$4:$A$1510&lt;=$J490)),'Match Log'!$N$4:$N$1510),NA()))</f>
        <v>#N/A</v>
      </c>
      <c r="O490" t="e">
        <f>IF($J490&gt;MAX('Match Log'!$A$4:$A$1510),NA(),IFERROR(LOOKUP(2,1/(('Match Log'!$D$4:$D$1510=$O$24)*('Match Log'!$A$4:$A$1510&lt;=$J490)),'Match Log'!$N$4:$N$1510),NA()))</f>
        <v>#N/A</v>
      </c>
      <c r="P490" t="e">
        <f>IF($J490&gt;MAX('Match Log'!$A$4:$A$1510),NA(),IFERROR(LOOKUP(2,1/(('Match Log'!$D$4:$D$1510=$P$24)*('Match Log'!$A$4:$A$1510&lt;=$J490)),'Match Log'!$N$4:$N$1510),NA()))</f>
        <v>#N/A</v>
      </c>
      <c r="Q490" t="e">
        <f>IF($J490&gt;MAX('Match Log'!$A$4:$A$1510),NA(),IFERROR(LOOKUP(2,1/(('Match Log'!$D$4:$D$1510=$Q$24)*('Match Log'!$A$4:$A$1510&lt;=$J490)),'Match Log'!$N$4:$N$1510),NA()))</f>
        <v>#N/A</v>
      </c>
      <c r="R490" t="e">
        <f>IF($J490&gt;MAX('Match Log'!$A$4:$A$1510),NA(),IFERROR(LOOKUP(2,1/(('Match Log'!$D$4:$D$1510=$R$24)*('Match Log'!$A$4:$A$1510&lt;=$J490)),'Match Log'!$N$4:$N$1510),NA()))</f>
        <v>#N/A</v>
      </c>
      <c r="S490" t="e">
        <f>IF($J490&gt;MAX('Match Log'!$A$4:$A$1510),NA(),IFERROR(LOOKUP(2,1/(('Match Log'!$D$4:$D$1510=$S$24)*('Match Log'!$A$4:$A$1510&lt;=$J490)),'Match Log'!$N$4:$N$1510),NA()))</f>
        <v>#N/A</v>
      </c>
      <c r="T490" t="e">
        <f>IF($J490&gt;MAX('Match Log'!$A$4:$A$1510),NA(),IFERROR(LOOKUP(2,1/(('Match Log'!$D$4:$D$1510=$T$24)*('Match Log'!$A$4:$A$1510&lt;=$J490)),'Match Log'!$N$4:$N$1510),NA()))</f>
        <v>#N/A</v>
      </c>
      <c r="U490" t="e">
        <f>IF($J490&gt;MAX('Match Log'!$A$4:$A$1510),NA(),IFERROR(LOOKUP(2,1/(('Match Log'!$D$4:$D$1510=$U$24)*('Match Log'!$A$4:$A$1510&lt;=$J490)),'Match Log'!$N$4:$N$1510),NA()))</f>
        <v>#N/A</v>
      </c>
      <c r="V490" t="e">
        <f>IF($J490&gt;MAX('Match Log'!$A$4:$A$1510),NA(),IFERROR(LOOKUP(2,1/(('Match Log'!$D$4:$D$1510=$V$24)*('Match Log'!$A$4:$A$1510&lt;=$J490)),'Match Log'!$N$4:$N$1510),NA()))</f>
        <v>#N/A</v>
      </c>
      <c r="W490" t="e">
        <f>IF($J490&gt;MAX('Match Log'!$A$4:$A$1510),NA(),IFERROR(LOOKUP(2,1/(('Match Log'!$D$4:$D$1510=$W$24)*('Match Log'!$A$4:$A$1510&lt;=$J490)),'Match Log'!$N$4:$N$1510),NA()))</f>
        <v>#N/A</v>
      </c>
      <c r="X490" t="e">
        <f>IF($J490&gt;MAX('Match Log'!$A$4:$A$1510),NA(),IFERROR(LOOKUP(2,1/(('Match Log'!$D$4:$D$1510=$X$24)*('Match Log'!$A$4:$A$1510&lt;=$J490)),'Match Log'!$N$4:$N$1510),NA()))</f>
        <v>#N/A</v>
      </c>
      <c r="Y490" t="str">
        <f t="shared" ca="1" si="37"/>
        <v/>
      </c>
    </row>
    <row r="491" spans="1:25" x14ac:dyDescent="0.2">
      <c r="A491">
        <v>467</v>
      </c>
      <c r="B491" t="str">
        <f>IFERROR(INDEX('Match Log'!$B$4:$B$1510,MATCH($A491,'Match Log'!$A$4:$A$1510,0)),"")</f>
        <v/>
      </c>
      <c r="C491" t="str">
        <f>IFERROR(INDEX('Match Log'!$C$4:$C$1510,MATCH($A491,'Match Log'!$A$4:$A$1510,0)),"")</f>
        <v/>
      </c>
      <c r="D491" t="str">
        <f t="array" ref="D491">IFERROR(_xlfn.TEXTJOIN(" + ",TRUE(),IF(('Match Log'!$A$4:$A$1510=$A491)*('Match Log'!$E$4:$E$1510="Win"),'Match Log'!$D$4:$D$1510,"")),IFERROR(LOOKUP(2,1/(('Match Log'!$A$4:$A$1510=$A491)*('Match Log'!$E$4:$E$1510="Win")),'Match Log'!$D$4:$D$1510),""))</f>
        <v/>
      </c>
      <c r="E491" t="str">
        <f>IFERROR(INDEX('Match Log'!$F$4:$F$1510,MATCH($A491,'Match Log'!$A$4:$A$1510,0)),"")</f>
        <v/>
      </c>
      <c r="F491">
        <f>IFERROR(SUMIFS('Match Log'!$I$4:$I$1510,'Match Log'!$A$4:$A$1510,$A491,'Match Log'!$E$4:$E$1510,"Win"),"")</f>
        <v>0</v>
      </c>
      <c r="G491" t="str">
        <f t="shared" si="35"/>
        <v/>
      </c>
      <c r="H491" t="str">
        <f t="array" ref="H491">IFERROR(IF(COUNTIFS('Match Log'!$A$4:$A$1510,$A491,'Match Log'!$E$4:$E$1510,"Win")&gt;1,_xlfn.TEXTJOIN(" + ",TRUE(),IF(('Match Log'!$A$4:$A$1510=$A491)*('Match Log'!$E$4:$E$1510="Loss"),'Match Log'!$D$4:$D$1510,"")),IF($E491=2,LOOKUP(2,1/(('Match Log'!$A$4:$A$1510=$A491)*('Match Log'!$E$4:$E$1510="Loss")),'Match Log'!$D$4:$D$1510),"the field")),"")</f>
        <v>the field</v>
      </c>
      <c r="I491" t="str">
        <f t="shared" si="36"/>
        <v/>
      </c>
      <c r="J491">
        <v>467</v>
      </c>
      <c r="K491" t="e">
        <f>IF($J491&gt;MAX('Match Log'!$A$4:$A$1510),NA(),IFERROR(LOOKUP(2,1/(('Match Log'!$D$4:$D$1510=$K$24)*('Match Log'!$A$4:$A$1510&lt;=$J491)),'Match Log'!$N$4:$N$1510),NA()))</f>
        <v>#N/A</v>
      </c>
      <c r="L491" t="e">
        <f>IF($J491&gt;MAX('Match Log'!$A$4:$A$1510),NA(),IFERROR(LOOKUP(2,1/(('Match Log'!$D$4:$D$1510=$L$24)*('Match Log'!$A$4:$A$1510&lt;=$J491)),'Match Log'!$N$4:$N$1510),NA()))</f>
        <v>#N/A</v>
      </c>
      <c r="M491" t="e">
        <f>IF($J491&gt;MAX('Match Log'!$A$4:$A$1510),NA(),IFERROR(LOOKUP(2,1/(('Match Log'!$D$4:$D$1510=$M$24)*('Match Log'!$A$4:$A$1510&lt;=$J491)),'Match Log'!$N$4:$N$1510),NA()))</f>
        <v>#N/A</v>
      </c>
      <c r="N491" t="e">
        <f>IF($J491&gt;MAX('Match Log'!$A$4:$A$1510),NA(),IFERROR(LOOKUP(2,1/(('Match Log'!$D$4:$D$1510=$N$24)*('Match Log'!$A$4:$A$1510&lt;=$J491)),'Match Log'!$N$4:$N$1510),NA()))</f>
        <v>#N/A</v>
      </c>
      <c r="O491" t="e">
        <f>IF($J491&gt;MAX('Match Log'!$A$4:$A$1510),NA(),IFERROR(LOOKUP(2,1/(('Match Log'!$D$4:$D$1510=$O$24)*('Match Log'!$A$4:$A$1510&lt;=$J491)),'Match Log'!$N$4:$N$1510),NA()))</f>
        <v>#N/A</v>
      </c>
      <c r="P491" t="e">
        <f>IF($J491&gt;MAX('Match Log'!$A$4:$A$1510),NA(),IFERROR(LOOKUP(2,1/(('Match Log'!$D$4:$D$1510=$P$24)*('Match Log'!$A$4:$A$1510&lt;=$J491)),'Match Log'!$N$4:$N$1510),NA()))</f>
        <v>#N/A</v>
      </c>
      <c r="Q491" t="e">
        <f>IF($J491&gt;MAX('Match Log'!$A$4:$A$1510),NA(),IFERROR(LOOKUP(2,1/(('Match Log'!$D$4:$D$1510=$Q$24)*('Match Log'!$A$4:$A$1510&lt;=$J491)),'Match Log'!$N$4:$N$1510),NA()))</f>
        <v>#N/A</v>
      </c>
      <c r="R491" t="e">
        <f>IF($J491&gt;MAX('Match Log'!$A$4:$A$1510),NA(),IFERROR(LOOKUP(2,1/(('Match Log'!$D$4:$D$1510=$R$24)*('Match Log'!$A$4:$A$1510&lt;=$J491)),'Match Log'!$N$4:$N$1510),NA()))</f>
        <v>#N/A</v>
      </c>
      <c r="S491" t="e">
        <f>IF($J491&gt;MAX('Match Log'!$A$4:$A$1510),NA(),IFERROR(LOOKUP(2,1/(('Match Log'!$D$4:$D$1510=$S$24)*('Match Log'!$A$4:$A$1510&lt;=$J491)),'Match Log'!$N$4:$N$1510),NA()))</f>
        <v>#N/A</v>
      </c>
      <c r="T491" t="e">
        <f>IF($J491&gt;MAX('Match Log'!$A$4:$A$1510),NA(),IFERROR(LOOKUP(2,1/(('Match Log'!$D$4:$D$1510=$T$24)*('Match Log'!$A$4:$A$1510&lt;=$J491)),'Match Log'!$N$4:$N$1510),NA()))</f>
        <v>#N/A</v>
      </c>
      <c r="U491" t="e">
        <f>IF($J491&gt;MAX('Match Log'!$A$4:$A$1510),NA(),IFERROR(LOOKUP(2,1/(('Match Log'!$D$4:$D$1510=$U$24)*('Match Log'!$A$4:$A$1510&lt;=$J491)),'Match Log'!$N$4:$N$1510),NA()))</f>
        <v>#N/A</v>
      </c>
      <c r="V491" t="e">
        <f>IF($J491&gt;MAX('Match Log'!$A$4:$A$1510),NA(),IFERROR(LOOKUP(2,1/(('Match Log'!$D$4:$D$1510=$V$24)*('Match Log'!$A$4:$A$1510&lt;=$J491)),'Match Log'!$N$4:$N$1510),NA()))</f>
        <v>#N/A</v>
      </c>
      <c r="W491" t="e">
        <f>IF($J491&gt;MAX('Match Log'!$A$4:$A$1510),NA(),IFERROR(LOOKUP(2,1/(('Match Log'!$D$4:$D$1510=$W$24)*('Match Log'!$A$4:$A$1510&lt;=$J491)),'Match Log'!$N$4:$N$1510),NA()))</f>
        <v>#N/A</v>
      </c>
      <c r="X491" t="e">
        <f>IF($J491&gt;MAX('Match Log'!$A$4:$A$1510),NA(),IFERROR(LOOKUP(2,1/(('Match Log'!$D$4:$D$1510=$X$24)*('Match Log'!$A$4:$A$1510&lt;=$J491)),'Match Log'!$N$4:$N$1510),NA()))</f>
        <v>#N/A</v>
      </c>
      <c r="Y491" t="str">
        <f t="shared" ca="1" si="37"/>
        <v/>
      </c>
    </row>
    <row r="492" spans="1:25" x14ac:dyDescent="0.2">
      <c r="A492">
        <v>468</v>
      </c>
      <c r="B492" t="str">
        <f>IFERROR(INDEX('Match Log'!$B$4:$B$1510,MATCH($A492,'Match Log'!$A$4:$A$1510,0)),"")</f>
        <v/>
      </c>
      <c r="C492" t="str">
        <f>IFERROR(INDEX('Match Log'!$C$4:$C$1510,MATCH($A492,'Match Log'!$A$4:$A$1510,0)),"")</f>
        <v/>
      </c>
      <c r="D492" t="str">
        <f t="array" ref="D492">IFERROR(_xlfn.TEXTJOIN(" + ",TRUE(),IF(('Match Log'!$A$4:$A$1510=$A492)*('Match Log'!$E$4:$E$1510="Win"),'Match Log'!$D$4:$D$1510,"")),IFERROR(LOOKUP(2,1/(('Match Log'!$A$4:$A$1510=$A492)*('Match Log'!$E$4:$E$1510="Win")),'Match Log'!$D$4:$D$1510),""))</f>
        <v/>
      </c>
      <c r="E492" t="str">
        <f>IFERROR(INDEX('Match Log'!$F$4:$F$1510,MATCH($A492,'Match Log'!$A$4:$A$1510,0)),"")</f>
        <v/>
      </c>
      <c r="F492">
        <f>IFERROR(SUMIFS('Match Log'!$I$4:$I$1510,'Match Log'!$A$4:$A$1510,$A492,'Match Log'!$E$4:$E$1510,"Win"),"")</f>
        <v>0</v>
      </c>
      <c r="G492" t="str">
        <f t="shared" si="35"/>
        <v/>
      </c>
      <c r="H492" t="str">
        <f t="array" ref="H492">IFERROR(IF(COUNTIFS('Match Log'!$A$4:$A$1510,$A492,'Match Log'!$E$4:$E$1510,"Win")&gt;1,_xlfn.TEXTJOIN(" + ",TRUE(),IF(('Match Log'!$A$4:$A$1510=$A492)*('Match Log'!$E$4:$E$1510="Loss"),'Match Log'!$D$4:$D$1510,"")),IF($E492=2,LOOKUP(2,1/(('Match Log'!$A$4:$A$1510=$A492)*('Match Log'!$E$4:$E$1510="Loss")),'Match Log'!$D$4:$D$1510),"the field")),"")</f>
        <v>the field</v>
      </c>
      <c r="I492" t="str">
        <f t="shared" si="36"/>
        <v/>
      </c>
      <c r="J492">
        <v>468</v>
      </c>
      <c r="K492" t="e">
        <f>IF($J492&gt;MAX('Match Log'!$A$4:$A$1510),NA(),IFERROR(LOOKUP(2,1/(('Match Log'!$D$4:$D$1510=$K$24)*('Match Log'!$A$4:$A$1510&lt;=$J492)),'Match Log'!$N$4:$N$1510),NA()))</f>
        <v>#N/A</v>
      </c>
      <c r="L492" t="e">
        <f>IF($J492&gt;MAX('Match Log'!$A$4:$A$1510),NA(),IFERROR(LOOKUP(2,1/(('Match Log'!$D$4:$D$1510=$L$24)*('Match Log'!$A$4:$A$1510&lt;=$J492)),'Match Log'!$N$4:$N$1510),NA()))</f>
        <v>#N/A</v>
      </c>
      <c r="M492" t="e">
        <f>IF($J492&gt;MAX('Match Log'!$A$4:$A$1510),NA(),IFERROR(LOOKUP(2,1/(('Match Log'!$D$4:$D$1510=$M$24)*('Match Log'!$A$4:$A$1510&lt;=$J492)),'Match Log'!$N$4:$N$1510),NA()))</f>
        <v>#N/A</v>
      </c>
      <c r="N492" t="e">
        <f>IF($J492&gt;MAX('Match Log'!$A$4:$A$1510),NA(),IFERROR(LOOKUP(2,1/(('Match Log'!$D$4:$D$1510=$N$24)*('Match Log'!$A$4:$A$1510&lt;=$J492)),'Match Log'!$N$4:$N$1510),NA()))</f>
        <v>#N/A</v>
      </c>
      <c r="O492" t="e">
        <f>IF($J492&gt;MAX('Match Log'!$A$4:$A$1510),NA(),IFERROR(LOOKUP(2,1/(('Match Log'!$D$4:$D$1510=$O$24)*('Match Log'!$A$4:$A$1510&lt;=$J492)),'Match Log'!$N$4:$N$1510),NA()))</f>
        <v>#N/A</v>
      </c>
      <c r="P492" t="e">
        <f>IF($J492&gt;MAX('Match Log'!$A$4:$A$1510),NA(),IFERROR(LOOKUP(2,1/(('Match Log'!$D$4:$D$1510=$P$24)*('Match Log'!$A$4:$A$1510&lt;=$J492)),'Match Log'!$N$4:$N$1510),NA()))</f>
        <v>#N/A</v>
      </c>
      <c r="Q492" t="e">
        <f>IF($J492&gt;MAX('Match Log'!$A$4:$A$1510),NA(),IFERROR(LOOKUP(2,1/(('Match Log'!$D$4:$D$1510=$Q$24)*('Match Log'!$A$4:$A$1510&lt;=$J492)),'Match Log'!$N$4:$N$1510),NA()))</f>
        <v>#N/A</v>
      </c>
      <c r="R492" t="e">
        <f>IF($J492&gt;MAX('Match Log'!$A$4:$A$1510),NA(),IFERROR(LOOKUP(2,1/(('Match Log'!$D$4:$D$1510=$R$24)*('Match Log'!$A$4:$A$1510&lt;=$J492)),'Match Log'!$N$4:$N$1510),NA()))</f>
        <v>#N/A</v>
      </c>
      <c r="S492" t="e">
        <f>IF($J492&gt;MAX('Match Log'!$A$4:$A$1510),NA(),IFERROR(LOOKUP(2,1/(('Match Log'!$D$4:$D$1510=$S$24)*('Match Log'!$A$4:$A$1510&lt;=$J492)),'Match Log'!$N$4:$N$1510),NA()))</f>
        <v>#N/A</v>
      </c>
      <c r="T492" t="e">
        <f>IF($J492&gt;MAX('Match Log'!$A$4:$A$1510),NA(),IFERROR(LOOKUP(2,1/(('Match Log'!$D$4:$D$1510=$T$24)*('Match Log'!$A$4:$A$1510&lt;=$J492)),'Match Log'!$N$4:$N$1510),NA()))</f>
        <v>#N/A</v>
      </c>
      <c r="U492" t="e">
        <f>IF($J492&gt;MAX('Match Log'!$A$4:$A$1510),NA(),IFERROR(LOOKUP(2,1/(('Match Log'!$D$4:$D$1510=$U$24)*('Match Log'!$A$4:$A$1510&lt;=$J492)),'Match Log'!$N$4:$N$1510),NA()))</f>
        <v>#N/A</v>
      </c>
      <c r="V492" t="e">
        <f>IF($J492&gt;MAX('Match Log'!$A$4:$A$1510),NA(),IFERROR(LOOKUP(2,1/(('Match Log'!$D$4:$D$1510=$V$24)*('Match Log'!$A$4:$A$1510&lt;=$J492)),'Match Log'!$N$4:$N$1510),NA()))</f>
        <v>#N/A</v>
      </c>
      <c r="W492" t="e">
        <f>IF($J492&gt;MAX('Match Log'!$A$4:$A$1510),NA(),IFERROR(LOOKUP(2,1/(('Match Log'!$D$4:$D$1510=$W$24)*('Match Log'!$A$4:$A$1510&lt;=$J492)),'Match Log'!$N$4:$N$1510),NA()))</f>
        <v>#N/A</v>
      </c>
      <c r="X492" t="e">
        <f>IF($J492&gt;MAX('Match Log'!$A$4:$A$1510),NA(),IFERROR(LOOKUP(2,1/(('Match Log'!$D$4:$D$1510=$X$24)*('Match Log'!$A$4:$A$1510&lt;=$J492)),'Match Log'!$N$4:$N$1510),NA()))</f>
        <v>#N/A</v>
      </c>
      <c r="Y492" t="str">
        <f t="shared" ca="1" si="37"/>
        <v/>
      </c>
    </row>
    <row r="493" spans="1:25" x14ac:dyDescent="0.2">
      <c r="A493">
        <v>469</v>
      </c>
      <c r="B493" t="str">
        <f>IFERROR(INDEX('Match Log'!$B$4:$B$1510,MATCH($A493,'Match Log'!$A$4:$A$1510,0)),"")</f>
        <v/>
      </c>
      <c r="C493" t="str">
        <f>IFERROR(INDEX('Match Log'!$C$4:$C$1510,MATCH($A493,'Match Log'!$A$4:$A$1510,0)),"")</f>
        <v/>
      </c>
      <c r="D493" t="str">
        <f t="array" ref="D493">IFERROR(_xlfn.TEXTJOIN(" + ",TRUE(),IF(('Match Log'!$A$4:$A$1510=$A493)*('Match Log'!$E$4:$E$1510="Win"),'Match Log'!$D$4:$D$1510,"")),IFERROR(LOOKUP(2,1/(('Match Log'!$A$4:$A$1510=$A493)*('Match Log'!$E$4:$E$1510="Win")),'Match Log'!$D$4:$D$1510),""))</f>
        <v/>
      </c>
      <c r="E493" t="str">
        <f>IFERROR(INDEX('Match Log'!$F$4:$F$1510,MATCH($A493,'Match Log'!$A$4:$A$1510,0)),"")</f>
        <v/>
      </c>
      <c r="F493">
        <f>IFERROR(SUMIFS('Match Log'!$I$4:$I$1510,'Match Log'!$A$4:$A$1510,$A493,'Match Log'!$E$4:$E$1510,"Win"),"")</f>
        <v>0</v>
      </c>
      <c r="G493" t="str">
        <f t="shared" si="35"/>
        <v/>
      </c>
      <c r="H493" t="str">
        <f t="array" ref="H493">IFERROR(IF(COUNTIFS('Match Log'!$A$4:$A$1510,$A493,'Match Log'!$E$4:$E$1510,"Win")&gt;1,_xlfn.TEXTJOIN(" + ",TRUE(),IF(('Match Log'!$A$4:$A$1510=$A493)*('Match Log'!$E$4:$E$1510="Loss"),'Match Log'!$D$4:$D$1510,"")),IF($E493=2,LOOKUP(2,1/(('Match Log'!$A$4:$A$1510=$A493)*('Match Log'!$E$4:$E$1510="Loss")),'Match Log'!$D$4:$D$1510),"the field")),"")</f>
        <v>the field</v>
      </c>
      <c r="I493" t="str">
        <f t="shared" si="36"/>
        <v/>
      </c>
      <c r="J493">
        <v>469</v>
      </c>
      <c r="K493" t="e">
        <f>IF($J493&gt;MAX('Match Log'!$A$4:$A$1510),NA(),IFERROR(LOOKUP(2,1/(('Match Log'!$D$4:$D$1510=$K$24)*('Match Log'!$A$4:$A$1510&lt;=$J493)),'Match Log'!$N$4:$N$1510),NA()))</f>
        <v>#N/A</v>
      </c>
      <c r="L493" t="e">
        <f>IF($J493&gt;MAX('Match Log'!$A$4:$A$1510),NA(),IFERROR(LOOKUP(2,1/(('Match Log'!$D$4:$D$1510=$L$24)*('Match Log'!$A$4:$A$1510&lt;=$J493)),'Match Log'!$N$4:$N$1510),NA()))</f>
        <v>#N/A</v>
      </c>
      <c r="M493" t="e">
        <f>IF($J493&gt;MAX('Match Log'!$A$4:$A$1510),NA(),IFERROR(LOOKUP(2,1/(('Match Log'!$D$4:$D$1510=$M$24)*('Match Log'!$A$4:$A$1510&lt;=$J493)),'Match Log'!$N$4:$N$1510),NA()))</f>
        <v>#N/A</v>
      </c>
      <c r="N493" t="e">
        <f>IF($J493&gt;MAX('Match Log'!$A$4:$A$1510),NA(),IFERROR(LOOKUP(2,1/(('Match Log'!$D$4:$D$1510=$N$24)*('Match Log'!$A$4:$A$1510&lt;=$J493)),'Match Log'!$N$4:$N$1510),NA()))</f>
        <v>#N/A</v>
      </c>
      <c r="O493" t="e">
        <f>IF($J493&gt;MAX('Match Log'!$A$4:$A$1510),NA(),IFERROR(LOOKUP(2,1/(('Match Log'!$D$4:$D$1510=$O$24)*('Match Log'!$A$4:$A$1510&lt;=$J493)),'Match Log'!$N$4:$N$1510),NA()))</f>
        <v>#N/A</v>
      </c>
      <c r="P493" t="e">
        <f>IF($J493&gt;MAX('Match Log'!$A$4:$A$1510),NA(),IFERROR(LOOKUP(2,1/(('Match Log'!$D$4:$D$1510=$P$24)*('Match Log'!$A$4:$A$1510&lt;=$J493)),'Match Log'!$N$4:$N$1510),NA()))</f>
        <v>#N/A</v>
      </c>
      <c r="Q493" t="e">
        <f>IF($J493&gt;MAX('Match Log'!$A$4:$A$1510),NA(),IFERROR(LOOKUP(2,1/(('Match Log'!$D$4:$D$1510=$Q$24)*('Match Log'!$A$4:$A$1510&lt;=$J493)),'Match Log'!$N$4:$N$1510),NA()))</f>
        <v>#N/A</v>
      </c>
      <c r="R493" t="e">
        <f>IF($J493&gt;MAX('Match Log'!$A$4:$A$1510),NA(),IFERROR(LOOKUP(2,1/(('Match Log'!$D$4:$D$1510=$R$24)*('Match Log'!$A$4:$A$1510&lt;=$J493)),'Match Log'!$N$4:$N$1510),NA()))</f>
        <v>#N/A</v>
      </c>
      <c r="S493" t="e">
        <f>IF($J493&gt;MAX('Match Log'!$A$4:$A$1510),NA(),IFERROR(LOOKUP(2,1/(('Match Log'!$D$4:$D$1510=$S$24)*('Match Log'!$A$4:$A$1510&lt;=$J493)),'Match Log'!$N$4:$N$1510),NA()))</f>
        <v>#N/A</v>
      </c>
      <c r="T493" t="e">
        <f>IF($J493&gt;MAX('Match Log'!$A$4:$A$1510),NA(),IFERROR(LOOKUP(2,1/(('Match Log'!$D$4:$D$1510=$T$24)*('Match Log'!$A$4:$A$1510&lt;=$J493)),'Match Log'!$N$4:$N$1510),NA()))</f>
        <v>#N/A</v>
      </c>
      <c r="U493" t="e">
        <f>IF($J493&gt;MAX('Match Log'!$A$4:$A$1510),NA(),IFERROR(LOOKUP(2,1/(('Match Log'!$D$4:$D$1510=$U$24)*('Match Log'!$A$4:$A$1510&lt;=$J493)),'Match Log'!$N$4:$N$1510),NA()))</f>
        <v>#N/A</v>
      </c>
      <c r="V493" t="e">
        <f>IF($J493&gt;MAX('Match Log'!$A$4:$A$1510),NA(),IFERROR(LOOKUP(2,1/(('Match Log'!$D$4:$D$1510=$V$24)*('Match Log'!$A$4:$A$1510&lt;=$J493)),'Match Log'!$N$4:$N$1510),NA()))</f>
        <v>#N/A</v>
      </c>
      <c r="W493" t="e">
        <f>IF($J493&gt;MAX('Match Log'!$A$4:$A$1510),NA(),IFERROR(LOOKUP(2,1/(('Match Log'!$D$4:$D$1510=$W$24)*('Match Log'!$A$4:$A$1510&lt;=$J493)),'Match Log'!$N$4:$N$1510),NA()))</f>
        <v>#N/A</v>
      </c>
      <c r="X493" t="e">
        <f>IF($J493&gt;MAX('Match Log'!$A$4:$A$1510),NA(),IFERROR(LOOKUP(2,1/(('Match Log'!$D$4:$D$1510=$X$24)*('Match Log'!$A$4:$A$1510&lt;=$J493)),'Match Log'!$N$4:$N$1510),NA()))</f>
        <v>#N/A</v>
      </c>
      <c r="Y493" t="str">
        <f t="shared" ca="1" si="37"/>
        <v/>
      </c>
    </row>
    <row r="494" spans="1:25" x14ac:dyDescent="0.2">
      <c r="A494">
        <v>470</v>
      </c>
      <c r="B494" t="str">
        <f>IFERROR(INDEX('Match Log'!$B$4:$B$1510,MATCH($A494,'Match Log'!$A$4:$A$1510,0)),"")</f>
        <v/>
      </c>
      <c r="C494" t="str">
        <f>IFERROR(INDEX('Match Log'!$C$4:$C$1510,MATCH($A494,'Match Log'!$A$4:$A$1510,0)),"")</f>
        <v/>
      </c>
      <c r="D494" t="str">
        <f t="array" ref="D494">IFERROR(_xlfn.TEXTJOIN(" + ",TRUE(),IF(('Match Log'!$A$4:$A$1510=$A494)*('Match Log'!$E$4:$E$1510="Win"),'Match Log'!$D$4:$D$1510,"")),IFERROR(LOOKUP(2,1/(('Match Log'!$A$4:$A$1510=$A494)*('Match Log'!$E$4:$E$1510="Win")),'Match Log'!$D$4:$D$1510),""))</f>
        <v/>
      </c>
      <c r="E494" t="str">
        <f>IFERROR(INDEX('Match Log'!$F$4:$F$1510,MATCH($A494,'Match Log'!$A$4:$A$1510,0)),"")</f>
        <v/>
      </c>
      <c r="F494">
        <f>IFERROR(SUMIFS('Match Log'!$I$4:$I$1510,'Match Log'!$A$4:$A$1510,$A494,'Match Log'!$E$4:$E$1510,"Win"),"")</f>
        <v>0</v>
      </c>
      <c r="G494" t="str">
        <f t="shared" si="35"/>
        <v/>
      </c>
      <c r="H494" t="str">
        <f t="array" ref="H494">IFERROR(IF(COUNTIFS('Match Log'!$A$4:$A$1510,$A494,'Match Log'!$E$4:$E$1510,"Win")&gt;1,_xlfn.TEXTJOIN(" + ",TRUE(),IF(('Match Log'!$A$4:$A$1510=$A494)*('Match Log'!$E$4:$E$1510="Loss"),'Match Log'!$D$4:$D$1510,"")),IF($E494=2,LOOKUP(2,1/(('Match Log'!$A$4:$A$1510=$A494)*('Match Log'!$E$4:$E$1510="Loss")),'Match Log'!$D$4:$D$1510),"the field")),"")</f>
        <v>the field</v>
      </c>
      <c r="I494" t="str">
        <f t="shared" si="36"/>
        <v/>
      </c>
      <c r="J494">
        <v>470</v>
      </c>
      <c r="K494" t="e">
        <f>IF($J494&gt;MAX('Match Log'!$A$4:$A$1510),NA(),IFERROR(LOOKUP(2,1/(('Match Log'!$D$4:$D$1510=$K$24)*('Match Log'!$A$4:$A$1510&lt;=$J494)),'Match Log'!$N$4:$N$1510),NA()))</f>
        <v>#N/A</v>
      </c>
      <c r="L494" t="e">
        <f>IF($J494&gt;MAX('Match Log'!$A$4:$A$1510),NA(),IFERROR(LOOKUP(2,1/(('Match Log'!$D$4:$D$1510=$L$24)*('Match Log'!$A$4:$A$1510&lt;=$J494)),'Match Log'!$N$4:$N$1510),NA()))</f>
        <v>#N/A</v>
      </c>
      <c r="M494" t="e">
        <f>IF($J494&gt;MAX('Match Log'!$A$4:$A$1510),NA(),IFERROR(LOOKUP(2,1/(('Match Log'!$D$4:$D$1510=$M$24)*('Match Log'!$A$4:$A$1510&lt;=$J494)),'Match Log'!$N$4:$N$1510),NA()))</f>
        <v>#N/A</v>
      </c>
      <c r="N494" t="e">
        <f>IF($J494&gt;MAX('Match Log'!$A$4:$A$1510),NA(),IFERROR(LOOKUP(2,1/(('Match Log'!$D$4:$D$1510=$N$24)*('Match Log'!$A$4:$A$1510&lt;=$J494)),'Match Log'!$N$4:$N$1510),NA()))</f>
        <v>#N/A</v>
      </c>
      <c r="O494" t="e">
        <f>IF($J494&gt;MAX('Match Log'!$A$4:$A$1510),NA(),IFERROR(LOOKUP(2,1/(('Match Log'!$D$4:$D$1510=$O$24)*('Match Log'!$A$4:$A$1510&lt;=$J494)),'Match Log'!$N$4:$N$1510),NA()))</f>
        <v>#N/A</v>
      </c>
      <c r="P494" t="e">
        <f>IF($J494&gt;MAX('Match Log'!$A$4:$A$1510),NA(),IFERROR(LOOKUP(2,1/(('Match Log'!$D$4:$D$1510=$P$24)*('Match Log'!$A$4:$A$1510&lt;=$J494)),'Match Log'!$N$4:$N$1510),NA()))</f>
        <v>#N/A</v>
      </c>
      <c r="Q494" t="e">
        <f>IF($J494&gt;MAX('Match Log'!$A$4:$A$1510),NA(),IFERROR(LOOKUP(2,1/(('Match Log'!$D$4:$D$1510=$Q$24)*('Match Log'!$A$4:$A$1510&lt;=$J494)),'Match Log'!$N$4:$N$1510),NA()))</f>
        <v>#N/A</v>
      </c>
      <c r="R494" t="e">
        <f>IF($J494&gt;MAX('Match Log'!$A$4:$A$1510),NA(),IFERROR(LOOKUP(2,1/(('Match Log'!$D$4:$D$1510=$R$24)*('Match Log'!$A$4:$A$1510&lt;=$J494)),'Match Log'!$N$4:$N$1510),NA()))</f>
        <v>#N/A</v>
      </c>
      <c r="S494" t="e">
        <f>IF($J494&gt;MAX('Match Log'!$A$4:$A$1510),NA(),IFERROR(LOOKUP(2,1/(('Match Log'!$D$4:$D$1510=$S$24)*('Match Log'!$A$4:$A$1510&lt;=$J494)),'Match Log'!$N$4:$N$1510),NA()))</f>
        <v>#N/A</v>
      </c>
      <c r="T494" t="e">
        <f>IF($J494&gt;MAX('Match Log'!$A$4:$A$1510),NA(),IFERROR(LOOKUP(2,1/(('Match Log'!$D$4:$D$1510=$T$24)*('Match Log'!$A$4:$A$1510&lt;=$J494)),'Match Log'!$N$4:$N$1510),NA()))</f>
        <v>#N/A</v>
      </c>
      <c r="U494" t="e">
        <f>IF($J494&gt;MAX('Match Log'!$A$4:$A$1510),NA(),IFERROR(LOOKUP(2,1/(('Match Log'!$D$4:$D$1510=$U$24)*('Match Log'!$A$4:$A$1510&lt;=$J494)),'Match Log'!$N$4:$N$1510),NA()))</f>
        <v>#N/A</v>
      </c>
      <c r="V494" t="e">
        <f>IF($J494&gt;MAX('Match Log'!$A$4:$A$1510),NA(),IFERROR(LOOKUP(2,1/(('Match Log'!$D$4:$D$1510=$V$24)*('Match Log'!$A$4:$A$1510&lt;=$J494)),'Match Log'!$N$4:$N$1510),NA()))</f>
        <v>#N/A</v>
      </c>
      <c r="W494" t="e">
        <f>IF($J494&gt;MAX('Match Log'!$A$4:$A$1510),NA(),IFERROR(LOOKUP(2,1/(('Match Log'!$D$4:$D$1510=$W$24)*('Match Log'!$A$4:$A$1510&lt;=$J494)),'Match Log'!$N$4:$N$1510),NA()))</f>
        <v>#N/A</v>
      </c>
      <c r="X494" t="e">
        <f>IF($J494&gt;MAX('Match Log'!$A$4:$A$1510),NA(),IFERROR(LOOKUP(2,1/(('Match Log'!$D$4:$D$1510=$X$24)*('Match Log'!$A$4:$A$1510&lt;=$J494)),'Match Log'!$N$4:$N$1510),NA()))</f>
        <v>#N/A</v>
      </c>
      <c r="Y494" t="str">
        <f t="shared" ca="1" si="37"/>
        <v/>
      </c>
    </row>
    <row r="495" spans="1:25" x14ac:dyDescent="0.2">
      <c r="A495">
        <v>471</v>
      </c>
      <c r="B495" t="str">
        <f>IFERROR(INDEX('Match Log'!$B$4:$B$1510,MATCH($A495,'Match Log'!$A$4:$A$1510,0)),"")</f>
        <v/>
      </c>
      <c r="C495" t="str">
        <f>IFERROR(INDEX('Match Log'!$C$4:$C$1510,MATCH($A495,'Match Log'!$A$4:$A$1510,0)),"")</f>
        <v/>
      </c>
      <c r="D495" t="str">
        <f t="array" ref="D495">IFERROR(_xlfn.TEXTJOIN(" + ",TRUE(),IF(('Match Log'!$A$4:$A$1510=$A495)*('Match Log'!$E$4:$E$1510="Win"),'Match Log'!$D$4:$D$1510,"")),IFERROR(LOOKUP(2,1/(('Match Log'!$A$4:$A$1510=$A495)*('Match Log'!$E$4:$E$1510="Win")),'Match Log'!$D$4:$D$1510),""))</f>
        <v/>
      </c>
      <c r="E495" t="str">
        <f>IFERROR(INDEX('Match Log'!$F$4:$F$1510,MATCH($A495,'Match Log'!$A$4:$A$1510,0)),"")</f>
        <v/>
      </c>
      <c r="F495">
        <f>IFERROR(SUMIFS('Match Log'!$I$4:$I$1510,'Match Log'!$A$4:$A$1510,$A495,'Match Log'!$E$4:$E$1510,"Win"),"")</f>
        <v>0</v>
      </c>
      <c r="G495" t="str">
        <f t="shared" si="35"/>
        <v/>
      </c>
      <c r="H495" t="str">
        <f t="array" ref="H495">IFERROR(IF(COUNTIFS('Match Log'!$A$4:$A$1510,$A495,'Match Log'!$E$4:$E$1510,"Win")&gt;1,_xlfn.TEXTJOIN(" + ",TRUE(),IF(('Match Log'!$A$4:$A$1510=$A495)*('Match Log'!$E$4:$E$1510="Loss"),'Match Log'!$D$4:$D$1510,"")),IF($E495=2,LOOKUP(2,1/(('Match Log'!$A$4:$A$1510=$A495)*('Match Log'!$E$4:$E$1510="Loss")),'Match Log'!$D$4:$D$1510),"the field")),"")</f>
        <v>the field</v>
      </c>
      <c r="I495" t="str">
        <f t="shared" si="36"/>
        <v/>
      </c>
      <c r="J495">
        <v>471</v>
      </c>
      <c r="K495" t="e">
        <f>IF($J495&gt;MAX('Match Log'!$A$4:$A$1510),NA(),IFERROR(LOOKUP(2,1/(('Match Log'!$D$4:$D$1510=$K$24)*('Match Log'!$A$4:$A$1510&lt;=$J495)),'Match Log'!$N$4:$N$1510),NA()))</f>
        <v>#N/A</v>
      </c>
      <c r="L495" t="e">
        <f>IF($J495&gt;MAX('Match Log'!$A$4:$A$1510),NA(),IFERROR(LOOKUP(2,1/(('Match Log'!$D$4:$D$1510=$L$24)*('Match Log'!$A$4:$A$1510&lt;=$J495)),'Match Log'!$N$4:$N$1510),NA()))</f>
        <v>#N/A</v>
      </c>
      <c r="M495" t="e">
        <f>IF($J495&gt;MAX('Match Log'!$A$4:$A$1510),NA(),IFERROR(LOOKUP(2,1/(('Match Log'!$D$4:$D$1510=$M$24)*('Match Log'!$A$4:$A$1510&lt;=$J495)),'Match Log'!$N$4:$N$1510),NA()))</f>
        <v>#N/A</v>
      </c>
      <c r="N495" t="e">
        <f>IF($J495&gt;MAX('Match Log'!$A$4:$A$1510),NA(),IFERROR(LOOKUP(2,1/(('Match Log'!$D$4:$D$1510=$N$24)*('Match Log'!$A$4:$A$1510&lt;=$J495)),'Match Log'!$N$4:$N$1510),NA()))</f>
        <v>#N/A</v>
      </c>
      <c r="O495" t="e">
        <f>IF($J495&gt;MAX('Match Log'!$A$4:$A$1510),NA(),IFERROR(LOOKUP(2,1/(('Match Log'!$D$4:$D$1510=$O$24)*('Match Log'!$A$4:$A$1510&lt;=$J495)),'Match Log'!$N$4:$N$1510),NA()))</f>
        <v>#N/A</v>
      </c>
      <c r="P495" t="e">
        <f>IF($J495&gt;MAX('Match Log'!$A$4:$A$1510),NA(),IFERROR(LOOKUP(2,1/(('Match Log'!$D$4:$D$1510=$P$24)*('Match Log'!$A$4:$A$1510&lt;=$J495)),'Match Log'!$N$4:$N$1510),NA()))</f>
        <v>#N/A</v>
      </c>
      <c r="Q495" t="e">
        <f>IF($J495&gt;MAX('Match Log'!$A$4:$A$1510),NA(),IFERROR(LOOKUP(2,1/(('Match Log'!$D$4:$D$1510=$Q$24)*('Match Log'!$A$4:$A$1510&lt;=$J495)),'Match Log'!$N$4:$N$1510),NA()))</f>
        <v>#N/A</v>
      </c>
      <c r="R495" t="e">
        <f>IF($J495&gt;MAX('Match Log'!$A$4:$A$1510),NA(),IFERROR(LOOKUP(2,1/(('Match Log'!$D$4:$D$1510=$R$24)*('Match Log'!$A$4:$A$1510&lt;=$J495)),'Match Log'!$N$4:$N$1510),NA()))</f>
        <v>#N/A</v>
      </c>
      <c r="S495" t="e">
        <f>IF($J495&gt;MAX('Match Log'!$A$4:$A$1510),NA(),IFERROR(LOOKUP(2,1/(('Match Log'!$D$4:$D$1510=$S$24)*('Match Log'!$A$4:$A$1510&lt;=$J495)),'Match Log'!$N$4:$N$1510),NA()))</f>
        <v>#N/A</v>
      </c>
      <c r="T495" t="e">
        <f>IF($J495&gt;MAX('Match Log'!$A$4:$A$1510),NA(),IFERROR(LOOKUP(2,1/(('Match Log'!$D$4:$D$1510=$T$24)*('Match Log'!$A$4:$A$1510&lt;=$J495)),'Match Log'!$N$4:$N$1510),NA()))</f>
        <v>#N/A</v>
      </c>
      <c r="U495" t="e">
        <f>IF($J495&gt;MAX('Match Log'!$A$4:$A$1510),NA(),IFERROR(LOOKUP(2,1/(('Match Log'!$D$4:$D$1510=$U$24)*('Match Log'!$A$4:$A$1510&lt;=$J495)),'Match Log'!$N$4:$N$1510),NA()))</f>
        <v>#N/A</v>
      </c>
      <c r="V495" t="e">
        <f>IF($J495&gt;MAX('Match Log'!$A$4:$A$1510),NA(),IFERROR(LOOKUP(2,1/(('Match Log'!$D$4:$D$1510=$V$24)*('Match Log'!$A$4:$A$1510&lt;=$J495)),'Match Log'!$N$4:$N$1510),NA()))</f>
        <v>#N/A</v>
      </c>
      <c r="W495" t="e">
        <f>IF($J495&gt;MAX('Match Log'!$A$4:$A$1510),NA(),IFERROR(LOOKUP(2,1/(('Match Log'!$D$4:$D$1510=$W$24)*('Match Log'!$A$4:$A$1510&lt;=$J495)),'Match Log'!$N$4:$N$1510),NA()))</f>
        <v>#N/A</v>
      </c>
      <c r="X495" t="e">
        <f>IF($J495&gt;MAX('Match Log'!$A$4:$A$1510),NA(),IFERROR(LOOKUP(2,1/(('Match Log'!$D$4:$D$1510=$X$24)*('Match Log'!$A$4:$A$1510&lt;=$J495)),'Match Log'!$N$4:$N$1510),NA()))</f>
        <v>#N/A</v>
      </c>
      <c r="Y495" t="str">
        <f t="shared" ca="1" si="37"/>
        <v/>
      </c>
    </row>
    <row r="496" spans="1:25" x14ac:dyDescent="0.2">
      <c r="A496">
        <v>472</v>
      </c>
      <c r="B496" t="str">
        <f>IFERROR(INDEX('Match Log'!$B$4:$B$1510,MATCH($A496,'Match Log'!$A$4:$A$1510,0)),"")</f>
        <v/>
      </c>
      <c r="C496" t="str">
        <f>IFERROR(INDEX('Match Log'!$C$4:$C$1510,MATCH($A496,'Match Log'!$A$4:$A$1510,0)),"")</f>
        <v/>
      </c>
      <c r="D496" t="str">
        <f t="array" ref="D496">IFERROR(_xlfn.TEXTJOIN(" + ",TRUE(),IF(('Match Log'!$A$4:$A$1510=$A496)*('Match Log'!$E$4:$E$1510="Win"),'Match Log'!$D$4:$D$1510,"")),IFERROR(LOOKUP(2,1/(('Match Log'!$A$4:$A$1510=$A496)*('Match Log'!$E$4:$E$1510="Win")),'Match Log'!$D$4:$D$1510),""))</f>
        <v/>
      </c>
      <c r="E496" t="str">
        <f>IFERROR(INDEX('Match Log'!$F$4:$F$1510,MATCH($A496,'Match Log'!$A$4:$A$1510,0)),"")</f>
        <v/>
      </c>
      <c r="F496">
        <f>IFERROR(SUMIFS('Match Log'!$I$4:$I$1510,'Match Log'!$A$4:$A$1510,$A496,'Match Log'!$E$4:$E$1510,"Win"),"")</f>
        <v>0</v>
      </c>
      <c r="G496" t="str">
        <f t="shared" si="35"/>
        <v/>
      </c>
      <c r="H496" t="str">
        <f t="array" ref="H496">IFERROR(IF(COUNTIFS('Match Log'!$A$4:$A$1510,$A496,'Match Log'!$E$4:$E$1510,"Win")&gt;1,_xlfn.TEXTJOIN(" + ",TRUE(),IF(('Match Log'!$A$4:$A$1510=$A496)*('Match Log'!$E$4:$E$1510="Loss"),'Match Log'!$D$4:$D$1510,"")),IF($E496=2,LOOKUP(2,1/(('Match Log'!$A$4:$A$1510=$A496)*('Match Log'!$E$4:$E$1510="Loss")),'Match Log'!$D$4:$D$1510),"the field")),"")</f>
        <v>the field</v>
      </c>
      <c r="I496" t="str">
        <f t="shared" si="36"/>
        <v/>
      </c>
      <c r="J496">
        <v>472</v>
      </c>
      <c r="K496" t="e">
        <f>IF($J496&gt;MAX('Match Log'!$A$4:$A$1510),NA(),IFERROR(LOOKUP(2,1/(('Match Log'!$D$4:$D$1510=$K$24)*('Match Log'!$A$4:$A$1510&lt;=$J496)),'Match Log'!$N$4:$N$1510),NA()))</f>
        <v>#N/A</v>
      </c>
      <c r="L496" t="e">
        <f>IF($J496&gt;MAX('Match Log'!$A$4:$A$1510),NA(),IFERROR(LOOKUP(2,1/(('Match Log'!$D$4:$D$1510=$L$24)*('Match Log'!$A$4:$A$1510&lt;=$J496)),'Match Log'!$N$4:$N$1510),NA()))</f>
        <v>#N/A</v>
      </c>
      <c r="M496" t="e">
        <f>IF($J496&gt;MAX('Match Log'!$A$4:$A$1510),NA(),IFERROR(LOOKUP(2,1/(('Match Log'!$D$4:$D$1510=$M$24)*('Match Log'!$A$4:$A$1510&lt;=$J496)),'Match Log'!$N$4:$N$1510),NA()))</f>
        <v>#N/A</v>
      </c>
      <c r="N496" t="e">
        <f>IF($J496&gt;MAX('Match Log'!$A$4:$A$1510),NA(),IFERROR(LOOKUP(2,1/(('Match Log'!$D$4:$D$1510=$N$24)*('Match Log'!$A$4:$A$1510&lt;=$J496)),'Match Log'!$N$4:$N$1510),NA()))</f>
        <v>#N/A</v>
      </c>
      <c r="O496" t="e">
        <f>IF($J496&gt;MAX('Match Log'!$A$4:$A$1510),NA(),IFERROR(LOOKUP(2,1/(('Match Log'!$D$4:$D$1510=$O$24)*('Match Log'!$A$4:$A$1510&lt;=$J496)),'Match Log'!$N$4:$N$1510),NA()))</f>
        <v>#N/A</v>
      </c>
      <c r="P496" t="e">
        <f>IF($J496&gt;MAX('Match Log'!$A$4:$A$1510),NA(),IFERROR(LOOKUP(2,1/(('Match Log'!$D$4:$D$1510=$P$24)*('Match Log'!$A$4:$A$1510&lt;=$J496)),'Match Log'!$N$4:$N$1510),NA()))</f>
        <v>#N/A</v>
      </c>
      <c r="Q496" t="e">
        <f>IF($J496&gt;MAX('Match Log'!$A$4:$A$1510),NA(),IFERROR(LOOKUP(2,1/(('Match Log'!$D$4:$D$1510=$Q$24)*('Match Log'!$A$4:$A$1510&lt;=$J496)),'Match Log'!$N$4:$N$1510),NA()))</f>
        <v>#N/A</v>
      </c>
      <c r="R496" t="e">
        <f>IF($J496&gt;MAX('Match Log'!$A$4:$A$1510),NA(),IFERROR(LOOKUP(2,1/(('Match Log'!$D$4:$D$1510=$R$24)*('Match Log'!$A$4:$A$1510&lt;=$J496)),'Match Log'!$N$4:$N$1510),NA()))</f>
        <v>#N/A</v>
      </c>
      <c r="S496" t="e">
        <f>IF($J496&gt;MAX('Match Log'!$A$4:$A$1510),NA(),IFERROR(LOOKUP(2,1/(('Match Log'!$D$4:$D$1510=$S$24)*('Match Log'!$A$4:$A$1510&lt;=$J496)),'Match Log'!$N$4:$N$1510),NA()))</f>
        <v>#N/A</v>
      </c>
      <c r="T496" t="e">
        <f>IF($J496&gt;MAX('Match Log'!$A$4:$A$1510),NA(),IFERROR(LOOKUP(2,1/(('Match Log'!$D$4:$D$1510=$T$24)*('Match Log'!$A$4:$A$1510&lt;=$J496)),'Match Log'!$N$4:$N$1510),NA()))</f>
        <v>#N/A</v>
      </c>
      <c r="U496" t="e">
        <f>IF($J496&gt;MAX('Match Log'!$A$4:$A$1510),NA(),IFERROR(LOOKUP(2,1/(('Match Log'!$D$4:$D$1510=$U$24)*('Match Log'!$A$4:$A$1510&lt;=$J496)),'Match Log'!$N$4:$N$1510),NA()))</f>
        <v>#N/A</v>
      </c>
      <c r="V496" t="e">
        <f>IF($J496&gt;MAX('Match Log'!$A$4:$A$1510),NA(),IFERROR(LOOKUP(2,1/(('Match Log'!$D$4:$D$1510=$V$24)*('Match Log'!$A$4:$A$1510&lt;=$J496)),'Match Log'!$N$4:$N$1510),NA()))</f>
        <v>#N/A</v>
      </c>
      <c r="W496" t="e">
        <f>IF($J496&gt;MAX('Match Log'!$A$4:$A$1510),NA(),IFERROR(LOOKUP(2,1/(('Match Log'!$D$4:$D$1510=$W$24)*('Match Log'!$A$4:$A$1510&lt;=$J496)),'Match Log'!$N$4:$N$1510),NA()))</f>
        <v>#N/A</v>
      </c>
      <c r="X496" t="e">
        <f>IF($J496&gt;MAX('Match Log'!$A$4:$A$1510),NA(),IFERROR(LOOKUP(2,1/(('Match Log'!$D$4:$D$1510=$X$24)*('Match Log'!$A$4:$A$1510&lt;=$J496)),'Match Log'!$N$4:$N$1510),NA()))</f>
        <v>#N/A</v>
      </c>
      <c r="Y496" t="str">
        <f t="shared" ca="1" si="37"/>
        <v/>
      </c>
    </row>
    <row r="497" spans="1:25" x14ac:dyDescent="0.2">
      <c r="A497">
        <v>473</v>
      </c>
      <c r="B497" t="str">
        <f>IFERROR(INDEX('Match Log'!$B$4:$B$1510,MATCH($A497,'Match Log'!$A$4:$A$1510,0)),"")</f>
        <v/>
      </c>
      <c r="C497" t="str">
        <f>IFERROR(INDEX('Match Log'!$C$4:$C$1510,MATCH($A497,'Match Log'!$A$4:$A$1510,0)),"")</f>
        <v/>
      </c>
      <c r="D497" t="str">
        <f t="array" ref="D497">IFERROR(_xlfn.TEXTJOIN(" + ",TRUE(),IF(('Match Log'!$A$4:$A$1510=$A497)*('Match Log'!$E$4:$E$1510="Win"),'Match Log'!$D$4:$D$1510,"")),IFERROR(LOOKUP(2,1/(('Match Log'!$A$4:$A$1510=$A497)*('Match Log'!$E$4:$E$1510="Win")),'Match Log'!$D$4:$D$1510),""))</f>
        <v/>
      </c>
      <c r="E497" t="str">
        <f>IFERROR(INDEX('Match Log'!$F$4:$F$1510,MATCH($A497,'Match Log'!$A$4:$A$1510,0)),"")</f>
        <v/>
      </c>
      <c r="F497">
        <f>IFERROR(SUMIFS('Match Log'!$I$4:$I$1510,'Match Log'!$A$4:$A$1510,$A497,'Match Log'!$E$4:$E$1510,"Win"),"")</f>
        <v>0</v>
      </c>
      <c r="G497" t="str">
        <f t="shared" si="35"/>
        <v/>
      </c>
      <c r="H497" t="str">
        <f t="array" ref="H497">IFERROR(IF(COUNTIFS('Match Log'!$A$4:$A$1510,$A497,'Match Log'!$E$4:$E$1510,"Win")&gt;1,_xlfn.TEXTJOIN(" + ",TRUE(),IF(('Match Log'!$A$4:$A$1510=$A497)*('Match Log'!$E$4:$E$1510="Loss"),'Match Log'!$D$4:$D$1510,"")),IF($E497=2,LOOKUP(2,1/(('Match Log'!$A$4:$A$1510=$A497)*('Match Log'!$E$4:$E$1510="Loss")),'Match Log'!$D$4:$D$1510),"the field")),"")</f>
        <v>the field</v>
      </c>
      <c r="I497" t="str">
        <f t="shared" si="36"/>
        <v/>
      </c>
      <c r="J497">
        <v>473</v>
      </c>
      <c r="K497" t="e">
        <f>IF($J497&gt;MAX('Match Log'!$A$4:$A$1510),NA(),IFERROR(LOOKUP(2,1/(('Match Log'!$D$4:$D$1510=$K$24)*('Match Log'!$A$4:$A$1510&lt;=$J497)),'Match Log'!$N$4:$N$1510),NA()))</f>
        <v>#N/A</v>
      </c>
      <c r="L497" t="e">
        <f>IF($J497&gt;MAX('Match Log'!$A$4:$A$1510),NA(),IFERROR(LOOKUP(2,1/(('Match Log'!$D$4:$D$1510=$L$24)*('Match Log'!$A$4:$A$1510&lt;=$J497)),'Match Log'!$N$4:$N$1510),NA()))</f>
        <v>#N/A</v>
      </c>
      <c r="M497" t="e">
        <f>IF($J497&gt;MAX('Match Log'!$A$4:$A$1510),NA(),IFERROR(LOOKUP(2,1/(('Match Log'!$D$4:$D$1510=$M$24)*('Match Log'!$A$4:$A$1510&lt;=$J497)),'Match Log'!$N$4:$N$1510),NA()))</f>
        <v>#N/A</v>
      </c>
      <c r="N497" t="e">
        <f>IF($J497&gt;MAX('Match Log'!$A$4:$A$1510),NA(),IFERROR(LOOKUP(2,1/(('Match Log'!$D$4:$D$1510=$N$24)*('Match Log'!$A$4:$A$1510&lt;=$J497)),'Match Log'!$N$4:$N$1510),NA()))</f>
        <v>#N/A</v>
      </c>
      <c r="O497" t="e">
        <f>IF($J497&gt;MAX('Match Log'!$A$4:$A$1510),NA(),IFERROR(LOOKUP(2,1/(('Match Log'!$D$4:$D$1510=$O$24)*('Match Log'!$A$4:$A$1510&lt;=$J497)),'Match Log'!$N$4:$N$1510),NA()))</f>
        <v>#N/A</v>
      </c>
      <c r="P497" t="e">
        <f>IF($J497&gt;MAX('Match Log'!$A$4:$A$1510),NA(),IFERROR(LOOKUP(2,1/(('Match Log'!$D$4:$D$1510=$P$24)*('Match Log'!$A$4:$A$1510&lt;=$J497)),'Match Log'!$N$4:$N$1510),NA()))</f>
        <v>#N/A</v>
      </c>
      <c r="Q497" t="e">
        <f>IF($J497&gt;MAX('Match Log'!$A$4:$A$1510),NA(),IFERROR(LOOKUP(2,1/(('Match Log'!$D$4:$D$1510=$Q$24)*('Match Log'!$A$4:$A$1510&lt;=$J497)),'Match Log'!$N$4:$N$1510),NA()))</f>
        <v>#N/A</v>
      </c>
      <c r="R497" t="e">
        <f>IF($J497&gt;MAX('Match Log'!$A$4:$A$1510),NA(),IFERROR(LOOKUP(2,1/(('Match Log'!$D$4:$D$1510=$R$24)*('Match Log'!$A$4:$A$1510&lt;=$J497)),'Match Log'!$N$4:$N$1510),NA()))</f>
        <v>#N/A</v>
      </c>
      <c r="S497" t="e">
        <f>IF($J497&gt;MAX('Match Log'!$A$4:$A$1510),NA(),IFERROR(LOOKUP(2,1/(('Match Log'!$D$4:$D$1510=$S$24)*('Match Log'!$A$4:$A$1510&lt;=$J497)),'Match Log'!$N$4:$N$1510),NA()))</f>
        <v>#N/A</v>
      </c>
      <c r="T497" t="e">
        <f>IF($J497&gt;MAX('Match Log'!$A$4:$A$1510),NA(),IFERROR(LOOKUP(2,1/(('Match Log'!$D$4:$D$1510=$T$24)*('Match Log'!$A$4:$A$1510&lt;=$J497)),'Match Log'!$N$4:$N$1510),NA()))</f>
        <v>#N/A</v>
      </c>
      <c r="U497" t="e">
        <f>IF($J497&gt;MAX('Match Log'!$A$4:$A$1510),NA(),IFERROR(LOOKUP(2,1/(('Match Log'!$D$4:$D$1510=$U$24)*('Match Log'!$A$4:$A$1510&lt;=$J497)),'Match Log'!$N$4:$N$1510),NA()))</f>
        <v>#N/A</v>
      </c>
      <c r="V497" t="e">
        <f>IF($J497&gt;MAX('Match Log'!$A$4:$A$1510),NA(),IFERROR(LOOKUP(2,1/(('Match Log'!$D$4:$D$1510=$V$24)*('Match Log'!$A$4:$A$1510&lt;=$J497)),'Match Log'!$N$4:$N$1510),NA()))</f>
        <v>#N/A</v>
      </c>
      <c r="W497" t="e">
        <f>IF($J497&gt;MAX('Match Log'!$A$4:$A$1510),NA(),IFERROR(LOOKUP(2,1/(('Match Log'!$D$4:$D$1510=$W$24)*('Match Log'!$A$4:$A$1510&lt;=$J497)),'Match Log'!$N$4:$N$1510),NA()))</f>
        <v>#N/A</v>
      </c>
      <c r="X497" t="e">
        <f>IF($J497&gt;MAX('Match Log'!$A$4:$A$1510),NA(),IFERROR(LOOKUP(2,1/(('Match Log'!$D$4:$D$1510=$X$24)*('Match Log'!$A$4:$A$1510&lt;=$J497)),'Match Log'!$N$4:$N$1510),NA()))</f>
        <v>#N/A</v>
      </c>
      <c r="Y497" t="str">
        <f t="shared" ca="1" si="37"/>
        <v/>
      </c>
    </row>
    <row r="498" spans="1:25" x14ac:dyDescent="0.2">
      <c r="A498">
        <v>474</v>
      </c>
      <c r="B498" t="str">
        <f>IFERROR(INDEX('Match Log'!$B$4:$B$1510,MATCH($A498,'Match Log'!$A$4:$A$1510,0)),"")</f>
        <v/>
      </c>
      <c r="C498" t="str">
        <f>IFERROR(INDEX('Match Log'!$C$4:$C$1510,MATCH($A498,'Match Log'!$A$4:$A$1510,0)),"")</f>
        <v/>
      </c>
      <c r="D498" t="str">
        <f t="array" ref="D498">IFERROR(_xlfn.TEXTJOIN(" + ",TRUE(),IF(('Match Log'!$A$4:$A$1510=$A498)*('Match Log'!$E$4:$E$1510="Win"),'Match Log'!$D$4:$D$1510,"")),IFERROR(LOOKUP(2,1/(('Match Log'!$A$4:$A$1510=$A498)*('Match Log'!$E$4:$E$1510="Win")),'Match Log'!$D$4:$D$1510),""))</f>
        <v/>
      </c>
      <c r="E498" t="str">
        <f>IFERROR(INDEX('Match Log'!$F$4:$F$1510,MATCH($A498,'Match Log'!$A$4:$A$1510,0)),"")</f>
        <v/>
      </c>
      <c r="F498">
        <f>IFERROR(SUMIFS('Match Log'!$I$4:$I$1510,'Match Log'!$A$4:$A$1510,$A498,'Match Log'!$E$4:$E$1510,"Win"),"")</f>
        <v>0</v>
      </c>
      <c r="G498" t="str">
        <f t="shared" si="35"/>
        <v/>
      </c>
      <c r="H498" t="str">
        <f t="array" ref="H498">IFERROR(IF(COUNTIFS('Match Log'!$A$4:$A$1510,$A498,'Match Log'!$E$4:$E$1510,"Win")&gt;1,_xlfn.TEXTJOIN(" + ",TRUE(),IF(('Match Log'!$A$4:$A$1510=$A498)*('Match Log'!$E$4:$E$1510="Loss"),'Match Log'!$D$4:$D$1510,"")),IF($E498=2,LOOKUP(2,1/(('Match Log'!$A$4:$A$1510=$A498)*('Match Log'!$E$4:$E$1510="Loss")),'Match Log'!$D$4:$D$1510),"the field")),"")</f>
        <v>the field</v>
      </c>
      <c r="I498" t="str">
        <f t="shared" si="36"/>
        <v/>
      </c>
      <c r="J498">
        <v>474</v>
      </c>
      <c r="K498" t="e">
        <f>IF($J498&gt;MAX('Match Log'!$A$4:$A$1510),NA(),IFERROR(LOOKUP(2,1/(('Match Log'!$D$4:$D$1510=$K$24)*('Match Log'!$A$4:$A$1510&lt;=$J498)),'Match Log'!$N$4:$N$1510),NA()))</f>
        <v>#N/A</v>
      </c>
      <c r="L498" t="e">
        <f>IF($J498&gt;MAX('Match Log'!$A$4:$A$1510),NA(),IFERROR(LOOKUP(2,1/(('Match Log'!$D$4:$D$1510=$L$24)*('Match Log'!$A$4:$A$1510&lt;=$J498)),'Match Log'!$N$4:$N$1510),NA()))</f>
        <v>#N/A</v>
      </c>
      <c r="M498" t="e">
        <f>IF($J498&gt;MAX('Match Log'!$A$4:$A$1510),NA(),IFERROR(LOOKUP(2,1/(('Match Log'!$D$4:$D$1510=$M$24)*('Match Log'!$A$4:$A$1510&lt;=$J498)),'Match Log'!$N$4:$N$1510),NA()))</f>
        <v>#N/A</v>
      </c>
      <c r="N498" t="e">
        <f>IF($J498&gt;MAX('Match Log'!$A$4:$A$1510),NA(),IFERROR(LOOKUP(2,1/(('Match Log'!$D$4:$D$1510=$N$24)*('Match Log'!$A$4:$A$1510&lt;=$J498)),'Match Log'!$N$4:$N$1510),NA()))</f>
        <v>#N/A</v>
      </c>
      <c r="O498" t="e">
        <f>IF($J498&gt;MAX('Match Log'!$A$4:$A$1510),NA(),IFERROR(LOOKUP(2,1/(('Match Log'!$D$4:$D$1510=$O$24)*('Match Log'!$A$4:$A$1510&lt;=$J498)),'Match Log'!$N$4:$N$1510),NA()))</f>
        <v>#N/A</v>
      </c>
      <c r="P498" t="e">
        <f>IF($J498&gt;MAX('Match Log'!$A$4:$A$1510),NA(),IFERROR(LOOKUP(2,1/(('Match Log'!$D$4:$D$1510=$P$24)*('Match Log'!$A$4:$A$1510&lt;=$J498)),'Match Log'!$N$4:$N$1510),NA()))</f>
        <v>#N/A</v>
      </c>
      <c r="Q498" t="e">
        <f>IF($J498&gt;MAX('Match Log'!$A$4:$A$1510),NA(),IFERROR(LOOKUP(2,1/(('Match Log'!$D$4:$D$1510=$Q$24)*('Match Log'!$A$4:$A$1510&lt;=$J498)),'Match Log'!$N$4:$N$1510),NA()))</f>
        <v>#N/A</v>
      </c>
      <c r="R498" t="e">
        <f>IF($J498&gt;MAX('Match Log'!$A$4:$A$1510),NA(),IFERROR(LOOKUP(2,1/(('Match Log'!$D$4:$D$1510=$R$24)*('Match Log'!$A$4:$A$1510&lt;=$J498)),'Match Log'!$N$4:$N$1510),NA()))</f>
        <v>#N/A</v>
      </c>
      <c r="S498" t="e">
        <f>IF($J498&gt;MAX('Match Log'!$A$4:$A$1510),NA(),IFERROR(LOOKUP(2,1/(('Match Log'!$D$4:$D$1510=$S$24)*('Match Log'!$A$4:$A$1510&lt;=$J498)),'Match Log'!$N$4:$N$1510),NA()))</f>
        <v>#N/A</v>
      </c>
      <c r="T498" t="e">
        <f>IF($J498&gt;MAX('Match Log'!$A$4:$A$1510),NA(),IFERROR(LOOKUP(2,1/(('Match Log'!$D$4:$D$1510=$T$24)*('Match Log'!$A$4:$A$1510&lt;=$J498)),'Match Log'!$N$4:$N$1510),NA()))</f>
        <v>#N/A</v>
      </c>
      <c r="U498" t="e">
        <f>IF($J498&gt;MAX('Match Log'!$A$4:$A$1510),NA(),IFERROR(LOOKUP(2,1/(('Match Log'!$D$4:$D$1510=$U$24)*('Match Log'!$A$4:$A$1510&lt;=$J498)),'Match Log'!$N$4:$N$1510),NA()))</f>
        <v>#N/A</v>
      </c>
      <c r="V498" t="e">
        <f>IF($J498&gt;MAX('Match Log'!$A$4:$A$1510),NA(),IFERROR(LOOKUP(2,1/(('Match Log'!$D$4:$D$1510=$V$24)*('Match Log'!$A$4:$A$1510&lt;=$J498)),'Match Log'!$N$4:$N$1510),NA()))</f>
        <v>#N/A</v>
      </c>
      <c r="W498" t="e">
        <f>IF($J498&gt;MAX('Match Log'!$A$4:$A$1510),NA(),IFERROR(LOOKUP(2,1/(('Match Log'!$D$4:$D$1510=$W$24)*('Match Log'!$A$4:$A$1510&lt;=$J498)),'Match Log'!$N$4:$N$1510),NA()))</f>
        <v>#N/A</v>
      </c>
      <c r="X498" t="e">
        <f>IF($J498&gt;MAX('Match Log'!$A$4:$A$1510),NA(),IFERROR(LOOKUP(2,1/(('Match Log'!$D$4:$D$1510=$X$24)*('Match Log'!$A$4:$A$1510&lt;=$J498)),'Match Log'!$N$4:$N$1510),NA()))</f>
        <v>#N/A</v>
      </c>
      <c r="Y498" t="str">
        <f t="shared" ca="1" si="37"/>
        <v/>
      </c>
    </row>
    <row r="499" spans="1:25" x14ac:dyDescent="0.2">
      <c r="A499">
        <v>475</v>
      </c>
      <c r="B499" t="str">
        <f>IFERROR(INDEX('Match Log'!$B$4:$B$1510,MATCH($A499,'Match Log'!$A$4:$A$1510,0)),"")</f>
        <v/>
      </c>
      <c r="C499" t="str">
        <f>IFERROR(INDEX('Match Log'!$C$4:$C$1510,MATCH($A499,'Match Log'!$A$4:$A$1510,0)),"")</f>
        <v/>
      </c>
      <c r="D499" t="str">
        <f t="array" ref="D499">IFERROR(_xlfn.TEXTJOIN(" + ",TRUE(),IF(('Match Log'!$A$4:$A$1510=$A499)*('Match Log'!$E$4:$E$1510="Win"),'Match Log'!$D$4:$D$1510,"")),IFERROR(LOOKUP(2,1/(('Match Log'!$A$4:$A$1510=$A499)*('Match Log'!$E$4:$E$1510="Win")),'Match Log'!$D$4:$D$1510),""))</f>
        <v/>
      </c>
      <c r="E499" t="str">
        <f>IFERROR(INDEX('Match Log'!$F$4:$F$1510,MATCH($A499,'Match Log'!$A$4:$A$1510,0)),"")</f>
        <v/>
      </c>
      <c r="F499">
        <f>IFERROR(SUMIFS('Match Log'!$I$4:$I$1510,'Match Log'!$A$4:$A$1510,$A499,'Match Log'!$E$4:$E$1510,"Win"),"")</f>
        <v>0</v>
      </c>
      <c r="G499" t="str">
        <f t="shared" si="35"/>
        <v/>
      </c>
      <c r="H499" t="str">
        <f t="array" ref="H499">IFERROR(IF(COUNTIFS('Match Log'!$A$4:$A$1510,$A499,'Match Log'!$E$4:$E$1510,"Win")&gt;1,_xlfn.TEXTJOIN(" + ",TRUE(),IF(('Match Log'!$A$4:$A$1510=$A499)*('Match Log'!$E$4:$E$1510="Loss"),'Match Log'!$D$4:$D$1510,"")),IF($E499=2,LOOKUP(2,1/(('Match Log'!$A$4:$A$1510=$A499)*('Match Log'!$E$4:$E$1510="Loss")),'Match Log'!$D$4:$D$1510),"the field")),"")</f>
        <v>the field</v>
      </c>
      <c r="I499" t="str">
        <f t="shared" si="36"/>
        <v/>
      </c>
      <c r="J499">
        <v>475</v>
      </c>
      <c r="K499" t="e">
        <f>IF($J499&gt;MAX('Match Log'!$A$4:$A$1510),NA(),IFERROR(LOOKUP(2,1/(('Match Log'!$D$4:$D$1510=$K$24)*('Match Log'!$A$4:$A$1510&lt;=$J499)),'Match Log'!$N$4:$N$1510),NA()))</f>
        <v>#N/A</v>
      </c>
      <c r="L499" t="e">
        <f>IF($J499&gt;MAX('Match Log'!$A$4:$A$1510),NA(),IFERROR(LOOKUP(2,1/(('Match Log'!$D$4:$D$1510=$L$24)*('Match Log'!$A$4:$A$1510&lt;=$J499)),'Match Log'!$N$4:$N$1510),NA()))</f>
        <v>#N/A</v>
      </c>
      <c r="M499" t="e">
        <f>IF($J499&gt;MAX('Match Log'!$A$4:$A$1510),NA(),IFERROR(LOOKUP(2,1/(('Match Log'!$D$4:$D$1510=$M$24)*('Match Log'!$A$4:$A$1510&lt;=$J499)),'Match Log'!$N$4:$N$1510),NA()))</f>
        <v>#N/A</v>
      </c>
      <c r="N499" t="e">
        <f>IF($J499&gt;MAX('Match Log'!$A$4:$A$1510),NA(),IFERROR(LOOKUP(2,1/(('Match Log'!$D$4:$D$1510=$N$24)*('Match Log'!$A$4:$A$1510&lt;=$J499)),'Match Log'!$N$4:$N$1510),NA()))</f>
        <v>#N/A</v>
      </c>
      <c r="O499" t="e">
        <f>IF($J499&gt;MAX('Match Log'!$A$4:$A$1510),NA(),IFERROR(LOOKUP(2,1/(('Match Log'!$D$4:$D$1510=$O$24)*('Match Log'!$A$4:$A$1510&lt;=$J499)),'Match Log'!$N$4:$N$1510),NA()))</f>
        <v>#N/A</v>
      </c>
      <c r="P499" t="e">
        <f>IF($J499&gt;MAX('Match Log'!$A$4:$A$1510),NA(),IFERROR(LOOKUP(2,1/(('Match Log'!$D$4:$D$1510=$P$24)*('Match Log'!$A$4:$A$1510&lt;=$J499)),'Match Log'!$N$4:$N$1510),NA()))</f>
        <v>#N/A</v>
      </c>
      <c r="Q499" t="e">
        <f>IF($J499&gt;MAX('Match Log'!$A$4:$A$1510),NA(),IFERROR(LOOKUP(2,1/(('Match Log'!$D$4:$D$1510=$Q$24)*('Match Log'!$A$4:$A$1510&lt;=$J499)),'Match Log'!$N$4:$N$1510),NA()))</f>
        <v>#N/A</v>
      </c>
      <c r="R499" t="e">
        <f>IF($J499&gt;MAX('Match Log'!$A$4:$A$1510),NA(),IFERROR(LOOKUP(2,1/(('Match Log'!$D$4:$D$1510=$R$24)*('Match Log'!$A$4:$A$1510&lt;=$J499)),'Match Log'!$N$4:$N$1510),NA()))</f>
        <v>#N/A</v>
      </c>
      <c r="S499" t="e">
        <f>IF($J499&gt;MAX('Match Log'!$A$4:$A$1510),NA(),IFERROR(LOOKUP(2,1/(('Match Log'!$D$4:$D$1510=$S$24)*('Match Log'!$A$4:$A$1510&lt;=$J499)),'Match Log'!$N$4:$N$1510),NA()))</f>
        <v>#N/A</v>
      </c>
      <c r="T499" t="e">
        <f>IF($J499&gt;MAX('Match Log'!$A$4:$A$1510),NA(),IFERROR(LOOKUP(2,1/(('Match Log'!$D$4:$D$1510=$T$24)*('Match Log'!$A$4:$A$1510&lt;=$J499)),'Match Log'!$N$4:$N$1510),NA()))</f>
        <v>#N/A</v>
      </c>
      <c r="U499" t="e">
        <f>IF($J499&gt;MAX('Match Log'!$A$4:$A$1510),NA(),IFERROR(LOOKUP(2,1/(('Match Log'!$D$4:$D$1510=$U$24)*('Match Log'!$A$4:$A$1510&lt;=$J499)),'Match Log'!$N$4:$N$1510),NA()))</f>
        <v>#N/A</v>
      </c>
      <c r="V499" t="e">
        <f>IF($J499&gt;MAX('Match Log'!$A$4:$A$1510),NA(),IFERROR(LOOKUP(2,1/(('Match Log'!$D$4:$D$1510=$V$24)*('Match Log'!$A$4:$A$1510&lt;=$J499)),'Match Log'!$N$4:$N$1510),NA()))</f>
        <v>#N/A</v>
      </c>
      <c r="W499" t="e">
        <f>IF($J499&gt;MAX('Match Log'!$A$4:$A$1510),NA(),IFERROR(LOOKUP(2,1/(('Match Log'!$D$4:$D$1510=$W$24)*('Match Log'!$A$4:$A$1510&lt;=$J499)),'Match Log'!$N$4:$N$1510),NA()))</f>
        <v>#N/A</v>
      </c>
      <c r="X499" t="e">
        <f>IF($J499&gt;MAX('Match Log'!$A$4:$A$1510),NA(),IFERROR(LOOKUP(2,1/(('Match Log'!$D$4:$D$1510=$X$24)*('Match Log'!$A$4:$A$1510&lt;=$J499)),'Match Log'!$N$4:$N$1510),NA()))</f>
        <v>#N/A</v>
      </c>
      <c r="Y499" t="str">
        <f t="shared" ca="1" si="37"/>
        <v/>
      </c>
    </row>
    <row r="500" spans="1:25" x14ac:dyDescent="0.2">
      <c r="A500">
        <v>476</v>
      </c>
      <c r="B500" t="str">
        <f>IFERROR(INDEX('Match Log'!$B$4:$B$1510,MATCH($A500,'Match Log'!$A$4:$A$1510,0)),"")</f>
        <v/>
      </c>
      <c r="C500" t="str">
        <f>IFERROR(INDEX('Match Log'!$C$4:$C$1510,MATCH($A500,'Match Log'!$A$4:$A$1510,0)),"")</f>
        <v/>
      </c>
      <c r="D500" t="str">
        <f t="array" ref="D500">IFERROR(_xlfn.TEXTJOIN(" + ",TRUE(),IF(('Match Log'!$A$4:$A$1510=$A500)*('Match Log'!$E$4:$E$1510="Win"),'Match Log'!$D$4:$D$1510,"")),IFERROR(LOOKUP(2,1/(('Match Log'!$A$4:$A$1510=$A500)*('Match Log'!$E$4:$E$1510="Win")),'Match Log'!$D$4:$D$1510),""))</f>
        <v/>
      </c>
      <c r="E500" t="str">
        <f>IFERROR(INDEX('Match Log'!$F$4:$F$1510,MATCH($A500,'Match Log'!$A$4:$A$1510,0)),"")</f>
        <v/>
      </c>
      <c r="F500">
        <f>IFERROR(SUMIFS('Match Log'!$I$4:$I$1510,'Match Log'!$A$4:$A$1510,$A500,'Match Log'!$E$4:$E$1510,"Win"),"")</f>
        <v>0</v>
      </c>
      <c r="G500" t="str">
        <f t="shared" si="35"/>
        <v/>
      </c>
      <c r="H500" t="str">
        <f t="array" ref="H500">IFERROR(IF(COUNTIFS('Match Log'!$A$4:$A$1510,$A500,'Match Log'!$E$4:$E$1510,"Win")&gt;1,_xlfn.TEXTJOIN(" + ",TRUE(),IF(('Match Log'!$A$4:$A$1510=$A500)*('Match Log'!$E$4:$E$1510="Loss"),'Match Log'!$D$4:$D$1510,"")),IF($E500=2,LOOKUP(2,1/(('Match Log'!$A$4:$A$1510=$A500)*('Match Log'!$E$4:$E$1510="Loss")),'Match Log'!$D$4:$D$1510),"the field")),"")</f>
        <v>the field</v>
      </c>
      <c r="I500" t="str">
        <f t="shared" si="36"/>
        <v/>
      </c>
      <c r="J500">
        <v>476</v>
      </c>
      <c r="K500" t="e">
        <f>IF($J500&gt;MAX('Match Log'!$A$4:$A$1510),NA(),IFERROR(LOOKUP(2,1/(('Match Log'!$D$4:$D$1510=$K$24)*('Match Log'!$A$4:$A$1510&lt;=$J500)),'Match Log'!$N$4:$N$1510),NA()))</f>
        <v>#N/A</v>
      </c>
      <c r="L500" t="e">
        <f>IF($J500&gt;MAX('Match Log'!$A$4:$A$1510),NA(),IFERROR(LOOKUP(2,1/(('Match Log'!$D$4:$D$1510=$L$24)*('Match Log'!$A$4:$A$1510&lt;=$J500)),'Match Log'!$N$4:$N$1510),NA()))</f>
        <v>#N/A</v>
      </c>
      <c r="M500" t="e">
        <f>IF($J500&gt;MAX('Match Log'!$A$4:$A$1510),NA(),IFERROR(LOOKUP(2,1/(('Match Log'!$D$4:$D$1510=$M$24)*('Match Log'!$A$4:$A$1510&lt;=$J500)),'Match Log'!$N$4:$N$1510),NA()))</f>
        <v>#N/A</v>
      </c>
      <c r="N500" t="e">
        <f>IF($J500&gt;MAX('Match Log'!$A$4:$A$1510),NA(),IFERROR(LOOKUP(2,1/(('Match Log'!$D$4:$D$1510=$N$24)*('Match Log'!$A$4:$A$1510&lt;=$J500)),'Match Log'!$N$4:$N$1510),NA()))</f>
        <v>#N/A</v>
      </c>
      <c r="O500" t="e">
        <f>IF($J500&gt;MAX('Match Log'!$A$4:$A$1510),NA(),IFERROR(LOOKUP(2,1/(('Match Log'!$D$4:$D$1510=$O$24)*('Match Log'!$A$4:$A$1510&lt;=$J500)),'Match Log'!$N$4:$N$1510),NA()))</f>
        <v>#N/A</v>
      </c>
      <c r="P500" t="e">
        <f>IF($J500&gt;MAX('Match Log'!$A$4:$A$1510),NA(),IFERROR(LOOKUP(2,1/(('Match Log'!$D$4:$D$1510=$P$24)*('Match Log'!$A$4:$A$1510&lt;=$J500)),'Match Log'!$N$4:$N$1510),NA()))</f>
        <v>#N/A</v>
      </c>
      <c r="Q500" t="e">
        <f>IF($J500&gt;MAX('Match Log'!$A$4:$A$1510),NA(),IFERROR(LOOKUP(2,1/(('Match Log'!$D$4:$D$1510=$Q$24)*('Match Log'!$A$4:$A$1510&lt;=$J500)),'Match Log'!$N$4:$N$1510),NA()))</f>
        <v>#N/A</v>
      </c>
      <c r="R500" t="e">
        <f>IF($J500&gt;MAX('Match Log'!$A$4:$A$1510),NA(),IFERROR(LOOKUP(2,1/(('Match Log'!$D$4:$D$1510=$R$24)*('Match Log'!$A$4:$A$1510&lt;=$J500)),'Match Log'!$N$4:$N$1510),NA()))</f>
        <v>#N/A</v>
      </c>
      <c r="S500" t="e">
        <f>IF($J500&gt;MAX('Match Log'!$A$4:$A$1510),NA(),IFERROR(LOOKUP(2,1/(('Match Log'!$D$4:$D$1510=$S$24)*('Match Log'!$A$4:$A$1510&lt;=$J500)),'Match Log'!$N$4:$N$1510),NA()))</f>
        <v>#N/A</v>
      </c>
      <c r="T500" t="e">
        <f>IF($J500&gt;MAX('Match Log'!$A$4:$A$1510),NA(),IFERROR(LOOKUP(2,1/(('Match Log'!$D$4:$D$1510=$T$24)*('Match Log'!$A$4:$A$1510&lt;=$J500)),'Match Log'!$N$4:$N$1510),NA()))</f>
        <v>#N/A</v>
      </c>
      <c r="U500" t="e">
        <f>IF($J500&gt;MAX('Match Log'!$A$4:$A$1510),NA(),IFERROR(LOOKUP(2,1/(('Match Log'!$D$4:$D$1510=$U$24)*('Match Log'!$A$4:$A$1510&lt;=$J500)),'Match Log'!$N$4:$N$1510),NA()))</f>
        <v>#N/A</v>
      </c>
      <c r="V500" t="e">
        <f>IF($J500&gt;MAX('Match Log'!$A$4:$A$1510),NA(),IFERROR(LOOKUP(2,1/(('Match Log'!$D$4:$D$1510=$V$24)*('Match Log'!$A$4:$A$1510&lt;=$J500)),'Match Log'!$N$4:$N$1510),NA()))</f>
        <v>#N/A</v>
      </c>
      <c r="W500" t="e">
        <f>IF($J500&gt;MAX('Match Log'!$A$4:$A$1510),NA(),IFERROR(LOOKUP(2,1/(('Match Log'!$D$4:$D$1510=$W$24)*('Match Log'!$A$4:$A$1510&lt;=$J500)),'Match Log'!$N$4:$N$1510),NA()))</f>
        <v>#N/A</v>
      </c>
      <c r="X500" t="e">
        <f>IF($J500&gt;MAX('Match Log'!$A$4:$A$1510),NA(),IFERROR(LOOKUP(2,1/(('Match Log'!$D$4:$D$1510=$X$24)*('Match Log'!$A$4:$A$1510&lt;=$J500)),'Match Log'!$N$4:$N$1510),NA()))</f>
        <v>#N/A</v>
      </c>
      <c r="Y500" t="str">
        <f t="shared" ca="1" si="37"/>
        <v/>
      </c>
    </row>
    <row r="501" spans="1:25" x14ac:dyDescent="0.2">
      <c r="A501">
        <v>477</v>
      </c>
      <c r="B501" t="str">
        <f>IFERROR(INDEX('Match Log'!$B$4:$B$1510,MATCH($A501,'Match Log'!$A$4:$A$1510,0)),"")</f>
        <v/>
      </c>
      <c r="C501" t="str">
        <f>IFERROR(INDEX('Match Log'!$C$4:$C$1510,MATCH($A501,'Match Log'!$A$4:$A$1510,0)),"")</f>
        <v/>
      </c>
      <c r="D501" t="str">
        <f t="array" ref="D501">IFERROR(_xlfn.TEXTJOIN(" + ",TRUE(),IF(('Match Log'!$A$4:$A$1510=$A501)*('Match Log'!$E$4:$E$1510="Win"),'Match Log'!$D$4:$D$1510,"")),IFERROR(LOOKUP(2,1/(('Match Log'!$A$4:$A$1510=$A501)*('Match Log'!$E$4:$E$1510="Win")),'Match Log'!$D$4:$D$1510),""))</f>
        <v/>
      </c>
      <c r="E501" t="str">
        <f>IFERROR(INDEX('Match Log'!$F$4:$F$1510,MATCH($A501,'Match Log'!$A$4:$A$1510,0)),"")</f>
        <v/>
      </c>
      <c r="F501">
        <f>IFERROR(SUMIFS('Match Log'!$I$4:$I$1510,'Match Log'!$A$4:$A$1510,$A501,'Match Log'!$E$4:$E$1510,"Win"),"")</f>
        <v>0</v>
      </c>
      <c r="G501" t="str">
        <f t="shared" si="35"/>
        <v/>
      </c>
      <c r="H501" t="str">
        <f t="array" ref="H501">IFERROR(IF(COUNTIFS('Match Log'!$A$4:$A$1510,$A501,'Match Log'!$E$4:$E$1510,"Win")&gt;1,_xlfn.TEXTJOIN(" + ",TRUE(),IF(('Match Log'!$A$4:$A$1510=$A501)*('Match Log'!$E$4:$E$1510="Loss"),'Match Log'!$D$4:$D$1510,"")),IF($E501=2,LOOKUP(2,1/(('Match Log'!$A$4:$A$1510=$A501)*('Match Log'!$E$4:$E$1510="Loss")),'Match Log'!$D$4:$D$1510),"the field")),"")</f>
        <v>the field</v>
      </c>
      <c r="I501" t="str">
        <f t="shared" si="36"/>
        <v/>
      </c>
      <c r="J501">
        <v>477</v>
      </c>
      <c r="K501" t="e">
        <f>IF($J501&gt;MAX('Match Log'!$A$4:$A$1510),NA(),IFERROR(LOOKUP(2,1/(('Match Log'!$D$4:$D$1510=$K$24)*('Match Log'!$A$4:$A$1510&lt;=$J501)),'Match Log'!$N$4:$N$1510),NA()))</f>
        <v>#N/A</v>
      </c>
      <c r="L501" t="e">
        <f>IF($J501&gt;MAX('Match Log'!$A$4:$A$1510),NA(),IFERROR(LOOKUP(2,1/(('Match Log'!$D$4:$D$1510=$L$24)*('Match Log'!$A$4:$A$1510&lt;=$J501)),'Match Log'!$N$4:$N$1510),NA()))</f>
        <v>#N/A</v>
      </c>
      <c r="M501" t="e">
        <f>IF($J501&gt;MAX('Match Log'!$A$4:$A$1510),NA(),IFERROR(LOOKUP(2,1/(('Match Log'!$D$4:$D$1510=$M$24)*('Match Log'!$A$4:$A$1510&lt;=$J501)),'Match Log'!$N$4:$N$1510),NA()))</f>
        <v>#N/A</v>
      </c>
      <c r="N501" t="e">
        <f>IF($J501&gt;MAX('Match Log'!$A$4:$A$1510),NA(),IFERROR(LOOKUP(2,1/(('Match Log'!$D$4:$D$1510=$N$24)*('Match Log'!$A$4:$A$1510&lt;=$J501)),'Match Log'!$N$4:$N$1510),NA()))</f>
        <v>#N/A</v>
      </c>
      <c r="O501" t="e">
        <f>IF($J501&gt;MAX('Match Log'!$A$4:$A$1510),NA(),IFERROR(LOOKUP(2,1/(('Match Log'!$D$4:$D$1510=$O$24)*('Match Log'!$A$4:$A$1510&lt;=$J501)),'Match Log'!$N$4:$N$1510),NA()))</f>
        <v>#N/A</v>
      </c>
      <c r="P501" t="e">
        <f>IF($J501&gt;MAX('Match Log'!$A$4:$A$1510),NA(),IFERROR(LOOKUP(2,1/(('Match Log'!$D$4:$D$1510=$P$24)*('Match Log'!$A$4:$A$1510&lt;=$J501)),'Match Log'!$N$4:$N$1510),NA()))</f>
        <v>#N/A</v>
      </c>
      <c r="Q501" t="e">
        <f>IF($J501&gt;MAX('Match Log'!$A$4:$A$1510),NA(),IFERROR(LOOKUP(2,1/(('Match Log'!$D$4:$D$1510=$Q$24)*('Match Log'!$A$4:$A$1510&lt;=$J501)),'Match Log'!$N$4:$N$1510),NA()))</f>
        <v>#N/A</v>
      </c>
      <c r="R501" t="e">
        <f>IF($J501&gt;MAX('Match Log'!$A$4:$A$1510),NA(),IFERROR(LOOKUP(2,1/(('Match Log'!$D$4:$D$1510=$R$24)*('Match Log'!$A$4:$A$1510&lt;=$J501)),'Match Log'!$N$4:$N$1510),NA()))</f>
        <v>#N/A</v>
      </c>
      <c r="S501" t="e">
        <f>IF($J501&gt;MAX('Match Log'!$A$4:$A$1510),NA(),IFERROR(LOOKUP(2,1/(('Match Log'!$D$4:$D$1510=$S$24)*('Match Log'!$A$4:$A$1510&lt;=$J501)),'Match Log'!$N$4:$N$1510),NA()))</f>
        <v>#N/A</v>
      </c>
      <c r="T501" t="e">
        <f>IF($J501&gt;MAX('Match Log'!$A$4:$A$1510),NA(),IFERROR(LOOKUP(2,1/(('Match Log'!$D$4:$D$1510=$T$24)*('Match Log'!$A$4:$A$1510&lt;=$J501)),'Match Log'!$N$4:$N$1510),NA()))</f>
        <v>#N/A</v>
      </c>
      <c r="U501" t="e">
        <f>IF($J501&gt;MAX('Match Log'!$A$4:$A$1510),NA(),IFERROR(LOOKUP(2,1/(('Match Log'!$D$4:$D$1510=$U$24)*('Match Log'!$A$4:$A$1510&lt;=$J501)),'Match Log'!$N$4:$N$1510),NA()))</f>
        <v>#N/A</v>
      </c>
      <c r="V501" t="e">
        <f>IF($J501&gt;MAX('Match Log'!$A$4:$A$1510),NA(),IFERROR(LOOKUP(2,1/(('Match Log'!$D$4:$D$1510=$V$24)*('Match Log'!$A$4:$A$1510&lt;=$J501)),'Match Log'!$N$4:$N$1510),NA()))</f>
        <v>#N/A</v>
      </c>
      <c r="W501" t="e">
        <f>IF($J501&gt;MAX('Match Log'!$A$4:$A$1510),NA(),IFERROR(LOOKUP(2,1/(('Match Log'!$D$4:$D$1510=$W$24)*('Match Log'!$A$4:$A$1510&lt;=$J501)),'Match Log'!$N$4:$N$1510),NA()))</f>
        <v>#N/A</v>
      </c>
      <c r="X501" t="e">
        <f>IF($J501&gt;MAX('Match Log'!$A$4:$A$1510),NA(),IFERROR(LOOKUP(2,1/(('Match Log'!$D$4:$D$1510=$X$24)*('Match Log'!$A$4:$A$1510&lt;=$J501)),'Match Log'!$N$4:$N$1510),NA()))</f>
        <v>#N/A</v>
      </c>
      <c r="Y501" t="str">
        <f t="shared" ca="1" si="37"/>
        <v/>
      </c>
    </row>
    <row r="502" spans="1:25" x14ac:dyDescent="0.2">
      <c r="A502">
        <v>478</v>
      </c>
      <c r="B502" t="str">
        <f>IFERROR(INDEX('Match Log'!$B$4:$B$1510,MATCH($A502,'Match Log'!$A$4:$A$1510,0)),"")</f>
        <v/>
      </c>
      <c r="C502" t="str">
        <f>IFERROR(INDEX('Match Log'!$C$4:$C$1510,MATCH($A502,'Match Log'!$A$4:$A$1510,0)),"")</f>
        <v/>
      </c>
      <c r="D502" t="str">
        <f t="array" ref="D502">IFERROR(_xlfn.TEXTJOIN(" + ",TRUE(),IF(('Match Log'!$A$4:$A$1510=$A502)*('Match Log'!$E$4:$E$1510="Win"),'Match Log'!$D$4:$D$1510,"")),IFERROR(LOOKUP(2,1/(('Match Log'!$A$4:$A$1510=$A502)*('Match Log'!$E$4:$E$1510="Win")),'Match Log'!$D$4:$D$1510),""))</f>
        <v/>
      </c>
      <c r="E502" t="str">
        <f>IFERROR(INDEX('Match Log'!$F$4:$F$1510,MATCH($A502,'Match Log'!$A$4:$A$1510,0)),"")</f>
        <v/>
      </c>
      <c r="F502">
        <f>IFERROR(SUMIFS('Match Log'!$I$4:$I$1510,'Match Log'!$A$4:$A$1510,$A502,'Match Log'!$E$4:$E$1510,"Win"),"")</f>
        <v>0</v>
      </c>
      <c r="G502" t="str">
        <f t="shared" si="35"/>
        <v/>
      </c>
      <c r="H502" t="str">
        <f t="array" ref="H502">IFERROR(IF(COUNTIFS('Match Log'!$A$4:$A$1510,$A502,'Match Log'!$E$4:$E$1510,"Win")&gt;1,_xlfn.TEXTJOIN(" + ",TRUE(),IF(('Match Log'!$A$4:$A$1510=$A502)*('Match Log'!$E$4:$E$1510="Loss"),'Match Log'!$D$4:$D$1510,"")),IF($E502=2,LOOKUP(2,1/(('Match Log'!$A$4:$A$1510=$A502)*('Match Log'!$E$4:$E$1510="Loss")),'Match Log'!$D$4:$D$1510),"the field")),"")</f>
        <v>the field</v>
      </c>
      <c r="I502" t="str">
        <f t="shared" si="36"/>
        <v/>
      </c>
      <c r="J502">
        <v>478</v>
      </c>
      <c r="K502" t="e">
        <f>IF($J502&gt;MAX('Match Log'!$A$4:$A$1510),NA(),IFERROR(LOOKUP(2,1/(('Match Log'!$D$4:$D$1510=$K$24)*('Match Log'!$A$4:$A$1510&lt;=$J502)),'Match Log'!$N$4:$N$1510),NA()))</f>
        <v>#N/A</v>
      </c>
      <c r="L502" t="e">
        <f>IF($J502&gt;MAX('Match Log'!$A$4:$A$1510),NA(),IFERROR(LOOKUP(2,1/(('Match Log'!$D$4:$D$1510=$L$24)*('Match Log'!$A$4:$A$1510&lt;=$J502)),'Match Log'!$N$4:$N$1510),NA()))</f>
        <v>#N/A</v>
      </c>
      <c r="M502" t="e">
        <f>IF($J502&gt;MAX('Match Log'!$A$4:$A$1510),NA(),IFERROR(LOOKUP(2,1/(('Match Log'!$D$4:$D$1510=$M$24)*('Match Log'!$A$4:$A$1510&lt;=$J502)),'Match Log'!$N$4:$N$1510),NA()))</f>
        <v>#N/A</v>
      </c>
      <c r="N502" t="e">
        <f>IF($J502&gt;MAX('Match Log'!$A$4:$A$1510),NA(),IFERROR(LOOKUP(2,1/(('Match Log'!$D$4:$D$1510=$N$24)*('Match Log'!$A$4:$A$1510&lt;=$J502)),'Match Log'!$N$4:$N$1510),NA()))</f>
        <v>#N/A</v>
      </c>
      <c r="O502" t="e">
        <f>IF($J502&gt;MAX('Match Log'!$A$4:$A$1510),NA(),IFERROR(LOOKUP(2,1/(('Match Log'!$D$4:$D$1510=$O$24)*('Match Log'!$A$4:$A$1510&lt;=$J502)),'Match Log'!$N$4:$N$1510),NA()))</f>
        <v>#N/A</v>
      </c>
      <c r="P502" t="e">
        <f>IF($J502&gt;MAX('Match Log'!$A$4:$A$1510),NA(),IFERROR(LOOKUP(2,1/(('Match Log'!$D$4:$D$1510=$P$24)*('Match Log'!$A$4:$A$1510&lt;=$J502)),'Match Log'!$N$4:$N$1510),NA()))</f>
        <v>#N/A</v>
      </c>
      <c r="Q502" t="e">
        <f>IF($J502&gt;MAX('Match Log'!$A$4:$A$1510),NA(),IFERROR(LOOKUP(2,1/(('Match Log'!$D$4:$D$1510=$Q$24)*('Match Log'!$A$4:$A$1510&lt;=$J502)),'Match Log'!$N$4:$N$1510),NA()))</f>
        <v>#N/A</v>
      </c>
      <c r="R502" t="e">
        <f>IF($J502&gt;MAX('Match Log'!$A$4:$A$1510),NA(),IFERROR(LOOKUP(2,1/(('Match Log'!$D$4:$D$1510=$R$24)*('Match Log'!$A$4:$A$1510&lt;=$J502)),'Match Log'!$N$4:$N$1510),NA()))</f>
        <v>#N/A</v>
      </c>
      <c r="S502" t="e">
        <f>IF($J502&gt;MAX('Match Log'!$A$4:$A$1510),NA(),IFERROR(LOOKUP(2,1/(('Match Log'!$D$4:$D$1510=$S$24)*('Match Log'!$A$4:$A$1510&lt;=$J502)),'Match Log'!$N$4:$N$1510),NA()))</f>
        <v>#N/A</v>
      </c>
      <c r="T502" t="e">
        <f>IF($J502&gt;MAX('Match Log'!$A$4:$A$1510),NA(),IFERROR(LOOKUP(2,1/(('Match Log'!$D$4:$D$1510=$T$24)*('Match Log'!$A$4:$A$1510&lt;=$J502)),'Match Log'!$N$4:$N$1510),NA()))</f>
        <v>#N/A</v>
      </c>
      <c r="U502" t="e">
        <f>IF($J502&gt;MAX('Match Log'!$A$4:$A$1510),NA(),IFERROR(LOOKUP(2,1/(('Match Log'!$D$4:$D$1510=$U$24)*('Match Log'!$A$4:$A$1510&lt;=$J502)),'Match Log'!$N$4:$N$1510),NA()))</f>
        <v>#N/A</v>
      </c>
      <c r="V502" t="e">
        <f>IF($J502&gt;MAX('Match Log'!$A$4:$A$1510),NA(),IFERROR(LOOKUP(2,1/(('Match Log'!$D$4:$D$1510=$V$24)*('Match Log'!$A$4:$A$1510&lt;=$J502)),'Match Log'!$N$4:$N$1510),NA()))</f>
        <v>#N/A</v>
      </c>
      <c r="W502" t="e">
        <f>IF($J502&gt;MAX('Match Log'!$A$4:$A$1510),NA(),IFERROR(LOOKUP(2,1/(('Match Log'!$D$4:$D$1510=$W$24)*('Match Log'!$A$4:$A$1510&lt;=$J502)),'Match Log'!$N$4:$N$1510),NA()))</f>
        <v>#N/A</v>
      </c>
      <c r="X502" t="e">
        <f>IF($J502&gt;MAX('Match Log'!$A$4:$A$1510),NA(),IFERROR(LOOKUP(2,1/(('Match Log'!$D$4:$D$1510=$X$24)*('Match Log'!$A$4:$A$1510&lt;=$J502)),'Match Log'!$N$4:$N$1510),NA()))</f>
        <v>#N/A</v>
      </c>
      <c r="Y502" t="str">
        <f t="shared" ca="1" si="37"/>
        <v/>
      </c>
    </row>
    <row r="503" spans="1:25" x14ac:dyDescent="0.2">
      <c r="A503">
        <v>479</v>
      </c>
      <c r="B503" t="str">
        <f>IFERROR(INDEX('Match Log'!$B$4:$B$1510,MATCH($A503,'Match Log'!$A$4:$A$1510,0)),"")</f>
        <v/>
      </c>
      <c r="C503" t="str">
        <f>IFERROR(INDEX('Match Log'!$C$4:$C$1510,MATCH($A503,'Match Log'!$A$4:$A$1510,0)),"")</f>
        <v/>
      </c>
      <c r="D503" t="str">
        <f t="array" ref="D503">IFERROR(_xlfn.TEXTJOIN(" + ",TRUE(),IF(('Match Log'!$A$4:$A$1510=$A503)*('Match Log'!$E$4:$E$1510="Win"),'Match Log'!$D$4:$D$1510,"")),IFERROR(LOOKUP(2,1/(('Match Log'!$A$4:$A$1510=$A503)*('Match Log'!$E$4:$E$1510="Win")),'Match Log'!$D$4:$D$1510),""))</f>
        <v/>
      </c>
      <c r="E503" t="str">
        <f>IFERROR(INDEX('Match Log'!$F$4:$F$1510,MATCH($A503,'Match Log'!$A$4:$A$1510,0)),"")</f>
        <v/>
      </c>
      <c r="F503">
        <f>IFERROR(SUMIFS('Match Log'!$I$4:$I$1510,'Match Log'!$A$4:$A$1510,$A503,'Match Log'!$E$4:$E$1510,"Win"),"")</f>
        <v>0</v>
      </c>
      <c r="G503" t="str">
        <f t="shared" si="35"/>
        <v/>
      </c>
      <c r="H503" t="str">
        <f t="array" ref="H503">IFERROR(IF(COUNTIFS('Match Log'!$A$4:$A$1510,$A503,'Match Log'!$E$4:$E$1510,"Win")&gt;1,_xlfn.TEXTJOIN(" + ",TRUE(),IF(('Match Log'!$A$4:$A$1510=$A503)*('Match Log'!$E$4:$E$1510="Loss"),'Match Log'!$D$4:$D$1510,"")),IF($E503=2,LOOKUP(2,1/(('Match Log'!$A$4:$A$1510=$A503)*('Match Log'!$E$4:$E$1510="Loss")),'Match Log'!$D$4:$D$1510),"the field")),"")</f>
        <v>the field</v>
      </c>
      <c r="I503" t="str">
        <f t="shared" si="36"/>
        <v/>
      </c>
      <c r="J503">
        <v>479</v>
      </c>
      <c r="K503" t="e">
        <f>IF($J503&gt;MAX('Match Log'!$A$4:$A$1510),NA(),IFERROR(LOOKUP(2,1/(('Match Log'!$D$4:$D$1510=$K$24)*('Match Log'!$A$4:$A$1510&lt;=$J503)),'Match Log'!$N$4:$N$1510),NA()))</f>
        <v>#N/A</v>
      </c>
      <c r="L503" t="e">
        <f>IF($J503&gt;MAX('Match Log'!$A$4:$A$1510),NA(),IFERROR(LOOKUP(2,1/(('Match Log'!$D$4:$D$1510=$L$24)*('Match Log'!$A$4:$A$1510&lt;=$J503)),'Match Log'!$N$4:$N$1510),NA()))</f>
        <v>#N/A</v>
      </c>
      <c r="M503" t="e">
        <f>IF($J503&gt;MAX('Match Log'!$A$4:$A$1510),NA(),IFERROR(LOOKUP(2,1/(('Match Log'!$D$4:$D$1510=$M$24)*('Match Log'!$A$4:$A$1510&lt;=$J503)),'Match Log'!$N$4:$N$1510),NA()))</f>
        <v>#N/A</v>
      </c>
      <c r="N503" t="e">
        <f>IF($J503&gt;MAX('Match Log'!$A$4:$A$1510),NA(),IFERROR(LOOKUP(2,1/(('Match Log'!$D$4:$D$1510=$N$24)*('Match Log'!$A$4:$A$1510&lt;=$J503)),'Match Log'!$N$4:$N$1510),NA()))</f>
        <v>#N/A</v>
      </c>
      <c r="O503" t="e">
        <f>IF($J503&gt;MAX('Match Log'!$A$4:$A$1510),NA(),IFERROR(LOOKUP(2,1/(('Match Log'!$D$4:$D$1510=$O$24)*('Match Log'!$A$4:$A$1510&lt;=$J503)),'Match Log'!$N$4:$N$1510),NA()))</f>
        <v>#N/A</v>
      </c>
      <c r="P503" t="e">
        <f>IF($J503&gt;MAX('Match Log'!$A$4:$A$1510),NA(),IFERROR(LOOKUP(2,1/(('Match Log'!$D$4:$D$1510=$P$24)*('Match Log'!$A$4:$A$1510&lt;=$J503)),'Match Log'!$N$4:$N$1510),NA()))</f>
        <v>#N/A</v>
      </c>
      <c r="Q503" t="e">
        <f>IF($J503&gt;MAX('Match Log'!$A$4:$A$1510),NA(),IFERROR(LOOKUP(2,1/(('Match Log'!$D$4:$D$1510=$Q$24)*('Match Log'!$A$4:$A$1510&lt;=$J503)),'Match Log'!$N$4:$N$1510),NA()))</f>
        <v>#N/A</v>
      </c>
      <c r="R503" t="e">
        <f>IF($J503&gt;MAX('Match Log'!$A$4:$A$1510),NA(),IFERROR(LOOKUP(2,1/(('Match Log'!$D$4:$D$1510=$R$24)*('Match Log'!$A$4:$A$1510&lt;=$J503)),'Match Log'!$N$4:$N$1510),NA()))</f>
        <v>#N/A</v>
      </c>
      <c r="S503" t="e">
        <f>IF($J503&gt;MAX('Match Log'!$A$4:$A$1510),NA(),IFERROR(LOOKUP(2,1/(('Match Log'!$D$4:$D$1510=$S$24)*('Match Log'!$A$4:$A$1510&lt;=$J503)),'Match Log'!$N$4:$N$1510),NA()))</f>
        <v>#N/A</v>
      </c>
      <c r="T503" t="e">
        <f>IF($J503&gt;MAX('Match Log'!$A$4:$A$1510),NA(),IFERROR(LOOKUP(2,1/(('Match Log'!$D$4:$D$1510=$T$24)*('Match Log'!$A$4:$A$1510&lt;=$J503)),'Match Log'!$N$4:$N$1510),NA()))</f>
        <v>#N/A</v>
      </c>
      <c r="U503" t="e">
        <f>IF($J503&gt;MAX('Match Log'!$A$4:$A$1510),NA(),IFERROR(LOOKUP(2,1/(('Match Log'!$D$4:$D$1510=$U$24)*('Match Log'!$A$4:$A$1510&lt;=$J503)),'Match Log'!$N$4:$N$1510),NA()))</f>
        <v>#N/A</v>
      </c>
      <c r="V503" t="e">
        <f>IF($J503&gt;MAX('Match Log'!$A$4:$A$1510),NA(),IFERROR(LOOKUP(2,1/(('Match Log'!$D$4:$D$1510=$V$24)*('Match Log'!$A$4:$A$1510&lt;=$J503)),'Match Log'!$N$4:$N$1510),NA()))</f>
        <v>#N/A</v>
      </c>
      <c r="W503" t="e">
        <f>IF($J503&gt;MAX('Match Log'!$A$4:$A$1510),NA(),IFERROR(LOOKUP(2,1/(('Match Log'!$D$4:$D$1510=$W$24)*('Match Log'!$A$4:$A$1510&lt;=$J503)),'Match Log'!$N$4:$N$1510),NA()))</f>
        <v>#N/A</v>
      </c>
      <c r="X503" t="e">
        <f>IF($J503&gt;MAX('Match Log'!$A$4:$A$1510),NA(),IFERROR(LOOKUP(2,1/(('Match Log'!$D$4:$D$1510=$X$24)*('Match Log'!$A$4:$A$1510&lt;=$J503)),'Match Log'!$N$4:$N$1510),NA()))</f>
        <v>#N/A</v>
      </c>
      <c r="Y503" t="str">
        <f t="shared" ca="1" si="37"/>
        <v/>
      </c>
    </row>
    <row r="504" spans="1:25" x14ac:dyDescent="0.2">
      <c r="A504">
        <v>480</v>
      </c>
      <c r="B504" t="str">
        <f>IFERROR(INDEX('Match Log'!$B$4:$B$1510,MATCH($A504,'Match Log'!$A$4:$A$1510,0)),"")</f>
        <v/>
      </c>
      <c r="C504" t="str">
        <f>IFERROR(INDEX('Match Log'!$C$4:$C$1510,MATCH($A504,'Match Log'!$A$4:$A$1510,0)),"")</f>
        <v/>
      </c>
      <c r="D504" t="str">
        <f t="array" ref="D504">IFERROR(_xlfn.TEXTJOIN(" + ",TRUE(),IF(('Match Log'!$A$4:$A$1510=$A504)*('Match Log'!$E$4:$E$1510="Win"),'Match Log'!$D$4:$D$1510,"")),IFERROR(LOOKUP(2,1/(('Match Log'!$A$4:$A$1510=$A504)*('Match Log'!$E$4:$E$1510="Win")),'Match Log'!$D$4:$D$1510),""))</f>
        <v/>
      </c>
      <c r="E504" t="str">
        <f>IFERROR(INDEX('Match Log'!$F$4:$F$1510,MATCH($A504,'Match Log'!$A$4:$A$1510,0)),"")</f>
        <v/>
      </c>
      <c r="F504">
        <f>IFERROR(SUMIFS('Match Log'!$I$4:$I$1510,'Match Log'!$A$4:$A$1510,$A504,'Match Log'!$E$4:$E$1510,"Win"),"")</f>
        <v>0</v>
      </c>
      <c r="G504" t="str">
        <f t="shared" si="35"/>
        <v/>
      </c>
      <c r="H504" t="str">
        <f t="array" ref="H504">IFERROR(IF(COUNTIFS('Match Log'!$A$4:$A$1510,$A504,'Match Log'!$E$4:$E$1510,"Win")&gt;1,_xlfn.TEXTJOIN(" + ",TRUE(),IF(('Match Log'!$A$4:$A$1510=$A504)*('Match Log'!$E$4:$E$1510="Loss"),'Match Log'!$D$4:$D$1510,"")),IF($E504=2,LOOKUP(2,1/(('Match Log'!$A$4:$A$1510=$A504)*('Match Log'!$E$4:$E$1510="Loss")),'Match Log'!$D$4:$D$1510),"the field")),"")</f>
        <v>the field</v>
      </c>
      <c r="I504" t="str">
        <f t="shared" si="36"/>
        <v/>
      </c>
      <c r="J504">
        <v>480</v>
      </c>
      <c r="K504" t="e">
        <f>IF($J504&gt;MAX('Match Log'!$A$4:$A$1510),NA(),IFERROR(LOOKUP(2,1/(('Match Log'!$D$4:$D$1510=$K$24)*('Match Log'!$A$4:$A$1510&lt;=$J504)),'Match Log'!$N$4:$N$1510),NA()))</f>
        <v>#N/A</v>
      </c>
      <c r="L504" t="e">
        <f>IF($J504&gt;MAX('Match Log'!$A$4:$A$1510),NA(),IFERROR(LOOKUP(2,1/(('Match Log'!$D$4:$D$1510=$L$24)*('Match Log'!$A$4:$A$1510&lt;=$J504)),'Match Log'!$N$4:$N$1510),NA()))</f>
        <v>#N/A</v>
      </c>
      <c r="M504" t="e">
        <f>IF($J504&gt;MAX('Match Log'!$A$4:$A$1510),NA(),IFERROR(LOOKUP(2,1/(('Match Log'!$D$4:$D$1510=$M$24)*('Match Log'!$A$4:$A$1510&lt;=$J504)),'Match Log'!$N$4:$N$1510),NA()))</f>
        <v>#N/A</v>
      </c>
      <c r="N504" t="e">
        <f>IF($J504&gt;MAX('Match Log'!$A$4:$A$1510),NA(),IFERROR(LOOKUP(2,1/(('Match Log'!$D$4:$D$1510=$N$24)*('Match Log'!$A$4:$A$1510&lt;=$J504)),'Match Log'!$N$4:$N$1510),NA()))</f>
        <v>#N/A</v>
      </c>
      <c r="O504" t="e">
        <f>IF($J504&gt;MAX('Match Log'!$A$4:$A$1510),NA(),IFERROR(LOOKUP(2,1/(('Match Log'!$D$4:$D$1510=$O$24)*('Match Log'!$A$4:$A$1510&lt;=$J504)),'Match Log'!$N$4:$N$1510),NA()))</f>
        <v>#N/A</v>
      </c>
      <c r="P504" t="e">
        <f>IF($J504&gt;MAX('Match Log'!$A$4:$A$1510),NA(),IFERROR(LOOKUP(2,1/(('Match Log'!$D$4:$D$1510=$P$24)*('Match Log'!$A$4:$A$1510&lt;=$J504)),'Match Log'!$N$4:$N$1510),NA()))</f>
        <v>#N/A</v>
      </c>
      <c r="Q504" t="e">
        <f>IF($J504&gt;MAX('Match Log'!$A$4:$A$1510),NA(),IFERROR(LOOKUP(2,1/(('Match Log'!$D$4:$D$1510=$Q$24)*('Match Log'!$A$4:$A$1510&lt;=$J504)),'Match Log'!$N$4:$N$1510),NA()))</f>
        <v>#N/A</v>
      </c>
      <c r="R504" t="e">
        <f>IF($J504&gt;MAX('Match Log'!$A$4:$A$1510),NA(),IFERROR(LOOKUP(2,1/(('Match Log'!$D$4:$D$1510=$R$24)*('Match Log'!$A$4:$A$1510&lt;=$J504)),'Match Log'!$N$4:$N$1510),NA()))</f>
        <v>#N/A</v>
      </c>
      <c r="S504" t="e">
        <f>IF($J504&gt;MAX('Match Log'!$A$4:$A$1510),NA(),IFERROR(LOOKUP(2,1/(('Match Log'!$D$4:$D$1510=$S$24)*('Match Log'!$A$4:$A$1510&lt;=$J504)),'Match Log'!$N$4:$N$1510),NA()))</f>
        <v>#N/A</v>
      </c>
      <c r="T504" t="e">
        <f>IF($J504&gt;MAX('Match Log'!$A$4:$A$1510),NA(),IFERROR(LOOKUP(2,1/(('Match Log'!$D$4:$D$1510=$T$24)*('Match Log'!$A$4:$A$1510&lt;=$J504)),'Match Log'!$N$4:$N$1510),NA()))</f>
        <v>#N/A</v>
      </c>
      <c r="U504" t="e">
        <f>IF($J504&gt;MAX('Match Log'!$A$4:$A$1510),NA(),IFERROR(LOOKUP(2,1/(('Match Log'!$D$4:$D$1510=$U$24)*('Match Log'!$A$4:$A$1510&lt;=$J504)),'Match Log'!$N$4:$N$1510),NA()))</f>
        <v>#N/A</v>
      </c>
      <c r="V504" t="e">
        <f>IF($J504&gt;MAX('Match Log'!$A$4:$A$1510),NA(),IFERROR(LOOKUP(2,1/(('Match Log'!$D$4:$D$1510=$V$24)*('Match Log'!$A$4:$A$1510&lt;=$J504)),'Match Log'!$N$4:$N$1510),NA()))</f>
        <v>#N/A</v>
      </c>
      <c r="W504" t="e">
        <f>IF($J504&gt;MAX('Match Log'!$A$4:$A$1510),NA(),IFERROR(LOOKUP(2,1/(('Match Log'!$D$4:$D$1510=$W$24)*('Match Log'!$A$4:$A$1510&lt;=$J504)),'Match Log'!$N$4:$N$1510),NA()))</f>
        <v>#N/A</v>
      </c>
      <c r="X504" t="e">
        <f>IF($J504&gt;MAX('Match Log'!$A$4:$A$1510),NA(),IFERROR(LOOKUP(2,1/(('Match Log'!$D$4:$D$1510=$X$24)*('Match Log'!$A$4:$A$1510&lt;=$J504)),'Match Log'!$N$4:$N$1510),NA()))</f>
        <v>#N/A</v>
      </c>
      <c r="Y504" t="str">
        <f t="shared" ca="1" si="37"/>
        <v/>
      </c>
    </row>
    <row r="505" spans="1:25" x14ac:dyDescent="0.2">
      <c r="A505">
        <v>481</v>
      </c>
      <c r="B505" t="str">
        <f>IFERROR(INDEX('Match Log'!$B$4:$B$1510,MATCH($A505,'Match Log'!$A$4:$A$1510,0)),"")</f>
        <v/>
      </c>
      <c r="C505" t="str">
        <f>IFERROR(INDEX('Match Log'!$C$4:$C$1510,MATCH($A505,'Match Log'!$A$4:$A$1510,0)),"")</f>
        <v/>
      </c>
      <c r="D505" t="str">
        <f t="array" ref="D505">IFERROR(_xlfn.TEXTJOIN(" + ",TRUE(),IF(('Match Log'!$A$4:$A$1510=$A505)*('Match Log'!$E$4:$E$1510="Win"),'Match Log'!$D$4:$D$1510,"")),IFERROR(LOOKUP(2,1/(('Match Log'!$A$4:$A$1510=$A505)*('Match Log'!$E$4:$E$1510="Win")),'Match Log'!$D$4:$D$1510),""))</f>
        <v/>
      </c>
      <c r="E505" t="str">
        <f>IFERROR(INDEX('Match Log'!$F$4:$F$1510,MATCH($A505,'Match Log'!$A$4:$A$1510,0)),"")</f>
        <v/>
      </c>
      <c r="F505">
        <f>IFERROR(SUMIFS('Match Log'!$I$4:$I$1510,'Match Log'!$A$4:$A$1510,$A505,'Match Log'!$E$4:$E$1510,"Win"),"")</f>
        <v>0</v>
      </c>
      <c r="G505" t="str">
        <f t="shared" si="35"/>
        <v/>
      </c>
      <c r="H505" t="str">
        <f t="array" ref="H505">IFERROR(IF(COUNTIFS('Match Log'!$A$4:$A$1510,$A505,'Match Log'!$E$4:$E$1510,"Win")&gt;1,_xlfn.TEXTJOIN(" + ",TRUE(),IF(('Match Log'!$A$4:$A$1510=$A505)*('Match Log'!$E$4:$E$1510="Loss"),'Match Log'!$D$4:$D$1510,"")),IF($E505=2,LOOKUP(2,1/(('Match Log'!$A$4:$A$1510=$A505)*('Match Log'!$E$4:$E$1510="Loss")),'Match Log'!$D$4:$D$1510),"the field")),"")</f>
        <v>the field</v>
      </c>
      <c r="I505" t="str">
        <f t="shared" si="36"/>
        <v/>
      </c>
      <c r="J505">
        <v>481</v>
      </c>
      <c r="K505" t="e">
        <f>IF($J505&gt;MAX('Match Log'!$A$4:$A$1510),NA(),IFERROR(LOOKUP(2,1/(('Match Log'!$D$4:$D$1510=$K$24)*('Match Log'!$A$4:$A$1510&lt;=$J505)),'Match Log'!$N$4:$N$1510),NA()))</f>
        <v>#N/A</v>
      </c>
      <c r="L505" t="e">
        <f>IF($J505&gt;MAX('Match Log'!$A$4:$A$1510),NA(),IFERROR(LOOKUP(2,1/(('Match Log'!$D$4:$D$1510=$L$24)*('Match Log'!$A$4:$A$1510&lt;=$J505)),'Match Log'!$N$4:$N$1510),NA()))</f>
        <v>#N/A</v>
      </c>
      <c r="M505" t="e">
        <f>IF($J505&gt;MAX('Match Log'!$A$4:$A$1510),NA(),IFERROR(LOOKUP(2,1/(('Match Log'!$D$4:$D$1510=$M$24)*('Match Log'!$A$4:$A$1510&lt;=$J505)),'Match Log'!$N$4:$N$1510),NA()))</f>
        <v>#N/A</v>
      </c>
      <c r="N505" t="e">
        <f>IF($J505&gt;MAX('Match Log'!$A$4:$A$1510),NA(),IFERROR(LOOKUP(2,1/(('Match Log'!$D$4:$D$1510=$N$24)*('Match Log'!$A$4:$A$1510&lt;=$J505)),'Match Log'!$N$4:$N$1510),NA()))</f>
        <v>#N/A</v>
      </c>
      <c r="O505" t="e">
        <f>IF($J505&gt;MAX('Match Log'!$A$4:$A$1510),NA(),IFERROR(LOOKUP(2,1/(('Match Log'!$D$4:$D$1510=$O$24)*('Match Log'!$A$4:$A$1510&lt;=$J505)),'Match Log'!$N$4:$N$1510),NA()))</f>
        <v>#N/A</v>
      </c>
      <c r="P505" t="e">
        <f>IF($J505&gt;MAX('Match Log'!$A$4:$A$1510),NA(),IFERROR(LOOKUP(2,1/(('Match Log'!$D$4:$D$1510=$P$24)*('Match Log'!$A$4:$A$1510&lt;=$J505)),'Match Log'!$N$4:$N$1510),NA()))</f>
        <v>#N/A</v>
      </c>
      <c r="Q505" t="e">
        <f>IF($J505&gt;MAX('Match Log'!$A$4:$A$1510),NA(),IFERROR(LOOKUP(2,1/(('Match Log'!$D$4:$D$1510=$Q$24)*('Match Log'!$A$4:$A$1510&lt;=$J505)),'Match Log'!$N$4:$N$1510),NA()))</f>
        <v>#N/A</v>
      </c>
      <c r="R505" t="e">
        <f>IF($J505&gt;MAX('Match Log'!$A$4:$A$1510),NA(),IFERROR(LOOKUP(2,1/(('Match Log'!$D$4:$D$1510=$R$24)*('Match Log'!$A$4:$A$1510&lt;=$J505)),'Match Log'!$N$4:$N$1510),NA()))</f>
        <v>#N/A</v>
      </c>
      <c r="S505" t="e">
        <f>IF($J505&gt;MAX('Match Log'!$A$4:$A$1510),NA(),IFERROR(LOOKUP(2,1/(('Match Log'!$D$4:$D$1510=$S$24)*('Match Log'!$A$4:$A$1510&lt;=$J505)),'Match Log'!$N$4:$N$1510),NA()))</f>
        <v>#N/A</v>
      </c>
      <c r="T505" t="e">
        <f>IF($J505&gt;MAX('Match Log'!$A$4:$A$1510),NA(),IFERROR(LOOKUP(2,1/(('Match Log'!$D$4:$D$1510=$T$24)*('Match Log'!$A$4:$A$1510&lt;=$J505)),'Match Log'!$N$4:$N$1510),NA()))</f>
        <v>#N/A</v>
      </c>
      <c r="U505" t="e">
        <f>IF($J505&gt;MAX('Match Log'!$A$4:$A$1510),NA(),IFERROR(LOOKUP(2,1/(('Match Log'!$D$4:$D$1510=$U$24)*('Match Log'!$A$4:$A$1510&lt;=$J505)),'Match Log'!$N$4:$N$1510),NA()))</f>
        <v>#N/A</v>
      </c>
      <c r="V505" t="e">
        <f>IF($J505&gt;MAX('Match Log'!$A$4:$A$1510),NA(),IFERROR(LOOKUP(2,1/(('Match Log'!$D$4:$D$1510=$V$24)*('Match Log'!$A$4:$A$1510&lt;=$J505)),'Match Log'!$N$4:$N$1510),NA()))</f>
        <v>#N/A</v>
      </c>
      <c r="W505" t="e">
        <f>IF($J505&gt;MAX('Match Log'!$A$4:$A$1510),NA(),IFERROR(LOOKUP(2,1/(('Match Log'!$D$4:$D$1510=$W$24)*('Match Log'!$A$4:$A$1510&lt;=$J505)),'Match Log'!$N$4:$N$1510),NA()))</f>
        <v>#N/A</v>
      </c>
      <c r="X505" t="e">
        <f>IF($J505&gt;MAX('Match Log'!$A$4:$A$1510),NA(),IFERROR(LOOKUP(2,1/(('Match Log'!$D$4:$D$1510=$X$24)*('Match Log'!$A$4:$A$1510&lt;=$J505)),'Match Log'!$N$4:$N$1510),NA()))</f>
        <v>#N/A</v>
      </c>
      <c r="Y505" t="str">
        <f t="shared" ca="1" si="37"/>
        <v/>
      </c>
    </row>
    <row r="506" spans="1:25" x14ac:dyDescent="0.2">
      <c r="A506">
        <v>482</v>
      </c>
      <c r="B506" t="str">
        <f>IFERROR(INDEX('Match Log'!$B$4:$B$1510,MATCH($A506,'Match Log'!$A$4:$A$1510,0)),"")</f>
        <v/>
      </c>
      <c r="C506" t="str">
        <f>IFERROR(INDEX('Match Log'!$C$4:$C$1510,MATCH($A506,'Match Log'!$A$4:$A$1510,0)),"")</f>
        <v/>
      </c>
      <c r="D506" t="str">
        <f t="array" ref="D506">IFERROR(_xlfn.TEXTJOIN(" + ",TRUE(),IF(('Match Log'!$A$4:$A$1510=$A506)*('Match Log'!$E$4:$E$1510="Win"),'Match Log'!$D$4:$D$1510,"")),IFERROR(LOOKUP(2,1/(('Match Log'!$A$4:$A$1510=$A506)*('Match Log'!$E$4:$E$1510="Win")),'Match Log'!$D$4:$D$1510),""))</f>
        <v/>
      </c>
      <c r="E506" t="str">
        <f>IFERROR(INDEX('Match Log'!$F$4:$F$1510,MATCH($A506,'Match Log'!$A$4:$A$1510,0)),"")</f>
        <v/>
      </c>
      <c r="F506">
        <f>IFERROR(SUMIFS('Match Log'!$I$4:$I$1510,'Match Log'!$A$4:$A$1510,$A506,'Match Log'!$E$4:$E$1510,"Win"),"")</f>
        <v>0</v>
      </c>
      <c r="G506" t="str">
        <f t="shared" si="35"/>
        <v/>
      </c>
      <c r="H506" t="str">
        <f t="array" ref="H506">IFERROR(IF(COUNTIFS('Match Log'!$A$4:$A$1510,$A506,'Match Log'!$E$4:$E$1510,"Win")&gt;1,_xlfn.TEXTJOIN(" + ",TRUE(),IF(('Match Log'!$A$4:$A$1510=$A506)*('Match Log'!$E$4:$E$1510="Loss"),'Match Log'!$D$4:$D$1510,"")),IF($E506=2,LOOKUP(2,1/(('Match Log'!$A$4:$A$1510=$A506)*('Match Log'!$E$4:$E$1510="Loss")),'Match Log'!$D$4:$D$1510),"the field")),"")</f>
        <v>the field</v>
      </c>
      <c r="I506" t="str">
        <f t="shared" si="36"/>
        <v/>
      </c>
      <c r="J506">
        <v>482</v>
      </c>
      <c r="K506" t="e">
        <f>IF($J506&gt;MAX('Match Log'!$A$4:$A$1510),NA(),IFERROR(LOOKUP(2,1/(('Match Log'!$D$4:$D$1510=$K$24)*('Match Log'!$A$4:$A$1510&lt;=$J506)),'Match Log'!$N$4:$N$1510),NA()))</f>
        <v>#N/A</v>
      </c>
      <c r="L506" t="e">
        <f>IF($J506&gt;MAX('Match Log'!$A$4:$A$1510),NA(),IFERROR(LOOKUP(2,1/(('Match Log'!$D$4:$D$1510=$L$24)*('Match Log'!$A$4:$A$1510&lt;=$J506)),'Match Log'!$N$4:$N$1510),NA()))</f>
        <v>#N/A</v>
      </c>
      <c r="M506" t="e">
        <f>IF($J506&gt;MAX('Match Log'!$A$4:$A$1510),NA(),IFERROR(LOOKUP(2,1/(('Match Log'!$D$4:$D$1510=$M$24)*('Match Log'!$A$4:$A$1510&lt;=$J506)),'Match Log'!$N$4:$N$1510),NA()))</f>
        <v>#N/A</v>
      </c>
      <c r="N506" t="e">
        <f>IF($J506&gt;MAX('Match Log'!$A$4:$A$1510),NA(),IFERROR(LOOKUP(2,1/(('Match Log'!$D$4:$D$1510=$N$24)*('Match Log'!$A$4:$A$1510&lt;=$J506)),'Match Log'!$N$4:$N$1510),NA()))</f>
        <v>#N/A</v>
      </c>
      <c r="O506" t="e">
        <f>IF($J506&gt;MAX('Match Log'!$A$4:$A$1510),NA(),IFERROR(LOOKUP(2,1/(('Match Log'!$D$4:$D$1510=$O$24)*('Match Log'!$A$4:$A$1510&lt;=$J506)),'Match Log'!$N$4:$N$1510),NA()))</f>
        <v>#N/A</v>
      </c>
      <c r="P506" t="e">
        <f>IF($J506&gt;MAX('Match Log'!$A$4:$A$1510),NA(),IFERROR(LOOKUP(2,1/(('Match Log'!$D$4:$D$1510=$P$24)*('Match Log'!$A$4:$A$1510&lt;=$J506)),'Match Log'!$N$4:$N$1510),NA()))</f>
        <v>#N/A</v>
      </c>
      <c r="Q506" t="e">
        <f>IF($J506&gt;MAX('Match Log'!$A$4:$A$1510),NA(),IFERROR(LOOKUP(2,1/(('Match Log'!$D$4:$D$1510=$Q$24)*('Match Log'!$A$4:$A$1510&lt;=$J506)),'Match Log'!$N$4:$N$1510),NA()))</f>
        <v>#N/A</v>
      </c>
      <c r="R506" t="e">
        <f>IF($J506&gt;MAX('Match Log'!$A$4:$A$1510),NA(),IFERROR(LOOKUP(2,1/(('Match Log'!$D$4:$D$1510=$R$24)*('Match Log'!$A$4:$A$1510&lt;=$J506)),'Match Log'!$N$4:$N$1510),NA()))</f>
        <v>#N/A</v>
      </c>
      <c r="S506" t="e">
        <f>IF($J506&gt;MAX('Match Log'!$A$4:$A$1510),NA(),IFERROR(LOOKUP(2,1/(('Match Log'!$D$4:$D$1510=$S$24)*('Match Log'!$A$4:$A$1510&lt;=$J506)),'Match Log'!$N$4:$N$1510),NA()))</f>
        <v>#N/A</v>
      </c>
      <c r="T506" t="e">
        <f>IF($J506&gt;MAX('Match Log'!$A$4:$A$1510),NA(),IFERROR(LOOKUP(2,1/(('Match Log'!$D$4:$D$1510=$T$24)*('Match Log'!$A$4:$A$1510&lt;=$J506)),'Match Log'!$N$4:$N$1510),NA()))</f>
        <v>#N/A</v>
      </c>
      <c r="U506" t="e">
        <f>IF($J506&gt;MAX('Match Log'!$A$4:$A$1510),NA(),IFERROR(LOOKUP(2,1/(('Match Log'!$D$4:$D$1510=$U$24)*('Match Log'!$A$4:$A$1510&lt;=$J506)),'Match Log'!$N$4:$N$1510),NA()))</f>
        <v>#N/A</v>
      </c>
      <c r="V506" t="e">
        <f>IF($J506&gt;MAX('Match Log'!$A$4:$A$1510),NA(),IFERROR(LOOKUP(2,1/(('Match Log'!$D$4:$D$1510=$V$24)*('Match Log'!$A$4:$A$1510&lt;=$J506)),'Match Log'!$N$4:$N$1510),NA()))</f>
        <v>#N/A</v>
      </c>
      <c r="W506" t="e">
        <f>IF($J506&gt;MAX('Match Log'!$A$4:$A$1510),NA(),IFERROR(LOOKUP(2,1/(('Match Log'!$D$4:$D$1510=$W$24)*('Match Log'!$A$4:$A$1510&lt;=$J506)),'Match Log'!$N$4:$N$1510),NA()))</f>
        <v>#N/A</v>
      </c>
      <c r="X506" t="e">
        <f>IF($J506&gt;MAX('Match Log'!$A$4:$A$1510),NA(),IFERROR(LOOKUP(2,1/(('Match Log'!$D$4:$D$1510=$X$24)*('Match Log'!$A$4:$A$1510&lt;=$J506)),'Match Log'!$N$4:$N$1510),NA()))</f>
        <v>#N/A</v>
      </c>
      <c r="Y506" t="str">
        <f t="shared" ca="1" si="37"/>
        <v/>
      </c>
    </row>
    <row r="507" spans="1:25" x14ac:dyDescent="0.2">
      <c r="A507">
        <v>483</v>
      </c>
      <c r="B507" t="str">
        <f>IFERROR(INDEX('Match Log'!$B$4:$B$1510,MATCH($A507,'Match Log'!$A$4:$A$1510,0)),"")</f>
        <v/>
      </c>
      <c r="C507" t="str">
        <f>IFERROR(INDEX('Match Log'!$C$4:$C$1510,MATCH($A507,'Match Log'!$A$4:$A$1510,0)),"")</f>
        <v/>
      </c>
      <c r="D507" t="str">
        <f t="array" ref="D507">IFERROR(_xlfn.TEXTJOIN(" + ",TRUE(),IF(('Match Log'!$A$4:$A$1510=$A507)*('Match Log'!$E$4:$E$1510="Win"),'Match Log'!$D$4:$D$1510,"")),IFERROR(LOOKUP(2,1/(('Match Log'!$A$4:$A$1510=$A507)*('Match Log'!$E$4:$E$1510="Win")),'Match Log'!$D$4:$D$1510),""))</f>
        <v/>
      </c>
      <c r="E507" t="str">
        <f>IFERROR(INDEX('Match Log'!$F$4:$F$1510,MATCH($A507,'Match Log'!$A$4:$A$1510,0)),"")</f>
        <v/>
      </c>
      <c r="F507">
        <f>IFERROR(SUMIFS('Match Log'!$I$4:$I$1510,'Match Log'!$A$4:$A$1510,$A507,'Match Log'!$E$4:$E$1510,"Win"),"")</f>
        <v>0</v>
      </c>
      <c r="G507" t="str">
        <f t="shared" si="35"/>
        <v/>
      </c>
      <c r="H507" t="str">
        <f t="array" ref="H507">IFERROR(IF(COUNTIFS('Match Log'!$A$4:$A$1510,$A507,'Match Log'!$E$4:$E$1510,"Win")&gt;1,_xlfn.TEXTJOIN(" + ",TRUE(),IF(('Match Log'!$A$4:$A$1510=$A507)*('Match Log'!$E$4:$E$1510="Loss"),'Match Log'!$D$4:$D$1510,"")),IF($E507=2,LOOKUP(2,1/(('Match Log'!$A$4:$A$1510=$A507)*('Match Log'!$E$4:$E$1510="Loss")),'Match Log'!$D$4:$D$1510),"the field")),"")</f>
        <v>the field</v>
      </c>
      <c r="I507" t="str">
        <f t="shared" si="36"/>
        <v/>
      </c>
      <c r="J507">
        <v>483</v>
      </c>
      <c r="K507" t="e">
        <f>IF($J507&gt;MAX('Match Log'!$A$4:$A$1510),NA(),IFERROR(LOOKUP(2,1/(('Match Log'!$D$4:$D$1510=$K$24)*('Match Log'!$A$4:$A$1510&lt;=$J507)),'Match Log'!$N$4:$N$1510),NA()))</f>
        <v>#N/A</v>
      </c>
      <c r="L507" t="e">
        <f>IF($J507&gt;MAX('Match Log'!$A$4:$A$1510),NA(),IFERROR(LOOKUP(2,1/(('Match Log'!$D$4:$D$1510=$L$24)*('Match Log'!$A$4:$A$1510&lt;=$J507)),'Match Log'!$N$4:$N$1510),NA()))</f>
        <v>#N/A</v>
      </c>
      <c r="M507" t="e">
        <f>IF($J507&gt;MAX('Match Log'!$A$4:$A$1510),NA(),IFERROR(LOOKUP(2,1/(('Match Log'!$D$4:$D$1510=$M$24)*('Match Log'!$A$4:$A$1510&lt;=$J507)),'Match Log'!$N$4:$N$1510),NA()))</f>
        <v>#N/A</v>
      </c>
      <c r="N507" t="e">
        <f>IF($J507&gt;MAX('Match Log'!$A$4:$A$1510),NA(),IFERROR(LOOKUP(2,1/(('Match Log'!$D$4:$D$1510=$N$24)*('Match Log'!$A$4:$A$1510&lt;=$J507)),'Match Log'!$N$4:$N$1510),NA()))</f>
        <v>#N/A</v>
      </c>
      <c r="O507" t="e">
        <f>IF($J507&gt;MAX('Match Log'!$A$4:$A$1510),NA(),IFERROR(LOOKUP(2,1/(('Match Log'!$D$4:$D$1510=$O$24)*('Match Log'!$A$4:$A$1510&lt;=$J507)),'Match Log'!$N$4:$N$1510),NA()))</f>
        <v>#N/A</v>
      </c>
      <c r="P507" t="e">
        <f>IF($J507&gt;MAX('Match Log'!$A$4:$A$1510),NA(),IFERROR(LOOKUP(2,1/(('Match Log'!$D$4:$D$1510=$P$24)*('Match Log'!$A$4:$A$1510&lt;=$J507)),'Match Log'!$N$4:$N$1510),NA()))</f>
        <v>#N/A</v>
      </c>
      <c r="Q507" t="e">
        <f>IF($J507&gt;MAX('Match Log'!$A$4:$A$1510),NA(),IFERROR(LOOKUP(2,1/(('Match Log'!$D$4:$D$1510=$Q$24)*('Match Log'!$A$4:$A$1510&lt;=$J507)),'Match Log'!$N$4:$N$1510),NA()))</f>
        <v>#N/A</v>
      </c>
      <c r="R507" t="e">
        <f>IF($J507&gt;MAX('Match Log'!$A$4:$A$1510),NA(),IFERROR(LOOKUP(2,1/(('Match Log'!$D$4:$D$1510=$R$24)*('Match Log'!$A$4:$A$1510&lt;=$J507)),'Match Log'!$N$4:$N$1510),NA()))</f>
        <v>#N/A</v>
      </c>
      <c r="S507" t="e">
        <f>IF($J507&gt;MAX('Match Log'!$A$4:$A$1510),NA(),IFERROR(LOOKUP(2,1/(('Match Log'!$D$4:$D$1510=$S$24)*('Match Log'!$A$4:$A$1510&lt;=$J507)),'Match Log'!$N$4:$N$1510),NA()))</f>
        <v>#N/A</v>
      </c>
      <c r="T507" t="e">
        <f>IF($J507&gt;MAX('Match Log'!$A$4:$A$1510),NA(),IFERROR(LOOKUP(2,1/(('Match Log'!$D$4:$D$1510=$T$24)*('Match Log'!$A$4:$A$1510&lt;=$J507)),'Match Log'!$N$4:$N$1510),NA()))</f>
        <v>#N/A</v>
      </c>
      <c r="U507" t="e">
        <f>IF($J507&gt;MAX('Match Log'!$A$4:$A$1510),NA(),IFERROR(LOOKUP(2,1/(('Match Log'!$D$4:$D$1510=$U$24)*('Match Log'!$A$4:$A$1510&lt;=$J507)),'Match Log'!$N$4:$N$1510),NA()))</f>
        <v>#N/A</v>
      </c>
      <c r="V507" t="e">
        <f>IF($J507&gt;MAX('Match Log'!$A$4:$A$1510),NA(),IFERROR(LOOKUP(2,1/(('Match Log'!$D$4:$D$1510=$V$24)*('Match Log'!$A$4:$A$1510&lt;=$J507)),'Match Log'!$N$4:$N$1510),NA()))</f>
        <v>#N/A</v>
      </c>
      <c r="W507" t="e">
        <f>IF($J507&gt;MAX('Match Log'!$A$4:$A$1510),NA(),IFERROR(LOOKUP(2,1/(('Match Log'!$D$4:$D$1510=$W$24)*('Match Log'!$A$4:$A$1510&lt;=$J507)),'Match Log'!$N$4:$N$1510),NA()))</f>
        <v>#N/A</v>
      </c>
      <c r="X507" t="e">
        <f>IF($J507&gt;MAX('Match Log'!$A$4:$A$1510),NA(),IFERROR(LOOKUP(2,1/(('Match Log'!$D$4:$D$1510=$X$24)*('Match Log'!$A$4:$A$1510&lt;=$J507)),'Match Log'!$N$4:$N$1510),NA()))</f>
        <v>#N/A</v>
      </c>
      <c r="Y507" t="str">
        <f t="shared" ca="1" si="37"/>
        <v/>
      </c>
    </row>
    <row r="508" spans="1:25" x14ac:dyDescent="0.2">
      <c r="A508">
        <v>484</v>
      </c>
      <c r="B508" t="str">
        <f>IFERROR(INDEX('Match Log'!$B$4:$B$1510,MATCH($A508,'Match Log'!$A$4:$A$1510,0)),"")</f>
        <v/>
      </c>
      <c r="C508" t="str">
        <f>IFERROR(INDEX('Match Log'!$C$4:$C$1510,MATCH($A508,'Match Log'!$A$4:$A$1510,0)),"")</f>
        <v/>
      </c>
      <c r="D508" t="str">
        <f t="array" ref="D508">IFERROR(_xlfn.TEXTJOIN(" + ",TRUE(),IF(('Match Log'!$A$4:$A$1510=$A508)*('Match Log'!$E$4:$E$1510="Win"),'Match Log'!$D$4:$D$1510,"")),IFERROR(LOOKUP(2,1/(('Match Log'!$A$4:$A$1510=$A508)*('Match Log'!$E$4:$E$1510="Win")),'Match Log'!$D$4:$D$1510),""))</f>
        <v/>
      </c>
      <c r="E508" t="str">
        <f>IFERROR(INDEX('Match Log'!$F$4:$F$1510,MATCH($A508,'Match Log'!$A$4:$A$1510,0)),"")</f>
        <v/>
      </c>
      <c r="F508">
        <f>IFERROR(SUMIFS('Match Log'!$I$4:$I$1510,'Match Log'!$A$4:$A$1510,$A508,'Match Log'!$E$4:$E$1510,"Win"),"")</f>
        <v>0</v>
      </c>
      <c r="G508" t="str">
        <f t="shared" si="35"/>
        <v/>
      </c>
      <c r="H508" t="str">
        <f t="array" ref="H508">IFERROR(IF(COUNTIFS('Match Log'!$A$4:$A$1510,$A508,'Match Log'!$E$4:$E$1510,"Win")&gt;1,_xlfn.TEXTJOIN(" + ",TRUE(),IF(('Match Log'!$A$4:$A$1510=$A508)*('Match Log'!$E$4:$E$1510="Loss"),'Match Log'!$D$4:$D$1510,"")),IF($E508=2,LOOKUP(2,1/(('Match Log'!$A$4:$A$1510=$A508)*('Match Log'!$E$4:$E$1510="Loss")),'Match Log'!$D$4:$D$1510),"the field")),"")</f>
        <v>the field</v>
      </c>
      <c r="I508" t="str">
        <f t="shared" si="36"/>
        <v/>
      </c>
      <c r="J508">
        <v>484</v>
      </c>
      <c r="K508" t="e">
        <f>IF($J508&gt;MAX('Match Log'!$A$4:$A$1510),NA(),IFERROR(LOOKUP(2,1/(('Match Log'!$D$4:$D$1510=$K$24)*('Match Log'!$A$4:$A$1510&lt;=$J508)),'Match Log'!$N$4:$N$1510),NA()))</f>
        <v>#N/A</v>
      </c>
      <c r="L508" t="e">
        <f>IF($J508&gt;MAX('Match Log'!$A$4:$A$1510),NA(),IFERROR(LOOKUP(2,1/(('Match Log'!$D$4:$D$1510=$L$24)*('Match Log'!$A$4:$A$1510&lt;=$J508)),'Match Log'!$N$4:$N$1510),NA()))</f>
        <v>#N/A</v>
      </c>
      <c r="M508" t="e">
        <f>IF($J508&gt;MAX('Match Log'!$A$4:$A$1510),NA(),IFERROR(LOOKUP(2,1/(('Match Log'!$D$4:$D$1510=$M$24)*('Match Log'!$A$4:$A$1510&lt;=$J508)),'Match Log'!$N$4:$N$1510),NA()))</f>
        <v>#N/A</v>
      </c>
      <c r="N508" t="e">
        <f>IF($J508&gt;MAX('Match Log'!$A$4:$A$1510),NA(),IFERROR(LOOKUP(2,1/(('Match Log'!$D$4:$D$1510=$N$24)*('Match Log'!$A$4:$A$1510&lt;=$J508)),'Match Log'!$N$4:$N$1510),NA()))</f>
        <v>#N/A</v>
      </c>
      <c r="O508" t="e">
        <f>IF($J508&gt;MAX('Match Log'!$A$4:$A$1510),NA(),IFERROR(LOOKUP(2,1/(('Match Log'!$D$4:$D$1510=$O$24)*('Match Log'!$A$4:$A$1510&lt;=$J508)),'Match Log'!$N$4:$N$1510),NA()))</f>
        <v>#N/A</v>
      </c>
      <c r="P508" t="e">
        <f>IF($J508&gt;MAX('Match Log'!$A$4:$A$1510),NA(),IFERROR(LOOKUP(2,1/(('Match Log'!$D$4:$D$1510=$P$24)*('Match Log'!$A$4:$A$1510&lt;=$J508)),'Match Log'!$N$4:$N$1510),NA()))</f>
        <v>#N/A</v>
      </c>
      <c r="Q508" t="e">
        <f>IF($J508&gt;MAX('Match Log'!$A$4:$A$1510),NA(),IFERROR(LOOKUP(2,1/(('Match Log'!$D$4:$D$1510=$Q$24)*('Match Log'!$A$4:$A$1510&lt;=$J508)),'Match Log'!$N$4:$N$1510),NA()))</f>
        <v>#N/A</v>
      </c>
      <c r="R508" t="e">
        <f>IF($J508&gt;MAX('Match Log'!$A$4:$A$1510),NA(),IFERROR(LOOKUP(2,1/(('Match Log'!$D$4:$D$1510=$R$24)*('Match Log'!$A$4:$A$1510&lt;=$J508)),'Match Log'!$N$4:$N$1510),NA()))</f>
        <v>#N/A</v>
      </c>
      <c r="S508" t="e">
        <f>IF($J508&gt;MAX('Match Log'!$A$4:$A$1510),NA(),IFERROR(LOOKUP(2,1/(('Match Log'!$D$4:$D$1510=$S$24)*('Match Log'!$A$4:$A$1510&lt;=$J508)),'Match Log'!$N$4:$N$1510),NA()))</f>
        <v>#N/A</v>
      </c>
      <c r="T508" t="e">
        <f>IF($J508&gt;MAX('Match Log'!$A$4:$A$1510),NA(),IFERROR(LOOKUP(2,1/(('Match Log'!$D$4:$D$1510=$T$24)*('Match Log'!$A$4:$A$1510&lt;=$J508)),'Match Log'!$N$4:$N$1510),NA()))</f>
        <v>#N/A</v>
      </c>
      <c r="U508" t="e">
        <f>IF($J508&gt;MAX('Match Log'!$A$4:$A$1510),NA(),IFERROR(LOOKUP(2,1/(('Match Log'!$D$4:$D$1510=$U$24)*('Match Log'!$A$4:$A$1510&lt;=$J508)),'Match Log'!$N$4:$N$1510),NA()))</f>
        <v>#N/A</v>
      </c>
      <c r="V508" t="e">
        <f>IF($J508&gt;MAX('Match Log'!$A$4:$A$1510),NA(),IFERROR(LOOKUP(2,1/(('Match Log'!$D$4:$D$1510=$V$24)*('Match Log'!$A$4:$A$1510&lt;=$J508)),'Match Log'!$N$4:$N$1510),NA()))</f>
        <v>#N/A</v>
      </c>
      <c r="W508" t="e">
        <f>IF($J508&gt;MAX('Match Log'!$A$4:$A$1510),NA(),IFERROR(LOOKUP(2,1/(('Match Log'!$D$4:$D$1510=$W$24)*('Match Log'!$A$4:$A$1510&lt;=$J508)),'Match Log'!$N$4:$N$1510),NA()))</f>
        <v>#N/A</v>
      </c>
      <c r="X508" t="e">
        <f>IF($J508&gt;MAX('Match Log'!$A$4:$A$1510),NA(),IFERROR(LOOKUP(2,1/(('Match Log'!$D$4:$D$1510=$X$24)*('Match Log'!$A$4:$A$1510&lt;=$J508)),'Match Log'!$N$4:$N$1510),NA()))</f>
        <v>#N/A</v>
      </c>
      <c r="Y508" t="str">
        <f t="shared" ca="1" si="37"/>
        <v/>
      </c>
    </row>
    <row r="509" spans="1:25" x14ac:dyDescent="0.2">
      <c r="A509">
        <v>485</v>
      </c>
      <c r="B509" t="str">
        <f>IFERROR(INDEX('Match Log'!$B$4:$B$1510,MATCH($A509,'Match Log'!$A$4:$A$1510,0)),"")</f>
        <v/>
      </c>
      <c r="C509" t="str">
        <f>IFERROR(INDEX('Match Log'!$C$4:$C$1510,MATCH($A509,'Match Log'!$A$4:$A$1510,0)),"")</f>
        <v/>
      </c>
      <c r="D509" t="str">
        <f t="array" ref="D509">IFERROR(_xlfn.TEXTJOIN(" + ",TRUE(),IF(('Match Log'!$A$4:$A$1510=$A509)*('Match Log'!$E$4:$E$1510="Win"),'Match Log'!$D$4:$D$1510,"")),IFERROR(LOOKUP(2,1/(('Match Log'!$A$4:$A$1510=$A509)*('Match Log'!$E$4:$E$1510="Win")),'Match Log'!$D$4:$D$1510),""))</f>
        <v/>
      </c>
      <c r="E509" t="str">
        <f>IFERROR(INDEX('Match Log'!$F$4:$F$1510,MATCH($A509,'Match Log'!$A$4:$A$1510,0)),"")</f>
        <v/>
      </c>
      <c r="F509">
        <f>IFERROR(SUMIFS('Match Log'!$I$4:$I$1510,'Match Log'!$A$4:$A$1510,$A509,'Match Log'!$E$4:$E$1510,"Win"),"")</f>
        <v>0</v>
      </c>
      <c r="G509" t="str">
        <f t="shared" si="35"/>
        <v/>
      </c>
      <c r="H509" t="str">
        <f t="array" ref="H509">IFERROR(IF(COUNTIFS('Match Log'!$A$4:$A$1510,$A509,'Match Log'!$E$4:$E$1510,"Win")&gt;1,_xlfn.TEXTJOIN(" + ",TRUE(),IF(('Match Log'!$A$4:$A$1510=$A509)*('Match Log'!$E$4:$E$1510="Loss"),'Match Log'!$D$4:$D$1510,"")),IF($E509=2,LOOKUP(2,1/(('Match Log'!$A$4:$A$1510=$A509)*('Match Log'!$E$4:$E$1510="Loss")),'Match Log'!$D$4:$D$1510),"the field")),"")</f>
        <v>the field</v>
      </c>
      <c r="I509" t="str">
        <f t="shared" si="36"/>
        <v/>
      </c>
      <c r="J509">
        <v>485</v>
      </c>
      <c r="K509" t="e">
        <f>IF($J509&gt;MAX('Match Log'!$A$4:$A$1510),NA(),IFERROR(LOOKUP(2,1/(('Match Log'!$D$4:$D$1510=$K$24)*('Match Log'!$A$4:$A$1510&lt;=$J509)),'Match Log'!$N$4:$N$1510),NA()))</f>
        <v>#N/A</v>
      </c>
      <c r="L509" t="e">
        <f>IF($J509&gt;MAX('Match Log'!$A$4:$A$1510),NA(),IFERROR(LOOKUP(2,1/(('Match Log'!$D$4:$D$1510=$L$24)*('Match Log'!$A$4:$A$1510&lt;=$J509)),'Match Log'!$N$4:$N$1510),NA()))</f>
        <v>#N/A</v>
      </c>
      <c r="M509" t="e">
        <f>IF($J509&gt;MAX('Match Log'!$A$4:$A$1510),NA(),IFERROR(LOOKUP(2,1/(('Match Log'!$D$4:$D$1510=$M$24)*('Match Log'!$A$4:$A$1510&lt;=$J509)),'Match Log'!$N$4:$N$1510),NA()))</f>
        <v>#N/A</v>
      </c>
      <c r="N509" t="e">
        <f>IF($J509&gt;MAX('Match Log'!$A$4:$A$1510),NA(),IFERROR(LOOKUP(2,1/(('Match Log'!$D$4:$D$1510=$N$24)*('Match Log'!$A$4:$A$1510&lt;=$J509)),'Match Log'!$N$4:$N$1510),NA()))</f>
        <v>#N/A</v>
      </c>
      <c r="O509" t="e">
        <f>IF($J509&gt;MAX('Match Log'!$A$4:$A$1510),NA(),IFERROR(LOOKUP(2,1/(('Match Log'!$D$4:$D$1510=$O$24)*('Match Log'!$A$4:$A$1510&lt;=$J509)),'Match Log'!$N$4:$N$1510),NA()))</f>
        <v>#N/A</v>
      </c>
      <c r="P509" t="e">
        <f>IF($J509&gt;MAX('Match Log'!$A$4:$A$1510),NA(),IFERROR(LOOKUP(2,1/(('Match Log'!$D$4:$D$1510=$P$24)*('Match Log'!$A$4:$A$1510&lt;=$J509)),'Match Log'!$N$4:$N$1510),NA()))</f>
        <v>#N/A</v>
      </c>
      <c r="Q509" t="e">
        <f>IF($J509&gt;MAX('Match Log'!$A$4:$A$1510),NA(),IFERROR(LOOKUP(2,1/(('Match Log'!$D$4:$D$1510=$Q$24)*('Match Log'!$A$4:$A$1510&lt;=$J509)),'Match Log'!$N$4:$N$1510),NA()))</f>
        <v>#N/A</v>
      </c>
      <c r="R509" t="e">
        <f>IF($J509&gt;MAX('Match Log'!$A$4:$A$1510),NA(),IFERROR(LOOKUP(2,1/(('Match Log'!$D$4:$D$1510=$R$24)*('Match Log'!$A$4:$A$1510&lt;=$J509)),'Match Log'!$N$4:$N$1510),NA()))</f>
        <v>#N/A</v>
      </c>
      <c r="S509" t="e">
        <f>IF($J509&gt;MAX('Match Log'!$A$4:$A$1510),NA(),IFERROR(LOOKUP(2,1/(('Match Log'!$D$4:$D$1510=$S$24)*('Match Log'!$A$4:$A$1510&lt;=$J509)),'Match Log'!$N$4:$N$1510),NA()))</f>
        <v>#N/A</v>
      </c>
      <c r="T509" t="e">
        <f>IF($J509&gt;MAX('Match Log'!$A$4:$A$1510),NA(),IFERROR(LOOKUP(2,1/(('Match Log'!$D$4:$D$1510=$T$24)*('Match Log'!$A$4:$A$1510&lt;=$J509)),'Match Log'!$N$4:$N$1510),NA()))</f>
        <v>#N/A</v>
      </c>
      <c r="U509" t="e">
        <f>IF($J509&gt;MAX('Match Log'!$A$4:$A$1510),NA(),IFERROR(LOOKUP(2,1/(('Match Log'!$D$4:$D$1510=$U$24)*('Match Log'!$A$4:$A$1510&lt;=$J509)),'Match Log'!$N$4:$N$1510),NA()))</f>
        <v>#N/A</v>
      </c>
      <c r="V509" t="e">
        <f>IF($J509&gt;MAX('Match Log'!$A$4:$A$1510),NA(),IFERROR(LOOKUP(2,1/(('Match Log'!$D$4:$D$1510=$V$24)*('Match Log'!$A$4:$A$1510&lt;=$J509)),'Match Log'!$N$4:$N$1510),NA()))</f>
        <v>#N/A</v>
      </c>
      <c r="W509" t="e">
        <f>IF($J509&gt;MAX('Match Log'!$A$4:$A$1510),NA(),IFERROR(LOOKUP(2,1/(('Match Log'!$D$4:$D$1510=$W$24)*('Match Log'!$A$4:$A$1510&lt;=$J509)),'Match Log'!$N$4:$N$1510),NA()))</f>
        <v>#N/A</v>
      </c>
      <c r="X509" t="e">
        <f>IF($J509&gt;MAX('Match Log'!$A$4:$A$1510),NA(),IFERROR(LOOKUP(2,1/(('Match Log'!$D$4:$D$1510=$X$24)*('Match Log'!$A$4:$A$1510&lt;=$J509)),'Match Log'!$N$4:$N$1510),NA()))</f>
        <v>#N/A</v>
      </c>
      <c r="Y509" t="str">
        <f t="shared" ca="1" si="37"/>
        <v/>
      </c>
    </row>
    <row r="510" spans="1:25" x14ac:dyDescent="0.2">
      <c r="A510">
        <v>486</v>
      </c>
      <c r="B510" t="str">
        <f>IFERROR(INDEX('Match Log'!$B$4:$B$1510,MATCH($A510,'Match Log'!$A$4:$A$1510,0)),"")</f>
        <v/>
      </c>
      <c r="C510" t="str">
        <f>IFERROR(INDEX('Match Log'!$C$4:$C$1510,MATCH($A510,'Match Log'!$A$4:$A$1510,0)),"")</f>
        <v/>
      </c>
      <c r="D510" t="str">
        <f t="array" ref="D510">IFERROR(_xlfn.TEXTJOIN(" + ",TRUE(),IF(('Match Log'!$A$4:$A$1510=$A510)*('Match Log'!$E$4:$E$1510="Win"),'Match Log'!$D$4:$D$1510,"")),IFERROR(LOOKUP(2,1/(('Match Log'!$A$4:$A$1510=$A510)*('Match Log'!$E$4:$E$1510="Win")),'Match Log'!$D$4:$D$1510),""))</f>
        <v/>
      </c>
      <c r="E510" t="str">
        <f>IFERROR(INDEX('Match Log'!$F$4:$F$1510,MATCH($A510,'Match Log'!$A$4:$A$1510,0)),"")</f>
        <v/>
      </c>
      <c r="F510">
        <f>IFERROR(SUMIFS('Match Log'!$I$4:$I$1510,'Match Log'!$A$4:$A$1510,$A510,'Match Log'!$E$4:$E$1510,"Win"),"")</f>
        <v>0</v>
      </c>
      <c r="G510" t="str">
        <f t="shared" si="35"/>
        <v/>
      </c>
      <c r="H510" t="str">
        <f t="array" ref="H510">IFERROR(IF(COUNTIFS('Match Log'!$A$4:$A$1510,$A510,'Match Log'!$E$4:$E$1510,"Win")&gt;1,_xlfn.TEXTJOIN(" + ",TRUE(),IF(('Match Log'!$A$4:$A$1510=$A510)*('Match Log'!$E$4:$E$1510="Loss"),'Match Log'!$D$4:$D$1510,"")),IF($E510=2,LOOKUP(2,1/(('Match Log'!$A$4:$A$1510=$A510)*('Match Log'!$E$4:$E$1510="Loss")),'Match Log'!$D$4:$D$1510),"the field")),"")</f>
        <v>the field</v>
      </c>
      <c r="I510" t="str">
        <f t="shared" si="36"/>
        <v/>
      </c>
      <c r="J510">
        <v>486</v>
      </c>
      <c r="K510" t="e">
        <f>IF($J510&gt;MAX('Match Log'!$A$4:$A$1510),NA(),IFERROR(LOOKUP(2,1/(('Match Log'!$D$4:$D$1510=$K$24)*('Match Log'!$A$4:$A$1510&lt;=$J510)),'Match Log'!$N$4:$N$1510),NA()))</f>
        <v>#N/A</v>
      </c>
      <c r="L510" t="e">
        <f>IF($J510&gt;MAX('Match Log'!$A$4:$A$1510),NA(),IFERROR(LOOKUP(2,1/(('Match Log'!$D$4:$D$1510=$L$24)*('Match Log'!$A$4:$A$1510&lt;=$J510)),'Match Log'!$N$4:$N$1510),NA()))</f>
        <v>#N/A</v>
      </c>
      <c r="M510" t="e">
        <f>IF($J510&gt;MAX('Match Log'!$A$4:$A$1510),NA(),IFERROR(LOOKUP(2,1/(('Match Log'!$D$4:$D$1510=$M$24)*('Match Log'!$A$4:$A$1510&lt;=$J510)),'Match Log'!$N$4:$N$1510),NA()))</f>
        <v>#N/A</v>
      </c>
      <c r="N510" t="e">
        <f>IF($J510&gt;MAX('Match Log'!$A$4:$A$1510),NA(),IFERROR(LOOKUP(2,1/(('Match Log'!$D$4:$D$1510=$N$24)*('Match Log'!$A$4:$A$1510&lt;=$J510)),'Match Log'!$N$4:$N$1510),NA()))</f>
        <v>#N/A</v>
      </c>
      <c r="O510" t="e">
        <f>IF($J510&gt;MAX('Match Log'!$A$4:$A$1510),NA(),IFERROR(LOOKUP(2,1/(('Match Log'!$D$4:$D$1510=$O$24)*('Match Log'!$A$4:$A$1510&lt;=$J510)),'Match Log'!$N$4:$N$1510),NA()))</f>
        <v>#N/A</v>
      </c>
      <c r="P510" t="e">
        <f>IF($J510&gt;MAX('Match Log'!$A$4:$A$1510),NA(),IFERROR(LOOKUP(2,1/(('Match Log'!$D$4:$D$1510=$P$24)*('Match Log'!$A$4:$A$1510&lt;=$J510)),'Match Log'!$N$4:$N$1510),NA()))</f>
        <v>#N/A</v>
      </c>
      <c r="Q510" t="e">
        <f>IF($J510&gt;MAX('Match Log'!$A$4:$A$1510),NA(),IFERROR(LOOKUP(2,1/(('Match Log'!$D$4:$D$1510=$Q$24)*('Match Log'!$A$4:$A$1510&lt;=$J510)),'Match Log'!$N$4:$N$1510),NA()))</f>
        <v>#N/A</v>
      </c>
      <c r="R510" t="e">
        <f>IF($J510&gt;MAX('Match Log'!$A$4:$A$1510),NA(),IFERROR(LOOKUP(2,1/(('Match Log'!$D$4:$D$1510=$R$24)*('Match Log'!$A$4:$A$1510&lt;=$J510)),'Match Log'!$N$4:$N$1510),NA()))</f>
        <v>#N/A</v>
      </c>
      <c r="S510" t="e">
        <f>IF($J510&gt;MAX('Match Log'!$A$4:$A$1510),NA(),IFERROR(LOOKUP(2,1/(('Match Log'!$D$4:$D$1510=$S$24)*('Match Log'!$A$4:$A$1510&lt;=$J510)),'Match Log'!$N$4:$N$1510),NA()))</f>
        <v>#N/A</v>
      </c>
      <c r="T510" t="e">
        <f>IF($J510&gt;MAX('Match Log'!$A$4:$A$1510),NA(),IFERROR(LOOKUP(2,1/(('Match Log'!$D$4:$D$1510=$T$24)*('Match Log'!$A$4:$A$1510&lt;=$J510)),'Match Log'!$N$4:$N$1510),NA()))</f>
        <v>#N/A</v>
      </c>
      <c r="U510" t="e">
        <f>IF($J510&gt;MAX('Match Log'!$A$4:$A$1510),NA(),IFERROR(LOOKUP(2,1/(('Match Log'!$D$4:$D$1510=$U$24)*('Match Log'!$A$4:$A$1510&lt;=$J510)),'Match Log'!$N$4:$N$1510),NA()))</f>
        <v>#N/A</v>
      </c>
      <c r="V510" t="e">
        <f>IF($J510&gt;MAX('Match Log'!$A$4:$A$1510),NA(),IFERROR(LOOKUP(2,1/(('Match Log'!$D$4:$D$1510=$V$24)*('Match Log'!$A$4:$A$1510&lt;=$J510)),'Match Log'!$N$4:$N$1510),NA()))</f>
        <v>#N/A</v>
      </c>
      <c r="W510" t="e">
        <f>IF($J510&gt;MAX('Match Log'!$A$4:$A$1510),NA(),IFERROR(LOOKUP(2,1/(('Match Log'!$D$4:$D$1510=$W$24)*('Match Log'!$A$4:$A$1510&lt;=$J510)),'Match Log'!$N$4:$N$1510),NA()))</f>
        <v>#N/A</v>
      </c>
      <c r="X510" t="e">
        <f>IF($J510&gt;MAX('Match Log'!$A$4:$A$1510),NA(),IFERROR(LOOKUP(2,1/(('Match Log'!$D$4:$D$1510=$X$24)*('Match Log'!$A$4:$A$1510&lt;=$J510)),'Match Log'!$N$4:$N$1510),NA()))</f>
        <v>#N/A</v>
      </c>
      <c r="Y510" t="str">
        <f t="shared" ca="1" si="37"/>
        <v/>
      </c>
    </row>
    <row r="511" spans="1:25" x14ac:dyDescent="0.2">
      <c r="A511">
        <v>487</v>
      </c>
      <c r="B511" t="str">
        <f>IFERROR(INDEX('Match Log'!$B$4:$B$1510,MATCH($A511,'Match Log'!$A$4:$A$1510,0)),"")</f>
        <v/>
      </c>
      <c r="C511" t="str">
        <f>IFERROR(INDEX('Match Log'!$C$4:$C$1510,MATCH($A511,'Match Log'!$A$4:$A$1510,0)),"")</f>
        <v/>
      </c>
      <c r="D511" t="str">
        <f t="array" ref="D511">IFERROR(_xlfn.TEXTJOIN(" + ",TRUE(),IF(('Match Log'!$A$4:$A$1510=$A511)*('Match Log'!$E$4:$E$1510="Win"),'Match Log'!$D$4:$D$1510,"")),IFERROR(LOOKUP(2,1/(('Match Log'!$A$4:$A$1510=$A511)*('Match Log'!$E$4:$E$1510="Win")),'Match Log'!$D$4:$D$1510),""))</f>
        <v/>
      </c>
      <c r="E511" t="str">
        <f>IFERROR(INDEX('Match Log'!$F$4:$F$1510,MATCH($A511,'Match Log'!$A$4:$A$1510,0)),"")</f>
        <v/>
      </c>
      <c r="F511">
        <f>IFERROR(SUMIFS('Match Log'!$I$4:$I$1510,'Match Log'!$A$4:$A$1510,$A511,'Match Log'!$E$4:$E$1510,"Win"),"")</f>
        <v>0</v>
      </c>
      <c r="G511" t="str">
        <f t="shared" si="35"/>
        <v/>
      </c>
      <c r="H511" t="str">
        <f t="array" ref="H511">IFERROR(IF(COUNTIFS('Match Log'!$A$4:$A$1510,$A511,'Match Log'!$E$4:$E$1510,"Win")&gt;1,_xlfn.TEXTJOIN(" + ",TRUE(),IF(('Match Log'!$A$4:$A$1510=$A511)*('Match Log'!$E$4:$E$1510="Loss"),'Match Log'!$D$4:$D$1510,"")),IF($E511=2,LOOKUP(2,1/(('Match Log'!$A$4:$A$1510=$A511)*('Match Log'!$E$4:$E$1510="Loss")),'Match Log'!$D$4:$D$1510),"the field")),"")</f>
        <v>the field</v>
      </c>
      <c r="I511" t="str">
        <f t="shared" si="36"/>
        <v/>
      </c>
      <c r="J511">
        <v>487</v>
      </c>
      <c r="K511" t="e">
        <f>IF($J511&gt;MAX('Match Log'!$A$4:$A$1510),NA(),IFERROR(LOOKUP(2,1/(('Match Log'!$D$4:$D$1510=$K$24)*('Match Log'!$A$4:$A$1510&lt;=$J511)),'Match Log'!$N$4:$N$1510),NA()))</f>
        <v>#N/A</v>
      </c>
      <c r="L511" t="e">
        <f>IF($J511&gt;MAX('Match Log'!$A$4:$A$1510),NA(),IFERROR(LOOKUP(2,1/(('Match Log'!$D$4:$D$1510=$L$24)*('Match Log'!$A$4:$A$1510&lt;=$J511)),'Match Log'!$N$4:$N$1510),NA()))</f>
        <v>#N/A</v>
      </c>
      <c r="M511" t="e">
        <f>IF($J511&gt;MAX('Match Log'!$A$4:$A$1510),NA(),IFERROR(LOOKUP(2,1/(('Match Log'!$D$4:$D$1510=$M$24)*('Match Log'!$A$4:$A$1510&lt;=$J511)),'Match Log'!$N$4:$N$1510),NA()))</f>
        <v>#N/A</v>
      </c>
      <c r="N511" t="e">
        <f>IF($J511&gt;MAX('Match Log'!$A$4:$A$1510),NA(),IFERROR(LOOKUP(2,1/(('Match Log'!$D$4:$D$1510=$N$24)*('Match Log'!$A$4:$A$1510&lt;=$J511)),'Match Log'!$N$4:$N$1510),NA()))</f>
        <v>#N/A</v>
      </c>
      <c r="O511" t="e">
        <f>IF($J511&gt;MAX('Match Log'!$A$4:$A$1510),NA(),IFERROR(LOOKUP(2,1/(('Match Log'!$D$4:$D$1510=$O$24)*('Match Log'!$A$4:$A$1510&lt;=$J511)),'Match Log'!$N$4:$N$1510),NA()))</f>
        <v>#N/A</v>
      </c>
      <c r="P511" t="e">
        <f>IF($J511&gt;MAX('Match Log'!$A$4:$A$1510),NA(),IFERROR(LOOKUP(2,1/(('Match Log'!$D$4:$D$1510=$P$24)*('Match Log'!$A$4:$A$1510&lt;=$J511)),'Match Log'!$N$4:$N$1510),NA()))</f>
        <v>#N/A</v>
      </c>
      <c r="Q511" t="e">
        <f>IF($J511&gt;MAX('Match Log'!$A$4:$A$1510),NA(),IFERROR(LOOKUP(2,1/(('Match Log'!$D$4:$D$1510=$Q$24)*('Match Log'!$A$4:$A$1510&lt;=$J511)),'Match Log'!$N$4:$N$1510),NA()))</f>
        <v>#N/A</v>
      </c>
      <c r="R511" t="e">
        <f>IF($J511&gt;MAX('Match Log'!$A$4:$A$1510),NA(),IFERROR(LOOKUP(2,1/(('Match Log'!$D$4:$D$1510=$R$24)*('Match Log'!$A$4:$A$1510&lt;=$J511)),'Match Log'!$N$4:$N$1510),NA()))</f>
        <v>#N/A</v>
      </c>
      <c r="S511" t="e">
        <f>IF($J511&gt;MAX('Match Log'!$A$4:$A$1510),NA(),IFERROR(LOOKUP(2,1/(('Match Log'!$D$4:$D$1510=$S$24)*('Match Log'!$A$4:$A$1510&lt;=$J511)),'Match Log'!$N$4:$N$1510),NA()))</f>
        <v>#N/A</v>
      </c>
      <c r="T511" t="e">
        <f>IF($J511&gt;MAX('Match Log'!$A$4:$A$1510),NA(),IFERROR(LOOKUP(2,1/(('Match Log'!$D$4:$D$1510=$T$24)*('Match Log'!$A$4:$A$1510&lt;=$J511)),'Match Log'!$N$4:$N$1510),NA()))</f>
        <v>#N/A</v>
      </c>
      <c r="U511" t="e">
        <f>IF($J511&gt;MAX('Match Log'!$A$4:$A$1510),NA(),IFERROR(LOOKUP(2,1/(('Match Log'!$D$4:$D$1510=$U$24)*('Match Log'!$A$4:$A$1510&lt;=$J511)),'Match Log'!$N$4:$N$1510),NA()))</f>
        <v>#N/A</v>
      </c>
      <c r="V511" t="e">
        <f>IF($J511&gt;MAX('Match Log'!$A$4:$A$1510),NA(),IFERROR(LOOKUP(2,1/(('Match Log'!$D$4:$D$1510=$V$24)*('Match Log'!$A$4:$A$1510&lt;=$J511)),'Match Log'!$N$4:$N$1510),NA()))</f>
        <v>#N/A</v>
      </c>
      <c r="W511" t="e">
        <f>IF($J511&gt;MAX('Match Log'!$A$4:$A$1510),NA(),IFERROR(LOOKUP(2,1/(('Match Log'!$D$4:$D$1510=$W$24)*('Match Log'!$A$4:$A$1510&lt;=$J511)),'Match Log'!$N$4:$N$1510),NA()))</f>
        <v>#N/A</v>
      </c>
      <c r="X511" t="e">
        <f>IF($J511&gt;MAX('Match Log'!$A$4:$A$1510),NA(),IFERROR(LOOKUP(2,1/(('Match Log'!$D$4:$D$1510=$X$24)*('Match Log'!$A$4:$A$1510&lt;=$J511)),'Match Log'!$N$4:$N$1510),NA()))</f>
        <v>#N/A</v>
      </c>
      <c r="Y511" t="str">
        <f t="shared" ca="1" si="37"/>
        <v/>
      </c>
    </row>
    <row r="512" spans="1:25" x14ac:dyDescent="0.2">
      <c r="A512">
        <v>488</v>
      </c>
      <c r="B512" t="str">
        <f>IFERROR(INDEX('Match Log'!$B$4:$B$1510,MATCH($A512,'Match Log'!$A$4:$A$1510,0)),"")</f>
        <v/>
      </c>
      <c r="C512" t="str">
        <f>IFERROR(INDEX('Match Log'!$C$4:$C$1510,MATCH($A512,'Match Log'!$A$4:$A$1510,0)),"")</f>
        <v/>
      </c>
      <c r="D512" t="str">
        <f t="array" ref="D512">IFERROR(_xlfn.TEXTJOIN(" + ",TRUE(),IF(('Match Log'!$A$4:$A$1510=$A512)*('Match Log'!$E$4:$E$1510="Win"),'Match Log'!$D$4:$D$1510,"")),IFERROR(LOOKUP(2,1/(('Match Log'!$A$4:$A$1510=$A512)*('Match Log'!$E$4:$E$1510="Win")),'Match Log'!$D$4:$D$1510),""))</f>
        <v/>
      </c>
      <c r="E512" t="str">
        <f>IFERROR(INDEX('Match Log'!$F$4:$F$1510,MATCH($A512,'Match Log'!$A$4:$A$1510,0)),"")</f>
        <v/>
      </c>
      <c r="F512">
        <f>IFERROR(SUMIFS('Match Log'!$I$4:$I$1510,'Match Log'!$A$4:$A$1510,$A512,'Match Log'!$E$4:$E$1510,"Win"),"")</f>
        <v>0</v>
      </c>
      <c r="G512" t="str">
        <f t="shared" si="35"/>
        <v/>
      </c>
      <c r="H512" t="str">
        <f t="array" ref="H512">IFERROR(IF(COUNTIFS('Match Log'!$A$4:$A$1510,$A512,'Match Log'!$E$4:$E$1510,"Win")&gt;1,_xlfn.TEXTJOIN(" + ",TRUE(),IF(('Match Log'!$A$4:$A$1510=$A512)*('Match Log'!$E$4:$E$1510="Loss"),'Match Log'!$D$4:$D$1510,"")),IF($E512=2,LOOKUP(2,1/(('Match Log'!$A$4:$A$1510=$A512)*('Match Log'!$E$4:$E$1510="Loss")),'Match Log'!$D$4:$D$1510),"the field")),"")</f>
        <v>the field</v>
      </c>
      <c r="I512" t="str">
        <f t="shared" si="36"/>
        <v/>
      </c>
      <c r="J512">
        <v>488</v>
      </c>
      <c r="K512" t="e">
        <f>IF($J512&gt;MAX('Match Log'!$A$4:$A$1510),NA(),IFERROR(LOOKUP(2,1/(('Match Log'!$D$4:$D$1510=$K$24)*('Match Log'!$A$4:$A$1510&lt;=$J512)),'Match Log'!$N$4:$N$1510),NA()))</f>
        <v>#N/A</v>
      </c>
      <c r="L512" t="e">
        <f>IF($J512&gt;MAX('Match Log'!$A$4:$A$1510),NA(),IFERROR(LOOKUP(2,1/(('Match Log'!$D$4:$D$1510=$L$24)*('Match Log'!$A$4:$A$1510&lt;=$J512)),'Match Log'!$N$4:$N$1510),NA()))</f>
        <v>#N/A</v>
      </c>
      <c r="M512" t="e">
        <f>IF($J512&gt;MAX('Match Log'!$A$4:$A$1510),NA(),IFERROR(LOOKUP(2,1/(('Match Log'!$D$4:$D$1510=$M$24)*('Match Log'!$A$4:$A$1510&lt;=$J512)),'Match Log'!$N$4:$N$1510),NA()))</f>
        <v>#N/A</v>
      </c>
      <c r="N512" t="e">
        <f>IF($J512&gt;MAX('Match Log'!$A$4:$A$1510),NA(),IFERROR(LOOKUP(2,1/(('Match Log'!$D$4:$D$1510=$N$24)*('Match Log'!$A$4:$A$1510&lt;=$J512)),'Match Log'!$N$4:$N$1510),NA()))</f>
        <v>#N/A</v>
      </c>
      <c r="O512" t="e">
        <f>IF($J512&gt;MAX('Match Log'!$A$4:$A$1510),NA(),IFERROR(LOOKUP(2,1/(('Match Log'!$D$4:$D$1510=$O$24)*('Match Log'!$A$4:$A$1510&lt;=$J512)),'Match Log'!$N$4:$N$1510),NA()))</f>
        <v>#N/A</v>
      </c>
      <c r="P512" t="e">
        <f>IF($J512&gt;MAX('Match Log'!$A$4:$A$1510),NA(),IFERROR(LOOKUP(2,1/(('Match Log'!$D$4:$D$1510=$P$24)*('Match Log'!$A$4:$A$1510&lt;=$J512)),'Match Log'!$N$4:$N$1510),NA()))</f>
        <v>#N/A</v>
      </c>
      <c r="Q512" t="e">
        <f>IF($J512&gt;MAX('Match Log'!$A$4:$A$1510),NA(),IFERROR(LOOKUP(2,1/(('Match Log'!$D$4:$D$1510=$Q$24)*('Match Log'!$A$4:$A$1510&lt;=$J512)),'Match Log'!$N$4:$N$1510),NA()))</f>
        <v>#N/A</v>
      </c>
      <c r="R512" t="e">
        <f>IF($J512&gt;MAX('Match Log'!$A$4:$A$1510),NA(),IFERROR(LOOKUP(2,1/(('Match Log'!$D$4:$D$1510=$R$24)*('Match Log'!$A$4:$A$1510&lt;=$J512)),'Match Log'!$N$4:$N$1510),NA()))</f>
        <v>#N/A</v>
      </c>
      <c r="S512" t="e">
        <f>IF($J512&gt;MAX('Match Log'!$A$4:$A$1510),NA(),IFERROR(LOOKUP(2,1/(('Match Log'!$D$4:$D$1510=$S$24)*('Match Log'!$A$4:$A$1510&lt;=$J512)),'Match Log'!$N$4:$N$1510),NA()))</f>
        <v>#N/A</v>
      </c>
      <c r="T512" t="e">
        <f>IF($J512&gt;MAX('Match Log'!$A$4:$A$1510),NA(),IFERROR(LOOKUP(2,1/(('Match Log'!$D$4:$D$1510=$T$24)*('Match Log'!$A$4:$A$1510&lt;=$J512)),'Match Log'!$N$4:$N$1510),NA()))</f>
        <v>#N/A</v>
      </c>
      <c r="U512" t="e">
        <f>IF($J512&gt;MAX('Match Log'!$A$4:$A$1510),NA(),IFERROR(LOOKUP(2,1/(('Match Log'!$D$4:$D$1510=$U$24)*('Match Log'!$A$4:$A$1510&lt;=$J512)),'Match Log'!$N$4:$N$1510),NA()))</f>
        <v>#N/A</v>
      </c>
      <c r="V512" t="e">
        <f>IF($J512&gt;MAX('Match Log'!$A$4:$A$1510),NA(),IFERROR(LOOKUP(2,1/(('Match Log'!$D$4:$D$1510=$V$24)*('Match Log'!$A$4:$A$1510&lt;=$J512)),'Match Log'!$N$4:$N$1510),NA()))</f>
        <v>#N/A</v>
      </c>
      <c r="W512" t="e">
        <f>IF($J512&gt;MAX('Match Log'!$A$4:$A$1510),NA(),IFERROR(LOOKUP(2,1/(('Match Log'!$D$4:$D$1510=$W$24)*('Match Log'!$A$4:$A$1510&lt;=$J512)),'Match Log'!$N$4:$N$1510),NA()))</f>
        <v>#N/A</v>
      </c>
      <c r="X512" t="e">
        <f>IF($J512&gt;MAX('Match Log'!$A$4:$A$1510),NA(),IFERROR(LOOKUP(2,1/(('Match Log'!$D$4:$D$1510=$X$24)*('Match Log'!$A$4:$A$1510&lt;=$J512)),'Match Log'!$N$4:$N$1510),NA()))</f>
        <v>#N/A</v>
      </c>
      <c r="Y512" t="str">
        <f t="shared" ca="1" si="37"/>
        <v/>
      </c>
    </row>
    <row r="513" spans="1:25" x14ac:dyDescent="0.2">
      <c r="A513">
        <v>489</v>
      </c>
      <c r="B513" t="str">
        <f>IFERROR(INDEX('Match Log'!$B$4:$B$1510,MATCH($A513,'Match Log'!$A$4:$A$1510,0)),"")</f>
        <v/>
      </c>
      <c r="C513" t="str">
        <f>IFERROR(INDEX('Match Log'!$C$4:$C$1510,MATCH($A513,'Match Log'!$A$4:$A$1510,0)),"")</f>
        <v/>
      </c>
      <c r="D513" t="str">
        <f t="array" ref="D513">IFERROR(_xlfn.TEXTJOIN(" + ",TRUE(),IF(('Match Log'!$A$4:$A$1510=$A513)*('Match Log'!$E$4:$E$1510="Win"),'Match Log'!$D$4:$D$1510,"")),IFERROR(LOOKUP(2,1/(('Match Log'!$A$4:$A$1510=$A513)*('Match Log'!$E$4:$E$1510="Win")),'Match Log'!$D$4:$D$1510),""))</f>
        <v/>
      </c>
      <c r="E513" t="str">
        <f>IFERROR(INDEX('Match Log'!$F$4:$F$1510,MATCH($A513,'Match Log'!$A$4:$A$1510,0)),"")</f>
        <v/>
      </c>
      <c r="F513">
        <f>IFERROR(SUMIFS('Match Log'!$I$4:$I$1510,'Match Log'!$A$4:$A$1510,$A513,'Match Log'!$E$4:$E$1510,"Win"),"")</f>
        <v>0</v>
      </c>
      <c r="G513" t="str">
        <f t="shared" si="35"/>
        <v/>
      </c>
      <c r="H513" t="str">
        <f t="array" ref="H513">IFERROR(IF(COUNTIFS('Match Log'!$A$4:$A$1510,$A513,'Match Log'!$E$4:$E$1510,"Win")&gt;1,_xlfn.TEXTJOIN(" + ",TRUE(),IF(('Match Log'!$A$4:$A$1510=$A513)*('Match Log'!$E$4:$E$1510="Loss"),'Match Log'!$D$4:$D$1510,"")),IF($E513=2,LOOKUP(2,1/(('Match Log'!$A$4:$A$1510=$A513)*('Match Log'!$E$4:$E$1510="Loss")),'Match Log'!$D$4:$D$1510),"the field")),"")</f>
        <v>the field</v>
      </c>
      <c r="I513" t="str">
        <f t="shared" si="36"/>
        <v/>
      </c>
      <c r="J513">
        <v>489</v>
      </c>
      <c r="K513" t="e">
        <f>IF($J513&gt;MAX('Match Log'!$A$4:$A$1510),NA(),IFERROR(LOOKUP(2,1/(('Match Log'!$D$4:$D$1510=$K$24)*('Match Log'!$A$4:$A$1510&lt;=$J513)),'Match Log'!$N$4:$N$1510),NA()))</f>
        <v>#N/A</v>
      </c>
      <c r="L513" t="e">
        <f>IF($J513&gt;MAX('Match Log'!$A$4:$A$1510),NA(),IFERROR(LOOKUP(2,1/(('Match Log'!$D$4:$D$1510=$L$24)*('Match Log'!$A$4:$A$1510&lt;=$J513)),'Match Log'!$N$4:$N$1510),NA()))</f>
        <v>#N/A</v>
      </c>
      <c r="M513" t="e">
        <f>IF($J513&gt;MAX('Match Log'!$A$4:$A$1510),NA(),IFERROR(LOOKUP(2,1/(('Match Log'!$D$4:$D$1510=$M$24)*('Match Log'!$A$4:$A$1510&lt;=$J513)),'Match Log'!$N$4:$N$1510),NA()))</f>
        <v>#N/A</v>
      </c>
      <c r="N513" t="e">
        <f>IF($J513&gt;MAX('Match Log'!$A$4:$A$1510),NA(),IFERROR(LOOKUP(2,1/(('Match Log'!$D$4:$D$1510=$N$24)*('Match Log'!$A$4:$A$1510&lt;=$J513)),'Match Log'!$N$4:$N$1510),NA()))</f>
        <v>#N/A</v>
      </c>
      <c r="O513" t="e">
        <f>IF($J513&gt;MAX('Match Log'!$A$4:$A$1510),NA(),IFERROR(LOOKUP(2,1/(('Match Log'!$D$4:$D$1510=$O$24)*('Match Log'!$A$4:$A$1510&lt;=$J513)),'Match Log'!$N$4:$N$1510),NA()))</f>
        <v>#N/A</v>
      </c>
      <c r="P513" t="e">
        <f>IF($J513&gt;MAX('Match Log'!$A$4:$A$1510),NA(),IFERROR(LOOKUP(2,1/(('Match Log'!$D$4:$D$1510=$P$24)*('Match Log'!$A$4:$A$1510&lt;=$J513)),'Match Log'!$N$4:$N$1510),NA()))</f>
        <v>#N/A</v>
      </c>
      <c r="Q513" t="e">
        <f>IF($J513&gt;MAX('Match Log'!$A$4:$A$1510),NA(),IFERROR(LOOKUP(2,1/(('Match Log'!$D$4:$D$1510=$Q$24)*('Match Log'!$A$4:$A$1510&lt;=$J513)),'Match Log'!$N$4:$N$1510),NA()))</f>
        <v>#N/A</v>
      </c>
      <c r="R513" t="e">
        <f>IF($J513&gt;MAX('Match Log'!$A$4:$A$1510),NA(),IFERROR(LOOKUP(2,1/(('Match Log'!$D$4:$D$1510=$R$24)*('Match Log'!$A$4:$A$1510&lt;=$J513)),'Match Log'!$N$4:$N$1510),NA()))</f>
        <v>#N/A</v>
      </c>
      <c r="S513" t="e">
        <f>IF($J513&gt;MAX('Match Log'!$A$4:$A$1510),NA(),IFERROR(LOOKUP(2,1/(('Match Log'!$D$4:$D$1510=$S$24)*('Match Log'!$A$4:$A$1510&lt;=$J513)),'Match Log'!$N$4:$N$1510),NA()))</f>
        <v>#N/A</v>
      </c>
      <c r="T513" t="e">
        <f>IF($J513&gt;MAX('Match Log'!$A$4:$A$1510),NA(),IFERROR(LOOKUP(2,1/(('Match Log'!$D$4:$D$1510=$T$24)*('Match Log'!$A$4:$A$1510&lt;=$J513)),'Match Log'!$N$4:$N$1510),NA()))</f>
        <v>#N/A</v>
      </c>
      <c r="U513" t="e">
        <f>IF($J513&gt;MAX('Match Log'!$A$4:$A$1510),NA(),IFERROR(LOOKUP(2,1/(('Match Log'!$D$4:$D$1510=$U$24)*('Match Log'!$A$4:$A$1510&lt;=$J513)),'Match Log'!$N$4:$N$1510),NA()))</f>
        <v>#N/A</v>
      </c>
      <c r="V513" t="e">
        <f>IF($J513&gt;MAX('Match Log'!$A$4:$A$1510),NA(),IFERROR(LOOKUP(2,1/(('Match Log'!$D$4:$D$1510=$V$24)*('Match Log'!$A$4:$A$1510&lt;=$J513)),'Match Log'!$N$4:$N$1510),NA()))</f>
        <v>#N/A</v>
      </c>
      <c r="W513" t="e">
        <f>IF($J513&gt;MAX('Match Log'!$A$4:$A$1510),NA(),IFERROR(LOOKUP(2,1/(('Match Log'!$D$4:$D$1510=$W$24)*('Match Log'!$A$4:$A$1510&lt;=$J513)),'Match Log'!$N$4:$N$1510),NA()))</f>
        <v>#N/A</v>
      </c>
      <c r="X513" t="e">
        <f>IF($J513&gt;MAX('Match Log'!$A$4:$A$1510),NA(),IFERROR(LOOKUP(2,1/(('Match Log'!$D$4:$D$1510=$X$24)*('Match Log'!$A$4:$A$1510&lt;=$J513)),'Match Log'!$N$4:$N$1510),NA()))</f>
        <v>#N/A</v>
      </c>
      <c r="Y513" t="str">
        <f t="shared" ca="1" si="37"/>
        <v/>
      </c>
    </row>
    <row r="514" spans="1:25" x14ac:dyDescent="0.2">
      <c r="A514">
        <v>490</v>
      </c>
      <c r="B514" t="str">
        <f>IFERROR(INDEX('Match Log'!$B$4:$B$1510,MATCH($A514,'Match Log'!$A$4:$A$1510,0)),"")</f>
        <v/>
      </c>
      <c r="C514" t="str">
        <f>IFERROR(INDEX('Match Log'!$C$4:$C$1510,MATCH($A514,'Match Log'!$A$4:$A$1510,0)),"")</f>
        <v/>
      </c>
      <c r="D514" t="str">
        <f t="array" ref="D514">IFERROR(_xlfn.TEXTJOIN(" + ",TRUE(),IF(('Match Log'!$A$4:$A$1510=$A514)*('Match Log'!$E$4:$E$1510="Win"),'Match Log'!$D$4:$D$1510,"")),IFERROR(LOOKUP(2,1/(('Match Log'!$A$4:$A$1510=$A514)*('Match Log'!$E$4:$E$1510="Win")),'Match Log'!$D$4:$D$1510),""))</f>
        <v/>
      </c>
      <c r="E514" t="str">
        <f>IFERROR(INDEX('Match Log'!$F$4:$F$1510,MATCH($A514,'Match Log'!$A$4:$A$1510,0)),"")</f>
        <v/>
      </c>
      <c r="F514">
        <f>IFERROR(SUMIFS('Match Log'!$I$4:$I$1510,'Match Log'!$A$4:$A$1510,$A514,'Match Log'!$E$4:$E$1510,"Win"),"")</f>
        <v>0</v>
      </c>
      <c r="G514" t="str">
        <f t="shared" si="35"/>
        <v/>
      </c>
      <c r="H514" t="str">
        <f t="array" ref="H514">IFERROR(IF(COUNTIFS('Match Log'!$A$4:$A$1510,$A514,'Match Log'!$E$4:$E$1510,"Win")&gt;1,_xlfn.TEXTJOIN(" + ",TRUE(),IF(('Match Log'!$A$4:$A$1510=$A514)*('Match Log'!$E$4:$E$1510="Loss"),'Match Log'!$D$4:$D$1510,"")),IF($E514=2,LOOKUP(2,1/(('Match Log'!$A$4:$A$1510=$A514)*('Match Log'!$E$4:$E$1510="Loss")),'Match Log'!$D$4:$D$1510),"the field")),"")</f>
        <v>the field</v>
      </c>
      <c r="I514" t="str">
        <f t="shared" si="36"/>
        <v/>
      </c>
      <c r="J514">
        <v>490</v>
      </c>
      <c r="K514" t="e">
        <f>IF($J514&gt;MAX('Match Log'!$A$4:$A$1510),NA(),IFERROR(LOOKUP(2,1/(('Match Log'!$D$4:$D$1510=$K$24)*('Match Log'!$A$4:$A$1510&lt;=$J514)),'Match Log'!$N$4:$N$1510),NA()))</f>
        <v>#N/A</v>
      </c>
      <c r="L514" t="e">
        <f>IF($J514&gt;MAX('Match Log'!$A$4:$A$1510),NA(),IFERROR(LOOKUP(2,1/(('Match Log'!$D$4:$D$1510=$L$24)*('Match Log'!$A$4:$A$1510&lt;=$J514)),'Match Log'!$N$4:$N$1510),NA()))</f>
        <v>#N/A</v>
      </c>
      <c r="M514" t="e">
        <f>IF($J514&gt;MAX('Match Log'!$A$4:$A$1510),NA(),IFERROR(LOOKUP(2,1/(('Match Log'!$D$4:$D$1510=$M$24)*('Match Log'!$A$4:$A$1510&lt;=$J514)),'Match Log'!$N$4:$N$1510),NA()))</f>
        <v>#N/A</v>
      </c>
      <c r="N514" t="e">
        <f>IF($J514&gt;MAX('Match Log'!$A$4:$A$1510),NA(),IFERROR(LOOKUP(2,1/(('Match Log'!$D$4:$D$1510=$N$24)*('Match Log'!$A$4:$A$1510&lt;=$J514)),'Match Log'!$N$4:$N$1510),NA()))</f>
        <v>#N/A</v>
      </c>
      <c r="O514" t="e">
        <f>IF($J514&gt;MAX('Match Log'!$A$4:$A$1510),NA(),IFERROR(LOOKUP(2,1/(('Match Log'!$D$4:$D$1510=$O$24)*('Match Log'!$A$4:$A$1510&lt;=$J514)),'Match Log'!$N$4:$N$1510),NA()))</f>
        <v>#N/A</v>
      </c>
      <c r="P514" t="e">
        <f>IF($J514&gt;MAX('Match Log'!$A$4:$A$1510),NA(),IFERROR(LOOKUP(2,1/(('Match Log'!$D$4:$D$1510=$P$24)*('Match Log'!$A$4:$A$1510&lt;=$J514)),'Match Log'!$N$4:$N$1510),NA()))</f>
        <v>#N/A</v>
      </c>
      <c r="Q514" t="e">
        <f>IF($J514&gt;MAX('Match Log'!$A$4:$A$1510),NA(),IFERROR(LOOKUP(2,1/(('Match Log'!$D$4:$D$1510=$Q$24)*('Match Log'!$A$4:$A$1510&lt;=$J514)),'Match Log'!$N$4:$N$1510),NA()))</f>
        <v>#N/A</v>
      </c>
      <c r="R514" t="e">
        <f>IF($J514&gt;MAX('Match Log'!$A$4:$A$1510),NA(),IFERROR(LOOKUP(2,1/(('Match Log'!$D$4:$D$1510=$R$24)*('Match Log'!$A$4:$A$1510&lt;=$J514)),'Match Log'!$N$4:$N$1510),NA()))</f>
        <v>#N/A</v>
      </c>
      <c r="S514" t="e">
        <f>IF($J514&gt;MAX('Match Log'!$A$4:$A$1510),NA(),IFERROR(LOOKUP(2,1/(('Match Log'!$D$4:$D$1510=$S$24)*('Match Log'!$A$4:$A$1510&lt;=$J514)),'Match Log'!$N$4:$N$1510),NA()))</f>
        <v>#N/A</v>
      </c>
      <c r="T514" t="e">
        <f>IF($J514&gt;MAX('Match Log'!$A$4:$A$1510),NA(),IFERROR(LOOKUP(2,1/(('Match Log'!$D$4:$D$1510=$T$24)*('Match Log'!$A$4:$A$1510&lt;=$J514)),'Match Log'!$N$4:$N$1510),NA()))</f>
        <v>#N/A</v>
      </c>
      <c r="U514" t="e">
        <f>IF($J514&gt;MAX('Match Log'!$A$4:$A$1510),NA(),IFERROR(LOOKUP(2,1/(('Match Log'!$D$4:$D$1510=$U$24)*('Match Log'!$A$4:$A$1510&lt;=$J514)),'Match Log'!$N$4:$N$1510),NA()))</f>
        <v>#N/A</v>
      </c>
      <c r="V514" t="e">
        <f>IF($J514&gt;MAX('Match Log'!$A$4:$A$1510),NA(),IFERROR(LOOKUP(2,1/(('Match Log'!$D$4:$D$1510=$V$24)*('Match Log'!$A$4:$A$1510&lt;=$J514)),'Match Log'!$N$4:$N$1510),NA()))</f>
        <v>#N/A</v>
      </c>
      <c r="W514" t="e">
        <f>IF($J514&gt;MAX('Match Log'!$A$4:$A$1510),NA(),IFERROR(LOOKUP(2,1/(('Match Log'!$D$4:$D$1510=$W$24)*('Match Log'!$A$4:$A$1510&lt;=$J514)),'Match Log'!$N$4:$N$1510),NA()))</f>
        <v>#N/A</v>
      </c>
      <c r="X514" t="e">
        <f>IF($J514&gt;MAX('Match Log'!$A$4:$A$1510),NA(),IFERROR(LOOKUP(2,1/(('Match Log'!$D$4:$D$1510=$X$24)*('Match Log'!$A$4:$A$1510&lt;=$J514)),'Match Log'!$N$4:$N$1510),NA()))</f>
        <v>#N/A</v>
      </c>
      <c r="Y514" t="str">
        <f t="shared" ca="1" si="37"/>
        <v/>
      </c>
    </row>
    <row r="515" spans="1:25" x14ac:dyDescent="0.2">
      <c r="A515">
        <v>491</v>
      </c>
      <c r="B515" t="str">
        <f>IFERROR(INDEX('Match Log'!$B$4:$B$1510,MATCH($A515,'Match Log'!$A$4:$A$1510,0)),"")</f>
        <v/>
      </c>
      <c r="C515" t="str">
        <f>IFERROR(INDEX('Match Log'!$C$4:$C$1510,MATCH($A515,'Match Log'!$A$4:$A$1510,0)),"")</f>
        <v/>
      </c>
      <c r="D515" t="str">
        <f t="array" ref="D515">IFERROR(_xlfn.TEXTJOIN(" + ",TRUE(),IF(('Match Log'!$A$4:$A$1510=$A515)*('Match Log'!$E$4:$E$1510="Win"),'Match Log'!$D$4:$D$1510,"")),IFERROR(LOOKUP(2,1/(('Match Log'!$A$4:$A$1510=$A515)*('Match Log'!$E$4:$E$1510="Win")),'Match Log'!$D$4:$D$1510),""))</f>
        <v/>
      </c>
      <c r="E515" t="str">
        <f>IFERROR(INDEX('Match Log'!$F$4:$F$1510,MATCH($A515,'Match Log'!$A$4:$A$1510,0)),"")</f>
        <v/>
      </c>
      <c r="F515">
        <f>IFERROR(SUMIFS('Match Log'!$I$4:$I$1510,'Match Log'!$A$4:$A$1510,$A515,'Match Log'!$E$4:$E$1510,"Win"),"")</f>
        <v>0</v>
      </c>
      <c r="G515" t="str">
        <f t="shared" si="35"/>
        <v/>
      </c>
      <c r="H515" t="str">
        <f t="array" ref="H515">IFERROR(IF(COUNTIFS('Match Log'!$A$4:$A$1510,$A515,'Match Log'!$E$4:$E$1510,"Win")&gt;1,_xlfn.TEXTJOIN(" + ",TRUE(),IF(('Match Log'!$A$4:$A$1510=$A515)*('Match Log'!$E$4:$E$1510="Loss"),'Match Log'!$D$4:$D$1510,"")),IF($E515=2,LOOKUP(2,1/(('Match Log'!$A$4:$A$1510=$A515)*('Match Log'!$E$4:$E$1510="Loss")),'Match Log'!$D$4:$D$1510),"the field")),"")</f>
        <v>the field</v>
      </c>
      <c r="I515" t="str">
        <f t="shared" si="36"/>
        <v/>
      </c>
      <c r="J515">
        <v>491</v>
      </c>
      <c r="K515" t="e">
        <f>IF($J515&gt;MAX('Match Log'!$A$4:$A$1510),NA(),IFERROR(LOOKUP(2,1/(('Match Log'!$D$4:$D$1510=$K$24)*('Match Log'!$A$4:$A$1510&lt;=$J515)),'Match Log'!$N$4:$N$1510),NA()))</f>
        <v>#N/A</v>
      </c>
      <c r="L515" t="e">
        <f>IF($J515&gt;MAX('Match Log'!$A$4:$A$1510),NA(),IFERROR(LOOKUP(2,1/(('Match Log'!$D$4:$D$1510=$L$24)*('Match Log'!$A$4:$A$1510&lt;=$J515)),'Match Log'!$N$4:$N$1510),NA()))</f>
        <v>#N/A</v>
      </c>
      <c r="M515" t="e">
        <f>IF($J515&gt;MAX('Match Log'!$A$4:$A$1510),NA(),IFERROR(LOOKUP(2,1/(('Match Log'!$D$4:$D$1510=$M$24)*('Match Log'!$A$4:$A$1510&lt;=$J515)),'Match Log'!$N$4:$N$1510),NA()))</f>
        <v>#N/A</v>
      </c>
      <c r="N515" t="e">
        <f>IF($J515&gt;MAX('Match Log'!$A$4:$A$1510),NA(),IFERROR(LOOKUP(2,1/(('Match Log'!$D$4:$D$1510=$N$24)*('Match Log'!$A$4:$A$1510&lt;=$J515)),'Match Log'!$N$4:$N$1510),NA()))</f>
        <v>#N/A</v>
      </c>
      <c r="O515" t="e">
        <f>IF($J515&gt;MAX('Match Log'!$A$4:$A$1510),NA(),IFERROR(LOOKUP(2,1/(('Match Log'!$D$4:$D$1510=$O$24)*('Match Log'!$A$4:$A$1510&lt;=$J515)),'Match Log'!$N$4:$N$1510),NA()))</f>
        <v>#N/A</v>
      </c>
      <c r="P515" t="e">
        <f>IF($J515&gt;MAX('Match Log'!$A$4:$A$1510),NA(),IFERROR(LOOKUP(2,1/(('Match Log'!$D$4:$D$1510=$P$24)*('Match Log'!$A$4:$A$1510&lt;=$J515)),'Match Log'!$N$4:$N$1510),NA()))</f>
        <v>#N/A</v>
      </c>
      <c r="Q515" t="e">
        <f>IF($J515&gt;MAX('Match Log'!$A$4:$A$1510),NA(),IFERROR(LOOKUP(2,1/(('Match Log'!$D$4:$D$1510=$Q$24)*('Match Log'!$A$4:$A$1510&lt;=$J515)),'Match Log'!$N$4:$N$1510),NA()))</f>
        <v>#N/A</v>
      </c>
      <c r="R515" t="e">
        <f>IF($J515&gt;MAX('Match Log'!$A$4:$A$1510),NA(),IFERROR(LOOKUP(2,1/(('Match Log'!$D$4:$D$1510=$R$24)*('Match Log'!$A$4:$A$1510&lt;=$J515)),'Match Log'!$N$4:$N$1510),NA()))</f>
        <v>#N/A</v>
      </c>
      <c r="S515" t="e">
        <f>IF($J515&gt;MAX('Match Log'!$A$4:$A$1510),NA(),IFERROR(LOOKUP(2,1/(('Match Log'!$D$4:$D$1510=$S$24)*('Match Log'!$A$4:$A$1510&lt;=$J515)),'Match Log'!$N$4:$N$1510),NA()))</f>
        <v>#N/A</v>
      </c>
      <c r="T515" t="e">
        <f>IF($J515&gt;MAX('Match Log'!$A$4:$A$1510),NA(),IFERROR(LOOKUP(2,1/(('Match Log'!$D$4:$D$1510=$T$24)*('Match Log'!$A$4:$A$1510&lt;=$J515)),'Match Log'!$N$4:$N$1510),NA()))</f>
        <v>#N/A</v>
      </c>
      <c r="U515" t="e">
        <f>IF($J515&gt;MAX('Match Log'!$A$4:$A$1510),NA(),IFERROR(LOOKUP(2,1/(('Match Log'!$D$4:$D$1510=$U$24)*('Match Log'!$A$4:$A$1510&lt;=$J515)),'Match Log'!$N$4:$N$1510),NA()))</f>
        <v>#N/A</v>
      </c>
      <c r="V515" t="e">
        <f>IF($J515&gt;MAX('Match Log'!$A$4:$A$1510),NA(),IFERROR(LOOKUP(2,1/(('Match Log'!$D$4:$D$1510=$V$24)*('Match Log'!$A$4:$A$1510&lt;=$J515)),'Match Log'!$N$4:$N$1510),NA()))</f>
        <v>#N/A</v>
      </c>
      <c r="W515" t="e">
        <f>IF($J515&gt;MAX('Match Log'!$A$4:$A$1510),NA(),IFERROR(LOOKUP(2,1/(('Match Log'!$D$4:$D$1510=$W$24)*('Match Log'!$A$4:$A$1510&lt;=$J515)),'Match Log'!$N$4:$N$1510),NA()))</f>
        <v>#N/A</v>
      </c>
      <c r="X515" t="e">
        <f>IF($J515&gt;MAX('Match Log'!$A$4:$A$1510),NA(),IFERROR(LOOKUP(2,1/(('Match Log'!$D$4:$D$1510=$X$24)*('Match Log'!$A$4:$A$1510&lt;=$J515)),'Match Log'!$N$4:$N$1510),NA()))</f>
        <v>#N/A</v>
      </c>
      <c r="Y515" t="str">
        <f t="shared" ca="1" si="37"/>
        <v/>
      </c>
    </row>
    <row r="516" spans="1:25" x14ac:dyDescent="0.2">
      <c r="A516">
        <v>492</v>
      </c>
      <c r="B516" t="str">
        <f>IFERROR(INDEX('Match Log'!$B$4:$B$1510,MATCH($A516,'Match Log'!$A$4:$A$1510,0)),"")</f>
        <v/>
      </c>
      <c r="C516" t="str">
        <f>IFERROR(INDEX('Match Log'!$C$4:$C$1510,MATCH($A516,'Match Log'!$A$4:$A$1510,0)),"")</f>
        <v/>
      </c>
      <c r="D516" t="str">
        <f t="array" ref="D516">IFERROR(_xlfn.TEXTJOIN(" + ",TRUE(),IF(('Match Log'!$A$4:$A$1510=$A516)*('Match Log'!$E$4:$E$1510="Win"),'Match Log'!$D$4:$D$1510,"")),IFERROR(LOOKUP(2,1/(('Match Log'!$A$4:$A$1510=$A516)*('Match Log'!$E$4:$E$1510="Win")),'Match Log'!$D$4:$D$1510),""))</f>
        <v/>
      </c>
      <c r="E516" t="str">
        <f>IFERROR(INDEX('Match Log'!$F$4:$F$1510,MATCH($A516,'Match Log'!$A$4:$A$1510,0)),"")</f>
        <v/>
      </c>
      <c r="F516">
        <f>IFERROR(SUMIFS('Match Log'!$I$4:$I$1510,'Match Log'!$A$4:$A$1510,$A516,'Match Log'!$E$4:$E$1510,"Win"),"")</f>
        <v>0</v>
      </c>
      <c r="G516" t="str">
        <f t="shared" si="35"/>
        <v/>
      </c>
      <c r="H516" t="str">
        <f t="array" ref="H516">IFERROR(IF(COUNTIFS('Match Log'!$A$4:$A$1510,$A516,'Match Log'!$E$4:$E$1510,"Win")&gt;1,_xlfn.TEXTJOIN(" + ",TRUE(),IF(('Match Log'!$A$4:$A$1510=$A516)*('Match Log'!$E$4:$E$1510="Loss"),'Match Log'!$D$4:$D$1510,"")),IF($E516=2,LOOKUP(2,1/(('Match Log'!$A$4:$A$1510=$A516)*('Match Log'!$E$4:$E$1510="Loss")),'Match Log'!$D$4:$D$1510),"the field")),"")</f>
        <v>the field</v>
      </c>
      <c r="I516" t="str">
        <f t="shared" si="36"/>
        <v/>
      </c>
      <c r="J516">
        <v>492</v>
      </c>
      <c r="K516" t="e">
        <f>IF($J516&gt;MAX('Match Log'!$A$4:$A$1510),NA(),IFERROR(LOOKUP(2,1/(('Match Log'!$D$4:$D$1510=$K$24)*('Match Log'!$A$4:$A$1510&lt;=$J516)),'Match Log'!$N$4:$N$1510),NA()))</f>
        <v>#N/A</v>
      </c>
      <c r="L516" t="e">
        <f>IF($J516&gt;MAX('Match Log'!$A$4:$A$1510),NA(),IFERROR(LOOKUP(2,1/(('Match Log'!$D$4:$D$1510=$L$24)*('Match Log'!$A$4:$A$1510&lt;=$J516)),'Match Log'!$N$4:$N$1510),NA()))</f>
        <v>#N/A</v>
      </c>
      <c r="M516" t="e">
        <f>IF($J516&gt;MAX('Match Log'!$A$4:$A$1510),NA(),IFERROR(LOOKUP(2,1/(('Match Log'!$D$4:$D$1510=$M$24)*('Match Log'!$A$4:$A$1510&lt;=$J516)),'Match Log'!$N$4:$N$1510),NA()))</f>
        <v>#N/A</v>
      </c>
      <c r="N516" t="e">
        <f>IF($J516&gt;MAX('Match Log'!$A$4:$A$1510),NA(),IFERROR(LOOKUP(2,1/(('Match Log'!$D$4:$D$1510=$N$24)*('Match Log'!$A$4:$A$1510&lt;=$J516)),'Match Log'!$N$4:$N$1510),NA()))</f>
        <v>#N/A</v>
      </c>
      <c r="O516" t="e">
        <f>IF($J516&gt;MAX('Match Log'!$A$4:$A$1510),NA(),IFERROR(LOOKUP(2,1/(('Match Log'!$D$4:$D$1510=$O$24)*('Match Log'!$A$4:$A$1510&lt;=$J516)),'Match Log'!$N$4:$N$1510),NA()))</f>
        <v>#N/A</v>
      </c>
      <c r="P516" t="e">
        <f>IF($J516&gt;MAX('Match Log'!$A$4:$A$1510),NA(),IFERROR(LOOKUP(2,1/(('Match Log'!$D$4:$D$1510=$P$24)*('Match Log'!$A$4:$A$1510&lt;=$J516)),'Match Log'!$N$4:$N$1510),NA()))</f>
        <v>#N/A</v>
      </c>
      <c r="Q516" t="e">
        <f>IF($J516&gt;MAX('Match Log'!$A$4:$A$1510),NA(),IFERROR(LOOKUP(2,1/(('Match Log'!$D$4:$D$1510=$Q$24)*('Match Log'!$A$4:$A$1510&lt;=$J516)),'Match Log'!$N$4:$N$1510),NA()))</f>
        <v>#N/A</v>
      </c>
      <c r="R516" t="e">
        <f>IF($J516&gt;MAX('Match Log'!$A$4:$A$1510),NA(),IFERROR(LOOKUP(2,1/(('Match Log'!$D$4:$D$1510=$R$24)*('Match Log'!$A$4:$A$1510&lt;=$J516)),'Match Log'!$N$4:$N$1510),NA()))</f>
        <v>#N/A</v>
      </c>
      <c r="S516" t="e">
        <f>IF($J516&gt;MAX('Match Log'!$A$4:$A$1510),NA(),IFERROR(LOOKUP(2,1/(('Match Log'!$D$4:$D$1510=$S$24)*('Match Log'!$A$4:$A$1510&lt;=$J516)),'Match Log'!$N$4:$N$1510),NA()))</f>
        <v>#N/A</v>
      </c>
      <c r="T516" t="e">
        <f>IF($J516&gt;MAX('Match Log'!$A$4:$A$1510),NA(),IFERROR(LOOKUP(2,1/(('Match Log'!$D$4:$D$1510=$T$24)*('Match Log'!$A$4:$A$1510&lt;=$J516)),'Match Log'!$N$4:$N$1510),NA()))</f>
        <v>#N/A</v>
      </c>
      <c r="U516" t="e">
        <f>IF($J516&gt;MAX('Match Log'!$A$4:$A$1510),NA(),IFERROR(LOOKUP(2,1/(('Match Log'!$D$4:$D$1510=$U$24)*('Match Log'!$A$4:$A$1510&lt;=$J516)),'Match Log'!$N$4:$N$1510),NA()))</f>
        <v>#N/A</v>
      </c>
      <c r="V516" t="e">
        <f>IF($J516&gt;MAX('Match Log'!$A$4:$A$1510),NA(),IFERROR(LOOKUP(2,1/(('Match Log'!$D$4:$D$1510=$V$24)*('Match Log'!$A$4:$A$1510&lt;=$J516)),'Match Log'!$N$4:$N$1510),NA()))</f>
        <v>#N/A</v>
      </c>
      <c r="W516" t="e">
        <f>IF($J516&gt;MAX('Match Log'!$A$4:$A$1510),NA(),IFERROR(LOOKUP(2,1/(('Match Log'!$D$4:$D$1510=$W$24)*('Match Log'!$A$4:$A$1510&lt;=$J516)),'Match Log'!$N$4:$N$1510),NA()))</f>
        <v>#N/A</v>
      </c>
      <c r="X516" t="e">
        <f>IF($J516&gt;MAX('Match Log'!$A$4:$A$1510),NA(),IFERROR(LOOKUP(2,1/(('Match Log'!$D$4:$D$1510=$X$24)*('Match Log'!$A$4:$A$1510&lt;=$J516)),'Match Log'!$N$4:$N$1510),NA()))</f>
        <v>#N/A</v>
      </c>
      <c r="Y516" t="str">
        <f t="shared" ca="1" si="37"/>
        <v/>
      </c>
    </row>
    <row r="517" spans="1:25" x14ac:dyDescent="0.2">
      <c r="A517">
        <v>493</v>
      </c>
      <c r="B517" t="str">
        <f>IFERROR(INDEX('Match Log'!$B$4:$B$1510,MATCH($A517,'Match Log'!$A$4:$A$1510,0)),"")</f>
        <v/>
      </c>
      <c r="C517" t="str">
        <f>IFERROR(INDEX('Match Log'!$C$4:$C$1510,MATCH($A517,'Match Log'!$A$4:$A$1510,0)),"")</f>
        <v/>
      </c>
      <c r="D517" t="str">
        <f t="array" ref="D517">IFERROR(_xlfn.TEXTJOIN(" + ",TRUE(),IF(('Match Log'!$A$4:$A$1510=$A517)*('Match Log'!$E$4:$E$1510="Win"),'Match Log'!$D$4:$D$1510,"")),IFERROR(LOOKUP(2,1/(('Match Log'!$A$4:$A$1510=$A517)*('Match Log'!$E$4:$E$1510="Win")),'Match Log'!$D$4:$D$1510),""))</f>
        <v/>
      </c>
      <c r="E517" t="str">
        <f>IFERROR(INDEX('Match Log'!$F$4:$F$1510,MATCH($A517,'Match Log'!$A$4:$A$1510,0)),"")</f>
        <v/>
      </c>
      <c r="F517">
        <f>IFERROR(SUMIFS('Match Log'!$I$4:$I$1510,'Match Log'!$A$4:$A$1510,$A517,'Match Log'!$E$4:$E$1510,"Win"),"")</f>
        <v>0</v>
      </c>
      <c r="G517" t="str">
        <f t="shared" si="35"/>
        <v/>
      </c>
      <c r="H517" t="str">
        <f t="array" ref="H517">IFERROR(IF(COUNTIFS('Match Log'!$A$4:$A$1510,$A517,'Match Log'!$E$4:$E$1510,"Win")&gt;1,_xlfn.TEXTJOIN(" + ",TRUE(),IF(('Match Log'!$A$4:$A$1510=$A517)*('Match Log'!$E$4:$E$1510="Loss"),'Match Log'!$D$4:$D$1510,"")),IF($E517=2,LOOKUP(2,1/(('Match Log'!$A$4:$A$1510=$A517)*('Match Log'!$E$4:$E$1510="Loss")),'Match Log'!$D$4:$D$1510),"the field")),"")</f>
        <v>the field</v>
      </c>
      <c r="I517" t="str">
        <f t="shared" si="36"/>
        <v/>
      </c>
      <c r="J517">
        <v>493</v>
      </c>
      <c r="K517" t="e">
        <f>IF($J517&gt;MAX('Match Log'!$A$4:$A$1510),NA(),IFERROR(LOOKUP(2,1/(('Match Log'!$D$4:$D$1510=$K$24)*('Match Log'!$A$4:$A$1510&lt;=$J517)),'Match Log'!$N$4:$N$1510),NA()))</f>
        <v>#N/A</v>
      </c>
      <c r="L517" t="e">
        <f>IF($J517&gt;MAX('Match Log'!$A$4:$A$1510),NA(),IFERROR(LOOKUP(2,1/(('Match Log'!$D$4:$D$1510=$L$24)*('Match Log'!$A$4:$A$1510&lt;=$J517)),'Match Log'!$N$4:$N$1510),NA()))</f>
        <v>#N/A</v>
      </c>
      <c r="M517" t="e">
        <f>IF($J517&gt;MAX('Match Log'!$A$4:$A$1510),NA(),IFERROR(LOOKUP(2,1/(('Match Log'!$D$4:$D$1510=$M$24)*('Match Log'!$A$4:$A$1510&lt;=$J517)),'Match Log'!$N$4:$N$1510),NA()))</f>
        <v>#N/A</v>
      </c>
      <c r="N517" t="e">
        <f>IF($J517&gt;MAX('Match Log'!$A$4:$A$1510),NA(),IFERROR(LOOKUP(2,1/(('Match Log'!$D$4:$D$1510=$N$24)*('Match Log'!$A$4:$A$1510&lt;=$J517)),'Match Log'!$N$4:$N$1510),NA()))</f>
        <v>#N/A</v>
      </c>
      <c r="O517" t="e">
        <f>IF($J517&gt;MAX('Match Log'!$A$4:$A$1510),NA(),IFERROR(LOOKUP(2,1/(('Match Log'!$D$4:$D$1510=$O$24)*('Match Log'!$A$4:$A$1510&lt;=$J517)),'Match Log'!$N$4:$N$1510),NA()))</f>
        <v>#N/A</v>
      </c>
      <c r="P517" t="e">
        <f>IF($J517&gt;MAX('Match Log'!$A$4:$A$1510),NA(),IFERROR(LOOKUP(2,1/(('Match Log'!$D$4:$D$1510=$P$24)*('Match Log'!$A$4:$A$1510&lt;=$J517)),'Match Log'!$N$4:$N$1510),NA()))</f>
        <v>#N/A</v>
      </c>
      <c r="Q517" t="e">
        <f>IF($J517&gt;MAX('Match Log'!$A$4:$A$1510),NA(),IFERROR(LOOKUP(2,1/(('Match Log'!$D$4:$D$1510=$Q$24)*('Match Log'!$A$4:$A$1510&lt;=$J517)),'Match Log'!$N$4:$N$1510),NA()))</f>
        <v>#N/A</v>
      </c>
      <c r="R517" t="e">
        <f>IF($J517&gt;MAX('Match Log'!$A$4:$A$1510),NA(),IFERROR(LOOKUP(2,1/(('Match Log'!$D$4:$D$1510=$R$24)*('Match Log'!$A$4:$A$1510&lt;=$J517)),'Match Log'!$N$4:$N$1510),NA()))</f>
        <v>#N/A</v>
      </c>
      <c r="S517" t="e">
        <f>IF($J517&gt;MAX('Match Log'!$A$4:$A$1510),NA(),IFERROR(LOOKUP(2,1/(('Match Log'!$D$4:$D$1510=$S$24)*('Match Log'!$A$4:$A$1510&lt;=$J517)),'Match Log'!$N$4:$N$1510),NA()))</f>
        <v>#N/A</v>
      </c>
      <c r="T517" t="e">
        <f>IF($J517&gt;MAX('Match Log'!$A$4:$A$1510),NA(),IFERROR(LOOKUP(2,1/(('Match Log'!$D$4:$D$1510=$T$24)*('Match Log'!$A$4:$A$1510&lt;=$J517)),'Match Log'!$N$4:$N$1510),NA()))</f>
        <v>#N/A</v>
      </c>
      <c r="U517" t="e">
        <f>IF($J517&gt;MAX('Match Log'!$A$4:$A$1510),NA(),IFERROR(LOOKUP(2,1/(('Match Log'!$D$4:$D$1510=$U$24)*('Match Log'!$A$4:$A$1510&lt;=$J517)),'Match Log'!$N$4:$N$1510),NA()))</f>
        <v>#N/A</v>
      </c>
      <c r="V517" t="e">
        <f>IF($J517&gt;MAX('Match Log'!$A$4:$A$1510),NA(),IFERROR(LOOKUP(2,1/(('Match Log'!$D$4:$D$1510=$V$24)*('Match Log'!$A$4:$A$1510&lt;=$J517)),'Match Log'!$N$4:$N$1510),NA()))</f>
        <v>#N/A</v>
      </c>
      <c r="W517" t="e">
        <f>IF($J517&gt;MAX('Match Log'!$A$4:$A$1510),NA(),IFERROR(LOOKUP(2,1/(('Match Log'!$D$4:$D$1510=$W$24)*('Match Log'!$A$4:$A$1510&lt;=$J517)),'Match Log'!$N$4:$N$1510),NA()))</f>
        <v>#N/A</v>
      </c>
      <c r="X517" t="e">
        <f>IF($J517&gt;MAX('Match Log'!$A$4:$A$1510),NA(),IFERROR(LOOKUP(2,1/(('Match Log'!$D$4:$D$1510=$X$24)*('Match Log'!$A$4:$A$1510&lt;=$J517)),'Match Log'!$N$4:$N$1510),NA()))</f>
        <v>#N/A</v>
      </c>
      <c r="Y517" t="str">
        <f t="shared" ca="1" si="37"/>
        <v/>
      </c>
    </row>
    <row r="518" spans="1:25" x14ac:dyDescent="0.2">
      <c r="A518">
        <v>494</v>
      </c>
      <c r="B518" t="str">
        <f>IFERROR(INDEX('Match Log'!$B$4:$B$1510,MATCH($A518,'Match Log'!$A$4:$A$1510,0)),"")</f>
        <v/>
      </c>
      <c r="C518" t="str">
        <f>IFERROR(INDEX('Match Log'!$C$4:$C$1510,MATCH($A518,'Match Log'!$A$4:$A$1510,0)),"")</f>
        <v/>
      </c>
      <c r="D518" t="str">
        <f t="array" ref="D518">IFERROR(_xlfn.TEXTJOIN(" + ",TRUE(),IF(('Match Log'!$A$4:$A$1510=$A518)*('Match Log'!$E$4:$E$1510="Win"),'Match Log'!$D$4:$D$1510,"")),IFERROR(LOOKUP(2,1/(('Match Log'!$A$4:$A$1510=$A518)*('Match Log'!$E$4:$E$1510="Win")),'Match Log'!$D$4:$D$1510),""))</f>
        <v/>
      </c>
      <c r="E518" t="str">
        <f>IFERROR(INDEX('Match Log'!$F$4:$F$1510,MATCH($A518,'Match Log'!$A$4:$A$1510,0)),"")</f>
        <v/>
      </c>
      <c r="F518">
        <f>IFERROR(SUMIFS('Match Log'!$I$4:$I$1510,'Match Log'!$A$4:$A$1510,$A518,'Match Log'!$E$4:$E$1510,"Win"),"")</f>
        <v>0</v>
      </c>
      <c r="G518" t="str">
        <f t="shared" si="35"/>
        <v/>
      </c>
      <c r="H518" t="str">
        <f t="array" ref="H518">IFERROR(IF(COUNTIFS('Match Log'!$A$4:$A$1510,$A518,'Match Log'!$E$4:$E$1510,"Win")&gt;1,_xlfn.TEXTJOIN(" + ",TRUE(),IF(('Match Log'!$A$4:$A$1510=$A518)*('Match Log'!$E$4:$E$1510="Loss"),'Match Log'!$D$4:$D$1510,"")),IF($E518=2,LOOKUP(2,1/(('Match Log'!$A$4:$A$1510=$A518)*('Match Log'!$E$4:$E$1510="Loss")),'Match Log'!$D$4:$D$1510),"the field")),"")</f>
        <v>the field</v>
      </c>
      <c r="I518" t="str">
        <f t="shared" si="36"/>
        <v/>
      </c>
      <c r="J518">
        <v>494</v>
      </c>
      <c r="K518" t="e">
        <f>IF($J518&gt;MAX('Match Log'!$A$4:$A$1510),NA(),IFERROR(LOOKUP(2,1/(('Match Log'!$D$4:$D$1510=$K$24)*('Match Log'!$A$4:$A$1510&lt;=$J518)),'Match Log'!$N$4:$N$1510),NA()))</f>
        <v>#N/A</v>
      </c>
      <c r="L518" t="e">
        <f>IF($J518&gt;MAX('Match Log'!$A$4:$A$1510),NA(),IFERROR(LOOKUP(2,1/(('Match Log'!$D$4:$D$1510=$L$24)*('Match Log'!$A$4:$A$1510&lt;=$J518)),'Match Log'!$N$4:$N$1510),NA()))</f>
        <v>#N/A</v>
      </c>
      <c r="M518" t="e">
        <f>IF($J518&gt;MAX('Match Log'!$A$4:$A$1510),NA(),IFERROR(LOOKUP(2,1/(('Match Log'!$D$4:$D$1510=$M$24)*('Match Log'!$A$4:$A$1510&lt;=$J518)),'Match Log'!$N$4:$N$1510),NA()))</f>
        <v>#N/A</v>
      </c>
      <c r="N518" t="e">
        <f>IF($J518&gt;MAX('Match Log'!$A$4:$A$1510),NA(),IFERROR(LOOKUP(2,1/(('Match Log'!$D$4:$D$1510=$N$24)*('Match Log'!$A$4:$A$1510&lt;=$J518)),'Match Log'!$N$4:$N$1510),NA()))</f>
        <v>#N/A</v>
      </c>
      <c r="O518" t="e">
        <f>IF($J518&gt;MAX('Match Log'!$A$4:$A$1510),NA(),IFERROR(LOOKUP(2,1/(('Match Log'!$D$4:$D$1510=$O$24)*('Match Log'!$A$4:$A$1510&lt;=$J518)),'Match Log'!$N$4:$N$1510),NA()))</f>
        <v>#N/A</v>
      </c>
      <c r="P518" t="e">
        <f>IF($J518&gt;MAX('Match Log'!$A$4:$A$1510),NA(),IFERROR(LOOKUP(2,1/(('Match Log'!$D$4:$D$1510=$P$24)*('Match Log'!$A$4:$A$1510&lt;=$J518)),'Match Log'!$N$4:$N$1510),NA()))</f>
        <v>#N/A</v>
      </c>
      <c r="Q518" t="e">
        <f>IF($J518&gt;MAX('Match Log'!$A$4:$A$1510),NA(),IFERROR(LOOKUP(2,1/(('Match Log'!$D$4:$D$1510=$Q$24)*('Match Log'!$A$4:$A$1510&lt;=$J518)),'Match Log'!$N$4:$N$1510),NA()))</f>
        <v>#N/A</v>
      </c>
      <c r="R518" t="e">
        <f>IF($J518&gt;MAX('Match Log'!$A$4:$A$1510),NA(),IFERROR(LOOKUP(2,1/(('Match Log'!$D$4:$D$1510=$R$24)*('Match Log'!$A$4:$A$1510&lt;=$J518)),'Match Log'!$N$4:$N$1510),NA()))</f>
        <v>#N/A</v>
      </c>
      <c r="S518" t="e">
        <f>IF($J518&gt;MAX('Match Log'!$A$4:$A$1510),NA(),IFERROR(LOOKUP(2,1/(('Match Log'!$D$4:$D$1510=$S$24)*('Match Log'!$A$4:$A$1510&lt;=$J518)),'Match Log'!$N$4:$N$1510),NA()))</f>
        <v>#N/A</v>
      </c>
      <c r="T518" t="e">
        <f>IF($J518&gt;MAX('Match Log'!$A$4:$A$1510),NA(),IFERROR(LOOKUP(2,1/(('Match Log'!$D$4:$D$1510=$T$24)*('Match Log'!$A$4:$A$1510&lt;=$J518)),'Match Log'!$N$4:$N$1510),NA()))</f>
        <v>#N/A</v>
      </c>
      <c r="U518" t="e">
        <f>IF($J518&gt;MAX('Match Log'!$A$4:$A$1510),NA(),IFERROR(LOOKUP(2,1/(('Match Log'!$D$4:$D$1510=$U$24)*('Match Log'!$A$4:$A$1510&lt;=$J518)),'Match Log'!$N$4:$N$1510),NA()))</f>
        <v>#N/A</v>
      </c>
      <c r="V518" t="e">
        <f>IF($J518&gt;MAX('Match Log'!$A$4:$A$1510),NA(),IFERROR(LOOKUP(2,1/(('Match Log'!$D$4:$D$1510=$V$24)*('Match Log'!$A$4:$A$1510&lt;=$J518)),'Match Log'!$N$4:$N$1510),NA()))</f>
        <v>#N/A</v>
      </c>
      <c r="W518" t="e">
        <f>IF($J518&gt;MAX('Match Log'!$A$4:$A$1510),NA(),IFERROR(LOOKUP(2,1/(('Match Log'!$D$4:$D$1510=$W$24)*('Match Log'!$A$4:$A$1510&lt;=$J518)),'Match Log'!$N$4:$N$1510),NA()))</f>
        <v>#N/A</v>
      </c>
      <c r="X518" t="e">
        <f>IF($J518&gt;MAX('Match Log'!$A$4:$A$1510),NA(),IFERROR(LOOKUP(2,1/(('Match Log'!$D$4:$D$1510=$X$24)*('Match Log'!$A$4:$A$1510&lt;=$J518)),'Match Log'!$N$4:$N$1510),NA()))</f>
        <v>#N/A</v>
      </c>
      <c r="Y518" t="str">
        <f t="shared" ca="1" si="37"/>
        <v/>
      </c>
    </row>
    <row r="519" spans="1:25" x14ac:dyDescent="0.2">
      <c r="A519">
        <v>495</v>
      </c>
      <c r="B519" t="str">
        <f>IFERROR(INDEX('Match Log'!$B$4:$B$1510,MATCH($A519,'Match Log'!$A$4:$A$1510,0)),"")</f>
        <v/>
      </c>
      <c r="C519" t="str">
        <f>IFERROR(INDEX('Match Log'!$C$4:$C$1510,MATCH($A519,'Match Log'!$A$4:$A$1510,0)),"")</f>
        <v/>
      </c>
      <c r="D519" t="str">
        <f t="array" ref="D519">IFERROR(_xlfn.TEXTJOIN(" + ",TRUE(),IF(('Match Log'!$A$4:$A$1510=$A519)*('Match Log'!$E$4:$E$1510="Win"),'Match Log'!$D$4:$D$1510,"")),IFERROR(LOOKUP(2,1/(('Match Log'!$A$4:$A$1510=$A519)*('Match Log'!$E$4:$E$1510="Win")),'Match Log'!$D$4:$D$1510),""))</f>
        <v/>
      </c>
      <c r="E519" t="str">
        <f>IFERROR(INDEX('Match Log'!$F$4:$F$1510,MATCH($A519,'Match Log'!$A$4:$A$1510,0)),"")</f>
        <v/>
      </c>
      <c r="F519">
        <f>IFERROR(SUMIFS('Match Log'!$I$4:$I$1510,'Match Log'!$A$4:$A$1510,$A519,'Match Log'!$E$4:$E$1510,"Win"),"")</f>
        <v>0</v>
      </c>
      <c r="G519" t="str">
        <f t="shared" si="35"/>
        <v/>
      </c>
      <c r="H519" t="str">
        <f t="array" ref="H519">IFERROR(IF(COUNTIFS('Match Log'!$A$4:$A$1510,$A519,'Match Log'!$E$4:$E$1510,"Win")&gt;1,_xlfn.TEXTJOIN(" + ",TRUE(),IF(('Match Log'!$A$4:$A$1510=$A519)*('Match Log'!$E$4:$E$1510="Loss"),'Match Log'!$D$4:$D$1510,"")),IF($E519=2,LOOKUP(2,1/(('Match Log'!$A$4:$A$1510=$A519)*('Match Log'!$E$4:$E$1510="Loss")),'Match Log'!$D$4:$D$1510),"the field")),"")</f>
        <v>the field</v>
      </c>
      <c r="I519" t="str">
        <f t="shared" si="36"/>
        <v/>
      </c>
      <c r="J519">
        <v>495</v>
      </c>
      <c r="K519" t="e">
        <f>IF($J519&gt;MAX('Match Log'!$A$4:$A$1510),NA(),IFERROR(LOOKUP(2,1/(('Match Log'!$D$4:$D$1510=$K$24)*('Match Log'!$A$4:$A$1510&lt;=$J519)),'Match Log'!$N$4:$N$1510),NA()))</f>
        <v>#N/A</v>
      </c>
      <c r="L519" t="e">
        <f>IF($J519&gt;MAX('Match Log'!$A$4:$A$1510),NA(),IFERROR(LOOKUP(2,1/(('Match Log'!$D$4:$D$1510=$L$24)*('Match Log'!$A$4:$A$1510&lt;=$J519)),'Match Log'!$N$4:$N$1510),NA()))</f>
        <v>#N/A</v>
      </c>
      <c r="M519" t="e">
        <f>IF($J519&gt;MAX('Match Log'!$A$4:$A$1510),NA(),IFERROR(LOOKUP(2,1/(('Match Log'!$D$4:$D$1510=$M$24)*('Match Log'!$A$4:$A$1510&lt;=$J519)),'Match Log'!$N$4:$N$1510),NA()))</f>
        <v>#N/A</v>
      </c>
      <c r="N519" t="e">
        <f>IF($J519&gt;MAX('Match Log'!$A$4:$A$1510),NA(),IFERROR(LOOKUP(2,1/(('Match Log'!$D$4:$D$1510=$N$24)*('Match Log'!$A$4:$A$1510&lt;=$J519)),'Match Log'!$N$4:$N$1510),NA()))</f>
        <v>#N/A</v>
      </c>
      <c r="O519" t="e">
        <f>IF($J519&gt;MAX('Match Log'!$A$4:$A$1510),NA(),IFERROR(LOOKUP(2,1/(('Match Log'!$D$4:$D$1510=$O$24)*('Match Log'!$A$4:$A$1510&lt;=$J519)),'Match Log'!$N$4:$N$1510),NA()))</f>
        <v>#N/A</v>
      </c>
      <c r="P519" t="e">
        <f>IF($J519&gt;MAX('Match Log'!$A$4:$A$1510),NA(),IFERROR(LOOKUP(2,1/(('Match Log'!$D$4:$D$1510=$P$24)*('Match Log'!$A$4:$A$1510&lt;=$J519)),'Match Log'!$N$4:$N$1510),NA()))</f>
        <v>#N/A</v>
      </c>
      <c r="Q519" t="e">
        <f>IF($J519&gt;MAX('Match Log'!$A$4:$A$1510),NA(),IFERROR(LOOKUP(2,1/(('Match Log'!$D$4:$D$1510=$Q$24)*('Match Log'!$A$4:$A$1510&lt;=$J519)),'Match Log'!$N$4:$N$1510),NA()))</f>
        <v>#N/A</v>
      </c>
      <c r="R519" t="e">
        <f>IF($J519&gt;MAX('Match Log'!$A$4:$A$1510),NA(),IFERROR(LOOKUP(2,1/(('Match Log'!$D$4:$D$1510=$R$24)*('Match Log'!$A$4:$A$1510&lt;=$J519)),'Match Log'!$N$4:$N$1510),NA()))</f>
        <v>#N/A</v>
      </c>
      <c r="S519" t="e">
        <f>IF($J519&gt;MAX('Match Log'!$A$4:$A$1510),NA(),IFERROR(LOOKUP(2,1/(('Match Log'!$D$4:$D$1510=$S$24)*('Match Log'!$A$4:$A$1510&lt;=$J519)),'Match Log'!$N$4:$N$1510),NA()))</f>
        <v>#N/A</v>
      </c>
      <c r="T519" t="e">
        <f>IF($J519&gt;MAX('Match Log'!$A$4:$A$1510),NA(),IFERROR(LOOKUP(2,1/(('Match Log'!$D$4:$D$1510=$T$24)*('Match Log'!$A$4:$A$1510&lt;=$J519)),'Match Log'!$N$4:$N$1510),NA()))</f>
        <v>#N/A</v>
      </c>
      <c r="U519" t="e">
        <f>IF($J519&gt;MAX('Match Log'!$A$4:$A$1510),NA(),IFERROR(LOOKUP(2,1/(('Match Log'!$D$4:$D$1510=$U$24)*('Match Log'!$A$4:$A$1510&lt;=$J519)),'Match Log'!$N$4:$N$1510),NA()))</f>
        <v>#N/A</v>
      </c>
      <c r="V519" t="e">
        <f>IF($J519&gt;MAX('Match Log'!$A$4:$A$1510),NA(),IFERROR(LOOKUP(2,1/(('Match Log'!$D$4:$D$1510=$V$24)*('Match Log'!$A$4:$A$1510&lt;=$J519)),'Match Log'!$N$4:$N$1510),NA()))</f>
        <v>#N/A</v>
      </c>
      <c r="W519" t="e">
        <f>IF($J519&gt;MAX('Match Log'!$A$4:$A$1510),NA(),IFERROR(LOOKUP(2,1/(('Match Log'!$D$4:$D$1510=$W$24)*('Match Log'!$A$4:$A$1510&lt;=$J519)),'Match Log'!$N$4:$N$1510),NA()))</f>
        <v>#N/A</v>
      </c>
      <c r="X519" t="e">
        <f>IF($J519&gt;MAX('Match Log'!$A$4:$A$1510),NA(),IFERROR(LOOKUP(2,1/(('Match Log'!$D$4:$D$1510=$X$24)*('Match Log'!$A$4:$A$1510&lt;=$J519)),'Match Log'!$N$4:$N$1510),NA()))</f>
        <v>#N/A</v>
      </c>
      <c r="Y519" t="str">
        <f t="shared" ca="1" si="37"/>
        <v/>
      </c>
    </row>
    <row r="520" spans="1:25" x14ac:dyDescent="0.2">
      <c r="A520">
        <v>496</v>
      </c>
      <c r="B520" t="str">
        <f>IFERROR(INDEX('Match Log'!$B$4:$B$1510,MATCH($A520,'Match Log'!$A$4:$A$1510,0)),"")</f>
        <v/>
      </c>
      <c r="C520" t="str">
        <f>IFERROR(INDEX('Match Log'!$C$4:$C$1510,MATCH($A520,'Match Log'!$A$4:$A$1510,0)),"")</f>
        <v/>
      </c>
      <c r="D520" t="str">
        <f t="array" ref="D520">IFERROR(_xlfn.TEXTJOIN(" + ",TRUE(),IF(('Match Log'!$A$4:$A$1510=$A520)*('Match Log'!$E$4:$E$1510="Win"),'Match Log'!$D$4:$D$1510,"")),IFERROR(LOOKUP(2,1/(('Match Log'!$A$4:$A$1510=$A520)*('Match Log'!$E$4:$E$1510="Win")),'Match Log'!$D$4:$D$1510),""))</f>
        <v/>
      </c>
      <c r="E520" t="str">
        <f>IFERROR(INDEX('Match Log'!$F$4:$F$1510,MATCH($A520,'Match Log'!$A$4:$A$1510,0)),"")</f>
        <v/>
      </c>
      <c r="F520">
        <f>IFERROR(SUMIFS('Match Log'!$I$4:$I$1510,'Match Log'!$A$4:$A$1510,$A520,'Match Log'!$E$4:$E$1510,"Win"),"")</f>
        <v>0</v>
      </c>
      <c r="G520" t="str">
        <f t="shared" si="35"/>
        <v/>
      </c>
      <c r="H520" t="str">
        <f t="array" ref="H520">IFERROR(IF(COUNTIFS('Match Log'!$A$4:$A$1510,$A520,'Match Log'!$E$4:$E$1510,"Win")&gt;1,_xlfn.TEXTJOIN(" + ",TRUE(),IF(('Match Log'!$A$4:$A$1510=$A520)*('Match Log'!$E$4:$E$1510="Loss"),'Match Log'!$D$4:$D$1510,"")),IF($E520=2,LOOKUP(2,1/(('Match Log'!$A$4:$A$1510=$A520)*('Match Log'!$E$4:$E$1510="Loss")),'Match Log'!$D$4:$D$1510),"the field")),"")</f>
        <v>the field</v>
      </c>
      <c r="I520" t="str">
        <f t="shared" si="36"/>
        <v/>
      </c>
      <c r="J520">
        <v>496</v>
      </c>
      <c r="K520" t="e">
        <f>IF($J520&gt;MAX('Match Log'!$A$4:$A$1510),NA(),IFERROR(LOOKUP(2,1/(('Match Log'!$D$4:$D$1510=$K$24)*('Match Log'!$A$4:$A$1510&lt;=$J520)),'Match Log'!$N$4:$N$1510),NA()))</f>
        <v>#N/A</v>
      </c>
      <c r="L520" t="e">
        <f>IF($J520&gt;MAX('Match Log'!$A$4:$A$1510),NA(),IFERROR(LOOKUP(2,1/(('Match Log'!$D$4:$D$1510=$L$24)*('Match Log'!$A$4:$A$1510&lt;=$J520)),'Match Log'!$N$4:$N$1510),NA()))</f>
        <v>#N/A</v>
      </c>
      <c r="M520" t="e">
        <f>IF($J520&gt;MAX('Match Log'!$A$4:$A$1510),NA(),IFERROR(LOOKUP(2,1/(('Match Log'!$D$4:$D$1510=$M$24)*('Match Log'!$A$4:$A$1510&lt;=$J520)),'Match Log'!$N$4:$N$1510),NA()))</f>
        <v>#N/A</v>
      </c>
      <c r="N520" t="e">
        <f>IF($J520&gt;MAX('Match Log'!$A$4:$A$1510),NA(),IFERROR(LOOKUP(2,1/(('Match Log'!$D$4:$D$1510=$N$24)*('Match Log'!$A$4:$A$1510&lt;=$J520)),'Match Log'!$N$4:$N$1510),NA()))</f>
        <v>#N/A</v>
      </c>
      <c r="O520" t="e">
        <f>IF($J520&gt;MAX('Match Log'!$A$4:$A$1510),NA(),IFERROR(LOOKUP(2,1/(('Match Log'!$D$4:$D$1510=$O$24)*('Match Log'!$A$4:$A$1510&lt;=$J520)),'Match Log'!$N$4:$N$1510),NA()))</f>
        <v>#N/A</v>
      </c>
      <c r="P520" t="e">
        <f>IF($J520&gt;MAX('Match Log'!$A$4:$A$1510),NA(),IFERROR(LOOKUP(2,1/(('Match Log'!$D$4:$D$1510=$P$24)*('Match Log'!$A$4:$A$1510&lt;=$J520)),'Match Log'!$N$4:$N$1510),NA()))</f>
        <v>#N/A</v>
      </c>
      <c r="Q520" t="e">
        <f>IF($J520&gt;MAX('Match Log'!$A$4:$A$1510),NA(),IFERROR(LOOKUP(2,1/(('Match Log'!$D$4:$D$1510=$Q$24)*('Match Log'!$A$4:$A$1510&lt;=$J520)),'Match Log'!$N$4:$N$1510),NA()))</f>
        <v>#N/A</v>
      </c>
      <c r="R520" t="e">
        <f>IF($J520&gt;MAX('Match Log'!$A$4:$A$1510),NA(),IFERROR(LOOKUP(2,1/(('Match Log'!$D$4:$D$1510=$R$24)*('Match Log'!$A$4:$A$1510&lt;=$J520)),'Match Log'!$N$4:$N$1510),NA()))</f>
        <v>#N/A</v>
      </c>
      <c r="S520" t="e">
        <f>IF($J520&gt;MAX('Match Log'!$A$4:$A$1510),NA(),IFERROR(LOOKUP(2,1/(('Match Log'!$D$4:$D$1510=$S$24)*('Match Log'!$A$4:$A$1510&lt;=$J520)),'Match Log'!$N$4:$N$1510),NA()))</f>
        <v>#N/A</v>
      </c>
      <c r="T520" t="e">
        <f>IF($J520&gt;MAX('Match Log'!$A$4:$A$1510),NA(),IFERROR(LOOKUP(2,1/(('Match Log'!$D$4:$D$1510=$T$24)*('Match Log'!$A$4:$A$1510&lt;=$J520)),'Match Log'!$N$4:$N$1510),NA()))</f>
        <v>#N/A</v>
      </c>
      <c r="U520" t="e">
        <f>IF($J520&gt;MAX('Match Log'!$A$4:$A$1510),NA(),IFERROR(LOOKUP(2,1/(('Match Log'!$D$4:$D$1510=$U$24)*('Match Log'!$A$4:$A$1510&lt;=$J520)),'Match Log'!$N$4:$N$1510),NA()))</f>
        <v>#N/A</v>
      </c>
      <c r="V520" t="e">
        <f>IF($J520&gt;MAX('Match Log'!$A$4:$A$1510),NA(),IFERROR(LOOKUP(2,1/(('Match Log'!$D$4:$D$1510=$V$24)*('Match Log'!$A$4:$A$1510&lt;=$J520)),'Match Log'!$N$4:$N$1510),NA()))</f>
        <v>#N/A</v>
      </c>
      <c r="W520" t="e">
        <f>IF($J520&gt;MAX('Match Log'!$A$4:$A$1510),NA(),IFERROR(LOOKUP(2,1/(('Match Log'!$D$4:$D$1510=$W$24)*('Match Log'!$A$4:$A$1510&lt;=$J520)),'Match Log'!$N$4:$N$1510),NA()))</f>
        <v>#N/A</v>
      </c>
      <c r="X520" t="e">
        <f>IF($J520&gt;MAX('Match Log'!$A$4:$A$1510),NA(),IFERROR(LOOKUP(2,1/(('Match Log'!$D$4:$D$1510=$X$24)*('Match Log'!$A$4:$A$1510&lt;=$J520)),'Match Log'!$N$4:$N$1510),NA()))</f>
        <v>#N/A</v>
      </c>
      <c r="Y520" t="str">
        <f t="shared" ca="1" si="37"/>
        <v/>
      </c>
    </row>
    <row r="521" spans="1:25" x14ac:dyDescent="0.2">
      <c r="A521">
        <v>497</v>
      </c>
      <c r="B521" t="str">
        <f>IFERROR(INDEX('Match Log'!$B$4:$B$1510,MATCH($A521,'Match Log'!$A$4:$A$1510,0)),"")</f>
        <v/>
      </c>
      <c r="C521" t="str">
        <f>IFERROR(INDEX('Match Log'!$C$4:$C$1510,MATCH($A521,'Match Log'!$A$4:$A$1510,0)),"")</f>
        <v/>
      </c>
      <c r="D521" t="str">
        <f t="array" ref="D521">IFERROR(_xlfn.TEXTJOIN(" + ",TRUE(),IF(('Match Log'!$A$4:$A$1510=$A521)*('Match Log'!$E$4:$E$1510="Win"),'Match Log'!$D$4:$D$1510,"")),IFERROR(LOOKUP(2,1/(('Match Log'!$A$4:$A$1510=$A521)*('Match Log'!$E$4:$E$1510="Win")),'Match Log'!$D$4:$D$1510),""))</f>
        <v/>
      </c>
      <c r="E521" t="str">
        <f>IFERROR(INDEX('Match Log'!$F$4:$F$1510,MATCH($A521,'Match Log'!$A$4:$A$1510,0)),"")</f>
        <v/>
      </c>
      <c r="F521">
        <f>IFERROR(SUMIFS('Match Log'!$I$4:$I$1510,'Match Log'!$A$4:$A$1510,$A521,'Match Log'!$E$4:$E$1510,"Win"),"")</f>
        <v>0</v>
      </c>
      <c r="G521" t="str">
        <f t="shared" si="35"/>
        <v/>
      </c>
      <c r="H521" t="str">
        <f t="array" ref="H521">IFERROR(IF(COUNTIFS('Match Log'!$A$4:$A$1510,$A521,'Match Log'!$E$4:$E$1510,"Win")&gt;1,_xlfn.TEXTJOIN(" + ",TRUE(),IF(('Match Log'!$A$4:$A$1510=$A521)*('Match Log'!$E$4:$E$1510="Loss"),'Match Log'!$D$4:$D$1510,"")),IF($E521=2,LOOKUP(2,1/(('Match Log'!$A$4:$A$1510=$A521)*('Match Log'!$E$4:$E$1510="Loss")),'Match Log'!$D$4:$D$1510),"the field")),"")</f>
        <v>the field</v>
      </c>
      <c r="I521" t="str">
        <f t="shared" si="36"/>
        <v/>
      </c>
      <c r="J521">
        <v>497</v>
      </c>
      <c r="K521" t="e">
        <f>IF($J521&gt;MAX('Match Log'!$A$4:$A$1510),NA(),IFERROR(LOOKUP(2,1/(('Match Log'!$D$4:$D$1510=$K$24)*('Match Log'!$A$4:$A$1510&lt;=$J521)),'Match Log'!$N$4:$N$1510),NA()))</f>
        <v>#N/A</v>
      </c>
      <c r="L521" t="e">
        <f>IF($J521&gt;MAX('Match Log'!$A$4:$A$1510),NA(),IFERROR(LOOKUP(2,1/(('Match Log'!$D$4:$D$1510=$L$24)*('Match Log'!$A$4:$A$1510&lt;=$J521)),'Match Log'!$N$4:$N$1510),NA()))</f>
        <v>#N/A</v>
      </c>
      <c r="M521" t="e">
        <f>IF($J521&gt;MAX('Match Log'!$A$4:$A$1510),NA(),IFERROR(LOOKUP(2,1/(('Match Log'!$D$4:$D$1510=$M$24)*('Match Log'!$A$4:$A$1510&lt;=$J521)),'Match Log'!$N$4:$N$1510),NA()))</f>
        <v>#N/A</v>
      </c>
      <c r="N521" t="e">
        <f>IF($J521&gt;MAX('Match Log'!$A$4:$A$1510),NA(),IFERROR(LOOKUP(2,1/(('Match Log'!$D$4:$D$1510=$N$24)*('Match Log'!$A$4:$A$1510&lt;=$J521)),'Match Log'!$N$4:$N$1510),NA()))</f>
        <v>#N/A</v>
      </c>
      <c r="O521" t="e">
        <f>IF($J521&gt;MAX('Match Log'!$A$4:$A$1510),NA(),IFERROR(LOOKUP(2,1/(('Match Log'!$D$4:$D$1510=$O$24)*('Match Log'!$A$4:$A$1510&lt;=$J521)),'Match Log'!$N$4:$N$1510),NA()))</f>
        <v>#N/A</v>
      </c>
      <c r="P521" t="e">
        <f>IF($J521&gt;MAX('Match Log'!$A$4:$A$1510),NA(),IFERROR(LOOKUP(2,1/(('Match Log'!$D$4:$D$1510=$P$24)*('Match Log'!$A$4:$A$1510&lt;=$J521)),'Match Log'!$N$4:$N$1510),NA()))</f>
        <v>#N/A</v>
      </c>
      <c r="Q521" t="e">
        <f>IF($J521&gt;MAX('Match Log'!$A$4:$A$1510),NA(),IFERROR(LOOKUP(2,1/(('Match Log'!$D$4:$D$1510=$Q$24)*('Match Log'!$A$4:$A$1510&lt;=$J521)),'Match Log'!$N$4:$N$1510),NA()))</f>
        <v>#N/A</v>
      </c>
      <c r="R521" t="e">
        <f>IF($J521&gt;MAX('Match Log'!$A$4:$A$1510),NA(),IFERROR(LOOKUP(2,1/(('Match Log'!$D$4:$D$1510=$R$24)*('Match Log'!$A$4:$A$1510&lt;=$J521)),'Match Log'!$N$4:$N$1510),NA()))</f>
        <v>#N/A</v>
      </c>
      <c r="S521" t="e">
        <f>IF($J521&gt;MAX('Match Log'!$A$4:$A$1510),NA(),IFERROR(LOOKUP(2,1/(('Match Log'!$D$4:$D$1510=$S$24)*('Match Log'!$A$4:$A$1510&lt;=$J521)),'Match Log'!$N$4:$N$1510),NA()))</f>
        <v>#N/A</v>
      </c>
      <c r="T521" t="e">
        <f>IF($J521&gt;MAX('Match Log'!$A$4:$A$1510),NA(),IFERROR(LOOKUP(2,1/(('Match Log'!$D$4:$D$1510=$T$24)*('Match Log'!$A$4:$A$1510&lt;=$J521)),'Match Log'!$N$4:$N$1510),NA()))</f>
        <v>#N/A</v>
      </c>
      <c r="U521" t="e">
        <f>IF($J521&gt;MAX('Match Log'!$A$4:$A$1510),NA(),IFERROR(LOOKUP(2,1/(('Match Log'!$D$4:$D$1510=$U$24)*('Match Log'!$A$4:$A$1510&lt;=$J521)),'Match Log'!$N$4:$N$1510),NA()))</f>
        <v>#N/A</v>
      </c>
      <c r="V521" t="e">
        <f>IF($J521&gt;MAX('Match Log'!$A$4:$A$1510),NA(),IFERROR(LOOKUP(2,1/(('Match Log'!$D$4:$D$1510=$V$24)*('Match Log'!$A$4:$A$1510&lt;=$J521)),'Match Log'!$N$4:$N$1510),NA()))</f>
        <v>#N/A</v>
      </c>
      <c r="W521" t="e">
        <f>IF($J521&gt;MAX('Match Log'!$A$4:$A$1510),NA(),IFERROR(LOOKUP(2,1/(('Match Log'!$D$4:$D$1510=$W$24)*('Match Log'!$A$4:$A$1510&lt;=$J521)),'Match Log'!$N$4:$N$1510),NA()))</f>
        <v>#N/A</v>
      </c>
      <c r="X521" t="e">
        <f>IF($J521&gt;MAX('Match Log'!$A$4:$A$1510),NA(),IFERROR(LOOKUP(2,1/(('Match Log'!$D$4:$D$1510=$X$24)*('Match Log'!$A$4:$A$1510&lt;=$J521)),'Match Log'!$N$4:$N$1510),NA()))</f>
        <v>#N/A</v>
      </c>
      <c r="Y521" t="str">
        <f t="shared" ca="1" si="37"/>
        <v/>
      </c>
    </row>
    <row r="522" spans="1:25" x14ac:dyDescent="0.2">
      <c r="A522">
        <v>498</v>
      </c>
      <c r="B522" t="str">
        <f>IFERROR(INDEX('Match Log'!$B$4:$B$1510,MATCH($A522,'Match Log'!$A$4:$A$1510,0)),"")</f>
        <v/>
      </c>
      <c r="C522" t="str">
        <f>IFERROR(INDEX('Match Log'!$C$4:$C$1510,MATCH($A522,'Match Log'!$A$4:$A$1510,0)),"")</f>
        <v/>
      </c>
      <c r="D522" t="str">
        <f t="array" ref="D522">IFERROR(_xlfn.TEXTJOIN(" + ",TRUE(),IF(('Match Log'!$A$4:$A$1510=$A522)*('Match Log'!$E$4:$E$1510="Win"),'Match Log'!$D$4:$D$1510,"")),IFERROR(LOOKUP(2,1/(('Match Log'!$A$4:$A$1510=$A522)*('Match Log'!$E$4:$E$1510="Win")),'Match Log'!$D$4:$D$1510),""))</f>
        <v/>
      </c>
      <c r="E522" t="str">
        <f>IFERROR(INDEX('Match Log'!$F$4:$F$1510,MATCH($A522,'Match Log'!$A$4:$A$1510,0)),"")</f>
        <v/>
      </c>
      <c r="F522">
        <f>IFERROR(SUMIFS('Match Log'!$I$4:$I$1510,'Match Log'!$A$4:$A$1510,$A522,'Match Log'!$E$4:$E$1510,"Win"),"")</f>
        <v>0</v>
      </c>
      <c r="G522" t="str">
        <f t="shared" si="35"/>
        <v/>
      </c>
      <c r="H522" t="str">
        <f t="array" ref="H522">IFERROR(IF(COUNTIFS('Match Log'!$A$4:$A$1510,$A522,'Match Log'!$E$4:$E$1510,"Win")&gt;1,_xlfn.TEXTJOIN(" + ",TRUE(),IF(('Match Log'!$A$4:$A$1510=$A522)*('Match Log'!$E$4:$E$1510="Loss"),'Match Log'!$D$4:$D$1510,"")),IF($E522=2,LOOKUP(2,1/(('Match Log'!$A$4:$A$1510=$A522)*('Match Log'!$E$4:$E$1510="Loss")),'Match Log'!$D$4:$D$1510),"the field")),"")</f>
        <v>the field</v>
      </c>
      <c r="I522" t="str">
        <f t="shared" si="36"/>
        <v/>
      </c>
      <c r="J522">
        <v>498</v>
      </c>
      <c r="K522" t="e">
        <f>IF($J522&gt;MAX('Match Log'!$A$4:$A$1510),NA(),IFERROR(LOOKUP(2,1/(('Match Log'!$D$4:$D$1510=$K$24)*('Match Log'!$A$4:$A$1510&lt;=$J522)),'Match Log'!$N$4:$N$1510),NA()))</f>
        <v>#N/A</v>
      </c>
      <c r="L522" t="e">
        <f>IF($J522&gt;MAX('Match Log'!$A$4:$A$1510),NA(),IFERROR(LOOKUP(2,1/(('Match Log'!$D$4:$D$1510=$L$24)*('Match Log'!$A$4:$A$1510&lt;=$J522)),'Match Log'!$N$4:$N$1510),NA()))</f>
        <v>#N/A</v>
      </c>
      <c r="M522" t="e">
        <f>IF($J522&gt;MAX('Match Log'!$A$4:$A$1510),NA(),IFERROR(LOOKUP(2,1/(('Match Log'!$D$4:$D$1510=$M$24)*('Match Log'!$A$4:$A$1510&lt;=$J522)),'Match Log'!$N$4:$N$1510),NA()))</f>
        <v>#N/A</v>
      </c>
      <c r="N522" t="e">
        <f>IF($J522&gt;MAX('Match Log'!$A$4:$A$1510),NA(),IFERROR(LOOKUP(2,1/(('Match Log'!$D$4:$D$1510=$N$24)*('Match Log'!$A$4:$A$1510&lt;=$J522)),'Match Log'!$N$4:$N$1510),NA()))</f>
        <v>#N/A</v>
      </c>
      <c r="O522" t="e">
        <f>IF($J522&gt;MAX('Match Log'!$A$4:$A$1510),NA(),IFERROR(LOOKUP(2,1/(('Match Log'!$D$4:$D$1510=$O$24)*('Match Log'!$A$4:$A$1510&lt;=$J522)),'Match Log'!$N$4:$N$1510),NA()))</f>
        <v>#N/A</v>
      </c>
      <c r="P522" t="e">
        <f>IF($J522&gt;MAX('Match Log'!$A$4:$A$1510),NA(),IFERROR(LOOKUP(2,1/(('Match Log'!$D$4:$D$1510=$P$24)*('Match Log'!$A$4:$A$1510&lt;=$J522)),'Match Log'!$N$4:$N$1510),NA()))</f>
        <v>#N/A</v>
      </c>
      <c r="Q522" t="e">
        <f>IF($J522&gt;MAX('Match Log'!$A$4:$A$1510),NA(),IFERROR(LOOKUP(2,1/(('Match Log'!$D$4:$D$1510=$Q$24)*('Match Log'!$A$4:$A$1510&lt;=$J522)),'Match Log'!$N$4:$N$1510),NA()))</f>
        <v>#N/A</v>
      </c>
      <c r="R522" t="e">
        <f>IF($J522&gt;MAX('Match Log'!$A$4:$A$1510),NA(),IFERROR(LOOKUP(2,1/(('Match Log'!$D$4:$D$1510=$R$24)*('Match Log'!$A$4:$A$1510&lt;=$J522)),'Match Log'!$N$4:$N$1510),NA()))</f>
        <v>#N/A</v>
      </c>
      <c r="S522" t="e">
        <f>IF($J522&gt;MAX('Match Log'!$A$4:$A$1510),NA(),IFERROR(LOOKUP(2,1/(('Match Log'!$D$4:$D$1510=$S$24)*('Match Log'!$A$4:$A$1510&lt;=$J522)),'Match Log'!$N$4:$N$1510),NA()))</f>
        <v>#N/A</v>
      </c>
      <c r="T522" t="e">
        <f>IF($J522&gt;MAX('Match Log'!$A$4:$A$1510),NA(),IFERROR(LOOKUP(2,1/(('Match Log'!$D$4:$D$1510=$T$24)*('Match Log'!$A$4:$A$1510&lt;=$J522)),'Match Log'!$N$4:$N$1510),NA()))</f>
        <v>#N/A</v>
      </c>
      <c r="U522" t="e">
        <f>IF($J522&gt;MAX('Match Log'!$A$4:$A$1510),NA(),IFERROR(LOOKUP(2,1/(('Match Log'!$D$4:$D$1510=$U$24)*('Match Log'!$A$4:$A$1510&lt;=$J522)),'Match Log'!$N$4:$N$1510),NA()))</f>
        <v>#N/A</v>
      </c>
      <c r="V522" t="e">
        <f>IF($J522&gt;MAX('Match Log'!$A$4:$A$1510),NA(),IFERROR(LOOKUP(2,1/(('Match Log'!$D$4:$D$1510=$V$24)*('Match Log'!$A$4:$A$1510&lt;=$J522)),'Match Log'!$N$4:$N$1510),NA()))</f>
        <v>#N/A</v>
      </c>
      <c r="W522" t="e">
        <f>IF($J522&gt;MAX('Match Log'!$A$4:$A$1510),NA(),IFERROR(LOOKUP(2,1/(('Match Log'!$D$4:$D$1510=$W$24)*('Match Log'!$A$4:$A$1510&lt;=$J522)),'Match Log'!$N$4:$N$1510),NA()))</f>
        <v>#N/A</v>
      </c>
      <c r="X522" t="e">
        <f>IF($J522&gt;MAX('Match Log'!$A$4:$A$1510),NA(),IFERROR(LOOKUP(2,1/(('Match Log'!$D$4:$D$1510=$X$24)*('Match Log'!$A$4:$A$1510&lt;=$J522)),'Match Log'!$N$4:$N$1510),NA()))</f>
        <v>#N/A</v>
      </c>
      <c r="Y522" t="str">
        <f t="shared" ca="1" si="37"/>
        <v/>
      </c>
    </row>
    <row r="523" spans="1:25" x14ac:dyDescent="0.2">
      <c r="A523">
        <v>499</v>
      </c>
      <c r="B523" t="str">
        <f>IFERROR(INDEX('Match Log'!$B$4:$B$1510,MATCH($A523,'Match Log'!$A$4:$A$1510,0)),"")</f>
        <v/>
      </c>
      <c r="C523" t="str">
        <f>IFERROR(INDEX('Match Log'!$C$4:$C$1510,MATCH($A523,'Match Log'!$A$4:$A$1510,0)),"")</f>
        <v/>
      </c>
      <c r="D523" t="str">
        <f t="array" ref="D523">IFERROR(_xlfn.TEXTJOIN(" + ",TRUE(),IF(('Match Log'!$A$4:$A$1510=$A523)*('Match Log'!$E$4:$E$1510="Win"),'Match Log'!$D$4:$D$1510,"")),IFERROR(LOOKUP(2,1/(('Match Log'!$A$4:$A$1510=$A523)*('Match Log'!$E$4:$E$1510="Win")),'Match Log'!$D$4:$D$1510),""))</f>
        <v/>
      </c>
      <c r="E523" t="str">
        <f>IFERROR(INDEX('Match Log'!$F$4:$F$1510,MATCH($A523,'Match Log'!$A$4:$A$1510,0)),"")</f>
        <v/>
      </c>
      <c r="F523">
        <f>IFERROR(SUMIFS('Match Log'!$I$4:$I$1510,'Match Log'!$A$4:$A$1510,$A523,'Match Log'!$E$4:$E$1510,"Win"),"")</f>
        <v>0</v>
      </c>
      <c r="G523" t="str">
        <f t="shared" si="35"/>
        <v/>
      </c>
      <c r="H523" t="str">
        <f t="array" ref="H523">IFERROR(IF(COUNTIFS('Match Log'!$A$4:$A$1510,$A523,'Match Log'!$E$4:$E$1510,"Win")&gt;1,_xlfn.TEXTJOIN(" + ",TRUE(),IF(('Match Log'!$A$4:$A$1510=$A523)*('Match Log'!$E$4:$E$1510="Loss"),'Match Log'!$D$4:$D$1510,"")),IF($E523=2,LOOKUP(2,1/(('Match Log'!$A$4:$A$1510=$A523)*('Match Log'!$E$4:$E$1510="Loss")),'Match Log'!$D$4:$D$1510),"the field")),"")</f>
        <v>the field</v>
      </c>
      <c r="I523" t="str">
        <f t="shared" si="36"/>
        <v/>
      </c>
      <c r="J523">
        <v>499</v>
      </c>
      <c r="K523" t="e">
        <f>IF($J523&gt;MAX('Match Log'!$A$4:$A$1510),NA(),IFERROR(LOOKUP(2,1/(('Match Log'!$D$4:$D$1510=$K$24)*('Match Log'!$A$4:$A$1510&lt;=$J523)),'Match Log'!$N$4:$N$1510),NA()))</f>
        <v>#N/A</v>
      </c>
      <c r="L523" t="e">
        <f>IF($J523&gt;MAX('Match Log'!$A$4:$A$1510),NA(),IFERROR(LOOKUP(2,1/(('Match Log'!$D$4:$D$1510=$L$24)*('Match Log'!$A$4:$A$1510&lt;=$J523)),'Match Log'!$N$4:$N$1510),NA()))</f>
        <v>#N/A</v>
      </c>
      <c r="M523" t="e">
        <f>IF($J523&gt;MAX('Match Log'!$A$4:$A$1510),NA(),IFERROR(LOOKUP(2,1/(('Match Log'!$D$4:$D$1510=$M$24)*('Match Log'!$A$4:$A$1510&lt;=$J523)),'Match Log'!$N$4:$N$1510),NA()))</f>
        <v>#N/A</v>
      </c>
      <c r="N523" t="e">
        <f>IF($J523&gt;MAX('Match Log'!$A$4:$A$1510),NA(),IFERROR(LOOKUP(2,1/(('Match Log'!$D$4:$D$1510=$N$24)*('Match Log'!$A$4:$A$1510&lt;=$J523)),'Match Log'!$N$4:$N$1510),NA()))</f>
        <v>#N/A</v>
      </c>
      <c r="O523" t="e">
        <f>IF($J523&gt;MAX('Match Log'!$A$4:$A$1510),NA(),IFERROR(LOOKUP(2,1/(('Match Log'!$D$4:$D$1510=$O$24)*('Match Log'!$A$4:$A$1510&lt;=$J523)),'Match Log'!$N$4:$N$1510),NA()))</f>
        <v>#N/A</v>
      </c>
      <c r="P523" t="e">
        <f>IF($J523&gt;MAX('Match Log'!$A$4:$A$1510),NA(),IFERROR(LOOKUP(2,1/(('Match Log'!$D$4:$D$1510=$P$24)*('Match Log'!$A$4:$A$1510&lt;=$J523)),'Match Log'!$N$4:$N$1510),NA()))</f>
        <v>#N/A</v>
      </c>
      <c r="Q523" t="e">
        <f>IF($J523&gt;MAX('Match Log'!$A$4:$A$1510),NA(),IFERROR(LOOKUP(2,1/(('Match Log'!$D$4:$D$1510=$Q$24)*('Match Log'!$A$4:$A$1510&lt;=$J523)),'Match Log'!$N$4:$N$1510),NA()))</f>
        <v>#N/A</v>
      </c>
      <c r="R523" t="e">
        <f>IF($J523&gt;MAX('Match Log'!$A$4:$A$1510),NA(),IFERROR(LOOKUP(2,1/(('Match Log'!$D$4:$D$1510=$R$24)*('Match Log'!$A$4:$A$1510&lt;=$J523)),'Match Log'!$N$4:$N$1510),NA()))</f>
        <v>#N/A</v>
      </c>
      <c r="S523" t="e">
        <f>IF($J523&gt;MAX('Match Log'!$A$4:$A$1510),NA(),IFERROR(LOOKUP(2,1/(('Match Log'!$D$4:$D$1510=$S$24)*('Match Log'!$A$4:$A$1510&lt;=$J523)),'Match Log'!$N$4:$N$1510),NA()))</f>
        <v>#N/A</v>
      </c>
      <c r="T523" t="e">
        <f>IF($J523&gt;MAX('Match Log'!$A$4:$A$1510),NA(),IFERROR(LOOKUP(2,1/(('Match Log'!$D$4:$D$1510=$T$24)*('Match Log'!$A$4:$A$1510&lt;=$J523)),'Match Log'!$N$4:$N$1510),NA()))</f>
        <v>#N/A</v>
      </c>
      <c r="U523" t="e">
        <f>IF($J523&gt;MAX('Match Log'!$A$4:$A$1510),NA(),IFERROR(LOOKUP(2,1/(('Match Log'!$D$4:$D$1510=$U$24)*('Match Log'!$A$4:$A$1510&lt;=$J523)),'Match Log'!$N$4:$N$1510),NA()))</f>
        <v>#N/A</v>
      </c>
      <c r="V523" t="e">
        <f>IF($J523&gt;MAX('Match Log'!$A$4:$A$1510),NA(),IFERROR(LOOKUP(2,1/(('Match Log'!$D$4:$D$1510=$V$24)*('Match Log'!$A$4:$A$1510&lt;=$J523)),'Match Log'!$N$4:$N$1510),NA()))</f>
        <v>#N/A</v>
      </c>
      <c r="W523" t="e">
        <f>IF($J523&gt;MAX('Match Log'!$A$4:$A$1510),NA(),IFERROR(LOOKUP(2,1/(('Match Log'!$D$4:$D$1510=$W$24)*('Match Log'!$A$4:$A$1510&lt;=$J523)),'Match Log'!$N$4:$N$1510),NA()))</f>
        <v>#N/A</v>
      </c>
      <c r="X523" t="e">
        <f>IF($J523&gt;MAX('Match Log'!$A$4:$A$1510),NA(),IFERROR(LOOKUP(2,1/(('Match Log'!$D$4:$D$1510=$X$24)*('Match Log'!$A$4:$A$1510&lt;=$J523)),'Match Log'!$N$4:$N$1510),NA()))</f>
        <v>#N/A</v>
      </c>
      <c r="Y523" t="str">
        <f t="shared" ca="1" si="37"/>
        <v/>
      </c>
    </row>
    <row r="524" spans="1:25" x14ac:dyDescent="0.2">
      <c r="A524">
        <v>500</v>
      </c>
      <c r="B524" t="str">
        <f>IFERROR(INDEX('Match Log'!$B$4:$B$1510,MATCH($A524,'Match Log'!$A$4:$A$1510,0)),"")</f>
        <v/>
      </c>
      <c r="C524" t="str">
        <f>IFERROR(INDEX('Match Log'!$C$4:$C$1510,MATCH($A524,'Match Log'!$A$4:$A$1510,0)),"")</f>
        <v/>
      </c>
      <c r="D524" t="str">
        <f t="array" ref="D524">IFERROR(_xlfn.TEXTJOIN(" + ",TRUE(),IF(('Match Log'!$A$4:$A$1510=$A524)*('Match Log'!$E$4:$E$1510="Win"),'Match Log'!$D$4:$D$1510,"")),IFERROR(LOOKUP(2,1/(('Match Log'!$A$4:$A$1510=$A524)*('Match Log'!$E$4:$E$1510="Win")),'Match Log'!$D$4:$D$1510),""))</f>
        <v/>
      </c>
      <c r="E524" t="str">
        <f>IFERROR(INDEX('Match Log'!$F$4:$F$1510,MATCH($A524,'Match Log'!$A$4:$A$1510,0)),"")</f>
        <v/>
      </c>
      <c r="F524">
        <f>IFERROR(SUMIFS('Match Log'!$I$4:$I$1510,'Match Log'!$A$4:$A$1510,$A524,'Match Log'!$E$4:$E$1510,"Win"),"")</f>
        <v>0</v>
      </c>
      <c r="G524" t="str">
        <f t="shared" si="35"/>
        <v/>
      </c>
      <c r="H524" t="str">
        <f t="array" ref="H524">IFERROR(IF(COUNTIFS('Match Log'!$A$4:$A$1510,$A524,'Match Log'!$E$4:$E$1510,"Win")&gt;1,_xlfn.TEXTJOIN(" + ",TRUE(),IF(('Match Log'!$A$4:$A$1510=$A524)*('Match Log'!$E$4:$E$1510="Loss"),'Match Log'!$D$4:$D$1510,"")),IF($E524=2,LOOKUP(2,1/(('Match Log'!$A$4:$A$1510=$A524)*('Match Log'!$E$4:$E$1510="Loss")),'Match Log'!$D$4:$D$1510),"the field")),"")</f>
        <v>the field</v>
      </c>
      <c r="I524" t="str">
        <f t="shared" si="36"/>
        <v/>
      </c>
      <c r="J524">
        <v>500</v>
      </c>
      <c r="K524" t="e">
        <f>IF($J524&gt;MAX('Match Log'!$A$4:$A$1510),NA(),IFERROR(LOOKUP(2,1/(('Match Log'!$D$4:$D$1510=$K$24)*('Match Log'!$A$4:$A$1510&lt;=$J524)),'Match Log'!$N$4:$N$1510),NA()))</f>
        <v>#N/A</v>
      </c>
      <c r="L524" t="e">
        <f>IF($J524&gt;MAX('Match Log'!$A$4:$A$1510),NA(),IFERROR(LOOKUP(2,1/(('Match Log'!$D$4:$D$1510=$L$24)*('Match Log'!$A$4:$A$1510&lt;=$J524)),'Match Log'!$N$4:$N$1510),NA()))</f>
        <v>#N/A</v>
      </c>
      <c r="M524" t="e">
        <f>IF($J524&gt;MAX('Match Log'!$A$4:$A$1510),NA(),IFERROR(LOOKUP(2,1/(('Match Log'!$D$4:$D$1510=$M$24)*('Match Log'!$A$4:$A$1510&lt;=$J524)),'Match Log'!$N$4:$N$1510),NA()))</f>
        <v>#N/A</v>
      </c>
      <c r="N524" t="e">
        <f>IF($J524&gt;MAX('Match Log'!$A$4:$A$1510),NA(),IFERROR(LOOKUP(2,1/(('Match Log'!$D$4:$D$1510=$N$24)*('Match Log'!$A$4:$A$1510&lt;=$J524)),'Match Log'!$N$4:$N$1510),NA()))</f>
        <v>#N/A</v>
      </c>
      <c r="O524" t="e">
        <f>IF($J524&gt;MAX('Match Log'!$A$4:$A$1510),NA(),IFERROR(LOOKUP(2,1/(('Match Log'!$D$4:$D$1510=$O$24)*('Match Log'!$A$4:$A$1510&lt;=$J524)),'Match Log'!$N$4:$N$1510),NA()))</f>
        <v>#N/A</v>
      </c>
      <c r="P524" t="e">
        <f>IF($J524&gt;MAX('Match Log'!$A$4:$A$1510),NA(),IFERROR(LOOKUP(2,1/(('Match Log'!$D$4:$D$1510=$P$24)*('Match Log'!$A$4:$A$1510&lt;=$J524)),'Match Log'!$N$4:$N$1510),NA()))</f>
        <v>#N/A</v>
      </c>
      <c r="Q524" t="e">
        <f>IF($J524&gt;MAX('Match Log'!$A$4:$A$1510),NA(),IFERROR(LOOKUP(2,1/(('Match Log'!$D$4:$D$1510=$Q$24)*('Match Log'!$A$4:$A$1510&lt;=$J524)),'Match Log'!$N$4:$N$1510),NA()))</f>
        <v>#N/A</v>
      </c>
      <c r="R524" t="e">
        <f>IF($J524&gt;MAX('Match Log'!$A$4:$A$1510),NA(),IFERROR(LOOKUP(2,1/(('Match Log'!$D$4:$D$1510=$R$24)*('Match Log'!$A$4:$A$1510&lt;=$J524)),'Match Log'!$N$4:$N$1510),NA()))</f>
        <v>#N/A</v>
      </c>
      <c r="S524" t="e">
        <f>IF($J524&gt;MAX('Match Log'!$A$4:$A$1510),NA(),IFERROR(LOOKUP(2,1/(('Match Log'!$D$4:$D$1510=$S$24)*('Match Log'!$A$4:$A$1510&lt;=$J524)),'Match Log'!$N$4:$N$1510),NA()))</f>
        <v>#N/A</v>
      </c>
      <c r="T524" t="e">
        <f>IF($J524&gt;MAX('Match Log'!$A$4:$A$1510),NA(),IFERROR(LOOKUP(2,1/(('Match Log'!$D$4:$D$1510=$T$24)*('Match Log'!$A$4:$A$1510&lt;=$J524)),'Match Log'!$N$4:$N$1510),NA()))</f>
        <v>#N/A</v>
      </c>
      <c r="U524" t="e">
        <f>IF($J524&gt;MAX('Match Log'!$A$4:$A$1510),NA(),IFERROR(LOOKUP(2,1/(('Match Log'!$D$4:$D$1510=$U$24)*('Match Log'!$A$4:$A$1510&lt;=$J524)),'Match Log'!$N$4:$N$1510),NA()))</f>
        <v>#N/A</v>
      </c>
      <c r="V524" t="e">
        <f>IF($J524&gt;MAX('Match Log'!$A$4:$A$1510),NA(),IFERROR(LOOKUP(2,1/(('Match Log'!$D$4:$D$1510=$V$24)*('Match Log'!$A$4:$A$1510&lt;=$J524)),'Match Log'!$N$4:$N$1510),NA()))</f>
        <v>#N/A</v>
      </c>
      <c r="W524" t="e">
        <f>IF($J524&gt;MAX('Match Log'!$A$4:$A$1510),NA(),IFERROR(LOOKUP(2,1/(('Match Log'!$D$4:$D$1510=$W$24)*('Match Log'!$A$4:$A$1510&lt;=$J524)),'Match Log'!$N$4:$N$1510),NA()))</f>
        <v>#N/A</v>
      </c>
      <c r="X524" t="e">
        <f>IF($J524&gt;MAX('Match Log'!$A$4:$A$1510),NA(),IFERROR(LOOKUP(2,1/(('Match Log'!$D$4:$D$1510=$X$24)*('Match Log'!$A$4:$A$1510&lt;=$J524)),'Match Log'!$N$4:$N$1510),NA()))</f>
        <v>#N/A</v>
      </c>
      <c r="Y524" t="str">
        <f t="shared" ca="1" si="37"/>
        <v/>
      </c>
    </row>
    <row r="525" spans="1:25" x14ac:dyDescent="0.2">
      <c r="A525">
        <v>501</v>
      </c>
      <c r="B525" t="str">
        <f>IFERROR(INDEX('Match Log'!$B$4:$B$1510,MATCH($A525,'Match Log'!$A$4:$A$1510,0)),"")</f>
        <v/>
      </c>
      <c r="C525" t="str">
        <f>IFERROR(INDEX('Match Log'!$C$4:$C$1510,MATCH($A525,'Match Log'!$A$4:$A$1510,0)),"")</f>
        <v/>
      </c>
      <c r="D525" t="str">
        <f t="array" ref="D525">IFERROR(_xlfn.TEXTJOIN(" + ",TRUE(),IF(('Match Log'!$A$4:$A$1510=$A525)*('Match Log'!$E$4:$E$1510="Win"),'Match Log'!$D$4:$D$1510,"")),IFERROR(LOOKUP(2,1/(('Match Log'!$A$4:$A$1510=$A525)*('Match Log'!$E$4:$E$1510="Win")),'Match Log'!$D$4:$D$1510),""))</f>
        <v/>
      </c>
      <c r="E525" t="str">
        <f>IFERROR(INDEX('Match Log'!$F$4:$F$1510,MATCH($A525,'Match Log'!$A$4:$A$1510,0)),"")</f>
        <v/>
      </c>
      <c r="F525">
        <f>IFERROR(SUMIFS('Match Log'!$I$4:$I$1510,'Match Log'!$A$4:$A$1510,$A525,'Match Log'!$E$4:$E$1510,"Win"),"")</f>
        <v>0</v>
      </c>
      <c r="G525" t="str">
        <f t="shared" si="35"/>
        <v/>
      </c>
      <c r="H525" t="str">
        <f t="array" ref="H525">IFERROR(IF(COUNTIFS('Match Log'!$A$4:$A$1510,$A525,'Match Log'!$E$4:$E$1510,"Win")&gt;1,_xlfn.TEXTJOIN(" + ",TRUE(),IF(('Match Log'!$A$4:$A$1510=$A525)*('Match Log'!$E$4:$E$1510="Loss"),'Match Log'!$D$4:$D$1510,"")),IF($E525=2,LOOKUP(2,1/(('Match Log'!$A$4:$A$1510=$A525)*('Match Log'!$E$4:$E$1510="Loss")),'Match Log'!$D$4:$D$1510),"the field")),"")</f>
        <v>the field</v>
      </c>
      <c r="I525" t="str">
        <f t="shared" si="36"/>
        <v/>
      </c>
      <c r="J525">
        <v>501</v>
      </c>
      <c r="K525" t="e">
        <f>IF($J525&gt;MAX('Match Log'!$A$4:$A$1510),NA(),IFERROR(LOOKUP(2,1/(('Match Log'!$D$4:$D$1510=$K$24)*('Match Log'!$A$4:$A$1510&lt;=$J525)),'Match Log'!$N$4:$N$1510),NA()))</f>
        <v>#N/A</v>
      </c>
      <c r="L525" t="e">
        <f>IF($J525&gt;MAX('Match Log'!$A$4:$A$1510),NA(),IFERROR(LOOKUP(2,1/(('Match Log'!$D$4:$D$1510=$L$24)*('Match Log'!$A$4:$A$1510&lt;=$J525)),'Match Log'!$N$4:$N$1510),NA()))</f>
        <v>#N/A</v>
      </c>
      <c r="M525" t="e">
        <f>IF($J525&gt;MAX('Match Log'!$A$4:$A$1510),NA(),IFERROR(LOOKUP(2,1/(('Match Log'!$D$4:$D$1510=$M$24)*('Match Log'!$A$4:$A$1510&lt;=$J525)),'Match Log'!$N$4:$N$1510),NA()))</f>
        <v>#N/A</v>
      </c>
      <c r="N525" t="e">
        <f>IF($J525&gt;MAX('Match Log'!$A$4:$A$1510),NA(),IFERROR(LOOKUP(2,1/(('Match Log'!$D$4:$D$1510=$N$24)*('Match Log'!$A$4:$A$1510&lt;=$J525)),'Match Log'!$N$4:$N$1510),NA()))</f>
        <v>#N/A</v>
      </c>
      <c r="O525" t="e">
        <f>IF($J525&gt;MAX('Match Log'!$A$4:$A$1510),NA(),IFERROR(LOOKUP(2,1/(('Match Log'!$D$4:$D$1510=$O$24)*('Match Log'!$A$4:$A$1510&lt;=$J525)),'Match Log'!$N$4:$N$1510),NA()))</f>
        <v>#N/A</v>
      </c>
      <c r="P525" t="e">
        <f>IF($J525&gt;MAX('Match Log'!$A$4:$A$1510),NA(),IFERROR(LOOKUP(2,1/(('Match Log'!$D$4:$D$1510=$P$24)*('Match Log'!$A$4:$A$1510&lt;=$J525)),'Match Log'!$N$4:$N$1510),NA()))</f>
        <v>#N/A</v>
      </c>
      <c r="Q525" t="e">
        <f>IF($J525&gt;MAX('Match Log'!$A$4:$A$1510),NA(),IFERROR(LOOKUP(2,1/(('Match Log'!$D$4:$D$1510=$Q$24)*('Match Log'!$A$4:$A$1510&lt;=$J525)),'Match Log'!$N$4:$N$1510),NA()))</f>
        <v>#N/A</v>
      </c>
      <c r="R525" t="e">
        <f>IF($J525&gt;MAX('Match Log'!$A$4:$A$1510),NA(),IFERROR(LOOKUP(2,1/(('Match Log'!$D$4:$D$1510=$R$24)*('Match Log'!$A$4:$A$1510&lt;=$J525)),'Match Log'!$N$4:$N$1510),NA()))</f>
        <v>#N/A</v>
      </c>
      <c r="S525" t="e">
        <f>IF($J525&gt;MAX('Match Log'!$A$4:$A$1510),NA(),IFERROR(LOOKUP(2,1/(('Match Log'!$D$4:$D$1510=$S$24)*('Match Log'!$A$4:$A$1510&lt;=$J525)),'Match Log'!$N$4:$N$1510),NA()))</f>
        <v>#N/A</v>
      </c>
      <c r="T525" t="e">
        <f>IF($J525&gt;MAX('Match Log'!$A$4:$A$1510),NA(),IFERROR(LOOKUP(2,1/(('Match Log'!$D$4:$D$1510=$T$24)*('Match Log'!$A$4:$A$1510&lt;=$J525)),'Match Log'!$N$4:$N$1510),NA()))</f>
        <v>#N/A</v>
      </c>
      <c r="U525" t="e">
        <f>IF($J525&gt;MAX('Match Log'!$A$4:$A$1510),NA(),IFERROR(LOOKUP(2,1/(('Match Log'!$D$4:$D$1510=$U$24)*('Match Log'!$A$4:$A$1510&lt;=$J525)),'Match Log'!$N$4:$N$1510),NA()))</f>
        <v>#N/A</v>
      </c>
      <c r="V525" t="e">
        <f>IF($J525&gt;MAX('Match Log'!$A$4:$A$1510),NA(),IFERROR(LOOKUP(2,1/(('Match Log'!$D$4:$D$1510=$V$24)*('Match Log'!$A$4:$A$1510&lt;=$J525)),'Match Log'!$N$4:$N$1510),NA()))</f>
        <v>#N/A</v>
      </c>
      <c r="W525" t="e">
        <f>IF($J525&gt;MAX('Match Log'!$A$4:$A$1510),NA(),IFERROR(LOOKUP(2,1/(('Match Log'!$D$4:$D$1510=$W$24)*('Match Log'!$A$4:$A$1510&lt;=$J525)),'Match Log'!$N$4:$N$1510),NA()))</f>
        <v>#N/A</v>
      </c>
      <c r="X525" t="e">
        <f>IF($J525&gt;MAX('Match Log'!$A$4:$A$1510),NA(),IFERROR(LOOKUP(2,1/(('Match Log'!$D$4:$D$1510=$X$24)*('Match Log'!$A$4:$A$1510&lt;=$J525)),'Match Log'!$N$4:$N$1510),NA()))</f>
        <v>#N/A</v>
      </c>
      <c r="Y525" t="str">
        <f t="shared" ca="1" si="37"/>
        <v/>
      </c>
    </row>
    <row r="526" spans="1:25" x14ac:dyDescent="0.2">
      <c r="A526">
        <v>502</v>
      </c>
      <c r="B526" t="str">
        <f>IFERROR(INDEX('Match Log'!$B$4:$B$1510,MATCH($A526,'Match Log'!$A$4:$A$1510,0)),"")</f>
        <v/>
      </c>
      <c r="C526" t="str">
        <f>IFERROR(INDEX('Match Log'!$C$4:$C$1510,MATCH($A526,'Match Log'!$A$4:$A$1510,0)),"")</f>
        <v/>
      </c>
      <c r="D526" t="str">
        <f t="array" ref="D526">IFERROR(_xlfn.TEXTJOIN(" + ",TRUE(),IF(('Match Log'!$A$4:$A$1510=$A526)*('Match Log'!$E$4:$E$1510="Win"),'Match Log'!$D$4:$D$1510,"")),IFERROR(LOOKUP(2,1/(('Match Log'!$A$4:$A$1510=$A526)*('Match Log'!$E$4:$E$1510="Win")),'Match Log'!$D$4:$D$1510),""))</f>
        <v/>
      </c>
      <c r="E526" t="str">
        <f>IFERROR(INDEX('Match Log'!$F$4:$F$1510,MATCH($A526,'Match Log'!$A$4:$A$1510,0)),"")</f>
        <v/>
      </c>
      <c r="F526">
        <f>IFERROR(SUMIFS('Match Log'!$I$4:$I$1510,'Match Log'!$A$4:$A$1510,$A526,'Match Log'!$E$4:$E$1510,"Win"),"")</f>
        <v>0</v>
      </c>
      <c r="G526" t="str">
        <f t="shared" si="35"/>
        <v/>
      </c>
      <c r="H526" t="str">
        <f t="array" ref="H526">IFERROR(IF(COUNTIFS('Match Log'!$A$4:$A$1510,$A526,'Match Log'!$E$4:$E$1510,"Win")&gt;1,_xlfn.TEXTJOIN(" + ",TRUE(),IF(('Match Log'!$A$4:$A$1510=$A526)*('Match Log'!$E$4:$E$1510="Loss"),'Match Log'!$D$4:$D$1510,"")),IF($E526=2,LOOKUP(2,1/(('Match Log'!$A$4:$A$1510=$A526)*('Match Log'!$E$4:$E$1510="Loss")),'Match Log'!$D$4:$D$1510),"the field")),"")</f>
        <v>the field</v>
      </c>
      <c r="I526" t="str">
        <f t="shared" si="36"/>
        <v/>
      </c>
      <c r="J526">
        <v>502</v>
      </c>
      <c r="K526" t="e">
        <f>IF($J526&gt;MAX('Match Log'!$A$4:$A$1510),NA(),IFERROR(LOOKUP(2,1/(('Match Log'!$D$4:$D$1510=$K$24)*('Match Log'!$A$4:$A$1510&lt;=$J526)),'Match Log'!$N$4:$N$1510),NA()))</f>
        <v>#N/A</v>
      </c>
      <c r="L526" t="e">
        <f>IF($J526&gt;MAX('Match Log'!$A$4:$A$1510),NA(),IFERROR(LOOKUP(2,1/(('Match Log'!$D$4:$D$1510=$L$24)*('Match Log'!$A$4:$A$1510&lt;=$J526)),'Match Log'!$N$4:$N$1510),NA()))</f>
        <v>#N/A</v>
      </c>
      <c r="M526" t="e">
        <f>IF($J526&gt;MAX('Match Log'!$A$4:$A$1510),NA(),IFERROR(LOOKUP(2,1/(('Match Log'!$D$4:$D$1510=$M$24)*('Match Log'!$A$4:$A$1510&lt;=$J526)),'Match Log'!$N$4:$N$1510),NA()))</f>
        <v>#N/A</v>
      </c>
      <c r="N526" t="e">
        <f>IF($J526&gt;MAX('Match Log'!$A$4:$A$1510),NA(),IFERROR(LOOKUP(2,1/(('Match Log'!$D$4:$D$1510=$N$24)*('Match Log'!$A$4:$A$1510&lt;=$J526)),'Match Log'!$N$4:$N$1510),NA()))</f>
        <v>#N/A</v>
      </c>
      <c r="O526" t="e">
        <f>IF($J526&gt;MAX('Match Log'!$A$4:$A$1510),NA(),IFERROR(LOOKUP(2,1/(('Match Log'!$D$4:$D$1510=$O$24)*('Match Log'!$A$4:$A$1510&lt;=$J526)),'Match Log'!$N$4:$N$1510),NA()))</f>
        <v>#N/A</v>
      </c>
      <c r="P526" t="e">
        <f>IF($J526&gt;MAX('Match Log'!$A$4:$A$1510),NA(),IFERROR(LOOKUP(2,1/(('Match Log'!$D$4:$D$1510=$P$24)*('Match Log'!$A$4:$A$1510&lt;=$J526)),'Match Log'!$N$4:$N$1510),NA()))</f>
        <v>#N/A</v>
      </c>
      <c r="Q526" t="e">
        <f>IF($J526&gt;MAX('Match Log'!$A$4:$A$1510),NA(),IFERROR(LOOKUP(2,1/(('Match Log'!$D$4:$D$1510=$Q$24)*('Match Log'!$A$4:$A$1510&lt;=$J526)),'Match Log'!$N$4:$N$1510),NA()))</f>
        <v>#N/A</v>
      </c>
      <c r="R526" t="e">
        <f>IF($J526&gt;MAX('Match Log'!$A$4:$A$1510),NA(),IFERROR(LOOKUP(2,1/(('Match Log'!$D$4:$D$1510=$R$24)*('Match Log'!$A$4:$A$1510&lt;=$J526)),'Match Log'!$N$4:$N$1510),NA()))</f>
        <v>#N/A</v>
      </c>
      <c r="S526" t="e">
        <f>IF($J526&gt;MAX('Match Log'!$A$4:$A$1510),NA(),IFERROR(LOOKUP(2,1/(('Match Log'!$D$4:$D$1510=$S$24)*('Match Log'!$A$4:$A$1510&lt;=$J526)),'Match Log'!$N$4:$N$1510),NA()))</f>
        <v>#N/A</v>
      </c>
      <c r="T526" t="e">
        <f>IF($J526&gt;MAX('Match Log'!$A$4:$A$1510),NA(),IFERROR(LOOKUP(2,1/(('Match Log'!$D$4:$D$1510=$T$24)*('Match Log'!$A$4:$A$1510&lt;=$J526)),'Match Log'!$N$4:$N$1510),NA()))</f>
        <v>#N/A</v>
      </c>
      <c r="U526" t="e">
        <f>IF($J526&gt;MAX('Match Log'!$A$4:$A$1510),NA(),IFERROR(LOOKUP(2,1/(('Match Log'!$D$4:$D$1510=$U$24)*('Match Log'!$A$4:$A$1510&lt;=$J526)),'Match Log'!$N$4:$N$1510),NA()))</f>
        <v>#N/A</v>
      </c>
      <c r="V526" t="e">
        <f>IF($J526&gt;MAX('Match Log'!$A$4:$A$1510),NA(),IFERROR(LOOKUP(2,1/(('Match Log'!$D$4:$D$1510=$V$24)*('Match Log'!$A$4:$A$1510&lt;=$J526)),'Match Log'!$N$4:$N$1510),NA()))</f>
        <v>#N/A</v>
      </c>
      <c r="W526" t="e">
        <f>IF($J526&gt;MAX('Match Log'!$A$4:$A$1510),NA(),IFERROR(LOOKUP(2,1/(('Match Log'!$D$4:$D$1510=$W$24)*('Match Log'!$A$4:$A$1510&lt;=$J526)),'Match Log'!$N$4:$N$1510),NA()))</f>
        <v>#N/A</v>
      </c>
      <c r="X526" t="e">
        <f>IF($J526&gt;MAX('Match Log'!$A$4:$A$1510),NA(),IFERROR(LOOKUP(2,1/(('Match Log'!$D$4:$D$1510=$X$24)*('Match Log'!$A$4:$A$1510&lt;=$J526)),'Match Log'!$N$4:$N$1510),NA()))</f>
        <v>#N/A</v>
      </c>
      <c r="Y526" t="str">
        <f t="shared" ca="1" si="37"/>
        <v/>
      </c>
    </row>
    <row r="527" spans="1:25" x14ac:dyDescent="0.2">
      <c r="A527">
        <v>503</v>
      </c>
      <c r="B527" t="str">
        <f>IFERROR(INDEX('Match Log'!$B$4:$B$1510,MATCH($A527,'Match Log'!$A$4:$A$1510,0)),"")</f>
        <v/>
      </c>
      <c r="C527" t="str">
        <f>IFERROR(INDEX('Match Log'!$C$4:$C$1510,MATCH($A527,'Match Log'!$A$4:$A$1510,0)),"")</f>
        <v/>
      </c>
      <c r="D527" t="str">
        <f t="array" ref="D527">IFERROR(_xlfn.TEXTJOIN(" + ",TRUE(),IF(('Match Log'!$A$4:$A$1510=$A527)*('Match Log'!$E$4:$E$1510="Win"),'Match Log'!$D$4:$D$1510,"")),IFERROR(LOOKUP(2,1/(('Match Log'!$A$4:$A$1510=$A527)*('Match Log'!$E$4:$E$1510="Win")),'Match Log'!$D$4:$D$1510),""))</f>
        <v/>
      </c>
      <c r="E527" t="str">
        <f>IFERROR(INDEX('Match Log'!$F$4:$F$1510,MATCH($A527,'Match Log'!$A$4:$A$1510,0)),"")</f>
        <v/>
      </c>
      <c r="F527">
        <f>IFERROR(SUMIFS('Match Log'!$I$4:$I$1510,'Match Log'!$A$4:$A$1510,$A527,'Match Log'!$E$4:$E$1510,"Win"),"")</f>
        <v>0</v>
      </c>
      <c r="G527" t="str">
        <f t="shared" si="35"/>
        <v/>
      </c>
      <c r="H527" t="str">
        <f t="array" ref="H527">IFERROR(IF(COUNTIFS('Match Log'!$A$4:$A$1510,$A527,'Match Log'!$E$4:$E$1510,"Win")&gt;1,_xlfn.TEXTJOIN(" + ",TRUE(),IF(('Match Log'!$A$4:$A$1510=$A527)*('Match Log'!$E$4:$E$1510="Loss"),'Match Log'!$D$4:$D$1510,"")),IF($E527=2,LOOKUP(2,1/(('Match Log'!$A$4:$A$1510=$A527)*('Match Log'!$E$4:$E$1510="Loss")),'Match Log'!$D$4:$D$1510),"the field")),"")</f>
        <v>the field</v>
      </c>
      <c r="I527" t="str">
        <f t="shared" si="36"/>
        <v/>
      </c>
      <c r="J527">
        <v>503</v>
      </c>
      <c r="K527" t="e">
        <f>IF($J527&gt;MAX('Match Log'!$A$4:$A$1510),NA(),IFERROR(LOOKUP(2,1/(('Match Log'!$D$4:$D$1510=$K$24)*('Match Log'!$A$4:$A$1510&lt;=$J527)),'Match Log'!$N$4:$N$1510),NA()))</f>
        <v>#N/A</v>
      </c>
      <c r="L527" t="e">
        <f>IF($J527&gt;MAX('Match Log'!$A$4:$A$1510),NA(),IFERROR(LOOKUP(2,1/(('Match Log'!$D$4:$D$1510=$L$24)*('Match Log'!$A$4:$A$1510&lt;=$J527)),'Match Log'!$N$4:$N$1510),NA()))</f>
        <v>#N/A</v>
      </c>
      <c r="M527" t="e">
        <f>IF($J527&gt;MAX('Match Log'!$A$4:$A$1510),NA(),IFERROR(LOOKUP(2,1/(('Match Log'!$D$4:$D$1510=$M$24)*('Match Log'!$A$4:$A$1510&lt;=$J527)),'Match Log'!$N$4:$N$1510),NA()))</f>
        <v>#N/A</v>
      </c>
      <c r="N527" t="e">
        <f>IF($J527&gt;MAX('Match Log'!$A$4:$A$1510),NA(),IFERROR(LOOKUP(2,1/(('Match Log'!$D$4:$D$1510=$N$24)*('Match Log'!$A$4:$A$1510&lt;=$J527)),'Match Log'!$N$4:$N$1510),NA()))</f>
        <v>#N/A</v>
      </c>
      <c r="O527" t="e">
        <f>IF($J527&gt;MAX('Match Log'!$A$4:$A$1510),NA(),IFERROR(LOOKUP(2,1/(('Match Log'!$D$4:$D$1510=$O$24)*('Match Log'!$A$4:$A$1510&lt;=$J527)),'Match Log'!$N$4:$N$1510),NA()))</f>
        <v>#N/A</v>
      </c>
      <c r="P527" t="e">
        <f>IF($J527&gt;MAX('Match Log'!$A$4:$A$1510),NA(),IFERROR(LOOKUP(2,1/(('Match Log'!$D$4:$D$1510=$P$24)*('Match Log'!$A$4:$A$1510&lt;=$J527)),'Match Log'!$N$4:$N$1510),NA()))</f>
        <v>#N/A</v>
      </c>
      <c r="Q527" t="e">
        <f>IF($J527&gt;MAX('Match Log'!$A$4:$A$1510),NA(),IFERROR(LOOKUP(2,1/(('Match Log'!$D$4:$D$1510=$Q$24)*('Match Log'!$A$4:$A$1510&lt;=$J527)),'Match Log'!$N$4:$N$1510),NA()))</f>
        <v>#N/A</v>
      </c>
      <c r="R527" t="e">
        <f>IF($J527&gt;MAX('Match Log'!$A$4:$A$1510),NA(),IFERROR(LOOKUP(2,1/(('Match Log'!$D$4:$D$1510=$R$24)*('Match Log'!$A$4:$A$1510&lt;=$J527)),'Match Log'!$N$4:$N$1510),NA()))</f>
        <v>#N/A</v>
      </c>
      <c r="S527" t="e">
        <f>IF($J527&gt;MAX('Match Log'!$A$4:$A$1510),NA(),IFERROR(LOOKUP(2,1/(('Match Log'!$D$4:$D$1510=$S$24)*('Match Log'!$A$4:$A$1510&lt;=$J527)),'Match Log'!$N$4:$N$1510),NA()))</f>
        <v>#N/A</v>
      </c>
      <c r="T527" t="e">
        <f>IF($J527&gt;MAX('Match Log'!$A$4:$A$1510),NA(),IFERROR(LOOKUP(2,1/(('Match Log'!$D$4:$D$1510=$T$24)*('Match Log'!$A$4:$A$1510&lt;=$J527)),'Match Log'!$N$4:$N$1510),NA()))</f>
        <v>#N/A</v>
      </c>
      <c r="U527" t="e">
        <f>IF($J527&gt;MAX('Match Log'!$A$4:$A$1510),NA(),IFERROR(LOOKUP(2,1/(('Match Log'!$D$4:$D$1510=$U$24)*('Match Log'!$A$4:$A$1510&lt;=$J527)),'Match Log'!$N$4:$N$1510),NA()))</f>
        <v>#N/A</v>
      </c>
      <c r="V527" t="e">
        <f>IF($J527&gt;MAX('Match Log'!$A$4:$A$1510),NA(),IFERROR(LOOKUP(2,1/(('Match Log'!$D$4:$D$1510=$V$24)*('Match Log'!$A$4:$A$1510&lt;=$J527)),'Match Log'!$N$4:$N$1510),NA()))</f>
        <v>#N/A</v>
      </c>
      <c r="W527" t="e">
        <f>IF($J527&gt;MAX('Match Log'!$A$4:$A$1510),NA(),IFERROR(LOOKUP(2,1/(('Match Log'!$D$4:$D$1510=$W$24)*('Match Log'!$A$4:$A$1510&lt;=$J527)),'Match Log'!$N$4:$N$1510),NA()))</f>
        <v>#N/A</v>
      </c>
      <c r="X527" t="e">
        <f>IF($J527&gt;MAX('Match Log'!$A$4:$A$1510),NA(),IFERROR(LOOKUP(2,1/(('Match Log'!$D$4:$D$1510=$X$24)*('Match Log'!$A$4:$A$1510&lt;=$J527)),'Match Log'!$N$4:$N$1510),NA()))</f>
        <v>#N/A</v>
      </c>
      <c r="Y527" t="str">
        <f t="shared" ca="1" si="37"/>
        <v/>
      </c>
    </row>
    <row r="528" spans="1:25" x14ac:dyDescent="0.2">
      <c r="A528">
        <v>504</v>
      </c>
      <c r="B528" t="str">
        <f>IFERROR(INDEX('Match Log'!$B$4:$B$1510,MATCH($A528,'Match Log'!$A$4:$A$1510,0)),"")</f>
        <v/>
      </c>
      <c r="C528" t="str">
        <f>IFERROR(INDEX('Match Log'!$C$4:$C$1510,MATCH($A528,'Match Log'!$A$4:$A$1510,0)),"")</f>
        <v/>
      </c>
      <c r="D528" t="str">
        <f t="array" ref="D528">IFERROR(_xlfn.TEXTJOIN(" + ",TRUE(),IF(('Match Log'!$A$4:$A$1510=$A528)*('Match Log'!$E$4:$E$1510="Win"),'Match Log'!$D$4:$D$1510,"")),IFERROR(LOOKUP(2,1/(('Match Log'!$A$4:$A$1510=$A528)*('Match Log'!$E$4:$E$1510="Win")),'Match Log'!$D$4:$D$1510),""))</f>
        <v/>
      </c>
      <c r="E528" t="str">
        <f>IFERROR(INDEX('Match Log'!$F$4:$F$1510,MATCH($A528,'Match Log'!$A$4:$A$1510,0)),"")</f>
        <v/>
      </c>
      <c r="F528">
        <f>IFERROR(SUMIFS('Match Log'!$I$4:$I$1510,'Match Log'!$A$4:$A$1510,$A528,'Match Log'!$E$4:$E$1510,"Win"),"")</f>
        <v>0</v>
      </c>
      <c r="G528" t="str">
        <f t="shared" si="35"/>
        <v/>
      </c>
      <c r="H528" t="str">
        <f t="array" ref="H528">IFERROR(IF(COUNTIFS('Match Log'!$A$4:$A$1510,$A528,'Match Log'!$E$4:$E$1510,"Win")&gt;1,_xlfn.TEXTJOIN(" + ",TRUE(),IF(('Match Log'!$A$4:$A$1510=$A528)*('Match Log'!$E$4:$E$1510="Loss"),'Match Log'!$D$4:$D$1510,"")),IF($E528=2,LOOKUP(2,1/(('Match Log'!$A$4:$A$1510=$A528)*('Match Log'!$E$4:$E$1510="Loss")),'Match Log'!$D$4:$D$1510),"the field")),"")</f>
        <v>the field</v>
      </c>
      <c r="I528" t="str">
        <f t="shared" si="36"/>
        <v/>
      </c>
      <c r="J528">
        <v>504</v>
      </c>
      <c r="K528" t="e">
        <f>IF($J528&gt;MAX('Match Log'!$A$4:$A$1510),NA(),IFERROR(LOOKUP(2,1/(('Match Log'!$D$4:$D$1510=$K$24)*('Match Log'!$A$4:$A$1510&lt;=$J528)),'Match Log'!$N$4:$N$1510),NA()))</f>
        <v>#N/A</v>
      </c>
      <c r="L528" t="e">
        <f>IF($J528&gt;MAX('Match Log'!$A$4:$A$1510),NA(),IFERROR(LOOKUP(2,1/(('Match Log'!$D$4:$D$1510=$L$24)*('Match Log'!$A$4:$A$1510&lt;=$J528)),'Match Log'!$N$4:$N$1510),NA()))</f>
        <v>#N/A</v>
      </c>
      <c r="M528" t="e">
        <f>IF($J528&gt;MAX('Match Log'!$A$4:$A$1510),NA(),IFERROR(LOOKUP(2,1/(('Match Log'!$D$4:$D$1510=$M$24)*('Match Log'!$A$4:$A$1510&lt;=$J528)),'Match Log'!$N$4:$N$1510),NA()))</f>
        <v>#N/A</v>
      </c>
      <c r="N528" t="e">
        <f>IF($J528&gt;MAX('Match Log'!$A$4:$A$1510),NA(),IFERROR(LOOKUP(2,1/(('Match Log'!$D$4:$D$1510=$N$24)*('Match Log'!$A$4:$A$1510&lt;=$J528)),'Match Log'!$N$4:$N$1510),NA()))</f>
        <v>#N/A</v>
      </c>
      <c r="O528" t="e">
        <f>IF($J528&gt;MAX('Match Log'!$A$4:$A$1510),NA(),IFERROR(LOOKUP(2,1/(('Match Log'!$D$4:$D$1510=$O$24)*('Match Log'!$A$4:$A$1510&lt;=$J528)),'Match Log'!$N$4:$N$1510),NA()))</f>
        <v>#N/A</v>
      </c>
      <c r="P528" t="e">
        <f>IF($J528&gt;MAX('Match Log'!$A$4:$A$1510),NA(),IFERROR(LOOKUP(2,1/(('Match Log'!$D$4:$D$1510=$P$24)*('Match Log'!$A$4:$A$1510&lt;=$J528)),'Match Log'!$N$4:$N$1510),NA()))</f>
        <v>#N/A</v>
      </c>
      <c r="Q528" t="e">
        <f>IF($J528&gt;MAX('Match Log'!$A$4:$A$1510),NA(),IFERROR(LOOKUP(2,1/(('Match Log'!$D$4:$D$1510=$Q$24)*('Match Log'!$A$4:$A$1510&lt;=$J528)),'Match Log'!$N$4:$N$1510),NA()))</f>
        <v>#N/A</v>
      </c>
      <c r="R528" t="e">
        <f>IF($J528&gt;MAX('Match Log'!$A$4:$A$1510),NA(),IFERROR(LOOKUP(2,1/(('Match Log'!$D$4:$D$1510=$R$24)*('Match Log'!$A$4:$A$1510&lt;=$J528)),'Match Log'!$N$4:$N$1510),NA()))</f>
        <v>#N/A</v>
      </c>
      <c r="S528" t="e">
        <f>IF($J528&gt;MAX('Match Log'!$A$4:$A$1510),NA(),IFERROR(LOOKUP(2,1/(('Match Log'!$D$4:$D$1510=$S$24)*('Match Log'!$A$4:$A$1510&lt;=$J528)),'Match Log'!$N$4:$N$1510),NA()))</f>
        <v>#N/A</v>
      </c>
      <c r="T528" t="e">
        <f>IF($J528&gt;MAX('Match Log'!$A$4:$A$1510),NA(),IFERROR(LOOKUP(2,1/(('Match Log'!$D$4:$D$1510=$T$24)*('Match Log'!$A$4:$A$1510&lt;=$J528)),'Match Log'!$N$4:$N$1510),NA()))</f>
        <v>#N/A</v>
      </c>
      <c r="U528" t="e">
        <f>IF($J528&gt;MAX('Match Log'!$A$4:$A$1510),NA(),IFERROR(LOOKUP(2,1/(('Match Log'!$D$4:$D$1510=$U$24)*('Match Log'!$A$4:$A$1510&lt;=$J528)),'Match Log'!$N$4:$N$1510),NA()))</f>
        <v>#N/A</v>
      </c>
      <c r="V528" t="e">
        <f>IF($J528&gt;MAX('Match Log'!$A$4:$A$1510),NA(),IFERROR(LOOKUP(2,1/(('Match Log'!$D$4:$D$1510=$V$24)*('Match Log'!$A$4:$A$1510&lt;=$J528)),'Match Log'!$N$4:$N$1510),NA()))</f>
        <v>#N/A</v>
      </c>
      <c r="W528" t="e">
        <f>IF($J528&gt;MAX('Match Log'!$A$4:$A$1510),NA(),IFERROR(LOOKUP(2,1/(('Match Log'!$D$4:$D$1510=$W$24)*('Match Log'!$A$4:$A$1510&lt;=$J528)),'Match Log'!$N$4:$N$1510),NA()))</f>
        <v>#N/A</v>
      </c>
      <c r="X528" t="e">
        <f>IF($J528&gt;MAX('Match Log'!$A$4:$A$1510),NA(),IFERROR(LOOKUP(2,1/(('Match Log'!$D$4:$D$1510=$X$24)*('Match Log'!$A$4:$A$1510&lt;=$J528)),'Match Log'!$N$4:$N$1510),NA()))</f>
        <v>#N/A</v>
      </c>
      <c r="Y528" t="str">
        <f t="shared" ca="1" si="37"/>
        <v/>
      </c>
    </row>
    <row r="529" spans="1:25" x14ac:dyDescent="0.2">
      <c r="A529">
        <v>505</v>
      </c>
      <c r="B529" t="str">
        <f>IFERROR(INDEX('Match Log'!$B$4:$B$1510,MATCH($A529,'Match Log'!$A$4:$A$1510,0)),"")</f>
        <v/>
      </c>
      <c r="C529" t="str">
        <f>IFERROR(INDEX('Match Log'!$C$4:$C$1510,MATCH($A529,'Match Log'!$A$4:$A$1510,0)),"")</f>
        <v/>
      </c>
      <c r="D529" t="str">
        <f t="array" ref="D529">IFERROR(_xlfn.TEXTJOIN(" + ",TRUE(),IF(('Match Log'!$A$4:$A$1510=$A529)*('Match Log'!$E$4:$E$1510="Win"),'Match Log'!$D$4:$D$1510,"")),IFERROR(LOOKUP(2,1/(('Match Log'!$A$4:$A$1510=$A529)*('Match Log'!$E$4:$E$1510="Win")),'Match Log'!$D$4:$D$1510),""))</f>
        <v/>
      </c>
      <c r="E529" t="str">
        <f>IFERROR(INDEX('Match Log'!$F$4:$F$1510,MATCH($A529,'Match Log'!$A$4:$A$1510,0)),"")</f>
        <v/>
      </c>
      <c r="F529">
        <f>IFERROR(SUMIFS('Match Log'!$I$4:$I$1510,'Match Log'!$A$4:$A$1510,$A529,'Match Log'!$E$4:$E$1510,"Win"),"")</f>
        <v>0</v>
      </c>
      <c r="G529" t="str">
        <f t="shared" si="35"/>
        <v/>
      </c>
      <c r="H529" t="str">
        <f t="array" ref="H529">IFERROR(IF(COUNTIFS('Match Log'!$A$4:$A$1510,$A529,'Match Log'!$E$4:$E$1510,"Win")&gt;1,_xlfn.TEXTJOIN(" + ",TRUE(),IF(('Match Log'!$A$4:$A$1510=$A529)*('Match Log'!$E$4:$E$1510="Loss"),'Match Log'!$D$4:$D$1510,"")),IF($E529=2,LOOKUP(2,1/(('Match Log'!$A$4:$A$1510=$A529)*('Match Log'!$E$4:$E$1510="Loss")),'Match Log'!$D$4:$D$1510),"the field")),"")</f>
        <v>the field</v>
      </c>
      <c r="I529" t="str">
        <f t="shared" si="36"/>
        <v/>
      </c>
      <c r="J529">
        <v>505</v>
      </c>
      <c r="K529" t="e">
        <f>IF($J529&gt;MAX('Match Log'!$A$4:$A$1510),NA(),IFERROR(LOOKUP(2,1/(('Match Log'!$D$4:$D$1510=$K$24)*('Match Log'!$A$4:$A$1510&lt;=$J529)),'Match Log'!$N$4:$N$1510),NA()))</f>
        <v>#N/A</v>
      </c>
      <c r="L529" t="e">
        <f>IF($J529&gt;MAX('Match Log'!$A$4:$A$1510),NA(),IFERROR(LOOKUP(2,1/(('Match Log'!$D$4:$D$1510=$L$24)*('Match Log'!$A$4:$A$1510&lt;=$J529)),'Match Log'!$N$4:$N$1510),NA()))</f>
        <v>#N/A</v>
      </c>
      <c r="M529" t="e">
        <f>IF($J529&gt;MAX('Match Log'!$A$4:$A$1510),NA(),IFERROR(LOOKUP(2,1/(('Match Log'!$D$4:$D$1510=$M$24)*('Match Log'!$A$4:$A$1510&lt;=$J529)),'Match Log'!$N$4:$N$1510),NA()))</f>
        <v>#N/A</v>
      </c>
      <c r="N529" t="e">
        <f>IF($J529&gt;MAX('Match Log'!$A$4:$A$1510),NA(),IFERROR(LOOKUP(2,1/(('Match Log'!$D$4:$D$1510=$N$24)*('Match Log'!$A$4:$A$1510&lt;=$J529)),'Match Log'!$N$4:$N$1510),NA()))</f>
        <v>#N/A</v>
      </c>
      <c r="O529" t="e">
        <f>IF($J529&gt;MAX('Match Log'!$A$4:$A$1510),NA(),IFERROR(LOOKUP(2,1/(('Match Log'!$D$4:$D$1510=$O$24)*('Match Log'!$A$4:$A$1510&lt;=$J529)),'Match Log'!$N$4:$N$1510),NA()))</f>
        <v>#N/A</v>
      </c>
      <c r="P529" t="e">
        <f>IF($J529&gt;MAX('Match Log'!$A$4:$A$1510),NA(),IFERROR(LOOKUP(2,1/(('Match Log'!$D$4:$D$1510=$P$24)*('Match Log'!$A$4:$A$1510&lt;=$J529)),'Match Log'!$N$4:$N$1510),NA()))</f>
        <v>#N/A</v>
      </c>
      <c r="Q529" t="e">
        <f>IF($J529&gt;MAX('Match Log'!$A$4:$A$1510),NA(),IFERROR(LOOKUP(2,1/(('Match Log'!$D$4:$D$1510=$Q$24)*('Match Log'!$A$4:$A$1510&lt;=$J529)),'Match Log'!$N$4:$N$1510),NA()))</f>
        <v>#N/A</v>
      </c>
      <c r="R529" t="e">
        <f>IF($J529&gt;MAX('Match Log'!$A$4:$A$1510),NA(),IFERROR(LOOKUP(2,1/(('Match Log'!$D$4:$D$1510=$R$24)*('Match Log'!$A$4:$A$1510&lt;=$J529)),'Match Log'!$N$4:$N$1510),NA()))</f>
        <v>#N/A</v>
      </c>
      <c r="S529" t="e">
        <f>IF($J529&gt;MAX('Match Log'!$A$4:$A$1510),NA(),IFERROR(LOOKUP(2,1/(('Match Log'!$D$4:$D$1510=$S$24)*('Match Log'!$A$4:$A$1510&lt;=$J529)),'Match Log'!$N$4:$N$1510),NA()))</f>
        <v>#N/A</v>
      </c>
      <c r="T529" t="e">
        <f>IF($J529&gt;MAX('Match Log'!$A$4:$A$1510),NA(),IFERROR(LOOKUP(2,1/(('Match Log'!$D$4:$D$1510=$T$24)*('Match Log'!$A$4:$A$1510&lt;=$J529)),'Match Log'!$N$4:$N$1510),NA()))</f>
        <v>#N/A</v>
      </c>
      <c r="U529" t="e">
        <f>IF($J529&gt;MAX('Match Log'!$A$4:$A$1510),NA(),IFERROR(LOOKUP(2,1/(('Match Log'!$D$4:$D$1510=$U$24)*('Match Log'!$A$4:$A$1510&lt;=$J529)),'Match Log'!$N$4:$N$1510),NA()))</f>
        <v>#N/A</v>
      </c>
      <c r="V529" t="e">
        <f>IF($J529&gt;MAX('Match Log'!$A$4:$A$1510),NA(),IFERROR(LOOKUP(2,1/(('Match Log'!$D$4:$D$1510=$V$24)*('Match Log'!$A$4:$A$1510&lt;=$J529)),'Match Log'!$N$4:$N$1510),NA()))</f>
        <v>#N/A</v>
      </c>
      <c r="W529" t="e">
        <f>IF($J529&gt;MAX('Match Log'!$A$4:$A$1510),NA(),IFERROR(LOOKUP(2,1/(('Match Log'!$D$4:$D$1510=$W$24)*('Match Log'!$A$4:$A$1510&lt;=$J529)),'Match Log'!$N$4:$N$1510),NA()))</f>
        <v>#N/A</v>
      </c>
      <c r="X529" t="e">
        <f>IF($J529&gt;MAX('Match Log'!$A$4:$A$1510),NA(),IFERROR(LOOKUP(2,1/(('Match Log'!$D$4:$D$1510=$X$24)*('Match Log'!$A$4:$A$1510&lt;=$J529)),'Match Log'!$N$4:$N$1510),NA()))</f>
        <v>#N/A</v>
      </c>
      <c r="Y529" t="str">
        <f t="shared" ca="1" si="37"/>
        <v/>
      </c>
    </row>
    <row r="530" spans="1:25" x14ac:dyDescent="0.2">
      <c r="A530">
        <v>506</v>
      </c>
      <c r="B530" t="str">
        <f>IFERROR(INDEX('Match Log'!$B$4:$B$1510,MATCH($A530,'Match Log'!$A$4:$A$1510,0)),"")</f>
        <v/>
      </c>
      <c r="C530" t="str">
        <f>IFERROR(INDEX('Match Log'!$C$4:$C$1510,MATCH($A530,'Match Log'!$A$4:$A$1510,0)),"")</f>
        <v/>
      </c>
      <c r="D530" t="str">
        <f t="array" ref="D530">IFERROR(_xlfn.TEXTJOIN(" + ",TRUE(),IF(('Match Log'!$A$4:$A$1510=$A530)*('Match Log'!$E$4:$E$1510="Win"),'Match Log'!$D$4:$D$1510,"")),IFERROR(LOOKUP(2,1/(('Match Log'!$A$4:$A$1510=$A530)*('Match Log'!$E$4:$E$1510="Win")),'Match Log'!$D$4:$D$1510),""))</f>
        <v/>
      </c>
      <c r="E530" t="str">
        <f>IFERROR(INDEX('Match Log'!$F$4:$F$1510,MATCH($A530,'Match Log'!$A$4:$A$1510,0)),"")</f>
        <v/>
      </c>
      <c r="F530">
        <f>IFERROR(SUMIFS('Match Log'!$I$4:$I$1510,'Match Log'!$A$4:$A$1510,$A530,'Match Log'!$E$4:$E$1510,"Win"),"")</f>
        <v>0</v>
      </c>
      <c r="G530" t="str">
        <f t="shared" si="35"/>
        <v/>
      </c>
      <c r="H530" t="str">
        <f t="array" ref="H530">IFERROR(IF(COUNTIFS('Match Log'!$A$4:$A$1510,$A530,'Match Log'!$E$4:$E$1510,"Win")&gt;1,_xlfn.TEXTJOIN(" + ",TRUE(),IF(('Match Log'!$A$4:$A$1510=$A530)*('Match Log'!$E$4:$E$1510="Loss"),'Match Log'!$D$4:$D$1510,"")),IF($E530=2,LOOKUP(2,1/(('Match Log'!$A$4:$A$1510=$A530)*('Match Log'!$E$4:$E$1510="Loss")),'Match Log'!$D$4:$D$1510),"the field")),"")</f>
        <v>the field</v>
      </c>
      <c r="I530" t="str">
        <f t="shared" si="36"/>
        <v/>
      </c>
      <c r="J530">
        <v>506</v>
      </c>
      <c r="K530" t="e">
        <f>IF($J530&gt;MAX('Match Log'!$A$4:$A$1510),NA(),IFERROR(LOOKUP(2,1/(('Match Log'!$D$4:$D$1510=$K$24)*('Match Log'!$A$4:$A$1510&lt;=$J530)),'Match Log'!$N$4:$N$1510),NA()))</f>
        <v>#N/A</v>
      </c>
      <c r="L530" t="e">
        <f>IF($J530&gt;MAX('Match Log'!$A$4:$A$1510),NA(),IFERROR(LOOKUP(2,1/(('Match Log'!$D$4:$D$1510=$L$24)*('Match Log'!$A$4:$A$1510&lt;=$J530)),'Match Log'!$N$4:$N$1510),NA()))</f>
        <v>#N/A</v>
      </c>
      <c r="M530" t="e">
        <f>IF($J530&gt;MAX('Match Log'!$A$4:$A$1510),NA(),IFERROR(LOOKUP(2,1/(('Match Log'!$D$4:$D$1510=$M$24)*('Match Log'!$A$4:$A$1510&lt;=$J530)),'Match Log'!$N$4:$N$1510),NA()))</f>
        <v>#N/A</v>
      </c>
      <c r="N530" t="e">
        <f>IF($J530&gt;MAX('Match Log'!$A$4:$A$1510),NA(),IFERROR(LOOKUP(2,1/(('Match Log'!$D$4:$D$1510=$N$24)*('Match Log'!$A$4:$A$1510&lt;=$J530)),'Match Log'!$N$4:$N$1510),NA()))</f>
        <v>#N/A</v>
      </c>
      <c r="O530" t="e">
        <f>IF($J530&gt;MAX('Match Log'!$A$4:$A$1510),NA(),IFERROR(LOOKUP(2,1/(('Match Log'!$D$4:$D$1510=$O$24)*('Match Log'!$A$4:$A$1510&lt;=$J530)),'Match Log'!$N$4:$N$1510),NA()))</f>
        <v>#N/A</v>
      </c>
      <c r="P530" t="e">
        <f>IF($J530&gt;MAX('Match Log'!$A$4:$A$1510),NA(),IFERROR(LOOKUP(2,1/(('Match Log'!$D$4:$D$1510=$P$24)*('Match Log'!$A$4:$A$1510&lt;=$J530)),'Match Log'!$N$4:$N$1510),NA()))</f>
        <v>#N/A</v>
      </c>
      <c r="Q530" t="e">
        <f>IF($J530&gt;MAX('Match Log'!$A$4:$A$1510),NA(),IFERROR(LOOKUP(2,1/(('Match Log'!$D$4:$D$1510=$Q$24)*('Match Log'!$A$4:$A$1510&lt;=$J530)),'Match Log'!$N$4:$N$1510),NA()))</f>
        <v>#N/A</v>
      </c>
      <c r="R530" t="e">
        <f>IF($J530&gt;MAX('Match Log'!$A$4:$A$1510),NA(),IFERROR(LOOKUP(2,1/(('Match Log'!$D$4:$D$1510=$R$24)*('Match Log'!$A$4:$A$1510&lt;=$J530)),'Match Log'!$N$4:$N$1510),NA()))</f>
        <v>#N/A</v>
      </c>
      <c r="S530" t="e">
        <f>IF($J530&gt;MAX('Match Log'!$A$4:$A$1510),NA(),IFERROR(LOOKUP(2,1/(('Match Log'!$D$4:$D$1510=$S$24)*('Match Log'!$A$4:$A$1510&lt;=$J530)),'Match Log'!$N$4:$N$1510),NA()))</f>
        <v>#N/A</v>
      </c>
      <c r="T530" t="e">
        <f>IF($J530&gt;MAX('Match Log'!$A$4:$A$1510),NA(),IFERROR(LOOKUP(2,1/(('Match Log'!$D$4:$D$1510=$T$24)*('Match Log'!$A$4:$A$1510&lt;=$J530)),'Match Log'!$N$4:$N$1510),NA()))</f>
        <v>#N/A</v>
      </c>
      <c r="U530" t="e">
        <f>IF($J530&gt;MAX('Match Log'!$A$4:$A$1510),NA(),IFERROR(LOOKUP(2,1/(('Match Log'!$D$4:$D$1510=$U$24)*('Match Log'!$A$4:$A$1510&lt;=$J530)),'Match Log'!$N$4:$N$1510),NA()))</f>
        <v>#N/A</v>
      </c>
      <c r="V530" t="e">
        <f>IF($J530&gt;MAX('Match Log'!$A$4:$A$1510),NA(),IFERROR(LOOKUP(2,1/(('Match Log'!$D$4:$D$1510=$V$24)*('Match Log'!$A$4:$A$1510&lt;=$J530)),'Match Log'!$N$4:$N$1510),NA()))</f>
        <v>#N/A</v>
      </c>
      <c r="W530" t="e">
        <f>IF($J530&gt;MAX('Match Log'!$A$4:$A$1510),NA(),IFERROR(LOOKUP(2,1/(('Match Log'!$D$4:$D$1510=$W$24)*('Match Log'!$A$4:$A$1510&lt;=$J530)),'Match Log'!$N$4:$N$1510),NA()))</f>
        <v>#N/A</v>
      </c>
      <c r="X530" t="e">
        <f>IF($J530&gt;MAX('Match Log'!$A$4:$A$1510),NA(),IFERROR(LOOKUP(2,1/(('Match Log'!$D$4:$D$1510=$X$24)*('Match Log'!$A$4:$A$1510&lt;=$J530)),'Match Log'!$N$4:$N$1510),NA()))</f>
        <v>#N/A</v>
      </c>
      <c r="Y530" t="str">
        <f t="shared" ca="1" si="37"/>
        <v/>
      </c>
    </row>
    <row r="531" spans="1:25" x14ac:dyDescent="0.2">
      <c r="A531">
        <v>507</v>
      </c>
      <c r="B531" t="str">
        <f>IFERROR(INDEX('Match Log'!$B$4:$B$1510,MATCH($A531,'Match Log'!$A$4:$A$1510,0)),"")</f>
        <v/>
      </c>
      <c r="C531" t="str">
        <f>IFERROR(INDEX('Match Log'!$C$4:$C$1510,MATCH($A531,'Match Log'!$A$4:$A$1510,0)),"")</f>
        <v/>
      </c>
      <c r="D531" t="str">
        <f t="array" ref="D531">IFERROR(_xlfn.TEXTJOIN(" + ",TRUE(),IF(('Match Log'!$A$4:$A$1510=$A531)*('Match Log'!$E$4:$E$1510="Win"),'Match Log'!$D$4:$D$1510,"")),IFERROR(LOOKUP(2,1/(('Match Log'!$A$4:$A$1510=$A531)*('Match Log'!$E$4:$E$1510="Win")),'Match Log'!$D$4:$D$1510),""))</f>
        <v/>
      </c>
      <c r="E531" t="str">
        <f>IFERROR(INDEX('Match Log'!$F$4:$F$1510,MATCH($A531,'Match Log'!$A$4:$A$1510,0)),"")</f>
        <v/>
      </c>
      <c r="F531">
        <f>IFERROR(SUMIFS('Match Log'!$I$4:$I$1510,'Match Log'!$A$4:$A$1510,$A531,'Match Log'!$E$4:$E$1510,"Win"),"")</f>
        <v>0</v>
      </c>
      <c r="G531" t="str">
        <f t="shared" si="35"/>
        <v/>
      </c>
      <c r="H531" t="str">
        <f t="array" ref="H531">IFERROR(IF(COUNTIFS('Match Log'!$A$4:$A$1510,$A531,'Match Log'!$E$4:$E$1510,"Win")&gt;1,_xlfn.TEXTJOIN(" + ",TRUE(),IF(('Match Log'!$A$4:$A$1510=$A531)*('Match Log'!$E$4:$E$1510="Loss"),'Match Log'!$D$4:$D$1510,"")),IF($E531=2,LOOKUP(2,1/(('Match Log'!$A$4:$A$1510=$A531)*('Match Log'!$E$4:$E$1510="Loss")),'Match Log'!$D$4:$D$1510),"the field")),"")</f>
        <v>the field</v>
      </c>
      <c r="I531" t="str">
        <f t="shared" si="36"/>
        <v/>
      </c>
      <c r="J531">
        <v>507</v>
      </c>
      <c r="K531" t="e">
        <f>IF($J531&gt;MAX('Match Log'!$A$4:$A$1510),NA(),IFERROR(LOOKUP(2,1/(('Match Log'!$D$4:$D$1510=$K$24)*('Match Log'!$A$4:$A$1510&lt;=$J531)),'Match Log'!$N$4:$N$1510),NA()))</f>
        <v>#N/A</v>
      </c>
      <c r="L531" t="e">
        <f>IF($J531&gt;MAX('Match Log'!$A$4:$A$1510),NA(),IFERROR(LOOKUP(2,1/(('Match Log'!$D$4:$D$1510=$L$24)*('Match Log'!$A$4:$A$1510&lt;=$J531)),'Match Log'!$N$4:$N$1510),NA()))</f>
        <v>#N/A</v>
      </c>
      <c r="M531" t="e">
        <f>IF($J531&gt;MAX('Match Log'!$A$4:$A$1510),NA(),IFERROR(LOOKUP(2,1/(('Match Log'!$D$4:$D$1510=$M$24)*('Match Log'!$A$4:$A$1510&lt;=$J531)),'Match Log'!$N$4:$N$1510),NA()))</f>
        <v>#N/A</v>
      </c>
      <c r="N531" t="e">
        <f>IF($J531&gt;MAX('Match Log'!$A$4:$A$1510),NA(),IFERROR(LOOKUP(2,1/(('Match Log'!$D$4:$D$1510=$N$24)*('Match Log'!$A$4:$A$1510&lt;=$J531)),'Match Log'!$N$4:$N$1510),NA()))</f>
        <v>#N/A</v>
      </c>
      <c r="O531" t="e">
        <f>IF($J531&gt;MAX('Match Log'!$A$4:$A$1510),NA(),IFERROR(LOOKUP(2,1/(('Match Log'!$D$4:$D$1510=$O$24)*('Match Log'!$A$4:$A$1510&lt;=$J531)),'Match Log'!$N$4:$N$1510),NA()))</f>
        <v>#N/A</v>
      </c>
      <c r="P531" t="e">
        <f>IF($J531&gt;MAX('Match Log'!$A$4:$A$1510),NA(),IFERROR(LOOKUP(2,1/(('Match Log'!$D$4:$D$1510=$P$24)*('Match Log'!$A$4:$A$1510&lt;=$J531)),'Match Log'!$N$4:$N$1510),NA()))</f>
        <v>#N/A</v>
      </c>
      <c r="Q531" t="e">
        <f>IF($J531&gt;MAX('Match Log'!$A$4:$A$1510),NA(),IFERROR(LOOKUP(2,1/(('Match Log'!$D$4:$D$1510=$Q$24)*('Match Log'!$A$4:$A$1510&lt;=$J531)),'Match Log'!$N$4:$N$1510),NA()))</f>
        <v>#N/A</v>
      </c>
      <c r="R531" t="e">
        <f>IF($J531&gt;MAX('Match Log'!$A$4:$A$1510),NA(),IFERROR(LOOKUP(2,1/(('Match Log'!$D$4:$D$1510=$R$24)*('Match Log'!$A$4:$A$1510&lt;=$J531)),'Match Log'!$N$4:$N$1510),NA()))</f>
        <v>#N/A</v>
      </c>
      <c r="S531" t="e">
        <f>IF($J531&gt;MAX('Match Log'!$A$4:$A$1510),NA(),IFERROR(LOOKUP(2,1/(('Match Log'!$D$4:$D$1510=$S$24)*('Match Log'!$A$4:$A$1510&lt;=$J531)),'Match Log'!$N$4:$N$1510),NA()))</f>
        <v>#N/A</v>
      </c>
      <c r="T531" t="e">
        <f>IF($J531&gt;MAX('Match Log'!$A$4:$A$1510),NA(),IFERROR(LOOKUP(2,1/(('Match Log'!$D$4:$D$1510=$T$24)*('Match Log'!$A$4:$A$1510&lt;=$J531)),'Match Log'!$N$4:$N$1510),NA()))</f>
        <v>#N/A</v>
      </c>
      <c r="U531" t="e">
        <f>IF($J531&gt;MAX('Match Log'!$A$4:$A$1510),NA(),IFERROR(LOOKUP(2,1/(('Match Log'!$D$4:$D$1510=$U$24)*('Match Log'!$A$4:$A$1510&lt;=$J531)),'Match Log'!$N$4:$N$1510),NA()))</f>
        <v>#N/A</v>
      </c>
      <c r="V531" t="e">
        <f>IF($J531&gt;MAX('Match Log'!$A$4:$A$1510),NA(),IFERROR(LOOKUP(2,1/(('Match Log'!$D$4:$D$1510=$V$24)*('Match Log'!$A$4:$A$1510&lt;=$J531)),'Match Log'!$N$4:$N$1510),NA()))</f>
        <v>#N/A</v>
      </c>
      <c r="W531" t="e">
        <f>IF($J531&gt;MAX('Match Log'!$A$4:$A$1510),NA(),IFERROR(LOOKUP(2,1/(('Match Log'!$D$4:$D$1510=$W$24)*('Match Log'!$A$4:$A$1510&lt;=$J531)),'Match Log'!$N$4:$N$1510),NA()))</f>
        <v>#N/A</v>
      </c>
      <c r="X531" t="e">
        <f>IF($J531&gt;MAX('Match Log'!$A$4:$A$1510),NA(),IFERROR(LOOKUP(2,1/(('Match Log'!$D$4:$D$1510=$X$24)*('Match Log'!$A$4:$A$1510&lt;=$J531)),'Match Log'!$N$4:$N$1510),NA()))</f>
        <v>#N/A</v>
      </c>
      <c r="Y531" t="str">
        <f t="shared" ca="1" si="37"/>
        <v/>
      </c>
    </row>
    <row r="532" spans="1:25" x14ac:dyDescent="0.2">
      <c r="A532">
        <v>508</v>
      </c>
      <c r="B532" t="str">
        <f>IFERROR(INDEX('Match Log'!$B$4:$B$1510,MATCH($A532,'Match Log'!$A$4:$A$1510,0)),"")</f>
        <v/>
      </c>
      <c r="C532" t="str">
        <f>IFERROR(INDEX('Match Log'!$C$4:$C$1510,MATCH($A532,'Match Log'!$A$4:$A$1510,0)),"")</f>
        <v/>
      </c>
      <c r="D532" t="str">
        <f t="array" ref="D532">IFERROR(_xlfn.TEXTJOIN(" + ",TRUE(),IF(('Match Log'!$A$4:$A$1510=$A532)*('Match Log'!$E$4:$E$1510="Win"),'Match Log'!$D$4:$D$1510,"")),IFERROR(LOOKUP(2,1/(('Match Log'!$A$4:$A$1510=$A532)*('Match Log'!$E$4:$E$1510="Win")),'Match Log'!$D$4:$D$1510),""))</f>
        <v/>
      </c>
      <c r="E532" t="str">
        <f>IFERROR(INDEX('Match Log'!$F$4:$F$1510,MATCH($A532,'Match Log'!$A$4:$A$1510,0)),"")</f>
        <v/>
      </c>
      <c r="F532">
        <f>IFERROR(SUMIFS('Match Log'!$I$4:$I$1510,'Match Log'!$A$4:$A$1510,$A532,'Match Log'!$E$4:$E$1510,"Win"),"")</f>
        <v>0</v>
      </c>
      <c r="G532" t="str">
        <f t="shared" si="35"/>
        <v/>
      </c>
      <c r="H532" t="str">
        <f t="array" ref="H532">IFERROR(IF(COUNTIFS('Match Log'!$A$4:$A$1510,$A532,'Match Log'!$E$4:$E$1510,"Win")&gt;1,_xlfn.TEXTJOIN(" + ",TRUE(),IF(('Match Log'!$A$4:$A$1510=$A532)*('Match Log'!$E$4:$E$1510="Loss"),'Match Log'!$D$4:$D$1510,"")),IF($E532=2,LOOKUP(2,1/(('Match Log'!$A$4:$A$1510=$A532)*('Match Log'!$E$4:$E$1510="Loss")),'Match Log'!$D$4:$D$1510),"the field")),"")</f>
        <v>the field</v>
      </c>
      <c r="I532" t="str">
        <f t="shared" si="36"/>
        <v/>
      </c>
      <c r="J532">
        <v>508</v>
      </c>
      <c r="K532" t="e">
        <f>IF($J532&gt;MAX('Match Log'!$A$4:$A$1510),NA(),IFERROR(LOOKUP(2,1/(('Match Log'!$D$4:$D$1510=$K$24)*('Match Log'!$A$4:$A$1510&lt;=$J532)),'Match Log'!$N$4:$N$1510),NA()))</f>
        <v>#N/A</v>
      </c>
      <c r="L532" t="e">
        <f>IF($J532&gt;MAX('Match Log'!$A$4:$A$1510),NA(),IFERROR(LOOKUP(2,1/(('Match Log'!$D$4:$D$1510=$L$24)*('Match Log'!$A$4:$A$1510&lt;=$J532)),'Match Log'!$N$4:$N$1510),NA()))</f>
        <v>#N/A</v>
      </c>
      <c r="M532" t="e">
        <f>IF($J532&gt;MAX('Match Log'!$A$4:$A$1510),NA(),IFERROR(LOOKUP(2,1/(('Match Log'!$D$4:$D$1510=$M$24)*('Match Log'!$A$4:$A$1510&lt;=$J532)),'Match Log'!$N$4:$N$1510),NA()))</f>
        <v>#N/A</v>
      </c>
      <c r="N532" t="e">
        <f>IF($J532&gt;MAX('Match Log'!$A$4:$A$1510),NA(),IFERROR(LOOKUP(2,1/(('Match Log'!$D$4:$D$1510=$N$24)*('Match Log'!$A$4:$A$1510&lt;=$J532)),'Match Log'!$N$4:$N$1510),NA()))</f>
        <v>#N/A</v>
      </c>
      <c r="O532" t="e">
        <f>IF($J532&gt;MAX('Match Log'!$A$4:$A$1510),NA(),IFERROR(LOOKUP(2,1/(('Match Log'!$D$4:$D$1510=$O$24)*('Match Log'!$A$4:$A$1510&lt;=$J532)),'Match Log'!$N$4:$N$1510),NA()))</f>
        <v>#N/A</v>
      </c>
      <c r="P532" t="e">
        <f>IF($J532&gt;MAX('Match Log'!$A$4:$A$1510),NA(),IFERROR(LOOKUP(2,1/(('Match Log'!$D$4:$D$1510=$P$24)*('Match Log'!$A$4:$A$1510&lt;=$J532)),'Match Log'!$N$4:$N$1510),NA()))</f>
        <v>#N/A</v>
      </c>
      <c r="Q532" t="e">
        <f>IF($J532&gt;MAX('Match Log'!$A$4:$A$1510),NA(),IFERROR(LOOKUP(2,1/(('Match Log'!$D$4:$D$1510=$Q$24)*('Match Log'!$A$4:$A$1510&lt;=$J532)),'Match Log'!$N$4:$N$1510),NA()))</f>
        <v>#N/A</v>
      </c>
      <c r="R532" t="e">
        <f>IF($J532&gt;MAX('Match Log'!$A$4:$A$1510),NA(),IFERROR(LOOKUP(2,1/(('Match Log'!$D$4:$D$1510=$R$24)*('Match Log'!$A$4:$A$1510&lt;=$J532)),'Match Log'!$N$4:$N$1510),NA()))</f>
        <v>#N/A</v>
      </c>
      <c r="S532" t="e">
        <f>IF($J532&gt;MAX('Match Log'!$A$4:$A$1510),NA(),IFERROR(LOOKUP(2,1/(('Match Log'!$D$4:$D$1510=$S$24)*('Match Log'!$A$4:$A$1510&lt;=$J532)),'Match Log'!$N$4:$N$1510),NA()))</f>
        <v>#N/A</v>
      </c>
      <c r="T532" t="e">
        <f>IF($J532&gt;MAX('Match Log'!$A$4:$A$1510),NA(),IFERROR(LOOKUP(2,1/(('Match Log'!$D$4:$D$1510=$T$24)*('Match Log'!$A$4:$A$1510&lt;=$J532)),'Match Log'!$N$4:$N$1510),NA()))</f>
        <v>#N/A</v>
      </c>
      <c r="U532" t="e">
        <f>IF($J532&gt;MAX('Match Log'!$A$4:$A$1510),NA(),IFERROR(LOOKUP(2,1/(('Match Log'!$D$4:$D$1510=$U$24)*('Match Log'!$A$4:$A$1510&lt;=$J532)),'Match Log'!$N$4:$N$1510),NA()))</f>
        <v>#N/A</v>
      </c>
      <c r="V532" t="e">
        <f>IF($J532&gt;MAX('Match Log'!$A$4:$A$1510),NA(),IFERROR(LOOKUP(2,1/(('Match Log'!$D$4:$D$1510=$V$24)*('Match Log'!$A$4:$A$1510&lt;=$J532)),'Match Log'!$N$4:$N$1510),NA()))</f>
        <v>#N/A</v>
      </c>
      <c r="W532" t="e">
        <f>IF($J532&gt;MAX('Match Log'!$A$4:$A$1510),NA(),IFERROR(LOOKUP(2,1/(('Match Log'!$D$4:$D$1510=$W$24)*('Match Log'!$A$4:$A$1510&lt;=$J532)),'Match Log'!$N$4:$N$1510),NA()))</f>
        <v>#N/A</v>
      </c>
      <c r="X532" t="e">
        <f>IF($J532&gt;MAX('Match Log'!$A$4:$A$1510),NA(),IFERROR(LOOKUP(2,1/(('Match Log'!$D$4:$D$1510=$X$24)*('Match Log'!$A$4:$A$1510&lt;=$J532)),'Match Log'!$N$4:$N$1510),NA()))</f>
        <v>#N/A</v>
      </c>
      <c r="Y532" t="str">
        <f t="shared" ca="1" si="37"/>
        <v/>
      </c>
    </row>
    <row r="533" spans="1:25" x14ac:dyDescent="0.2">
      <c r="A533">
        <v>509</v>
      </c>
      <c r="B533" t="str">
        <f>IFERROR(INDEX('Match Log'!$B$4:$B$1510,MATCH($A533,'Match Log'!$A$4:$A$1510,0)),"")</f>
        <v/>
      </c>
      <c r="C533" t="str">
        <f>IFERROR(INDEX('Match Log'!$C$4:$C$1510,MATCH($A533,'Match Log'!$A$4:$A$1510,0)),"")</f>
        <v/>
      </c>
      <c r="D533" t="str">
        <f t="array" ref="D533">IFERROR(_xlfn.TEXTJOIN(" + ",TRUE(),IF(('Match Log'!$A$4:$A$1510=$A533)*('Match Log'!$E$4:$E$1510="Win"),'Match Log'!$D$4:$D$1510,"")),IFERROR(LOOKUP(2,1/(('Match Log'!$A$4:$A$1510=$A533)*('Match Log'!$E$4:$E$1510="Win")),'Match Log'!$D$4:$D$1510),""))</f>
        <v/>
      </c>
      <c r="E533" t="str">
        <f>IFERROR(INDEX('Match Log'!$F$4:$F$1510,MATCH($A533,'Match Log'!$A$4:$A$1510,0)),"")</f>
        <v/>
      </c>
      <c r="F533">
        <f>IFERROR(SUMIFS('Match Log'!$I$4:$I$1510,'Match Log'!$A$4:$A$1510,$A533,'Match Log'!$E$4:$E$1510,"Win"),"")</f>
        <v>0</v>
      </c>
      <c r="G533" t="str">
        <f t="shared" si="35"/>
        <v/>
      </c>
      <c r="H533" t="str">
        <f t="array" ref="H533">IFERROR(IF(COUNTIFS('Match Log'!$A$4:$A$1510,$A533,'Match Log'!$E$4:$E$1510,"Win")&gt;1,_xlfn.TEXTJOIN(" + ",TRUE(),IF(('Match Log'!$A$4:$A$1510=$A533)*('Match Log'!$E$4:$E$1510="Loss"),'Match Log'!$D$4:$D$1510,"")),IF($E533=2,LOOKUP(2,1/(('Match Log'!$A$4:$A$1510=$A533)*('Match Log'!$E$4:$E$1510="Loss")),'Match Log'!$D$4:$D$1510),"the field")),"")</f>
        <v>the field</v>
      </c>
      <c r="I533" t="str">
        <f t="shared" si="36"/>
        <v/>
      </c>
      <c r="J533">
        <v>509</v>
      </c>
      <c r="K533" t="e">
        <f>IF($J533&gt;MAX('Match Log'!$A$4:$A$1510),NA(),IFERROR(LOOKUP(2,1/(('Match Log'!$D$4:$D$1510=$K$24)*('Match Log'!$A$4:$A$1510&lt;=$J533)),'Match Log'!$N$4:$N$1510),NA()))</f>
        <v>#N/A</v>
      </c>
      <c r="L533" t="e">
        <f>IF($J533&gt;MAX('Match Log'!$A$4:$A$1510),NA(),IFERROR(LOOKUP(2,1/(('Match Log'!$D$4:$D$1510=$L$24)*('Match Log'!$A$4:$A$1510&lt;=$J533)),'Match Log'!$N$4:$N$1510),NA()))</f>
        <v>#N/A</v>
      </c>
      <c r="M533" t="e">
        <f>IF($J533&gt;MAX('Match Log'!$A$4:$A$1510),NA(),IFERROR(LOOKUP(2,1/(('Match Log'!$D$4:$D$1510=$M$24)*('Match Log'!$A$4:$A$1510&lt;=$J533)),'Match Log'!$N$4:$N$1510),NA()))</f>
        <v>#N/A</v>
      </c>
      <c r="N533" t="e">
        <f>IF($J533&gt;MAX('Match Log'!$A$4:$A$1510),NA(),IFERROR(LOOKUP(2,1/(('Match Log'!$D$4:$D$1510=$N$24)*('Match Log'!$A$4:$A$1510&lt;=$J533)),'Match Log'!$N$4:$N$1510),NA()))</f>
        <v>#N/A</v>
      </c>
      <c r="O533" t="e">
        <f>IF($J533&gt;MAX('Match Log'!$A$4:$A$1510),NA(),IFERROR(LOOKUP(2,1/(('Match Log'!$D$4:$D$1510=$O$24)*('Match Log'!$A$4:$A$1510&lt;=$J533)),'Match Log'!$N$4:$N$1510),NA()))</f>
        <v>#N/A</v>
      </c>
      <c r="P533" t="e">
        <f>IF($J533&gt;MAX('Match Log'!$A$4:$A$1510),NA(),IFERROR(LOOKUP(2,1/(('Match Log'!$D$4:$D$1510=$P$24)*('Match Log'!$A$4:$A$1510&lt;=$J533)),'Match Log'!$N$4:$N$1510),NA()))</f>
        <v>#N/A</v>
      </c>
      <c r="Q533" t="e">
        <f>IF($J533&gt;MAX('Match Log'!$A$4:$A$1510),NA(),IFERROR(LOOKUP(2,1/(('Match Log'!$D$4:$D$1510=$Q$24)*('Match Log'!$A$4:$A$1510&lt;=$J533)),'Match Log'!$N$4:$N$1510),NA()))</f>
        <v>#N/A</v>
      </c>
      <c r="R533" t="e">
        <f>IF($J533&gt;MAX('Match Log'!$A$4:$A$1510),NA(),IFERROR(LOOKUP(2,1/(('Match Log'!$D$4:$D$1510=$R$24)*('Match Log'!$A$4:$A$1510&lt;=$J533)),'Match Log'!$N$4:$N$1510),NA()))</f>
        <v>#N/A</v>
      </c>
      <c r="S533" t="e">
        <f>IF($J533&gt;MAX('Match Log'!$A$4:$A$1510),NA(),IFERROR(LOOKUP(2,1/(('Match Log'!$D$4:$D$1510=$S$24)*('Match Log'!$A$4:$A$1510&lt;=$J533)),'Match Log'!$N$4:$N$1510),NA()))</f>
        <v>#N/A</v>
      </c>
      <c r="T533" t="e">
        <f>IF($J533&gt;MAX('Match Log'!$A$4:$A$1510),NA(),IFERROR(LOOKUP(2,1/(('Match Log'!$D$4:$D$1510=$T$24)*('Match Log'!$A$4:$A$1510&lt;=$J533)),'Match Log'!$N$4:$N$1510),NA()))</f>
        <v>#N/A</v>
      </c>
      <c r="U533" t="e">
        <f>IF($J533&gt;MAX('Match Log'!$A$4:$A$1510),NA(),IFERROR(LOOKUP(2,1/(('Match Log'!$D$4:$D$1510=$U$24)*('Match Log'!$A$4:$A$1510&lt;=$J533)),'Match Log'!$N$4:$N$1510),NA()))</f>
        <v>#N/A</v>
      </c>
      <c r="V533" t="e">
        <f>IF($J533&gt;MAX('Match Log'!$A$4:$A$1510),NA(),IFERROR(LOOKUP(2,1/(('Match Log'!$D$4:$D$1510=$V$24)*('Match Log'!$A$4:$A$1510&lt;=$J533)),'Match Log'!$N$4:$N$1510),NA()))</f>
        <v>#N/A</v>
      </c>
      <c r="W533" t="e">
        <f>IF($J533&gt;MAX('Match Log'!$A$4:$A$1510),NA(),IFERROR(LOOKUP(2,1/(('Match Log'!$D$4:$D$1510=$W$24)*('Match Log'!$A$4:$A$1510&lt;=$J533)),'Match Log'!$N$4:$N$1510),NA()))</f>
        <v>#N/A</v>
      </c>
      <c r="X533" t="e">
        <f>IF($J533&gt;MAX('Match Log'!$A$4:$A$1510),NA(),IFERROR(LOOKUP(2,1/(('Match Log'!$D$4:$D$1510=$X$24)*('Match Log'!$A$4:$A$1510&lt;=$J533)),'Match Log'!$N$4:$N$1510),NA()))</f>
        <v>#N/A</v>
      </c>
      <c r="Y533" t="str">
        <f t="shared" ca="1" si="37"/>
        <v/>
      </c>
    </row>
    <row r="534" spans="1:25" x14ac:dyDescent="0.2">
      <c r="A534">
        <v>510</v>
      </c>
      <c r="B534" t="str">
        <f>IFERROR(INDEX('Match Log'!$B$4:$B$1510,MATCH($A534,'Match Log'!$A$4:$A$1510,0)),"")</f>
        <v/>
      </c>
      <c r="C534" t="str">
        <f>IFERROR(INDEX('Match Log'!$C$4:$C$1510,MATCH($A534,'Match Log'!$A$4:$A$1510,0)),"")</f>
        <v/>
      </c>
      <c r="D534" t="str">
        <f t="array" ref="D534">IFERROR(_xlfn.TEXTJOIN(" + ",TRUE(),IF(('Match Log'!$A$4:$A$1510=$A534)*('Match Log'!$E$4:$E$1510="Win"),'Match Log'!$D$4:$D$1510,"")),IFERROR(LOOKUP(2,1/(('Match Log'!$A$4:$A$1510=$A534)*('Match Log'!$E$4:$E$1510="Win")),'Match Log'!$D$4:$D$1510),""))</f>
        <v/>
      </c>
      <c r="E534" t="str">
        <f>IFERROR(INDEX('Match Log'!$F$4:$F$1510,MATCH($A534,'Match Log'!$A$4:$A$1510,0)),"")</f>
        <v/>
      </c>
      <c r="F534">
        <f>IFERROR(SUMIFS('Match Log'!$I$4:$I$1510,'Match Log'!$A$4:$A$1510,$A534,'Match Log'!$E$4:$E$1510,"Win"),"")</f>
        <v>0</v>
      </c>
      <c r="G534" t="str">
        <f t="shared" si="35"/>
        <v/>
      </c>
      <c r="H534" t="str">
        <f t="array" ref="H534">IFERROR(IF(COUNTIFS('Match Log'!$A$4:$A$1510,$A534,'Match Log'!$E$4:$E$1510,"Win")&gt;1,_xlfn.TEXTJOIN(" + ",TRUE(),IF(('Match Log'!$A$4:$A$1510=$A534)*('Match Log'!$E$4:$E$1510="Loss"),'Match Log'!$D$4:$D$1510,"")),IF($E534=2,LOOKUP(2,1/(('Match Log'!$A$4:$A$1510=$A534)*('Match Log'!$E$4:$E$1510="Loss")),'Match Log'!$D$4:$D$1510),"the field")),"")</f>
        <v>the field</v>
      </c>
      <c r="I534" t="str">
        <f t="shared" si="36"/>
        <v/>
      </c>
      <c r="J534">
        <v>510</v>
      </c>
      <c r="K534" t="e">
        <f>IF($J534&gt;MAX('Match Log'!$A$4:$A$1510),NA(),IFERROR(LOOKUP(2,1/(('Match Log'!$D$4:$D$1510=$K$24)*('Match Log'!$A$4:$A$1510&lt;=$J534)),'Match Log'!$N$4:$N$1510),NA()))</f>
        <v>#N/A</v>
      </c>
      <c r="L534" t="e">
        <f>IF($J534&gt;MAX('Match Log'!$A$4:$A$1510),NA(),IFERROR(LOOKUP(2,1/(('Match Log'!$D$4:$D$1510=$L$24)*('Match Log'!$A$4:$A$1510&lt;=$J534)),'Match Log'!$N$4:$N$1510),NA()))</f>
        <v>#N/A</v>
      </c>
      <c r="M534" t="e">
        <f>IF($J534&gt;MAX('Match Log'!$A$4:$A$1510),NA(),IFERROR(LOOKUP(2,1/(('Match Log'!$D$4:$D$1510=$M$24)*('Match Log'!$A$4:$A$1510&lt;=$J534)),'Match Log'!$N$4:$N$1510),NA()))</f>
        <v>#N/A</v>
      </c>
      <c r="N534" t="e">
        <f>IF($J534&gt;MAX('Match Log'!$A$4:$A$1510),NA(),IFERROR(LOOKUP(2,1/(('Match Log'!$D$4:$D$1510=$N$24)*('Match Log'!$A$4:$A$1510&lt;=$J534)),'Match Log'!$N$4:$N$1510),NA()))</f>
        <v>#N/A</v>
      </c>
      <c r="O534" t="e">
        <f>IF($J534&gt;MAX('Match Log'!$A$4:$A$1510),NA(),IFERROR(LOOKUP(2,1/(('Match Log'!$D$4:$D$1510=$O$24)*('Match Log'!$A$4:$A$1510&lt;=$J534)),'Match Log'!$N$4:$N$1510),NA()))</f>
        <v>#N/A</v>
      </c>
      <c r="P534" t="e">
        <f>IF($J534&gt;MAX('Match Log'!$A$4:$A$1510),NA(),IFERROR(LOOKUP(2,1/(('Match Log'!$D$4:$D$1510=$P$24)*('Match Log'!$A$4:$A$1510&lt;=$J534)),'Match Log'!$N$4:$N$1510),NA()))</f>
        <v>#N/A</v>
      </c>
      <c r="Q534" t="e">
        <f>IF($J534&gt;MAX('Match Log'!$A$4:$A$1510),NA(),IFERROR(LOOKUP(2,1/(('Match Log'!$D$4:$D$1510=$Q$24)*('Match Log'!$A$4:$A$1510&lt;=$J534)),'Match Log'!$N$4:$N$1510),NA()))</f>
        <v>#N/A</v>
      </c>
      <c r="R534" t="e">
        <f>IF($J534&gt;MAX('Match Log'!$A$4:$A$1510),NA(),IFERROR(LOOKUP(2,1/(('Match Log'!$D$4:$D$1510=$R$24)*('Match Log'!$A$4:$A$1510&lt;=$J534)),'Match Log'!$N$4:$N$1510),NA()))</f>
        <v>#N/A</v>
      </c>
      <c r="S534" t="e">
        <f>IF($J534&gt;MAX('Match Log'!$A$4:$A$1510),NA(),IFERROR(LOOKUP(2,1/(('Match Log'!$D$4:$D$1510=$S$24)*('Match Log'!$A$4:$A$1510&lt;=$J534)),'Match Log'!$N$4:$N$1510),NA()))</f>
        <v>#N/A</v>
      </c>
      <c r="T534" t="e">
        <f>IF($J534&gt;MAX('Match Log'!$A$4:$A$1510),NA(),IFERROR(LOOKUP(2,1/(('Match Log'!$D$4:$D$1510=$T$24)*('Match Log'!$A$4:$A$1510&lt;=$J534)),'Match Log'!$N$4:$N$1510),NA()))</f>
        <v>#N/A</v>
      </c>
      <c r="U534" t="e">
        <f>IF($J534&gt;MAX('Match Log'!$A$4:$A$1510),NA(),IFERROR(LOOKUP(2,1/(('Match Log'!$D$4:$D$1510=$U$24)*('Match Log'!$A$4:$A$1510&lt;=$J534)),'Match Log'!$N$4:$N$1510),NA()))</f>
        <v>#N/A</v>
      </c>
      <c r="V534" t="e">
        <f>IF($J534&gt;MAX('Match Log'!$A$4:$A$1510),NA(),IFERROR(LOOKUP(2,1/(('Match Log'!$D$4:$D$1510=$V$24)*('Match Log'!$A$4:$A$1510&lt;=$J534)),'Match Log'!$N$4:$N$1510),NA()))</f>
        <v>#N/A</v>
      </c>
      <c r="W534" t="e">
        <f>IF($J534&gt;MAX('Match Log'!$A$4:$A$1510),NA(),IFERROR(LOOKUP(2,1/(('Match Log'!$D$4:$D$1510=$W$24)*('Match Log'!$A$4:$A$1510&lt;=$J534)),'Match Log'!$N$4:$N$1510),NA()))</f>
        <v>#N/A</v>
      </c>
      <c r="X534" t="e">
        <f>IF($J534&gt;MAX('Match Log'!$A$4:$A$1510),NA(),IFERROR(LOOKUP(2,1/(('Match Log'!$D$4:$D$1510=$X$24)*('Match Log'!$A$4:$A$1510&lt;=$J534)),'Match Log'!$N$4:$N$1510),NA()))</f>
        <v>#N/A</v>
      </c>
      <c r="Y534" t="str">
        <f t="shared" ca="1" si="37"/>
        <v/>
      </c>
    </row>
    <row r="535" spans="1:25" x14ac:dyDescent="0.2">
      <c r="A535">
        <v>511</v>
      </c>
      <c r="B535" t="str">
        <f>IFERROR(INDEX('Match Log'!$B$4:$B$1510,MATCH($A535,'Match Log'!$A$4:$A$1510,0)),"")</f>
        <v/>
      </c>
      <c r="C535" t="str">
        <f>IFERROR(INDEX('Match Log'!$C$4:$C$1510,MATCH($A535,'Match Log'!$A$4:$A$1510,0)),"")</f>
        <v/>
      </c>
      <c r="D535" t="str">
        <f t="array" ref="D535">IFERROR(_xlfn.TEXTJOIN(" + ",TRUE(),IF(('Match Log'!$A$4:$A$1510=$A535)*('Match Log'!$E$4:$E$1510="Win"),'Match Log'!$D$4:$D$1510,"")),IFERROR(LOOKUP(2,1/(('Match Log'!$A$4:$A$1510=$A535)*('Match Log'!$E$4:$E$1510="Win")),'Match Log'!$D$4:$D$1510),""))</f>
        <v/>
      </c>
      <c r="E535" t="str">
        <f>IFERROR(INDEX('Match Log'!$F$4:$F$1510,MATCH($A535,'Match Log'!$A$4:$A$1510,0)),"")</f>
        <v/>
      </c>
      <c r="F535">
        <f>IFERROR(SUMIFS('Match Log'!$I$4:$I$1510,'Match Log'!$A$4:$A$1510,$A535,'Match Log'!$E$4:$E$1510,"Win"),"")</f>
        <v>0</v>
      </c>
      <c r="G535" t="str">
        <f t="shared" si="35"/>
        <v/>
      </c>
      <c r="H535" t="str">
        <f t="array" ref="H535">IFERROR(IF(COUNTIFS('Match Log'!$A$4:$A$1510,$A535,'Match Log'!$E$4:$E$1510,"Win")&gt;1,_xlfn.TEXTJOIN(" + ",TRUE(),IF(('Match Log'!$A$4:$A$1510=$A535)*('Match Log'!$E$4:$E$1510="Loss"),'Match Log'!$D$4:$D$1510,"")),IF($E535=2,LOOKUP(2,1/(('Match Log'!$A$4:$A$1510=$A535)*('Match Log'!$E$4:$E$1510="Loss")),'Match Log'!$D$4:$D$1510),"the field")),"")</f>
        <v>the field</v>
      </c>
      <c r="I535" t="str">
        <f t="shared" si="36"/>
        <v/>
      </c>
      <c r="J535">
        <v>511</v>
      </c>
      <c r="K535" t="e">
        <f>IF($J535&gt;MAX('Match Log'!$A$4:$A$1510),NA(),IFERROR(LOOKUP(2,1/(('Match Log'!$D$4:$D$1510=$K$24)*('Match Log'!$A$4:$A$1510&lt;=$J535)),'Match Log'!$N$4:$N$1510),NA()))</f>
        <v>#N/A</v>
      </c>
      <c r="L535" t="e">
        <f>IF($J535&gt;MAX('Match Log'!$A$4:$A$1510),NA(),IFERROR(LOOKUP(2,1/(('Match Log'!$D$4:$D$1510=$L$24)*('Match Log'!$A$4:$A$1510&lt;=$J535)),'Match Log'!$N$4:$N$1510),NA()))</f>
        <v>#N/A</v>
      </c>
      <c r="M535" t="e">
        <f>IF($J535&gt;MAX('Match Log'!$A$4:$A$1510),NA(),IFERROR(LOOKUP(2,1/(('Match Log'!$D$4:$D$1510=$M$24)*('Match Log'!$A$4:$A$1510&lt;=$J535)),'Match Log'!$N$4:$N$1510),NA()))</f>
        <v>#N/A</v>
      </c>
      <c r="N535" t="e">
        <f>IF($J535&gt;MAX('Match Log'!$A$4:$A$1510),NA(),IFERROR(LOOKUP(2,1/(('Match Log'!$D$4:$D$1510=$N$24)*('Match Log'!$A$4:$A$1510&lt;=$J535)),'Match Log'!$N$4:$N$1510),NA()))</f>
        <v>#N/A</v>
      </c>
      <c r="O535" t="e">
        <f>IF($J535&gt;MAX('Match Log'!$A$4:$A$1510),NA(),IFERROR(LOOKUP(2,1/(('Match Log'!$D$4:$D$1510=$O$24)*('Match Log'!$A$4:$A$1510&lt;=$J535)),'Match Log'!$N$4:$N$1510),NA()))</f>
        <v>#N/A</v>
      </c>
      <c r="P535" t="e">
        <f>IF($J535&gt;MAX('Match Log'!$A$4:$A$1510),NA(),IFERROR(LOOKUP(2,1/(('Match Log'!$D$4:$D$1510=$P$24)*('Match Log'!$A$4:$A$1510&lt;=$J535)),'Match Log'!$N$4:$N$1510),NA()))</f>
        <v>#N/A</v>
      </c>
      <c r="Q535" t="e">
        <f>IF($J535&gt;MAX('Match Log'!$A$4:$A$1510),NA(),IFERROR(LOOKUP(2,1/(('Match Log'!$D$4:$D$1510=$Q$24)*('Match Log'!$A$4:$A$1510&lt;=$J535)),'Match Log'!$N$4:$N$1510),NA()))</f>
        <v>#N/A</v>
      </c>
      <c r="R535" t="e">
        <f>IF($J535&gt;MAX('Match Log'!$A$4:$A$1510),NA(),IFERROR(LOOKUP(2,1/(('Match Log'!$D$4:$D$1510=$R$24)*('Match Log'!$A$4:$A$1510&lt;=$J535)),'Match Log'!$N$4:$N$1510),NA()))</f>
        <v>#N/A</v>
      </c>
      <c r="S535" t="e">
        <f>IF($J535&gt;MAX('Match Log'!$A$4:$A$1510),NA(),IFERROR(LOOKUP(2,1/(('Match Log'!$D$4:$D$1510=$S$24)*('Match Log'!$A$4:$A$1510&lt;=$J535)),'Match Log'!$N$4:$N$1510),NA()))</f>
        <v>#N/A</v>
      </c>
      <c r="T535" t="e">
        <f>IF($J535&gt;MAX('Match Log'!$A$4:$A$1510),NA(),IFERROR(LOOKUP(2,1/(('Match Log'!$D$4:$D$1510=$T$24)*('Match Log'!$A$4:$A$1510&lt;=$J535)),'Match Log'!$N$4:$N$1510),NA()))</f>
        <v>#N/A</v>
      </c>
      <c r="U535" t="e">
        <f>IF($J535&gt;MAX('Match Log'!$A$4:$A$1510),NA(),IFERROR(LOOKUP(2,1/(('Match Log'!$D$4:$D$1510=$U$24)*('Match Log'!$A$4:$A$1510&lt;=$J535)),'Match Log'!$N$4:$N$1510),NA()))</f>
        <v>#N/A</v>
      </c>
      <c r="V535" t="e">
        <f>IF($J535&gt;MAX('Match Log'!$A$4:$A$1510),NA(),IFERROR(LOOKUP(2,1/(('Match Log'!$D$4:$D$1510=$V$24)*('Match Log'!$A$4:$A$1510&lt;=$J535)),'Match Log'!$N$4:$N$1510),NA()))</f>
        <v>#N/A</v>
      </c>
      <c r="W535" t="e">
        <f>IF($J535&gt;MAX('Match Log'!$A$4:$A$1510),NA(),IFERROR(LOOKUP(2,1/(('Match Log'!$D$4:$D$1510=$W$24)*('Match Log'!$A$4:$A$1510&lt;=$J535)),'Match Log'!$N$4:$N$1510),NA()))</f>
        <v>#N/A</v>
      </c>
      <c r="X535" t="e">
        <f>IF($J535&gt;MAX('Match Log'!$A$4:$A$1510),NA(),IFERROR(LOOKUP(2,1/(('Match Log'!$D$4:$D$1510=$X$24)*('Match Log'!$A$4:$A$1510&lt;=$J535)),'Match Log'!$N$4:$N$1510),NA()))</f>
        <v>#N/A</v>
      </c>
      <c r="Y535" t="str">
        <f t="shared" ca="1" si="37"/>
        <v/>
      </c>
    </row>
    <row r="536" spans="1:25" x14ac:dyDescent="0.2">
      <c r="A536">
        <v>512</v>
      </c>
      <c r="B536" t="str">
        <f>IFERROR(INDEX('Match Log'!$B$4:$B$1510,MATCH($A536,'Match Log'!$A$4:$A$1510,0)),"")</f>
        <v/>
      </c>
      <c r="C536" t="str">
        <f>IFERROR(INDEX('Match Log'!$C$4:$C$1510,MATCH($A536,'Match Log'!$A$4:$A$1510,0)),"")</f>
        <v/>
      </c>
      <c r="D536" t="str">
        <f t="array" ref="D536">IFERROR(_xlfn.TEXTJOIN(" + ",TRUE(),IF(('Match Log'!$A$4:$A$1510=$A536)*('Match Log'!$E$4:$E$1510="Win"),'Match Log'!$D$4:$D$1510,"")),IFERROR(LOOKUP(2,1/(('Match Log'!$A$4:$A$1510=$A536)*('Match Log'!$E$4:$E$1510="Win")),'Match Log'!$D$4:$D$1510),""))</f>
        <v/>
      </c>
      <c r="E536" t="str">
        <f>IFERROR(INDEX('Match Log'!$F$4:$F$1510,MATCH($A536,'Match Log'!$A$4:$A$1510,0)),"")</f>
        <v/>
      </c>
      <c r="F536">
        <f>IFERROR(SUMIFS('Match Log'!$I$4:$I$1510,'Match Log'!$A$4:$A$1510,$A536,'Match Log'!$E$4:$E$1510,"Win"),"")</f>
        <v>0</v>
      </c>
      <c r="G536" t="str">
        <f t="shared" si="35"/>
        <v/>
      </c>
      <c r="H536" t="str">
        <f t="array" ref="H536">IFERROR(IF(COUNTIFS('Match Log'!$A$4:$A$1510,$A536,'Match Log'!$E$4:$E$1510,"Win")&gt;1,_xlfn.TEXTJOIN(" + ",TRUE(),IF(('Match Log'!$A$4:$A$1510=$A536)*('Match Log'!$E$4:$E$1510="Loss"),'Match Log'!$D$4:$D$1510,"")),IF($E536=2,LOOKUP(2,1/(('Match Log'!$A$4:$A$1510=$A536)*('Match Log'!$E$4:$E$1510="Loss")),'Match Log'!$D$4:$D$1510),"the field")),"")</f>
        <v>the field</v>
      </c>
      <c r="I536" t="str">
        <f t="shared" si="36"/>
        <v/>
      </c>
      <c r="J536">
        <v>512</v>
      </c>
      <c r="K536" t="e">
        <f>IF($J536&gt;MAX('Match Log'!$A$4:$A$1510),NA(),IFERROR(LOOKUP(2,1/(('Match Log'!$D$4:$D$1510=$K$24)*('Match Log'!$A$4:$A$1510&lt;=$J536)),'Match Log'!$N$4:$N$1510),NA()))</f>
        <v>#N/A</v>
      </c>
      <c r="L536" t="e">
        <f>IF($J536&gt;MAX('Match Log'!$A$4:$A$1510),NA(),IFERROR(LOOKUP(2,1/(('Match Log'!$D$4:$D$1510=$L$24)*('Match Log'!$A$4:$A$1510&lt;=$J536)),'Match Log'!$N$4:$N$1510),NA()))</f>
        <v>#N/A</v>
      </c>
      <c r="M536" t="e">
        <f>IF($J536&gt;MAX('Match Log'!$A$4:$A$1510),NA(),IFERROR(LOOKUP(2,1/(('Match Log'!$D$4:$D$1510=$M$24)*('Match Log'!$A$4:$A$1510&lt;=$J536)),'Match Log'!$N$4:$N$1510),NA()))</f>
        <v>#N/A</v>
      </c>
      <c r="N536" t="e">
        <f>IF($J536&gt;MAX('Match Log'!$A$4:$A$1510),NA(),IFERROR(LOOKUP(2,1/(('Match Log'!$D$4:$D$1510=$N$24)*('Match Log'!$A$4:$A$1510&lt;=$J536)),'Match Log'!$N$4:$N$1510),NA()))</f>
        <v>#N/A</v>
      </c>
      <c r="O536" t="e">
        <f>IF($J536&gt;MAX('Match Log'!$A$4:$A$1510),NA(),IFERROR(LOOKUP(2,1/(('Match Log'!$D$4:$D$1510=$O$24)*('Match Log'!$A$4:$A$1510&lt;=$J536)),'Match Log'!$N$4:$N$1510),NA()))</f>
        <v>#N/A</v>
      </c>
      <c r="P536" t="e">
        <f>IF($J536&gt;MAX('Match Log'!$A$4:$A$1510),NA(),IFERROR(LOOKUP(2,1/(('Match Log'!$D$4:$D$1510=$P$24)*('Match Log'!$A$4:$A$1510&lt;=$J536)),'Match Log'!$N$4:$N$1510),NA()))</f>
        <v>#N/A</v>
      </c>
      <c r="Q536" t="e">
        <f>IF($J536&gt;MAX('Match Log'!$A$4:$A$1510),NA(),IFERROR(LOOKUP(2,1/(('Match Log'!$D$4:$D$1510=$Q$24)*('Match Log'!$A$4:$A$1510&lt;=$J536)),'Match Log'!$N$4:$N$1510),NA()))</f>
        <v>#N/A</v>
      </c>
      <c r="R536" t="e">
        <f>IF($J536&gt;MAX('Match Log'!$A$4:$A$1510),NA(),IFERROR(LOOKUP(2,1/(('Match Log'!$D$4:$D$1510=$R$24)*('Match Log'!$A$4:$A$1510&lt;=$J536)),'Match Log'!$N$4:$N$1510),NA()))</f>
        <v>#N/A</v>
      </c>
      <c r="S536" t="e">
        <f>IF($J536&gt;MAX('Match Log'!$A$4:$A$1510),NA(),IFERROR(LOOKUP(2,1/(('Match Log'!$D$4:$D$1510=$S$24)*('Match Log'!$A$4:$A$1510&lt;=$J536)),'Match Log'!$N$4:$N$1510),NA()))</f>
        <v>#N/A</v>
      </c>
      <c r="T536" t="e">
        <f>IF($J536&gt;MAX('Match Log'!$A$4:$A$1510),NA(),IFERROR(LOOKUP(2,1/(('Match Log'!$D$4:$D$1510=$T$24)*('Match Log'!$A$4:$A$1510&lt;=$J536)),'Match Log'!$N$4:$N$1510),NA()))</f>
        <v>#N/A</v>
      </c>
      <c r="U536" t="e">
        <f>IF($J536&gt;MAX('Match Log'!$A$4:$A$1510),NA(),IFERROR(LOOKUP(2,1/(('Match Log'!$D$4:$D$1510=$U$24)*('Match Log'!$A$4:$A$1510&lt;=$J536)),'Match Log'!$N$4:$N$1510),NA()))</f>
        <v>#N/A</v>
      </c>
      <c r="V536" t="e">
        <f>IF($J536&gt;MAX('Match Log'!$A$4:$A$1510),NA(),IFERROR(LOOKUP(2,1/(('Match Log'!$D$4:$D$1510=$V$24)*('Match Log'!$A$4:$A$1510&lt;=$J536)),'Match Log'!$N$4:$N$1510),NA()))</f>
        <v>#N/A</v>
      </c>
      <c r="W536" t="e">
        <f>IF($J536&gt;MAX('Match Log'!$A$4:$A$1510),NA(),IFERROR(LOOKUP(2,1/(('Match Log'!$D$4:$D$1510=$W$24)*('Match Log'!$A$4:$A$1510&lt;=$J536)),'Match Log'!$N$4:$N$1510),NA()))</f>
        <v>#N/A</v>
      </c>
      <c r="X536" t="e">
        <f>IF($J536&gt;MAX('Match Log'!$A$4:$A$1510),NA(),IFERROR(LOOKUP(2,1/(('Match Log'!$D$4:$D$1510=$X$24)*('Match Log'!$A$4:$A$1510&lt;=$J536)),'Match Log'!$N$4:$N$1510),NA()))</f>
        <v>#N/A</v>
      </c>
      <c r="Y536" t="str">
        <f t="shared" ca="1" si="37"/>
        <v/>
      </c>
    </row>
    <row r="537" spans="1:25" x14ac:dyDescent="0.2">
      <c r="A537">
        <v>513</v>
      </c>
      <c r="B537" t="str">
        <f>IFERROR(INDEX('Match Log'!$B$4:$B$1510,MATCH($A537,'Match Log'!$A$4:$A$1510,0)),"")</f>
        <v/>
      </c>
      <c r="C537" t="str">
        <f>IFERROR(INDEX('Match Log'!$C$4:$C$1510,MATCH($A537,'Match Log'!$A$4:$A$1510,0)),"")</f>
        <v/>
      </c>
      <c r="D537" t="str">
        <f t="array" ref="D537">IFERROR(_xlfn.TEXTJOIN(" + ",TRUE(),IF(('Match Log'!$A$4:$A$1510=$A537)*('Match Log'!$E$4:$E$1510="Win"),'Match Log'!$D$4:$D$1510,"")),IFERROR(LOOKUP(2,1/(('Match Log'!$A$4:$A$1510=$A537)*('Match Log'!$E$4:$E$1510="Win")),'Match Log'!$D$4:$D$1510),""))</f>
        <v/>
      </c>
      <c r="E537" t="str">
        <f>IFERROR(INDEX('Match Log'!$F$4:$F$1510,MATCH($A537,'Match Log'!$A$4:$A$1510,0)),"")</f>
        <v/>
      </c>
      <c r="F537">
        <f>IFERROR(SUMIFS('Match Log'!$I$4:$I$1510,'Match Log'!$A$4:$A$1510,$A537,'Match Log'!$E$4:$E$1510,"Win"),"")</f>
        <v>0</v>
      </c>
      <c r="G537" t="str">
        <f t="shared" si="35"/>
        <v/>
      </c>
      <c r="H537" t="str">
        <f t="array" ref="H537">IFERROR(IF(COUNTIFS('Match Log'!$A$4:$A$1510,$A537,'Match Log'!$E$4:$E$1510,"Win")&gt;1,_xlfn.TEXTJOIN(" + ",TRUE(),IF(('Match Log'!$A$4:$A$1510=$A537)*('Match Log'!$E$4:$E$1510="Loss"),'Match Log'!$D$4:$D$1510,"")),IF($E537=2,LOOKUP(2,1/(('Match Log'!$A$4:$A$1510=$A537)*('Match Log'!$E$4:$E$1510="Loss")),'Match Log'!$D$4:$D$1510),"the field")),"")</f>
        <v>the field</v>
      </c>
      <c r="I537" t="str">
        <f t="shared" si="36"/>
        <v/>
      </c>
      <c r="J537">
        <v>513</v>
      </c>
      <c r="K537" t="e">
        <f>IF($J537&gt;MAX('Match Log'!$A$4:$A$1510),NA(),IFERROR(LOOKUP(2,1/(('Match Log'!$D$4:$D$1510=$K$24)*('Match Log'!$A$4:$A$1510&lt;=$J537)),'Match Log'!$N$4:$N$1510),NA()))</f>
        <v>#N/A</v>
      </c>
      <c r="L537" t="e">
        <f>IF($J537&gt;MAX('Match Log'!$A$4:$A$1510),NA(),IFERROR(LOOKUP(2,1/(('Match Log'!$D$4:$D$1510=$L$24)*('Match Log'!$A$4:$A$1510&lt;=$J537)),'Match Log'!$N$4:$N$1510),NA()))</f>
        <v>#N/A</v>
      </c>
      <c r="M537" t="e">
        <f>IF($J537&gt;MAX('Match Log'!$A$4:$A$1510),NA(),IFERROR(LOOKUP(2,1/(('Match Log'!$D$4:$D$1510=$M$24)*('Match Log'!$A$4:$A$1510&lt;=$J537)),'Match Log'!$N$4:$N$1510),NA()))</f>
        <v>#N/A</v>
      </c>
      <c r="N537" t="e">
        <f>IF($J537&gt;MAX('Match Log'!$A$4:$A$1510),NA(),IFERROR(LOOKUP(2,1/(('Match Log'!$D$4:$D$1510=$N$24)*('Match Log'!$A$4:$A$1510&lt;=$J537)),'Match Log'!$N$4:$N$1510),NA()))</f>
        <v>#N/A</v>
      </c>
      <c r="O537" t="e">
        <f>IF($J537&gt;MAX('Match Log'!$A$4:$A$1510),NA(),IFERROR(LOOKUP(2,1/(('Match Log'!$D$4:$D$1510=$O$24)*('Match Log'!$A$4:$A$1510&lt;=$J537)),'Match Log'!$N$4:$N$1510),NA()))</f>
        <v>#N/A</v>
      </c>
      <c r="P537" t="e">
        <f>IF($J537&gt;MAX('Match Log'!$A$4:$A$1510),NA(),IFERROR(LOOKUP(2,1/(('Match Log'!$D$4:$D$1510=$P$24)*('Match Log'!$A$4:$A$1510&lt;=$J537)),'Match Log'!$N$4:$N$1510),NA()))</f>
        <v>#N/A</v>
      </c>
      <c r="Q537" t="e">
        <f>IF($J537&gt;MAX('Match Log'!$A$4:$A$1510),NA(),IFERROR(LOOKUP(2,1/(('Match Log'!$D$4:$D$1510=$Q$24)*('Match Log'!$A$4:$A$1510&lt;=$J537)),'Match Log'!$N$4:$N$1510),NA()))</f>
        <v>#N/A</v>
      </c>
      <c r="R537" t="e">
        <f>IF($J537&gt;MAX('Match Log'!$A$4:$A$1510),NA(),IFERROR(LOOKUP(2,1/(('Match Log'!$D$4:$D$1510=$R$24)*('Match Log'!$A$4:$A$1510&lt;=$J537)),'Match Log'!$N$4:$N$1510),NA()))</f>
        <v>#N/A</v>
      </c>
      <c r="S537" t="e">
        <f>IF($J537&gt;MAX('Match Log'!$A$4:$A$1510),NA(),IFERROR(LOOKUP(2,1/(('Match Log'!$D$4:$D$1510=$S$24)*('Match Log'!$A$4:$A$1510&lt;=$J537)),'Match Log'!$N$4:$N$1510),NA()))</f>
        <v>#N/A</v>
      </c>
      <c r="T537" t="e">
        <f>IF($J537&gt;MAX('Match Log'!$A$4:$A$1510),NA(),IFERROR(LOOKUP(2,1/(('Match Log'!$D$4:$D$1510=$T$24)*('Match Log'!$A$4:$A$1510&lt;=$J537)),'Match Log'!$N$4:$N$1510),NA()))</f>
        <v>#N/A</v>
      </c>
      <c r="U537" t="e">
        <f>IF($J537&gt;MAX('Match Log'!$A$4:$A$1510),NA(),IFERROR(LOOKUP(2,1/(('Match Log'!$D$4:$D$1510=$U$24)*('Match Log'!$A$4:$A$1510&lt;=$J537)),'Match Log'!$N$4:$N$1510),NA()))</f>
        <v>#N/A</v>
      </c>
      <c r="V537" t="e">
        <f>IF($J537&gt;MAX('Match Log'!$A$4:$A$1510),NA(),IFERROR(LOOKUP(2,1/(('Match Log'!$D$4:$D$1510=$V$24)*('Match Log'!$A$4:$A$1510&lt;=$J537)),'Match Log'!$N$4:$N$1510),NA()))</f>
        <v>#N/A</v>
      </c>
      <c r="W537" t="e">
        <f>IF($J537&gt;MAX('Match Log'!$A$4:$A$1510),NA(),IFERROR(LOOKUP(2,1/(('Match Log'!$D$4:$D$1510=$W$24)*('Match Log'!$A$4:$A$1510&lt;=$J537)),'Match Log'!$N$4:$N$1510),NA()))</f>
        <v>#N/A</v>
      </c>
      <c r="X537" t="e">
        <f>IF($J537&gt;MAX('Match Log'!$A$4:$A$1510),NA(),IFERROR(LOOKUP(2,1/(('Match Log'!$D$4:$D$1510=$X$24)*('Match Log'!$A$4:$A$1510&lt;=$J537)),'Match Log'!$N$4:$N$1510),NA()))</f>
        <v>#N/A</v>
      </c>
      <c r="Y537" t="str">
        <f t="shared" ca="1" si="37"/>
        <v/>
      </c>
    </row>
    <row r="538" spans="1:25" x14ac:dyDescent="0.2">
      <c r="A538">
        <v>514</v>
      </c>
      <c r="B538" t="str">
        <f>IFERROR(INDEX('Match Log'!$B$4:$B$1510,MATCH($A538,'Match Log'!$A$4:$A$1510,0)),"")</f>
        <v/>
      </c>
      <c r="C538" t="str">
        <f>IFERROR(INDEX('Match Log'!$C$4:$C$1510,MATCH($A538,'Match Log'!$A$4:$A$1510,0)),"")</f>
        <v/>
      </c>
      <c r="D538" t="str">
        <f t="array" ref="D538">IFERROR(_xlfn.TEXTJOIN(" + ",TRUE(),IF(('Match Log'!$A$4:$A$1510=$A538)*('Match Log'!$E$4:$E$1510="Win"),'Match Log'!$D$4:$D$1510,"")),IFERROR(LOOKUP(2,1/(('Match Log'!$A$4:$A$1510=$A538)*('Match Log'!$E$4:$E$1510="Win")),'Match Log'!$D$4:$D$1510),""))</f>
        <v/>
      </c>
      <c r="E538" t="str">
        <f>IFERROR(INDEX('Match Log'!$F$4:$F$1510,MATCH($A538,'Match Log'!$A$4:$A$1510,0)),"")</f>
        <v/>
      </c>
      <c r="F538">
        <f>IFERROR(SUMIFS('Match Log'!$I$4:$I$1510,'Match Log'!$A$4:$A$1510,$A538,'Match Log'!$E$4:$E$1510,"Win"),"")</f>
        <v>0</v>
      </c>
      <c r="G538" t="str">
        <f t="shared" si="35"/>
        <v/>
      </c>
      <c r="H538" t="str">
        <f t="array" ref="H538">IFERROR(IF(COUNTIFS('Match Log'!$A$4:$A$1510,$A538,'Match Log'!$E$4:$E$1510,"Win")&gt;1,_xlfn.TEXTJOIN(" + ",TRUE(),IF(('Match Log'!$A$4:$A$1510=$A538)*('Match Log'!$E$4:$E$1510="Loss"),'Match Log'!$D$4:$D$1510,"")),IF($E538=2,LOOKUP(2,1/(('Match Log'!$A$4:$A$1510=$A538)*('Match Log'!$E$4:$E$1510="Loss")),'Match Log'!$D$4:$D$1510),"the field")),"")</f>
        <v>the field</v>
      </c>
      <c r="I538" t="str">
        <f t="shared" si="36"/>
        <v/>
      </c>
      <c r="J538">
        <v>514</v>
      </c>
      <c r="K538" t="e">
        <f>IF($J538&gt;MAX('Match Log'!$A$4:$A$1510),NA(),IFERROR(LOOKUP(2,1/(('Match Log'!$D$4:$D$1510=$K$24)*('Match Log'!$A$4:$A$1510&lt;=$J538)),'Match Log'!$N$4:$N$1510),NA()))</f>
        <v>#N/A</v>
      </c>
      <c r="L538" t="e">
        <f>IF($J538&gt;MAX('Match Log'!$A$4:$A$1510),NA(),IFERROR(LOOKUP(2,1/(('Match Log'!$D$4:$D$1510=$L$24)*('Match Log'!$A$4:$A$1510&lt;=$J538)),'Match Log'!$N$4:$N$1510),NA()))</f>
        <v>#N/A</v>
      </c>
      <c r="M538" t="e">
        <f>IF($J538&gt;MAX('Match Log'!$A$4:$A$1510),NA(),IFERROR(LOOKUP(2,1/(('Match Log'!$D$4:$D$1510=$M$24)*('Match Log'!$A$4:$A$1510&lt;=$J538)),'Match Log'!$N$4:$N$1510),NA()))</f>
        <v>#N/A</v>
      </c>
      <c r="N538" t="e">
        <f>IF($J538&gt;MAX('Match Log'!$A$4:$A$1510),NA(),IFERROR(LOOKUP(2,1/(('Match Log'!$D$4:$D$1510=$N$24)*('Match Log'!$A$4:$A$1510&lt;=$J538)),'Match Log'!$N$4:$N$1510),NA()))</f>
        <v>#N/A</v>
      </c>
      <c r="O538" t="e">
        <f>IF($J538&gt;MAX('Match Log'!$A$4:$A$1510),NA(),IFERROR(LOOKUP(2,1/(('Match Log'!$D$4:$D$1510=$O$24)*('Match Log'!$A$4:$A$1510&lt;=$J538)),'Match Log'!$N$4:$N$1510),NA()))</f>
        <v>#N/A</v>
      </c>
      <c r="P538" t="e">
        <f>IF($J538&gt;MAX('Match Log'!$A$4:$A$1510),NA(),IFERROR(LOOKUP(2,1/(('Match Log'!$D$4:$D$1510=$P$24)*('Match Log'!$A$4:$A$1510&lt;=$J538)),'Match Log'!$N$4:$N$1510),NA()))</f>
        <v>#N/A</v>
      </c>
      <c r="Q538" t="e">
        <f>IF($J538&gt;MAX('Match Log'!$A$4:$A$1510),NA(),IFERROR(LOOKUP(2,1/(('Match Log'!$D$4:$D$1510=$Q$24)*('Match Log'!$A$4:$A$1510&lt;=$J538)),'Match Log'!$N$4:$N$1510),NA()))</f>
        <v>#N/A</v>
      </c>
      <c r="R538" t="e">
        <f>IF($J538&gt;MAX('Match Log'!$A$4:$A$1510),NA(),IFERROR(LOOKUP(2,1/(('Match Log'!$D$4:$D$1510=$R$24)*('Match Log'!$A$4:$A$1510&lt;=$J538)),'Match Log'!$N$4:$N$1510),NA()))</f>
        <v>#N/A</v>
      </c>
      <c r="S538" t="e">
        <f>IF($J538&gt;MAX('Match Log'!$A$4:$A$1510),NA(),IFERROR(LOOKUP(2,1/(('Match Log'!$D$4:$D$1510=$S$24)*('Match Log'!$A$4:$A$1510&lt;=$J538)),'Match Log'!$N$4:$N$1510),NA()))</f>
        <v>#N/A</v>
      </c>
      <c r="T538" t="e">
        <f>IF($J538&gt;MAX('Match Log'!$A$4:$A$1510),NA(),IFERROR(LOOKUP(2,1/(('Match Log'!$D$4:$D$1510=$T$24)*('Match Log'!$A$4:$A$1510&lt;=$J538)),'Match Log'!$N$4:$N$1510),NA()))</f>
        <v>#N/A</v>
      </c>
      <c r="U538" t="e">
        <f>IF($J538&gt;MAX('Match Log'!$A$4:$A$1510),NA(),IFERROR(LOOKUP(2,1/(('Match Log'!$D$4:$D$1510=$U$24)*('Match Log'!$A$4:$A$1510&lt;=$J538)),'Match Log'!$N$4:$N$1510),NA()))</f>
        <v>#N/A</v>
      </c>
      <c r="V538" t="e">
        <f>IF($J538&gt;MAX('Match Log'!$A$4:$A$1510),NA(),IFERROR(LOOKUP(2,1/(('Match Log'!$D$4:$D$1510=$V$24)*('Match Log'!$A$4:$A$1510&lt;=$J538)),'Match Log'!$N$4:$N$1510),NA()))</f>
        <v>#N/A</v>
      </c>
      <c r="W538" t="e">
        <f>IF($J538&gt;MAX('Match Log'!$A$4:$A$1510),NA(),IFERROR(LOOKUP(2,1/(('Match Log'!$D$4:$D$1510=$W$24)*('Match Log'!$A$4:$A$1510&lt;=$J538)),'Match Log'!$N$4:$N$1510),NA()))</f>
        <v>#N/A</v>
      </c>
      <c r="X538" t="e">
        <f>IF($J538&gt;MAX('Match Log'!$A$4:$A$1510),NA(),IFERROR(LOOKUP(2,1/(('Match Log'!$D$4:$D$1510=$X$24)*('Match Log'!$A$4:$A$1510&lt;=$J538)),'Match Log'!$N$4:$N$1510),NA()))</f>
        <v>#N/A</v>
      </c>
      <c r="Y538" t="str">
        <f t="shared" ca="1" si="37"/>
        <v/>
      </c>
    </row>
    <row r="539" spans="1:25" x14ac:dyDescent="0.2">
      <c r="A539">
        <v>515</v>
      </c>
      <c r="B539" t="str">
        <f>IFERROR(INDEX('Match Log'!$B$4:$B$1510,MATCH($A539,'Match Log'!$A$4:$A$1510,0)),"")</f>
        <v/>
      </c>
      <c r="C539" t="str">
        <f>IFERROR(INDEX('Match Log'!$C$4:$C$1510,MATCH($A539,'Match Log'!$A$4:$A$1510,0)),"")</f>
        <v/>
      </c>
      <c r="D539" t="str">
        <f t="array" ref="D539">IFERROR(_xlfn.TEXTJOIN(" + ",TRUE(),IF(('Match Log'!$A$4:$A$1510=$A539)*('Match Log'!$E$4:$E$1510="Win"),'Match Log'!$D$4:$D$1510,"")),IFERROR(LOOKUP(2,1/(('Match Log'!$A$4:$A$1510=$A539)*('Match Log'!$E$4:$E$1510="Win")),'Match Log'!$D$4:$D$1510),""))</f>
        <v/>
      </c>
      <c r="E539" t="str">
        <f>IFERROR(INDEX('Match Log'!$F$4:$F$1510,MATCH($A539,'Match Log'!$A$4:$A$1510,0)),"")</f>
        <v/>
      </c>
      <c r="F539">
        <f>IFERROR(SUMIFS('Match Log'!$I$4:$I$1510,'Match Log'!$A$4:$A$1510,$A539,'Match Log'!$E$4:$E$1510,"Win"),"")</f>
        <v>0</v>
      </c>
      <c r="G539" t="str">
        <f t="shared" si="35"/>
        <v/>
      </c>
      <c r="H539" t="str">
        <f t="array" ref="H539">IFERROR(IF(COUNTIFS('Match Log'!$A$4:$A$1510,$A539,'Match Log'!$E$4:$E$1510,"Win")&gt;1,_xlfn.TEXTJOIN(" + ",TRUE(),IF(('Match Log'!$A$4:$A$1510=$A539)*('Match Log'!$E$4:$E$1510="Loss"),'Match Log'!$D$4:$D$1510,"")),IF($E539=2,LOOKUP(2,1/(('Match Log'!$A$4:$A$1510=$A539)*('Match Log'!$E$4:$E$1510="Loss")),'Match Log'!$D$4:$D$1510),"the field")),"")</f>
        <v>the field</v>
      </c>
      <c r="I539" t="str">
        <f t="shared" si="36"/>
        <v/>
      </c>
      <c r="J539">
        <v>515</v>
      </c>
      <c r="K539" t="e">
        <f>IF($J539&gt;MAX('Match Log'!$A$4:$A$1510),NA(),IFERROR(LOOKUP(2,1/(('Match Log'!$D$4:$D$1510=$K$24)*('Match Log'!$A$4:$A$1510&lt;=$J539)),'Match Log'!$N$4:$N$1510),NA()))</f>
        <v>#N/A</v>
      </c>
      <c r="L539" t="e">
        <f>IF($J539&gt;MAX('Match Log'!$A$4:$A$1510),NA(),IFERROR(LOOKUP(2,1/(('Match Log'!$D$4:$D$1510=$L$24)*('Match Log'!$A$4:$A$1510&lt;=$J539)),'Match Log'!$N$4:$N$1510),NA()))</f>
        <v>#N/A</v>
      </c>
      <c r="M539" t="e">
        <f>IF($J539&gt;MAX('Match Log'!$A$4:$A$1510),NA(),IFERROR(LOOKUP(2,1/(('Match Log'!$D$4:$D$1510=$M$24)*('Match Log'!$A$4:$A$1510&lt;=$J539)),'Match Log'!$N$4:$N$1510),NA()))</f>
        <v>#N/A</v>
      </c>
      <c r="N539" t="e">
        <f>IF($J539&gt;MAX('Match Log'!$A$4:$A$1510),NA(),IFERROR(LOOKUP(2,1/(('Match Log'!$D$4:$D$1510=$N$24)*('Match Log'!$A$4:$A$1510&lt;=$J539)),'Match Log'!$N$4:$N$1510),NA()))</f>
        <v>#N/A</v>
      </c>
      <c r="O539" t="e">
        <f>IF($J539&gt;MAX('Match Log'!$A$4:$A$1510),NA(),IFERROR(LOOKUP(2,1/(('Match Log'!$D$4:$D$1510=$O$24)*('Match Log'!$A$4:$A$1510&lt;=$J539)),'Match Log'!$N$4:$N$1510),NA()))</f>
        <v>#N/A</v>
      </c>
      <c r="P539" t="e">
        <f>IF($J539&gt;MAX('Match Log'!$A$4:$A$1510),NA(),IFERROR(LOOKUP(2,1/(('Match Log'!$D$4:$D$1510=$P$24)*('Match Log'!$A$4:$A$1510&lt;=$J539)),'Match Log'!$N$4:$N$1510),NA()))</f>
        <v>#N/A</v>
      </c>
      <c r="Q539" t="e">
        <f>IF($J539&gt;MAX('Match Log'!$A$4:$A$1510),NA(),IFERROR(LOOKUP(2,1/(('Match Log'!$D$4:$D$1510=$Q$24)*('Match Log'!$A$4:$A$1510&lt;=$J539)),'Match Log'!$N$4:$N$1510),NA()))</f>
        <v>#N/A</v>
      </c>
      <c r="R539" t="e">
        <f>IF($J539&gt;MAX('Match Log'!$A$4:$A$1510),NA(),IFERROR(LOOKUP(2,1/(('Match Log'!$D$4:$D$1510=$R$24)*('Match Log'!$A$4:$A$1510&lt;=$J539)),'Match Log'!$N$4:$N$1510),NA()))</f>
        <v>#N/A</v>
      </c>
      <c r="S539" t="e">
        <f>IF($J539&gt;MAX('Match Log'!$A$4:$A$1510),NA(),IFERROR(LOOKUP(2,1/(('Match Log'!$D$4:$D$1510=$S$24)*('Match Log'!$A$4:$A$1510&lt;=$J539)),'Match Log'!$N$4:$N$1510),NA()))</f>
        <v>#N/A</v>
      </c>
      <c r="T539" t="e">
        <f>IF($J539&gt;MAX('Match Log'!$A$4:$A$1510),NA(),IFERROR(LOOKUP(2,1/(('Match Log'!$D$4:$D$1510=$T$24)*('Match Log'!$A$4:$A$1510&lt;=$J539)),'Match Log'!$N$4:$N$1510),NA()))</f>
        <v>#N/A</v>
      </c>
      <c r="U539" t="e">
        <f>IF($J539&gt;MAX('Match Log'!$A$4:$A$1510),NA(),IFERROR(LOOKUP(2,1/(('Match Log'!$D$4:$D$1510=$U$24)*('Match Log'!$A$4:$A$1510&lt;=$J539)),'Match Log'!$N$4:$N$1510),NA()))</f>
        <v>#N/A</v>
      </c>
      <c r="V539" t="e">
        <f>IF($J539&gt;MAX('Match Log'!$A$4:$A$1510),NA(),IFERROR(LOOKUP(2,1/(('Match Log'!$D$4:$D$1510=$V$24)*('Match Log'!$A$4:$A$1510&lt;=$J539)),'Match Log'!$N$4:$N$1510),NA()))</f>
        <v>#N/A</v>
      </c>
      <c r="W539" t="e">
        <f>IF($J539&gt;MAX('Match Log'!$A$4:$A$1510),NA(),IFERROR(LOOKUP(2,1/(('Match Log'!$D$4:$D$1510=$W$24)*('Match Log'!$A$4:$A$1510&lt;=$J539)),'Match Log'!$N$4:$N$1510),NA()))</f>
        <v>#N/A</v>
      </c>
      <c r="X539" t="e">
        <f>IF($J539&gt;MAX('Match Log'!$A$4:$A$1510),NA(),IFERROR(LOOKUP(2,1/(('Match Log'!$D$4:$D$1510=$X$24)*('Match Log'!$A$4:$A$1510&lt;=$J539)),'Match Log'!$N$4:$N$1510),NA()))</f>
        <v>#N/A</v>
      </c>
      <c r="Y539" t="str">
        <f t="shared" ca="1" si="37"/>
        <v/>
      </c>
    </row>
    <row r="540" spans="1:25" x14ac:dyDescent="0.2">
      <c r="A540">
        <v>516</v>
      </c>
      <c r="B540" t="str">
        <f>IFERROR(INDEX('Match Log'!$B$4:$B$1510,MATCH($A540,'Match Log'!$A$4:$A$1510,0)),"")</f>
        <v/>
      </c>
      <c r="C540" t="str">
        <f>IFERROR(INDEX('Match Log'!$C$4:$C$1510,MATCH($A540,'Match Log'!$A$4:$A$1510,0)),"")</f>
        <v/>
      </c>
      <c r="D540" t="str">
        <f t="array" ref="D540">IFERROR(_xlfn.TEXTJOIN(" + ",TRUE(),IF(('Match Log'!$A$4:$A$1510=$A540)*('Match Log'!$E$4:$E$1510="Win"),'Match Log'!$D$4:$D$1510,"")),IFERROR(LOOKUP(2,1/(('Match Log'!$A$4:$A$1510=$A540)*('Match Log'!$E$4:$E$1510="Win")),'Match Log'!$D$4:$D$1510),""))</f>
        <v/>
      </c>
      <c r="E540" t="str">
        <f>IFERROR(INDEX('Match Log'!$F$4:$F$1510,MATCH($A540,'Match Log'!$A$4:$A$1510,0)),"")</f>
        <v/>
      </c>
      <c r="F540">
        <f>IFERROR(SUMIFS('Match Log'!$I$4:$I$1510,'Match Log'!$A$4:$A$1510,$A540,'Match Log'!$E$4:$E$1510,"Win"),"")</f>
        <v>0</v>
      </c>
      <c r="G540" t="str">
        <f t="shared" si="35"/>
        <v/>
      </c>
      <c r="H540" t="str">
        <f t="array" ref="H540">IFERROR(IF(COUNTIFS('Match Log'!$A$4:$A$1510,$A540,'Match Log'!$E$4:$E$1510,"Win")&gt;1,_xlfn.TEXTJOIN(" + ",TRUE(),IF(('Match Log'!$A$4:$A$1510=$A540)*('Match Log'!$E$4:$E$1510="Loss"),'Match Log'!$D$4:$D$1510,"")),IF($E540=2,LOOKUP(2,1/(('Match Log'!$A$4:$A$1510=$A540)*('Match Log'!$E$4:$E$1510="Loss")),'Match Log'!$D$4:$D$1510),"the field")),"")</f>
        <v>the field</v>
      </c>
      <c r="I540" t="str">
        <f t="shared" si="36"/>
        <v/>
      </c>
      <c r="J540">
        <v>516</v>
      </c>
      <c r="K540" t="e">
        <f>IF($J540&gt;MAX('Match Log'!$A$4:$A$1510),NA(),IFERROR(LOOKUP(2,1/(('Match Log'!$D$4:$D$1510=$K$24)*('Match Log'!$A$4:$A$1510&lt;=$J540)),'Match Log'!$N$4:$N$1510),NA()))</f>
        <v>#N/A</v>
      </c>
      <c r="L540" t="e">
        <f>IF($J540&gt;MAX('Match Log'!$A$4:$A$1510),NA(),IFERROR(LOOKUP(2,1/(('Match Log'!$D$4:$D$1510=$L$24)*('Match Log'!$A$4:$A$1510&lt;=$J540)),'Match Log'!$N$4:$N$1510),NA()))</f>
        <v>#N/A</v>
      </c>
      <c r="M540" t="e">
        <f>IF($J540&gt;MAX('Match Log'!$A$4:$A$1510),NA(),IFERROR(LOOKUP(2,1/(('Match Log'!$D$4:$D$1510=$M$24)*('Match Log'!$A$4:$A$1510&lt;=$J540)),'Match Log'!$N$4:$N$1510),NA()))</f>
        <v>#N/A</v>
      </c>
      <c r="N540" t="e">
        <f>IF($J540&gt;MAX('Match Log'!$A$4:$A$1510),NA(),IFERROR(LOOKUP(2,1/(('Match Log'!$D$4:$D$1510=$N$24)*('Match Log'!$A$4:$A$1510&lt;=$J540)),'Match Log'!$N$4:$N$1510),NA()))</f>
        <v>#N/A</v>
      </c>
      <c r="O540" t="e">
        <f>IF($J540&gt;MAX('Match Log'!$A$4:$A$1510),NA(),IFERROR(LOOKUP(2,1/(('Match Log'!$D$4:$D$1510=$O$24)*('Match Log'!$A$4:$A$1510&lt;=$J540)),'Match Log'!$N$4:$N$1510),NA()))</f>
        <v>#N/A</v>
      </c>
      <c r="P540" t="e">
        <f>IF($J540&gt;MAX('Match Log'!$A$4:$A$1510),NA(),IFERROR(LOOKUP(2,1/(('Match Log'!$D$4:$D$1510=$P$24)*('Match Log'!$A$4:$A$1510&lt;=$J540)),'Match Log'!$N$4:$N$1510),NA()))</f>
        <v>#N/A</v>
      </c>
      <c r="Q540" t="e">
        <f>IF($J540&gt;MAX('Match Log'!$A$4:$A$1510),NA(),IFERROR(LOOKUP(2,1/(('Match Log'!$D$4:$D$1510=$Q$24)*('Match Log'!$A$4:$A$1510&lt;=$J540)),'Match Log'!$N$4:$N$1510),NA()))</f>
        <v>#N/A</v>
      </c>
      <c r="R540" t="e">
        <f>IF($J540&gt;MAX('Match Log'!$A$4:$A$1510),NA(),IFERROR(LOOKUP(2,1/(('Match Log'!$D$4:$D$1510=$R$24)*('Match Log'!$A$4:$A$1510&lt;=$J540)),'Match Log'!$N$4:$N$1510),NA()))</f>
        <v>#N/A</v>
      </c>
      <c r="S540" t="e">
        <f>IF($J540&gt;MAX('Match Log'!$A$4:$A$1510),NA(),IFERROR(LOOKUP(2,1/(('Match Log'!$D$4:$D$1510=$S$24)*('Match Log'!$A$4:$A$1510&lt;=$J540)),'Match Log'!$N$4:$N$1510),NA()))</f>
        <v>#N/A</v>
      </c>
      <c r="T540" t="e">
        <f>IF($J540&gt;MAX('Match Log'!$A$4:$A$1510),NA(),IFERROR(LOOKUP(2,1/(('Match Log'!$D$4:$D$1510=$T$24)*('Match Log'!$A$4:$A$1510&lt;=$J540)),'Match Log'!$N$4:$N$1510),NA()))</f>
        <v>#N/A</v>
      </c>
      <c r="U540" t="e">
        <f>IF($J540&gt;MAX('Match Log'!$A$4:$A$1510),NA(),IFERROR(LOOKUP(2,1/(('Match Log'!$D$4:$D$1510=$U$24)*('Match Log'!$A$4:$A$1510&lt;=$J540)),'Match Log'!$N$4:$N$1510),NA()))</f>
        <v>#N/A</v>
      </c>
      <c r="V540" t="e">
        <f>IF($J540&gt;MAX('Match Log'!$A$4:$A$1510),NA(),IFERROR(LOOKUP(2,1/(('Match Log'!$D$4:$D$1510=$V$24)*('Match Log'!$A$4:$A$1510&lt;=$J540)),'Match Log'!$N$4:$N$1510),NA()))</f>
        <v>#N/A</v>
      </c>
      <c r="W540" t="e">
        <f>IF($J540&gt;MAX('Match Log'!$A$4:$A$1510),NA(),IFERROR(LOOKUP(2,1/(('Match Log'!$D$4:$D$1510=$W$24)*('Match Log'!$A$4:$A$1510&lt;=$J540)),'Match Log'!$N$4:$N$1510),NA()))</f>
        <v>#N/A</v>
      </c>
      <c r="X540" t="e">
        <f>IF($J540&gt;MAX('Match Log'!$A$4:$A$1510),NA(),IFERROR(LOOKUP(2,1/(('Match Log'!$D$4:$D$1510=$X$24)*('Match Log'!$A$4:$A$1510&lt;=$J540)),'Match Log'!$N$4:$N$1510),NA()))</f>
        <v>#N/A</v>
      </c>
      <c r="Y540" t="str">
        <f t="shared" ca="1" si="37"/>
        <v/>
      </c>
    </row>
    <row r="541" spans="1:25" x14ac:dyDescent="0.2">
      <c r="A541">
        <v>517</v>
      </c>
      <c r="B541" t="str">
        <f>IFERROR(INDEX('Match Log'!$B$4:$B$1510,MATCH($A541,'Match Log'!$A$4:$A$1510,0)),"")</f>
        <v/>
      </c>
      <c r="C541" t="str">
        <f>IFERROR(INDEX('Match Log'!$C$4:$C$1510,MATCH($A541,'Match Log'!$A$4:$A$1510,0)),"")</f>
        <v/>
      </c>
      <c r="D541" t="str">
        <f t="array" ref="D541">IFERROR(_xlfn.TEXTJOIN(" + ",TRUE(),IF(('Match Log'!$A$4:$A$1510=$A541)*('Match Log'!$E$4:$E$1510="Win"),'Match Log'!$D$4:$D$1510,"")),IFERROR(LOOKUP(2,1/(('Match Log'!$A$4:$A$1510=$A541)*('Match Log'!$E$4:$E$1510="Win")),'Match Log'!$D$4:$D$1510),""))</f>
        <v/>
      </c>
      <c r="E541" t="str">
        <f>IFERROR(INDEX('Match Log'!$F$4:$F$1510,MATCH($A541,'Match Log'!$A$4:$A$1510,0)),"")</f>
        <v/>
      </c>
      <c r="F541">
        <f>IFERROR(SUMIFS('Match Log'!$I$4:$I$1510,'Match Log'!$A$4:$A$1510,$A541,'Match Log'!$E$4:$E$1510,"Win"),"")</f>
        <v>0</v>
      </c>
      <c r="G541" t="str">
        <f t="shared" si="35"/>
        <v/>
      </c>
      <c r="H541" t="str">
        <f t="array" ref="H541">IFERROR(IF(COUNTIFS('Match Log'!$A$4:$A$1510,$A541,'Match Log'!$E$4:$E$1510,"Win")&gt;1,_xlfn.TEXTJOIN(" + ",TRUE(),IF(('Match Log'!$A$4:$A$1510=$A541)*('Match Log'!$E$4:$E$1510="Loss"),'Match Log'!$D$4:$D$1510,"")),IF($E541=2,LOOKUP(2,1/(('Match Log'!$A$4:$A$1510=$A541)*('Match Log'!$E$4:$E$1510="Loss")),'Match Log'!$D$4:$D$1510),"the field")),"")</f>
        <v>the field</v>
      </c>
      <c r="I541" t="str">
        <f t="shared" si="36"/>
        <v/>
      </c>
      <c r="J541">
        <v>517</v>
      </c>
      <c r="K541" t="e">
        <f>IF($J541&gt;MAX('Match Log'!$A$4:$A$1510),NA(),IFERROR(LOOKUP(2,1/(('Match Log'!$D$4:$D$1510=$K$24)*('Match Log'!$A$4:$A$1510&lt;=$J541)),'Match Log'!$N$4:$N$1510),NA()))</f>
        <v>#N/A</v>
      </c>
      <c r="L541" t="e">
        <f>IF($J541&gt;MAX('Match Log'!$A$4:$A$1510),NA(),IFERROR(LOOKUP(2,1/(('Match Log'!$D$4:$D$1510=$L$24)*('Match Log'!$A$4:$A$1510&lt;=$J541)),'Match Log'!$N$4:$N$1510),NA()))</f>
        <v>#N/A</v>
      </c>
      <c r="M541" t="e">
        <f>IF($J541&gt;MAX('Match Log'!$A$4:$A$1510),NA(),IFERROR(LOOKUP(2,1/(('Match Log'!$D$4:$D$1510=$M$24)*('Match Log'!$A$4:$A$1510&lt;=$J541)),'Match Log'!$N$4:$N$1510),NA()))</f>
        <v>#N/A</v>
      </c>
      <c r="N541" t="e">
        <f>IF($J541&gt;MAX('Match Log'!$A$4:$A$1510),NA(),IFERROR(LOOKUP(2,1/(('Match Log'!$D$4:$D$1510=$N$24)*('Match Log'!$A$4:$A$1510&lt;=$J541)),'Match Log'!$N$4:$N$1510),NA()))</f>
        <v>#N/A</v>
      </c>
      <c r="O541" t="e">
        <f>IF($J541&gt;MAX('Match Log'!$A$4:$A$1510),NA(),IFERROR(LOOKUP(2,1/(('Match Log'!$D$4:$D$1510=$O$24)*('Match Log'!$A$4:$A$1510&lt;=$J541)),'Match Log'!$N$4:$N$1510),NA()))</f>
        <v>#N/A</v>
      </c>
      <c r="P541" t="e">
        <f>IF($J541&gt;MAX('Match Log'!$A$4:$A$1510),NA(),IFERROR(LOOKUP(2,1/(('Match Log'!$D$4:$D$1510=$P$24)*('Match Log'!$A$4:$A$1510&lt;=$J541)),'Match Log'!$N$4:$N$1510),NA()))</f>
        <v>#N/A</v>
      </c>
      <c r="Q541" t="e">
        <f>IF($J541&gt;MAX('Match Log'!$A$4:$A$1510),NA(),IFERROR(LOOKUP(2,1/(('Match Log'!$D$4:$D$1510=$Q$24)*('Match Log'!$A$4:$A$1510&lt;=$J541)),'Match Log'!$N$4:$N$1510),NA()))</f>
        <v>#N/A</v>
      </c>
      <c r="R541" t="e">
        <f>IF($J541&gt;MAX('Match Log'!$A$4:$A$1510),NA(),IFERROR(LOOKUP(2,1/(('Match Log'!$D$4:$D$1510=$R$24)*('Match Log'!$A$4:$A$1510&lt;=$J541)),'Match Log'!$N$4:$N$1510),NA()))</f>
        <v>#N/A</v>
      </c>
      <c r="S541" t="e">
        <f>IF($J541&gt;MAX('Match Log'!$A$4:$A$1510),NA(),IFERROR(LOOKUP(2,1/(('Match Log'!$D$4:$D$1510=$S$24)*('Match Log'!$A$4:$A$1510&lt;=$J541)),'Match Log'!$N$4:$N$1510),NA()))</f>
        <v>#N/A</v>
      </c>
      <c r="T541" t="e">
        <f>IF($J541&gt;MAX('Match Log'!$A$4:$A$1510),NA(),IFERROR(LOOKUP(2,1/(('Match Log'!$D$4:$D$1510=$T$24)*('Match Log'!$A$4:$A$1510&lt;=$J541)),'Match Log'!$N$4:$N$1510),NA()))</f>
        <v>#N/A</v>
      </c>
      <c r="U541" t="e">
        <f>IF($J541&gt;MAX('Match Log'!$A$4:$A$1510),NA(),IFERROR(LOOKUP(2,1/(('Match Log'!$D$4:$D$1510=$U$24)*('Match Log'!$A$4:$A$1510&lt;=$J541)),'Match Log'!$N$4:$N$1510),NA()))</f>
        <v>#N/A</v>
      </c>
      <c r="V541" t="e">
        <f>IF($J541&gt;MAX('Match Log'!$A$4:$A$1510),NA(),IFERROR(LOOKUP(2,1/(('Match Log'!$D$4:$D$1510=$V$24)*('Match Log'!$A$4:$A$1510&lt;=$J541)),'Match Log'!$N$4:$N$1510),NA()))</f>
        <v>#N/A</v>
      </c>
      <c r="W541" t="e">
        <f>IF($J541&gt;MAX('Match Log'!$A$4:$A$1510),NA(),IFERROR(LOOKUP(2,1/(('Match Log'!$D$4:$D$1510=$W$24)*('Match Log'!$A$4:$A$1510&lt;=$J541)),'Match Log'!$N$4:$N$1510),NA()))</f>
        <v>#N/A</v>
      </c>
      <c r="X541" t="e">
        <f>IF($J541&gt;MAX('Match Log'!$A$4:$A$1510),NA(),IFERROR(LOOKUP(2,1/(('Match Log'!$D$4:$D$1510=$X$24)*('Match Log'!$A$4:$A$1510&lt;=$J541)),'Match Log'!$N$4:$N$1510),NA()))</f>
        <v>#N/A</v>
      </c>
      <c r="Y541" t="str">
        <f t="shared" ca="1" si="37"/>
        <v/>
      </c>
    </row>
    <row r="542" spans="1:25" x14ac:dyDescent="0.2">
      <c r="A542">
        <v>518</v>
      </c>
      <c r="B542" t="str">
        <f>IFERROR(INDEX('Match Log'!$B$4:$B$1510,MATCH($A542,'Match Log'!$A$4:$A$1510,0)),"")</f>
        <v/>
      </c>
      <c r="C542" t="str">
        <f>IFERROR(INDEX('Match Log'!$C$4:$C$1510,MATCH($A542,'Match Log'!$A$4:$A$1510,0)),"")</f>
        <v/>
      </c>
      <c r="D542" t="str">
        <f t="array" ref="D542">IFERROR(_xlfn.TEXTJOIN(" + ",TRUE(),IF(('Match Log'!$A$4:$A$1510=$A542)*('Match Log'!$E$4:$E$1510="Win"),'Match Log'!$D$4:$D$1510,"")),IFERROR(LOOKUP(2,1/(('Match Log'!$A$4:$A$1510=$A542)*('Match Log'!$E$4:$E$1510="Win")),'Match Log'!$D$4:$D$1510),""))</f>
        <v/>
      </c>
      <c r="E542" t="str">
        <f>IFERROR(INDEX('Match Log'!$F$4:$F$1510,MATCH($A542,'Match Log'!$A$4:$A$1510,0)),"")</f>
        <v/>
      </c>
      <c r="F542">
        <f>IFERROR(SUMIFS('Match Log'!$I$4:$I$1510,'Match Log'!$A$4:$A$1510,$A542,'Match Log'!$E$4:$E$1510,"Win"),"")</f>
        <v>0</v>
      </c>
      <c r="G542" t="str">
        <f t="shared" si="35"/>
        <v/>
      </c>
      <c r="H542" t="str">
        <f t="array" ref="H542">IFERROR(IF(COUNTIFS('Match Log'!$A$4:$A$1510,$A542,'Match Log'!$E$4:$E$1510,"Win")&gt;1,_xlfn.TEXTJOIN(" + ",TRUE(),IF(('Match Log'!$A$4:$A$1510=$A542)*('Match Log'!$E$4:$E$1510="Loss"),'Match Log'!$D$4:$D$1510,"")),IF($E542=2,LOOKUP(2,1/(('Match Log'!$A$4:$A$1510=$A542)*('Match Log'!$E$4:$E$1510="Loss")),'Match Log'!$D$4:$D$1510),"the field")),"")</f>
        <v>the field</v>
      </c>
      <c r="I542" t="str">
        <f t="shared" si="36"/>
        <v/>
      </c>
      <c r="J542">
        <v>518</v>
      </c>
      <c r="K542" t="e">
        <f>IF($J542&gt;MAX('Match Log'!$A$4:$A$1510),NA(),IFERROR(LOOKUP(2,1/(('Match Log'!$D$4:$D$1510=$K$24)*('Match Log'!$A$4:$A$1510&lt;=$J542)),'Match Log'!$N$4:$N$1510),NA()))</f>
        <v>#N/A</v>
      </c>
      <c r="L542" t="e">
        <f>IF($J542&gt;MAX('Match Log'!$A$4:$A$1510),NA(),IFERROR(LOOKUP(2,1/(('Match Log'!$D$4:$D$1510=$L$24)*('Match Log'!$A$4:$A$1510&lt;=$J542)),'Match Log'!$N$4:$N$1510),NA()))</f>
        <v>#N/A</v>
      </c>
      <c r="M542" t="e">
        <f>IF($J542&gt;MAX('Match Log'!$A$4:$A$1510),NA(),IFERROR(LOOKUP(2,1/(('Match Log'!$D$4:$D$1510=$M$24)*('Match Log'!$A$4:$A$1510&lt;=$J542)),'Match Log'!$N$4:$N$1510),NA()))</f>
        <v>#N/A</v>
      </c>
      <c r="N542" t="e">
        <f>IF($J542&gt;MAX('Match Log'!$A$4:$A$1510),NA(),IFERROR(LOOKUP(2,1/(('Match Log'!$D$4:$D$1510=$N$24)*('Match Log'!$A$4:$A$1510&lt;=$J542)),'Match Log'!$N$4:$N$1510),NA()))</f>
        <v>#N/A</v>
      </c>
      <c r="O542" t="e">
        <f>IF($J542&gt;MAX('Match Log'!$A$4:$A$1510),NA(),IFERROR(LOOKUP(2,1/(('Match Log'!$D$4:$D$1510=$O$24)*('Match Log'!$A$4:$A$1510&lt;=$J542)),'Match Log'!$N$4:$N$1510),NA()))</f>
        <v>#N/A</v>
      </c>
      <c r="P542" t="e">
        <f>IF($J542&gt;MAX('Match Log'!$A$4:$A$1510),NA(),IFERROR(LOOKUP(2,1/(('Match Log'!$D$4:$D$1510=$P$24)*('Match Log'!$A$4:$A$1510&lt;=$J542)),'Match Log'!$N$4:$N$1510),NA()))</f>
        <v>#N/A</v>
      </c>
      <c r="Q542" t="e">
        <f>IF($J542&gt;MAX('Match Log'!$A$4:$A$1510),NA(),IFERROR(LOOKUP(2,1/(('Match Log'!$D$4:$D$1510=$Q$24)*('Match Log'!$A$4:$A$1510&lt;=$J542)),'Match Log'!$N$4:$N$1510),NA()))</f>
        <v>#N/A</v>
      </c>
      <c r="R542" t="e">
        <f>IF($J542&gt;MAX('Match Log'!$A$4:$A$1510),NA(),IFERROR(LOOKUP(2,1/(('Match Log'!$D$4:$D$1510=$R$24)*('Match Log'!$A$4:$A$1510&lt;=$J542)),'Match Log'!$N$4:$N$1510),NA()))</f>
        <v>#N/A</v>
      </c>
      <c r="S542" t="e">
        <f>IF($J542&gt;MAX('Match Log'!$A$4:$A$1510),NA(),IFERROR(LOOKUP(2,1/(('Match Log'!$D$4:$D$1510=$S$24)*('Match Log'!$A$4:$A$1510&lt;=$J542)),'Match Log'!$N$4:$N$1510),NA()))</f>
        <v>#N/A</v>
      </c>
      <c r="T542" t="e">
        <f>IF($J542&gt;MAX('Match Log'!$A$4:$A$1510),NA(),IFERROR(LOOKUP(2,1/(('Match Log'!$D$4:$D$1510=$T$24)*('Match Log'!$A$4:$A$1510&lt;=$J542)),'Match Log'!$N$4:$N$1510),NA()))</f>
        <v>#N/A</v>
      </c>
      <c r="U542" t="e">
        <f>IF($J542&gt;MAX('Match Log'!$A$4:$A$1510),NA(),IFERROR(LOOKUP(2,1/(('Match Log'!$D$4:$D$1510=$U$24)*('Match Log'!$A$4:$A$1510&lt;=$J542)),'Match Log'!$N$4:$N$1510),NA()))</f>
        <v>#N/A</v>
      </c>
      <c r="V542" t="e">
        <f>IF($J542&gt;MAX('Match Log'!$A$4:$A$1510),NA(),IFERROR(LOOKUP(2,1/(('Match Log'!$D$4:$D$1510=$V$24)*('Match Log'!$A$4:$A$1510&lt;=$J542)),'Match Log'!$N$4:$N$1510),NA()))</f>
        <v>#N/A</v>
      </c>
      <c r="W542" t="e">
        <f>IF($J542&gt;MAX('Match Log'!$A$4:$A$1510),NA(),IFERROR(LOOKUP(2,1/(('Match Log'!$D$4:$D$1510=$W$24)*('Match Log'!$A$4:$A$1510&lt;=$J542)),'Match Log'!$N$4:$N$1510),NA()))</f>
        <v>#N/A</v>
      </c>
      <c r="X542" t="e">
        <f>IF($J542&gt;MAX('Match Log'!$A$4:$A$1510),NA(),IFERROR(LOOKUP(2,1/(('Match Log'!$D$4:$D$1510=$X$24)*('Match Log'!$A$4:$A$1510&lt;=$J542)),'Match Log'!$N$4:$N$1510),NA()))</f>
        <v>#N/A</v>
      </c>
      <c r="Y542" t="str">
        <f t="shared" ca="1" si="37"/>
        <v/>
      </c>
    </row>
    <row r="543" spans="1:25" x14ac:dyDescent="0.2">
      <c r="A543">
        <v>519</v>
      </c>
      <c r="B543" t="str">
        <f>IFERROR(INDEX('Match Log'!$B$4:$B$1510,MATCH($A543,'Match Log'!$A$4:$A$1510,0)),"")</f>
        <v/>
      </c>
      <c r="C543" t="str">
        <f>IFERROR(INDEX('Match Log'!$C$4:$C$1510,MATCH($A543,'Match Log'!$A$4:$A$1510,0)),"")</f>
        <v/>
      </c>
      <c r="D543" t="str">
        <f t="array" ref="D543">IFERROR(_xlfn.TEXTJOIN(" + ",TRUE(),IF(('Match Log'!$A$4:$A$1510=$A543)*('Match Log'!$E$4:$E$1510="Win"),'Match Log'!$D$4:$D$1510,"")),IFERROR(LOOKUP(2,1/(('Match Log'!$A$4:$A$1510=$A543)*('Match Log'!$E$4:$E$1510="Win")),'Match Log'!$D$4:$D$1510),""))</f>
        <v/>
      </c>
      <c r="E543" t="str">
        <f>IFERROR(INDEX('Match Log'!$F$4:$F$1510,MATCH($A543,'Match Log'!$A$4:$A$1510,0)),"")</f>
        <v/>
      </c>
      <c r="F543">
        <f>IFERROR(SUMIFS('Match Log'!$I$4:$I$1510,'Match Log'!$A$4:$A$1510,$A543,'Match Log'!$E$4:$E$1510,"Win"),"")</f>
        <v>0</v>
      </c>
      <c r="G543" t="str">
        <f t="shared" si="35"/>
        <v/>
      </c>
      <c r="H543" t="str">
        <f t="array" ref="H543">IFERROR(IF(COUNTIFS('Match Log'!$A$4:$A$1510,$A543,'Match Log'!$E$4:$E$1510,"Win")&gt;1,_xlfn.TEXTJOIN(" + ",TRUE(),IF(('Match Log'!$A$4:$A$1510=$A543)*('Match Log'!$E$4:$E$1510="Loss"),'Match Log'!$D$4:$D$1510,"")),IF($E543=2,LOOKUP(2,1/(('Match Log'!$A$4:$A$1510=$A543)*('Match Log'!$E$4:$E$1510="Loss")),'Match Log'!$D$4:$D$1510),"the field")),"")</f>
        <v>the field</v>
      </c>
      <c r="I543" t="str">
        <f t="shared" si="36"/>
        <v/>
      </c>
      <c r="J543">
        <v>519</v>
      </c>
      <c r="K543" t="e">
        <f>IF($J543&gt;MAX('Match Log'!$A$4:$A$1510),NA(),IFERROR(LOOKUP(2,1/(('Match Log'!$D$4:$D$1510=$K$24)*('Match Log'!$A$4:$A$1510&lt;=$J543)),'Match Log'!$N$4:$N$1510),NA()))</f>
        <v>#N/A</v>
      </c>
      <c r="L543" t="e">
        <f>IF($J543&gt;MAX('Match Log'!$A$4:$A$1510),NA(),IFERROR(LOOKUP(2,1/(('Match Log'!$D$4:$D$1510=$L$24)*('Match Log'!$A$4:$A$1510&lt;=$J543)),'Match Log'!$N$4:$N$1510),NA()))</f>
        <v>#N/A</v>
      </c>
      <c r="M543" t="e">
        <f>IF($J543&gt;MAX('Match Log'!$A$4:$A$1510),NA(),IFERROR(LOOKUP(2,1/(('Match Log'!$D$4:$D$1510=$M$24)*('Match Log'!$A$4:$A$1510&lt;=$J543)),'Match Log'!$N$4:$N$1510),NA()))</f>
        <v>#N/A</v>
      </c>
      <c r="N543" t="e">
        <f>IF($J543&gt;MAX('Match Log'!$A$4:$A$1510),NA(),IFERROR(LOOKUP(2,1/(('Match Log'!$D$4:$D$1510=$N$24)*('Match Log'!$A$4:$A$1510&lt;=$J543)),'Match Log'!$N$4:$N$1510),NA()))</f>
        <v>#N/A</v>
      </c>
      <c r="O543" t="e">
        <f>IF($J543&gt;MAX('Match Log'!$A$4:$A$1510),NA(),IFERROR(LOOKUP(2,1/(('Match Log'!$D$4:$D$1510=$O$24)*('Match Log'!$A$4:$A$1510&lt;=$J543)),'Match Log'!$N$4:$N$1510),NA()))</f>
        <v>#N/A</v>
      </c>
      <c r="P543" t="e">
        <f>IF($J543&gt;MAX('Match Log'!$A$4:$A$1510),NA(),IFERROR(LOOKUP(2,1/(('Match Log'!$D$4:$D$1510=$P$24)*('Match Log'!$A$4:$A$1510&lt;=$J543)),'Match Log'!$N$4:$N$1510),NA()))</f>
        <v>#N/A</v>
      </c>
      <c r="Q543" t="e">
        <f>IF($J543&gt;MAX('Match Log'!$A$4:$A$1510),NA(),IFERROR(LOOKUP(2,1/(('Match Log'!$D$4:$D$1510=$Q$24)*('Match Log'!$A$4:$A$1510&lt;=$J543)),'Match Log'!$N$4:$N$1510),NA()))</f>
        <v>#N/A</v>
      </c>
      <c r="R543" t="e">
        <f>IF($J543&gt;MAX('Match Log'!$A$4:$A$1510),NA(),IFERROR(LOOKUP(2,1/(('Match Log'!$D$4:$D$1510=$R$24)*('Match Log'!$A$4:$A$1510&lt;=$J543)),'Match Log'!$N$4:$N$1510),NA()))</f>
        <v>#N/A</v>
      </c>
      <c r="S543" t="e">
        <f>IF($J543&gt;MAX('Match Log'!$A$4:$A$1510),NA(),IFERROR(LOOKUP(2,1/(('Match Log'!$D$4:$D$1510=$S$24)*('Match Log'!$A$4:$A$1510&lt;=$J543)),'Match Log'!$N$4:$N$1510),NA()))</f>
        <v>#N/A</v>
      </c>
      <c r="T543" t="e">
        <f>IF($J543&gt;MAX('Match Log'!$A$4:$A$1510),NA(),IFERROR(LOOKUP(2,1/(('Match Log'!$D$4:$D$1510=$T$24)*('Match Log'!$A$4:$A$1510&lt;=$J543)),'Match Log'!$N$4:$N$1510),NA()))</f>
        <v>#N/A</v>
      </c>
      <c r="U543" t="e">
        <f>IF($J543&gt;MAX('Match Log'!$A$4:$A$1510),NA(),IFERROR(LOOKUP(2,1/(('Match Log'!$D$4:$D$1510=$U$24)*('Match Log'!$A$4:$A$1510&lt;=$J543)),'Match Log'!$N$4:$N$1510),NA()))</f>
        <v>#N/A</v>
      </c>
      <c r="V543" t="e">
        <f>IF($J543&gt;MAX('Match Log'!$A$4:$A$1510),NA(),IFERROR(LOOKUP(2,1/(('Match Log'!$D$4:$D$1510=$V$24)*('Match Log'!$A$4:$A$1510&lt;=$J543)),'Match Log'!$N$4:$N$1510),NA()))</f>
        <v>#N/A</v>
      </c>
      <c r="W543" t="e">
        <f>IF($J543&gt;MAX('Match Log'!$A$4:$A$1510),NA(),IFERROR(LOOKUP(2,1/(('Match Log'!$D$4:$D$1510=$W$24)*('Match Log'!$A$4:$A$1510&lt;=$J543)),'Match Log'!$N$4:$N$1510),NA()))</f>
        <v>#N/A</v>
      </c>
      <c r="X543" t="e">
        <f>IF($J543&gt;MAX('Match Log'!$A$4:$A$1510),NA(),IFERROR(LOOKUP(2,1/(('Match Log'!$D$4:$D$1510=$X$24)*('Match Log'!$A$4:$A$1510&lt;=$J543)),'Match Log'!$N$4:$N$1510),NA()))</f>
        <v>#N/A</v>
      </c>
      <c r="Y543" t="str">
        <f t="shared" ca="1" si="37"/>
        <v/>
      </c>
    </row>
    <row r="544" spans="1:25" x14ac:dyDescent="0.2">
      <c r="A544">
        <v>520</v>
      </c>
      <c r="B544" t="str">
        <f>IFERROR(INDEX('Match Log'!$B$4:$B$1510,MATCH($A544,'Match Log'!$A$4:$A$1510,0)),"")</f>
        <v/>
      </c>
      <c r="C544" t="str">
        <f>IFERROR(INDEX('Match Log'!$C$4:$C$1510,MATCH($A544,'Match Log'!$A$4:$A$1510,0)),"")</f>
        <v/>
      </c>
      <c r="D544" t="str">
        <f t="array" ref="D544">IFERROR(_xlfn.TEXTJOIN(" + ",TRUE(),IF(('Match Log'!$A$4:$A$1510=$A544)*('Match Log'!$E$4:$E$1510="Win"),'Match Log'!$D$4:$D$1510,"")),IFERROR(LOOKUP(2,1/(('Match Log'!$A$4:$A$1510=$A544)*('Match Log'!$E$4:$E$1510="Win")),'Match Log'!$D$4:$D$1510),""))</f>
        <v/>
      </c>
      <c r="E544" t="str">
        <f>IFERROR(INDEX('Match Log'!$F$4:$F$1510,MATCH($A544,'Match Log'!$A$4:$A$1510,0)),"")</f>
        <v/>
      </c>
      <c r="F544">
        <f>IFERROR(SUMIFS('Match Log'!$I$4:$I$1510,'Match Log'!$A$4:$A$1510,$A544,'Match Log'!$E$4:$E$1510,"Win"),"")</f>
        <v>0</v>
      </c>
      <c r="G544" t="str">
        <f t="shared" si="35"/>
        <v/>
      </c>
      <c r="H544" t="str">
        <f t="array" ref="H544">IFERROR(IF(COUNTIFS('Match Log'!$A$4:$A$1510,$A544,'Match Log'!$E$4:$E$1510,"Win")&gt;1,_xlfn.TEXTJOIN(" + ",TRUE(),IF(('Match Log'!$A$4:$A$1510=$A544)*('Match Log'!$E$4:$E$1510="Loss"),'Match Log'!$D$4:$D$1510,"")),IF($E544=2,LOOKUP(2,1/(('Match Log'!$A$4:$A$1510=$A544)*('Match Log'!$E$4:$E$1510="Loss")),'Match Log'!$D$4:$D$1510),"the field")),"")</f>
        <v>the field</v>
      </c>
      <c r="I544" t="str">
        <f t="shared" si="36"/>
        <v/>
      </c>
      <c r="J544">
        <v>520</v>
      </c>
      <c r="K544" t="e">
        <f>IF($J544&gt;MAX('Match Log'!$A$4:$A$1510),NA(),IFERROR(LOOKUP(2,1/(('Match Log'!$D$4:$D$1510=$K$24)*('Match Log'!$A$4:$A$1510&lt;=$J544)),'Match Log'!$N$4:$N$1510),NA()))</f>
        <v>#N/A</v>
      </c>
      <c r="L544" t="e">
        <f>IF($J544&gt;MAX('Match Log'!$A$4:$A$1510),NA(),IFERROR(LOOKUP(2,1/(('Match Log'!$D$4:$D$1510=$L$24)*('Match Log'!$A$4:$A$1510&lt;=$J544)),'Match Log'!$N$4:$N$1510),NA()))</f>
        <v>#N/A</v>
      </c>
      <c r="M544" t="e">
        <f>IF($J544&gt;MAX('Match Log'!$A$4:$A$1510),NA(),IFERROR(LOOKUP(2,1/(('Match Log'!$D$4:$D$1510=$M$24)*('Match Log'!$A$4:$A$1510&lt;=$J544)),'Match Log'!$N$4:$N$1510),NA()))</f>
        <v>#N/A</v>
      </c>
      <c r="N544" t="e">
        <f>IF($J544&gt;MAX('Match Log'!$A$4:$A$1510),NA(),IFERROR(LOOKUP(2,1/(('Match Log'!$D$4:$D$1510=$N$24)*('Match Log'!$A$4:$A$1510&lt;=$J544)),'Match Log'!$N$4:$N$1510),NA()))</f>
        <v>#N/A</v>
      </c>
      <c r="O544" t="e">
        <f>IF($J544&gt;MAX('Match Log'!$A$4:$A$1510),NA(),IFERROR(LOOKUP(2,1/(('Match Log'!$D$4:$D$1510=$O$24)*('Match Log'!$A$4:$A$1510&lt;=$J544)),'Match Log'!$N$4:$N$1510),NA()))</f>
        <v>#N/A</v>
      </c>
      <c r="P544" t="e">
        <f>IF($J544&gt;MAX('Match Log'!$A$4:$A$1510),NA(),IFERROR(LOOKUP(2,1/(('Match Log'!$D$4:$D$1510=$P$24)*('Match Log'!$A$4:$A$1510&lt;=$J544)),'Match Log'!$N$4:$N$1510),NA()))</f>
        <v>#N/A</v>
      </c>
      <c r="Q544" t="e">
        <f>IF($J544&gt;MAX('Match Log'!$A$4:$A$1510),NA(),IFERROR(LOOKUP(2,1/(('Match Log'!$D$4:$D$1510=$Q$24)*('Match Log'!$A$4:$A$1510&lt;=$J544)),'Match Log'!$N$4:$N$1510),NA()))</f>
        <v>#N/A</v>
      </c>
      <c r="R544" t="e">
        <f>IF($J544&gt;MAX('Match Log'!$A$4:$A$1510),NA(),IFERROR(LOOKUP(2,1/(('Match Log'!$D$4:$D$1510=$R$24)*('Match Log'!$A$4:$A$1510&lt;=$J544)),'Match Log'!$N$4:$N$1510),NA()))</f>
        <v>#N/A</v>
      </c>
      <c r="S544" t="e">
        <f>IF($J544&gt;MAX('Match Log'!$A$4:$A$1510),NA(),IFERROR(LOOKUP(2,1/(('Match Log'!$D$4:$D$1510=$S$24)*('Match Log'!$A$4:$A$1510&lt;=$J544)),'Match Log'!$N$4:$N$1510),NA()))</f>
        <v>#N/A</v>
      </c>
      <c r="T544" t="e">
        <f>IF($J544&gt;MAX('Match Log'!$A$4:$A$1510),NA(),IFERROR(LOOKUP(2,1/(('Match Log'!$D$4:$D$1510=$T$24)*('Match Log'!$A$4:$A$1510&lt;=$J544)),'Match Log'!$N$4:$N$1510),NA()))</f>
        <v>#N/A</v>
      </c>
      <c r="U544" t="e">
        <f>IF($J544&gt;MAX('Match Log'!$A$4:$A$1510),NA(),IFERROR(LOOKUP(2,1/(('Match Log'!$D$4:$D$1510=$U$24)*('Match Log'!$A$4:$A$1510&lt;=$J544)),'Match Log'!$N$4:$N$1510),NA()))</f>
        <v>#N/A</v>
      </c>
      <c r="V544" t="e">
        <f>IF($J544&gt;MAX('Match Log'!$A$4:$A$1510),NA(),IFERROR(LOOKUP(2,1/(('Match Log'!$D$4:$D$1510=$V$24)*('Match Log'!$A$4:$A$1510&lt;=$J544)),'Match Log'!$N$4:$N$1510),NA()))</f>
        <v>#N/A</v>
      </c>
      <c r="W544" t="e">
        <f>IF($J544&gt;MAX('Match Log'!$A$4:$A$1510),NA(),IFERROR(LOOKUP(2,1/(('Match Log'!$D$4:$D$1510=$W$24)*('Match Log'!$A$4:$A$1510&lt;=$J544)),'Match Log'!$N$4:$N$1510),NA()))</f>
        <v>#N/A</v>
      </c>
      <c r="X544" t="e">
        <f>IF($J544&gt;MAX('Match Log'!$A$4:$A$1510),NA(),IFERROR(LOOKUP(2,1/(('Match Log'!$D$4:$D$1510=$X$24)*('Match Log'!$A$4:$A$1510&lt;=$J544)),'Match Log'!$N$4:$N$1510),NA()))</f>
        <v>#N/A</v>
      </c>
      <c r="Y544" t="str">
        <f t="shared" ca="1" si="37"/>
        <v/>
      </c>
    </row>
    <row r="545" spans="1:25" x14ac:dyDescent="0.2">
      <c r="A545">
        <v>521</v>
      </c>
      <c r="B545" t="str">
        <f>IFERROR(INDEX('Match Log'!$B$4:$B$1510,MATCH($A545,'Match Log'!$A$4:$A$1510,0)),"")</f>
        <v/>
      </c>
      <c r="C545" t="str">
        <f>IFERROR(INDEX('Match Log'!$C$4:$C$1510,MATCH($A545,'Match Log'!$A$4:$A$1510,0)),"")</f>
        <v/>
      </c>
      <c r="D545" t="str">
        <f t="array" ref="D545">IFERROR(_xlfn.TEXTJOIN(" + ",TRUE(),IF(('Match Log'!$A$4:$A$1510=$A545)*('Match Log'!$E$4:$E$1510="Win"),'Match Log'!$D$4:$D$1510,"")),IFERROR(LOOKUP(2,1/(('Match Log'!$A$4:$A$1510=$A545)*('Match Log'!$E$4:$E$1510="Win")),'Match Log'!$D$4:$D$1510),""))</f>
        <v/>
      </c>
      <c r="E545" t="str">
        <f>IFERROR(INDEX('Match Log'!$F$4:$F$1510,MATCH($A545,'Match Log'!$A$4:$A$1510,0)),"")</f>
        <v/>
      </c>
      <c r="F545">
        <f>IFERROR(SUMIFS('Match Log'!$I$4:$I$1510,'Match Log'!$A$4:$A$1510,$A545,'Match Log'!$E$4:$E$1510,"Win"),"")</f>
        <v>0</v>
      </c>
      <c r="G545" t="str">
        <f t="shared" si="35"/>
        <v/>
      </c>
      <c r="H545" t="str">
        <f t="array" ref="H545">IFERROR(IF(COUNTIFS('Match Log'!$A$4:$A$1510,$A545,'Match Log'!$E$4:$E$1510,"Win")&gt;1,_xlfn.TEXTJOIN(" + ",TRUE(),IF(('Match Log'!$A$4:$A$1510=$A545)*('Match Log'!$E$4:$E$1510="Loss"),'Match Log'!$D$4:$D$1510,"")),IF($E545=2,LOOKUP(2,1/(('Match Log'!$A$4:$A$1510=$A545)*('Match Log'!$E$4:$E$1510="Loss")),'Match Log'!$D$4:$D$1510),"the field")),"")</f>
        <v>the field</v>
      </c>
      <c r="I545" t="str">
        <f t="shared" si="36"/>
        <v/>
      </c>
      <c r="J545">
        <v>521</v>
      </c>
      <c r="K545" t="e">
        <f>IF($J545&gt;MAX('Match Log'!$A$4:$A$1510),NA(),IFERROR(LOOKUP(2,1/(('Match Log'!$D$4:$D$1510=$K$24)*('Match Log'!$A$4:$A$1510&lt;=$J545)),'Match Log'!$N$4:$N$1510),NA()))</f>
        <v>#N/A</v>
      </c>
      <c r="L545" t="e">
        <f>IF($J545&gt;MAX('Match Log'!$A$4:$A$1510),NA(),IFERROR(LOOKUP(2,1/(('Match Log'!$D$4:$D$1510=$L$24)*('Match Log'!$A$4:$A$1510&lt;=$J545)),'Match Log'!$N$4:$N$1510),NA()))</f>
        <v>#N/A</v>
      </c>
      <c r="M545" t="e">
        <f>IF($J545&gt;MAX('Match Log'!$A$4:$A$1510),NA(),IFERROR(LOOKUP(2,1/(('Match Log'!$D$4:$D$1510=$M$24)*('Match Log'!$A$4:$A$1510&lt;=$J545)),'Match Log'!$N$4:$N$1510),NA()))</f>
        <v>#N/A</v>
      </c>
      <c r="N545" t="e">
        <f>IF($J545&gt;MAX('Match Log'!$A$4:$A$1510),NA(),IFERROR(LOOKUP(2,1/(('Match Log'!$D$4:$D$1510=$N$24)*('Match Log'!$A$4:$A$1510&lt;=$J545)),'Match Log'!$N$4:$N$1510),NA()))</f>
        <v>#N/A</v>
      </c>
      <c r="O545" t="e">
        <f>IF($J545&gt;MAX('Match Log'!$A$4:$A$1510),NA(),IFERROR(LOOKUP(2,1/(('Match Log'!$D$4:$D$1510=$O$24)*('Match Log'!$A$4:$A$1510&lt;=$J545)),'Match Log'!$N$4:$N$1510),NA()))</f>
        <v>#N/A</v>
      </c>
      <c r="P545" t="e">
        <f>IF($J545&gt;MAX('Match Log'!$A$4:$A$1510),NA(),IFERROR(LOOKUP(2,1/(('Match Log'!$D$4:$D$1510=$P$24)*('Match Log'!$A$4:$A$1510&lt;=$J545)),'Match Log'!$N$4:$N$1510),NA()))</f>
        <v>#N/A</v>
      </c>
      <c r="Q545" t="e">
        <f>IF($J545&gt;MAX('Match Log'!$A$4:$A$1510),NA(),IFERROR(LOOKUP(2,1/(('Match Log'!$D$4:$D$1510=$Q$24)*('Match Log'!$A$4:$A$1510&lt;=$J545)),'Match Log'!$N$4:$N$1510),NA()))</f>
        <v>#N/A</v>
      </c>
      <c r="R545" t="e">
        <f>IF($J545&gt;MAX('Match Log'!$A$4:$A$1510),NA(),IFERROR(LOOKUP(2,1/(('Match Log'!$D$4:$D$1510=$R$24)*('Match Log'!$A$4:$A$1510&lt;=$J545)),'Match Log'!$N$4:$N$1510),NA()))</f>
        <v>#N/A</v>
      </c>
      <c r="S545" t="e">
        <f>IF($J545&gt;MAX('Match Log'!$A$4:$A$1510),NA(),IFERROR(LOOKUP(2,1/(('Match Log'!$D$4:$D$1510=$S$24)*('Match Log'!$A$4:$A$1510&lt;=$J545)),'Match Log'!$N$4:$N$1510),NA()))</f>
        <v>#N/A</v>
      </c>
      <c r="T545" t="e">
        <f>IF($J545&gt;MAX('Match Log'!$A$4:$A$1510),NA(),IFERROR(LOOKUP(2,1/(('Match Log'!$D$4:$D$1510=$T$24)*('Match Log'!$A$4:$A$1510&lt;=$J545)),'Match Log'!$N$4:$N$1510),NA()))</f>
        <v>#N/A</v>
      </c>
      <c r="U545" t="e">
        <f>IF($J545&gt;MAX('Match Log'!$A$4:$A$1510),NA(),IFERROR(LOOKUP(2,1/(('Match Log'!$D$4:$D$1510=$U$24)*('Match Log'!$A$4:$A$1510&lt;=$J545)),'Match Log'!$N$4:$N$1510),NA()))</f>
        <v>#N/A</v>
      </c>
      <c r="V545" t="e">
        <f>IF($J545&gt;MAX('Match Log'!$A$4:$A$1510),NA(),IFERROR(LOOKUP(2,1/(('Match Log'!$D$4:$D$1510=$V$24)*('Match Log'!$A$4:$A$1510&lt;=$J545)),'Match Log'!$N$4:$N$1510),NA()))</f>
        <v>#N/A</v>
      </c>
      <c r="W545" t="e">
        <f>IF($J545&gt;MAX('Match Log'!$A$4:$A$1510),NA(),IFERROR(LOOKUP(2,1/(('Match Log'!$D$4:$D$1510=$W$24)*('Match Log'!$A$4:$A$1510&lt;=$J545)),'Match Log'!$N$4:$N$1510),NA()))</f>
        <v>#N/A</v>
      </c>
      <c r="X545" t="e">
        <f>IF($J545&gt;MAX('Match Log'!$A$4:$A$1510),NA(),IFERROR(LOOKUP(2,1/(('Match Log'!$D$4:$D$1510=$X$24)*('Match Log'!$A$4:$A$1510&lt;=$J545)),'Match Log'!$N$4:$N$1510),NA()))</f>
        <v>#N/A</v>
      </c>
      <c r="Y545" t="str">
        <f t="shared" ca="1" si="37"/>
        <v/>
      </c>
    </row>
    <row r="546" spans="1:25" x14ac:dyDescent="0.2">
      <c r="A546">
        <v>522</v>
      </c>
      <c r="B546" t="str">
        <f>IFERROR(INDEX('Match Log'!$B$4:$B$1510,MATCH($A546,'Match Log'!$A$4:$A$1510,0)),"")</f>
        <v/>
      </c>
      <c r="C546" t="str">
        <f>IFERROR(INDEX('Match Log'!$C$4:$C$1510,MATCH($A546,'Match Log'!$A$4:$A$1510,0)),"")</f>
        <v/>
      </c>
      <c r="D546" t="str">
        <f t="array" ref="D546">IFERROR(_xlfn.TEXTJOIN(" + ",TRUE(),IF(('Match Log'!$A$4:$A$1510=$A546)*('Match Log'!$E$4:$E$1510="Win"),'Match Log'!$D$4:$D$1510,"")),IFERROR(LOOKUP(2,1/(('Match Log'!$A$4:$A$1510=$A546)*('Match Log'!$E$4:$E$1510="Win")),'Match Log'!$D$4:$D$1510),""))</f>
        <v/>
      </c>
      <c r="E546" t="str">
        <f>IFERROR(INDEX('Match Log'!$F$4:$F$1510,MATCH($A546,'Match Log'!$A$4:$A$1510,0)),"")</f>
        <v/>
      </c>
      <c r="F546">
        <f>IFERROR(SUMIFS('Match Log'!$I$4:$I$1510,'Match Log'!$A$4:$A$1510,$A546,'Match Log'!$E$4:$E$1510,"Win"),"")</f>
        <v>0</v>
      </c>
      <c r="G546" t="str">
        <f t="shared" si="35"/>
        <v/>
      </c>
      <c r="H546" t="str">
        <f t="array" ref="H546">IFERROR(IF(COUNTIFS('Match Log'!$A$4:$A$1510,$A546,'Match Log'!$E$4:$E$1510,"Win")&gt;1,_xlfn.TEXTJOIN(" + ",TRUE(),IF(('Match Log'!$A$4:$A$1510=$A546)*('Match Log'!$E$4:$E$1510="Loss"),'Match Log'!$D$4:$D$1510,"")),IF($E546=2,LOOKUP(2,1/(('Match Log'!$A$4:$A$1510=$A546)*('Match Log'!$E$4:$E$1510="Loss")),'Match Log'!$D$4:$D$1510),"the field")),"")</f>
        <v>the field</v>
      </c>
      <c r="I546" t="str">
        <f t="shared" si="36"/>
        <v/>
      </c>
      <c r="J546">
        <v>522</v>
      </c>
      <c r="K546" t="e">
        <f>IF($J546&gt;MAX('Match Log'!$A$4:$A$1510),NA(),IFERROR(LOOKUP(2,1/(('Match Log'!$D$4:$D$1510=$K$24)*('Match Log'!$A$4:$A$1510&lt;=$J546)),'Match Log'!$N$4:$N$1510),NA()))</f>
        <v>#N/A</v>
      </c>
      <c r="L546" t="e">
        <f>IF($J546&gt;MAX('Match Log'!$A$4:$A$1510),NA(),IFERROR(LOOKUP(2,1/(('Match Log'!$D$4:$D$1510=$L$24)*('Match Log'!$A$4:$A$1510&lt;=$J546)),'Match Log'!$N$4:$N$1510),NA()))</f>
        <v>#N/A</v>
      </c>
      <c r="M546" t="e">
        <f>IF($J546&gt;MAX('Match Log'!$A$4:$A$1510),NA(),IFERROR(LOOKUP(2,1/(('Match Log'!$D$4:$D$1510=$M$24)*('Match Log'!$A$4:$A$1510&lt;=$J546)),'Match Log'!$N$4:$N$1510),NA()))</f>
        <v>#N/A</v>
      </c>
      <c r="N546" t="e">
        <f>IF($J546&gt;MAX('Match Log'!$A$4:$A$1510),NA(),IFERROR(LOOKUP(2,1/(('Match Log'!$D$4:$D$1510=$N$24)*('Match Log'!$A$4:$A$1510&lt;=$J546)),'Match Log'!$N$4:$N$1510),NA()))</f>
        <v>#N/A</v>
      </c>
      <c r="O546" t="e">
        <f>IF($J546&gt;MAX('Match Log'!$A$4:$A$1510),NA(),IFERROR(LOOKUP(2,1/(('Match Log'!$D$4:$D$1510=$O$24)*('Match Log'!$A$4:$A$1510&lt;=$J546)),'Match Log'!$N$4:$N$1510),NA()))</f>
        <v>#N/A</v>
      </c>
      <c r="P546" t="e">
        <f>IF($J546&gt;MAX('Match Log'!$A$4:$A$1510),NA(),IFERROR(LOOKUP(2,1/(('Match Log'!$D$4:$D$1510=$P$24)*('Match Log'!$A$4:$A$1510&lt;=$J546)),'Match Log'!$N$4:$N$1510),NA()))</f>
        <v>#N/A</v>
      </c>
      <c r="Q546" t="e">
        <f>IF($J546&gt;MAX('Match Log'!$A$4:$A$1510),NA(),IFERROR(LOOKUP(2,1/(('Match Log'!$D$4:$D$1510=$Q$24)*('Match Log'!$A$4:$A$1510&lt;=$J546)),'Match Log'!$N$4:$N$1510),NA()))</f>
        <v>#N/A</v>
      </c>
      <c r="R546" t="e">
        <f>IF($J546&gt;MAX('Match Log'!$A$4:$A$1510),NA(),IFERROR(LOOKUP(2,1/(('Match Log'!$D$4:$D$1510=$R$24)*('Match Log'!$A$4:$A$1510&lt;=$J546)),'Match Log'!$N$4:$N$1510),NA()))</f>
        <v>#N/A</v>
      </c>
      <c r="S546" t="e">
        <f>IF($J546&gt;MAX('Match Log'!$A$4:$A$1510),NA(),IFERROR(LOOKUP(2,1/(('Match Log'!$D$4:$D$1510=$S$24)*('Match Log'!$A$4:$A$1510&lt;=$J546)),'Match Log'!$N$4:$N$1510),NA()))</f>
        <v>#N/A</v>
      </c>
      <c r="T546" t="e">
        <f>IF($J546&gt;MAX('Match Log'!$A$4:$A$1510),NA(),IFERROR(LOOKUP(2,1/(('Match Log'!$D$4:$D$1510=$T$24)*('Match Log'!$A$4:$A$1510&lt;=$J546)),'Match Log'!$N$4:$N$1510),NA()))</f>
        <v>#N/A</v>
      </c>
      <c r="U546" t="e">
        <f>IF($J546&gt;MAX('Match Log'!$A$4:$A$1510),NA(),IFERROR(LOOKUP(2,1/(('Match Log'!$D$4:$D$1510=$U$24)*('Match Log'!$A$4:$A$1510&lt;=$J546)),'Match Log'!$N$4:$N$1510),NA()))</f>
        <v>#N/A</v>
      </c>
      <c r="V546" t="e">
        <f>IF($J546&gt;MAX('Match Log'!$A$4:$A$1510),NA(),IFERROR(LOOKUP(2,1/(('Match Log'!$D$4:$D$1510=$V$24)*('Match Log'!$A$4:$A$1510&lt;=$J546)),'Match Log'!$N$4:$N$1510),NA()))</f>
        <v>#N/A</v>
      </c>
      <c r="W546" t="e">
        <f>IF($J546&gt;MAX('Match Log'!$A$4:$A$1510),NA(),IFERROR(LOOKUP(2,1/(('Match Log'!$D$4:$D$1510=$W$24)*('Match Log'!$A$4:$A$1510&lt;=$J546)),'Match Log'!$N$4:$N$1510),NA()))</f>
        <v>#N/A</v>
      </c>
      <c r="X546" t="e">
        <f>IF($J546&gt;MAX('Match Log'!$A$4:$A$1510),NA(),IFERROR(LOOKUP(2,1/(('Match Log'!$D$4:$D$1510=$X$24)*('Match Log'!$A$4:$A$1510&lt;=$J546)),'Match Log'!$N$4:$N$1510),NA()))</f>
        <v>#N/A</v>
      </c>
      <c r="Y546" t="str">
        <f t="shared" ca="1" si="37"/>
        <v/>
      </c>
    </row>
    <row r="547" spans="1:25" x14ac:dyDescent="0.2">
      <c r="A547">
        <v>523</v>
      </c>
      <c r="B547" t="str">
        <f>IFERROR(INDEX('Match Log'!$B$4:$B$1510,MATCH($A547,'Match Log'!$A$4:$A$1510,0)),"")</f>
        <v/>
      </c>
      <c r="C547" t="str">
        <f>IFERROR(INDEX('Match Log'!$C$4:$C$1510,MATCH($A547,'Match Log'!$A$4:$A$1510,0)),"")</f>
        <v/>
      </c>
      <c r="D547" t="str">
        <f t="array" ref="D547">IFERROR(_xlfn.TEXTJOIN(" + ",TRUE(),IF(('Match Log'!$A$4:$A$1510=$A547)*('Match Log'!$E$4:$E$1510="Win"),'Match Log'!$D$4:$D$1510,"")),IFERROR(LOOKUP(2,1/(('Match Log'!$A$4:$A$1510=$A547)*('Match Log'!$E$4:$E$1510="Win")),'Match Log'!$D$4:$D$1510),""))</f>
        <v/>
      </c>
      <c r="E547" t="str">
        <f>IFERROR(INDEX('Match Log'!$F$4:$F$1510,MATCH($A547,'Match Log'!$A$4:$A$1510,0)),"")</f>
        <v/>
      </c>
      <c r="F547">
        <f>IFERROR(SUMIFS('Match Log'!$I$4:$I$1510,'Match Log'!$A$4:$A$1510,$A547,'Match Log'!$E$4:$E$1510,"Win"),"")</f>
        <v>0</v>
      </c>
      <c r="G547" t="str">
        <f t="shared" si="35"/>
        <v/>
      </c>
      <c r="H547" t="str">
        <f t="array" ref="H547">IFERROR(IF(COUNTIFS('Match Log'!$A$4:$A$1510,$A547,'Match Log'!$E$4:$E$1510,"Win")&gt;1,_xlfn.TEXTJOIN(" + ",TRUE(),IF(('Match Log'!$A$4:$A$1510=$A547)*('Match Log'!$E$4:$E$1510="Loss"),'Match Log'!$D$4:$D$1510,"")),IF($E547=2,LOOKUP(2,1/(('Match Log'!$A$4:$A$1510=$A547)*('Match Log'!$E$4:$E$1510="Loss")),'Match Log'!$D$4:$D$1510),"the field")),"")</f>
        <v>the field</v>
      </c>
      <c r="I547" t="str">
        <f t="shared" si="36"/>
        <v/>
      </c>
      <c r="J547">
        <v>523</v>
      </c>
      <c r="K547" t="e">
        <f>IF($J547&gt;MAX('Match Log'!$A$4:$A$1510),NA(),IFERROR(LOOKUP(2,1/(('Match Log'!$D$4:$D$1510=$K$24)*('Match Log'!$A$4:$A$1510&lt;=$J547)),'Match Log'!$N$4:$N$1510),NA()))</f>
        <v>#N/A</v>
      </c>
      <c r="L547" t="e">
        <f>IF($J547&gt;MAX('Match Log'!$A$4:$A$1510),NA(),IFERROR(LOOKUP(2,1/(('Match Log'!$D$4:$D$1510=$L$24)*('Match Log'!$A$4:$A$1510&lt;=$J547)),'Match Log'!$N$4:$N$1510),NA()))</f>
        <v>#N/A</v>
      </c>
      <c r="M547" t="e">
        <f>IF($J547&gt;MAX('Match Log'!$A$4:$A$1510),NA(),IFERROR(LOOKUP(2,1/(('Match Log'!$D$4:$D$1510=$M$24)*('Match Log'!$A$4:$A$1510&lt;=$J547)),'Match Log'!$N$4:$N$1510),NA()))</f>
        <v>#N/A</v>
      </c>
      <c r="N547" t="e">
        <f>IF($J547&gt;MAX('Match Log'!$A$4:$A$1510),NA(),IFERROR(LOOKUP(2,1/(('Match Log'!$D$4:$D$1510=$N$24)*('Match Log'!$A$4:$A$1510&lt;=$J547)),'Match Log'!$N$4:$N$1510),NA()))</f>
        <v>#N/A</v>
      </c>
      <c r="O547" t="e">
        <f>IF($J547&gt;MAX('Match Log'!$A$4:$A$1510),NA(),IFERROR(LOOKUP(2,1/(('Match Log'!$D$4:$D$1510=$O$24)*('Match Log'!$A$4:$A$1510&lt;=$J547)),'Match Log'!$N$4:$N$1510),NA()))</f>
        <v>#N/A</v>
      </c>
      <c r="P547" t="e">
        <f>IF($J547&gt;MAX('Match Log'!$A$4:$A$1510),NA(),IFERROR(LOOKUP(2,1/(('Match Log'!$D$4:$D$1510=$P$24)*('Match Log'!$A$4:$A$1510&lt;=$J547)),'Match Log'!$N$4:$N$1510),NA()))</f>
        <v>#N/A</v>
      </c>
      <c r="Q547" t="e">
        <f>IF($J547&gt;MAX('Match Log'!$A$4:$A$1510),NA(),IFERROR(LOOKUP(2,1/(('Match Log'!$D$4:$D$1510=$Q$24)*('Match Log'!$A$4:$A$1510&lt;=$J547)),'Match Log'!$N$4:$N$1510),NA()))</f>
        <v>#N/A</v>
      </c>
      <c r="R547" t="e">
        <f>IF($J547&gt;MAX('Match Log'!$A$4:$A$1510),NA(),IFERROR(LOOKUP(2,1/(('Match Log'!$D$4:$D$1510=$R$24)*('Match Log'!$A$4:$A$1510&lt;=$J547)),'Match Log'!$N$4:$N$1510),NA()))</f>
        <v>#N/A</v>
      </c>
      <c r="S547" t="e">
        <f>IF($J547&gt;MAX('Match Log'!$A$4:$A$1510),NA(),IFERROR(LOOKUP(2,1/(('Match Log'!$D$4:$D$1510=$S$24)*('Match Log'!$A$4:$A$1510&lt;=$J547)),'Match Log'!$N$4:$N$1510),NA()))</f>
        <v>#N/A</v>
      </c>
      <c r="T547" t="e">
        <f>IF($J547&gt;MAX('Match Log'!$A$4:$A$1510),NA(),IFERROR(LOOKUP(2,1/(('Match Log'!$D$4:$D$1510=$T$24)*('Match Log'!$A$4:$A$1510&lt;=$J547)),'Match Log'!$N$4:$N$1510),NA()))</f>
        <v>#N/A</v>
      </c>
      <c r="U547" t="e">
        <f>IF($J547&gt;MAX('Match Log'!$A$4:$A$1510),NA(),IFERROR(LOOKUP(2,1/(('Match Log'!$D$4:$D$1510=$U$24)*('Match Log'!$A$4:$A$1510&lt;=$J547)),'Match Log'!$N$4:$N$1510),NA()))</f>
        <v>#N/A</v>
      </c>
      <c r="V547" t="e">
        <f>IF($J547&gt;MAX('Match Log'!$A$4:$A$1510),NA(),IFERROR(LOOKUP(2,1/(('Match Log'!$D$4:$D$1510=$V$24)*('Match Log'!$A$4:$A$1510&lt;=$J547)),'Match Log'!$N$4:$N$1510),NA()))</f>
        <v>#N/A</v>
      </c>
      <c r="W547" t="e">
        <f>IF($J547&gt;MAX('Match Log'!$A$4:$A$1510),NA(),IFERROR(LOOKUP(2,1/(('Match Log'!$D$4:$D$1510=$W$24)*('Match Log'!$A$4:$A$1510&lt;=$J547)),'Match Log'!$N$4:$N$1510),NA()))</f>
        <v>#N/A</v>
      </c>
      <c r="X547" t="e">
        <f>IF($J547&gt;MAX('Match Log'!$A$4:$A$1510),NA(),IFERROR(LOOKUP(2,1/(('Match Log'!$D$4:$D$1510=$X$24)*('Match Log'!$A$4:$A$1510&lt;=$J547)),'Match Log'!$N$4:$N$1510),NA()))</f>
        <v>#N/A</v>
      </c>
      <c r="Y547" t="str">
        <f t="shared" ca="1" si="37"/>
        <v/>
      </c>
    </row>
    <row r="548" spans="1:25" x14ac:dyDescent="0.2">
      <c r="A548">
        <v>524</v>
      </c>
      <c r="B548" t="str">
        <f>IFERROR(INDEX('Match Log'!$B$4:$B$1510,MATCH($A548,'Match Log'!$A$4:$A$1510,0)),"")</f>
        <v/>
      </c>
      <c r="C548" t="str">
        <f>IFERROR(INDEX('Match Log'!$C$4:$C$1510,MATCH($A548,'Match Log'!$A$4:$A$1510,0)),"")</f>
        <v/>
      </c>
      <c r="D548" t="str">
        <f t="array" ref="D548">IFERROR(_xlfn.TEXTJOIN(" + ",TRUE(),IF(('Match Log'!$A$4:$A$1510=$A548)*('Match Log'!$E$4:$E$1510="Win"),'Match Log'!$D$4:$D$1510,"")),IFERROR(LOOKUP(2,1/(('Match Log'!$A$4:$A$1510=$A548)*('Match Log'!$E$4:$E$1510="Win")),'Match Log'!$D$4:$D$1510),""))</f>
        <v/>
      </c>
      <c r="E548" t="str">
        <f>IFERROR(INDEX('Match Log'!$F$4:$F$1510,MATCH($A548,'Match Log'!$A$4:$A$1510,0)),"")</f>
        <v/>
      </c>
      <c r="F548">
        <f>IFERROR(SUMIFS('Match Log'!$I$4:$I$1510,'Match Log'!$A$4:$A$1510,$A548,'Match Log'!$E$4:$E$1510,"Win"),"")</f>
        <v>0</v>
      </c>
      <c r="G548" t="str">
        <f t="shared" si="35"/>
        <v/>
      </c>
      <c r="H548" t="str">
        <f t="array" ref="H548">IFERROR(IF(COUNTIFS('Match Log'!$A$4:$A$1510,$A548,'Match Log'!$E$4:$E$1510,"Win")&gt;1,_xlfn.TEXTJOIN(" + ",TRUE(),IF(('Match Log'!$A$4:$A$1510=$A548)*('Match Log'!$E$4:$E$1510="Loss"),'Match Log'!$D$4:$D$1510,"")),IF($E548=2,LOOKUP(2,1/(('Match Log'!$A$4:$A$1510=$A548)*('Match Log'!$E$4:$E$1510="Loss")),'Match Log'!$D$4:$D$1510),"the field")),"")</f>
        <v>the field</v>
      </c>
      <c r="I548" t="str">
        <f t="shared" si="36"/>
        <v/>
      </c>
      <c r="J548">
        <v>524</v>
      </c>
      <c r="K548" t="e">
        <f>IF($J548&gt;MAX('Match Log'!$A$4:$A$1510),NA(),IFERROR(LOOKUP(2,1/(('Match Log'!$D$4:$D$1510=$K$24)*('Match Log'!$A$4:$A$1510&lt;=$J548)),'Match Log'!$N$4:$N$1510),NA()))</f>
        <v>#N/A</v>
      </c>
      <c r="L548" t="e">
        <f>IF($J548&gt;MAX('Match Log'!$A$4:$A$1510),NA(),IFERROR(LOOKUP(2,1/(('Match Log'!$D$4:$D$1510=$L$24)*('Match Log'!$A$4:$A$1510&lt;=$J548)),'Match Log'!$N$4:$N$1510),NA()))</f>
        <v>#N/A</v>
      </c>
      <c r="M548" t="e">
        <f>IF($J548&gt;MAX('Match Log'!$A$4:$A$1510),NA(),IFERROR(LOOKUP(2,1/(('Match Log'!$D$4:$D$1510=$M$24)*('Match Log'!$A$4:$A$1510&lt;=$J548)),'Match Log'!$N$4:$N$1510),NA()))</f>
        <v>#N/A</v>
      </c>
      <c r="N548" t="e">
        <f>IF($J548&gt;MAX('Match Log'!$A$4:$A$1510),NA(),IFERROR(LOOKUP(2,1/(('Match Log'!$D$4:$D$1510=$N$24)*('Match Log'!$A$4:$A$1510&lt;=$J548)),'Match Log'!$N$4:$N$1510),NA()))</f>
        <v>#N/A</v>
      </c>
      <c r="O548" t="e">
        <f>IF($J548&gt;MAX('Match Log'!$A$4:$A$1510),NA(),IFERROR(LOOKUP(2,1/(('Match Log'!$D$4:$D$1510=$O$24)*('Match Log'!$A$4:$A$1510&lt;=$J548)),'Match Log'!$N$4:$N$1510),NA()))</f>
        <v>#N/A</v>
      </c>
      <c r="P548" t="e">
        <f>IF($J548&gt;MAX('Match Log'!$A$4:$A$1510),NA(),IFERROR(LOOKUP(2,1/(('Match Log'!$D$4:$D$1510=$P$24)*('Match Log'!$A$4:$A$1510&lt;=$J548)),'Match Log'!$N$4:$N$1510),NA()))</f>
        <v>#N/A</v>
      </c>
      <c r="Q548" t="e">
        <f>IF($J548&gt;MAX('Match Log'!$A$4:$A$1510),NA(),IFERROR(LOOKUP(2,1/(('Match Log'!$D$4:$D$1510=$Q$24)*('Match Log'!$A$4:$A$1510&lt;=$J548)),'Match Log'!$N$4:$N$1510),NA()))</f>
        <v>#N/A</v>
      </c>
      <c r="R548" t="e">
        <f>IF($J548&gt;MAX('Match Log'!$A$4:$A$1510),NA(),IFERROR(LOOKUP(2,1/(('Match Log'!$D$4:$D$1510=$R$24)*('Match Log'!$A$4:$A$1510&lt;=$J548)),'Match Log'!$N$4:$N$1510),NA()))</f>
        <v>#N/A</v>
      </c>
      <c r="S548" t="e">
        <f>IF($J548&gt;MAX('Match Log'!$A$4:$A$1510),NA(),IFERROR(LOOKUP(2,1/(('Match Log'!$D$4:$D$1510=$S$24)*('Match Log'!$A$4:$A$1510&lt;=$J548)),'Match Log'!$N$4:$N$1510),NA()))</f>
        <v>#N/A</v>
      </c>
      <c r="T548" t="e">
        <f>IF($J548&gt;MAX('Match Log'!$A$4:$A$1510),NA(),IFERROR(LOOKUP(2,1/(('Match Log'!$D$4:$D$1510=$T$24)*('Match Log'!$A$4:$A$1510&lt;=$J548)),'Match Log'!$N$4:$N$1510),NA()))</f>
        <v>#N/A</v>
      </c>
      <c r="U548" t="e">
        <f>IF($J548&gt;MAX('Match Log'!$A$4:$A$1510),NA(),IFERROR(LOOKUP(2,1/(('Match Log'!$D$4:$D$1510=$U$24)*('Match Log'!$A$4:$A$1510&lt;=$J548)),'Match Log'!$N$4:$N$1510),NA()))</f>
        <v>#N/A</v>
      </c>
      <c r="V548" t="e">
        <f>IF($J548&gt;MAX('Match Log'!$A$4:$A$1510),NA(),IFERROR(LOOKUP(2,1/(('Match Log'!$D$4:$D$1510=$V$24)*('Match Log'!$A$4:$A$1510&lt;=$J548)),'Match Log'!$N$4:$N$1510),NA()))</f>
        <v>#N/A</v>
      </c>
      <c r="W548" t="e">
        <f>IF($J548&gt;MAX('Match Log'!$A$4:$A$1510),NA(),IFERROR(LOOKUP(2,1/(('Match Log'!$D$4:$D$1510=$W$24)*('Match Log'!$A$4:$A$1510&lt;=$J548)),'Match Log'!$N$4:$N$1510),NA()))</f>
        <v>#N/A</v>
      </c>
      <c r="X548" t="e">
        <f>IF($J548&gt;MAX('Match Log'!$A$4:$A$1510),NA(),IFERROR(LOOKUP(2,1/(('Match Log'!$D$4:$D$1510=$X$24)*('Match Log'!$A$4:$A$1510&lt;=$J548)),'Match Log'!$N$4:$N$1510),NA()))</f>
        <v>#N/A</v>
      </c>
      <c r="Y548" t="str">
        <f t="shared" ca="1" si="37"/>
        <v/>
      </c>
    </row>
    <row r="549" spans="1:25" x14ac:dyDescent="0.2">
      <c r="A549">
        <v>525</v>
      </c>
      <c r="B549" t="str">
        <f>IFERROR(INDEX('Match Log'!$B$4:$B$1510,MATCH($A549,'Match Log'!$A$4:$A$1510,0)),"")</f>
        <v/>
      </c>
      <c r="C549" t="str">
        <f>IFERROR(INDEX('Match Log'!$C$4:$C$1510,MATCH($A549,'Match Log'!$A$4:$A$1510,0)),"")</f>
        <v/>
      </c>
      <c r="D549" t="str">
        <f t="array" ref="D549">IFERROR(_xlfn.TEXTJOIN(" + ",TRUE(),IF(('Match Log'!$A$4:$A$1510=$A549)*('Match Log'!$E$4:$E$1510="Win"),'Match Log'!$D$4:$D$1510,"")),IFERROR(LOOKUP(2,1/(('Match Log'!$A$4:$A$1510=$A549)*('Match Log'!$E$4:$E$1510="Win")),'Match Log'!$D$4:$D$1510),""))</f>
        <v/>
      </c>
      <c r="E549" t="str">
        <f>IFERROR(INDEX('Match Log'!$F$4:$F$1510,MATCH($A549,'Match Log'!$A$4:$A$1510,0)),"")</f>
        <v/>
      </c>
      <c r="F549">
        <f>IFERROR(SUMIFS('Match Log'!$I$4:$I$1510,'Match Log'!$A$4:$A$1510,$A549,'Match Log'!$E$4:$E$1510,"Win"),"")</f>
        <v>0</v>
      </c>
      <c r="G549" t="str">
        <f t="shared" si="35"/>
        <v/>
      </c>
      <c r="H549" t="str">
        <f t="array" ref="H549">IFERROR(IF(COUNTIFS('Match Log'!$A$4:$A$1510,$A549,'Match Log'!$E$4:$E$1510,"Win")&gt;1,_xlfn.TEXTJOIN(" + ",TRUE(),IF(('Match Log'!$A$4:$A$1510=$A549)*('Match Log'!$E$4:$E$1510="Loss"),'Match Log'!$D$4:$D$1510,"")),IF($E549=2,LOOKUP(2,1/(('Match Log'!$A$4:$A$1510=$A549)*('Match Log'!$E$4:$E$1510="Loss")),'Match Log'!$D$4:$D$1510),"the field")),"")</f>
        <v>the field</v>
      </c>
      <c r="I549" t="str">
        <f t="shared" si="36"/>
        <v/>
      </c>
      <c r="J549">
        <v>525</v>
      </c>
      <c r="K549" t="e">
        <f>IF($J549&gt;MAX('Match Log'!$A$4:$A$1510),NA(),IFERROR(LOOKUP(2,1/(('Match Log'!$D$4:$D$1510=$K$24)*('Match Log'!$A$4:$A$1510&lt;=$J549)),'Match Log'!$N$4:$N$1510),NA()))</f>
        <v>#N/A</v>
      </c>
      <c r="L549" t="e">
        <f>IF($J549&gt;MAX('Match Log'!$A$4:$A$1510),NA(),IFERROR(LOOKUP(2,1/(('Match Log'!$D$4:$D$1510=$L$24)*('Match Log'!$A$4:$A$1510&lt;=$J549)),'Match Log'!$N$4:$N$1510),NA()))</f>
        <v>#N/A</v>
      </c>
      <c r="M549" t="e">
        <f>IF($J549&gt;MAX('Match Log'!$A$4:$A$1510),NA(),IFERROR(LOOKUP(2,1/(('Match Log'!$D$4:$D$1510=$M$24)*('Match Log'!$A$4:$A$1510&lt;=$J549)),'Match Log'!$N$4:$N$1510),NA()))</f>
        <v>#N/A</v>
      </c>
      <c r="N549" t="e">
        <f>IF($J549&gt;MAX('Match Log'!$A$4:$A$1510),NA(),IFERROR(LOOKUP(2,1/(('Match Log'!$D$4:$D$1510=$N$24)*('Match Log'!$A$4:$A$1510&lt;=$J549)),'Match Log'!$N$4:$N$1510),NA()))</f>
        <v>#N/A</v>
      </c>
      <c r="O549" t="e">
        <f>IF($J549&gt;MAX('Match Log'!$A$4:$A$1510),NA(),IFERROR(LOOKUP(2,1/(('Match Log'!$D$4:$D$1510=$O$24)*('Match Log'!$A$4:$A$1510&lt;=$J549)),'Match Log'!$N$4:$N$1510),NA()))</f>
        <v>#N/A</v>
      </c>
      <c r="P549" t="e">
        <f>IF($J549&gt;MAX('Match Log'!$A$4:$A$1510),NA(),IFERROR(LOOKUP(2,1/(('Match Log'!$D$4:$D$1510=$P$24)*('Match Log'!$A$4:$A$1510&lt;=$J549)),'Match Log'!$N$4:$N$1510),NA()))</f>
        <v>#N/A</v>
      </c>
      <c r="Q549" t="e">
        <f>IF($J549&gt;MAX('Match Log'!$A$4:$A$1510),NA(),IFERROR(LOOKUP(2,1/(('Match Log'!$D$4:$D$1510=$Q$24)*('Match Log'!$A$4:$A$1510&lt;=$J549)),'Match Log'!$N$4:$N$1510),NA()))</f>
        <v>#N/A</v>
      </c>
      <c r="R549" t="e">
        <f>IF($J549&gt;MAX('Match Log'!$A$4:$A$1510),NA(),IFERROR(LOOKUP(2,1/(('Match Log'!$D$4:$D$1510=$R$24)*('Match Log'!$A$4:$A$1510&lt;=$J549)),'Match Log'!$N$4:$N$1510),NA()))</f>
        <v>#N/A</v>
      </c>
      <c r="S549" t="e">
        <f>IF($J549&gt;MAX('Match Log'!$A$4:$A$1510),NA(),IFERROR(LOOKUP(2,1/(('Match Log'!$D$4:$D$1510=$S$24)*('Match Log'!$A$4:$A$1510&lt;=$J549)),'Match Log'!$N$4:$N$1510),NA()))</f>
        <v>#N/A</v>
      </c>
      <c r="T549" t="e">
        <f>IF($J549&gt;MAX('Match Log'!$A$4:$A$1510),NA(),IFERROR(LOOKUP(2,1/(('Match Log'!$D$4:$D$1510=$T$24)*('Match Log'!$A$4:$A$1510&lt;=$J549)),'Match Log'!$N$4:$N$1510),NA()))</f>
        <v>#N/A</v>
      </c>
      <c r="U549" t="e">
        <f>IF($J549&gt;MAX('Match Log'!$A$4:$A$1510),NA(),IFERROR(LOOKUP(2,1/(('Match Log'!$D$4:$D$1510=$U$24)*('Match Log'!$A$4:$A$1510&lt;=$J549)),'Match Log'!$N$4:$N$1510),NA()))</f>
        <v>#N/A</v>
      </c>
      <c r="V549" t="e">
        <f>IF($J549&gt;MAX('Match Log'!$A$4:$A$1510),NA(),IFERROR(LOOKUP(2,1/(('Match Log'!$D$4:$D$1510=$V$24)*('Match Log'!$A$4:$A$1510&lt;=$J549)),'Match Log'!$N$4:$N$1510),NA()))</f>
        <v>#N/A</v>
      </c>
      <c r="W549" t="e">
        <f>IF($J549&gt;MAX('Match Log'!$A$4:$A$1510),NA(),IFERROR(LOOKUP(2,1/(('Match Log'!$D$4:$D$1510=$W$24)*('Match Log'!$A$4:$A$1510&lt;=$J549)),'Match Log'!$N$4:$N$1510),NA()))</f>
        <v>#N/A</v>
      </c>
      <c r="X549" t="e">
        <f>IF($J549&gt;MAX('Match Log'!$A$4:$A$1510),NA(),IFERROR(LOOKUP(2,1/(('Match Log'!$D$4:$D$1510=$X$24)*('Match Log'!$A$4:$A$1510&lt;=$J549)),'Match Log'!$N$4:$N$1510),NA()))</f>
        <v>#N/A</v>
      </c>
      <c r="Y549" t="str">
        <f t="shared" ca="1" si="37"/>
        <v/>
      </c>
    </row>
    <row r="550" spans="1:25" x14ac:dyDescent="0.2">
      <c r="A550">
        <v>526</v>
      </c>
      <c r="B550" t="str">
        <f>IFERROR(INDEX('Match Log'!$B$4:$B$1510,MATCH($A550,'Match Log'!$A$4:$A$1510,0)),"")</f>
        <v/>
      </c>
      <c r="C550" t="str">
        <f>IFERROR(INDEX('Match Log'!$C$4:$C$1510,MATCH($A550,'Match Log'!$A$4:$A$1510,0)),"")</f>
        <v/>
      </c>
      <c r="D550" t="str">
        <f t="array" ref="D550">IFERROR(_xlfn.TEXTJOIN(" + ",TRUE(),IF(('Match Log'!$A$4:$A$1510=$A550)*('Match Log'!$E$4:$E$1510="Win"),'Match Log'!$D$4:$D$1510,"")),IFERROR(LOOKUP(2,1/(('Match Log'!$A$4:$A$1510=$A550)*('Match Log'!$E$4:$E$1510="Win")),'Match Log'!$D$4:$D$1510),""))</f>
        <v/>
      </c>
      <c r="E550" t="str">
        <f>IFERROR(INDEX('Match Log'!$F$4:$F$1510,MATCH($A550,'Match Log'!$A$4:$A$1510,0)),"")</f>
        <v/>
      </c>
      <c r="F550">
        <f>IFERROR(SUMIFS('Match Log'!$I$4:$I$1510,'Match Log'!$A$4:$A$1510,$A550,'Match Log'!$E$4:$E$1510,"Win"),"")</f>
        <v>0</v>
      </c>
      <c r="G550" t="str">
        <f t="shared" si="35"/>
        <v/>
      </c>
      <c r="H550" t="str">
        <f t="array" ref="H550">IFERROR(IF(COUNTIFS('Match Log'!$A$4:$A$1510,$A550,'Match Log'!$E$4:$E$1510,"Win")&gt;1,_xlfn.TEXTJOIN(" + ",TRUE(),IF(('Match Log'!$A$4:$A$1510=$A550)*('Match Log'!$E$4:$E$1510="Loss"),'Match Log'!$D$4:$D$1510,"")),IF($E550=2,LOOKUP(2,1/(('Match Log'!$A$4:$A$1510=$A550)*('Match Log'!$E$4:$E$1510="Loss")),'Match Log'!$D$4:$D$1510),"the field")),"")</f>
        <v>the field</v>
      </c>
      <c r="I550" t="str">
        <f t="shared" si="36"/>
        <v/>
      </c>
      <c r="J550">
        <v>526</v>
      </c>
      <c r="K550" t="e">
        <f>IF($J550&gt;MAX('Match Log'!$A$4:$A$1510),NA(),IFERROR(LOOKUP(2,1/(('Match Log'!$D$4:$D$1510=$K$24)*('Match Log'!$A$4:$A$1510&lt;=$J550)),'Match Log'!$N$4:$N$1510),NA()))</f>
        <v>#N/A</v>
      </c>
      <c r="L550" t="e">
        <f>IF($J550&gt;MAX('Match Log'!$A$4:$A$1510),NA(),IFERROR(LOOKUP(2,1/(('Match Log'!$D$4:$D$1510=$L$24)*('Match Log'!$A$4:$A$1510&lt;=$J550)),'Match Log'!$N$4:$N$1510),NA()))</f>
        <v>#N/A</v>
      </c>
      <c r="M550" t="e">
        <f>IF($J550&gt;MAX('Match Log'!$A$4:$A$1510),NA(),IFERROR(LOOKUP(2,1/(('Match Log'!$D$4:$D$1510=$M$24)*('Match Log'!$A$4:$A$1510&lt;=$J550)),'Match Log'!$N$4:$N$1510),NA()))</f>
        <v>#N/A</v>
      </c>
      <c r="N550" t="e">
        <f>IF($J550&gt;MAX('Match Log'!$A$4:$A$1510),NA(),IFERROR(LOOKUP(2,1/(('Match Log'!$D$4:$D$1510=$N$24)*('Match Log'!$A$4:$A$1510&lt;=$J550)),'Match Log'!$N$4:$N$1510),NA()))</f>
        <v>#N/A</v>
      </c>
      <c r="O550" t="e">
        <f>IF($J550&gt;MAX('Match Log'!$A$4:$A$1510),NA(),IFERROR(LOOKUP(2,1/(('Match Log'!$D$4:$D$1510=$O$24)*('Match Log'!$A$4:$A$1510&lt;=$J550)),'Match Log'!$N$4:$N$1510),NA()))</f>
        <v>#N/A</v>
      </c>
      <c r="P550" t="e">
        <f>IF($J550&gt;MAX('Match Log'!$A$4:$A$1510),NA(),IFERROR(LOOKUP(2,1/(('Match Log'!$D$4:$D$1510=$P$24)*('Match Log'!$A$4:$A$1510&lt;=$J550)),'Match Log'!$N$4:$N$1510),NA()))</f>
        <v>#N/A</v>
      </c>
      <c r="Q550" t="e">
        <f>IF($J550&gt;MAX('Match Log'!$A$4:$A$1510),NA(),IFERROR(LOOKUP(2,1/(('Match Log'!$D$4:$D$1510=$Q$24)*('Match Log'!$A$4:$A$1510&lt;=$J550)),'Match Log'!$N$4:$N$1510),NA()))</f>
        <v>#N/A</v>
      </c>
      <c r="R550" t="e">
        <f>IF($J550&gt;MAX('Match Log'!$A$4:$A$1510),NA(),IFERROR(LOOKUP(2,1/(('Match Log'!$D$4:$D$1510=$R$24)*('Match Log'!$A$4:$A$1510&lt;=$J550)),'Match Log'!$N$4:$N$1510),NA()))</f>
        <v>#N/A</v>
      </c>
      <c r="S550" t="e">
        <f>IF($J550&gt;MAX('Match Log'!$A$4:$A$1510),NA(),IFERROR(LOOKUP(2,1/(('Match Log'!$D$4:$D$1510=$S$24)*('Match Log'!$A$4:$A$1510&lt;=$J550)),'Match Log'!$N$4:$N$1510),NA()))</f>
        <v>#N/A</v>
      </c>
      <c r="T550" t="e">
        <f>IF($J550&gt;MAX('Match Log'!$A$4:$A$1510),NA(),IFERROR(LOOKUP(2,1/(('Match Log'!$D$4:$D$1510=$T$24)*('Match Log'!$A$4:$A$1510&lt;=$J550)),'Match Log'!$N$4:$N$1510),NA()))</f>
        <v>#N/A</v>
      </c>
      <c r="U550" t="e">
        <f>IF($J550&gt;MAX('Match Log'!$A$4:$A$1510),NA(),IFERROR(LOOKUP(2,1/(('Match Log'!$D$4:$D$1510=$U$24)*('Match Log'!$A$4:$A$1510&lt;=$J550)),'Match Log'!$N$4:$N$1510),NA()))</f>
        <v>#N/A</v>
      </c>
      <c r="V550" t="e">
        <f>IF($J550&gt;MAX('Match Log'!$A$4:$A$1510),NA(),IFERROR(LOOKUP(2,1/(('Match Log'!$D$4:$D$1510=$V$24)*('Match Log'!$A$4:$A$1510&lt;=$J550)),'Match Log'!$N$4:$N$1510),NA()))</f>
        <v>#N/A</v>
      </c>
      <c r="W550" t="e">
        <f>IF($J550&gt;MAX('Match Log'!$A$4:$A$1510),NA(),IFERROR(LOOKUP(2,1/(('Match Log'!$D$4:$D$1510=$W$24)*('Match Log'!$A$4:$A$1510&lt;=$J550)),'Match Log'!$N$4:$N$1510),NA()))</f>
        <v>#N/A</v>
      </c>
      <c r="X550" t="e">
        <f>IF($J550&gt;MAX('Match Log'!$A$4:$A$1510),NA(),IFERROR(LOOKUP(2,1/(('Match Log'!$D$4:$D$1510=$X$24)*('Match Log'!$A$4:$A$1510&lt;=$J550)),'Match Log'!$N$4:$N$1510),NA()))</f>
        <v>#N/A</v>
      </c>
      <c r="Y550" t="str">
        <f t="shared" ca="1" si="37"/>
        <v/>
      </c>
    </row>
    <row r="551" spans="1:25" x14ac:dyDescent="0.2">
      <c r="A551">
        <v>527</v>
      </c>
      <c r="B551" t="str">
        <f>IFERROR(INDEX('Match Log'!$B$4:$B$1510,MATCH($A551,'Match Log'!$A$4:$A$1510,0)),"")</f>
        <v/>
      </c>
      <c r="C551" t="str">
        <f>IFERROR(INDEX('Match Log'!$C$4:$C$1510,MATCH($A551,'Match Log'!$A$4:$A$1510,0)),"")</f>
        <v/>
      </c>
      <c r="D551" t="str">
        <f t="array" ref="D551">IFERROR(_xlfn.TEXTJOIN(" + ",TRUE(),IF(('Match Log'!$A$4:$A$1510=$A551)*('Match Log'!$E$4:$E$1510="Win"),'Match Log'!$D$4:$D$1510,"")),IFERROR(LOOKUP(2,1/(('Match Log'!$A$4:$A$1510=$A551)*('Match Log'!$E$4:$E$1510="Win")),'Match Log'!$D$4:$D$1510),""))</f>
        <v/>
      </c>
      <c r="E551" t="str">
        <f>IFERROR(INDEX('Match Log'!$F$4:$F$1510,MATCH($A551,'Match Log'!$A$4:$A$1510,0)),"")</f>
        <v/>
      </c>
      <c r="F551">
        <f>IFERROR(SUMIFS('Match Log'!$I$4:$I$1510,'Match Log'!$A$4:$A$1510,$A551,'Match Log'!$E$4:$E$1510,"Win"),"")</f>
        <v>0</v>
      </c>
      <c r="G551" t="str">
        <f t="shared" si="35"/>
        <v/>
      </c>
      <c r="H551" t="str">
        <f t="array" ref="H551">IFERROR(IF(COUNTIFS('Match Log'!$A$4:$A$1510,$A551,'Match Log'!$E$4:$E$1510,"Win")&gt;1,_xlfn.TEXTJOIN(" + ",TRUE(),IF(('Match Log'!$A$4:$A$1510=$A551)*('Match Log'!$E$4:$E$1510="Loss"),'Match Log'!$D$4:$D$1510,"")),IF($E551=2,LOOKUP(2,1/(('Match Log'!$A$4:$A$1510=$A551)*('Match Log'!$E$4:$E$1510="Loss")),'Match Log'!$D$4:$D$1510),"the field")),"")</f>
        <v>the field</v>
      </c>
      <c r="I551" t="str">
        <f t="shared" si="36"/>
        <v/>
      </c>
      <c r="J551">
        <v>527</v>
      </c>
      <c r="K551" t="e">
        <f>IF($J551&gt;MAX('Match Log'!$A$4:$A$1510),NA(),IFERROR(LOOKUP(2,1/(('Match Log'!$D$4:$D$1510=$K$24)*('Match Log'!$A$4:$A$1510&lt;=$J551)),'Match Log'!$N$4:$N$1510),NA()))</f>
        <v>#N/A</v>
      </c>
      <c r="L551" t="e">
        <f>IF($J551&gt;MAX('Match Log'!$A$4:$A$1510),NA(),IFERROR(LOOKUP(2,1/(('Match Log'!$D$4:$D$1510=$L$24)*('Match Log'!$A$4:$A$1510&lt;=$J551)),'Match Log'!$N$4:$N$1510),NA()))</f>
        <v>#N/A</v>
      </c>
      <c r="M551" t="e">
        <f>IF($J551&gt;MAX('Match Log'!$A$4:$A$1510),NA(),IFERROR(LOOKUP(2,1/(('Match Log'!$D$4:$D$1510=$M$24)*('Match Log'!$A$4:$A$1510&lt;=$J551)),'Match Log'!$N$4:$N$1510),NA()))</f>
        <v>#N/A</v>
      </c>
      <c r="N551" t="e">
        <f>IF($J551&gt;MAX('Match Log'!$A$4:$A$1510),NA(),IFERROR(LOOKUP(2,1/(('Match Log'!$D$4:$D$1510=$N$24)*('Match Log'!$A$4:$A$1510&lt;=$J551)),'Match Log'!$N$4:$N$1510),NA()))</f>
        <v>#N/A</v>
      </c>
      <c r="O551" t="e">
        <f>IF($J551&gt;MAX('Match Log'!$A$4:$A$1510),NA(),IFERROR(LOOKUP(2,1/(('Match Log'!$D$4:$D$1510=$O$24)*('Match Log'!$A$4:$A$1510&lt;=$J551)),'Match Log'!$N$4:$N$1510),NA()))</f>
        <v>#N/A</v>
      </c>
      <c r="P551" t="e">
        <f>IF($J551&gt;MAX('Match Log'!$A$4:$A$1510),NA(),IFERROR(LOOKUP(2,1/(('Match Log'!$D$4:$D$1510=$P$24)*('Match Log'!$A$4:$A$1510&lt;=$J551)),'Match Log'!$N$4:$N$1510),NA()))</f>
        <v>#N/A</v>
      </c>
      <c r="Q551" t="e">
        <f>IF($J551&gt;MAX('Match Log'!$A$4:$A$1510),NA(),IFERROR(LOOKUP(2,1/(('Match Log'!$D$4:$D$1510=$Q$24)*('Match Log'!$A$4:$A$1510&lt;=$J551)),'Match Log'!$N$4:$N$1510),NA()))</f>
        <v>#N/A</v>
      </c>
      <c r="R551" t="e">
        <f>IF($J551&gt;MAX('Match Log'!$A$4:$A$1510),NA(),IFERROR(LOOKUP(2,1/(('Match Log'!$D$4:$D$1510=$R$24)*('Match Log'!$A$4:$A$1510&lt;=$J551)),'Match Log'!$N$4:$N$1510),NA()))</f>
        <v>#N/A</v>
      </c>
      <c r="S551" t="e">
        <f>IF($J551&gt;MAX('Match Log'!$A$4:$A$1510),NA(),IFERROR(LOOKUP(2,1/(('Match Log'!$D$4:$D$1510=$S$24)*('Match Log'!$A$4:$A$1510&lt;=$J551)),'Match Log'!$N$4:$N$1510),NA()))</f>
        <v>#N/A</v>
      </c>
      <c r="T551" t="e">
        <f>IF($J551&gt;MAX('Match Log'!$A$4:$A$1510),NA(),IFERROR(LOOKUP(2,1/(('Match Log'!$D$4:$D$1510=$T$24)*('Match Log'!$A$4:$A$1510&lt;=$J551)),'Match Log'!$N$4:$N$1510),NA()))</f>
        <v>#N/A</v>
      </c>
      <c r="U551" t="e">
        <f>IF($J551&gt;MAX('Match Log'!$A$4:$A$1510),NA(),IFERROR(LOOKUP(2,1/(('Match Log'!$D$4:$D$1510=$U$24)*('Match Log'!$A$4:$A$1510&lt;=$J551)),'Match Log'!$N$4:$N$1510),NA()))</f>
        <v>#N/A</v>
      </c>
      <c r="V551" t="e">
        <f>IF($J551&gt;MAX('Match Log'!$A$4:$A$1510),NA(),IFERROR(LOOKUP(2,1/(('Match Log'!$D$4:$D$1510=$V$24)*('Match Log'!$A$4:$A$1510&lt;=$J551)),'Match Log'!$N$4:$N$1510),NA()))</f>
        <v>#N/A</v>
      </c>
      <c r="W551" t="e">
        <f>IF($J551&gt;MAX('Match Log'!$A$4:$A$1510),NA(),IFERROR(LOOKUP(2,1/(('Match Log'!$D$4:$D$1510=$W$24)*('Match Log'!$A$4:$A$1510&lt;=$J551)),'Match Log'!$N$4:$N$1510),NA()))</f>
        <v>#N/A</v>
      </c>
      <c r="X551" t="e">
        <f>IF($J551&gt;MAX('Match Log'!$A$4:$A$1510),NA(),IFERROR(LOOKUP(2,1/(('Match Log'!$D$4:$D$1510=$X$24)*('Match Log'!$A$4:$A$1510&lt;=$J551)),'Match Log'!$N$4:$N$1510),NA()))</f>
        <v>#N/A</v>
      </c>
      <c r="Y551" t="str">
        <f t="shared" ca="1" si="37"/>
        <v/>
      </c>
    </row>
    <row r="552" spans="1:25" x14ac:dyDescent="0.2">
      <c r="A552">
        <v>528</v>
      </c>
      <c r="B552" t="str">
        <f>IFERROR(INDEX('Match Log'!$B$4:$B$1510,MATCH($A552,'Match Log'!$A$4:$A$1510,0)),"")</f>
        <v/>
      </c>
      <c r="C552" t="str">
        <f>IFERROR(INDEX('Match Log'!$C$4:$C$1510,MATCH($A552,'Match Log'!$A$4:$A$1510,0)),"")</f>
        <v/>
      </c>
      <c r="D552" t="str">
        <f t="array" ref="D552">IFERROR(_xlfn.TEXTJOIN(" + ",TRUE(),IF(('Match Log'!$A$4:$A$1510=$A552)*('Match Log'!$E$4:$E$1510="Win"),'Match Log'!$D$4:$D$1510,"")),IFERROR(LOOKUP(2,1/(('Match Log'!$A$4:$A$1510=$A552)*('Match Log'!$E$4:$E$1510="Win")),'Match Log'!$D$4:$D$1510),""))</f>
        <v/>
      </c>
      <c r="E552" t="str">
        <f>IFERROR(INDEX('Match Log'!$F$4:$F$1510,MATCH($A552,'Match Log'!$A$4:$A$1510,0)),"")</f>
        <v/>
      </c>
      <c r="F552">
        <f>IFERROR(SUMIFS('Match Log'!$I$4:$I$1510,'Match Log'!$A$4:$A$1510,$A552,'Match Log'!$E$4:$E$1510,"Win"),"")</f>
        <v>0</v>
      </c>
      <c r="G552" t="str">
        <f t="shared" si="35"/>
        <v/>
      </c>
      <c r="H552" t="str">
        <f t="array" ref="H552">IFERROR(IF(COUNTIFS('Match Log'!$A$4:$A$1510,$A552,'Match Log'!$E$4:$E$1510,"Win")&gt;1,_xlfn.TEXTJOIN(" + ",TRUE(),IF(('Match Log'!$A$4:$A$1510=$A552)*('Match Log'!$E$4:$E$1510="Loss"),'Match Log'!$D$4:$D$1510,"")),IF($E552=2,LOOKUP(2,1/(('Match Log'!$A$4:$A$1510=$A552)*('Match Log'!$E$4:$E$1510="Loss")),'Match Log'!$D$4:$D$1510),"the field")),"")</f>
        <v>the field</v>
      </c>
      <c r="I552" t="str">
        <f t="shared" si="36"/>
        <v/>
      </c>
      <c r="J552">
        <v>528</v>
      </c>
      <c r="K552" t="e">
        <f>IF($J552&gt;MAX('Match Log'!$A$4:$A$1510),NA(),IFERROR(LOOKUP(2,1/(('Match Log'!$D$4:$D$1510=$K$24)*('Match Log'!$A$4:$A$1510&lt;=$J552)),'Match Log'!$N$4:$N$1510),NA()))</f>
        <v>#N/A</v>
      </c>
      <c r="L552" t="e">
        <f>IF($J552&gt;MAX('Match Log'!$A$4:$A$1510),NA(),IFERROR(LOOKUP(2,1/(('Match Log'!$D$4:$D$1510=$L$24)*('Match Log'!$A$4:$A$1510&lt;=$J552)),'Match Log'!$N$4:$N$1510),NA()))</f>
        <v>#N/A</v>
      </c>
      <c r="M552" t="e">
        <f>IF($J552&gt;MAX('Match Log'!$A$4:$A$1510),NA(),IFERROR(LOOKUP(2,1/(('Match Log'!$D$4:$D$1510=$M$24)*('Match Log'!$A$4:$A$1510&lt;=$J552)),'Match Log'!$N$4:$N$1510),NA()))</f>
        <v>#N/A</v>
      </c>
      <c r="N552" t="e">
        <f>IF($J552&gt;MAX('Match Log'!$A$4:$A$1510),NA(),IFERROR(LOOKUP(2,1/(('Match Log'!$D$4:$D$1510=$N$24)*('Match Log'!$A$4:$A$1510&lt;=$J552)),'Match Log'!$N$4:$N$1510),NA()))</f>
        <v>#N/A</v>
      </c>
      <c r="O552" t="e">
        <f>IF($J552&gt;MAX('Match Log'!$A$4:$A$1510),NA(),IFERROR(LOOKUP(2,1/(('Match Log'!$D$4:$D$1510=$O$24)*('Match Log'!$A$4:$A$1510&lt;=$J552)),'Match Log'!$N$4:$N$1510),NA()))</f>
        <v>#N/A</v>
      </c>
      <c r="P552" t="e">
        <f>IF($J552&gt;MAX('Match Log'!$A$4:$A$1510),NA(),IFERROR(LOOKUP(2,1/(('Match Log'!$D$4:$D$1510=$P$24)*('Match Log'!$A$4:$A$1510&lt;=$J552)),'Match Log'!$N$4:$N$1510),NA()))</f>
        <v>#N/A</v>
      </c>
      <c r="Q552" t="e">
        <f>IF($J552&gt;MAX('Match Log'!$A$4:$A$1510),NA(),IFERROR(LOOKUP(2,1/(('Match Log'!$D$4:$D$1510=$Q$24)*('Match Log'!$A$4:$A$1510&lt;=$J552)),'Match Log'!$N$4:$N$1510),NA()))</f>
        <v>#N/A</v>
      </c>
      <c r="R552" t="e">
        <f>IF($J552&gt;MAX('Match Log'!$A$4:$A$1510),NA(),IFERROR(LOOKUP(2,1/(('Match Log'!$D$4:$D$1510=$R$24)*('Match Log'!$A$4:$A$1510&lt;=$J552)),'Match Log'!$N$4:$N$1510),NA()))</f>
        <v>#N/A</v>
      </c>
      <c r="S552" t="e">
        <f>IF($J552&gt;MAX('Match Log'!$A$4:$A$1510),NA(),IFERROR(LOOKUP(2,1/(('Match Log'!$D$4:$D$1510=$S$24)*('Match Log'!$A$4:$A$1510&lt;=$J552)),'Match Log'!$N$4:$N$1510),NA()))</f>
        <v>#N/A</v>
      </c>
      <c r="T552" t="e">
        <f>IF($J552&gt;MAX('Match Log'!$A$4:$A$1510),NA(),IFERROR(LOOKUP(2,1/(('Match Log'!$D$4:$D$1510=$T$24)*('Match Log'!$A$4:$A$1510&lt;=$J552)),'Match Log'!$N$4:$N$1510),NA()))</f>
        <v>#N/A</v>
      </c>
      <c r="U552" t="e">
        <f>IF($J552&gt;MAX('Match Log'!$A$4:$A$1510),NA(),IFERROR(LOOKUP(2,1/(('Match Log'!$D$4:$D$1510=$U$24)*('Match Log'!$A$4:$A$1510&lt;=$J552)),'Match Log'!$N$4:$N$1510),NA()))</f>
        <v>#N/A</v>
      </c>
      <c r="V552" t="e">
        <f>IF($J552&gt;MAX('Match Log'!$A$4:$A$1510),NA(),IFERROR(LOOKUP(2,1/(('Match Log'!$D$4:$D$1510=$V$24)*('Match Log'!$A$4:$A$1510&lt;=$J552)),'Match Log'!$N$4:$N$1510),NA()))</f>
        <v>#N/A</v>
      </c>
      <c r="W552" t="e">
        <f>IF($J552&gt;MAX('Match Log'!$A$4:$A$1510),NA(),IFERROR(LOOKUP(2,1/(('Match Log'!$D$4:$D$1510=$W$24)*('Match Log'!$A$4:$A$1510&lt;=$J552)),'Match Log'!$N$4:$N$1510),NA()))</f>
        <v>#N/A</v>
      </c>
      <c r="X552" t="e">
        <f>IF($J552&gt;MAX('Match Log'!$A$4:$A$1510),NA(),IFERROR(LOOKUP(2,1/(('Match Log'!$D$4:$D$1510=$X$24)*('Match Log'!$A$4:$A$1510&lt;=$J552)),'Match Log'!$N$4:$N$1510),NA()))</f>
        <v>#N/A</v>
      </c>
      <c r="Y552" t="str">
        <f t="shared" ca="1" si="37"/>
        <v/>
      </c>
    </row>
    <row r="553" spans="1:25" x14ac:dyDescent="0.2">
      <c r="A553">
        <v>529</v>
      </c>
      <c r="B553" t="str">
        <f>IFERROR(INDEX('Match Log'!$B$4:$B$1510,MATCH($A553,'Match Log'!$A$4:$A$1510,0)),"")</f>
        <v/>
      </c>
      <c r="C553" t="str">
        <f>IFERROR(INDEX('Match Log'!$C$4:$C$1510,MATCH($A553,'Match Log'!$A$4:$A$1510,0)),"")</f>
        <v/>
      </c>
      <c r="D553" t="str">
        <f t="array" ref="D553">IFERROR(_xlfn.TEXTJOIN(" + ",TRUE(),IF(('Match Log'!$A$4:$A$1510=$A553)*('Match Log'!$E$4:$E$1510="Win"),'Match Log'!$D$4:$D$1510,"")),IFERROR(LOOKUP(2,1/(('Match Log'!$A$4:$A$1510=$A553)*('Match Log'!$E$4:$E$1510="Win")),'Match Log'!$D$4:$D$1510),""))</f>
        <v/>
      </c>
      <c r="E553" t="str">
        <f>IFERROR(INDEX('Match Log'!$F$4:$F$1510,MATCH($A553,'Match Log'!$A$4:$A$1510,0)),"")</f>
        <v/>
      </c>
      <c r="F553">
        <f>IFERROR(SUMIFS('Match Log'!$I$4:$I$1510,'Match Log'!$A$4:$A$1510,$A553,'Match Log'!$E$4:$E$1510,"Win"),"")</f>
        <v>0</v>
      </c>
      <c r="G553" t="str">
        <f t="shared" si="35"/>
        <v/>
      </c>
      <c r="H553" t="str">
        <f t="array" ref="H553">IFERROR(IF(COUNTIFS('Match Log'!$A$4:$A$1510,$A553,'Match Log'!$E$4:$E$1510,"Win")&gt;1,_xlfn.TEXTJOIN(" + ",TRUE(),IF(('Match Log'!$A$4:$A$1510=$A553)*('Match Log'!$E$4:$E$1510="Loss"),'Match Log'!$D$4:$D$1510,"")),IF($E553=2,LOOKUP(2,1/(('Match Log'!$A$4:$A$1510=$A553)*('Match Log'!$E$4:$E$1510="Loss")),'Match Log'!$D$4:$D$1510),"the field")),"")</f>
        <v>the field</v>
      </c>
      <c r="I553" t="str">
        <f t="shared" si="36"/>
        <v/>
      </c>
      <c r="J553">
        <v>529</v>
      </c>
      <c r="K553" t="e">
        <f>IF($J553&gt;MAX('Match Log'!$A$4:$A$1510),NA(),IFERROR(LOOKUP(2,1/(('Match Log'!$D$4:$D$1510=$K$24)*('Match Log'!$A$4:$A$1510&lt;=$J553)),'Match Log'!$N$4:$N$1510),NA()))</f>
        <v>#N/A</v>
      </c>
      <c r="L553" t="e">
        <f>IF($J553&gt;MAX('Match Log'!$A$4:$A$1510),NA(),IFERROR(LOOKUP(2,1/(('Match Log'!$D$4:$D$1510=$L$24)*('Match Log'!$A$4:$A$1510&lt;=$J553)),'Match Log'!$N$4:$N$1510),NA()))</f>
        <v>#N/A</v>
      </c>
      <c r="M553" t="e">
        <f>IF($J553&gt;MAX('Match Log'!$A$4:$A$1510),NA(),IFERROR(LOOKUP(2,1/(('Match Log'!$D$4:$D$1510=$M$24)*('Match Log'!$A$4:$A$1510&lt;=$J553)),'Match Log'!$N$4:$N$1510),NA()))</f>
        <v>#N/A</v>
      </c>
      <c r="N553" t="e">
        <f>IF($J553&gt;MAX('Match Log'!$A$4:$A$1510),NA(),IFERROR(LOOKUP(2,1/(('Match Log'!$D$4:$D$1510=$N$24)*('Match Log'!$A$4:$A$1510&lt;=$J553)),'Match Log'!$N$4:$N$1510),NA()))</f>
        <v>#N/A</v>
      </c>
      <c r="O553" t="e">
        <f>IF($J553&gt;MAX('Match Log'!$A$4:$A$1510),NA(),IFERROR(LOOKUP(2,1/(('Match Log'!$D$4:$D$1510=$O$24)*('Match Log'!$A$4:$A$1510&lt;=$J553)),'Match Log'!$N$4:$N$1510),NA()))</f>
        <v>#N/A</v>
      </c>
      <c r="P553" t="e">
        <f>IF($J553&gt;MAX('Match Log'!$A$4:$A$1510),NA(),IFERROR(LOOKUP(2,1/(('Match Log'!$D$4:$D$1510=$P$24)*('Match Log'!$A$4:$A$1510&lt;=$J553)),'Match Log'!$N$4:$N$1510),NA()))</f>
        <v>#N/A</v>
      </c>
      <c r="Q553" t="e">
        <f>IF($J553&gt;MAX('Match Log'!$A$4:$A$1510),NA(),IFERROR(LOOKUP(2,1/(('Match Log'!$D$4:$D$1510=$Q$24)*('Match Log'!$A$4:$A$1510&lt;=$J553)),'Match Log'!$N$4:$N$1510),NA()))</f>
        <v>#N/A</v>
      </c>
      <c r="R553" t="e">
        <f>IF($J553&gt;MAX('Match Log'!$A$4:$A$1510),NA(),IFERROR(LOOKUP(2,1/(('Match Log'!$D$4:$D$1510=$R$24)*('Match Log'!$A$4:$A$1510&lt;=$J553)),'Match Log'!$N$4:$N$1510),NA()))</f>
        <v>#N/A</v>
      </c>
      <c r="S553" t="e">
        <f>IF($J553&gt;MAX('Match Log'!$A$4:$A$1510),NA(),IFERROR(LOOKUP(2,1/(('Match Log'!$D$4:$D$1510=$S$24)*('Match Log'!$A$4:$A$1510&lt;=$J553)),'Match Log'!$N$4:$N$1510),NA()))</f>
        <v>#N/A</v>
      </c>
      <c r="T553" t="e">
        <f>IF($J553&gt;MAX('Match Log'!$A$4:$A$1510),NA(),IFERROR(LOOKUP(2,1/(('Match Log'!$D$4:$D$1510=$T$24)*('Match Log'!$A$4:$A$1510&lt;=$J553)),'Match Log'!$N$4:$N$1510),NA()))</f>
        <v>#N/A</v>
      </c>
      <c r="U553" t="e">
        <f>IF($J553&gt;MAX('Match Log'!$A$4:$A$1510),NA(),IFERROR(LOOKUP(2,1/(('Match Log'!$D$4:$D$1510=$U$24)*('Match Log'!$A$4:$A$1510&lt;=$J553)),'Match Log'!$N$4:$N$1510),NA()))</f>
        <v>#N/A</v>
      </c>
      <c r="V553" t="e">
        <f>IF($J553&gt;MAX('Match Log'!$A$4:$A$1510),NA(),IFERROR(LOOKUP(2,1/(('Match Log'!$D$4:$D$1510=$V$24)*('Match Log'!$A$4:$A$1510&lt;=$J553)),'Match Log'!$N$4:$N$1510),NA()))</f>
        <v>#N/A</v>
      </c>
      <c r="W553" t="e">
        <f>IF($J553&gt;MAX('Match Log'!$A$4:$A$1510),NA(),IFERROR(LOOKUP(2,1/(('Match Log'!$D$4:$D$1510=$W$24)*('Match Log'!$A$4:$A$1510&lt;=$J553)),'Match Log'!$N$4:$N$1510),NA()))</f>
        <v>#N/A</v>
      </c>
      <c r="X553" t="e">
        <f>IF($J553&gt;MAX('Match Log'!$A$4:$A$1510),NA(),IFERROR(LOOKUP(2,1/(('Match Log'!$D$4:$D$1510=$X$24)*('Match Log'!$A$4:$A$1510&lt;=$J553)),'Match Log'!$N$4:$N$1510),NA()))</f>
        <v>#N/A</v>
      </c>
      <c r="Y553" t="str">
        <f t="shared" ca="1" si="37"/>
        <v/>
      </c>
    </row>
    <row r="554" spans="1:25" x14ac:dyDescent="0.2">
      <c r="A554">
        <v>530</v>
      </c>
      <c r="B554" t="str">
        <f>IFERROR(INDEX('Match Log'!$B$4:$B$1510,MATCH($A554,'Match Log'!$A$4:$A$1510,0)),"")</f>
        <v/>
      </c>
      <c r="C554" t="str">
        <f>IFERROR(INDEX('Match Log'!$C$4:$C$1510,MATCH($A554,'Match Log'!$A$4:$A$1510,0)),"")</f>
        <v/>
      </c>
      <c r="D554" t="str">
        <f t="array" ref="D554">IFERROR(_xlfn.TEXTJOIN(" + ",TRUE(),IF(('Match Log'!$A$4:$A$1510=$A554)*('Match Log'!$E$4:$E$1510="Win"),'Match Log'!$D$4:$D$1510,"")),IFERROR(LOOKUP(2,1/(('Match Log'!$A$4:$A$1510=$A554)*('Match Log'!$E$4:$E$1510="Win")),'Match Log'!$D$4:$D$1510),""))</f>
        <v/>
      </c>
      <c r="E554" t="str">
        <f>IFERROR(INDEX('Match Log'!$F$4:$F$1510,MATCH($A554,'Match Log'!$A$4:$A$1510,0)),"")</f>
        <v/>
      </c>
      <c r="F554">
        <f>IFERROR(SUMIFS('Match Log'!$I$4:$I$1510,'Match Log'!$A$4:$A$1510,$A554,'Match Log'!$E$4:$E$1510,"Win"),"")</f>
        <v>0</v>
      </c>
      <c r="G554" t="str">
        <f t="shared" si="35"/>
        <v/>
      </c>
      <c r="H554" t="str">
        <f t="array" ref="H554">IFERROR(IF(COUNTIFS('Match Log'!$A$4:$A$1510,$A554,'Match Log'!$E$4:$E$1510,"Win")&gt;1,_xlfn.TEXTJOIN(" + ",TRUE(),IF(('Match Log'!$A$4:$A$1510=$A554)*('Match Log'!$E$4:$E$1510="Loss"),'Match Log'!$D$4:$D$1510,"")),IF($E554=2,LOOKUP(2,1/(('Match Log'!$A$4:$A$1510=$A554)*('Match Log'!$E$4:$E$1510="Loss")),'Match Log'!$D$4:$D$1510),"the field")),"")</f>
        <v>the field</v>
      </c>
      <c r="I554" t="str">
        <f t="shared" si="36"/>
        <v/>
      </c>
      <c r="J554">
        <v>530</v>
      </c>
      <c r="K554" t="e">
        <f>IF($J554&gt;MAX('Match Log'!$A$4:$A$1510),NA(),IFERROR(LOOKUP(2,1/(('Match Log'!$D$4:$D$1510=$K$24)*('Match Log'!$A$4:$A$1510&lt;=$J554)),'Match Log'!$N$4:$N$1510),NA()))</f>
        <v>#N/A</v>
      </c>
      <c r="L554" t="e">
        <f>IF($J554&gt;MAX('Match Log'!$A$4:$A$1510),NA(),IFERROR(LOOKUP(2,1/(('Match Log'!$D$4:$D$1510=$L$24)*('Match Log'!$A$4:$A$1510&lt;=$J554)),'Match Log'!$N$4:$N$1510),NA()))</f>
        <v>#N/A</v>
      </c>
      <c r="M554" t="e">
        <f>IF($J554&gt;MAX('Match Log'!$A$4:$A$1510),NA(),IFERROR(LOOKUP(2,1/(('Match Log'!$D$4:$D$1510=$M$24)*('Match Log'!$A$4:$A$1510&lt;=$J554)),'Match Log'!$N$4:$N$1510),NA()))</f>
        <v>#N/A</v>
      </c>
      <c r="N554" t="e">
        <f>IF($J554&gt;MAX('Match Log'!$A$4:$A$1510),NA(),IFERROR(LOOKUP(2,1/(('Match Log'!$D$4:$D$1510=$N$24)*('Match Log'!$A$4:$A$1510&lt;=$J554)),'Match Log'!$N$4:$N$1510),NA()))</f>
        <v>#N/A</v>
      </c>
      <c r="O554" t="e">
        <f>IF($J554&gt;MAX('Match Log'!$A$4:$A$1510),NA(),IFERROR(LOOKUP(2,1/(('Match Log'!$D$4:$D$1510=$O$24)*('Match Log'!$A$4:$A$1510&lt;=$J554)),'Match Log'!$N$4:$N$1510),NA()))</f>
        <v>#N/A</v>
      </c>
      <c r="P554" t="e">
        <f>IF($J554&gt;MAX('Match Log'!$A$4:$A$1510),NA(),IFERROR(LOOKUP(2,1/(('Match Log'!$D$4:$D$1510=$P$24)*('Match Log'!$A$4:$A$1510&lt;=$J554)),'Match Log'!$N$4:$N$1510),NA()))</f>
        <v>#N/A</v>
      </c>
      <c r="Q554" t="e">
        <f>IF($J554&gt;MAX('Match Log'!$A$4:$A$1510),NA(),IFERROR(LOOKUP(2,1/(('Match Log'!$D$4:$D$1510=$Q$24)*('Match Log'!$A$4:$A$1510&lt;=$J554)),'Match Log'!$N$4:$N$1510),NA()))</f>
        <v>#N/A</v>
      </c>
      <c r="R554" t="e">
        <f>IF($J554&gt;MAX('Match Log'!$A$4:$A$1510),NA(),IFERROR(LOOKUP(2,1/(('Match Log'!$D$4:$D$1510=$R$24)*('Match Log'!$A$4:$A$1510&lt;=$J554)),'Match Log'!$N$4:$N$1510),NA()))</f>
        <v>#N/A</v>
      </c>
      <c r="S554" t="e">
        <f>IF($J554&gt;MAX('Match Log'!$A$4:$A$1510),NA(),IFERROR(LOOKUP(2,1/(('Match Log'!$D$4:$D$1510=$S$24)*('Match Log'!$A$4:$A$1510&lt;=$J554)),'Match Log'!$N$4:$N$1510),NA()))</f>
        <v>#N/A</v>
      </c>
      <c r="T554" t="e">
        <f>IF($J554&gt;MAX('Match Log'!$A$4:$A$1510),NA(),IFERROR(LOOKUP(2,1/(('Match Log'!$D$4:$D$1510=$T$24)*('Match Log'!$A$4:$A$1510&lt;=$J554)),'Match Log'!$N$4:$N$1510),NA()))</f>
        <v>#N/A</v>
      </c>
      <c r="U554" t="e">
        <f>IF($J554&gt;MAX('Match Log'!$A$4:$A$1510),NA(),IFERROR(LOOKUP(2,1/(('Match Log'!$D$4:$D$1510=$U$24)*('Match Log'!$A$4:$A$1510&lt;=$J554)),'Match Log'!$N$4:$N$1510),NA()))</f>
        <v>#N/A</v>
      </c>
      <c r="V554" t="e">
        <f>IF($J554&gt;MAX('Match Log'!$A$4:$A$1510),NA(),IFERROR(LOOKUP(2,1/(('Match Log'!$D$4:$D$1510=$V$24)*('Match Log'!$A$4:$A$1510&lt;=$J554)),'Match Log'!$N$4:$N$1510),NA()))</f>
        <v>#N/A</v>
      </c>
      <c r="W554" t="e">
        <f>IF($J554&gt;MAX('Match Log'!$A$4:$A$1510),NA(),IFERROR(LOOKUP(2,1/(('Match Log'!$D$4:$D$1510=$W$24)*('Match Log'!$A$4:$A$1510&lt;=$J554)),'Match Log'!$N$4:$N$1510),NA()))</f>
        <v>#N/A</v>
      </c>
      <c r="X554" t="e">
        <f>IF($J554&gt;MAX('Match Log'!$A$4:$A$1510),NA(),IFERROR(LOOKUP(2,1/(('Match Log'!$D$4:$D$1510=$X$24)*('Match Log'!$A$4:$A$1510&lt;=$J554)),'Match Log'!$N$4:$N$1510),NA()))</f>
        <v>#N/A</v>
      </c>
      <c r="Y554" t="str">
        <f t="shared" ca="1" si="37"/>
        <v/>
      </c>
    </row>
    <row r="555" spans="1:25" x14ac:dyDescent="0.2">
      <c r="A555">
        <v>531</v>
      </c>
      <c r="B555" t="str">
        <f>IFERROR(INDEX('Match Log'!$B$4:$B$1510,MATCH($A555,'Match Log'!$A$4:$A$1510,0)),"")</f>
        <v/>
      </c>
      <c r="C555" t="str">
        <f>IFERROR(INDEX('Match Log'!$C$4:$C$1510,MATCH($A555,'Match Log'!$A$4:$A$1510,0)),"")</f>
        <v/>
      </c>
      <c r="D555" t="str">
        <f t="array" ref="D555">IFERROR(_xlfn.TEXTJOIN(" + ",TRUE(),IF(('Match Log'!$A$4:$A$1510=$A555)*('Match Log'!$E$4:$E$1510="Win"),'Match Log'!$D$4:$D$1510,"")),IFERROR(LOOKUP(2,1/(('Match Log'!$A$4:$A$1510=$A555)*('Match Log'!$E$4:$E$1510="Win")),'Match Log'!$D$4:$D$1510),""))</f>
        <v/>
      </c>
      <c r="E555" t="str">
        <f>IFERROR(INDEX('Match Log'!$F$4:$F$1510,MATCH($A555,'Match Log'!$A$4:$A$1510,0)),"")</f>
        <v/>
      </c>
      <c r="F555">
        <f>IFERROR(SUMIFS('Match Log'!$I$4:$I$1510,'Match Log'!$A$4:$A$1510,$A555,'Match Log'!$E$4:$E$1510,"Win"),"")</f>
        <v>0</v>
      </c>
      <c r="G555" t="str">
        <f t="shared" si="35"/>
        <v/>
      </c>
      <c r="H555" t="str">
        <f t="array" ref="H555">IFERROR(IF(COUNTIFS('Match Log'!$A$4:$A$1510,$A555,'Match Log'!$E$4:$E$1510,"Win")&gt;1,_xlfn.TEXTJOIN(" + ",TRUE(),IF(('Match Log'!$A$4:$A$1510=$A555)*('Match Log'!$E$4:$E$1510="Loss"),'Match Log'!$D$4:$D$1510,"")),IF($E555=2,LOOKUP(2,1/(('Match Log'!$A$4:$A$1510=$A555)*('Match Log'!$E$4:$E$1510="Loss")),'Match Log'!$D$4:$D$1510),"the field")),"")</f>
        <v>the field</v>
      </c>
      <c r="I555" t="str">
        <f t="shared" si="36"/>
        <v/>
      </c>
      <c r="J555">
        <v>531</v>
      </c>
      <c r="K555" t="e">
        <f>IF($J555&gt;MAX('Match Log'!$A$4:$A$1510),NA(),IFERROR(LOOKUP(2,1/(('Match Log'!$D$4:$D$1510=$K$24)*('Match Log'!$A$4:$A$1510&lt;=$J555)),'Match Log'!$N$4:$N$1510),NA()))</f>
        <v>#N/A</v>
      </c>
      <c r="L555" t="e">
        <f>IF($J555&gt;MAX('Match Log'!$A$4:$A$1510),NA(),IFERROR(LOOKUP(2,1/(('Match Log'!$D$4:$D$1510=$L$24)*('Match Log'!$A$4:$A$1510&lt;=$J555)),'Match Log'!$N$4:$N$1510),NA()))</f>
        <v>#N/A</v>
      </c>
      <c r="M555" t="e">
        <f>IF($J555&gt;MAX('Match Log'!$A$4:$A$1510),NA(),IFERROR(LOOKUP(2,1/(('Match Log'!$D$4:$D$1510=$M$24)*('Match Log'!$A$4:$A$1510&lt;=$J555)),'Match Log'!$N$4:$N$1510),NA()))</f>
        <v>#N/A</v>
      </c>
      <c r="N555" t="e">
        <f>IF($J555&gt;MAX('Match Log'!$A$4:$A$1510),NA(),IFERROR(LOOKUP(2,1/(('Match Log'!$D$4:$D$1510=$N$24)*('Match Log'!$A$4:$A$1510&lt;=$J555)),'Match Log'!$N$4:$N$1510),NA()))</f>
        <v>#N/A</v>
      </c>
      <c r="O555" t="e">
        <f>IF($J555&gt;MAX('Match Log'!$A$4:$A$1510),NA(),IFERROR(LOOKUP(2,1/(('Match Log'!$D$4:$D$1510=$O$24)*('Match Log'!$A$4:$A$1510&lt;=$J555)),'Match Log'!$N$4:$N$1510),NA()))</f>
        <v>#N/A</v>
      </c>
      <c r="P555" t="e">
        <f>IF($J555&gt;MAX('Match Log'!$A$4:$A$1510),NA(),IFERROR(LOOKUP(2,1/(('Match Log'!$D$4:$D$1510=$P$24)*('Match Log'!$A$4:$A$1510&lt;=$J555)),'Match Log'!$N$4:$N$1510),NA()))</f>
        <v>#N/A</v>
      </c>
      <c r="Q555" t="e">
        <f>IF($J555&gt;MAX('Match Log'!$A$4:$A$1510),NA(),IFERROR(LOOKUP(2,1/(('Match Log'!$D$4:$D$1510=$Q$24)*('Match Log'!$A$4:$A$1510&lt;=$J555)),'Match Log'!$N$4:$N$1510),NA()))</f>
        <v>#N/A</v>
      </c>
      <c r="R555" t="e">
        <f>IF($J555&gt;MAX('Match Log'!$A$4:$A$1510),NA(),IFERROR(LOOKUP(2,1/(('Match Log'!$D$4:$D$1510=$R$24)*('Match Log'!$A$4:$A$1510&lt;=$J555)),'Match Log'!$N$4:$N$1510),NA()))</f>
        <v>#N/A</v>
      </c>
      <c r="S555" t="e">
        <f>IF($J555&gt;MAX('Match Log'!$A$4:$A$1510),NA(),IFERROR(LOOKUP(2,1/(('Match Log'!$D$4:$D$1510=$S$24)*('Match Log'!$A$4:$A$1510&lt;=$J555)),'Match Log'!$N$4:$N$1510),NA()))</f>
        <v>#N/A</v>
      </c>
      <c r="T555" t="e">
        <f>IF($J555&gt;MAX('Match Log'!$A$4:$A$1510),NA(),IFERROR(LOOKUP(2,1/(('Match Log'!$D$4:$D$1510=$T$24)*('Match Log'!$A$4:$A$1510&lt;=$J555)),'Match Log'!$N$4:$N$1510),NA()))</f>
        <v>#N/A</v>
      </c>
      <c r="U555" t="e">
        <f>IF($J555&gt;MAX('Match Log'!$A$4:$A$1510),NA(),IFERROR(LOOKUP(2,1/(('Match Log'!$D$4:$D$1510=$U$24)*('Match Log'!$A$4:$A$1510&lt;=$J555)),'Match Log'!$N$4:$N$1510),NA()))</f>
        <v>#N/A</v>
      </c>
      <c r="V555" t="e">
        <f>IF($J555&gt;MAX('Match Log'!$A$4:$A$1510),NA(),IFERROR(LOOKUP(2,1/(('Match Log'!$D$4:$D$1510=$V$24)*('Match Log'!$A$4:$A$1510&lt;=$J555)),'Match Log'!$N$4:$N$1510),NA()))</f>
        <v>#N/A</v>
      </c>
      <c r="W555" t="e">
        <f>IF($J555&gt;MAX('Match Log'!$A$4:$A$1510),NA(),IFERROR(LOOKUP(2,1/(('Match Log'!$D$4:$D$1510=$W$24)*('Match Log'!$A$4:$A$1510&lt;=$J555)),'Match Log'!$N$4:$N$1510),NA()))</f>
        <v>#N/A</v>
      </c>
      <c r="X555" t="e">
        <f>IF($J555&gt;MAX('Match Log'!$A$4:$A$1510),NA(),IFERROR(LOOKUP(2,1/(('Match Log'!$D$4:$D$1510=$X$24)*('Match Log'!$A$4:$A$1510&lt;=$J555)),'Match Log'!$N$4:$N$1510),NA()))</f>
        <v>#N/A</v>
      </c>
      <c r="Y555" t="str">
        <f t="shared" ca="1" si="37"/>
        <v/>
      </c>
    </row>
    <row r="556" spans="1:25" x14ac:dyDescent="0.2">
      <c r="A556">
        <v>532</v>
      </c>
      <c r="B556" t="str">
        <f>IFERROR(INDEX('Match Log'!$B$4:$B$1510,MATCH($A556,'Match Log'!$A$4:$A$1510,0)),"")</f>
        <v/>
      </c>
      <c r="C556" t="str">
        <f>IFERROR(INDEX('Match Log'!$C$4:$C$1510,MATCH($A556,'Match Log'!$A$4:$A$1510,0)),"")</f>
        <v/>
      </c>
      <c r="D556" t="str">
        <f t="array" ref="D556">IFERROR(_xlfn.TEXTJOIN(" + ",TRUE(),IF(('Match Log'!$A$4:$A$1510=$A556)*('Match Log'!$E$4:$E$1510="Win"),'Match Log'!$D$4:$D$1510,"")),IFERROR(LOOKUP(2,1/(('Match Log'!$A$4:$A$1510=$A556)*('Match Log'!$E$4:$E$1510="Win")),'Match Log'!$D$4:$D$1510),""))</f>
        <v/>
      </c>
      <c r="E556" t="str">
        <f>IFERROR(INDEX('Match Log'!$F$4:$F$1510,MATCH($A556,'Match Log'!$A$4:$A$1510,0)),"")</f>
        <v/>
      </c>
      <c r="F556">
        <f>IFERROR(SUMIFS('Match Log'!$I$4:$I$1510,'Match Log'!$A$4:$A$1510,$A556,'Match Log'!$E$4:$E$1510,"Win"),"")</f>
        <v>0</v>
      </c>
      <c r="G556" t="str">
        <f t="shared" si="35"/>
        <v/>
      </c>
      <c r="H556" t="str">
        <f t="array" ref="H556">IFERROR(IF(COUNTIFS('Match Log'!$A$4:$A$1510,$A556,'Match Log'!$E$4:$E$1510,"Win")&gt;1,_xlfn.TEXTJOIN(" + ",TRUE(),IF(('Match Log'!$A$4:$A$1510=$A556)*('Match Log'!$E$4:$E$1510="Loss"),'Match Log'!$D$4:$D$1510,"")),IF($E556=2,LOOKUP(2,1/(('Match Log'!$A$4:$A$1510=$A556)*('Match Log'!$E$4:$E$1510="Loss")),'Match Log'!$D$4:$D$1510),"the field")),"")</f>
        <v>the field</v>
      </c>
      <c r="I556" t="str">
        <f t="shared" si="36"/>
        <v/>
      </c>
      <c r="J556">
        <v>532</v>
      </c>
      <c r="K556" t="e">
        <f>IF($J556&gt;MAX('Match Log'!$A$4:$A$1510),NA(),IFERROR(LOOKUP(2,1/(('Match Log'!$D$4:$D$1510=$K$24)*('Match Log'!$A$4:$A$1510&lt;=$J556)),'Match Log'!$N$4:$N$1510),NA()))</f>
        <v>#N/A</v>
      </c>
      <c r="L556" t="e">
        <f>IF($J556&gt;MAX('Match Log'!$A$4:$A$1510),NA(),IFERROR(LOOKUP(2,1/(('Match Log'!$D$4:$D$1510=$L$24)*('Match Log'!$A$4:$A$1510&lt;=$J556)),'Match Log'!$N$4:$N$1510),NA()))</f>
        <v>#N/A</v>
      </c>
      <c r="M556" t="e">
        <f>IF($J556&gt;MAX('Match Log'!$A$4:$A$1510),NA(),IFERROR(LOOKUP(2,1/(('Match Log'!$D$4:$D$1510=$M$24)*('Match Log'!$A$4:$A$1510&lt;=$J556)),'Match Log'!$N$4:$N$1510),NA()))</f>
        <v>#N/A</v>
      </c>
      <c r="N556" t="e">
        <f>IF($J556&gt;MAX('Match Log'!$A$4:$A$1510),NA(),IFERROR(LOOKUP(2,1/(('Match Log'!$D$4:$D$1510=$N$24)*('Match Log'!$A$4:$A$1510&lt;=$J556)),'Match Log'!$N$4:$N$1510),NA()))</f>
        <v>#N/A</v>
      </c>
      <c r="O556" t="e">
        <f>IF($J556&gt;MAX('Match Log'!$A$4:$A$1510),NA(),IFERROR(LOOKUP(2,1/(('Match Log'!$D$4:$D$1510=$O$24)*('Match Log'!$A$4:$A$1510&lt;=$J556)),'Match Log'!$N$4:$N$1510),NA()))</f>
        <v>#N/A</v>
      </c>
      <c r="P556" t="e">
        <f>IF($J556&gt;MAX('Match Log'!$A$4:$A$1510),NA(),IFERROR(LOOKUP(2,1/(('Match Log'!$D$4:$D$1510=$P$24)*('Match Log'!$A$4:$A$1510&lt;=$J556)),'Match Log'!$N$4:$N$1510),NA()))</f>
        <v>#N/A</v>
      </c>
      <c r="Q556" t="e">
        <f>IF($J556&gt;MAX('Match Log'!$A$4:$A$1510),NA(),IFERROR(LOOKUP(2,1/(('Match Log'!$D$4:$D$1510=$Q$24)*('Match Log'!$A$4:$A$1510&lt;=$J556)),'Match Log'!$N$4:$N$1510),NA()))</f>
        <v>#N/A</v>
      </c>
      <c r="R556" t="e">
        <f>IF($J556&gt;MAX('Match Log'!$A$4:$A$1510),NA(),IFERROR(LOOKUP(2,1/(('Match Log'!$D$4:$D$1510=$R$24)*('Match Log'!$A$4:$A$1510&lt;=$J556)),'Match Log'!$N$4:$N$1510),NA()))</f>
        <v>#N/A</v>
      </c>
      <c r="S556" t="e">
        <f>IF($J556&gt;MAX('Match Log'!$A$4:$A$1510),NA(),IFERROR(LOOKUP(2,1/(('Match Log'!$D$4:$D$1510=$S$24)*('Match Log'!$A$4:$A$1510&lt;=$J556)),'Match Log'!$N$4:$N$1510),NA()))</f>
        <v>#N/A</v>
      </c>
      <c r="T556" t="e">
        <f>IF($J556&gt;MAX('Match Log'!$A$4:$A$1510),NA(),IFERROR(LOOKUP(2,1/(('Match Log'!$D$4:$D$1510=$T$24)*('Match Log'!$A$4:$A$1510&lt;=$J556)),'Match Log'!$N$4:$N$1510),NA()))</f>
        <v>#N/A</v>
      </c>
      <c r="U556" t="e">
        <f>IF($J556&gt;MAX('Match Log'!$A$4:$A$1510),NA(),IFERROR(LOOKUP(2,1/(('Match Log'!$D$4:$D$1510=$U$24)*('Match Log'!$A$4:$A$1510&lt;=$J556)),'Match Log'!$N$4:$N$1510),NA()))</f>
        <v>#N/A</v>
      </c>
      <c r="V556" t="e">
        <f>IF($J556&gt;MAX('Match Log'!$A$4:$A$1510),NA(),IFERROR(LOOKUP(2,1/(('Match Log'!$D$4:$D$1510=$V$24)*('Match Log'!$A$4:$A$1510&lt;=$J556)),'Match Log'!$N$4:$N$1510),NA()))</f>
        <v>#N/A</v>
      </c>
      <c r="W556" t="e">
        <f>IF($J556&gt;MAX('Match Log'!$A$4:$A$1510),NA(),IFERROR(LOOKUP(2,1/(('Match Log'!$D$4:$D$1510=$W$24)*('Match Log'!$A$4:$A$1510&lt;=$J556)),'Match Log'!$N$4:$N$1510),NA()))</f>
        <v>#N/A</v>
      </c>
      <c r="X556" t="e">
        <f>IF($J556&gt;MAX('Match Log'!$A$4:$A$1510),NA(),IFERROR(LOOKUP(2,1/(('Match Log'!$D$4:$D$1510=$X$24)*('Match Log'!$A$4:$A$1510&lt;=$J556)),'Match Log'!$N$4:$N$1510),NA()))</f>
        <v>#N/A</v>
      </c>
      <c r="Y556" t="str">
        <f t="shared" ca="1" si="37"/>
        <v/>
      </c>
    </row>
    <row r="557" spans="1:25" x14ac:dyDescent="0.2">
      <c r="A557">
        <v>533</v>
      </c>
      <c r="B557" t="str">
        <f>IFERROR(INDEX('Match Log'!$B$4:$B$1510,MATCH($A557,'Match Log'!$A$4:$A$1510,0)),"")</f>
        <v/>
      </c>
      <c r="C557" t="str">
        <f>IFERROR(INDEX('Match Log'!$C$4:$C$1510,MATCH($A557,'Match Log'!$A$4:$A$1510,0)),"")</f>
        <v/>
      </c>
      <c r="D557" t="str">
        <f t="array" ref="D557">IFERROR(_xlfn.TEXTJOIN(" + ",TRUE(),IF(('Match Log'!$A$4:$A$1510=$A557)*('Match Log'!$E$4:$E$1510="Win"),'Match Log'!$D$4:$D$1510,"")),IFERROR(LOOKUP(2,1/(('Match Log'!$A$4:$A$1510=$A557)*('Match Log'!$E$4:$E$1510="Win")),'Match Log'!$D$4:$D$1510),""))</f>
        <v/>
      </c>
      <c r="E557" t="str">
        <f>IFERROR(INDEX('Match Log'!$F$4:$F$1510,MATCH($A557,'Match Log'!$A$4:$A$1510,0)),"")</f>
        <v/>
      </c>
      <c r="F557">
        <f>IFERROR(SUMIFS('Match Log'!$I$4:$I$1510,'Match Log'!$A$4:$A$1510,$A557,'Match Log'!$E$4:$E$1510,"Win"),"")</f>
        <v>0</v>
      </c>
      <c r="G557" t="str">
        <f t="shared" si="35"/>
        <v/>
      </c>
      <c r="H557" t="str">
        <f t="array" ref="H557">IFERROR(IF(COUNTIFS('Match Log'!$A$4:$A$1510,$A557,'Match Log'!$E$4:$E$1510,"Win")&gt;1,_xlfn.TEXTJOIN(" + ",TRUE(),IF(('Match Log'!$A$4:$A$1510=$A557)*('Match Log'!$E$4:$E$1510="Loss"),'Match Log'!$D$4:$D$1510,"")),IF($E557=2,LOOKUP(2,1/(('Match Log'!$A$4:$A$1510=$A557)*('Match Log'!$E$4:$E$1510="Loss")),'Match Log'!$D$4:$D$1510),"the field")),"")</f>
        <v>the field</v>
      </c>
      <c r="I557" t="str">
        <f t="shared" si="36"/>
        <v/>
      </c>
      <c r="J557">
        <v>533</v>
      </c>
      <c r="K557" t="e">
        <f>IF($J557&gt;MAX('Match Log'!$A$4:$A$1510),NA(),IFERROR(LOOKUP(2,1/(('Match Log'!$D$4:$D$1510=$K$24)*('Match Log'!$A$4:$A$1510&lt;=$J557)),'Match Log'!$N$4:$N$1510),NA()))</f>
        <v>#N/A</v>
      </c>
      <c r="L557" t="e">
        <f>IF($J557&gt;MAX('Match Log'!$A$4:$A$1510),NA(),IFERROR(LOOKUP(2,1/(('Match Log'!$D$4:$D$1510=$L$24)*('Match Log'!$A$4:$A$1510&lt;=$J557)),'Match Log'!$N$4:$N$1510),NA()))</f>
        <v>#N/A</v>
      </c>
      <c r="M557" t="e">
        <f>IF($J557&gt;MAX('Match Log'!$A$4:$A$1510),NA(),IFERROR(LOOKUP(2,1/(('Match Log'!$D$4:$D$1510=$M$24)*('Match Log'!$A$4:$A$1510&lt;=$J557)),'Match Log'!$N$4:$N$1510),NA()))</f>
        <v>#N/A</v>
      </c>
      <c r="N557" t="e">
        <f>IF($J557&gt;MAX('Match Log'!$A$4:$A$1510),NA(),IFERROR(LOOKUP(2,1/(('Match Log'!$D$4:$D$1510=$N$24)*('Match Log'!$A$4:$A$1510&lt;=$J557)),'Match Log'!$N$4:$N$1510),NA()))</f>
        <v>#N/A</v>
      </c>
      <c r="O557" t="e">
        <f>IF($J557&gt;MAX('Match Log'!$A$4:$A$1510),NA(),IFERROR(LOOKUP(2,1/(('Match Log'!$D$4:$D$1510=$O$24)*('Match Log'!$A$4:$A$1510&lt;=$J557)),'Match Log'!$N$4:$N$1510),NA()))</f>
        <v>#N/A</v>
      </c>
      <c r="P557" t="e">
        <f>IF($J557&gt;MAX('Match Log'!$A$4:$A$1510),NA(),IFERROR(LOOKUP(2,1/(('Match Log'!$D$4:$D$1510=$P$24)*('Match Log'!$A$4:$A$1510&lt;=$J557)),'Match Log'!$N$4:$N$1510),NA()))</f>
        <v>#N/A</v>
      </c>
      <c r="Q557" t="e">
        <f>IF($J557&gt;MAX('Match Log'!$A$4:$A$1510),NA(),IFERROR(LOOKUP(2,1/(('Match Log'!$D$4:$D$1510=$Q$24)*('Match Log'!$A$4:$A$1510&lt;=$J557)),'Match Log'!$N$4:$N$1510),NA()))</f>
        <v>#N/A</v>
      </c>
      <c r="R557" t="e">
        <f>IF($J557&gt;MAX('Match Log'!$A$4:$A$1510),NA(),IFERROR(LOOKUP(2,1/(('Match Log'!$D$4:$D$1510=$R$24)*('Match Log'!$A$4:$A$1510&lt;=$J557)),'Match Log'!$N$4:$N$1510),NA()))</f>
        <v>#N/A</v>
      </c>
      <c r="S557" t="e">
        <f>IF($J557&gt;MAX('Match Log'!$A$4:$A$1510),NA(),IFERROR(LOOKUP(2,1/(('Match Log'!$D$4:$D$1510=$S$24)*('Match Log'!$A$4:$A$1510&lt;=$J557)),'Match Log'!$N$4:$N$1510),NA()))</f>
        <v>#N/A</v>
      </c>
      <c r="T557" t="e">
        <f>IF($J557&gt;MAX('Match Log'!$A$4:$A$1510),NA(),IFERROR(LOOKUP(2,1/(('Match Log'!$D$4:$D$1510=$T$24)*('Match Log'!$A$4:$A$1510&lt;=$J557)),'Match Log'!$N$4:$N$1510),NA()))</f>
        <v>#N/A</v>
      </c>
      <c r="U557" t="e">
        <f>IF($J557&gt;MAX('Match Log'!$A$4:$A$1510),NA(),IFERROR(LOOKUP(2,1/(('Match Log'!$D$4:$D$1510=$U$24)*('Match Log'!$A$4:$A$1510&lt;=$J557)),'Match Log'!$N$4:$N$1510),NA()))</f>
        <v>#N/A</v>
      </c>
      <c r="V557" t="e">
        <f>IF($J557&gt;MAX('Match Log'!$A$4:$A$1510),NA(),IFERROR(LOOKUP(2,1/(('Match Log'!$D$4:$D$1510=$V$24)*('Match Log'!$A$4:$A$1510&lt;=$J557)),'Match Log'!$N$4:$N$1510),NA()))</f>
        <v>#N/A</v>
      </c>
      <c r="W557" t="e">
        <f>IF($J557&gt;MAX('Match Log'!$A$4:$A$1510),NA(),IFERROR(LOOKUP(2,1/(('Match Log'!$D$4:$D$1510=$W$24)*('Match Log'!$A$4:$A$1510&lt;=$J557)),'Match Log'!$N$4:$N$1510),NA()))</f>
        <v>#N/A</v>
      </c>
      <c r="X557" t="e">
        <f>IF($J557&gt;MAX('Match Log'!$A$4:$A$1510),NA(),IFERROR(LOOKUP(2,1/(('Match Log'!$D$4:$D$1510=$X$24)*('Match Log'!$A$4:$A$1510&lt;=$J557)),'Match Log'!$N$4:$N$1510),NA()))</f>
        <v>#N/A</v>
      </c>
      <c r="Y557" t="str">
        <f t="shared" ca="1" si="37"/>
        <v/>
      </c>
    </row>
    <row r="558" spans="1:25" x14ac:dyDescent="0.2">
      <c r="A558">
        <v>534</v>
      </c>
      <c r="B558" t="str">
        <f>IFERROR(INDEX('Match Log'!$B$4:$B$1510,MATCH($A558,'Match Log'!$A$4:$A$1510,0)),"")</f>
        <v/>
      </c>
      <c r="C558" t="str">
        <f>IFERROR(INDEX('Match Log'!$C$4:$C$1510,MATCH($A558,'Match Log'!$A$4:$A$1510,0)),"")</f>
        <v/>
      </c>
      <c r="D558" t="str">
        <f t="array" ref="D558">IFERROR(_xlfn.TEXTJOIN(" + ",TRUE(),IF(('Match Log'!$A$4:$A$1510=$A558)*('Match Log'!$E$4:$E$1510="Win"),'Match Log'!$D$4:$D$1510,"")),IFERROR(LOOKUP(2,1/(('Match Log'!$A$4:$A$1510=$A558)*('Match Log'!$E$4:$E$1510="Win")),'Match Log'!$D$4:$D$1510),""))</f>
        <v/>
      </c>
      <c r="E558" t="str">
        <f>IFERROR(INDEX('Match Log'!$F$4:$F$1510,MATCH($A558,'Match Log'!$A$4:$A$1510,0)),"")</f>
        <v/>
      </c>
      <c r="F558">
        <f>IFERROR(SUMIFS('Match Log'!$I$4:$I$1510,'Match Log'!$A$4:$A$1510,$A558,'Match Log'!$E$4:$E$1510,"Win"),"")</f>
        <v>0</v>
      </c>
      <c r="G558" t="str">
        <f t="shared" si="35"/>
        <v/>
      </c>
      <c r="H558" t="str">
        <f t="array" ref="H558">IFERROR(IF(COUNTIFS('Match Log'!$A$4:$A$1510,$A558,'Match Log'!$E$4:$E$1510,"Win")&gt;1,_xlfn.TEXTJOIN(" + ",TRUE(),IF(('Match Log'!$A$4:$A$1510=$A558)*('Match Log'!$E$4:$E$1510="Loss"),'Match Log'!$D$4:$D$1510,"")),IF($E558=2,LOOKUP(2,1/(('Match Log'!$A$4:$A$1510=$A558)*('Match Log'!$E$4:$E$1510="Loss")),'Match Log'!$D$4:$D$1510),"the field")),"")</f>
        <v>the field</v>
      </c>
      <c r="I558" t="str">
        <f t="shared" si="36"/>
        <v/>
      </c>
      <c r="J558">
        <v>534</v>
      </c>
      <c r="K558" t="e">
        <f>IF($J558&gt;MAX('Match Log'!$A$4:$A$1510),NA(),IFERROR(LOOKUP(2,1/(('Match Log'!$D$4:$D$1510=$K$24)*('Match Log'!$A$4:$A$1510&lt;=$J558)),'Match Log'!$N$4:$N$1510),NA()))</f>
        <v>#N/A</v>
      </c>
      <c r="L558" t="e">
        <f>IF($J558&gt;MAX('Match Log'!$A$4:$A$1510),NA(),IFERROR(LOOKUP(2,1/(('Match Log'!$D$4:$D$1510=$L$24)*('Match Log'!$A$4:$A$1510&lt;=$J558)),'Match Log'!$N$4:$N$1510),NA()))</f>
        <v>#N/A</v>
      </c>
      <c r="M558" t="e">
        <f>IF($J558&gt;MAX('Match Log'!$A$4:$A$1510),NA(),IFERROR(LOOKUP(2,1/(('Match Log'!$D$4:$D$1510=$M$24)*('Match Log'!$A$4:$A$1510&lt;=$J558)),'Match Log'!$N$4:$N$1510),NA()))</f>
        <v>#N/A</v>
      </c>
      <c r="N558" t="e">
        <f>IF($J558&gt;MAX('Match Log'!$A$4:$A$1510),NA(),IFERROR(LOOKUP(2,1/(('Match Log'!$D$4:$D$1510=$N$24)*('Match Log'!$A$4:$A$1510&lt;=$J558)),'Match Log'!$N$4:$N$1510),NA()))</f>
        <v>#N/A</v>
      </c>
      <c r="O558" t="e">
        <f>IF($J558&gt;MAX('Match Log'!$A$4:$A$1510),NA(),IFERROR(LOOKUP(2,1/(('Match Log'!$D$4:$D$1510=$O$24)*('Match Log'!$A$4:$A$1510&lt;=$J558)),'Match Log'!$N$4:$N$1510),NA()))</f>
        <v>#N/A</v>
      </c>
      <c r="P558" t="e">
        <f>IF($J558&gt;MAX('Match Log'!$A$4:$A$1510),NA(),IFERROR(LOOKUP(2,1/(('Match Log'!$D$4:$D$1510=$P$24)*('Match Log'!$A$4:$A$1510&lt;=$J558)),'Match Log'!$N$4:$N$1510),NA()))</f>
        <v>#N/A</v>
      </c>
      <c r="Q558" t="e">
        <f>IF($J558&gt;MAX('Match Log'!$A$4:$A$1510),NA(),IFERROR(LOOKUP(2,1/(('Match Log'!$D$4:$D$1510=$Q$24)*('Match Log'!$A$4:$A$1510&lt;=$J558)),'Match Log'!$N$4:$N$1510),NA()))</f>
        <v>#N/A</v>
      </c>
      <c r="R558" t="e">
        <f>IF($J558&gt;MAX('Match Log'!$A$4:$A$1510),NA(),IFERROR(LOOKUP(2,1/(('Match Log'!$D$4:$D$1510=$R$24)*('Match Log'!$A$4:$A$1510&lt;=$J558)),'Match Log'!$N$4:$N$1510),NA()))</f>
        <v>#N/A</v>
      </c>
      <c r="S558" t="e">
        <f>IF($J558&gt;MAX('Match Log'!$A$4:$A$1510),NA(),IFERROR(LOOKUP(2,1/(('Match Log'!$D$4:$D$1510=$S$24)*('Match Log'!$A$4:$A$1510&lt;=$J558)),'Match Log'!$N$4:$N$1510),NA()))</f>
        <v>#N/A</v>
      </c>
      <c r="T558" t="e">
        <f>IF($J558&gt;MAX('Match Log'!$A$4:$A$1510),NA(),IFERROR(LOOKUP(2,1/(('Match Log'!$D$4:$D$1510=$T$24)*('Match Log'!$A$4:$A$1510&lt;=$J558)),'Match Log'!$N$4:$N$1510),NA()))</f>
        <v>#N/A</v>
      </c>
      <c r="U558" t="e">
        <f>IF($J558&gt;MAX('Match Log'!$A$4:$A$1510),NA(),IFERROR(LOOKUP(2,1/(('Match Log'!$D$4:$D$1510=$U$24)*('Match Log'!$A$4:$A$1510&lt;=$J558)),'Match Log'!$N$4:$N$1510),NA()))</f>
        <v>#N/A</v>
      </c>
      <c r="V558" t="e">
        <f>IF($J558&gt;MAX('Match Log'!$A$4:$A$1510),NA(),IFERROR(LOOKUP(2,1/(('Match Log'!$D$4:$D$1510=$V$24)*('Match Log'!$A$4:$A$1510&lt;=$J558)),'Match Log'!$N$4:$N$1510),NA()))</f>
        <v>#N/A</v>
      </c>
      <c r="W558" t="e">
        <f>IF($J558&gt;MAX('Match Log'!$A$4:$A$1510),NA(),IFERROR(LOOKUP(2,1/(('Match Log'!$D$4:$D$1510=$W$24)*('Match Log'!$A$4:$A$1510&lt;=$J558)),'Match Log'!$N$4:$N$1510),NA()))</f>
        <v>#N/A</v>
      </c>
      <c r="X558" t="e">
        <f>IF($J558&gt;MAX('Match Log'!$A$4:$A$1510),NA(),IFERROR(LOOKUP(2,1/(('Match Log'!$D$4:$D$1510=$X$24)*('Match Log'!$A$4:$A$1510&lt;=$J558)),'Match Log'!$N$4:$N$1510),NA()))</f>
        <v>#N/A</v>
      </c>
      <c r="Y558" t="str">
        <f t="shared" ca="1" si="37"/>
        <v/>
      </c>
    </row>
    <row r="559" spans="1:25" x14ac:dyDescent="0.2">
      <c r="A559">
        <v>535</v>
      </c>
      <c r="B559" t="str">
        <f>IFERROR(INDEX('Match Log'!$B$4:$B$1510,MATCH($A559,'Match Log'!$A$4:$A$1510,0)),"")</f>
        <v/>
      </c>
      <c r="C559" t="str">
        <f>IFERROR(INDEX('Match Log'!$C$4:$C$1510,MATCH($A559,'Match Log'!$A$4:$A$1510,0)),"")</f>
        <v/>
      </c>
      <c r="D559" t="str">
        <f t="array" ref="D559">IFERROR(_xlfn.TEXTJOIN(" + ",TRUE(),IF(('Match Log'!$A$4:$A$1510=$A559)*('Match Log'!$E$4:$E$1510="Win"),'Match Log'!$D$4:$D$1510,"")),IFERROR(LOOKUP(2,1/(('Match Log'!$A$4:$A$1510=$A559)*('Match Log'!$E$4:$E$1510="Win")),'Match Log'!$D$4:$D$1510),""))</f>
        <v/>
      </c>
      <c r="E559" t="str">
        <f>IFERROR(INDEX('Match Log'!$F$4:$F$1510,MATCH($A559,'Match Log'!$A$4:$A$1510,0)),"")</f>
        <v/>
      </c>
      <c r="F559">
        <f>IFERROR(SUMIFS('Match Log'!$I$4:$I$1510,'Match Log'!$A$4:$A$1510,$A559,'Match Log'!$E$4:$E$1510,"Win"),"")</f>
        <v>0</v>
      </c>
      <c r="G559" t="str">
        <f t="shared" si="35"/>
        <v/>
      </c>
      <c r="H559" t="str">
        <f t="array" ref="H559">IFERROR(IF(COUNTIFS('Match Log'!$A$4:$A$1510,$A559,'Match Log'!$E$4:$E$1510,"Win")&gt;1,_xlfn.TEXTJOIN(" + ",TRUE(),IF(('Match Log'!$A$4:$A$1510=$A559)*('Match Log'!$E$4:$E$1510="Loss"),'Match Log'!$D$4:$D$1510,"")),IF($E559=2,LOOKUP(2,1/(('Match Log'!$A$4:$A$1510=$A559)*('Match Log'!$E$4:$E$1510="Loss")),'Match Log'!$D$4:$D$1510),"the field")),"")</f>
        <v>the field</v>
      </c>
      <c r="I559" t="str">
        <f t="shared" si="36"/>
        <v/>
      </c>
      <c r="J559">
        <v>535</v>
      </c>
      <c r="K559" t="e">
        <f>IF($J559&gt;MAX('Match Log'!$A$4:$A$1510),NA(),IFERROR(LOOKUP(2,1/(('Match Log'!$D$4:$D$1510=$K$24)*('Match Log'!$A$4:$A$1510&lt;=$J559)),'Match Log'!$N$4:$N$1510),NA()))</f>
        <v>#N/A</v>
      </c>
      <c r="L559" t="e">
        <f>IF($J559&gt;MAX('Match Log'!$A$4:$A$1510),NA(),IFERROR(LOOKUP(2,1/(('Match Log'!$D$4:$D$1510=$L$24)*('Match Log'!$A$4:$A$1510&lt;=$J559)),'Match Log'!$N$4:$N$1510),NA()))</f>
        <v>#N/A</v>
      </c>
      <c r="M559" t="e">
        <f>IF($J559&gt;MAX('Match Log'!$A$4:$A$1510),NA(),IFERROR(LOOKUP(2,1/(('Match Log'!$D$4:$D$1510=$M$24)*('Match Log'!$A$4:$A$1510&lt;=$J559)),'Match Log'!$N$4:$N$1510),NA()))</f>
        <v>#N/A</v>
      </c>
      <c r="N559" t="e">
        <f>IF($J559&gt;MAX('Match Log'!$A$4:$A$1510),NA(),IFERROR(LOOKUP(2,1/(('Match Log'!$D$4:$D$1510=$N$24)*('Match Log'!$A$4:$A$1510&lt;=$J559)),'Match Log'!$N$4:$N$1510),NA()))</f>
        <v>#N/A</v>
      </c>
      <c r="O559" t="e">
        <f>IF($J559&gt;MAX('Match Log'!$A$4:$A$1510),NA(),IFERROR(LOOKUP(2,1/(('Match Log'!$D$4:$D$1510=$O$24)*('Match Log'!$A$4:$A$1510&lt;=$J559)),'Match Log'!$N$4:$N$1510),NA()))</f>
        <v>#N/A</v>
      </c>
      <c r="P559" t="e">
        <f>IF($J559&gt;MAX('Match Log'!$A$4:$A$1510),NA(),IFERROR(LOOKUP(2,1/(('Match Log'!$D$4:$D$1510=$P$24)*('Match Log'!$A$4:$A$1510&lt;=$J559)),'Match Log'!$N$4:$N$1510),NA()))</f>
        <v>#N/A</v>
      </c>
      <c r="Q559" t="e">
        <f>IF($J559&gt;MAX('Match Log'!$A$4:$A$1510),NA(),IFERROR(LOOKUP(2,1/(('Match Log'!$D$4:$D$1510=$Q$24)*('Match Log'!$A$4:$A$1510&lt;=$J559)),'Match Log'!$N$4:$N$1510),NA()))</f>
        <v>#N/A</v>
      </c>
      <c r="R559" t="e">
        <f>IF($J559&gt;MAX('Match Log'!$A$4:$A$1510),NA(),IFERROR(LOOKUP(2,1/(('Match Log'!$D$4:$D$1510=$R$24)*('Match Log'!$A$4:$A$1510&lt;=$J559)),'Match Log'!$N$4:$N$1510),NA()))</f>
        <v>#N/A</v>
      </c>
      <c r="S559" t="e">
        <f>IF($J559&gt;MAX('Match Log'!$A$4:$A$1510),NA(),IFERROR(LOOKUP(2,1/(('Match Log'!$D$4:$D$1510=$S$24)*('Match Log'!$A$4:$A$1510&lt;=$J559)),'Match Log'!$N$4:$N$1510),NA()))</f>
        <v>#N/A</v>
      </c>
      <c r="T559" t="e">
        <f>IF($J559&gt;MAX('Match Log'!$A$4:$A$1510),NA(),IFERROR(LOOKUP(2,1/(('Match Log'!$D$4:$D$1510=$T$24)*('Match Log'!$A$4:$A$1510&lt;=$J559)),'Match Log'!$N$4:$N$1510),NA()))</f>
        <v>#N/A</v>
      </c>
      <c r="U559" t="e">
        <f>IF($J559&gt;MAX('Match Log'!$A$4:$A$1510),NA(),IFERROR(LOOKUP(2,1/(('Match Log'!$D$4:$D$1510=$U$24)*('Match Log'!$A$4:$A$1510&lt;=$J559)),'Match Log'!$N$4:$N$1510),NA()))</f>
        <v>#N/A</v>
      </c>
      <c r="V559" t="e">
        <f>IF($J559&gt;MAX('Match Log'!$A$4:$A$1510),NA(),IFERROR(LOOKUP(2,1/(('Match Log'!$D$4:$D$1510=$V$24)*('Match Log'!$A$4:$A$1510&lt;=$J559)),'Match Log'!$N$4:$N$1510),NA()))</f>
        <v>#N/A</v>
      </c>
      <c r="W559" t="e">
        <f>IF($J559&gt;MAX('Match Log'!$A$4:$A$1510),NA(),IFERROR(LOOKUP(2,1/(('Match Log'!$D$4:$D$1510=$W$24)*('Match Log'!$A$4:$A$1510&lt;=$J559)),'Match Log'!$N$4:$N$1510),NA()))</f>
        <v>#N/A</v>
      </c>
      <c r="X559" t="e">
        <f>IF($J559&gt;MAX('Match Log'!$A$4:$A$1510),NA(),IFERROR(LOOKUP(2,1/(('Match Log'!$D$4:$D$1510=$X$24)*('Match Log'!$A$4:$A$1510&lt;=$J559)),'Match Log'!$N$4:$N$1510),NA()))</f>
        <v>#N/A</v>
      </c>
      <c r="Y559" t="str">
        <f t="shared" ca="1" si="37"/>
        <v/>
      </c>
    </row>
    <row r="560" spans="1:25" x14ac:dyDescent="0.2">
      <c r="A560">
        <v>536</v>
      </c>
      <c r="B560" t="str">
        <f>IFERROR(INDEX('Match Log'!$B$4:$B$1510,MATCH($A560,'Match Log'!$A$4:$A$1510,0)),"")</f>
        <v/>
      </c>
      <c r="C560" t="str">
        <f>IFERROR(INDEX('Match Log'!$C$4:$C$1510,MATCH($A560,'Match Log'!$A$4:$A$1510,0)),"")</f>
        <v/>
      </c>
      <c r="D560" t="str">
        <f t="array" ref="D560">IFERROR(_xlfn.TEXTJOIN(" + ",TRUE(),IF(('Match Log'!$A$4:$A$1510=$A560)*('Match Log'!$E$4:$E$1510="Win"),'Match Log'!$D$4:$D$1510,"")),IFERROR(LOOKUP(2,1/(('Match Log'!$A$4:$A$1510=$A560)*('Match Log'!$E$4:$E$1510="Win")),'Match Log'!$D$4:$D$1510),""))</f>
        <v/>
      </c>
      <c r="E560" t="str">
        <f>IFERROR(INDEX('Match Log'!$F$4:$F$1510,MATCH($A560,'Match Log'!$A$4:$A$1510,0)),"")</f>
        <v/>
      </c>
      <c r="F560">
        <f>IFERROR(SUMIFS('Match Log'!$I$4:$I$1510,'Match Log'!$A$4:$A$1510,$A560,'Match Log'!$E$4:$E$1510,"Win"),"")</f>
        <v>0</v>
      </c>
      <c r="G560" t="str">
        <f t="shared" si="35"/>
        <v/>
      </c>
      <c r="H560" t="str">
        <f t="array" ref="H560">IFERROR(IF(COUNTIFS('Match Log'!$A$4:$A$1510,$A560,'Match Log'!$E$4:$E$1510,"Win")&gt;1,_xlfn.TEXTJOIN(" + ",TRUE(),IF(('Match Log'!$A$4:$A$1510=$A560)*('Match Log'!$E$4:$E$1510="Loss"),'Match Log'!$D$4:$D$1510,"")),IF($E560=2,LOOKUP(2,1/(('Match Log'!$A$4:$A$1510=$A560)*('Match Log'!$E$4:$E$1510="Loss")),'Match Log'!$D$4:$D$1510),"the field")),"")</f>
        <v>the field</v>
      </c>
      <c r="I560" t="str">
        <f t="shared" si="36"/>
        <v/>
      </c>
      <c r="J560">
        <v>536</v>
      </c>
      <c r="K560" t="e">
        <f>IF($J560&gt;MAX('Match Log'!$A$4:$A$1510),NA(),IFERROR(LOOKUP(2,1/(('Match Log'!$D$4:$D$1510=$K$24)*('Match Log'!$A$4:$A$1510&lt;=$J560)),'Match Log'!$N$4:$N$1510),NA()))</f>
        <v>#N/A</v>
      </c>
      <c r="L560" t="e">
        <f>IF($J560&gt;MAX('Match Log'!$A$4:$A$1510),NA(),IFERROR(LOOKUP(2,1/(('Match Log'!$D$4:$D$1510=$L$24)*('Match Log'!$A$4:$A$1510&lt;=$J560)),'Match Log'!$N$4:$N$1510),NA()))</f>
        <v>#N/A</v>
      </c>
      <c r="M560" t="e">
        <f>IF($J560&gt;MAX('Match Log'!$A$4:$A$1510),NA(),IFERROR(LOOKUP(2,1/(('Match Log'!$D$4:$D$1510=$M$24)*('Match Log'!$A$4:$A$1510&lt;=$J560)),'Match Log'!$N$4:$N$1510),NA()))</f>
        <v>#N/A</v>
      </c>
      <c r="N560" t="e">
        <f>IF($J560&gt;MAX('Match Log'!$A$4:$A$1510),NA(),IFERROR(LOOKUP(2,1/(('Match Log'!$D$4:$D$1510=$N$24)*('Match Log'!$A$4:$A$1510&lt;=$J560)),'Match Log'!$N$4:$N$1510),NA()))</f>
        <v>#N/A</v>
      </c>
      <c r="O560" t="e">
        <f>IF($J560&gt;MAX('Match Log'!$A$4:$A$1510),NA(),IFERROR(LOOKUP(2,1/(('Match Log'!$D$4:$D$1510=$O$24)*('Match Log'!$A$4:$A$1510&lt;=$J560)),'Match Log'!$N$4:$N$1510),NA()))</f>
        <v>#N/A</v>
      </c>
      <c r="P560" t="e">
        <f>IF($J560&gt;MAX('Match Log'!$A$4:$A$1510),NA(),IFERROR(LOOKUP(2,1/(('Match Log'!$D$4:$D$1510=$P$24)*('Match Log'!$A$4:$A$1510&lt;=$J560)),'Match Log'!$N$4:$N$1510),NA()))</f>
        <v>#N/A</v>
      </c>
      <c r="Q560" t="e">
        <f>IF($J560&gt;MAX('Match Log'!$A$4:$A$1510),NA(),IFERROR(LOOKUP(2,1/(('Match Log'!$D$4:$D$1510=$Q$24)*('Match Log'!$A$4:$A$1510&lt;=$J560)),'Match Log'!$N$4:$N$1510),NA()))</f>
        <v>#N/A</v>
      </c>
      <c r="R560" t="e">
        <f>IF($J560&gt;MAX('Match Log'!$A$4:$A$1510),NA(),IFERROR(LOOKUP(2,1/(('Match Log'!$D$4:$D$1510=$R$24)*('Match Log'!$A$4:$A$1510&lt;=$J560)),'Match Log'!$N$4:$N$1510),NA()))</f>
        <v>#N/A</v>
      </c>
      <c r="S560" t="e">
        <f>IF($J560&gt;MAX('Match Log'!$A$4:$A$1510),NA(),IFERROR(LOOKUP(2,1/(('Match Log'!$D$4:$D$1510=$S$24)*('Match Log'!$A$4:$A$1510&lt;=$J560)),'Match Log'!$N$4:$N$1510),NA()))</f>
        <v>#N/A</v>
      </c>
      <c r="T560" t="e">
        <f>IF($J560&gt;MAX('Match Log'!$A$4:$A$1510),NA(),IFERROR(LOOKUP(2,1/(('Match Log'!$D$4:$D$1510=$T$24)*('Match Log'!$A$4:$A$1510&lt;=$J560)),'Match Log'!$N$4:$N$1510),NA()))</f>
        <v>#N/A</v>
      </c>
      <c r="U560" t="e">
        <f>IF($J560&gt;MAX('Match Log'!$A$4:$A$1510),NA(),IFERROR(LOOKUP(2,1/(('Match Log'!$D$4:$D$1510=$U$24)*('Match Log'!$A$4:$A$1510&lt;=$J560)),'Match Log'!$N$4:$N$1510),NA()))</f>
        <v>#N/A</v>
      </c>
      <c r="V560" t="e">
        <f>IF($J560&gt;MAX('Match Log'!$A$4:$A$1510),NA(),IFERROR(LOOKUP(2,1/(('Match Log'!$D$4:$D$1510=$V$24)*('Match Log'!$A$4:$A$1510&lt;=$J560)),'Match Log'!$N$4:$N$1510),NA()))</f>
        <v>#N/A</v>
      </c>
      <c r="W560" t="e">
        <f>IF($J560&gt;MAX('Match Log'!$A$4:$A$1510),NA(),IFERROR(LOOKUP(2,1/(('Match Log'!$D$4:$D$1510=$W$24)*('Match Log'!$A$4:$A$1510&lt;=$J560)),'Match Log'!$N$4:$N$1510),NA()))</f>
        <v>#N/A</v>
      </c>
      <c r="X560" t="e">
        <f>IF($J560&gt;MAX('Match Log'!$A$4:$A$1510),NA(),IFERROR(LOOKUP(2,1/(('Match Log'!$D$4:$D$1510=$X$24)*('Match Log'!$A$4:$A$1510&lt;=$J560)),'Match Log'!$N$4:$N$1510),NA()))</f>
        <v>#N/A</v>
      </c>
      <c r="Y560" t="str">
        <f t="shared" ca="1" si="37"/>
        <v/>
      </c>
    </row>
    <row r="561" spans="1:25" x14ac:dyDescent="0.2">
      <c r="A561">
        <v>537</v>
      </c>
      <c r="B561" t="str">
        <f>IFERROR(INDEX('Match Log'!$B$4:$B$1510,MATCH($A561,'Match Log'!$A$4:$A$1510,0)),"")</f>
        <v/>
      </c>
      <c r="C561" t="str">
        <f>IFERROR(INDEX('Match Log'!$C$4:$C$1510,MATCH($A561,'Match Log'!$A$4:$A$1510,0)),"")</f>
        <v/>
      </c>
      <c r="D561" t="str">
        <f t="array" ref="D561">IFERROR(_xlfn.TEXTJOIN(" + ",TRUE(),IF(('Match Log'!$A$4:$A$1510=$A561)*('Match Log'!$E$4:$E$1510="Win"),'Match Log'!$D$4:$D$1510,"")),IFERROR(LOOKUP(2,1/(('Match Log'!$A$4:$A$1510=$A561)*('Match Log'!$E$4:$E$1510="Win")),'Match Log'!$D$4:$D$1510),""))</f>
        <v/>
      </c>
      <c r="E561" t="str">
        <f>IFERROR(INDEX('Match Log'!$F$4:$F$1510,MATCH($A561,'Match Log'!$A$4:$A$1510,0)),"")</f>
        <v/>
      </c>
      <c r="F561">
        <f>IFERROR(SUMIFS('Match Log'!$I$4:$I$1510,'Match Log'!$A$4:$A$1510,$A561,'Match Log'!$E$4:$E$1510,"Win"),"")</f>
        <v>0</v>
      </c>
      <c r="G561" t="str">
        <f t="shared" si="35"/>
        <v/>
      </c>
      <c r="H561" t="str">
        <f t="array" ref="H561">IFERROR(IF(COUNTIFS('Match Log'!$A$4:$A$1510,$A561,'Match Log'!$E$4:$E$1510,"Win")&gt;1,_xlfn.TEXTJOIN(" + ",TRUE(),IF(('Match Log'!$A$4:$A$1510=$A561)*('Match Log'!$E$4:$E$1510="Loss"),'Match Log'!$D$4:$D$1510,"")),IF($E561=2,LOOKUP(2,1/(('Match Log'!$A$4:$A$1510=$A561)*('Match Log'!$E$4:$E$1510="Loss")),'Match Log'!$D$4:$D$1510),"the field")),"")</f>
        <v>the field</v>
      </c>
      <c r="I561" t="str">
        <f t="shared" si="36"/>
        <v/>
      </c>
      <c r="J561">
        <v>537</v>
      </c>
      <c r="K561" t="e">
        <f>IF($J561&gt;MAX('Match Log'!$A$4:$A$1510),NA(),IFERROR(LOOKUP(2,1/(('Match Log'!$D$4:$D$1510=$K$24)*('Match Log'!$A$4:$A$1510&lt;=$J561)),'Match Log'!$N$4:$N$1510),NA()))</f>
        <v>#N/A</v>
      </c>
      <c r="L561" t="e">
        <f>IF($J561&gt;MAX('Match Log'!$A$4:$A$1510),NA(),IFERROR(LOOKUP(2,1/(('Match Log'!$D$4:$D$1510=$L$24)*('Match Log'!$A$4:$A$1510&lt;=$J561)),'Match Log'!$N$4:$N$1510),NA()))</f>
        <v>#N/A</v>
      </c>
      <c r="M561" t="e">
        <f>IF($J561&gt;MAX('Match Log'!$A$4:$A$1510),NA(),IFERROR(LOOKUP(2,1/(('Match Log'!$D$4:$D$1510=$M$24)*('Match Log'!$A$4:$A$1510&lt;=$J561)),'Match Log'!$N$4:$N$1510),NA()))</f>
        <v>#N/A</v>
      </c>
      <c r="N561" t="e">
        <f>IF($J561&gt;MAX('Match Log'!$A$4:$A$1510),NA(),IFERROR(LOOKUP(2,1/(('Match Log'!$D$4:$D$1510=$N$24)*('Match Log'!$A$4:$A$1510&lt;=$J561)),'Match Log'!$N$4:$N$1510),NA()))</f>
        <v>#N/A</v>
      </c>
      <c r="O561" t="e">
        <f>IF($J561&gt;MAX('Match Log'!$A$4:$A$1510),NA(),IFERROR(LOOKUP(2,1/(('Match Log'!$D$4:$D$1510=$O$24)*('Match Log'!$A$4:$A$1510&lt;=$J561)),'Match Log'!$N$4:$N$1510),NA()))</f>
        <v>#N/A</v>
      </c>
      <c r="P561" t="e">
        <f>IF($J561&gt;MAX('Match Log'!$A$4:$A$1510),NA(),IFERROR(LOOKUP(2,1/(('Match Log'!$D$4:$D$1510=$P$24)*('Match Log'!$A$4:$A$1510&lt;=$J561)),'Match Log'!$N$4:$N$1510),NA()))</f>
        <v>#N/A</v>
      </c>
      <c r="Q561" t="e">
        <f>IF($J561&gt;MAX('Match Log'!$A$4:$A$1510),NA(),IFERROR(LOOKUP(2,1/(('Match Log'!$D$4:$D$1510=$Q$24)*('Match Log'!$A$4:$A$1510&lt;=$J561)),'Match Log'!$N$4:$N$1510),NA()))</f>
        <v>#N/A</v>
      </c>
      <c r="R561" t="e">
        <f>IF($J561&gt;MAX('Match Log'!$A$4:$A$1510),NA(),IFERROR(LOOKUP(2,1/(('Match Log'!$D$4:$D$1510=$R$24)*('Match Log'!$A$4:$A$1510&lt;=$J561)),'Match Log'!$N$4:$N$1510),NA()))</f>
        <v>#N/A</v>
      </c>
      <c r="S561" t="e">
        <f>IF($J561&gt;MAX('Match Log'!$A$4:$A$1510),NA(),IFERROR(LOOKUP(2,1/(('Match Log'!$D$4:$D$1510=$S$24)*('Match Log'!$A$4:$A$1510&lt;=$J561)),'Match Log'!$N$4:$N$1510),NA()))</f>
        <v>#N/A</v>
      </c>
      <c r="T561" t="e">
        <f>IF($J561&gt;MAX('Match Log'!$A$4:$A$1510),NA(),IFERROR(LOOKUP(2,1/(('Match Log'!$D$4:$D$1510=$T$24)*('Match Log'!$A$4:$A$1510&lt;=$J561)),'Match Log'!$N$4:$N$1510),NA()))</f>
        <v>#N/A</v>
      </c>
      <c r="U561" t="e">
        <f>IF($J561&gt;MAX('Match Log'!$A$4:$A$1510),NA(),IFERROR(LOOKUP(2,1/(('Match Log'!$D$4:$D$1510=$U$24)*('Match Log'!$A$4:$A$1510&lt;=$J561)),'Match Log'!$N$4:$N$1510),NA()))</f>
        <v>#N/A</v>
      </c>
      <c r="V561" t="e">
        <f>IF($J561&gt;MAX('Match Log'!$A$4:$A$1510),NA(),IFERROR(LOOKUP(2,1/(('Match Log'!$D$4:$D$1510=$V$24)*('Match Log'!$A$4:$A$1510&lt;=$J561)),'Match Log'!$N$4:$N$1510),NA()))</f>
        <v>#N/A</v>
      </c>
      <c r="W561" t="e">
        <f>IF($J561&gt;MAX('Match Log'!$A$4:$A$1510),NA(),IFERROR(LOOKUP(2,1/(('Match Log'!$D$4:$D$1510=$W$24)*('Match Log'!$A$4:$A$1510&lt;=$J561)),'Match Log'!$N$4:$N$1510),NA()))</f>
        <v>#N/A</v>
      </c>
      <c r="X561" t="e">
        <f>IF($J561&gt;MAX('Match Log'!$A$4:$A$1510),NA(),IFERROR(LOOKUP(2,1/(('Match Log'!$D$4:$D$1510=$X$24)*('Match Log'!$A$4:$A$1510&lt;=$J561)),'Match Log'!$N$4:$N$1510),NA()))</f>
        <v>#N/A</v>
      </c>
      <c r="Y561" t="str">
        <f t="shared" ca="1" si="37"/>
        <v/>
      </c>
    </row>
    <row r="562" spans="1:25" x14ac:dyDescent="0.2">
      <c r="A562">
        <v>538</v>
      </c>
      <c r="B562" t="str">
        <f>IFERROR(INDEX('Match Log'!$B$4:$B$1510,MATCH($A562,'Match Log'!$A$4:$A$1510,0)),"")</f>
        <v/>
      </c>
      <c r="C562" t="str">
        <f>IFERROR(INDEX('Match Log'!$C$4:$C$1510,MATCH($A562,'Match Log'!$A$4:$A$1510,0)),"")</f>
        <v/>
      </c>
      <c r="D562" t="str">
        <f t="array" ref="D562">IFERROR(_xlfn.TEXTJOIN(" + ",TRUE(),IF(('Match Log'!$A$4:$A$1510=$A562)*('Match Log'!$E$4:$E$1510="Win"),'Match Log'!$D$4:$D$1510,"")),IFERROR(LOOKUP(2,1/(('Match Log'!$A$4:$A$1510=$A562)*('Match Log'!$E$4:$E$1510="Win")),'Match Log'!$D$4:$D$1510),""))</f>
        <v/>
      </c>
      <c r="E562" t="str">
        <f>IFERROR(INDEX('Match Log'!$F$4:$F$1510,MATCH($A562,'Match Log'!$A$4:$A$1510,0)),"")</f>
        <v/>
      </c>
      <c r="F562">
        <f>IFERROR(SUMIFS('Match Log'!$I$4:$I$1510,'Match Log'!$A$4:$A$1510,$A562,'Match Log'!$E$4:$E$1510,"Win"),"")</f>
        <v>0</v>
      </c>
      <c r="G562" t="str">
        <f t="shared" si="35"/>
        <v/>
      </c>
      <c r="H562" t="str">
        <f t="array" ref="H562">IFERROR(IF(COUNTIFS('Match Log'!$A$4:$A$1510,$A562,'Match Log'!$E$4:$E$1510,"Win")&gt;1,_xlfn.TEXTJOIN(" + ",TRUE(),IF(('Match Log'!$A$4:$A$1510=$A562)*('Match Log'!$E$4:$E$1510="Loss"),'Match Log'!$D$4:$D$1510,"")),IF($E562=2,LOOKUP(2,1/(('Match Log'!$A$4:$A$1510=$A562)*('Match Log'!$E$4:$E$1510="Loss")),'Match Log'!$D$4:$D$1510),"the field")),"")</f>
        <v>the field</v>
      </c>
      <c r="I562" t="str">
        <f t="shared" si="36"/>
        <v/>
      </c>
      <c r="J562">
        <v>538</v>
      </c>
      <c r="K562" t="e">
        <f>IF($J562&gt;MAX('Match Log'!$A$4:$A$1510),NA(),IFERROR(LOOKUP(2,1/(('Match Log'!$D$4:$D$1510=$K$24)*('Match Log'!$A$4:$A$1510&lt;=$J562)),'Match Log'!$N$4:$N$1510),NA()))</f>
        <v>#N/A</v>
      </c>
      <c r="L562" t="e">
        <f>IF($J562&gt;MAX('Match Log'!$A$4:$A$1510),NA(),IFERROR(LOOKUP(2,1/(('Match Log'!$D$4:$D$1510=$L$24)*('Match Log'!$A$4:$A$1510&lt;=$J562)),'Match Log'!$N$4:$N$1510),NA()))</f>
        <v>#N/A</v>
      </c>
      <c r="M562" t="e">
        <f>IF($J562&gt;MAX('Match Log'!$A$4:$A$1510),NA(),IFERROR(LOOKUP(2,1/(('Match Log'!$D$4:$D$1510=$M$24)*('Match Log'!$A$4:$A$1510&lt;=$J562)),'Match Log'!$N$4:$N$1510),NA()))</f>
        <v>#N/A</v>
      </c>
      <c r="N562" t="e">
        <f>IF($J562&gt;MAX('Match Log'!$A$4:$A$1510),NA(),IFERROR(LOOKUP(2,1/(('Match Log'!$D$4:$D$1510=$N$24)*('Match Log'!$A$4:$A$1510&lt;=$J562)),'Match Log'!$N$4:$N$1510),NA()))</f>
        <v>#N/A</v>
      </c>
      <c r="O562" t="e">
        <f>IF($J562&gt;MAX('Match Log'!$A$4:$A$1510),NA(),IFERROR(LOOKUP(2,1/(('Match Log'!$D$4:$D$1510=$O$24)*('Match Log'!$A$4:$A$1510&lt;=$J562)),'Match Log'!$N$4:$N$1510),NA()))</f>
        <v>#N/A</v>
      </c>
      <c r="P562" t="e">
        <f>IF($J562&gt;MAX('Match Log'!$A$4:$A$1510),NA(),IFERROR(LOOKUP(2,1/(('Match Log'!$D$4:$D$1510=$P$24)*('Match Log'!$A$4:$A$1510&lt;=$J562)),'Match Log'!$N$4:$N$1510),NA()))</f>
        <v>#N/A</v>
      </c>
      <c r="Q562" t="e">
        <f>IF($J562&gt;MAX('Match Log'!$A$4:$A$1510),NA(),IFERROR(LOOKUP(2,1/(('Match Log'!$D$4:$D$1510=$Q$24)*('Match Log'!$A$4:$A$1510&lt;=$J562)),'Match Log'!$N$4:$N$1510),NA()))</f>
        <v>#N/A</v>
      </c>
      <c r="R562" t="e">
        <f>IF($J562&gt;MAX('Match Log'!$A$4:$A$1510),NA(),IFERROR(LOOKUP(2,1/(('Match Log'!$D$4:$D$1510=$R$24)*('Match Log'!$A$4:$A$1510&lt;=$J562)),'Match Log'!$N$4:$N$1510),NA()))</f>
        <v>#N/A</v>
      </c>
      <c r="S562" t="e">
        <f>IF($J562&gt;MAX('Match Log'!$A$4:$A$1510),NA(),IFERROR(LOOKUP(2,1/(('Match Log'!$D$4:$D$1510=$S$24)*('Match Log'!$A$4:$A$1510&lt;=$J562)),'Match Log'!$N$4:$N$1510),NA()))</f>
        <v>#N/A</v>
      </c>
      <c r="T562" t="e">
        <f>IF($J562&gt;MAX('Match Log'!$A$4:$A$1510),NA(),IFERROR(LOOKUP(2,1/(('Match Log'!$D$4:$D$1510=$T$24)*('Match Log'!$A$4:$A$1510&lt;=$J562)),'Match Log'!$N$4:$N$1510),NA()))</f>
        <v>#N/A</v>
      </c>
      <c r="U562" t="e">
        <f>IF($J562&gt;MAX('Match Log'!$A$4:$A$1510),NA(),IFERROR(LOOKUP(2,1/(('Match Log'!$D$4:$D$1510=$U$24)*('Match Log'!$A$4:$A$1510&lt;=$J562)),'Match Log'!$N$4:$N$1510),NA()))</f>
        <v>#N/A</v>
      </c>
      <c r="V562" t="e">
        <f>IF($J562&gt;MAX('Match Log'!$A$4:$A$1510),NA(),IFERROR(LOOKUP(2,1/(('Match Log'!$D$4:$D$1510=$V$24)*('Match Log'!$A$4:$A$1510&lt;=$J562)),'Match Log'!$N$4:$N$1510),NA()))</f>
        <v>#N/A</v>
      </c>
      <c r="W562" t="e">
        <f>IF($J562&gt;MAX('Match Log'!$A$4:$A$1510),NA(),IFERROR(LOOKUP(2,1/(('Match Log'!$D$4:$D$1510=$W$24)*('Match Log'!$A$4:$A$1510&lt;=$J562)),'Match Log'!$N$4:$N$1510),NA()))</f>
        <v>#N/A</v>
      </c>
      <c r="X562" t="e">
        <f>IF($J562&gt;MAX('Match Log'!$A$4:$A$1510),NA(),IFERROR(LOOKUP(2,1/(('Match Log'!$D$4:$D$1510=$X$24)*('Match Log'!$A$4:$A$1510&lt;=$J562)),'Match Log'!$N$4:$N$1510),NA()))</f>
        <v>#N/A</v>
      </c>
      <c r="Y562" t="str">
        <f t="shared" ca="1" si="37"/>
        <v/>
      </c>
    </row>
    <row r="563" spans="1:25" x14ac:dyDescent="0.2">
      <c r="A563">
        <v>539</v>
      </c>
      <c r="B563" t="str">
        <f>IFERROR(INDEX('Match Log'!$B$4:$B$1510,MATCH($A563,'Match Log'!$A$4:$A$1510,0)),"")</f>
        <v/>
      </c>
      <c r="C563" t="str">
        <f>IFERROR(INDEX('Match Log'!$C$4:$C$1510,MATCH($A563,'Match Log'!$A$4:$A$1510,0)),"")</f>
        <v/>
      </c>
      <c r="D563" t="str">
        <f t="array" ref="D563">IFERROR(_xlfn.TEXTJOIN(" + ",TRUE(),IF(('Match Log'!$A$4:$A$1510=$A563)*('Match Log'!$E$4:$E$1510="Win"),'Match Log'!$D$4:$D$1510,"")),IFERROR(LOOKUP(2,1/(('Match Log'!$A$4:$A$1510=$A563)*('Match Log'!$E$4:$E$1510="Win")),'Match Log'!$D$4:$D$1510),""))</f>
        <v/>
      </c>
      <c r="E563" t="str">
        <f>IFERROR(INDEX('Match Log'!$F$4:$F$1510,MATCH($A563,'Match Log'!$A$4:$A$1510,0)),"")</f>
        <v/>
      </c>
      <c r="F563">
        <f>IFERROR(SUMIFS('Match Log'!$I$4:$I$1510,'Match Log'!$A$4:$A$1510,$A563,'Match Log'!$E$4:$E$1510,"Win"),"")</f>
        <v>0</v>
      </c>
      <c r="G563" t="str">
        <f t="shared" si="35"/>
        <v/>
      </c>
      <c r="H563" t="str">
        <f t="array" ref="H563">IFERROR(IF(COUNTIFS('Match Log'!$A$4:$A$1510,$A563,'Match Log'!$E$4:$E$1510,"Win")&gt;1,_xlfn.TEXTJOIN(" + ",TRUE(),IF(('Match Log'!$A$4:$A$1510=$A563)*('Match Log'!$E$4:$E$1510="Loss"),'Match Log'!$D$4:$D$1510,"")),IF($E563=2,LOOKUP(2,1/(('Match Log'!$A$4:$A$1510=$A563)*('Match Log'!$E$4:$E$1510="Loss")),'Match Log'!$D$4:$D$1510),"the field")),"")</f>
        <v>the field</v>
      </c>
      <c r="I563" t="str">
        <f t="shared" si="36"/>
        <v/>
      </c>
      <c r="J563">
        <v>539</v>
      </c>
      <c r="K563" t="e">
        <f>IF($J563&gt;MAX('Match Log'!$A$4:$A$1510),NA(),IFERROR(LOOKUP(2,1/(('Match Log'!$D$4:$D$1510=$K$24)*('Match Log'!$A$4:$A$1510&lt;=$J563)),'Match Log'!$N$4:$N$1510),NA()))</f>
        <v>#N/A</v>
      </c>
      <c r="L563" t="e">
        <f>IF($J563&gt;MAX('Match Log'!$A$4:$A$1510),NA(),IFERROR(LOOKUP(2,1/(('Match Log'!$D$4:$D$1510=$L$24)*('Match Log'!$A$4:$A$1510&lt;=$J563)),'Match Log'!$N$4:$N$1510),NA()))</f>
        <v>#N/A</v>
      </c>
      <c r="M563" t="e">
        <f>IF($J563&gt;MAX('Match Log'!$A$4:$A$1510),NA(),IFERROR(LOOKUP(2,1/(('Match Log'!$D$4:$D$1510=$M$24)*('Match Log'!$A$4:$A$1510&lt;=$J563)),'Match Log'!$N$4:$N$1510),NA()))</f>
        <v>#N/A</v>
      </c>
      <c r="N563" t="e">
        <f>IF($J563&gt;MAX('Match Log'!$A$4:$A$1510),NA(),IFERROR(LOOKUP(2,1/(('Match Log'!$D$4:$D$1510=$N$24)*('Match Log'!$A$4:$A$1510&lt;=$J563)),'Match Log'!$N$4:$N$1510),NA()))</f>
        <v>#N/A</v>
      </c>
      <c r="O563" t="e">
        <f>IF($J563&gt;MAX('Match Log'!$A$4:$A$1510),NA(),IFERROR(LOOKUP(2,1/(('Match Log'!$D$4:$D$1510=$O$24)*('Match Log'!$A$4:$A$1510&lt;=$J563)),'Match Log'!$N$4:$N$1510),NA()))</f>
        <v>#N/A</v>
      </c>
      <c r="P563" t="e">
        <f>IF($J563&gt;MAX('Match Log'!$A$4:$A$1510),NA(),IFERROR(LOOKUP(2,1/(('Match Log'!$D$4:$D$1510=$P$24)*('Match Log'!$A$4:$A$1510&lt;=$J563)),'Match Log'!$N$4:$N$1510),NA()))</f>
        <v>#N/A</v>
      </c>
      <c r="Q563" t="e">
        <f>IF($J563&gt;MAX('Match Log'!$A$4:$A$1510),NA(),IFERROR(LOOKUP(2,1/(('Match Log'!$D$4:$D$1510=$Q$24)*('Match Log'!$A$4:$A$1510&lt;=$J563)),'Match Log'!$N$4:$N$1510),NA()))</f>
        <v>#N/A</v>
      </c>
      <c r="R563" t="e">
        <f>IF($J563&gt;MAX('Match Log'!$A$4:$A$1510),NA(),IFERROR(LOOKUP(2,1/(('Match Log'!$D$4:$D$1510=$R$24)*('Match Log'!$A$4:$A$1510&lt;=$J563)),'Match Log'!$N$4:$N$1510),NA()))</f>
        <v>#N/A</v>
      </c>
      <c r="S563" t="e">
        <f>IF($J563&gt;MAX('Match Log'!$A$4:$A$1510),NA(),IFERROR(LOOKUP(2,1/(('Match Log'!$D$4:$D$1510=$S$24)*('Match Log'!$A$4:$A$1510&lt;=$J563)),'Match Log'!$N$4:$N$1510),NA()))</f>
        <v>#N/A</v>
      </c>
      <c r="T563" t="e">
        <f>IF($J563&gt;MAX('Match Log'!$A$4:$A$1510),NA(),IFERROR(LOOKUP(2,1/(('Match Log'!$D$4:$D$1510=$T$24)*('Match Log'!$A$4:$A$1510&lt;=$J563)),'Match Log'!$N$4:$N$1510),NA()))</f>
        <v>#N/A</v>
      </c>
      <c r="U563" t="e">
        <f>IF($J563&gt;MAX('Match Log'!$A$4:$A$1510),NA(),IFERROR(LOOKUP(2,1/(('Match Log'!$D$4:$D$1510=$U$24)*('Match Log'!$A$4:$A$1510&lt;=$J563)),'Match Log'!$N$4:$N$1510),NA()))</f>
        <v>#N/A</v>
      </c>
      <c r="V563" t="e">
        <f>IF($J563&gt;MAX('Match Log'!$A$4:$A$1510),NA(),IFERROR(LOOKUP(2,1/(('Match Log'!$D$4:$D$1510=$V$24)*('Match Log'!$A$4:$A$1510&lt;=$J563)),'Match Log'!$N$4:$N$1510),NA()))</f>
        <v>#N/A</v>
      </c>
      <c r="W563" t="e">
        <f>IF($J563&gt;MAX('Match Log'!$A$4:$A$1510),NA(),IFERROR(LOOKUP(2,1/(('Match Log'!$D$4:$D$1510=$W$24)*('Match Log'!$A$4:$A$1510&lt;=$J563)),'Match Log'!$N$4:$N$1510),NA()))</f>
        <v>#N/A</v>
      </c>
      <c r="X563" t="e">
        <f>IF($J563&gt;MAX('Match Log'!$A$4:$A$1510),NA(),IFERROR(LOOKUP(2,1/(('Match Log'!$D$4:$D$1510=$X$24)*('Match Log'!$A$4:$A$1510&lt;=$J563)),'Match Log'!$N$4:$N$1510),NA()))</f>
        <v>#N/A</v>
      </c>
      <c r="Y563" t="str">
        <f t="shared" ca="1" si="37"/>
        <v/>
      </c>
    </row>
    <row r="564" spans="1:25" x14ac:dyDescent="0.2">
      <c r="A564">
        <v>540</v>
      </c>
      <c r="B564" t="str">
        <f>IFERROR(INDEX('Match Log'!$B$4:$B$1510,MATCH($A564,'Match Log'!$A$4:$A$1510,0)),"")</f>
        <v/>
      </c>
      <c r="C564" t="str">
        <f>IFERROR(INDEX('Match Log'!$C$4:$C$1510,MATCH($A564,'Match Log'!$A$4:$A$1510,0)),"")</f>
        <v/>
      </c>
      <c r="D564" t="str">
        <f t="array" ref="D564">IFERROR(_xlfn.TEXTJOIN(" + ",TRUE(),IF(('Match Log'!$A$4:$A$1510=$A564)*('Match Log'!$E$4:$E$1510="Win"),'Match Log'!$D$4:$D$1510,"")),IFERROR(LOOKUP(2,1/(('Match Log'!$A$4:$A$1510=$A564)*('Match Log'!$E$4:$E$1510="Win")),'Match Log'!$D$4:$D$1510),""))</f>
        <v/>
      </c>
      <c r="E564" t="str">
        <f>IFERROR(INDEX('Match Log'!$F$4:$F$1510,MATCH($A564,'Match Log'!$A$4:$A$1510,0)),"")</f>
        <v/>
      </c>
      <c r="F564">
        <f>IFERROR(SUMIFS('Match Log'!$I$4:$I$1510,'Match Log'!$A$4:$A$1510,$A564,'Match Log'!$E$4:$E$1510,"Win"),"")</f>
        <v>0</v>
      </c>
      <c r="G564" t="str">
        <f t="shared" si="35"/>
        <v/>
      </c>
      <c r="H564" t="str">
        <f t="array" ref="H564">IFERROR(IF(COUNTIFS('Match Log'!$A$4:$A$1510,$A564,'Match Log'!$E$4:$E$1510,"Win")&gt;1,_xlfn.TEXTJOIN(" + ",TRUE(),IF(('Match Log'!$A$4:$A$1510=$A564)*('Match Log'!$E$4:$E$1510="Loss"),'Match Log'!$D$4:$D$1510,"")),IF($E564=2,LOOKUP(2,1/(('Match Log'!$A$4:$A$1510=$A564)*('Match Log'!$E$4:$E$1510="Loss")),'Match Log'!$D$4:$D$1510),"the field")),"")</f>
        <v>the field</v>
      </c>
      <c r="I564" t="str">
        <f t="shared" si="36"/>
        <v/>
      </c>
      <c r="J564">
        <v>540</v>
      </c>
      <c r="K564" t="e">
        <f>IF($J564&gt;MAX('Match Log'!$A$4:$A$1510),NA(),IFERROR(LOOKUP(2,1/(('Match Log'!$D$4:$D$1510=$K$24)*('Match Log'!$A$4:$A$1510&lt;=$J564)),'Match Log'!$N$4:$N$1510),NA()))</f>
        <v>#N/A</v>
      </c>
      <c r="L564" t="e">
        <f>IF($J564&gt;MAX('Match Log'!$A$4:$A$1510),NA(),IFERROR(LOOKUP(2,1/(('Match Log'!$D$4:$D$1510=$L$24)*('Match Log'!$A$4:$A$1510&lt;=$J564)),'Match Log'!$N$4:$N$1510),NA()))</f>
        <v>#N/A</v>
      </c>
      <c r="M564" t="e">
        <f>IF($J564&gt;MAX('Match Log'!$A$4:$A$1510),NA(),IFERROR(LOOKUP(2,1/(('Match Log'!$D$4:$D$1510=$M$24)*('Match Log'!$A$4:$A$1510&lt;=$J564)),'Match Log'!$N$4:$N$1510),NA()))</f>
        <v>#N/A</v>
      </c>
      <c r="N564" t="e">
        <f>IF($J564&gt;MAX('Match Log'!$A$4:$A$1510),NA(),IFERROR(LOOKUP(2,1/(('Match Log'!$D$4:$D$1510=$N$24)*('Match Log'!$A$4:$A$1510&lt;=$J564)),'Match Log'!$N$4:$N$1510),NA()))</f>
        <v>#N/A</v>
      </c>
      <c r="O564" t="e">
        <f>IF($J564&gt;MAX('Match Log'!$A$4:$A$1510),NA(),IFERROR(LOOKUP(2,1/(('Match Log'!$D$4:$D$1510=$O$24)*('Match Log'!$A$4:$A$1510&lt;=$J564)),'Match Log'!$N$4:$N$1510),NA()))</f>
        <v>#N/A</v>
      </c>
      <c r="P564" t="e">
        <f>IF($J564&gt;MAX('Match Log'!$A$4:$A$1510),NA(),IFERROR(LOOKUP(2,1/(('Match Log'!$D$4:$D$1510=$P$24)*('Match Log'!$A$4:$A$1510&lt;=$J564)),'Match Log'!$N$4:$N$1510),NA()))</f>
        <v>#N/A</v>
      </c>
      <c r="Q564" t="e">
        <f>IF($J564&gt;MAX('Match Log'!$A$4:$A$1510),NA(),IFERROR(LOOKUP(2,1/(('Match Log'!$D$4:$D$1510=$Q$24)*('Match Log'!$A$4:$A$1510&lt;=$J564)),'Match Log'!$N$4:$N$1510),NA()))</f>
        <v>#N/A</v>
      </c>
      <c r="R564" t="e">
        <f>IF($J564&gt;MAX('Match Log'!$A$4:$A$1510),NA(),IFERROR(LOOKUP(2,1/(('Match Log'!$D$4:$D$1510=$R$24)*('Match Log'!$A$4:$A$1510&lt;=$J564)),'Match Log'!$N$4:$N$1510),NA()))</f>
        <v>#N/A</v>
      </c>
      <c r="S564" t="e">
        <f>IF($J564&gt;MAX('Match Log'!$A$4:$A$1510),NA(),IFERROR(LOOKUP(2,1/(('Match Log'!$D$4:$D$1510=$S$24)*('Match Log'!$A$4:$A$1510&lt;=$J564)),'Match Log'!$N$4:$N$1510),NA()))</f>
        <v>#N/A</v>
      </c>
      <c r="T564" t="e">
        <f>IF($J564&gt;MAX('Match Log'!$A$4:$A$1510),NA(),IFERROR(LOOKUP(2,1/(('Match Log'!$D$4:$D$1510=$T$24)*('Match Log'!$A$4:$A$1510&lt;=$J564)),'Match Log'!$N$4:$N$1510),NA()))</f>
        <v>#N/A</v>
      </c>
      <c r="U564" t="e">
        <f>IF($J564&gt;MAX('Match Log'!$A$4:$A$1510),NA(),IFERROR(LOOKUP(2,1/(('Match Log'!$D$4:$D$1510=$U$24)*('Match Log'!$A$4:$A$1510&lt;=$J564)),'Match Log'!$N$4:$N$1510),NA()))</f>
        <v>#N/A</v>
      </c>
      <c r="V564" t="e">
        <f>IF($J564&gt;MAX('Match Log'!$A$4:$A$1510),NA(),IFERROR(LOOKUP(2,1/(('Match Log'!$D$4:$D$1510=$V$24)*('Match Log'!$A$4:$A$1510&lt;=$J564)),'Match Log'!$N$4:$N$1510),NA()))</f>
        <v>#N/A</v>
      </c>
      <c r="W564" t="e">
        <f>IF($J564&gt;MAX('Match Log'!$A$4:$A$1510),NA(),IFERROR(LOOKUP(2,1/(('Match Log'!$D$4:$D$1510=$W$24)*('Match Log'!$A$4:$A$1510&lt;=$J564)),'Match Log'!$N$4:$N$1510),NA()))</f>
        <v>#N/A</v>
      </c>
      <c r="X564" t="e">
        <f>IF($J564&gt;MAX('Match Log'!$A$4:$A$1510),NA(),IFERROR(LOOKUP(2,1/(('Match Log'!$D$4:$D$1510=$X$24)*('Match Log'!$A$4:$A$1510&lt;=$J564)),'Match Log'!$N$4:$N$1510),NA()))</f>
        <v>#N/A</v>
      </c>
      <c r="Y564" t="str">
        <f t="shared" ca="1" si="37"/>
        <v/>
      </c>
    </row>
    <row r="565" spans="1:25" x14ac:dyDescent="0.2">
      <c r="A565">
        <v>541</v>
      </c>
      <c r="B565" t="str">
        <f>IFERROR(INDEX('Match Log'!$B$4:$B$1510,MATCH($A565,'Match Log'!$A$4:$A$1510,0)),"")</f>
        <v/>
      </c>
      <c r="C565" t="str">
        <f>IFERROR(INDEX('Match Log'!$C$4:$C$1510,MATCH($A565,'Match Log'!$A$4:$A$1510,0)),"")</f>
        <v/>
      </c>
      <c r="D565" t="str">
        <f t="array" ref="D565">IFERROR(_xlfn.TEXTJOIN(" + ",TRUE(),IF(('Match Log'!$A$4:$A$1510=$A565)*('Match Log'!$E$4:$E$1510="Win"),'Match Log'!$D$4:$D$1510,"")),IFERROR(LOOKUP(2,1/(('Match Log'!$A$4:$A$1510=$A565)*('Match Log'!$E$4:$E$1510="Win")),'Match Log'!$D$4:$D$1510),""))</f>
        <v/>
      </c>
      <c r="E565" t="str">
        <f>IFERROR(INDEX('Match Log'!$F$4:$F$1510,MATCH($A565,'Match Log'!$A$4:$A$1510,0)),"")</f>
        <v/>
      </c>
      <c r="F565">
        <f>IFERROR(SUMIFS('Match Log'!$I$4:$I$1510,'Match Log'!$A$4:$A$1510,$A565,'Match Log'!$E$4:$E$1510,"Win"),"")</f>
        <v>0</v>
      </c>
      <c r="G565" t="str">
        <f t="shared" si="35"/>
        <v/>
      </c>
      <c r="H565" t="str">
        <f t="array" ref="H565">IFERROR(IF(COUNTIFS('Match Log'!$A$4:$A$1510,$A565,'Match Log'!$E$4:$E$1510,"Win")&gt;1,_xlfn.TEXTJOIN(" + ",TRUE(),IF(('Match Log'!$A$4:$A$1510=$A565)*('Match Log'!$E$4:$E$1510="Loss"),'Match Log'!$D$4:$D$1510,"")),IF($E565=2,LOOKUP(2,1/(('Match Log'!$A$4:$A$1510=$A565)*('Match Log'!$E$4:$E$1510="Loss")),'Match Log'!$D$4:$D$1510),"the field")),"")</f>
        <v>the field</v>
      </c>
      <c r="I565" t="str">
        <f t="shared" si="36"/>
        <v/>
      </c>
      <c r="J565">
        <v>541</v>
      </c>
      <c r="K565" t="e">
        <f>IF($J565&gt;MAX('Match Log'!$A$4:$A$1510),NA(),IFERROR(LOOKUP(2,1/(('Match Log'!$D$4:$D$1510=$K$24)*('Match Log'!$A$4:$A$1510&lt;=$J565)),'Match Log'!$N$4:$N$1510),NA()))</f>
        <v>#N/A</v>
      </c>
      <c r="L565" t="e">
        <f>IF($J565&gt;MAX('Match Log'!$A$4:$A$1510),NA(),IFERROR(LOOKUP(2,1/(('Match Log'!$D$4:$D$1510=$L$24)*('Match Log'!$A$4:$A$1510&lt;=$J565)),'Match Log'!$N$4:$N$1510),NA()))</f>
        <v>#N/A</v>
      </c>
      <c r="M565" t="e">
        <f>IF($J565&gt;MAX('Match Log'!$A$4:$A$1510),NA(),IFERROR(LOOKUP(2,1/(('Match Log'!$D$4:$D$1510=$M$24)*('Match Log'!$A$4:$A$1510&lt;=$J565)),'Match Log'!$N$4:$N$1510),NA()))</f>
        <v>#N/A</v>
      </c>
      <c r="N565" t="e">
        <f>IF($J565&gt;MAX('Match Log'!$A$4:$A$1510),NA(),IFERROR(LOOKUP(2,1/(('Match Log'!$D$4:$D$1510=$N$24)*('Match Log'!$A$4:$A$1510&lt;=$J565)),'Match Log'!$N$4:$N$1510),NA()))</f>
        <v>#N/A</v>
      </c>
      <c r="O565" t="e">
        <f>IF($J565&gt;MAX('Match Log'!$A$4:$A$1510),NA(),IFERROR(LOOKUP(2,1/(('Match Log'!$D$4:$D$1510=$O$24)*('Match Log'!$A$4:$A$1510&lt;=$J565)),'Match Log'!$N$4:$N$1510),NA()))</f>
        <v>#N/A</v>
      </c>
      <c r="P565" t="e">
        <f>IF($J565&gt;MAX('Match Log'!$A$4:$A$1510),NA(),IFERROR(LOOKUP(2,1/(('Match Log'!$D$4:$D$1510=$P$24)*('Match Log'!$A$4:$A$1510&lt;=$J565)),'Match Log'!$N$4:$N$1510),NA()))</f>
        <v>#N/A</v>
      </c>
      <c r="Q565" t="e">
        <f>IF($J565&gt;MAX('Match Log'!$A$4:$A$1510),NA(),IFERROR(LOOKUP(2,1/(('Match Log'!$D$4:$D$1510=$Q$24)*('Match Log'!$A$4:$A$1510&lt;=$J565)),'Match Log'!$N$4:$N$1510),NA()))</f>
        <v>#N/A</v>
      </c>
      <c r="R565" t="e">
        <f>IF($J565&gt;MAX('Match Log'!$A$4:$A$1510),NA(),IFERROR(LOOKUP(2,1/(('Match Log'!$D$4:$D$1510=$R$24)*('Match Log'!$A$4:$A$1510&lt;=$J565)),'Match Log'!$N$4:$N$1510),NA()))</f>
        <v>#N/A</v>
      </c>
      <c r="S565" t="e">
        <f>IF($J565&gt;MAX('Match Log'!$A$4:$A$1510),NA(),IFERROR(LOOKUP(2,1/(('Match Log'!$D$4:$D$1510=$S$24)*('Match Log'!$A$4:$A$1510&lt;=$J565)),'Match Log'!$N$4:$N$1510),NA()))</f>
        <v>#N/A</v>
      </c>
      <c r="T565" t="e">
        <f>IF($J565&gt;MAX('Match Log'!$A$4:$A$1510),NA(),IFERROR(LOOKUP(2,1/(('Match Log'!$D$4:$D$1510=$T$24)*('Match Log'!$A$4:$A$1510&lt;=$J565)),'Match Log'!$N$4:$N$1510),NA()))</f>
        <v>#N/A</v>
      </c>
      <c r="U565" t="e">
        <f>IF($J565&gt;MAX('Match Log'!$A$4:$A$1510),NA(),IFERROR(LOOKUP(2,1/(('Match Log'!$D$4:$D$1510=$U$24)*('Match Log'!$A$4:$A$1510&lt;=$J565)),'Match Log'!$N$4:$N$1510),NA()))</f>
        <v>#N/A</v>
      </c>
      <c r="V565" t="e">
        <f>IF($J565&gt;MAX('Match Log'!$A$4:$A$1510),NA(),IFERROR(LOOKUP(2,1/(('Match Log'!$D$4:$D$1510=$V$24)*('Match Log'!$A$4:$A$1510&lt;=$J565)),'Match Log'!$N$4:$N$1510),NA()))</f>
        <v>#N/A</v>
      </c>
      <c r="W565" t="e">
        <f>IF($J565&gt;MAX('Match Log'!$A$4:$A$1510),NA(),IFERROR(LOOKUP(2,1/(('Match Log'!$D$4:$D$1510=$W$24)*('Match Log'!$A$4:$A$1510&lt;=$J565)),'Match Log'!$N$4:$N$1510),NA()))</f>
        <v>#N/A</v>
      </c>
      <c r="X565" t="e">
        <f>IF($J565&gt;MAX('Match Log'!$A$4:$A$1510),NA(),IFERROR(LOOKUP(2,1/(('Match Log'!$D$4:$D$1510=$X$24)*('Match Log'!$A$4:$A$1510&lt;=$J565)),'Match Log'!$N$4:$N$1510),NA()))</f>
        <v>#N/A</v>
      </c>
      <c r="Y565" t="str">
        <f t="shared" ca="1" si="37"/>
        <v/>
      </c>
    </row>
    <row r="566" spans="1:25" x14ac:dyDescent="0.2">
      <c r="A566">
        <v>542</v>
      </c>
      <c r="B566" t="str">
        <f>IFERROR(INDEX('Match Log'!$B$4:$B$1510,MATCH($A566,'Match Log'!$A$4:$A$1510,0)),"")</f>
        <v/>
      </c>
      <c r="C566" t="str">
        <f>IFERROR(INDEX('Match Log'!$C$4:$C$1510,MATCH($A566,'Match Log'!$A$4:$A$1510,0)),"")</f>
        <v/>
      </c>
      <c r="D566" t="str">
        <f t="array" ref="D566">IFERROR(_xlfn.TEXTJOIN(" + ",TRUE(),IF(('Match Log'!$A$4:$A$1510=$A566)*('Match Log'!$E$4:$E$1510="Win"),'Match Log'!$D$4:$D$1510,"")),IFERROR(LOOKUP(2,1/(('Match Log'!$A$4:$A$1510=$A566)*('Match Log'!$E$4:$E$1510="Win")),'Match Log'!$D$4:$D$1510),""))</f>
        <v/>
      </c>
      <c r="E566" t="str">
        <f>IFERROR(INDEX('Match Log'!$F$4:$F$1510,MATCH($A566,'Match Log'!$A$4:$A$1510,0)),"")</f>
        <v/>
      </c>
      <c r="F566">
        <f>IFERROR(SUMIFS('Match Log'!$I$4:$I$1510,'Match Log'!$A$4:$A$1510,$A566,'Match Log'!$E$4:$E$1510,"Win"),"")</f>
        <v>0</v>
      </c>
      <c r="G566" t="str">
        <f t="shared" si="35"/>
        <v/>
      </c>
      <c r="H566" t="str">
        <f t="array" ref="H566">IFERROR(IF(COUNTIFS('Match Log'!$A$4:$A$1510,$A566,'Match Log'!$E$4:$E$1510,"Win")&gt;1,_xlfn.TEXTJOIN(" + ",TRUE(),IF(('Match Log'!$A$4:$A$1510=$A566)*('Match Log'!$E$4:$E$1510="Loss"),'Match Log'!$D$4:$D$1510,"")),IF($E566=2,LOOKUP(2,1/(('Match Log'!$A$4:$A$1510=$A566)*('Match Log'!$E$4:$E$1510="Loss")),'Match Log'!$D$4:$D$1510),"the field")),"")</f>
        <v>the field</v>
      </c>
      <c r="I566" t="str">
        <f t="shared" si="36"/>
        <v/>
      </c>
      <c r="J566">
        <v>542</v>
      </c>
      <c r="K566" t="e">
        <f>IF($J566&gt;MAX('Match Log'!$A$4:$A$1510),NA(),IFERROR(LOOKUP(2,1/(('Match Log'!$D$4:$D$1510=$K$24)*('Match Log'!$A$4:$A$1510&lt;=$J566)),'Match Log'!$N$4:$N$1510),NA()))</f>
        <v>#N/A</v>
      </c>
      <c r="L566" t="e">
        <f>IF($J566&gt;MAX('Match Log'!$A$4:$A$1510),NA(),IFERROR(LOOKUP(2,1/(('Match Log'!$D$4:$D$1510=$L$24)*('Match Log'!$A$4:$A$1510&lt;=$J566)),'Match Log'!$N$4:$N$1510),NA()))</f>
        <v>#N/A</v>
      </c>
      <c r="M566" t="e">
        <f>IF($J566&gt;MAX('Match Log'!$A$4:$A$1510),NA(),IFERROR(LOOKUP(2,1/(('Match Log'!$D$4:$D$1510=$M$24)*('Match Log'!$A$4:$A$1510&lt;=$J566)),'Match Log'!$N$4:$N$1510),NA()))</f>
        <v>#N/A</v>
      </c>
      <c r="N566" t="e">
        <f>IF($J566&gt;MAX('Match Log'!$A$4:$A$1510),NA(),IFERROR(LOOKUP(2,1/(('Match Log'!$D$4:$D$1510=$N$24)*('Match Log'!$A$4:$A$1510&lt;=$J566)),'Match Log'!$N$4:$N$1510),NA()))</f>
        <v>#N/A</v>
      </c>
      <c r="O566" t="e">
        <f>IF($J566&gt;MAX('Match Log'!$A$4:$A$1510),NA(),IFERROR(LOOKUP(2,1/(('Match Log'!$D$4:$D$1510=$O$24)*('Match Log'!$A$4:$A$1510&lt;=$J566)),'Match Log'!$N$4:$N$1510),NA()))</f>
        <v>#N/A</v>
      </c>
      <c r="P566" t="e">
        <f>IF($J566&gt;MAX('Match Log'!$A$4:$A$1510),NA(),IFERROR(LOOKUP(2,1/(('Match Log'!$D$4:$D$1510=$P$24)*('Match Log'!$A$4:$A$1510&lt;=$J566)),'Match Log'!$N$4:$N$1510),NA()))</f>
        <v>#N/A</v>
      </c>
      <c r="Q566" t="e">
        <f>IF($J566&gt;MAX('Match Log'!$A$4:$A$1510),NA(),IFERROR(LOOKUP(2,1/(('Match Log'!$D$4:$D$1510=$Q$24)*('Match Log'!$A$4:$A$1510&lt;=$J566)),'Match Log'!$N$4:$N$1510),NA()))</f>
        <v>#N/A</v>
      </c>
      <c r="R566" t="e">
        <f>IF($J566&gt;MAX('Match Log'!$A$4:$A$1510),NA(),IFERROR(LOOKUP(2,1/(('Match Log'!$D$4:$D$1510=$R$24)*('Match Log'!$A$4:$A$1510&lt;=$J566)),'Match Log'!$N$4:$N$1510),NA()))</f>
        <v>#N/A</v>
      </c>
      <c r="S566" t="e">
        <f>IF($J566&gt;MAX('Match Log'!$A$4:$A$1510),NA(),IFERROR(LOOKUP(2,1/(('Match Log'!$D$4:$D$1510=$S$24)*('Match Log'!$A$4:$A$1510&lt;=$J566)),'Match Log'!$N$4:$N$1510),NA()))</f>
        <v>#N/A</v>
      </c>
      <c r="T566" t="e">
        <f>IF($J566&gt;MAX('Match Log'!$A$4:$A$1510),NA(),IFERROR(LOOKUP(2,1/(('Match Log'!$D$4:$D$1510=$T$24)*('Match Log'!$A$4:$A$1510&lt;=$J566)),'Match Log'!$N$4:$N$1510),NA()))</f>
        <v>#N/A</v>
      </c>
      <c r="U566" t="e">
        <f>IF($J566&gt;MAX('Match Log'!$A$4:$A$1510),NA(),IFERROR(LOOKUP(2,1/(('Match Log'!$D$4:$D$1510=$U$24)*('Match Log'!$A$4:$A$1510&lt;=$J566)),'Match Log'!$N$4:$N$1510),NA()))</f>
        <v>#N/A</v>
      </c>
      <c r="V566" t="e">
        <f>IF($J566&gt;MAX('Match Log'!$A$4:$A$1510),NA(),IFERROR(LOOKUP(2,1/(('Match Log'!$D$4:$D$1510=$V$24)*('Match Log'!$A$4:$A$1510&lt;=$J566)),'Match Log'!$N$4:$N$1510),NA()))</f>
        <v>#N/A</v>
      </c>
      <c r="W566" t="e">
        <f>IF($J566&gt;MAX('Match Log'!$A$4:$A$1510),NA(),IFERROR(LOOKUP(2,1/(('Match Log'!$D$4:$D$1510=$W$24)*('Match Log'!$A$4:$A$1510&lt;=$J566)),'Match Log'!$N$4:$N$1510),NA()))</f>
        <v>#N/A</v>
      </c>
      <c r="X566" t="e">
        <f>IF($J566&gt;MAX('Match Log'!$A$4:$A$1510),NA(),IFERROR(LOOKUP(2,1/(('Match Log'!$D$4:$D$1510=$X$24)*('Match Log'!$A$4:$A$1510&lt;=$J566)),'Match Log'!$N$4:$N$1510),NA()))</f>
        <v>#N/A</v>
      </c>
      <c r="Y566" t="str">
        <f t="shared" ca="1" si="37"/>
        <v/>
      </c>
    </row>
    <row r="567" spans="1:25" x14ac:dyDescent="0.2">
      <c r="A567">
        <v>543</v>
      </c>
      <c r="B567" t="str">
        <f>IFERROR(INDEX('Match Log'!$B$4:$B$1510,MATCH($A567,'Match Log'!$A$4:$A$1510,0)),"")</f>
        <v/>
      </c>
      <c r="C567" t="str">
        <f>IFERROR(INDEX('Match Log'!$C$4:$C$1510,MATCH($A567,'Match Log'!$A$4:$A$1510,0)),"")</f>
        <v/>
      </c>
      <c r="D567" t="str">
        <f t="array" ref="D567">IFERROR(_xlfn.TEXTJOIN(" + ",TRUE(),IF(('Match Log'!$A$4:$A$1510=$A567)*('Match Log'!$E$4:$E$1510="Win"),'Match Log'!$D$4:$D$1510,"")),IFERROR(LOOKUP(2,1/(('Match Log'!$A$4:$A$1510=$A567)*('Match Log'!$E$4:$E$1510="Win")),'Match Log'!$D$4:$D$1510),""))</f>
        <v/>
      </c>
      <c r="E567" t="str">
        <f>IFERROR(INDEX('Match Log'!$F$4:$F$1510,MATCH($A567,'Match Log'!$A$4:$A$1510,0)),"")</f>
        <v/>
      </c>
      <c r="F567">
        <f>IFERROR(SUMIFS('Match Log'!$I$4:$I$1510,'Match Log'!$A$4:$A$1510,$A567,'Match Log'!$E$4:$E$1510,"Win"),"")</f>
        <v>0</v>
      </c>
      <c r="G567" t="str">
        <f t="shared" si="35"/>
        <v/>
      </c>
      <c r="H567" t="str">
        <f t="array" ref="H567">IFERROR(IF(COUNTIFS('Match Log'!$A$4:$A$1510,$A567,'Match Log'!$E$4:$E$1510,"Win")&gt;1,_xlfn.TEXTJOIN(" + ",TRUE(),IF(('Match Log'!$A$4:$A$1510=$A567)*('Match Log'!$E$4:$E$1510="Loss"),'Match Log'!$D$4:$D$1510,"")),IF($E567=2,LOOKUP(2,1/(('Match Log'!$A$4:$A$1510=$A567)*('Match Log'!$E$4:$E$1510="Loss")),'Match Log'!$D$4:$D$1510),"the field")),"")</f>
        <v>the field</v>
      </c>
      <c r="I567" t="str">
        <f t="shared" si="36"/>
        <v/>
      </c>
      <c r="J567">
        <v>543</v>
      </c>
      <c r="K567" t="e">
        <f>IF($J567&gt;MAX('Match Log'!$A$4:$A$1510),NA(),IFERROR(LOOKUP(2,1/(('Match Log'!$D$4:$D$1510=$K$24)*('Match Log'!$A$4:$A$1510&lt;=$J567)),'Match Log'!$N$4:$N$1510),NA()))</f>
        <v>#N/A</v>
      </c>
      <c r="L567" t="e">
        <f>IF($J567&gt;MAX('Match Log'!$A$4:$A$1510),NA(),IFERROR(LOOKUP(2,1/(('Match Log'!$D$4:$D$1510=$L$24)*('Match Log'!$A$4:$A$1510&lt;=$J567)),'Match Log'!$N$4:$N$1510),NA()))</f>
        <v>#N/A</v>
      </c>
      <c r="M567" t="e">
        <f>IF($J567&gt;MAX('Match Log'!$A$4:$A$1510),NA(),IFERROR(LOOKUP(2,1/(('Match Log'!$D$4:$D$1510=$M$24)*('Match Log'!$A$4:$A$1510&lt;=$J567)),'Match Log'!$N$4:$N$1510),NA()))</f>
        <v>#N/A</v>
      </c>
      <c r="N567" t="e">
        <f>IF($J567&gt;MAX('Match Log'!$A$4:$A$1510),NA(),IFERROR(LOOKUP(2,1/(('Match Log'!$D$4:$D$1510=$N$24)*('Match Log'!$A$4:$A$1510&lt;=$J567)),'Match Log'!$N$4:$N$1510),NA()))</f>
        <v>#N/A</v>
      </c>
      <c r="O567" t="e">
        <f>IF($J567&gt;MAX('Match Log'!$A$4:$A$1510),NA(),IFERROR(LOOKUP(2,1/(('Match Log'!$D$4:$D$1510=$O$24)*('Match Log'!$A$4:$A$1510&lt;=$J567)),'Match Log'!$N$4:$N$1510),NA()))</f>
        <v>#N/A</v>
      </c>
      <c r="P567" t="e">
        <f>IF($J567&gt;MAX('Match Log'!$A$4:$A$1510),NA(),IFERROR(LOOKUP(2,1/(('Match Log'!$D$4:$D$1510=$P$24)*('Match Log'!$A$4:$A$1510&lt;=$J567)),'Match Log'!$N$4:$N$1510),NA()))</f>
        <v>#N/A</v>
      </c>
      <c r="Q567" t="e">
        <f>IF($J567&gt;MAX('Match Log'!$A$4:$A$1510),NA(),IFERROR(LOOKUP(2,1/(('Match Log'!$D$4:$D$1510=$Q$24)*('Match Log'!$A$4:$A$1510&lt;=$J567)),'Match Log'!$N$4:$N$1510),NA()))</f>
        <v>#N/A</v>
      </c>
      <c r="R567" t="e">
        <f>IF($J567&gt;MAX('Match Log'!$A$4:$A$1510),NA(),IFERROR(LOOKUP(2,1/(('Match Log'!$D$4:$D$1510=$R$24)*('Match Log'!$A$4:$A$1510&lt;=$J567)),'Match Log'!$N$4:$N$1510),NA()))</f>
        <v>#N/A</v>
      </c>
      <c r="S567" t="e">
        <f>IF($J567&gt;MAX('Match Log'!$A$4:$A$1510),NA(),IFERROR(LOOKUP(2,1/(('Match Log'!$D$4:$D$1510=$S$24)*('Match Log'!$A$4:$A$1510&lt;=$J567)),'Match Log'!$N$4:$N$1510),NA()))</f>
        <v>#N/A</v>
      </c>
      <c r="T567" t="e">
        <f>IF($J567&gt;MAX('Match Log'!$A$4:$A$1510),NA(),IFERROR(LOOKUP(2,1/(('Match Log'!$D$4:$D$1510=$T$24)*('Match Log'!$A$4:$A$1510&lt;=$J567)),'Match Log'!$N$4:$N$1510),NA()))</f>
        <v>#N/A</v>
      </c>
      <c r="U567" t="e">
        <f>IF($J567&gt;MAX('Match Log'!$A$4:$A$1510),NA(),IFERROR(LOOKUP(2,1/(('Match Log'!$D$4:$D$1510=$U$24)*('Match Log'!$A$4:$A$1510&lt;=$J567)),'Match Log'!$N$4:$N$1510),NA()))</f>
        <v>#N/A</v>
      </c>
      <c r="V567" t="e">
        <f>IF($J567&gt;MAX('Match Log'!$A$4:$A$1510),NA(),IFERROR(LOOKUP(2,1/(('Match Log'!$D$4:$D$1510=$V$24)*('Match Log'!$A$4:$A$1510&lt;=$J567)),'Match Log'!$N$4:$N$1510),NA()))</f>
        <v>#N/A</v>
      </c>
      <c r="W567" t="e">
        <f>IF($J567&gt;MAX('Match Log'!$A$4:$A$1510),NA(),IFERROR(LOOKUP(2,1/(('Match Log'!$D$4:$D$1510=$W$24)*('Match Log'!$A$4:$A$1510&lt;=$J567)),'Match Log'!$N$4:$N$1510),NA()))</f>
        <v>#N/A</v>
      </c>
      <c r="X567" t="e">
        <f>IF($J567&gt;MAX('Match Log'!$A$4:$A$1510),NA(),IFERROR(LOOKUP(2,1/(('Match Log'!$D$4:$D$1510=$X$24)*('Match Log'!$A$4:$A$1510&lt;=$J567)),'Match Log'!$N$4:$N$1510),NA()))</f>
        <v>#N/A</v>
      </c>
      <c r="Y567" t="str">
        <f t="shared" ca="1" si="37"/>
        <v/>
      </c>
    </row>
    <row r="568" spans="1:25" x14ac:dyDescent="0.2">
      <c r="A568">
        <v>544</v>
      </c>
      <c r="B568" t="str">
        <f>IFERROR(INDEX('Match Log'!$B$4:$B$1510,MATCH($A568,'Match Log'!$A$4:$A$1510,0)),"")</f>
        <v/>
      </c>
      <c r="C568" t="str">
        <f>IFERROR(INDEX('Match Log'!$C$4:$C$1510,MATCH($A568,'Match Log'!$A$4:$A$1510,0)),"")</f>
        <v/>
      </c>
      <c r="D568" t="str">
        <f t="array" ref="D568">IFERROR(_xlfn.TEXTJOIN(" + ",TRUE(),IF(('Match Log'!$A$4:$A$1510=$A568)*('Match Log'!$E$4:$E$1510="Win"),'Match Log'!$D$4:$D$1510,"")),IFERROR(LOOKUP(2,1/(('Match Log'!$A$4:$A$1510=$A568)*('Match Log'!$E$4:$E$1510="Win")),'Match Log'!$D$4:$D$1510),""))</f>
        <v/>
      </c>
      <c r="E568" t="str">
        <f>IFERROR(INDEX('Match Log'!$F$4:$F$1510,MATCH($A568,'Match Log'!$A$4:$A$1510,0)),"")</f>
        <v/>
      </c>
      <c r="F568">
        <f>IFERROR(SUMIFS('Match Log'!$I$4:$I$1510,'Match Log'!$A$4:$A$1510,$A568,'Match Log'!$E$4:$E$1510,"Win"),"")</f>
        <v>0</v>
      </c>
      <c r="G568" t="str">
        <f t="shared" si="35"/>
        <v/>
      </c>
      <c r="H568" t="str">
        <f t="array" ref="H568">IFERROR(IF(COUNTIFS('Match Log'!$A$4:$A$1510,$A568,'Match Log'!$E$4:$E$1510,"Win")&gt;1,_xlfn.TEXTJOIN(" + ",TRUE(),IF(('Match Log'!$A$4:$A$1510=$A568)*('Match Log'!$E$4:$E$1510="Loss"),'Match Log'!$D$4:$D$1510,"")),IF($E568=2,LOOKUP(2,1/(('Match Log'!$A$4:$A$1510=$A568)*('Match Log'!$E$4:$E$1510="Loss")),'Match Log'!$D$4:$D$1510),"the field")),"")</f>
        <v>the field</v>
      </c>
      <c r="I568" t="str">
        <f t="shared" si="36"/>
        <v/>
      </c>
      <c r="J568">
        <v>544</v>
      </c>
      <c r="K568" t="e">
        <f>IF($J568&gt;MAX('Match Log'!$A$4:$A$1510),NA(),IFERROR(LOOKUP(2,1/(('Match Log'!$D$4:$D$1510=$K$24)*('Match Log'!$A$4:$A$1510&lt;=$J568)),'Match Log'!$N$4:$N$1510),NA()))</f>
        <v>#N/A</v>
      </c>
      <c r="L568" t="e">
        <f>IF($J568&gt;MAX('Match Log'!$A$4:$A$1510),NA(),IFERROR(LOOKUP(2,1/(('Match Log'!$D$4:$D$1510=$L$24)*('Match Log'!$A$4:$A$1510&lt;=$J568)),'Match Log'!$N$4:$N$1510),NA()))</f>
        <v>#N/A</v>
      </c>
      <c r="M568" t="e">
        <f>IF($J568&gt;MAX('Match Log'!$A$4:$A$1510),NA(),IFERROR(LOOKUP(2,1/(('Match Log'!$D$4:$D$1510=$M$24)*('Match Log'!$A$4:$A$1510&lt;=$J568)),'Match Log'!$N$4:$N$1510),NA()))</f>
        <v>#N/A</v>
      </c>
      <c r="N568" t="e">
        <f>IF($J568&gt;MAX('Match Log'!$A$4:$A$1510),NA(),IFERROR(LOOKUP(2,1/(('Match Log'!$D$4:$D$1510=$N$24)*('Match Log'!$A$4:$A$1510&lt;=$J568)),'Match Log'!$N$4:$N$1510),NA()))</f>
        <v>#N/A</v>
      </c>
      <c r="O568" t="e">
        <f>IF($J568&gt;MAX('Match Log'!$A$4:$A$1510),NA(),IFERROR(LOOKUP(2,1/(('Match Log'!$D$4:$D$1510=$O$24)*('Match Log'!$A$4:$A$1510&lt;=$J568)),'Match Log'!$N$4:$N$1510),NA()))</f>
        <v>#N/A</v>
      </c>
      <c r="P568" t="e">
        <f>IF($J568&gt;MAX('Match Log'!$A$4:$A$1510),NA(),IFERROR(LOOKUP(2,1/(('Match Log'!$D$4:$D$1510=$P$24)*('Match Log'!$A$4:$A$1510&lt;=$J568)),'Match Log'!$N$4:$N$1510),NA()))</f>
        <v>#N/A</v>
      </c>
      <c r="Q568" t="e">
        <f>IF($J568&gt;MAX('Match Log'!$A$4:$A$1510),NA(),IFERROR(LOOKUP(2,1/(('Match Log'!$D$4:$D$1510=$Q$24)*('Match Log'!$A$4:$A$1510&lt;=$J568)),'Match Log'!$N$4:$N$1510),NA()))</f>
        <v>#N/A</v>
      </c>
      <c r="R568" t="e">
        <f>IF($J568&gt;MAX('Match Log'!$A$4:$A$1510),NA(),IFERROR(LOOKUP(2,1/(('Match Log'!$D$4:$D$1510=$R$24)*('Match Log'!$A$4:$A$1510&lt;=$J568)),'Match Log'!$N$4:$N$1510),NA()))</f>
        <v>#N/A</v>
      </c>
      <c r="S568" t="e">
        <f>IF($J568&gt;MAX('Match Log'!$A$4:$A$1510),NA(),IFERROR(LOOKUP(2,1/(('Match Log'!$D$4:$D$1510=$S$24)*('Match Log'!$A$4:$A$1510&lt;=$J568)),'Match Log'!$N$4:$N$1510),NA()))</f>
        <v>#N/A</v>
      </c>
      <c r="T568" t="e">
        <f>IF($J568&gt;MAX('Match Log'!$A$4:$A$1510),NA(),IFERROR(LOOKUP(2,1/(('Match Log'!$D$4:$D$1510=$T$24)*('Match Log'!$A$4:$A$1510&lt;=$J568)),'Match Log'!$N$4:$N$1510),NA()))</f>
        <v>#N/A</v>
      </c>
      <c r="U568" t="e">
        <f>IF($J568&gt;MAX('Match Log'!$A$4:$A$1510),NA(),IFERROR(LOOKUP(2,1/(('Match Log'!$D$4:$D$1510=$U$24)*('Match Log'!$A$4:$A$1510&lt;=$J568)),'Match Log'!$N$4:$N$1510),NA()))</f>
        <v>#N/A</v>
      </c>
      <c r="V568" t="e">
        <f>IF($J568&gt;MAX('Match Log'!$A$4:$A$1510),NA(),IFERROR(LOOKUP(2,1/(('Match Log'!$D$4:$D$1510=$V$24)*('Match Log'!$A$4:$A$1510&lt;=$J568)),'Match Log'!$N$4:$N$1510),NA()))</f>
        <v>#N/A</v>
      </c>
      <c r="W568" t="e">
        <f>IF($J568&gt;MAX('Match Log'!$A$4:$A$1510),NA(),IFERROR(LOOKUP(2,1/(('Match Log'!$D$4:$D$1510=$W$24)*('Match Log'!$A$4:$A$1510&lt;=$J568)),'Match Log'!$N$4:$N$1510),NA()))</f>
        <v>#N/A</v>
      </c>
      <c r="X568" t="e">
        <f>IF($J568&gt;MAX('Match Log'!$A$4:$A$1510),NA(),IFERROR(LOOKUP(2,1/(('Match Log'!$D$4:$D$1510=$X$24)*('Match Log'!$A$4:$A$1510&lt;=$J568)),'Match Log'!$N$4:$N$1510),NA()))</f>
        <v>#N/A</v>
      </c>
      <c r="Y568" t="str">
        <f t="shared" ca="1" si="37"/>
        <v/>
      </c>
    </row>
    <row r="569" spans="1:25" x14ac:dyDescent="0.2">
      <c r="A569">
        <v>545</v>
      </c>
      <c r="B569" t="str">
        <f>IFERROR(INDEX('Match Log'!$B$4:$B$1510,MATCH($A569,'Match Log'!$A$4:$A$1510,0)),"")</f>
        <v/>
      </c>
      <c r="C569" t="str">
        <f>IFERROR(INDEX('Match Log'!$C$4:$C$1510,MATCH($A569,'Match Log'!$A$4:$A$1510,0)),"")</f>
        <v/>
      </c>
      <c r="D569" t="str">
        <f t="array" ref="D569">IFERROR(_xlfn.TEXTJOIN(" + ",TRUE(),IF(('Match Log'!$A$4:$A$1510=$A569)*('Match Log'!$E$4:$E$1510="Win"),'Match Log'!$D$4:$D$1510,"")),IFERROR(LOOKUP(2,1/(('Match Log'!$A$4:$A$1510=$A569)*('Match Log'!$E$4:$E$1510="Win")),'Match Log'!$D$4:$D$1510),""))</f>
        <v/>
      </c>
      <c r="E569" t="str">
        <f>IFERROR(INDEX('Match Log'!$F$4:$F$1510,MATCH($A569,'Match Log'!$A$4:$A$1510,0)),"")</f>
        <v/>
      </c>
      <c r="F569">
        <f>IFERROR(SUMIFS('Match Log'!$I$4:$I$1510,'Match Log'!$A$4:$A$1510,$A569,'Match Log'!$E$4:$E$1510,"Win"),"")</f>
        <v>0</v>
      </c>
      <c r="G569" t="str">
        <f t="shared" si="35"/>
        <v/>
      </c>
      <c r="H569" t="str">
        <f t="array" ref="H569">IFERROR(IF(COUNTIFS('Match Log'!$A$4:$A$1510,$A569,'Match Log'!$E$4:$E$1510,"Win")&gt;1,_xlfn.TEXTJOIN(" + ",TRUE(),IF(('Match Log'!$A$4:$A$1510=$A569)*('Match Log'!$E$4:$E$1510="Loss"),'Match Log'!$D$4:$D$1510,"")),IF($E569=2,LOOKUP(2,1/(('Match Log'!$A$4:$A$1510=$A569)*('Match Log'!$E$4:$E$1510="Loss")),'Match Log'!$D$4:$D$1510),"the field")),"")</f>
        <v>the field</v>
      </c>
      <c r="I569" t="str">
        <f t="shared" si="36"/>
        <v/>
      </c>
      <c r="J569">
        <v>545</v>
      </c>
      <c r="K569" t="e">
        <f>IF($J569&gt;MAX('Match Log'!$A$4:$A$1510),NA(),IFERROR(LOOKUP(2,1/(('Match Log'!$D$4:$D$1510=$K$24)*('Match Log'!$A$4:$A$1510&lt;=$J569)),'Match Log'!$N$4:$N$1510),NA()))</f>
        <v>#N/A</v>
      </c>
      <c r="L569" t="e">
        <f>IF($J569&gt;MAX('Match Log'!$A$4:$A$1510),NA(),IFERROR(LOOKUP(2,1/(('Match Log'!$D$4:$D$1510=$L$24)*('Match Log'!$A$4:$A$1510&lt;=$J569)),'Match Log'!$N$4:$N$1510),NA()))</f>
        <v>#N/A</v>
      </c>
      <c r="M569" t="e">
        <f>IF($J569&gt;MAX('Match Log'!$A$4:$A$1510),NA(),IFERROR(LOOKUP(2,1/(('Match Log'!$D$4:$D$1510=$M$24)*('Match Log'!$A$4:$A$1510&lt;=$J569)),'Match Log'!$N$4:$N$1510),NA()))</f>
        <v>#N/A</v>
      </c>
      <c r="N569" t="e">
        <f>IF($J569&gt;MAX('Match Log'!$A$4:$A$1510),NA(),IFERROR(LOOKUP(2,1/(('Match Log'!$D$4:$D$1510=$N$24)*('Match Log'!$A$4:$A$1510&lt;=$J569)),'Match Log'!$N$4:$N$1510),NA()))</f>
        <v>#N/A</v>
      </c>
      <c r="O569" t="e">
        <f>IF($J569&gt;MAX('Match Log'!$A$4:$A$1510),NA(),IFERROR(LOOKUP(2,1/(('Match Log'!$D$4:$D$1510=$O$24)*('Match Log'!$A$4:$A$1510&lt;=$J569)),'Match Log'!$N$4:$N$1510),NA()))</f>
        <v>#N/A</v>
      </c>
      <c r="P569" t="e">
        <f>IF($J569&gt;MAX('Match Log'!$A$4:$A$1510),NA(),IFERROR(LOOKUP(2,1/(('Match Log'!$D$4:$D$1510=$P$24)*('Match Log'!$A$4:$A$1510&lt;=$J569)),'Match Log'!$N$4:$N$1510),NA()))</f>
        <v>#N/A</v>
      </c>
      <c r="Q569" t="e">
        <f>IF($J569&gt;MAX('Match Log'!$A$4:$A$1510),NA(),IFERROR(LOOKUP(2,1/(('Match Log'!$D$4:$D$1510=$Q$24)*('Match Log'!$A$4:$A$1510&lt;=$J569)),'Match Log'!$N$4:$N$1510),NA()))</f>
        <v>#N/A</v>
      </c>
      <c r="R569" t="e">
        <f>IF($J569&gt;MAX('Match Log'!$A$4:$A$1510),NA(),IFERROR(LOOKUP(2,1/(('Match Log'!$D$4:$D$1510=$R$24)*('Match Log'!$A$4:$A$1510&lt;=$J569)),'Match Log'!$N$4:$N$1510),NA()))</f>
        <v>#N/A</v>
      </c>
      <c r="S569" t="e">
        <f>IF($J569&gt;MAX('Match Log'!$A$4:$A$1510),NA(),IFERROR(LOOKUP(2,1/(('Match Log'!$D$4:$D$1510=$S$24)*('Match Log'!$A$4:$A$1510&lt;=$J569)),'Match Log'!$N$4:$N$1510),NA()))</f>
        <v>#N/A</v>
      </c>
      <c r="T569" t="e">
        <f>IF($J569&gt;MAX('Match Log'!$A$4:$A$1510),NA(),IFERROR(LOOKUP(2,1/(('Match Log'!$D$4:$D$1510=$T$24)*('Match Log'!$A$4:$A$1510&lt;=$J569)),'Match Log'!$N$4:$N$1510),NA()))</f>
        <v>#N/A</v>
      </c>
      <c r="U569" t="e">
        <f>IF($J569&gt;MAX('Match Log'!$A$4:$A$1510),NA(),IFERROR(LOOKUP(2,1/(('Match Log'!$D$4:$D$1510=$U$24)*('Match Log'!$A$4:$A$1510&lt;=$J569)),'Match Log'!$N$4:$N$1510),NA()))</f>
        <v>#N/A</v>
      </c>
      <c r="V569" t="e">
        <f>IF($J569&gt;MAX('Match Log'!$A$4:$A$1510),NA(),IFERROR(LOOKUP(2,1/(('Match Log'!$D$4:$D$1510=$V$24)*('Match Log'!$A$4:$A$1510&lt;=$J569)),'Match Log'!$N$4:$N$1510),NA()))</f>
        <v>#N/A</v>
      </c>
      <c r="W569" t="e">
        <f>IF($J569&gt;MAX('Match Log'!$A$4:$A$1510),NA(),IFERROR(LOOKUP(2,1/(('Match Log'!$D$4:$D$1510=$W$24)*('Match Log'!$A$4:$A$1510&lt;=$J569)),'Match Log'!$N$4:$N$1510),NA()))</f>
        <v>#N/A</v>
      </c>
      <c r="X569" t="e">
        <f>IF($J569&gt;MAX('Match Log'!$A$4:$A$1510),NA(),IFERROR(LOOKUP(2,1/(('Match Log'!$D$4:$D$1510=$X$24)*('Match Log'!$A$4:$A$1510&lt;=$J569)),'Match Log'!$N$4:$N$1510),NA()))</f>
        <v>#N/A</v>
      </c>
      <c r="Y569" t="str">
        <f t="shared" ca="1" si="37"/>
        <v/>
      </c>
    </row>
    <row r="570" spans="1:25" x14ac:dyDescent="0.2">
      <c r="A570">
        <v>546</v>
      </c>
      <c r="B570" t="str">
        <f>IFERROR(INDEX('Match Log'!$B$4:$B$1510,MATCH($A570,'Match Log'!$A$4:$A$1510,0)),"")</f>
        <v/>
      </c>
      <c r="C570" t="str">
        <f>IFERROR(INDEX('Match Log'!$C$4:$C$1510,MATCH($A570,'Match Log'!$A$4:$A$1510,0)),"")</f>
        <v/>
      </c>
      <c r="D570" t="str">
        <f t="array" ref="D570">IFERROR(_xlfn.TEXTJOIN(" + ",TRUE(),IF(('Match Log'!$A$4:$A$1510=$A570)*('Match Log'!$E$4:$E$1510="Win"),'Match Log'!$D$4:$D$1510,"")),IFERROR(LOOKUP(2,1/(('Match Log'!$A$4:$A$1510=$A570)*('Match Log'!$E$4:$E$1510="Win")),'Match Log'!$D$4:$D$1510),""))</f>
        <v/>
      </c>
      <c r="E570" t="str">
        <f>IFERROR(INDEX('Match Log'!$F$4:$F$1510,MATCH($A570,'Match Log'!$A$4:$A$1510,0)),"")</f>
        <v/>
      </c>
      <c r="F570">
        <f>IFERROR(SUMIFS('Match Log'!$I$4:$I$1510,'Match Log'!$A$4:$A$1510,$A570,'Match Log'!$E$4:$E$1510,"Win"),"")</f>
        <v>0</v>
      </c>
      <c r="G570" t="str">
        <f t="shared" si="35"/>
        <v/>
      </c>
      <c r="H570" t="str">
        <f t="array" ref="H570">IFERROR(IF(COUNTIFS('Match Log'!$A$4:$A$1510,$A570,'Match Log'!$E$4:$E$1510,"Win")&gt;1,_xlfn.TEXTJOIN(" + ",TRUE(),IF(('Match Log'!$A$4:$A$1510=$A570)*('Match Log'!$E$4:$E$1510="Loss"),'Match Log'!$D$4:$D$1510,"")),IF($E570=2,LOOKUP(2,1/(('Match Log'!$A$4:$A$1510=$A570)*('Match Log'!$E$4:$E$1510="Loss")),'Match Log'!$D$4:$D$1510),"the field")),"")</f>
        <v>the field</v>
      </c>
      <c r="I570" t="str">
        <f t="shared" si="36"/>
        <v/>
      </c>
      <c r="J570">
        <v>546</v>
      </c>
      <c r="K570" t="e">
        <f>IF($J570&gt;MAX('Match Log'!$A$4:$A$1510),NA(),IFERROR(LOOKUP(2,1/(('Match Log'!$D$4:$D$1510=$K$24)*('Match Log'!$A$4:$A$1510&lt;=$J570)),'Match Log'!$N$4:$N$1510),NA()))</f>
        <v>#N/A</v>
      </c>
      <c r="L570" t="e">
        <f>IF($J570&gt;MAX('Match Log'!$A$4:$A$1510),NA(),IFERROR(LOOKUP(2,1/(('Match Log'!$D$4:$D$1510=$L$24)*('Match Log'!$A$4:$A$1510&lt;=$J570)),'Match Log'!$N$4:$N$1510),NA()))</f>
        <v>#N/A</v>
      </c>
      <c r="M570" t="e">
        <f>IF($J570&gt;MAX('Match Log'!$A$4:$A$1510),NA(),IFERROR(LOOKUP(2,1/(('Match Log'!$D$4:$D$1510=$M$24)*('Match Log'!$A$4:$A$1510&lt;=$J570)),'Match Log'!$N$4:$N$1510),NA()))</f>
        <v>#N/A</v>
      </c>
      <c r="N570" t="e">
        <f>IF($J570&gt;MAX('Match Log'!$A$4:$A$1510),NA(),IFERROR(LOOKUP(2,1/(('Match Log'!$D$4:$D$1510=$N$24)*('Match Log'!$A$4:$A$1510&lt;=$J570)),'Match Log'!$N$4:$N$1510),NA()))</f>
        <v>#N/A</v>
      </c>
      <c r="O570" t="e">
        <f>IF($J570&gt;MAX('Match Log'!$A$4:$A$1510),NA(),IFERROR(LOOKUP(2,1/(('Match Log'!$D$4:$D$1510=$O$24)*('Match Log'!$A$4:$A$1510&lt;=$J570)),'Match Log'!$N$4:$N$1510),NA()))</f>
        <v>#N/A</v>
      </c>
      <c r="P570" t="e">
        <f>IF($J570&gt;MAX('Match Log'!$A$4:$A$1510),NA(),IFERROR(LOOKUP(2,1/(('Match Log'!$D$4:$D$1510=$P$24)*('Match Log'!$A$4:$A$1510&lt;=$J570)),'Match Log'!$N$4:$N$1510),NA()))</f>
        <v>#N/A</v>
      </c>
      <c r="Q570" t="e">
        <f>IF($J570&gt;MAX('Match Log'!$A$4:$A$1510),NA(),IFERROR(LOOKUP(2,1/(('Match Log'!$D$4:$D$1510=$Q$24)*('Match Log'!$A$4:$A$1510&lt;=$J570)),'Match Log'!$N$4:$N$1510),NA()))</f>
        <v>#N/A</v>
      </c>
      <c r="R570" t="e">
        <f>IF($J570&gt;MAX('Match Log'!$A$4:$A$1510),NA(),IFERROR(LOOKUP(2,1/(('Match Log'!$D$4:$D$1510=$R$24)*('Match Log'!$A$4:$A$1510&lt;=$J570)),'Match Log'!$N$4:$N$1510),NA()))</f>
        <v>#N/A</v>
      </c>
      <c r="S570" t="e">
        <f>IF($J570&gt;MAX('Match Log'!$A$4:$A$1510),NA(),IFERROR(LOOKUP(2,1/(('Match Log'!$D$4:$D$1510=$S$24)*('Match Log'!$A$4:$A$1510&lt;=$J570)),'Match Log'!$N$4:$N$1510),NA()))</f>
        <v>#N/A</v>
      </c>
      <c r="T570" t="e">
        <f>IF($J570&gt;MAX('Match Log'!$A$4:$A$1510),NA(),IFERROR(LOOKUP(2,1/(('Match Log'!$D$4:$D$1510=$T$24)*('Match Log'!$A$4:$A$1510&lt;=$J570)),'Match Log'!$N$4:$N$1510),NA()))</f>
        <v>#N/A</v>
      </c>
      <c r="U570" t="e">
        <f>IF($J570&gt;MAX('Match Log'!$A$4:$A$1510),NA(),IFERROR(LOOKUP(2,1/(('Match Log'!$D$4:$D$1510=$U$24)*('Match Log'!$A$4:$A$1510&lt;=$J570)),'Match Log'!$N$4:$N$1510),NA()))</f>
        <v>#N/A</v>
      </c>
      <c r="V570" t="e">
        <f>IF($J570&gt;MAX('Match Log'!$A$4:$A$1510),NA(),IFERROR(LOOKUP(2,1/(('Match Log'!$D$4:$D$1510=$V$24)*('Match Log'!$A$4:$A$1510&lt;=$J570)),'Match Log'!$N$4:$N$1510),NA()))</f>
        <v>#N/A</v>
      </c>
      <c r="W570" t="e">
        <f>IF($J570&gt;MAX('Match Log'!$A$4:$A$1510),NA(),IFERROR(LOOKUP(2,1/(('Match Log'!$D$4:$D$1510=$W$24)*('Match Log'!$A$4:$A$1510&lt;=$J570)),'Match Log'!$N$4:$N$1510),NA()))</f>
        <v>#N/A</v>
      </c>
      <c r="X570" t="e">
        <f>IF($J570&gt;MAX('Match Log'!$A$4:$A$1510),NA(),IFERROR(LOOKUP(2,1/(('Match Log'!$D$4:$D$1510=$X$24)*('Match Log'!$A$4:$A$1510&lt;=$J570)),'Match Log'!$N$4:$N$1510),NA()))</f>
        <v>#N/A</v>
      </c>
      <c r="Y570" t="str">
        <f t="shared" ca="1" si="37"/>
        <v/>
      </c>
    </row>
    <row r="571" spans="1:25" x14ac:dyDescent="0.2">
      <c r="A571">
        <v>547</v>
      </c>
      <c r="B571" t="str">
        <f>IFERROR(INDEX('Match Log'!$B$4:$B$1510,MATCH($A571,'Match Log'!$A$4:$A$1510,0)),"")</f>
        <v/>
      </c>
      <c r="C571" t="str">
        <f>IFERROR(INDEX('Match Log'!$C$4:$C$1510,MATCH($A571,'Match Log'!$A$4:$A$1510,0)),"")</f>
        <v/>
      </c>
      <c r="D571" t="str">
        <f t="array" ref="D571">IFERROR(_xlfn.TEXTJOIN(" + ",TRUE(),IF(('Match Log'!$A$4:$A$1510=$A571)*('Match Log'!$E$4:$E$1510="Win"),'Match Log'!$D$4:$D$1510,"")),IFERROR(LOOKUP(2,1/(('Match Log'!$A$4:$A$1510=$A571)*('Match Log'!$E$4:$E$1510="Win")),'Match Log'!$D$4:$D$1510),""))</f>
        <v/>
      </c>
      <c r="E571" t="str">
        <f>IFERROR(INDEX('Match Log'!$F$4:$F$1510,MATCH($A571,'Match Log'!$A$4:$A$1510,0)),"")</f>
        <v/>
      </c>
      <c r="F571">
        <f>IFERROR(SUMIFS('Match Log'!$I$4:$I$1510,'Match Log'!$A$4:$A$1510,$A571,'Match Log'!$E$4:$E$1510,"Win"),"")</f>
        <v>0</v>
      </c>
      <c r="G571" t="str">
        <f t="shared" si="35"/>
        <v/>
      </c>
      <c r="H571" t="str">
        <f t="array" ref="H571">IFERROR(IF(COUNTIFS('Match Log'!$A$4:$A$1510,$A571,'Match Log'!$E$4:$E$1510,"Win")&gt;1,_xlfn.TEXTJOIN(" + ",TRUE(),IF(('Match Log'!$A$4:$A$1510=$A571)*('Match Log'!$E$4:$E$1510="Loss"),'Match Log'!$D$4:$D$1510,"")),IF($E571=2,LOOKUP(2,1/(('Match Log'!$A$4:$A$1510=$A571)*('Match Log'!$E$4:$E$1510="Loss")),'Match Log'!$D$4:$D$1510),"the field")),"")</f>
        <v>the field</v>
      </c>
      <c r="I571" t="str">
        <f t="shared" si="36"/>
        <v/>
      </c>
      <c r="J571">
        <v>547</v>
      </c>
      <c r="K571" t="e">
        <f>IF($J571&gt;MAX('Match Log'!$A$4:$A$1510),NA(),IFERROR(LOOKUP(2,1/(('Match Log'!$D$4:$D$1510=$K$24)*('Match Log'!$A$4:$A$1510&lt;=$J571)),'Match Log'!$N$4:$N$1510),NA()))</f>
        <v>#N/A</v>
      </c>
      <c r="L571" t="e">
        <f>IF($J571&gt;MAX('Match Log'!$A$4:$A$1510),NA(),IFERROR(LOOKUP(2,1/(('Match Log'!$D$4:$D$1510=$L$24)*('Match Log'!$A$4:$A$1510&lt;=$J571)),'Match Log'!$N$4:$N$1510),NA()))</f>
        <v>#N/A</v>
      </c>
      <c r="M571" t="e">
        <f>IF($J571&gt;MAX('Match Log'!$A$4:$A$1510),NA(),IFERROR(LOOKUP(2,1/(('Match Log'!$D$4:$D$1510=$M$24)*('Match Log'!$A$4:$A$1510&lt;=$J571)),'Match Log'!$N$4:$N$1510),NA()))</f>
        <v>#N/A</v>
      </c>
      <c r="N571" t="e">
        <f>IF($J571&gt;MAX('Match Log'!$A$4:$A$1510),NA(),IFERROR(LOOKUP(2,1/(('Match Log'!$D$4:$D$1510=$N$24)*('Match Log'!$A$4:$A$1510&lt;=$J571)),'Match Log'!$N$4:$N$1510),NA()))</f>
        <v>#N/A</v>
      </c>
      <c r="O571" t="e">
        <f>IF($J571&gt;MAX('Match Log'!$A$4:$A$1510),NA(),IFERROR(LOOKUP(2,1/(('Match Log'!$D$4:$D$1510=$O$24)*('Match Log'!$A$4:$A$1510&lt;=$J571)),'Match Log'!$N$4:$N$1510),NA()))</f>
        <v>#N/A</v>
      </c>
      <c r="P571" t="e">
        <f>IF($J571&gt;MAX('Match Log'!$A$4:$A$1510),NA(),IFERROR(LOOKUP(2,1/(('Match Log'!$D$4:$D$1510=$P$24)*('Match Log'!$A$4:$A$1510&lt;=$J571)),'Match Log'!$N$4:$N$1510),NA()))</f>
        <v>#N/A</v>
      </c>
      <c r="Q571" t="e">
        <f>IF($J571&gt;MAX('Match Log'!$A$4:$A$1510),NA(),IFERROR(LOOKUP(2,1/(('Match Log'!$D$4:$D$1510=$Q$24)*('Match Log'!$A$4:$A$1510&lt;=$J571)),'Match Log'!$N$4:$N$1510),NA()))</f>
        <v>#N/A</v>
      </c>
      <c r="R571" t="e">
        <f>IF($J571&gt;MAX('Match Log'!$A$4:$A$1510),NA(),IFERROR(LOOKUP(2,1/(('Match Log'!$D$4:$D$1510=$R$24)*('Match Log'!$A$4:$A$1510&lt;=$J571)),'Match Log'!$N$4:$N$1510),NA()))</f>
        <v>#N/A</v>
      </c>
      <c r="S571" t="e">
        <f>IF($J571&gt;MAX('Match Log'!$A$4:$A$1510),NA(),IFERROR(LOOKUP(2,1/(('Match Log'!$D$4:$D$1510=$S$24)*('Match Log'!$A$4:$A$1510&lt;=$J571)),'Match Log'!$N$4:$N$1510),NA()))</f>
        <v>#N/A</v>
      </c>
      <c r="T571" t="e">
        <f>IF($J571&gt;MAX('Match Log'!$A$4:$A$1510),NA(),IFERROR(LOOKUP(2,1/(('Match Log'!$D$4:$D$1510=$T$24)*('Match Log'!$A$4:$A$1510&lt;=$J571)),'Match Log'!$N$4:$N$1510),NA()))</f>
        <v>#N/A</v>
      </c>
      <c r="U571" t="e">
        <f>IF($J571&gt;MAX('Match Log'!$A$4:$A$1510),NA(),IFERROR(LOOKUP(2,1/(('Match Log'!$D$4:$D$1510=$U$24)*('Match Log'!$A$4:$A$1510&lt;=$J571)),'Match Log'!$N$4:$N$1510),NA()))</f>
        <v>#N/A</v>
      </c>
      <c r="V571" t="e">
        <f>IF($J571&gt;MAX('Match Log'!$A$4:$A$1510),NA(),IFERROR(LOOKUP(2,1/(('Match Log'!$D$4:$D$1510=$V$24)*('Match Log'!$A$4:$A$1510&lt;=$J571)),'Match Log'!$N$4:$N$1510),NA()))</f>
        <v>#N/A</v>
      </c>
      <c r="W571" t="e">
        <f>IF($J571&gt;MAX('Match Log'!$A$4:$A$1510),NA(),IFERROR(LOOKUP(2,1/(('Match Log'!$D$4:$D$1510=$W$24)*('Match Log'!$A$4:$A$1510&lt;=$J571)),'Match Log'!$N$4:$N$1510),NA()))</f>
        <v>#N/A</v>
      </c>
      <c r="X571" t="e">
        <f>IF($J571&gt;MAX('Match Log'!$A$4:$A$1510),NA(),IFERROR(LOOKUP(2,1/(('Match Log'!$D$4:$D$1510=$X$24)*('Match Log'!$A$4:$A$1510&lt;=$J571)),'Match Log'!$N$4:$N$1510),NA()))</f>
        <v>#N/A</v>
      </c>
      <c r="Y571" t="str">
        <f t="shared" ca="1" si="37"/>
        <v/>
      </c>
    </row>
    <row r="572" spans="1:25" x14ac:dyDescent="0.2">
      <c r="A572">
        <v>548</v>
      </c>
      <c r="B572" t="str">
        <f>IFERROR(INDEX('Match Log'!$B$4:$B$1510,MATCH($A572,'Match Log'!$A$4:$A$1510,0)),"")</f>
        <v/>
      </c>
      <c r="C572" t="str">
        <f>IFERROR(INDEX('Match Log'!$C$4:$C$1510,MATCH($A572,'Match Log'!$A$4:$A$1510,0)),"")</f>
        <v/>
      </c>
      <c r="D572" t="str">
        <f t="array" ref="D572">IFERROR(_xlfn.TEXTJOIN(" + ",TRUE(),IF(('Match Log'!$A$4:$A$1510=$A572)*('Match Log'!$E$4:$E$1510="Win"),'Match Log'!$D$4:$D$1510,"")),IFERROR(LOOKUP(2,1/(('Match Log'!$A$4:$A$1510=$A572)*('Match Log'!$E$4:$E$1510="Win")),'Match Log'!$D$4:$D$1510),""))</f>
        <v/>
      </c>
      <c r="E572" t="str">
        <f>IFERROR(INDEX('Match Log'!$F$4:$F$1510,MATCH($A572,'Match Log'!$A$4:$A$1510,0)),"")</f>
        <v/>
      </c>
      <c r="F572">
        <f>IFERROR(SUMIFS('Match Log'!$I$4:$I$1510,'Match Log'!$A$4:$A$1510,$A572,'Match Log'!$E$4:$E$1510,"Win"),"")</f>
        <v>0</v>
      </c>
      <c r="G572" t="str">
        <f t="shared" si="35"/>
        <v/>
      </c>
      <c r="H572" t="str">
        <f t="array" ref="H572">IFERROR(IF(COUNTIFS('Match Log'!$A$4:$A$1510,$A572,'Match Log'!$E$4:$E$1510,"Win")&gt;1,_xlfn.TEXTJOIN(" + ",TRUE(),IF(('Match Log'!$A$4:$A$1510=$A572)*('Match Log'!$E$4:$E$1510="Loss"),'Match Log'!$D$4:$D$1510,"")),IF($E572=2,LOOKUP(2,1/(('Match Log'!$A$4:$A$1510=$A572)*('Match Log'!$E$4:$E$1510="Loss")),'Match Log'!$D$4:$D$1510),"the field")),"")</f>
        <v>the field</v>
      </c>
      <c r="I572" t="str">
        <f t="shared" si="36"/>
        <v/>
      </c>
      <c r="J572">
        <v>548</v>
      </c>
      <c r="K572" t="e">
        <f>IF($J572&gt;MAX('Match Log'!$A$4:$A$1510),NA(),IFERROR(LOOKUP(2,1/(('Match Log'!$D$4:$D$1510=$K$24)*('Match Log'!$A$4:$A$1510&lt;=$J572)),'Match Log'!$N$4:$N$1510),NA()))</f>
        <v>#N/A</v>
      </c>
      <c r="L572" t="e">
        <f>IF($J572&gt;MAX('Match Log'!$A$4:$A$1510),NA(),IFERROR(LOOKUP(2,1/(('Match Log'!$D$4:$D$1510=$L$24)*('Match Log'!$A$4:$A$1510&lt;=$J572)),'Match Log'!$N$4:$N$1510),NA()))</f>
        <v>#N/A</v>
      </c>
      <c r="M572" t="e">
        <f>IF($J572&gt;MAX('Match Log'!$A$4:$A$1510),NA(),IFERROR(LOOKUP(2,1/(('Match Log'!$D$4:$D$1510=$M$24)*('Match Log'!$A$4:$A$1510&lt;=$J572)),'Match Log'!$N$4:$N$1510),NA()))</f>
        <v>#N/A</v>
      </c>
      <c r="N572" t="e">
        <f>IF($J572&gt;MAX('Match Log'!$A$4:$A$1510),NA(),IFERROR(LOOKUP(2,1/(('Match Log'!$D$4:$D$1510=$N$24)*('Match Log'!$A$4:$A$1510&lt;=$J572)),'Match Log'!$N$4:$N$1510),NA()))</f>
        <v>#N/A</v>
      </c>
      <c r="O572" t="e">
        <f>IF($J572&gt;MAX('Match Log'!$A$4:$A$1510),NA(),IFERROR(LOOKUP(2,1/(('Match Log'!$D$4:$D$1510=$O$24)*('Match Log'!$A$4:$A$1510&lt;=$J572)),'Match Log'!$N$4:$N$1510),NA()))</f>
        <v>#N/A</v>
      </c>
      <c r="P572" t="e">
        <f>IF($J572&gt;MAX('Match Log'!$A$4:$A$1510),NA(),IFERROR(LOOKUP(2,1/(('Match Log'!$D$4:$D$1510=$P$24)*('Match Log'!$A$4:$A$1510&lt;=$J572)),'Match Log'!$N$4:$N$1510),NA()))</f>
        <v>#N/A</v>
      </c>
      <c r="Q572" t="e">
        <f>IF($J572&gt;MAX('Match Log'!$A$4:$A$1510),NA(),IFERROR(LOOKUP(2,1/(('Match Log'!$D$4:$D$1510=$Q$24)*('Match Log'!$A$4:$A$1510&lt;=$J572)),'Match Log'!$N$4:$N$1510),NA()))</f>
        <v>#N/A</v>
      </c>
      <c r="R572" t="e">
        <f>IF($J572&gt;MAX('Match Log'!$A$4:$A$1510),NA(),IFERROR(LOOKUP(2,1/(('Match Log'!$D$4:$D$1510=$R$24)*('Match Log'!$A$4:$A$1510&lt;=$J572)),'Match Log'!$N$4:$N$1510),NA()))</f>
        <v>#N/A</v>
      </c>
      <c r="S572" t="e">
        <f>IF($J572&gt;MAX('Match Log'!$A$4:$A$1510),NA(),IFERROR(LOOKUP(2,1/(('Match Log'!$D$4:$D$1510=$S$24)*('Match Log'!$A$4:$A$1510&lt;=$J572)),'Match Log'!$N$4:$N$1510),NA()))</f>
        <v>#N/A</v>
      </c>
      <c r="T572" t="e">
        <f>IF($J572&gt;MAX('Match Log'!$A$4:$A$1510),NA(),IFERROR(LOOKUP(2,1/(('Match Log'!$D$4:$D$1510=$T$24)*('Match Log'!$A$4:$A$1510&lt;=$J572)),'Match Log'!$N$4:$N$1510),NA()))</f>
        <v>#N/A</v>
      </c>
      <c r="U572" t="e">
        <f>IF($J572&gt;MAX('Match Log'!$A$4:$A$1510),NA(),IFERROR(LOOKUP(2,1/(('Match Log'!$D$4:$D$1510=$U$24)*('Match Log'!$A$4:$A$1510&lt;=$J572)),'Match Log'!$N$4:$N$1510),NA()))</f>
        <v>#N/A</v>
      </c>
      <c r="V572" t="e">
        <f>IF($J572&gt;MAX('Match Log'!$A$4:$A$1510),NA(),IFERROR(LOOKUP(2,1/(('Match Log'!$D$4:$D$1510=$V$24)*('Match Log'!$A$4:$A$1510&lt;=$J572)),'Match Log'!$N$4:$N$1510),NA()))</f>
        <v>#N/A</v>
      </c>
      <c r="W572" t="e">
        <f>IF($J572&gt;MAX('Match Log'!$A$4:$A$1510),NA(),IFERROR(LOOKUP(2,1/(('Match Log'!$D$4:$D$1510=$W$24)*('Match Log'!$A$4:$A$1510&lt;=$J572)),'Match Log'!$N$4:$N$1510),NA()))</f>
        <v>#N/A</v>
      </c>
      <c r="X572" t="e">
        <f>IF($J572&gt;MAX('Match Log'!$A$4:$A$1510),NA(),IFERROR(LOOKUP(2,1/(('Match Log'!$D$4:$D$1510=$X$24)*('Match Log'!$A$4:$A$1510&lt;=$J572)),'Match Log'!$N$4:$N$1510),NA()))</f>
        <v>#N/A</v>
      </c>
      <c r="Y572" t="str">
        <f t="shared" ca="1" si="37"/>
        <v/>
      </c>
    </row>
    <row r="573" spans="1:25" x14ac:dyDescent="0.2">
      <c r="A573">
        <v>549</v>
      </c>
      <c r="B573" t="str">
        <f>IFERROR(INDEX('Match Log'!$B$4:$B$1510,MATCH($A573,'Match Log'!$A$4:$A$1510,0)),"")</f>
        <v/>
      </c>
      <c r="C573" t="str">
        <f>IFERROR(INDEX('Match Log'!$C$4:$C$1510,MATCH($A573,'Match Log'!$A$4:$A$1510,0)),"")</f>
        <v/>
      </c>
      <c r="D573" t="str">
        <f t="array" ref="D573">IFERROR(_xlfn.TEXTJOIN(" + ",TRUE(),IF(('Match Log'!$A$4:$A$1510=$A573)*('Match Log'!$E$4:$E$1510="Win"),'Match Log'!$D$4:$D$1510,"")),IFERROR(LOOKUP(2,1/(('Match Log'!$A$4:$A$1510=$A573)*('Match Log'!$E$4:$E$1510="Win")),'Match Log'!$D$4:$D$1510),""))</f>
        <v/>
      </c>
      <c r="E573" t="str">
        <f>IFERROR(INDEX('Match Log'!$F$4:$F$1510,MATCH($A573,'Match Log'!$A$4:$A$1510,0)),"")</f>
        <v/>
      </c>
      <c r="F573">
        <f>IFERROR(SUMIFS('Match Log'!$I$4:$I$1510,'Match Log'!$A$4:$A$1510,$A573,'Match Log'!$E$4:$E$1510,"Win"),"")</f>
        <v>0</v>
      </c>
      <c r="G573" t="str">
        <f t="shared" si="35"/>
        <v/>
      </c>
      <c r="H573" t="str">
        <f t="array" ref="H573">IFERROR(IF(COUNTIFS('Match Log'!$A$4:$A$1510,$A573,'Match Log'!$E$4:$E$1510,"Win")&gt;1,_xlfn.TEXTJOIN(" + ",TRUE(),IF(('Match Log'!$A$4:$A$1510=$A573)*('Match Log'!$E$4:$E$1510="Loss"),'Match Log'!$D$4:$D$1510,"")),IF($E573=2,LOOKUP(2,1/(('Match Log'!$A$4:$A$1510=$A573)*('Match Log'!$E$4:$E$1510="Loss")),'Match Log'!$D$4:$D$1510),"the field")),"")</f>
        <v>the field</v>
      </c>
      <c r="I573" t="str">
        <f t="shared" si="36"/>
        <v/>
      </c>
      <c r="J573">
        <v>549</v>
      </c>
      <c r="K573" t="e">
        <f>IF($J573&gt;MAX('Match Log'!$A$4:$A$1510),NA(),IFERROR(LOOKUP(2,1/(('Match Log'!$D$4:$D$1510=$K$24)*('Match Log'!$A$4:$A$1510&lt;=$J573)),'Match Log'!$N$4:$N$1510),NA()))</f>
        <v>#N/A</v>
      </c>
      <c r="L573" t="e">
        <f>IF($J573&gt;MAX('Match Log'!$A$4:$A$1510),NA(),IFERROR(LOOKUP(2,1/(('Match Log'!$D$4:$D$1510=$L$24)*('Match Log'!$A$4:$A$1510&lt;=$J573)),'Match Log'!$N$4:$N$1510),NA()))</f>
        <v>#N/A</v>
      </c>
      <c r="M573" t="e">
        <f>IF($J573&gt;MAX('Match Log'!$A$4:$A$1510),NA(),IFERROR(LOOKUP(2,1/(('Match Log'!$D$4:$D$1510=$M$24)*('Match Log'!$A$4:$A$1510&lt;=$J573)),'Match Log'!$N$4:$N$1510),NA()))</f>
        <v>#N/A</v>
      </c>
      <c r="N573" t="e">
        <f>IF($J573&gt;MAX('Match Log'!$A$4:$A$1510),NA(),IFERROR(LOOKUP(2,1/(('Match Log'!$D$4:$D$1510=$N$24)*('Match Log'!$A$4:$A$1510&lt;=$J573)),'Match Log'!$N$4:$N$1510),NA()))</f>
        <v>#N/A</v>
      </c>
      <c r="O573" t="e">
        <f>IF($J573&gt;MAX('Match Log'!$A$4:$A$1510),NA(),IFERROR(LOOKUP(2,1/(('Match Log'!$D$4:$D$1510=$O$24)*('Match Log'!$A$4:$A$1510&lt;=$J573)),'Match Log'!$N$4:$N$1510),NA()))</f>
        <v>#N/A</v>
      </c>
      <c r="P573" t="e">
        <f>IF($J573&gt;MAX('Match Log'!$A$4:$A$1510),NA(),IFERROR(LOOKUP(2,1/(('Match Log'!$D$4:$D$1510=$P$24)*('Match Log'!$A$4:$A$1510&lt;=$J573)),'Match Log'!$N$4:$N$1510),NA()))</f>
        <v>#N/A</v>
      </c>
      <c r="Q573" t="e">
        <f>IF($J573&gt;MAX('Match Log'!$A$4:$A$1510),NA(),IFERROR(LOOKUP(2,1/(('Match Log'!$D$4:$D$1510=$Q$24)*('Match Log'!$A$4:$A$1510&lt;=$J573)),'Match Log'!$N$4:$N$1510),NA()))</f>
        <v>#N/A</v>
      </c>
      <c r="R573" t="e">
        <f>IF($J573&gt;MAX('Match Log'!$A$4:$A$1510),NA(),IFERROR(LOOKUP(2,1/(('Match Log'!$D$4:$D$1510=$R$24)*('Match Log'!$A$4:$A$1510&lt;=$J573)),'Match Log'!$N$4:$N$1510),NA()))</f>
        <v>#N/A</v>
      </c>
      <c r="S573" t="e">
        <f>IF($J573&gt;MAX('Match Log'!$A$4:$A$1510),NA(),IFERROR(LOOKUP(2,1/(('Match Log'!$D$4:$D$1510=$S$24)*('Match Log'!$A$4:$A$1510&lt;=$J573)),'Match Log'!$N$4:$N$1510),NA()))</f>
        <v>#N/A</v>
      </c>
      <c r="T573" t="e">
        <f>IF($J573&gt;MAX('Match Log'!$A$4:$A$1510),NA(),IFERROR(LOOKUP(2,1/(('Match Log'!$D$4:$D$1510=$T$24)*('Match Log'!$A$4:$A$1510&lt;=$J573)),'Match Log'!$N$4:$N$1510),NA()))</f>
        <v>#N/A</v>
      </c>
      <c r="U573" t="e">
        <f>IF($J573&gt;MAX('Match Log'!$A$4:$A$1510),NA(),IFERROR(LOOKUP(2,1/(('Match Log'!$D$4:$D$1510=$U$24)*('Match Log'!$A$4:$A$1510&lt;=$J573)),'Match Log'!$N$4:$N$1510),NA()))</f>
        <v>#N/A</v>
      </c>
      <c r="V573" t="e">
        <f>IF($J573&gt;MAX('Match Log'!$A$4:$A$1510),NA(),IFERROR(LOOKUP(2,1/(('Match Log'!$D$4:$D$1510=$V$24)*('Match Log'!$A$4:$A$1510&lt;=$J573)),'Match Log'!$N$4:$N$1510),NA()))</f>
        <v>#N/A</v>
      </c>
      <c r="W573" t="e">
        <f>IF($J573&gt;MAX('Match Log'!$A$4:$A$1510),NA(),IFERROR(LOOKUP(2,1/(('Match Log'!$D$4:$D$1510=$W$24)*('Match Log'!$A$4:$A$1510&lt;=$J573)),'Match Log'!$N$4:$N$1510),NA()))</f>
        <v>#N/A</v>
      </c>
      <c r="X573" t="e">
        <f>IF($J573&gt;MAX('Match Log'!$A$4:$A$1510),NA(),IFERROR(LOOKUP(2,1/(('Match Log'!$D$4:$D$1510=$X$24)*('Match Log'!$A$4:$A$1510&lt;=$J573)),'Match Log'!$N$4:$N$1510),NA()))</f>
        <v>#N/A</v>
      </c>
      <c r="Y573" t="str">
        <f t="shared" ca="1" si="37"/>
        <v/>
      </c>
    </row>
    <row r="574" spans="1:25" x14ac:dyDescent="0.2">
      <c r="A574">
        <v>550</v>
      </c>
      <c r="B574" t="str">
        <f>IFERROR(INDEX('Match Log'!$B$4:$B$1510,MATCH($A574,'Match Log'!$A$4:$A$1510,0)),"")</f>
        <v/>
      </c>
      <c r="C574" t="str">
        <f>IFERROR(INDEX('Match Log'!$C$4:$C$1510,MATCH($A574,'Match Log'!$A$4:$A$1510,0)),"")</f>
        <v/>
      </c>
      <c r="D574" t="str">
        <f t="array" ref="D574">IFERROR(_xlfn.TEXTJOIN(" + ",TRUE(),IF(('Match Log'!$A$4:$A$1510=$A574)*('Match Log'!$E$4:$E$1510="Win"),'Match Log'!$D$4:$D$1510,"")),IFERROR(LOOKUP(2,1/(('Match Log'!$A$4:$A$1510=$A574)*('Match Log'!$E$4:$E$1510="Win")),'Match Log'!$D$4:$D$1510),""))</f>
        <v/>
      </c>
      <c r="E574" t="str">
        <f>IFERROR(INDEX('Match Log'!$F$4:$F$1510,MATCH($A574,'Match Log'!$A$4:$A$1510,0)),"")</f>
        <v/>
      </c>
      <c r="F574">
        <f>IFERROR(SUMIFS('Match Log'!$I$4:$I$1510,'Match Log'!$A$4:$A$1510,$A574,'Match Log'!$E$4:$E$1510,"Win"),"")</f>
        <v>0</v>
      </c>
      <c r="G574" t="str">
        <f t="shared" si="35"/>
        <v/>
      </c>
      <c r="H574" t="str">
        <f t="array" ref="H574">IFERROR(IF(COUNTIFS('Match Log'!$A$4:$A$1510,$A574,'Match Log'!$E$4:$E$1510,"Win")&gt;1,_xlfn.TEXTJOIN(" + ",TRUE(),IF(('Match Log'!$A$4:$A$1510=$A574)*('Match Log'!$E$4:$E$1510="Loss"),'Match Log'!$D$4:$D$1510,"")),IF($E574=2,LOOKUP(2,1/(('Match Log'!$A$4:$A$1510=$A574)*('Match Log'!$E$4:$E$1510="Loss")),'Match Log'!$D$4:$D$1510),"the field")),"")</f>
        <v>the field</v>
      </c>
      <c r="I574" t="str">
        <f t="shared" si="36"/>
        <v/>
      </c>
      <c r="J574">
        <v>550</v>
      </c>
      <c r="K574" t="e">
        <f>IF($J574&gt;MAX('Match Log'!$A$4:$A$1510),NA(),IFERROR(LOOKUP(2,1/(('Match Log'!$D$4:$D$1510=$K$24)*('Match Log'!$A$4:$A$1510&lt;=$J574)),'Match Log'!$N$4:$N$1510),NA()))</f>
        <v>#N/A</v>
      </c>
      <c r="L574" t="e">
        <f>IF($J574&gt;MAX('Match Log'!$A$4:$A$1510),NA(),IFERROR(LOOKUP(2,1/(('Match Log'!$D$4:$D$1510=$L$24)*('Match Log'!$A$4:$A$1510&lt;=$J574)),'Match Log'!$N$4:$N$1510),NA()))</f>
        <v>#N/A</v>
      </c>
      <c r="M574" t="e">
        <f>IF($J574&gt;MAX('Match Log'!$A$4:$A$1510),NA(),IFERROR(LOOKUP(2,1/(('Match Log'!$D$4:$D$1510=$M$24)*('Match Log'!$A$4:$A$1510&lt;=$J574)),'Match Log'!$N$4:$N$1510),NA()))</f>
        <v>#N/A</v>
      </c>
      <c r="N574" t="e">
        <f>IF($J574&gt;MAX('Match Log'!$A$4:$A$1510),NA(),IFERROR(LOOKUP(2,1/(('Match Log'!$D$4:$D$1510=$N$24)*('Match Log'!$A$4:$A$1510&lt;=$J574)),'Match Log'!$N$4:$N$1510),NA()))</f>
        <v>#N/A</v>
      </c>
      <c r="O574" t="e">
        <f>IF($J574&gt;MAX('Match Log'!$A$4:$A$1510),NA(),IFERROR(LOOKUP(2,1/(('Match Log'!$D$4:$D$1510=$O$24)*('Match Log'!$A$4:$A$1510&lt;=$J574)),'Match Log'!$N$4:$N$1510),NA()))</f>
        <v>#N/A</v>
      </c>
      <c r="P574" t="e">
        <f>IF($J574&gt;MAX('Match Log'!$A$4:$A$1510),NA(),IFERROR(LOOKUP(2,1/(('Match Log'!$D$4:$D$1510=$P$24)*('Match Log'!$A$4:$A$1510&lt;=$J574)),'Match Log'!$N$4:$N$1510),NA()))</f>
        <v>#N/A</v>
      </c>
      <c r="Q574" t="e">
        <f>IF($J574&gt;MAX('Match Log'!$A$4:$A$1510),NA(),IFERROR(LOOKUP(2,1/(('Match Log'!$D$4:$D$1510=$Q$24)*('Match Log'!$A$4:$A$1510&lt;=$J574)),'Match Log'!$N$4:$N$1510),NA()))</f>
        <v>#N/A</v>
      </c>
      <c r="R574" t="e">
        <f>IF($J574&gt;MAX('Match Log'!$A$4:$A$1510),NA(),IFERROR(LOOKUP(2,1/(('Match Log'!$D$4:$D$1510=$R$24)*('Match Log'!$A$4:$A$1510&lt;=$J574)),'Match Log'!$N$4:$N$1510),NA()))</f>
        <v>#N/A</v>
      </c>
      <c r="S574" t="e">
        <f>IF($J574&gt;MAX('Match Log'!$A$4:$A$1510),NA(),IFERROR(LOOKUP(2,1/(('Match Log'!$D$4:$D$1510=$S$24)*('Match Log'!$A$4:$A$1510&lt;=$J574)),'Match Log'!$N$4:$N$1510),NA()))</f>
        <v>#N/A</v>
      </c>
      <c r="T574" t="e">
        <f>IF($J574&gt;MAX('Match Log'!$A$4:$A$1510),NA(),IFERROR(LOOKUP(2,1/(('Match Log'!$D$4:$D$1510=$T$24)*('Match Log'!$A$4:$A$1510&lt;=$J574)),'Match Log'!$N$4:$N$1510),NA()))</f>
        <v>#N/A</v>
      </c>
      <c r="U574" t="e">
        <f>IF($J574&gt;MAX('Match Log'!$A$4:$A$1510),NA(),IFERROR(LOOKUP(2,1/(('Match Log'!$D$4:$D$1510=$U$24)*('Match Log'!$A$4:$A$1510&lt;=$J574)),'Match Log'!$N$4:$N$1510),NA()))</f>
        <v>#N/A</v>
      </c>
      <c r="V574" t="e">
        <f>IF($J574&gt;MAX('Match Log'!$A$4:$A$1510),NA(),IFERROR(LOOKUP(2,1/(('Match Log'!$D$4:$D$1510=$V$24)*('Match Log'!$A$4:$A$1510&lt;=$J574)),'Match Log'!$N$4:$N$1510),NA()))</f>
        <v>#N/A</v>
      </c>
      <c r="W574" t="e">
        <f>IF($J574&gt;MAX('Match Log'!$A$4:$A$1510),NA(),IFERROR(LOOKUP(2,1/(('Match Log'!$D$4:$D$1510=$W$24)*('Match Log'!$A$4:$A$1510&lt;=$J574)),'Match Log'!$N$4:$N$1510),NA()))</f>
        <v>#N/A</v>
      </c>
      <c r="X574" t="e">
        <f>IF($J574&gt;MAX('Match Log'!$A$4:$A$1510),NA(),IFERROR(LOOKUP(2,1/(('Match Log'!$D$4:$D$1510=$X$24)*('Match Log'!$A$4:$A$1510&lt;=$J574)),'Match Log'!$N$4:$N$1510),NA()))</f>
        <v>#N/A</v>
      </c>
      <c r="Y574" t="str">
        <f t="shared" ca="1" si="37"/>
        <v/>
      </c>
    </row>
    <row r="575" spans="1:25" x14ac:dyDescent="0.2">
      <c r="A575">
        <v>551</v>
      </c>
      <c r="B575" t="str">
        <f>IFERROR(INDEX('Match Log'!$B$4:$B$1510,MATCH($A575,'Match Log'!$A$4:$A$1510,0)),"")</f>
        <v/>
      </c>
      <c r="C575" t="str">
        <f>IFERROR(INDEX('Match Log'!$C$4:$C$1510,MATCH($A575,'Match Log'!$A$4:$A$1510,0)),"")</f>
        <v/>
      </c>
      <c r="D575" t="str">
        <f t="array" ref="D575">IFERROR(_xlfn.TEXTJOIN(" + ",TRUE(),IF(('Match Log'!$A$4:$A$1510=$A575)*('Match Log'!$E$4:$E$1510="Win"),'Match Log'!$D$4:$D$1510,"")),IFERROR(LOOKUP(2,1/(('Match Log'!$A$4:$A$1510=$A575)*('Match Log'!$E$4:$E$1510="Win")),'Match Log'!$D$4:$D$1510),""))</f>
        <v/>
      </c>
      <c r="E575" t="str">
        <f>IFERROR(INDEX('Match Log'!$F$4:$F$1510,MATCH($A575,'Match Log'!$A$4:$A$1510,0)),"")</f>
        <v/>
      </c>
      <c r="F575">
        <f>IFERROR(SUMIFS('Match Log'!$I$4:$I$1510,'Match Log'!$A$4:$A$1510,$A575,'Match Log'!$E$4:$E$1510,"Win"),"")</f>
        <v>0</v>
      </c>
      <c r="G575" t="str">
        <f t="shared" si="35"/>
        <v/>
      </c>
      <c r="H575" t="str">
        <f t="array" ref="H575">IFERROR(IF(COUNTIFS('Match Log'!$A$4:$A$1510,$A575,'Match Log'!$E$4:$E$1510,"Win")&gt;1,_xlfn.TEXTJOIN(" + ",TRUE(),IF(('Match Log'!$A$4:$A$1510=$A575)*('Match Log'!$E$4:$E$1510="Loss"),'Match Log'!$D$4:$D$1510,"")),IF($E575=2,LOOKUP(2,1/(('Match Log'!$A$4:$A$1510=$A575)*('Match Log'!$E$4:$E$1510="Loss")),'Match Log'!$D$4:$D$1510),"the field")),"")</f>
        <v>the field</v>
      </c>
      <c r="I575" t="str">
        <f t="shared" si="36"/>
        <v/>
      </c>
      <c r="J575">
        <v>551</v>
      </c>
      <c r="K575" t="e">
        <f>IF($J575&gt;MAX('Match Log'!$A$4:$A$1510),NA(),IFERROR(LOOKUP(2,1/(('Match Log'!$D$4:$D$1510=$K$24)*('Match Log'!$A$4:$A$1510&lt;=$J575)),'Match Log'!$N$4:$N$1510),NA()))</f>
        <v>#N/A</v>
      </c>
      <c r="L575" t="e">
        <f>IF($J575&gt;MAX('Match Log'!$A$4:$A$1510),NA(),IFERROR(LOOKUP(2,1/(('Match Log'!$D$4:$D$1510=$L$24)*('Match Log'!$A$4:$A$1510&lt;=$J575)),'Match Log'!$N$4:$N$1510),NA()))</f>
        <v>#N/A</v>
      </c>
      <c r="M575" t="e">
        <f>IF($J575&gt;MAX('Match Log'!$A$4:$A$1510),NA(),IFERROR(LOOKUP(2,1/(('Match Log'!$D$4:$D$1510=$M$24)*('Match Log'!$A$4:$A$1510&lt;=$J575)),'Match Log'!$N$4:$N$1510),NA()))</f>
        <v>#N/A</v>
      </c>
      <c r="N575" t="e">
        <f>IF($J575&gt;MAX('Match Log'!$A$4:$A$1510),NA(),IFERROR(LOOKUP(2,1/(('Match Log'!$D$4:$D$1510=$N$24)*('Match Log'!$A$4:$A$1510&lt;=$J575)),'Match Log'!$N$4:$N$1510),NA()))</f>
        <v>#N/A</v>
      </c>
      <c r="O575" t="e">
        <f>IF($J575&gt;MAX('Match Log'!$A$4:$A$1510),NA(),IFERROR(LOOKUP(2,1/(('Match Log'!$D$4:$D$1510=$O$24)*('Match Log'!$A$4:$A$1510&lt;=$J575)),'Match Log'!$N$4:$N$1510),NA()))</f>
        <v>#N/A</v>
      </c>
      <c r="P575" t="e">
        <f>IF($J575&gt;MAX('Match Log'!$A$4:$A$1510),NA(),IFERROR(LOOKUP(2,1/(('Match Log'!$D$4:$D$1510=$P$24)*('Match Log'!$A$4:$A$1510&lt;=$J575)),'Match Log'!$N$4:$N$1510),NA()))</f>
        <v>#N/A</v>
      </c>
      <c r="Q575" t="e">
        <f>IF($J575&gt;MAX('Match Log'!$A$4:$A$1510),NA(),IFERROR(LOOKUP(2,1/(('Match Log'!$D$4:$D$1510=$Q$24)*('Match Log'!$A$4:$A$1510&lt;=$J575)),'Match Log'!$N$4:$N$1510),NA()))</f>
        <v>#N/A</v>
      </c>
      <c r="R575" t="e">
        <f>IF($J575&gt;MAX('Match Log'!$A$4:$A$1510),NA(),IFERROR(LOOKUP(2,1/(('Match Log'!$D$4:$D$1510=$R$24)*('Match Log'!$A$4:$A$1510&lt;=$J575)),'Match Log'!$N$4:$N$1510),NA()))</f>
        <v>#N/A</v>
      </c>
      <c r="S575" t="e">
        <f>IF($J575&gt;MAX('Match Log'!$A$4:$A$1510),NA(),IFERROR(LOOKUP(2,1/(('Match Log'!$D$4:$D$1510=$S$24)*('Match Log'!$A$4:$A$1510&lt;=$J575)),'Match Log'!$N$4:$N$1510),NA()))</f>
        <v>#N/A</v>
      </c>
      <c r="T575" t="e">
        <f>IF($J575&gt;MAX('Match Log'!$A$4:$A$1510),NA(),IFERROR(LOOKUP(2,1/(('Match Log'!$D$4:$D$1510=$T$24)*('Match Log'!$A$4:$A$1510&lt;=$J575)),'Match Log'!$N$4:$N$1510),NA()))</f>
        <v>#N/A</v>
      </c>
      <c r="U575" t="e">
        <f>IF($J575&gt;MAX('Match Log'!$A$4:$A$1510),NA(),IFERROR(LOOKUP(2,1/(('Match Log'!$D$4:$D$1510=$U$24)*('Match Log'!$A$4:$A$1510&lt;=$J575)),'Match Log'!$N$4:$N$1510),NA()))</f>
        <v>#N/A</v>
      </c>
      <c r="V575" t="e">
        <f>IF($J575&gt;MAX('Match Log'!$A$4:$A$1510),NA(),IFERROR(LOOKUP(2,1/(('Match Log'!$D$4:$D$1510=$V$24)*('Match Log'!$A$4:$A$1510&lt;=$J575)),'Match Log'!$N$4:$N$1510),NA()))</f>
        <v>#N/A</v>
      </c>
      <c r="W575" t="e">
        <f>IF($J575&gt;MAX('Match Log'!$A$4:$A$1510),NA(),IFERROR(LOOKUP(2,1/(('Match Log'!$D$4:$D$1510=$W$24)*('Match Log'!$A$4:$A$1510&lt;=$J575)),'Match Log'!$N$4:$N$1510),NA()))</f>
        <v>#N/A</v>
      </c>
      <c r="X575" t="e">
        <f>IF($J575&gt;MAX('Match Log'!$A$4:$A$1510),NA(),IFERROR(LOOKUP(2,1/(('Match Log'!$D$4:$D$1510=$X$24)*('Match Log'!$A$4:$A$1510&lt;=$J575)),'Match Log'!$N$4:$N$1510),NA()))</f>
        <v>#N/A</v>
      </c>
      <c r="Y575" t="str">
        <f t="shared" ca="1" si="37"/>
        <v/>
      </c>
    </row>
    <row r="576" spans="1:25" x14ac:dyDescent="0.2">
      <c r="A576">
        <v>552</v>
      </c>
      <c r="B576" t="str">
        <f>IFERROR(INDEX('Match Log'!$B$4:$B$1510,MATCH($A576,'Match Log'!$A$4:$A$1510,0)),"")</f>
        <v/>
      </c>
      <c r="C576" t="str">
        <f>IFERROR(INDEX('Match Log'!$C$4:$C$1510,MATCH($A576,'Match Log'!$A$4:$A$1510,0)),"")</f>
        <v/>
      </c>
      <c r="D576" t="str">
        <f t="array" ref="D576">IFERROR(_xlfn.TEXTJOIN(" + ",TRUE(),IF(('Match Log'!$A$4:$A$1510=$A576)*('Match Log'!$E$4:$E$1510="Win"),'Match Log'!$D$4:$D$1510,"")),IFERROR(LOOKUP(2,1/(('Match Log'!$A$4:$A$1510=$A576)*('Match Log'!$E$4:$E$1510="Win")),'Match Log'!$D$4:$D$1510),""))</f>
        <v/>
      </c>
      <c r="E576" t="str">
        <f>IFERROR(INDEX('Match Log'!$F$4:$F$1510,MATCH($A576,'Match Log'!$A$4:$A$1510,0)),"")</f>
        <v/>
      </c>
      <c r="F576">
        <f>IFERROR(SUMIFS('Match Log'!$I$4:$I$1510,'Match Log'!$A$4:$A$1510,$A576,'Match Log'!$E$4:$E$1510,"Win"),"")</f>
        <v>0</v>
      </c>
      <c r="G576" t="str">
        <f t="shared" si="35"/>
        <v/>
      </c>
      <c r="H576" t="str">
        <f t="array" ref="H576">IFERROR(IF(COUNTIFS('Match Log'!$A$4:$A$1510,$A576,'Match Log'!$E$4:$E$1510,"Win")&gt;1,_xlfn.TEXTJOIN(" + ",TRUE(),IF(('Match Log'!$A$4:$A$1510=$A576)*('Match Log'!$E$4:$E$1510="Loss"),'Match Log'!$D$4:$D$1510,"")),IF($E576=2,LOOKUP(2,1/(('Match Log'!$A$4:$A$1510=$A576)*('Match Log'!$E$4:$E$1510="Loss")),'Match Log'!$D$4:$D$1510),"the field")),"")</f>
        <v>the field</v>
      </c>
      <c r="I576" t="str">
        <f t="shared" si="36"/>
        <v/>
      </c>
      <c r="J576">
        <v>552</v>
      </c>
      <c r="K576" t="e">
        <f>IF($J576&gt;MAX('Match Log'!$A$4:$A$1510),NA(),IFERROR(LOOKUP(2,1/(('Match Log'!$D$4:$D$1510=$K$24)*('Match Log'!$A$4:$A$1510&lt;=$J576)),'Match Log'!$N$4:$N$1510),NA()))</f>
        <v>#N/A</v>
      </c>
      <c r="L576" t="e">
        <f>IF($J576&gt;MAX('Match Log'!$A$4:$A$1510),NA(),IFERROR(LOOKUP(2,1/(('Match Log'!$D$4:$D$1510=$L$24)*('Match Log'!$A$4:$A$1510&lt;=$J576)),'Match Log'!$N$4:$N$1510),NA()))</f>
        <v>#N/A</v>
      </c>
      <c r="M576" t="e">
        <f>IF($J576&gt;MAX('Match Log'!$A$4:$A$1510),NA(),IFERROR(LOOKUP(2,1/(('Match Log'!$D$4:$D$1510=$M$24)*('Match Log'!$A$4:$A$1510&lt;=$J576)),'Match Log'!$N$4:$N$1510),NA()))</f>
        <v>#N/A</v>
      </c>
      <c r="N576" t="e">
        <f>IF($J576&gt;MAX('Match Log'!$A$4:$A$1510),NA(),IFERROR(LOOKUP(2,1/(('Match Log'!$D$4:$D$1510=$N$24)*('Match Log'!$A$4:$A$1510&lt;=$J576)),'Match Log'!$N$4:$N$1510),NA()))</f>
        <v>#N/A</v>
      </c>
      <c r="O576" t="e">
        <f>IF($J576&gt;MAX('Match Log'!$A$4:$A$1510),NA(),IFERROR(LOOKUP(2,1/(('Match Log'!$D$4:$D$1510=$O$24)*('Match Log'!$A$4:$A$1510&lt;=$J576)),'Match Log'!$N$4:$N$1510),NA()))</f>
        <v>#N/A</v>
      </c>
      <c r="P576" t="e">
        <f>IF($J576&gt;MAX('Match Log'!$A$4:$A$1510),NA(),IFERROR(LOOKUP(2,1/(('Match Log'!$D$4:$D$1510=$P$24)*('Match Log'!$A$4:$A$1510&lt;=$J576)),'Match Log'!$N$4:$N$1510),NA()))</f>
        <v>#N/A</v>
      </c>
      <c r="Q576" t="e">
        <f>IF($J576&gt;MAX('Match Log'!$A$4:$A$1510),NA(),IFERROR(LOOKUP(2,1/(('Match Log'!$D$4:$D$1510=$Q$24)*('Match Log'!$A$4:$A$1510&lt;=$J576)),'Match Log'!$N$4:$N$1510),NA()))</f>
        <v>#N/A</v>
      </c>
      <c r="R576" t="e">
        <f>IF($J576&gt;MAX('Match Log'!$A$4:$A$1510),NA(),IFERROR(LOOKUP(2,1/(('Match Log'!$D$4:$D$1510=$R$24)*('Match Log'!$A$4:$A$1510&lt;=$J576)),'Match Log'!$N$4:$N$1510),NA()))</f>
        <v>#N/A</v>
      </c>
      <c r="S576" t="e">
        <f>IF($J576&gt;MAX('Match Log'!$A$4:$A$1510),NA(),IFERROR(LOOKUP(2,1/(('Match Log'!$D$4:$D$1510=$S$24)*('Match Log'!$A$4:$A$1510&lt;=$J576)),'Match Log'!$N$4:$N$1510),NA()))</f>
        <v>#N/A</v>
      </c>
      <c r="T576" t="e">
        <f>IF($J576&gt;MAX('Match Log'!$A$4:$A$1510),NA(),IFERROR(LOOKUP(2,1/(('Match Log'!$D$4:$D$1510=$T$24)*('Match Log'!$A$4:$A$1510&lt;=$J576)),'Match Log'!$N$4:$N$1510),NA()))</f>
        <v>#N/A</v>
      </c>
      <c r="U576" t="e">
        <f>IF($J576&gt;MAX('Match Log'!$A$4:$A$1510),NA(),IFERROR(LOOKUP(2,1/(('Match Log'!$D$4:$D$1510=$U$24)*('Match Log'!$A$4:$A$1510&lt;=$J576)),'Match Log'!$N$4:$N$1510),NA()))</f>
        <v>#N/A</v>
      </c>
      <c r="V576" t="e">
        <f>IF($J576&gt;MAX('Match Log'!$A$4:$A$1510),NA(),IFERROR(LOOKUP(2,1/(('Match Log'!$D$4:$D$1510=$V$24)*('Match Log'!$A$4:$A$1510&lt;=$J576)),'Match Log'!$N$4:$N$1510),NA()))</f>
        <v>#N/A</v>
      </c>
      <c r="W576" t="e">
        <f>IF($J576&gt;MAX('Match Log'!$A$4:$A$1510),NA(),IFERROR(LOOKUP(2,1/(('Match Log'!$D$4:$D$1510=$W$24)*('Match Log'!$A$4:$A$1510&lt;=$J576)),'Match Log'!$N$4:$N$1510),NA()))</f>
        <v>#N/A</v>
      </c>
      <c r="X576" t="e">
        <f>IF($J576&gt;MAX('Match Log'!$A$4:$A$1510),NA(),IFERROR(LOOKUP(2,1/(('Match Log'!$D$4:$D$1510=$X$24)*('Match Log'!$A$4:$A$1510&lt;=$J576)),'Match Log'!$N$4:$N$1510),NA()))</f>
        <v>#N/A</v>
      </c>
      <c r="Y576" t="str">
        <f t="shared" ca="1" si="37"/>
        <v/>
      </c>
    </row>
    <row r="577" spans="1:25" x14ac:dyDescent="0.2">
      <c r="A577">
        <v>553</v>
      </c>
      <c r="B577" t="str">
        <f>IFERROR(INDEX('Match Log'!$B$4:$B$1510,MATCH($A577,'Match Log'!$A$4:$A$1510,0)),"")</f>
        <v/>
      </c>
      <c r="C577" t="str">
        <f>IFERROR(INDEX('Match Log'!$C$4:$C$1510,MATCH($A577,'Match Log'!$A$4:$A$1510,0)),"")</f>
        <v/>
      </c>
      <c r="D577" t="str">
        <f t="array" ref="D577">IFERROR(_xlfn.TEXTJOIN(" + ",TRUE(),IF(('Match Log'!$A$4:$A$1510=$A577)*('Match Log'!$E$4:$E$1510="Win"),'Match Log'!$D$4:$D$1510,"")),IFERROR(LOOKUP(2,1/(('Match Log'!$A$4:$A$1510=$A577)*('Match Log'!$E$4:$E$1510="Win")),'Match Log'!$D$4:$D$1510),""))</f>
        <v/>
      </c>
      <c r="E577" t="str">
        <f>IFERROR(INDEX('Match Log'!$F$4:$F$1510,MATCH($A577,'Match Log'!$A$4:$A$1510,0)),"")</f>
        <v/>
      </c>
      <c r="F577">
        <f>IFERROR(SUMIFS('Match Log'!$I$4:$I$1510,'Match Log'!$A$4:$A$1510,$A577,'Match Log'!$E$4:$E$1510,"Win"),"")</f>
        <v>0</v>
      </c>
      <c r="G577" t="str">
        <f t="shared" si="35"/>
        <v/>
      </c>
      <c r="H577" t="str">
        <f t="array" ref="H577">IFERROR(IF(COUNTIFS('Match Log'!$A$4:$A$1510,$A577,'Match Log'!$E$4:$E$1510,"Win")&gt;1,_xlfn.TEXTJOIN(" + ",TRUE(),IF(('Match Log'!$A$4:$A$1510=$A577)*('Match Log'!$E$4:$E$1510="Loss"),'Match Log'!$D$4:$D$1510,"")),IF($E577=2,LOOKUP(2,1/(('Match Log'!$A$4:$A$1510=$A577)*('Match Log'!$E$4:$E$1510="Loss")),'Match Log'!$D$4:$D$1510),"the field")),"")</f>
        <v>the field</v>
      </c>
      <c r="I577" t="str">
        <f t="shared" si="36"/>
        <v/>
      </c>
      <c r="J577">
        <v>553</v>
      </c>
      <c r="K577" t="e">
        <f>IF($J577&gt;MAX('Match Log'!$A$4:$A$1510),NA(),IFERROR(LOOKUP(2,1/(('Match Log'!$D$4:$D$1510=$K$24)*('Match Log'!$A$4:$A$1510&lt;=$J577)),'Match Log'!$N$4:$N$1510),NA()))</f>
        <v>#N/A</v>
      </c>
      <c r="L577" t="e">
        <f>IF($J577&gt;MAX('Match Log'!$A$4:$A$1510),NA(),IFERROR(LOOKUP(2,1/(('Match Log'!$D$4:$D$1510=$L$24)*('Match Log'!$A$4:$A$1510&lt;=$J577)),'Match Log'!$N$4:$N$1510),NA()))</f>
        <v>#N/A</v>
      </c>
      <c r="M577" t="e">
        <f>IF($J577&gt;MAX('Match Log'!$A$4:$A$1510),NA(),IFERROR(LOOKUP(2,1/(('Match Log'!$D$4:$D$1510=$M$24)*('Match Log'!$A$4:$A$1510&lt;=$J577)),'Match Log'!$N$4:$N$1510),NA()))</f>
        <v>#N/A</v>
      </c>
      <c r="N577" t="e">
        <f>IF($J577&gt;MAX('Match Log'!$A$4:$A$1510),NA(),IFERROR(LOOKUP(2,1/(('Match Log'!$D$4:$D$1510=$N$24)*('Match Log'!$A$4:$A$1510&lt;=$J577)),'Match Log'!$N$4:$N$1510),NA()))</f>
        <v>#N/A</v>
      </c>
      <c r="O577" t="e">
        <f>IF($J577&gt;MAX('Match Log'!$A$4:$A$1510),NA(),IFERROR(LOOKUP(2,1/(('Match Log'!$D$4:$D$1510=$O$24)*('Match Log'!$A$4:$A$1510&lt;=$J577)),'Match Log'!$N$4:$N$1510),NA()))</f>
        <v>#N/A</v>
      </c>
      <c r="P577" t="e">
        <f>IF($J577&gt;MAX('Match Log'!$A$4:$A$1510),NA(),IFERROR(LOOKUP(2,1/(('Match Log'!$D$4:$D$1510=$P$24)*('Match Log'!$A$4:$A$1510&lt;=$J577)),'Match Log'!$N$4:$N$1510),NA()))</f>
        <v>#N/A</v>
      </c>
      <c r="Q577" t="e">
        <f>IF($J577&gt;MAX('Match Log'!$A$4:$A$1510),NA(),IFERROR(LOOKUP(2,1/(('Match Log'!$D$4:$D$1510=$Q$24)*('Match Log'!$A$4:$A$1510&lt;=$J577)),'Match Log'!$N$4:$N$1510),NA()))</f>
        <v>#N/A</v>
      </c>
      <c r="R577" t="e">
        <f>IF($J577&gt;MAX('Match Log'!$A$4:$A$1510),NA(),IFERROR(LOOKUP(2,1/(('Match Log'!$D$4:$D$1510=$R$24)*('Match Log'!$A$4:$A$1510&lt;=$J577)),'Match Log'!$N$4:$N$1510),NA()))</f>
        <v>#N/A</v>
      </c>
      <c r="S577" t="e">
        <f>IF($J577&gt;MAX('Match Log'!$A$4:$A$1510),NA(),IFERROR(LOOKUP(2,1/(('Match Log'!$D$4:$D$1510=$S$24)*('Match Log'!$A$4:$A$1510&lt;=$J577)),'Match Log'!$N$4:$N$1510),NA()))</f>
        <v>#N/A</v>
      </c>
      <c r="T577" t="e">
        <f>IF($J577&gt;MAX('Match Log'!$A$4:$A$1510),NA(),IFERROR(LOOKUP(2,1/(('Match Log'!$D$4:$D$1510=$T$24)*('Match Log'!$A$4:$A$1510&lt;=$J577)),'Match Log'!$N$4:$N$1510),NA()))</f>
        <v>#N/A</v>
      </c>
      <c r="U577" t="e">
        <f>IF($J577&gt;MAX('Match Log'!$A$4:$A$1510),NA(),IFERROR(LOOKUP(2,1/(('Match Log'!$D$4:$D$1510=$U$24)*('Match Log'!$A$4:$A$1510&lt;=$J577)),'Match Log'!$N$4:$N$1510),NA()))</f>
        <v>#N/A</v>
      </c>
      <c r="V577" t="e">
        <f>IF($J577&gt;MAX('Match Log'!$A$4:$A$1510),NA(),IFERROR(LOOKUP(2,1/(('Match Log'!$D$4:$D$1510=$V$24)*('Match Log'!$A$4:$A$1510&lt;=$J577)),'Match Log'!$N$4:$N$1510),NA()))</f>
        <v>#N/A</v>
      </c>
      <c r="W577" t="e">
        <f>IF($J577&gt;MAX('Match Log'!$A$4:$A$1510),NA(),IFERROR(LOOKUP(2,1/(('Match Log'!$D$4:$D$1510=$W$24)*('Match Log'!$A$4:$A$1510&lt;=$J577)),'Match Log'!$N$4:$N$1510),NA()))</f>
        <v>#N/A</v>
      </c>
      <c r="X577" t="e">
        <f>IF($J577&gt;MAX('Match Log'!$A$4:$A$1510),NA(),IFERROR(LOOKUP(2,1/(('Match Log'!$D$4:$D$1510=$X$24)*('Match Log'!$A$4:$A$1510&lt;=$J577)),'Match Log'!$N$4:$N$1510),NA()))</f>
        <v>#N/A</v>
      </c>
      <c r="Y577" t="str">
        <f t="shared" ca="1" si="37"/>
        <v/>
      </c>
    </row>
    <row r="578" spans="1:25" x14ac:dyDescent="0.2">
      <c r="A578">
        <v>554</v>
      </c>
      <c r="B578" t="str">
        <f>IFERROR(INDEX('Match Log'!$B$4:$B$1510,MATCH($A578,'Match Log'!$A$4:$A$1510,0)),"")</f>
        <v/>
      </c>
      <c r="C578" t="str">
        <f>IFERROR(INDEX('Match Log'!$C$4:$C$1510,MATCH($A578,'Match Log'!$A$4:$A$1510,0)),"")</f>
        <v/>
      </c>
      <c r="D578" t="str">
        <f t="array" ref="D578">IFERROR(_xlfn.TEXTJOIN(" + ",TRUE(),IF(('Match Log'!$A$4:$A$1510=$A578)*('Match Log'!$E$4:$E$1510="Win"),'Match Log'!$D$4:$D$1510,"")),IFERROR(LOOKUP(2,1/(('Match Log'!$A$4:$A$1510=$A578)*('Match Log'!$E$4:$E$1510="Win")),'Match Log'!$D$4:$D$1510),""))</f>
        <v/>
      </c>
      <c r="E578" t="str">
        <f>IFERROR(INDEX('Match Log'!$F$4:$F$1510,MATCH($A578,'Match Log'!$A$4:$A$1510,0)),"")</f>
        <v/>
      </c>
      <c r="F578">
        <f>IFERROR(SUMIFS('Match Log'!$I$4:$I$1510,'Match Log'!$A$4:$A$1510,$A578,'Match Log'!$E$4:$E$1510,"Win"),"")</f>
        <v>0</v>
      </c>
      <c r="G578" t="str">
        <f t="shared" si="35"/>
        <v/>
      </c>
      <c r="H578" t="str">
        <f t="array" ref="H578">IFERROR(IF(COUNTIFS('Match Log'!$A$4:$A$1510,$A578,'Match Log'!$E$4:$E$1510,"Win")&gt;1,_xlfn.TEXTJOIN(" + ",TRUE(),IF(('Match Log'!$A$4:$A$1510=$A578)*('Match Log'!$E$4:$E$1510="Loss"),'Match Log'!$D$4:$D$1510,"")),IF($E578=2,LOOKUP(2,1/(('Match Log'!$A$4:$A$1510=$A578)*('Match Log'!$E$4:$E$1510="Loss")),'Match Log'!$D$4:$D$1510),"the field")),"")</f>
        <v>the field</v>
      </c>
      <c r="I578" t="str">
        <f t="shared" si="36"/>
        <v/>
      </c>
      <c r="J578">
        <v>554</v>
      </c>
      <c r="K578" t="e">
        <f>IF($J578&gt;MAX('Match Log'!$A$4:$A$1510),NA(),IFERROR(LOOKUP(2,1/(('Match Log'!$D$4:$D$1510=$K$24)*('Match Log'!$A$4:$A$1510&lt;=$J578)),'Match Log'!$N$4:$N$1510),NA()))</f>
        <v>#N/A</v>
      </c>
      <c r="L578" t="e">
        <f>IF($J578&gt;MAX('Match Log'!$A$4:$A$1510),NA(),IFERROR(LOOKUP(2,1/(('Match Log'!$D$4:$D$1510=$L$24)*('Match Log'!$A$4:$A$1510&lt;=$J578)),'Match Log'!$N$4:$N$1510),NA()))</f>
        <v>#N/A</v>
      </c>
      <c r="M578" t="e">
        <f>IF($J578&gt;MAX('Match Log'!$A$4:$A$1510),NA(),IFERROR(LOOKUP(2,1/(('Match Log'!$D$4:$D$1510=$M$24)*('Match Log'!$A$4:$A$1510&lt;=$J578)),'Match Log'!$N$4:$N$1510),NA()))</f>
        <v>#N/A</v>
      </c>
      <c r="N578" t="e">
        <f>IF($J578&gt;MAX('Match Log'!$A$4:$A$1510),NA(),IFERROR(LOOKUP(2,1/(('Match Log'!$D$4:$D$1510=$N$24)*('Match Log'!$A$4:$A$1510&lt;=$J578)),'Match Log'!$N$4:$N$1510),NA()))</f>
        <v>#N/A</v>
      </c>
      <c r="O578" t="e">
        <f>IF($J578&gt;MAX('Match Log'!$A$4:$A$1510),NA(),IFERROR(LOOKUP(2,1/(('Match Log'!$D$4:$D$1510=$O$24)*('Match Log'!$A$4:$A$1510&lt;=$J578)),'Match Log'!$N$4:$N$1510),NA()))</f>
        <v>#N/A</v>
      </c>
      <c r="P578" t="e">
        <f>IF($J578&gt;MAX('Match Log'!$A$4:$A$1510),NA(),IFERROR(LOOKUP(2,1/(('Match Log'!$D$4:$D$1510=$P$24)*('Match Log'!$A$4:$A$1510&lt;=$J578)),'Match Log'!$N$4:$N$1510),NA()))</f>
        <v>#N/A</v>
      </c>
      <c r="Q578" t="e">
        <f>IF($J578&gt;MAX('Match Log'!$A$4:$A$1510),NA(),IFERROR(LOOKUP(2,1/(('Match Log'!$D$4:$D$1510=$Q$24)*('Match Log'!$A$4:$A$1510&lt;=$J578)),'Match Log'!$N$4:$N$1510),NA()))</f>
        <v>#N/A</v>
      </c>
      <c r="R578" t="e">
        <f>IF($J578&gt;MAX('Match Log'!$A$4:$A$1510),NA(),IFERROR(LOOKUP(2,1/(('Match Log'!$D$4:$D$1510=$R$24)*('Match Log'!$A$4:$A$1510&lt;=$J578)),'Match Log'!$N$4:$N$1510),NA()))</f>
        <v>#N/A</v>
      </c>
      <c r="S578" t="e">
        <f>IF($J578&gt;MAX('Match Log'!$A$4:$A$1510),NA(),IFERROR(LOOKUP(2,1/(('Match Log'!$D$4:$D$1510=$S$24)*('Match Log'!$A$4:$A$1510&lt;=$J578)),'Match Log'!$N$4:$N$1510),NA()))</f>
        <v>#N/A</v>
      </c>
      <c r="T578" t="e">
        <f>IF($J578&gt;MAX('Match Log'!$A$4:$A$1510),NA(),IFERROR(LOOKUP(2,1/(('Match Log'!$D$4:$D$1510=$T$24)*('Match Log'!$A$4:$A$1510&lt;=$J578)),'Match Log'!$N$4:$N$1510),NA()))</f>
        <v>#N/A</v>
      </c>
      <c r="U578" t="e">
        <f>IF($J578&gt;MAX('Match Log'!$A$4:$A$1510),NA(),IFERROR(LOOKUP(2,1/(('Match Log'!$D$4:$D$1510=$U$24)*('Match Log'!$A$4:$A$1510&lt;=$J578)),'Match Log'!$N$4:$N$1510),NA()))</f>
        <v>#N/A</v>
      </c>
      <c r="V578" t="e">
        <f>IF($J578&gt;MAX('Match Log'!$A$4:$A$1510),NA(),IFERROR(LOOKUP(2,1/(('Match Log'!$D$4:$D$1510=$V$24)*('Match Log'!$A$4:$A$1510&lt;=$J578)),'Match Log'!$N$4:$N$1510),NA()))</f>
        <v>#N/A</v>
      </c>
      <c r="W578" t="e">
        <f>IF($J578&gt;MAX('Match Log'!$A$4:$A$1510),NA(),IFERROR(LOOKUP(2,1/(('Match Log'!$D$4:$D$1510=$W$24)*('Match Log'!$A$4:$A$1510&lt;=$J578)),'Match Log'!$N$4:$N$1510),NA()))</f>
        <v>#N/A</v>
      </c>
      <c r="X578" t="e">
        <f>IF($J578&gt;MAX('Match Log'!$A$4:$A$1510),NA(),IFERROR(LOOKUP(2,1/(('Match Log'!$D$4:$D$1510=$X$24)*('Match Log'!$A$4:$A$1510&lt;=$J578)),'Match Log'!$N$4:$N$1510),NA()))</f>
        <v>#N/A</v>
      </c>
      <c r="Y578" t="str">
        <f t="shared" ca="1" si="37"/>
        <v/>
      </c>
    </row>
    <row r="579" spans="1:25" x14ac:dyDescent="0.2">
      <c r="A579">
        <v>555</v>
      </c>
      <c r="B579" t="str">
        <f>IFERROR(INDEX('Match Log'!$B$4:$B$1510,MATCH($A579,'Match Log'!$A$4:$A$1510,0)),"")</f>
        <v/>
      </c>
      <c r="C579" t="str">
        <f>IFERROR(INDEX('Match Log'!$C$4:$C$1510,MATCH($A579,'Match Log'!$A$4:$A$1510,0)),"")</f>
        <v/>
      </c>
      <c r="D579" t="str">
        <f t="array" ref="D579">IFERROR(_xlfn.TEXTJOIN(" + ",TRUE(),IF(('Match Log'!$A$4:$A$1510=$A579)*('Match Log'!$E$4:$E$1510="Win"),'Match Log'!$D$4:$D$1510,"")),IFERROR(LOOKUP(2,1/(('Match Log'!$A$4:$A$1510=$A579)*('Match Log'!$E$4:$E$1510="Win")),'Match Log'!$D$4:$D$1510),""))</f>
        <v/>
      </c>
      <c r="E579" t="str">
        <f>IFERROR(INDEX('Match Log'!$F$4:$F$1510,MATCH($A579,'Match Log'!$A$4:$A$1510,0)),"")</f>
        <v/>
      </c>
      <c r="F579">
        <f>IFERROR(SUMIFS('Match Log'!$I$4:$I$1510,'Match Log'!$A$4:$A$1510,$A579,'Match Log'!$E$4:$E$1510,"Win"),"")</f>
        <v>0</v>
      </c>
      <c r="G579" t="str">
        <f t="shared" si="35"/>
        <v/>
      </c>
      <c r="H579" t="str">
        <f t="array" ref="H579">IFERROR(IF(COUNTIFS('Match Log'!$A$4:$A$1510,$A579,'Match Log'!$E$4:$E$1510,"Win")&gt;1,_xlfn.TEXTJOIN(" + ",TRUE(),IF(('Match Log'!$A$4:$A$1510=$A579)*('Match Log'!$E$4:$E$1510="Loss"),'Match Log'!$D$4:$D$1510,"")),IF($E579=2,LOOKUP(2,1/(('Match Log'!$A$4:$A$1510=$A579)*('Match Log'!$E$4:$E$1510="Loss")),'Match Log'!$D$4:$D$1510),"the field")),"")</f>
        <v>the field</v>
      </c>
      <c r="I579" t="str">
        <f t="shared" si="36"/>
        <v/>
      </c>
      <c r="J579">
        <v>555</v>
      </c>
      <c r="K579" t="e">
        <f>IF($J579&gt;MAX('Match Log'!$A$4:$A$1510),NA(),IFERROR(LOOKUP(2,1/(('Match Log'!$D$4:$D$1510=$K$24)*('Match Log'!$A$4:$A$1510&lt;=$J579)),'Match Log'!$N$4:$N$1510),NA()))</f>
        <v>#N/A</v>
      </c>
      <c r="L579" t="e">
        <f>IF($J579&gt;MAX('Match Log'!$A$4:$A$1510),NA(),IFERROR(LOOKUP(2,1/(('Match Log'!$D$4:$D$1510=$L$24)*('Match Log'!$A$4:$A$1510&lt;=$J579)),'Match Log'!$N$4:$N$1510),NA()))</f>
        <v>#N/A</v>
      </c>
      <c r="M579" t="e">
        <f>IF($J579&gt;MAX('Match Log'!$A$4:$A$1510),NA(),IFERROR(LOOKUP(2,1/(('Match Log'!$D$4:$D$1510=$M$24)*('Match Log'!$A$4:$A$1510&lt;=$J579)),'Match Log'!$N$4:$N$1510),NA()))</f>
        <v>#N/A</v>
      </c>
      <c r="N579" t="e">
        <f>IF($J579&gt;MAX('Match Log'!$A$4:$A$1510),NA(),IFERROR(LOOKUP(2,1/(('Match Log'!$D$4:$D$1510=$N$24)*('Match Log'!$A$4:$A$1510&lt;=$J579)),'Match Log'!$N$4:$N$1510),NA()))</f>
        <v>#N/A</v>
      </c>
      <c r="O579" t="e">
        <f>IF($J579&gt;MAX('Match Log'!$A$4:$A$1510),NA(),IFERROR(LOOKUP(2,1/(('Match Log'!$D$4:$D$1510=$O$24)*('Match Log'!$A$4:$A$1510&lt;=$J579)),'Match Log'!$N$4:$N$1510),NA()))</f>
        <v>#N/A</v>
      </c>
      <c r="P579" t="e">
        <f>IF($J579&gt;MAX('Match Log'!$A$4:$A$1510),NA(),IFERROR(LOOKUP(2,1/(('Match Log'!$D$4:$D$1510=$P$24)*('Match Log'!$A$4:$A$1510&lt;=$J579)),'Match Log'!$N$4:$N$1510),NA()))</f>
        <v>#N/A</v>
      </c>
      <c r="Q579" t="e">
        <f>IF($J579&gt;MAX('Match Log'!$A$4:$A$1510),NA(),IFERROR(LOOKUP(2,1/(('Match Log'!$D$4:$D$1510=$Q$24)*('Match Log'!$A$4:$A$1510&lt;=$J579)),'Match Log'!$N$4:$N$1510),NA()))</f>
        <v>#N/A</v>
      </c>
      <c r="R579" t="e">
        <f>IF($J579&gt;MAX('Match Log'!$A$4:$A$1510),NA(),IFERROR(LOOKUP(2,1/(('Match Log'!$D$4:$D$1510=$R$24)*('Match Log'!$A$4:$A$1510&lt;=$J579)),'Match Log'!$N$4:$N$1510),NA()))</f>
        <v>#N/A</v>
      </c>
      <c r="S579" t="e">
        <f>IF($J579&gt;MAX('Match Log'!$A$4:$A$1510),NA(),IFERROR(LOOKUP(2,1/(('Match Log'!$D$4:$D$1510=$S$24)*('Match Log'!$A$4:$A$1510&lt;=$J579)),'Match Log'!$N$4:$N$1510),NA()))</f>
        <v>#N/A</v>
      </c>
      <c r="T579" t="e">
        <f>IF($J579&gt;MAX('Match Log'!$A$4:$A$1510),NA(),IFERROR(LOOKUP(2,1/(('Match Log'!$D$4:$D$1510=$T$24)*('Match Log'!$A$4:$A$1510&lt;=$J579)),'Match Log'!$N$4:$N$1510),NA()))</f>
        <v>#N/A</v>
      </c>
      <c r="U579" t="e">
        <f>IF($J579&gt;MAX('Match Log'!$A$4:$A$1510),NA(),IFERROR(LOOKUP(2,1/(('Match Log'!$D$4:$D$1510=$U$24)*('Match Log'!$A$4:$A$1510&lt;=$J579)),'Match Log'!$N$4:$N$1510),NA()))</f>
        <v>#N/A</v>
      </c>
      <c r="V579" t="e">
        <f>IF($J579&gt;MAX('Match Log'!$A$4:$A$1510),NA(),IFERROR(LOOKUP(2,1/(('Match Log'!$D$4:$D$1510=$V$24)*('Match Log'!$A$4:$A$1510&lt;=$J579)),'Match Log'!$N$4:$N$1510),NA()))</f>
        <v>#N/A</v>
      </c>
      <c r="W579" t="e">
        <f>IF($J579&gt;MAX('Match Log'!$A$4:$A$1510),NA(),IFERROR(LOOKUP(2,1/(('Match Log'!$D$4:$D$1510=$W$24)*('Match Log'!$A$4:$A$1510&lt;=$J579)),'Match Log'!$N$4:$N$1510),NA()))</f>
        <v>#N/A</v>
      </c>
      <c r="X579" t="e">
        <f>IF($J579&gt;MAX('Match Log'!$A$4:$A$1510),NA(),IFERROR(LOOKUP(2,1/(('Match Log'!$D$4:$D$1510=$X$24)*('Match Log'!$A$4:$A$1510&lt;=$J579)),'Match Log'!$N$4:$N$1510),NA()))</f>
        <v>#N/A</v>
      </c>
      <c r="Y579" t="str">
        <f t="shared" ca="1" si="37"/>
        <v/>
      </c>
    </row>
    <row r="580" spans="1:25" x14ac:dyDescent="0.2">
      <c r="A580">
        <v>556</v>
      </c>
      <c r="B580" t="str">
        <f>IFERROR(INDEX('Match Log'!$B$4:$B$1510,MATCH($A580,'Match Log'!$A$4:$A$1510,0)),"")</f>
        <v/>
      </c>
      <c r="C580" t="str">
        <f>IFERROR(INDEX('Match Log'!$C$4:$C$1510,MATCH($A580,'Match Log'!$A$4:$A$1510,0)),"")</f>
        <v/>
      </c>
      <c r="D580" t="str">
        <f t="array" ref="D580">IFERROR(_xlfn.TEXTJOIN(" + ",TRUE(),IF(('Match Log'!$A$4:$A$1510=$A580)*('Match Log'!$E$4:$E$1510="Win"),'Match Log'!$D$4:$D$1510,"")),IFERROR(LOOKUP(2,1/(('Match Log'!$A$4:$A$1510=$A580)*('Match Log'!$E$4:$E$1510="Win")),'Match Log'!$D$4:$D$1510),""))</f>
        <v/>
      </c>
      <c r="E580" t="str">
        <f>IFERROR(INDEX('Match Log'!$F$4:$F$1510,MATCH($A580,'Match Log'!$A$4:$A$1510,0)),"")</f>
        <v/>
      </c>
      <c r="F580">
        <f>IFERROR(SUMIFS('Match Log'!$I$4:$I$1510,'Match Log'!$A$4:$A$1510,$A580,'Match Log'!$E$4:$E$1510,"Win"),"")</f>
        <v>0</v>
      </c>
      <c r="G580" t="str">
        <f t="shared" si="35"/>
        <v/>
      </c>
      <c r="H580" t="str">
        <f t="array" ref="H580">IFERROR(IF(COUNTIFS('Match Log'!$A$4:$A$1510,$A580,'Match Log'!$E$4:$E$1510,"Win")&gt;1,_xlfn.TEXTJOIN(" + ",TRUE(),IF(('Match Log'!$A$4:$A$1510=$A580)*('Match Log'!$E$4:$E$1510="Loss"),'Match Log'!$D$4:$D$1510,"")),IF($E580=2,LOOKUP(2,1/(('Match Log'!$A$4:$A$1510=$A580)*('Match Log'!$E$4:$E$1510="Loss")),'Match Log'!$D$4:$D$1510),"the field")),"")</f>
        <v>the field</v>
      </c>
      <c r="I580" t="str">
        <f t="shared" si="36"/>
        <v/>
      </c>
      <c r="J580">
        <v>556</v>
      </c>
      <c r="K580" t="e">
        <f>IF($J580&gt;MAX('Match Log'!$A$4:$A$1510),NA(),IFERROR(LOOKUP(2,1/(('Match Log'!$D$4:$D$1510=$K$24)*('Match Log'!$A$4:$A$1510&lt;=$J580)),'Match Log'!$N$4:$N$1510),NA()))</f>
        <v>#N/A</v>
      </c>
      <c r="L580" t="e">
        <f>IF($J580&gt;MAX('Match Log'!$A$4:$A$1510),NA(),IFERROR(LOOKUP(2,1/(('Match Log'!$D$4:$D$1510=$L$24)*('Match Log'!$A$4:$A$1510&lt;=$J580)),'Match Log'!$N$4:$N$1510),NA()))</f>
        <v>#N/A</v>
      </c>
      <c r="M580" t="e">
        <f>IF($J580&gt;MAX('Match Log'!$A$4:$A$1510),NA(),IFERROR(LOOKUP(2,1/(('Match Log'!$D$4:$D$1510=$M$24)*('Match Log'!$A$4:$A$1510&lt;=$J580)),'Match Log'!$N$4:$N$1510),NA()))</f>
        <v>#N/A</v>
      </c>
      <c r="N580" t="e">
        <f>IF($J580&gt;MAX('Match Log'!$A$4:$A$1510),NA(),IFERROR(LOOKUP(2,1/(('Match Log'!$D$4:$D$1510=$N$24)*('Match Log'!$A$4:$A$1510&lt;=$J580)),'Match Log'!$N$4:$N$1510),NA()))</f>
        <v>#N/A</v>
      </c>
      <c r="O580" t="e">
        <f>IF($J580&gt;MAX('Match Log'!$A$4:$A$1510),NA(),IFERROR(LOOKUP(2,1/(('Match Log'!$D$4:$D$1510=$O$24)*('Match Log'!$A$4:$A$1510&lt;=$J580)),'Match Log'!$N$4:$N$1510),NA()))</f>
        <v>#N/A</v>
      </c>
      <c r="P580" t="e">
        <f>IF($J580&gt;MAX('Match Log'!$A$4:$A$1510),NA(),IFERROR(LOOKUP(2,1/(('Match Log'!$D$4:$D$1510=$P$24)*('Match Log'!$A$4:$A$1510&lt;=$J580)),'Match Log'!$N$4:$N$1510),NA()))</f>
        <v>#N/A</v>
      </c>
      <c r="Q580" t="e">
        <f>IF($J580&gt;MAX('Match Log'!$A$4:$A$1510),NA(),IFERROR(LOOKUP(2,1/(('Match Log'!$D$4:$D$1510=$Q$24)*('Match Log'!$A$4:$A$1510&lt;=$J580)),'Match Log'!$N$4:$N$1510),NA()))</f>
        <v>#N/A</v>
      </c>
      <c r="R580" t="e">
        <f>IF($J580&gt;MAX('Match Log'!$A$4:$A$1510),NA(),IFERROR(LOOKUP(2,1/(('Match Log'!$D$4:$D$1510=$R$24)*('Match Log'!$A$4:$A$1510&lt;=$J580)),'Match Log'!$N$4:$N$1510),NA()))</f>
        <v>#N/A</v>
      </c>
      <c r="S580" t="e">
        <f>IF($J580&gt;MAX('Match Log'!$A$4:$A$1510),NA(),IFERROR(LOOKUP(2,1/(('Match Log'!$D$4:$D$1510=$S$24)*('Match Log'!$A$4:$A$1510&lt;=$J580)),'Match Log'!$N$4:$N$1510),NA()))</f>
        <v>#N/A</v>
      </c>
      <c r="T580" t="e">
        <f>IF($J580&gt;MAX('Match Log'!$A$4:$A$1510),NA(),IFERROR(LOOKUP(2,1/(('Match Log'!$D$4:$D$1510=$T$24)*('Match Log'!$A$4:$A$1510&lt;=$J580)),'Match Log'!$N$4:$N$1510),NA()))</f>
        <v>#N/A</v>
      </c>
      <c r="U580" t="e">
        <f>IF($J580&gt;MAX('Match Log'!$A$4:$A$1510),NA(),IFERROR(LOOKUP(2,1/(('Match Log'!$D$4:$D$1510=$U$24)*('Match Log'!$A$4:$A$1510&lt;=$J580)),'Match Log'!$N$4:$N$1510),NA()))</f>
        <v>#N/A</v>
      </c>
      <c r="V580" t="e">
        <f>IF($J580&gt;MAX('Match Log'!$A$4:$A$1510),NA(),IFERROR(LOOKUP(2,1/(('Match Log'!$D$4:$D$1510=$V$24)*('Match Log'!$A$4:$A$1510&lt;=$J580)),'Match Log'!$N$4:$N$1510),NA()))</f>
        <v>#N/A</v>
      </c>
      <c r="W580" t="e">
        <f>IF($J580&gt;MAX('Match Log'!$A$4:$A$1510),NA(),IFERROR(LOOKUP(2,1/(('Match Log'!$D$4:$D$1510=$W$24)*('Match Log'!$A$4:$A$1510&lt;=$J580)),'Match Log'!$N$4:$N$1510),NA()))</f>
        <v>#N/A</v>
      </c>
      <c r="X580" t="e">
        <f>IF($J580&gt;MAX('Match Log'!$A$4:$A$1510),NA(),IFERROR(LOOKUP(2,1/(('Match Log'!$D$4:$D$1510=$X$24)*('Match Log'!$A$4:$A$1510&lt;=$J580)),'Match Log'!$N$4:$N$1510),NA()))</f>
        <v>#N/A</v>
      </c>
      <c r="Y580" t="str">
        <f t="shared" ca="1" si="37"/>
        <v/>
      </c>
    </row>
    <row r="581" spans="1:25" x14ac:dyDescent="0.2">
      <c r="A581">
        <v>557</v>
      </c>
      <c r="B581" t="str">
        <f>IFERROR(INDEX('Match Log'!$B$4:$B$1510,MATCH($A581,'Match Log'!$A$4:$A$1510,0)),"")</f>
        <v/>
      </c>
      <c r="C581" t="str">
        <f>IFERROR(INDEX('Match Log'!$C$4:$C$1510,MATCH($A581,'Match Log'!$A$4:$A$1510,0)),"")</f>
        <v/>
      </c>
      <c r="D581" t="str">
        <f t="array" ref="D581">IFERROR(_xlfn.TEXTJOIN(" + ",TRUE(),IF(('Match Log'!$A$4:$A$1510=$A581)*('Match Log'!$E$4:$E$1510="Win"),'Match Log'!$D$4:$D$1510,"")),IFERROR(LOOKUP(2,1/(('Match Log'!$A$4:$A$1510=$A581)*('Match Log'!$E$4:$E$1510="Win")),'Match Log'!$D$4:$D$1510),""))</f>
        <v/>
      </c>
      <c r="E581" t="str">
        <f>IFERROR(INDEX('Match Log'!$F$4:$F$1510,MATCH($A581,'Match Log'!$A$4:$A$1510,0)),"")</f>
        <v/>
      </c>
      <c r="F581">
        <f>IFERROR(SUMIFS('Match Log'!$I$4:$I$1510,'Match Log'!$A$4:$A$1510,$A581,'Match Log'!$E$4:$E$1510,"Win"),"")</f>
        <v>0</v>
      </c>
      <c r="G581" t="str">
        <f t="shared" si="35"/>
        <v/>
      </c>
      <c r="H581" t="str">
        <f t="array" ref="H581">IFERROR(IF(COUNTIFS('Match Log'!$A$4:$A$1510,$A581,'Match Log'!$E$4:$E$1510,"Win")&gt;1,_xlfn.TEXTJOIN(" + ",TRUE(),IF(('Match Log'!$A$4:$A$1510=$A581)*('Match Log'!$E$4:$E$1510="Loss"),'Match Log'!$D$4:$D$1510,"")),IF($E581=2,LOOKUP(2,1/(('Match Log'!$A$4:$A$1510=$A581)*('Match Log'!$E$4:$E$1510="Loss")),'Match Log'!$D$4:$D$1510),"the field")),"")</f>
        <v>the field</v>
      </c>
      <c r="I581" t="str">
        <f t="shared" si="36"/>
        <v/>
      </c>
      <c r="J581">
        <v>557</v>
      </c>
      <c r="K581" t="e">
        <f>IF($J581&gt;MAX('Match Log'!$A$4:$A$1510),NA(),IFERROR(LOOKUP(2,1/(('Match Log'!$D$4:$D$1510=$K$24)*('Match Log'!$A$4:$A$1510&lt;=$J581)),'Match Log'!$N$4:$N$1510),NA()))</f>
        <v>#N/A</v>
      </c>
      <c r="L581" t="e">
        <f>IF($J581&gt;MAX('Match Log'!$A$4:$A$1510),NA(),IFERROR(LOOKUP(2,1/(('Match Log'!$D$4:$D$1510=$L$24)*('Match Log'!$A$4:$A$1510&lt;=$J581)),'Match Log'!$N$4:$N$1510),NA()))</f>
        <v>#N/A</v>
      </c>
      <c r="M581" t="e">
        <f>IF($J581&gt;MAX('Match Log'!$A$4:$A$1510),NA(),IFERROR(LOOKUP(2,1/(('Match Log'!$D$4:$D$1510=$M$24)*('Match Log'!$A$4:$A$1510&lt;=$J581)),'Match Log'!$N$4:$N$1510),NA()))</f>
        <v>#N/A</v>
      </c>
      <c r="N581" t="e">
        <f>IF($J581&gt;MAX('Match Log'!$A$4:$A$1510),NA(),IFERROR(LOOKUP(2,1/(('Match Log'!$D$4:$D$1510=$N$24)*('Match Log'!$A$4:$A$1510&lt;=$J581)),'Match Log'!$N$4:$N$1510),NA()))</f>
        <v>#N/A</v>
      </c>
      <c r="O581" t="e">
        <f>IF($J581&gt;MAX('Match Log'!$A$4:$A$1510),NA(),IFERROR(LOOKUP(2,1/(('Match Log'!$D$4:$D$1510=$O$24)*('Match Log'!$A$4:$A$1510&lt;=$J581)),'Match Log'!$N$4:$N$1510),NA()))</f>
        <v>#N/A</v>
      </c>
      <c r="P581" t="e">
        <f>IF($J581&gt;MAX('Match Log'!$A$4:$A$1510),NA(),IFERROR(LOOKUP(2,1/(('Match Log'!$D$4:$D$1510=$P$24)*('Match Log'!$A$4:$A$1510&lt;=$J581)),'Match Log'!$N$4:$N$1510),NA()))</f>
        <v>#N/A</v>
      </c>
      <c r="Q581" t="e">
        <f>IF($J581&gt;MAX('Match Log'!$A$4:$A$1510),NA(),IFERROR(LOOKUP(2,1/(('Match Log'!$D$4:$D$1510=$Q$24)*('Match Log'!$A$4:$A$1510&lt;=$J581)),'Match Log'!$N$4:$N$1510),NA()))</f>
        <v>#N/A</v>
      </c>
      <c r="R581" t="e">
        <f>IF($J581&gt;MAX('Match Log'!$A$4:$A$1510),NA(),IFERROR(LOOKUP(2,1/(('Match Log'!$D$4:$D$1510=$R$24)*('Match Log'!$A$4:$A$1510&lt;=$J581)),'Match Log'!$N$4:$N$1510),NA()))</f>
        <v>#N/A</v>
      </c>
      <c r="S581" t="e">
        <f>IF($J581&gt;MAX('Match Log'!$A$4:$A$1510),NA(),IFERROR(LOOKUP(2,1/(('Match Log'!$D$4:$D$1510=$S$24)*('Match Log'!$A$4:$A$1510&lt;=$J581)),'Match Log'!$N$4:$N$1510),NA()))</f>
        <v>#N/A</v>
      </c>
      <c r="T581" t="e">
        <f>IF($J581&gt;MAX('Match Log'!$A$4:$A$1510),NA(),IFERROR(LOOKUP(2,1/(('Match Log'!$D$4:$D$1510=$T$24)*('Match Log'!$A$4:$A$1510&lt;=$J581)),'Match Log'!$N$4:$N$1510),NA()))</f>
        <v>#N/A</v>
      </c>
      <c r="U581" t="e">
        <f>IF($J581&gt;MAX('Match Log'!$A$4:$A$1510),NA(),IFERROR(LOOKUP(2,1/(('Match Log'!$D$4:$D$1510=$U$24)*('Match Log'!$A$4:$A$1510&lt;=$J581)),'Match Log'!$N$4:$N$1510),NA()))</f>
        <v>#N/A</v>
      </c>
      <c r="V581" t="e">
        <f>IF($J581&gt;MAX('Match Log'!$A$4:$A$1510),NA(),IFERROR(LOOKUP(2,1/(('Match Log'!$D$4:$D$1510=$V$24)*('Match Log'!$A$4:$A$1510&lt;=$J581)),'Match Log'!$N$4:$N$1510),NA()))</f>
        <v>#N/A</v>
      </c>
      <c r="W581" t="e">
        <f>IF($J581&gt;MAX('Match Log'!$A$4:$A$1510),NA(),IFERROR(LOOKUP(2,1/(('Match Log'!$D$4:$D$1510=$W$24)*('Match Log'!$A$4:$A$1510&lt;=$J581)),'Match Log'!$N$4:$N$1510),NA()))</f>
        <v>#N/A</v>
      </c>
      <c r="X581" t="e">
        <f>IF($J581&gt;MAX('Match Log'!$A$4:$A$1510),NA(),IFERROR(LOOKUP(2,1/(('Match Log'!$D$4:$D$1510=$X$24)*('Match Log'!$A$4:$A$1510&lt;=$J581)),'Match Log'!$N$4:$N$1510),NA()))</f>
        <v>#N/A</v>
      </c>
      <c r="Y581" t="str">
        <f t="shared" ca="1" si="37"/>
        <v/>
      </c>
    </row>
    <row r="582" spans="1:25" x14ac:dyDescent="0.2">
      <c r="A582">
        <v>558</v>
      </c>
      <c r="B582" t="str">
        <f>IFERROR(INDEX('Match Log'!$B$4:$B$1510,MATCH($A582,'Match Log'!$A$4:$A$1510,0)),"")</f>
        <v/>
      </c>
      <c r="C582" t="str">
        <f>IFERROR(INDEX('Match Log'!$C$4:$C$1510,MATCH($A582,'Match Log'!$A$4:$A$1510,0)),"")</f>
        <v/>
      </c>
      <c r="D582" t="str">
        <f t="array" ref="D582">IFERROR(_xlfn.TEXTJOIN(" + ",TRUE(),IF(('Match Log'!$A$4:$A$1510=$A582)*('Match Log'!$E$4:$E$1510="Win"),'Match Log'!$D$4:$D$1510,"")),IFERROR(LOOKUP(2,1/(('Match Log'!$A$4:$A$1510=$A582)*('Match Log'!$E$4:$E$1510="Win")),'Match Log'!$D$4:$D$1510),""))</f>
        <v/>
      </c>
      <c r="E582" t="str">
        <f>IFERROR(INDEX('Match Log'!$F$4:$F$1510,MATCH($A582,'Match Log'!$A$4:$A$1510,0)),"")</f>
        <v/>
      </c>
      <c r="F582">
        <f>IFERROR(SUMIFS('Match Log'!$I$4:$I$1510,'Match Log'!$A$4:$A$1510,$A582,'Match Log'!$E$4:$E$1510,"Win"),"")</f>
        <v>0</v>
      </c>
      <c r="G582" t="str">
        <f t="shared" si="35"/>
        <v/>
      </c>
      <c r="H582" t="str">
        <f t="array" ref="H582">IFERROR(IF(COUNTIFS('Match Log'!$A$4:$A$1510,$A582,'Match Log'!$E$4:$E$1510,"Win")&gt;1,_xlfn.TEXTJOIN(" + ",TRUE(),IF(('Match Log'!$A$4:$A$1510=$A582)*('Match Log'!$E$4:$E$1510="Loss"),'Match Log'!$D$4:$D$1510,"")),IF($E582=2,LOOKUP(2,1/(('Match Log'!$A$4:$A$1510=$A582)*('Match Log'!$E$4:$E$1510="Loss")),'Match Log'!$D$4:$D$1510),"the field")),"")</f>
        <v>the field</v>
      </c>
      <c r="I582" t="str">
        <f t="shared" si="36"/>
        <v/>
      </c>
      <c r="J582">
        <v>558</v>
      </c>
      <c r="K582" t="e">
        <f>IF($J582&gt;MAX('Match Log'!$A$4:$A$1510),NA(),IFERROR(LOOKUP(2,1/(('Match Log'!$D$4:$D$1510=$K$24)*('Match Log'!$A$4:$A$1510&lt;=$J582)),'Match Log'!$N$4:$N$1510),NA()))</f>
        <v>#N/A</v>
      </c>
      <c r="L582" t="e">
        <f>IF($J582&gt;MAX('Match Log'!$A$4:$A$1510),NA(),IFERROR(LOOKUP(2,1/(('Match Log'!$D$4:$D$1510=$L$24)*('Match Log'!$A$4:$A$1510&lt;=$J582)),'Match Log'!$N$4:$N$1510),NA()))</f>
        <v>#N/A</v>
      </c>
      <c r="M582" t="e">
        <f>IF($J582&gt;MAX('Match Log'!$A$4:$A$1510),NA(),IFERROR(LOOKUP(2,1/(('Match Log'!$D$4:$D$1510=$M$24)*('Match Log'!$A$4:$A$1510&lt;=$J582)),'Match Log'!$N$4:$N$1510),NA()))</f>
        <v>#N/A</v>
      </c>
      <c r="N582" t="e">
        <f>IF($J582&gt;MAX('Match Log'!$A$4:$A$1510),NA(),IFERROR(LOOKUP(2,1/(('Match Log'!$D$4:$D$1510=$N$24)*('Match Log'!$A$4:$A$1510&lt;=$J582)),'Match Log'!$N$4:$N$1510),NA()))</f>
        <v>#N/A</v>
      </c>
      <c r="O582" t="e">
        <f>IF($J582&gt;MAX('Match Log'!$A$4:$A$1510),NA(),IFERROR(LOOKUP(2,1/(('Match Log'!$D$4:$D$1510=$O$24)*('Match Log'!$A$4:$A$1510&lt;=$J582)),'Match Log'!$N$4:$N$1510),NA()))</f>
        <v>#N/A</v>
      </c>
      <c r="P582" t="e">
        <f>IF($J582&gt;MAX('Match Log'!$A$4:$A$1510),NA(),IFERROR(LOOKUP(2,1/(('Match Log'!$D$4:$D$1510=$P$24)*('Match Log'!$A$4:$A$1510&lt;=$J582)),'Match Log'!$N$4:$N$1510),NA()))</f>
        <v>#N/A</v>
      </c>
      <c r="Q582" t="e">
        <f>IF($J582&gt;MAX('Match Log'!$A$4:$A$1510),NA(),IFERROR(LOOKUP(2,1/(('Match Log'!$D$4:$D$1510=$Q$24)*('Match Log'!$A$4:$A$1510&lt;=$J582)),'Match Log'!$N$4:$N$1510),NA()))</f>
        <v>#N/A</v>
      </c>
      <c r="R582" t="e">
        <f>IF($J582&gt;MAX('Match Log'!$A$4:$A$1510),NA(),IFERROR(LOOKUP(2,1/(('Match Log'!$D$4:$D$1510=$R$24)*('Match Log'!$A$4:$A$1510&lt;=$J582)),'Match Log'!$N$4:$N$1510),NA()))</f>
        <v>#N/A</v>
      </c>
      <c r="S582" t="e">
        <f>IF($J582&gt;MAX('Match Log'!$A$4:$A$1510),NA(),IFERROR(LOOKUP(2,1/(('Match Log'!$D$4:$D$1510=$S$24)*('Match Log'!$A$4:$A$1510&lt;=$J582)),'Match Log'!$N$4:$N$1510),NA()))</f>
        <v>#N/A</v>
      </c>
      <c r="T582" t="e">
        <f>IF($J582&gt;MAX('Match Log'!$A$4:$A$1510),NA(),IFERROR(LOOKUP(2,1/(('Match Log'!$D$4:$D$1510=$T$24)*('Match Log'!$A$4:$A$1510&lt;=$J582)),'Match Log'!$N$4:$N$1510),NA()))</f>
        <v>#N/A</v>
      </c>
      <c r="U582" t="e">
        <f>IF($J582&gt;MAX('Match Log'!$A$4:$A$1510),NA(),IFERROR(LOOKUP(2,1/(('Match Log'!$D$4:$D$1510=$U$24)*('Match Log'!$A$4:$A$1510&lt;=$J582)),'Match Log'!$N$4:$N$1510),NA()))</f>
        <v>#N/A</v>
      </c>
      <c r="V582" t="e">
        <f>IF($J582&gt;MAX('Match Log'!$A$4:$A$1510),NA(),IFERROR(LOOKUP(2,1/(('Match Log'!$D$4:$D$1510=$V$24)*('Match Log'!$A$4:$A$1510&lt;=$J582)),'Match Log'!$N$4:$N$1510),NA()))</f>
        <v>#N/A</v>
      </c>
      <c r="W582" t="e">
        <f>IF($J582&gt;MAX('Match Log'!$A$4:$A$1510),NA(),IFERROR(LOOKUP(2,1/(('Match Log'!$D$4:$D$1510=$W$24)*('Match Log'!$A$4:$A$1510&lt;=$J582)),'Match Log'!$N$4:$N$1510),NA()))</f>
        <v>#N/A</v>
      </c>
      <c r="X582" t="e">
        <f>IF($J582&gt;MAX('Match Log'!$A$4:$A$1510),NA(),IFERROR(LOOKUP(2,1/(('Match Log'!$D$4:$D$1510=$X$24)*('Match Log'!$A$4:$A$1510&lt;=$J582)),'Match Log'!$N$4:$N$1510),NA()))</f>
        <v>#N/A</v>
      </c>
      <c r="Y582" t="str">
        <f t="shared" ca="1" si="37"/>
        <v/>
      </c>
    </row>
    <row r="583" spans="1:25" x14ac:dyDescent="0.2">
      <c r="A583">
        <v>559</v>
      </c>
      <c r="B583" t="str">
        <f>IFERROR(INDEX('Match Log'!$B$4:$B$1510,MATCH($A583,'Match Log'!$A$4:$A$1510,0)),"")</f>
        <v/>
      </c>
      <c r="C583" t="str">
        <f>IFERROR(INDEX('Match Log'!$C$4:$C$1510,MATCH($A583,'Match Log'!$A$4:$A$1510,0)),"")</f>
        <v/>
      </c>
      <c r="D583" t="str">
        <f t="array" ref="D583">IFERROR(_xlfn.TEXTJOIN(" + ",TRUE(),IF(('Match Log'!$A$4:$A$1510=$A583)*('Match Log'!$E$4:$E$1510="Win"),'Match Log'!$D$4:$D$1510,"")),IFERROR(LOOKUP(2,1/(('Match Log'!$A$4:$A$1510=$A583)*('Match Log'!$E$4:$E$1510="Win")),'Match Log'!$D$4:$D$1510),""))</f>
        <v/>
      </c>
      <c r="E583" t="str">
        <f>IFERROR(INDEX('Match Log'!$F$4:$F$1510,MATCH($A583,'Match Log'!$A$4:$A$1510,0)),"")</f>
        <v/>
      </c>
      <c r="F583">
        <f>IFERROR(SUMIFS('Match Log'!$I$4:$I$1510,'Match Log'!$A$4:$A$1510,$A583,'Match Log'!$E$4:$E$1510,"Win"),"")</f>
        <v>0</v>
      </c>
      <c r="G583" t="str">
        <f t="shared" si="35"/>
        <v/>
      </c>
      <c r="H583" t="str">
        <f t="array" ref="H583">IFERROR(IF(COUNTIFS('Match Log'!$A$4:$A$1510,$A583,'Match Log'!$E$4:$E$1510,"Win")&gt;1,_xlfn.TEXTJOIN(" + ",TRUE(),IF(('Match Log'!$A$4:$A$1510=$A583)*('Match Log'!$E$4:$E$1510="Loss"),'Match Log'!$D$4:$D$1510,"")),IF($E583=2,LOOKUP(2,1/(('Match Log'!$A$4:$A$1510=$A583)*('Match Log'!$E$4:$E$1510="Loss")),'Match Log'!$D$4:$D$1510),"the field")),"")</f>
        <v>the field</v>
      </c>
      <c r="I583" t="str">
        <f t="shared" si="36"/>
        <v/>
      </c>
      <c r="J583">
        <v>559</v>
      </c>
      <c r="K583" t="e">
        <f>IF($J583&gt;MAX('Match Log'!$A$4:$A$1510),NA(),IFERROR(LOOKUP(2,1/(('Match Log'!$D$4:$D$1510=$K$24)*('Match Log'!$A$4:$A$1510&lt;=$J583)),'Match Log'!$N$4:$N$1510),NA()))</f>
        <v>#N/A</v>
      </c>
      <c r="L583" t="e">
        <f>IF($J583&gt;MAX('Match Log'!$A$4:$A$1510),NA(),IFERROR(LOOKUP(2,1/(('Match Log'!$D$4:$D$1510=$L$24)*('Match Log'!$A$4:$A$1510&lt;=$J583)),'Match Log'!$N$4:$N$1510),NA()))</f>
        <v>#N/A</v>
      </c>
      <c r="M583" t="e">
        <f>IF($J583&gt;MAX('Match Log'!$A$4:$A$1510),NA(),IFERROR(LOOKUP(2,1/(('Match Log'!$D$4:$D$1510=$M$24)*('Match Log'!$A$4:$A$1510&lt;=$J583)),'Match Log'!$N$4:$N$1510),NA()))</f>
        <v>#N/A</v>
      </c>
      <c r="N583" t="e">
        <f>IF($J583&gt;MAX('Match Log'!$A$4:$A$1510),NA(),IFERROR(LOOKUP(2,1/(('Match Log'!$D$4:$D$1510=$N$24)*('Match Log'!$A$4:$A$1510&lt;=$J583)),'Match Log'!$N$4:$N$1510),NA()))</f>
        <v>#N/A</v>
      </c>
      <c r="O583" t="e">
        <f>IF($J583&gt;MAX('Match Log'!$A$4:$A$1510),NA(),IFERROR(LOOKUP(2,1/(('Match Log'!$D$4:$D$1510=$O$24)*('Match Log'!$A$4:$A$1510&lt;=$J583)),'Match Log'!$N$4:$N$1510),NA()))</f>
        <v>#N/A</v>
      </c>
      <c r="P583" t="e">
        <f>IF($J583&gt;MAX('Match Log'!$A$4:$A$1510),NA(),IFERROR(LOOKUP(2,1/(('Match Log'!$D$4:$D$1510=$P$24)*('Match Log'!$A$4:$A$1510&lt;=$J583)),'Match Log'!$N$4:$N$1510),NA()))</f>
        <v>#N/A</v>
      </c>
      <c r="Q583" t="e">
        <f>IF($J583&gt;MAX('Match Log'!$A$4:$A$1510),NA(),IFERROR(LOOKUP(2,1/(('Match Log'!$D$4:$D$1510=$Q$24)*('Match Log'!$A$4:$A$1510&lt;=$J583)),'Match Log'!$N$4:$N$1510),NA()))</f>
        <v>#N/A</v>
      </c>
      <c r="R583" t="e">
        <f>IF($J583&gt;MAX('Match Log'!$A$4:$A$1510),NA(),IFERROR(LOOKUP(2,1/(('Match Log'!$D$4:$D$1510=$R$24)*('Match Log'!$A$4:$A$1510&lt;=$J583)),'Match Log'!$N$4:$N$1510),NA()))</f>
        <v>#N/A</v>
      </c>
      <c r="S583" t="e">
        <f>IF($J583&gt;MAX('Match Log'!$A$4:$A$1510),NA(),IFERROR(LOOKUP(2,1/(('Match Log'!$D$4:$D$1510=$S$24)*('Match Log'!$A$4:$A$1510&lt;=$J583)),'Match Log'!$N$4:$N$1510),NA()))</f>
        <v>#N/A</v>
      </c>
      <c r="T583" t="e">
        <f>IF($J583&gt;MAX('Match Log'!$A$4:$A$1510),NA(),IFERROR(LOOKUP(2,1/(('Match Log'!$D$4:$D$1510=$T$24)*('Match Log'!$A$4:$A$1510&lt;=$J583)),'Match Log'!$N$4:$N$1510),NA()))</f>
        <v>#N/A</v>
      </c>
      <c r="U583" t="e">
        <f>IF($J583&gt;MAX('Match Log'!$A$4:$A$1510),NA(),IFERROR(LOOKUP(2,1/(('Match Log'!$D$4:$D$1510=$U$24)*('Match Log'!$A$4:$A$1510&lt;=$J583)),'Match Log'!$N$4:$N$1510),NA()))</f>
        <v>#N/A</v>
      </c>
      <c r="V583" t="e">
        <f>IF($J583&gt;MAX('Match Log'!$A$4:$A$1510),NA(),IFERROR(LOOKUP(2,1/(('Match Log'!$D$4:$D$1510=$V$24)*('Match Log'!$A$4:$A$1510&lt;=$J583)),'Match Log'!$N$4:$N$1510),NA()))</f>
        <v>#N/A</v>
      </c>
      <c r="W583" t="e">
        <f>IF($J583&gt;MAX('Match Log'!$A$4:$A$1510),NA(),IFERROR(LOOKUP(2,1/(('Match Log'!$D$4:$D$1510=$W$24)*('Match Log'!$A$4:$A$1510&lt;=$J583)),'Match Log'!$N$4:$N$1510),NA()))</f>
        <v>#N/A</v>
      </c>
      <c r="X583" t="e">
        <f>IF($J583&gt;MAX('Match Log'!$A$4:$A$1510),NA(),IFERROR(LOOKUP(2,1/(('Match Log'!$D$4:$D$1510=$X$24)*('Match Log'!$A$4:$A$1510&lt;=$J583)),'Match Log'!$N$4:$N$1510),NA()))</f>
        <v>#N/A</v>
      </c>
      <c r="Y583" t="str">
        <f t="shared" ca="1" si="37"/>
        <v/>
      </c>
    </row>
    <row r="584" spans="1:25" x14ac:dyDescent="0.2">
      <c r="A584">
        <v>560</v>
      </c>
      <c r="B584" t="str">
        <f>IFERROR(INDEX('Match Log'!$B$4:$B$1510,MATCH($A584,'Match Log'!$A$4:$A$1510,0)),"")</f>
        <v/>
      </c>
      <c r="C584" t="str">
        <f>IFERROR(INDEX('Match Log'!$C$4:$C$1510,MATCH($A584,'Match Log'!$A$4:$A$1510,0)),"")</f>
        <v/>
      </c>
      <c r="D584" t="str">
        <f t="array" ref="D584">IFERROR(_xlfn.TEXTJOIN(" + ",TRUE(),IF(('Match Log'!$A$4:$A$1510=$A584)*('Match Log'!$E$4:$E$1510="Win"),'Match Log'!$D$4:$D$1510,"")),IFERROR(LOOKUP(2,1/(('Match Log'!$A$4:$A$1510=$A584)*('Match Log'!$E$4:$E$1510="Win")),'Match Log'!$D$4:$D$1510),""))</f>
        <v/>
      </c>
      <c r="E584" t="str">
        <f>IFERROR(INDEX('Match Log'!$F$4:$F$1510,MATCH($A584,'Match Log'!$A$4:$A$1510,0)),"")</f>
        <v/>
      </c>
      <c r="F584">
        <f>IFERROR(SUMIFS('Match Log'!$I$4:$I$1510,'Match Log'!$A$4:$A$1510,$A584,'Match Log'!$E$4:$E$1510,"Win"),"")</f>
        <v>0</v>
      </c>
      <c r="G584" t="str">
        <f t="shared" si="35"/>
        <v/>
      </c>
      <c r="H584" t="str">
        <f t="array" ref="H584">IFERROR(IF(COUNTIFS('Match Log'!$A$4:$A$1510,$A584,'Match Log'!$E$4:$E$1510,"Win")&gt;1,_xlfn.TEXTJOIN(" + ",TRUE(),IF(('Match Log'!$A$4:$A$1510=$A584)*('Match Log'!$E$4:$E$1510="Loss"),'Match Log'!$D$4:$D$1510,"")),IF($E584=2,LOOKUP(2,1/(('Match Log'!$A$4:$A$1510=$A584)*('Match Log'!$E$4:$E$1510="Loss")),'Match Log'!$D$4:$D$1510),"the field")),"")</f>
        <v>the field</v>
      </c>
      <c r="I584" t="str">
        <f t="shared" si="36"/>
        <v/>
      </c>
      <c r="J584">
        <v>560</v>
      </c>
      <c r="K584" t="e">
        <f>IF($J584&gt;MAX('Match Log'!$A$4:$A$1510),NA(),IFERROR(LOOKUP(2,1/(('Match Log'!$D$4:$D$1510=$K$24)*('Match Log'!$A$4:$A$1510&lt;=$J584)),'Match Log'!$N$4:$N$1510),NA()))</f>
        <v>#N/A</v>
      </c>
      <c r="L584" t="e">
        <f>IF($J584&gt;MAX('Match Log'!$A$4:$A$1510),NA(),IFERROR(LOOKUP(2,1/(('Match Log'!$D$4:$D$1510=$L$24)*('Match Log'!$A$4:$A$1510&lt;=$J584)),'Match Log'!$N$4:$N$1510),NA()))</f>
        <v>#N/A</v>
      </c>
      <c r="M584" t="e">
        <f>IF($J584&gt;MAX('Match Log'!$A$4:$A$1510),NA(),IFERROR(LOOKUP(2,1/(('Match Log'!$D$4:$D$1510=$M$24)*('Match Log'!$A$4:$A$1510&lt;=$J584)),'Match Log'!$N$4:$N$1510),NA()))</f>
        <v>#N/A</v>
      </c>
      <c r="N584" t="e">
        <f>IF($J584&gt;MAX('Match Log'!$A$4:$A$1510),NA(),IFERROR(LOOKUP(2,1/(('Match Log'!$D$4:$D$1510=$N$24)*('Match Log'!$A$4:$A$1510&lt;=$J584)),'Match Log'!$N$4:$N$1510),NA()))</f>
        <v>#N/A</v>
      </c>
      <c r="O584" t="e">
        <f>IF($J584&gt;MAX('Match Log'!$A$4:$A$1510),NA(),IFERROR(LOOKUP(2,1/(('Match Log'!$D$4:$D$1510=$O$24)*('Match Log'!$A$4:$A$1510&lt;=$J584)),'Match Log'!$N$4:$N$1510),NA()))</f>
        <v>#N/A</v>
      </c>
      <c r="P584" t="e">
        <f>IF($J584&gt;MAX('Match Log'!$A$4:$A$1510),NA(),IFERROR(LOOKUP(2,1/(('Match Log'!$D$4:$D$1510=$P$24)*('Match Log'!$A$4:$A$1510&lt;=$J584)),'Match Log'!$N$4:$N$1510),NA()))</f>
        <v>#N/A</v>
      </c>
      <c r="Q584" t="e">
        <f>IF($J584&gt;MAX('Match Log'!$A$4:$A$1510),NA(),IFERROR(LOOKUP(2,1/(('Match Log'!$D$4:$D$1510=$Q$24)*('Match Log'!$A$4:$A$1510&lt;=$J584)),'Match Log'!$N$4:$N$1510),NA()))</f>
        <v>#N/A</v>
      </c>
      <c r="R584" t="e">
        <f>IF($J584&gt;MAX('Match Log'!$A$4:$A$1510),NA(),IFERROR(LOOKUP(2,1/(('Match Log'!$D$4:$D$1510=$R$24)*('Match Log'!$A$4:$A$1510&lt;=$J584)),'Match Log'!$N$4:$N$1510),NA()))</f>
        <v>#N/A</v>
      </c>
      <c r="S584" t="e">
        <f>IF($J584&gt;MAX('Match Log'!$A$4:$A$1510),NA(),IFERROR(LOOKUP(2,1/(('Match Log'!$D$4:$D$1510=$S$24)*('Match Log'!$A$4:$A$1510&lt;=$J584)),'Match Log'!$N$4:$N$1510),NA()))</f>
        <v>#N/A</v>
      </c>
      <c r="T584" t="e">
        <f>IF($J584&gt;MAX('Match Log'!$A$4:$A$1510),NA(),IFERROR(LOOKUP(2,1/(('Match Log'!$D$4:$D$1510=$T$24)*('Match Log'!$A$4:$A$1510&lt;=$J584)),'Match Log'!$N$4:$N$1510),NA()))</f>
        <v>#N/A</v>
      </c>
      <c r="U584" t="e">
        <f>IF($J584&gt;MAX('Match Log'!$A$4:$A$1510),NA(),IFERROR(LOOKUP(2,1/(('Match Log'!$D$4:$D$1510=$U$24)*('Match Log'!$A$4:$A$1510&lt;=$J584)),'Match Log'!$N$4:$N$1510),NA()))</f>
        <v>#N/A</v>
      </c>
      <c r="V584" t="e">
        <f>IF($J584&gt;MAX('Match Log'!$A$4:$A$1510),NA(),IFERROR(LOOKUP(2,1/(('Match Log'!$D$4:$D$1510=$V$24)*('Match Log'!$A$4:$A$1510&lt;=$J584)),'Match Log'!$N$4:$N$1510),NA()))</f>
        <v>#N/A</v>
      </c>
      <c r="W584" t="e">
        <f>IF($J584&gt;MAX('Match Log'!$A$4:$A$1510),NA(),IFERROR(LOOKUP(2,1/(('Match Log'!$D$4:$D$1510=$W$24)*('Match Log'!$A$4:$A$1510&lt;=$J584)),'Match Log'!$N$4:$N$1510),NA()))</f>
        <v>#N/A</v>
      </c>
      <c r="X584" t="e">
        <f>IF($J584&gt;MAX('Match Log'!$A$4:$A$1510),NA(),IFERROR(LOOKUP(2,1/(('Match Log'!$D$4:$D$1510=$X$24)*('Match Log'!$A$4:$A$1510&lt;=$J584)),'Match Log'!$N$4:$N$1510),NA()))</f>
        <v>#N/A</v>
      </c>
      <c r="Y584" t="str">
        <f t="shared" ca="1" si="37"/>
        <v/>
      </c>
    </row>
    <row r="585" spans="1:25" x14ac:dyDescent="0.2">
      <c r="A585">
        <v>561</v>
      </c>
      <c r="B585" t="str">
        <f>IFERROR(INDEX('Match Log'!$B$4:$B$1510,MATCH($A585,'Match Log'!$A$4:$A$1510,0)),"")</f>
        <v/>
      </c>
      <c r="C585" t="str">
        <f>IFERROR(INDEX('Match Log'!$C$4:$C$1510,MATCH($A585,'Match Log'!$A$4:$A$1510,0)),"")</f>
        <v/>
      </c>
      <c r="D585" t="str">
        <f t="array" ref="D585">IFERROR(_xlfn.TEXTJOIN(" + ",TRUE(),IF(('Match Log'!$A$4:$A$1510=$A585)*('Match Log'!$E$4:$E$1510="Win"),'Match Log'!$D$4:$D$1510,"")),IFERROR(LOOKUP(2,1/(('Match Log'!$A$4:$A$1510=$A585)*('Match Log'!$E$4:$E$1510="Win")),'Match Log'!$D$4:$D$1510),""))</f>
        <v/>
      </c>
      <c r="E585" t="str">
        <f>IFERROR(INDEX('Match Log'!$F$4:$F$1510,MATCH($A585,'Match Log'!$A$4:$A$1510,0)),"")</f>
        <v/>
      </c>
      <c r="F585">
        <f>IFERROR(SUMIFS('Match Log'!$I$4:$I$1510,'Match Log'!$A$4:$A$1510,$A585,'Match Log'!$E$4:$E$1510,"Win"),"")</f>
        <v>0</v>
      </c>
      <c r="G585" t="str">
        <f t="shared" si="35"/>
        <v/>
      </c>
      <c r="H585" t="str">
        <f t="array" ref="H585">IFERROR(IF(COUNTIFS('Match Log'!$A$4:$A$1510,$A585,'Match Log'!$E$4:$E$1510,"Win")&gt;1,_xlfn.TEXTJOIN(" + ",TRUE(),IF(('Match Log'!$A$4:$A$1510=$A585)*('Match Log'!$E$4:$E$1510="Loss"),'Match Log'!$D$4:$D$1510,"")),IF($E585=2,LOOKUP(2,1/(('Match Log'!$A$4:$A$1510=$A585)*('Match Log'!$E$4:$E$1510="Loss")),'Match Log'!$D$4:$D$1510),"the field")),"")</f>
        <v>the field</v>
      </c>
      <c r="I585" t="str">
        <f t="shared" si="36"/>
        <v/>
      </c>
      <c r="J585">
        <v>561</v>
      </c>
      <c r="K585" t="e">
        <f>IF($J585&gt;MAX('Match Log'!$A$4:$A$1510),NA(),IFERROR(LOOKUP(2,1/(('Match Log'!$D$4:$D$1510=$K$24)*('Match Log'!$A$4:$A$1510&lt;=$J585)),'Match Log'!$N$4:$N$1510),NA()))</f>
        <v>#N/A</v>
      </c>
      <c r="L585" t="e">
        <f>IF($J585&gt;MAX('Match Log'!$A$4:$A$1510),NA(),IFERROR(LOOKUP(2,1/(('Match Log'!$D$4:$D$1510=$L$24)*('Match Log'!$A$4:$A$1510&lt;=$J585)),'Match Log'!$N$4:$N$1510),NA()))</f>
        <v>#N/A</v>
      </c>
      <c r="M585" t="e">
        <f>IF($J585&gt;MAX('Match Log'!$A$4:$A$1510),NA(),IFERROR(LOOKUP(2,1/(('Match Log'!$D$4:$D$1510=$M$24)*('Match Log'!$A$4:$A$1510&lt;=$J585)),'Match Log'!$N$4:$N$1510),NA()))</f>
        <v>#N/A</v>
      </c>
      <c r="N585" t="e">
        <f>IF($J585&gt;MAX('Match Log'!$A$4:$A$1510),NA(),IFERROR(LOOKUP(2,1/(('Match Log'!$D$4:$D$1510=$N$24)*('Match Log'!$A$4:$A$1510&lt;=$J585)),'Match Log'!$N$4:$N$1510),NA()))</f>
        <v>#N/A</v>
      </c>
      <c r="O585" t="e">
        <f>IF($J585&gt;MAX('Match Log'!$A$4:$A$1510),NA(),IFERROR(LOOKUP(2,1/(('Match Log'!$D$4:$D$1510=$O$24)*('Match Log'!$A$4:$A$1510&lt;=$J585)),'Match Log'!$N$4:$N$1510),NA()))</f>
        <v>#N/A</v>
      </c>
      <c r="P585" t="e">
        <f>IF($J585&gt;MAX('Match Log'!$A$4:$A$1510),NA(),IFERROR(LOOKUP(2,1/(('Match Log'!$D$4:$D$1510=$P$24)*('Match Log'!$A$4:$A$1510&lt;=$J585)),'Match Log'!$N$4:$N$1510),NA()))</f>
        <v>#N/A</v>
      </c>
      <c r="Q585" t="e">
        <f>IF($J585&gt;MAX('Match Log'!$A$4:$A$1510),NA(),IFERROR(LOOKUP(2,1/(('Match Log'!$D$4:$D$1510=$Q$24)*('Match Log'!$A$4:$A$1510&lt;=$J585)),'Match Log'!$N$4:$N$1510),NA()))</f>
        <v>#N/A</v>
      </c>
      <c r="R585" t="e">
        <f>IF($J585&gt;MAX('Match Log'!$A$4:$A$1510),NA(),IFERROR(LOOKUP(2,1/(('Match Log'!$D$4:$D$1510=$R$24)*('Match Log'!$A$4:$A$1510&lt;=$J585)),'Match Log'!$N$4:$N$1510),NA()))</f>
        <v>#N/A</v>
      </c>
      <c r="S585" t="e">
        <f>IF($J585&gt;MAX('Match Log'!$A$4:$A$1510),NA(),IFERROR(LOOKUP(2,1/(('Match Log'!$D$4:$D$1510=$S$24)*('Match Log'!$A$4:$A$1510&lt;=$J585)),'Match Log'!$N$4:$N$1510),NA()))</f>
        <v>#N/A</v>
      </c>
      <c r="T585" t="e">
        <f>IF($J585&gt;MAX('Match Log'!$A$4:$A$1510),NA(),IFERROR(LOOKUP(2,1/(('Match Log'!$D$4:$D$1510=$T$24)*('Match Log'!$A$4:$A$1510&lt;=$J585)),'Match Log'!$N$4:$N$1510),NA()))</f>
        <v>#N/A</v>
      </c>
      <c r="U585" t="e">
        <f>IF($J585&gt;MAX('Match Log'!$A$4:$A$1510),NA(),IFERROR(LOOKUP(2,1/(('Match Log'!$D$4:$D$1510=$U$24)*('Match Log'!$A$4:$A$1510&lt;=$J585)),'Match Log'!$N$4:$N$1510),NA()))</f>
        <v>#N/A</v>
      </c>
      <c r="V585" t="e">
        <f>IF($J585&gt;MAX('Match Log'!$A$4:$A$1510),NA(),IFERROR(LOOKUP(2,1/(('Match Log'!$D$4:$D$1510=$V$24)*('Match Log'!$A$4:$A$1510&lt;=$J585)),'Match Log'!$N$4:$N$1510),NA()))</f>
        <v>#N/A</v>
      </c>
      <c r="W585" t="e">
        <f>IF($J585&gt;MAX('Match Log'!$A$4:$A$1510),NA(),IFERROR(LOOKUP(2,1/(('Match Log'!$D$4:$D$1510=$W$24)*('Match Log'!$A$4:$A$1510&lt;=$J585)),'Match Log'!$N$4:$N$1510),NA()))</f>
        <v>#N/A</v>
      </c>
      <c r="X585" t="e">
        <f>IF($J585&gt;MAX('Match Log'!$A$4:$A$1510),NA(),IFERROR(LOOKUP(2,1/(('Match Log'!$D$4:$D$1510=$X$24)*('Match Log'!$A$4:$A$1510&lt;=$J585)),'Match Log'!$N$4:$N$1510),NA()))</f>
        <v>#N/A</v>
      </c>
      <c r="Y585" t="str">
        <f t="shared" ca="1" si="37"/>
        <v/>
      </c>
    </row>
    <row r="586" spans="1:25" x14ac:dyDescent="0.2">
      <c r="A586">
        <v>562</v>
      </c>
      <c r="B586" t="str">
        <f>IFERROR(INDEX('Match Log'!$B$4:$B$1510,MATCH($A586,'Match Log'!$A$4:$A$1510,0)),"")</f>
        <v/>
      </c>
      <c r="C586" t="str">
        <f>IFERROR(INDEX('Match Log'!$C$4:$C$1510,MATCH($A586,'Match Log'!$A$4:$A$1510,0)),"")</f>
        <v/>
      </c>
      <c r="D586" t="str">
        <f t="array" ref="D586">IFERROR(_xlfn.TEXTJOIN(" + ",TRUE(),IF(('Match Log'!$A$4:$A$1510=$A586)*('Match Log'!$E$4:$E$1510="Win"),'Match Log'!$D$4:$D$1510,"")),IFERROR(LOOKUP(2,1/(('Match Log'!$A$4:$A$1510=$A586)*('Match Log'!$E$4:$E$1510="Win")),'Match Log'!$D$4:$D$1510),""))</f>
        <v/>
      </c>
      <c r="E586" t="str">
        <f>IFERROR(INDEX('Match Log'!$F$4:$F$1510,MATCH($A586,'Match Log'!$A$4:$A$1510,0)),"")</f>
        <v/>
      </c>
      <c r="F586">
        <f>IFERROR(SUMIFS('Match Log'!$I$4:$I$1510,'Match Log'!$A$4:$A$1510,$A586,'Match Log'!$E$4:$E$1510,"Win"),"")</f>
        <v>0</v>
      </c>
      <c r="G586" t="str">
        <f t="shared" si="35"/>
        <v/>
      </c>
      <c r="H586" t="str">
        <f t="array" ref="H586">IFERROR(IF(COUNTIFS('Match Log'!$A$4:$A$1510,$A586,'Match Log'!$E$4:$E$1510,"Win")&gt;1,_xlfn.TEXTJOIN(" + ",TRUE(),IF(('Match Log'!$A$4:$A$1510=$A586)*('Match Log'!$E$4:$E$1510="Loss"),'Match Log'!$D$4:$D$1510,"")),IF($E586=2,LOOKUP(2,1/(('Match Log'!$A$4:$A$1510=$A586)*('Match Log'!$E$4:$E$1510="Loss")),'Match Log'!$D$4:$D$1510),"the field")),"")</f>
        <v>the field</v>
      </c>
      <c r="I586" t="str">
        <f t="shared" si="36"/>
        <v/>
      </c>
      <c r="J586">
        <v>562</v>
      </c>
      <c r="K586" t="e">
        <f>IF($J586&gt;MAX('Match Log'!$A$4:$A$1510),NA(),IFERROR(LOOKUP(2,1/(('Match Log'!$D$4:$D$1510=$K$24)*('Match Log'!$A$4:$A$1510&lt;=$J586)),'Match Log'!$N$4:$N$1510),NA()))</f>
        <v>#N/A</v>
      </c>
      <c r="L586" t="e">
        <f>IF($J586&gt;MAX('Match Log'!$A$4:$A$1510),NA(),IFERROR(LOOKUP(2,1/(('Match Log'!$D$4:$D$1510=$L$24)*('Match Log'!$A$4:$A$1510&lt;=$J586)),'Match Log'!$N$4:$N$1510),NA()))</f>
        <v>#N/A</v>
      </c>
      <c r="M586" t="e">
        <f>IF($J586&gt;MAX('Match Log'!$A$4:$A$1510),NA(),IFERROR(LOOKUP(2,1/(('Match Log'!$D$4:$D$1510=$M$24)*('Match Log'!$A$4:$A$1510&lt;=$J586)),'Match Log'!$N$4:$N$1510),NA()))</f>
        <v>#N/A</v>
      </c>
      <c r="N586" t="e">
        <f>IF($J586&gt;MAX('Match Log'!$A$4:$A$1510),NA(),IFERROR(LOOKUP(2,1/(('Match Log'!$D$4:$D$1510=$N$24)*('Match Log'!$A$4:$A$1510&lt;=$J586)),'Match Log'!$N$4:$N$1510),NA()))</f>
        <v>#N/A</v>
      </c>
      <c r="O586" t="e">
        <f>IF($J586&gt;MAX('Match Log'!$A$4:$A$1510),NA(),IFERROR(LOOKUP(2,1/(('Match Log'!$D$4:$D$1510=$O$24)*('Match Log'!$A$4:$A$1510&lt;=$J586)),'Match Log'!$N$4:$N$1510),NA()))</f>
        <v>#N/A</v>
      </c>
      <c r="P586" t="e">
        <f>IF($J586&gt;MAX('Match Log'!$A$4:$A$1510),NA(),IFERROR(LOOKUP(2,1/(('Match Log'!$D$4:$D$1510=$P$24)*('Match Log'!$A$4:$A$1510&lt;=$J586)),'Match Log'!$N$4:$N$1510),NA()))</f>
        <v>#N/A</v>
      </c>
      <c r="Q586" t="e">
        <f>IF($J586&gt;MAX('Match Log'!$A$4:$A$1510),NA(),IFERROR(LOOKUP(2,1/(('Match Log'!$D$4:$D$1510=$Q$24)*('Match Log'!$A$4:$A$1510&lt;=$J586)),'Match Log'!$N$4:$N$1510),NA()))</f>
        <v>#N/A</v>
      </c>
      <c r="R586" t="e">
        <f>IF($J586&gt;MAX('Match Log'!$A$4:$A$1510),NA(),IFERROR(LOOKUP(2,1/(('Match Log'!$D$4:$D$1510=$R$24)*('Match Log'!$A$4:$A$1510&lt;=$J586)),'Match Log'!$N$4:$N$1510),NA()))</f>
        <v>#N/A</v>
      </c>
      <c r="S586" t="e">
        <f>IF($J586&gt;MAX('Match Log'!$A$4:$A$1510),NA(),IFERROR(LOOKUP(2,1/(('Match Log'!$D$4:$D$1510=$S$24)*('Match Log'!$A$4:$A$1510&lt;=$J586)),'Match Log'!$N$4:$N$1510),NA()))</f>
        <v>#N/A</v>
      </c>
      <c r="T586" t="e">
        <f>IF($J586&gt;MAX('Match Log'!$A$4:$A$1510),NA(),IFERROR(LOOKUP(2,1/(('Match Log'!$D$4:$D$1510=$T$24)*('Match Log'!$A$4:$A$1510&lt;=$J586)),'Match Log'!$N$4:$N$1510),NA()))</f>
        <v>#N/A</v>
      </c>
      <c r="U586" t="e">
        <f>IF($J586&gt;MAX('Match Log'!$A$4:$A$1510),NA(),IFERROR(LOOKUP(2,1/(('Match Log'!$D$4:$D$1510=$U$24)*('Match Log'!$A$4:$A$1510&lt;=$J586)),'Match Log'!$N$4:$N$1510),NA()))</f>
        <v>#N/A</v>
      </c>
      <c r="V586" t="e">
        <f>IF($J586&gt;MAX('Match Log'!$A$4:$A$1510),NA(),IFERROR(LOOKUP(2,1/(('Match Log'!$D$4:$D$1510=$V$24)*('Match Log'!$A$4:$A$1510&lt;=$J586)),'Match Log'!$N$4:$N$1510),NA()))</f>
        <v>#N/A</v>
      </c>
      <c r="W586" t="e">
        <f>IF($J586&gt;MAX('Match Log'!$A$4:$A$1510),NA(),IFERROR(LOOKUP(2,1/(('Match Log'!$D$4:$D$1510=$W$24)*('Match Log'!$A$4:$A$1510&lt;=$J586)),'Match Log'!$N$4:$N$1510),NA()))</f>
        <v>#N/A</v>
      </c>
      <c r="X586" t="e">
        <f>IF($J586&gt;MAX('Match Log'!$A$4:$A$1510),NA(),IFERROR(LOOKUP(2,1/(('Match Log'!$D$4:$D$1510=$X$24)*('Match Log'!$A$4:$A$1510&lt;=$J586)),'Match Log'!$N$4:$N$1510),NA()))</f>
        <v>#N/A</v>
      </c>
      <c r="Y586" t="str">
        <f t="shared" ca="1" si="37"/>
        <v/>
      </c>
    </row>
    <row r="587" spans="1:25" x14ac:dyDescent="0.2">
      <c r="A587">
        <v>563</v>
      </c>
      <c r="B587" t="str">
        <f>IFERROR(INDEX('Match Log'!$B$4:$B$1510,MATCH($A587,'Match Log'!$A$4:$A$1510,0)),"")</f>
        <v/>
      </c>
      <c r="C587" t="str">
        <f>IFERROR(INDEX('Match Log'!$C$4:$C$1510,MATCH($A587,'Match Log'!$A$4:$A$1510,0)),"")</f>
        <v/>
      </c>
      <c r="D587" t="str">
        <f t="array" ref="D587">IFERROR(_xlfn.TEXTJOIN(" + ",TRUE(),IF(('Match Log'!$A$4:$A$1510=$A587)*('Match Log'!$E$4:$E$1510="Win"),'Match Log'!$D$4:$D$1510,"")),IFERROR(LOOKUP(2,1/(('Match Log'!$A$4:$A$1510=$A587)*('Match Log'!$E$4:$E$1510="Win")),'Match Log'!$D$4:$D$1510),""))</f>
        <v/>
      </c>
      <c r="E587" t="str">
        <f>IFERROR(INDEX('Match Log'!$F$4:$F$1510,MATCH($A587,'Match Log'!$A$4:$A$1510,0)),"")</f>
        <v/>
      </c>
      <c r="F587">
        <f>IFERROR(SUMIFS('Match Log'!$I$4:$I$1510,'Match Log'!$A$4:$A$1510,$A587,'Match Log'!$E$4:$E$1510,"Win"),"")</f>
        <v>0</v>
      </c>
      <c r="G587" t="str">
        <f t="shared" si="35"/>
        <v/>
      </c>
      <c r="H587" t="str">
        <f t="array" ref="H587">IFERROR(IF(COUNTIFS('Match Log'!$A$4:$A$1510,$A587,'Match Log'!$E$4:$E$1510,"Win")&gt;1,_xlfn.TEXTJOIN(" + ",TRUE(),IF(('Match Log'!$A$4:$A$1510=$A587)*('Match Log'!$E$4:$E$1510="Loss"),'Match Log'!$D$4:$D$1510,"")),IF($E587=2,LOOKUP(2,1/(('Match Log'!$A$4:$A$1510=$A587)*('Match Log'!$E$4:$E$1510="Loss")),'Match Log'!$D$4:$D$1510),"the field")),"")</f>
        <v>the field</v>
      </c>
      <c r="I587" t="str">
        <f t="shared" si="36"/>
        <v/>
      </c>
      <c r="J587">
        <v>563</v>
      </c>
      <c r="K587" t="e">
        <f>IF($J587&gt;MAX('Match Log'!$A$4:$A$1510),NA(),IFERROR(LOOKUP(2,1/(('Match Log'!$D$4:$D$1510=$K$24)*('Match Log'!$A$4:$A$1510&lt;=$J587)),'Match Log'!$N$4:$N$1510),NA()))</f>
        <v>#N/A</v>
      </c>
      <c r="L587" t="e">
        <f>IF($J587&gt;MAX('Match Log'!$A$4:$A$1510),NA(),IFERROR(LOOKUP(2,1/(('Match Log'!$D$4:$D$1510=$L$24)*('Match Log'!$A$4:$A$1510&lt;=$J587)),'Match Log'!$N$4:$N$1510),NA()))</f>
        <v>#N/A</v>
      </c>
      <c r="M587" t="e">
        <f>IF($J587&gt;MAX('Match Log'!$A$4:$A$1510),NA(),IFERROR(LOOKUP(2,1/(('Match Log'!$D$4:$D$1510=$M$24)*('Match Log'!$A$4:$A$1510&lt;=$J587)),'Match Log'!$N$4:$N$1510),NA()))</f>
        <v>#N/A</v>
      </c>
      <c r="N587" t="e">
        <f>IF($J587&gt;MAX('Match Log'!$A$4:$A$1510),NA(),IFERROR(LOOKUP(2,1/(('Match Log'!$D$4:$D$1510=$N$24)*('Match Log'!$A$4:$A$1510&lt;=$J587)),'Match Log'!$N$4:$N$1510),NA()))</f>
        <v>#N/A</v>
      </c>
      <c r="O587" t="e">
        <f>IF($J587&gt;MAX('Match Log'!$A$4:$A$1510),NA(),IFERROR(LOOKUP(2,1/(('Match Log'!$D$4:$D$1510=$O$24)*('Match Log'!$A$4:$A$1510&lt;=$J587)),'Match Log'!$N$4:$N$1510),NA()))</f>
        <v>#N/A</v>
      </c>
      <c r="P587" t="e">
        <f>IF($J587&gt;MAX('Match Log'!$A$4:$A$1510),NA(),IFERROR(LOOKUP(2,1/(('Match Log'!$D$4:$D$1510=$P$24)*('Match Log'!$A$4:$A$1510&lt;=$J587)),'Match Log'!$N$4:$N$1510),NA()))</f>
        <v>#N/A</v>
      </c>
      <c r="Q587" t="e">
        <f>IF($J587&gt;MAX('Match Log'!$A$4:$A$1510),NA(),IFERROR(LOOKUP(2,1/(('Match Log'!$D$4:$D$1510=$Q$24)*('Match Log'!$A$4:$A$1510&lt;=$J587)),'Match Log'!$N$4:$N$1510),NA()))</f>
        <v>#N/A</v>
      </c>
      <c r="R587" t="e">
        <f>IF($J587&gt;MAX('Match Log'!$A$4:$A$1510),NA(),IFERROR(LOOKUP(2,1/(('Match Log'!$D$4:$D$1510=$R$24)*('Match Log'!$A$4:$A$1510&lt;=$J587)),'Match Log'!$N$4:$N$1510),NA()))</f>
        <v>#N/A</v>
      </c>
      <c r="S587" t="e">
        <f>IF($J587&gt;MAX('Match Log'!$A$4:$A$1510),NA(),IFERROR(LOOKUP(2,1/(('Match Log'!$D$4:$D$1510=$S$24)*('Match Log'!$A$4:$A$1510&lt;=$J587)),'Match Log'!$N$4:$N$1510),NA()))</f>
        <v>#N/A</v>
      </c>
      <c r="T587" t="e">
        <f>IF($J587&gt;MAX('Match Log'!$A$4:$A$1510),NA(),IFERROR(LOOKUP(2,1/(('Match Log'!$D$4:$D$1510=$T$24)*('Match Log'!$A$4:$A$1510&lt;=$J587)),'Match Log'!$N$4:$N$1510),NA()))</f>
        <v>#N/A</v>
      </c>
      <c r="U587" t="e">
        <f>IF($J587&gt;MAX('Match Log'!$A$4:$A$1510),NA(),IFERROR(LOOKUP(2,1/(('Match Log'!$D$4:$D$1510=$U$24)*('Match Log'!$A$4:$A$1510&lt;=$J587)),'Match Log'!$N$4:$N$1510),NA()))</f>
        <v>#N/A</v>
      </c>
      <c r="V587" t="e">
        <f>IF($J587&gt;MAX('Match Log'!$A$4:$A$1510),NA(),IFERROR(LOOKUP(2,1/(('Match Log'!$D$4:$D$1510=$V$24)*('Match Log'!$A$4:$A$1510&lt;=$J587)),'Match Log'!$N$4:$N$1510),NA()))</f>
        <v>#N/A</v>
      </c>
      <c r="W587" t="e">
        <f>IF($J587&gt;MAX('Match Log'!$A$4:$A$1510),NA(),IFERROR(LOOKUP(2,1/(('Match Log'!$D$4:$D$1510=$W$24)*('Match Log'!$A$4:$A$1510&lt;=$J587)),'Match Log'!$N$4:$N$1510),NA()))</f>
        <v>#N/A</v>
      </c>
      <c r="X587" t="e">
        <f>IF($J587&gt;MAX('Match Log'!$A$4:$A$1510),NA(),IFERROR(LOOKUP(2,1/(('Match Log'!$D$4:$D$1510=$X$24)*('Match Log'!$A$4:$A$1510&lt;=$J587)),'Match Log'!$N$4:$N$1510),NA()))</f>
        <v>#N/A</v>
      </c>
      <c r="Y587" t="str">
        <f t="shared" ca="1" si="37"/>
        <v/>
      </c>
    </row>
    <row r="588" spans="1:25" x14ac:dyDescent="0.2">
      <c r="A588">
        <v>564</v>
      </c>
      <c r="B588" t="str">
        <f>IFERROR(INDEX('Match Log'!$B$4:$B$1510,MATCH($A588,'Match Log'!$A$4:$A$1510,0)),"")</f>
        <v/>
      </c>
      <c r="C588" t="str">
        <f>IFERROR(INDEX('Match Log'!$C$4:$C$1510,MATCH($A588,'Match Log'!$A$4:$A$1510,0)),"")</f>
        <v/>
      </c>
      <c r="D588" t="str">
        <f t="array" ref="D588">IFERROR(_xlfn.TEXTJOIN(" + ",TRUE(),IF(('Match Log'!$A$4:$A$1510=$A588)*('Match Log'!$E$4:$E$1510="Win"),'Match Log'!$D$4:$D$1510,"")),IFERROR(LOOKUP(2,1/(('Match Log'!$A$4:$A$1510=$A588)*('Match Log'!$E$4:$E$1510="Win")),'Match Log'!$D$4:$D$1510),""))</f>
        <v/>
      </c>
      <c r="E588" t="str">
        <f>IFERROR(INDEX('Match Log'!$F$4:$F$1510,MATCH($A588,'Match Log'!$A$4:$A$1510,0)),"")</f>
        <v/>
      </c>
      <c r="F588">
        <f>IFERROR(SUMIFS('Match Log'!$I$4:$I$1510,'Match Log'!$A$4:$A$1510,$A588,'Match Log'!$E$4:$E$1510,"Win"),"")</f>
        <v>0</v>
      </c>
      <c r="G588" t="str">
        <f t="shared" si="35"/>
        <v/>
      </c>
      <c r="H588" t="str">
        <f t="array" ref="H588">IFERROR(IF(COUNTIFS('Match Log'!$A$4:$A$1510,$A588,'Match Log'!$E$4:$E$1510,"Win")&gt;1,_xlfn.TEXTJOIN(" + ",TRUE(),IF(('Match Log'!$A$4:$A$1510=$A588)*('Match Log'!$E$4:$E$1510="Loss"),'Match Log'!$D$4:$D$1510,"")),IF($E588=2,LOOKUP(2,1/(('Match Log'!$A$4:$A$1510=$A588)*('Match Log'!$E$4:$E$1510="Loss")),'Match Log'!$D$4:$D$1510),"the field")),"")</f>
        <v>the field</v>
      </c>
      <c r="I588" t="str">
        <f t="shared" si="36"/>
        <v/>
      </c>
      <c r="J588">
        <v>564</v>
      </c>
      <c r="K588" t="e">
        <f>IF($J588&gt;MAX('Match Log'!$A$4:$A$1510),NA(),IFERROR(LOOKUP(2,1/(('Match Log'!$D$4:$D$1510=$K$24)*('Match Log'!$A$4:$A$1510&lt;=$J588)),'Match Log'!$N$4:$N$1510),NA()))</f>
        <v>#N/A</v>
      </c>
      <c r="L588" t="e">
        <f>IF($J588&gt;MAX('Match Log'!$A$4:$A$1510),NA(),IFERROR(LOOKUP(2,1/(('Match Log'!$D$4:$D$1510=$L$24)*('Match Log'!$A$4:$A$1510&lt;=$J588)),'Match Log'!$N$4:$N$1510),NA()))</f>
        <v>#N/A</v>
      </c>
      <c r="M588" t="e">
        <f>IF($J588&gt;MAX('Match Log'!$A$4:$A$1510),NA(),IFERROR(LOOKUP(2,1/(('Match Log'!$D$4:$D$1510=$M$24)*('Match Log'!$A$4:$A$1510&lt;=$J588)),'Match Log'!$N$4:$N$1510),NA()))</f>
        <v>#N/A</v>
      </c>
      <c r="N588" t="e">
        <f>IF($J588&gt;MAX('Match Log'!$A$4:$A$1510),NA(),IFERROR(LOOKUP(2,1/(('Match Log'!$D$4:$D$1510=$N$24)*('Match Log'!$A$4:$A$1510&lt;=$J588)),'Match Log'!$N$4:$N$1510),NA()))</f>
        <v>#N/A</v>
      </c>
      <c r="O588" t="e">
        <f>IF($J588&gt;MAX('Match Log'!$A$4:$A$1510),NA(),IFERROR(LOOKUP(2,1/(('Match Log'!$D$4:$D$1510=$O$24)*('Match Log'!$A$4:$A$1510&lt;=$J588)),'Match Log'!$N$4:$N$1510),NA()))</f>
        <v>#N/A</v>
      </c>
      <c r="P588" t="e">
        <f>IF($J588&gt;MAX('Match Log'!$A$4:$A$1510),NA(),IFERROR(LOOKUP(2,1/(('Match Log'!$D$4:$D$1510=$P$24)*('Match Log'!$A$4:$A$1510&lt;=$J588)),'Match Log'!$N$4:$N$1510),NA()))</f>
        <v>#N/A</v>
      </c>
      <c r="Q588" t="e">
        <f>IF($J588&gt;MAX('Match Log'!$A$4:$A$1510),NA(),IFERROR(LOOKUP(2,1/(('Match Log'!$D$4:$D$1510=$Q$24)*('Match Log'!$A$4:$A$1510&lt;=$J588)),'Match Log'!$N$4:$N$1510),NA()))</f>
        <v>#N/A</v>
      </c>
      <c r="R588" t="e">
        <f>IF($J588&gt;MAX('Match Log'!$A$4:$A$1510),NA(),IFERROR(LOOKUP(2,1/(('Match Log'!$D$4:$D$1510=$R$24)*('Match Log'!$A$4:$A$1510&lt;=$J588)),'Match Log'!$N$4:$N$1510),NA()))</f>
        <v>#N/A</v>
      </c>
      <c r="S588" t="e">
        <f>IF($J588&gt;MAX('Match Log'!$A$4:$A$1510),NA(),IFERROR(LOOKUP(2,1/(('Match Log'!$D$4:$D$1510=$S$24)*('Match Log'!$A$4:$A$1510&lt;=$J588)),'Match Log'!$N$4:$N$1510),NA()))</f>
        <v>#N/A</v>
      </c>
      <c r="T588" t="e">
        <f>IF($J588&gt;MAX('Match Log'!$A$4:$A$1510),NA(),IFERROR(LOOKUP(2,1/(('Match Log'!$D$4:$D$1510=$T$24)*('Match Log'!$A$4:$A$1510&lt;=$J588)),'Match Log'!$N$4:$N$1510),NA()))</f>
        <v>#N/A</v>
      </c>
      <c r="U588" t="e">
        <f>IF($J588&gt;MAX('Match Log'!$A$4:$A$1510),NA(),IFERROR(LOOKUP(2,1/(('Match Log'!$D$4:$D$1510=$U$24)*('Match Log'!$A$4:$A$1510&lt;=$J588)),'Match Log'!$N$4:$N$1510),NA()))</f>
        <v>#N/A</v>
      </c>
      <c r="V588" t="e">
        <f>IF($J588&gt;MAX('Match Log'!$A$4:$A$1510),NA(),IFERROR(LOOKUP(2,1/(('Match Log'!$D$4:$D$1510=$V$24)*('Match Log'!$A$4:$A$1510&lt;=$J588)),'Match Log'!$N$4:$N$1510),NA()))</f>
        <v>#N/A</v>
      </c>
      <c r="W588" t="e">
        <f>IF($J588&gt;MAX('Match Log'!$A$4:$A$1510),NA(),IFERROR(LOOKUP(2,1/(('Match Log'!$D$4:$D$1510=$W$24)*('Match Log'!$A$4:$A$1510&lt;=$J588)),'Match Log'!$N$4:$N$1510),NA()))</f>
        <v>#N/A</v>
      </c>
      <c r="X588" t="e">
        <f>IF($J588&gt;MAX('Match Log'!$A$4:$A$1510),NA(),IFERROR(LOOKUP(2,1/(('Match Log'!$D$4:$D$1510=$X$24)*('Match Log'!$A$4:$A$1510&lt;=$J588)),'Match Log'!$N$4:$N$1510),NA()))</f>
        <v>#N/A</v>
      </c>
      <c r="Y588" t="str">
        <f t="shared" ca="1" si="37"/>
        <v/>
      </c>
    </row>
    <row r="589" spans="1:25" x14ac:dyDescent="0.2">
      <c r="A589">
        <v>565</v>
      </c>
      <c r="B589" t="str">
        <f>IFERROR(INDEX('Match Log'!$B$4:$B$1510,MATCH($A589,'Match Log'!$A$4:$A$1510,0)),"")</f>
        <v/>
      </c>
      <c r="C589" t="str">
        <f>IFERROR(INDEX('Match Log'!$C$4:$C$1510,MATCH($A589,'Match Log'!$A$4:$A$1510,0)),"")</f>
        <v/>
      </c>
      <c r="D589" t="str">
        <f t="array" ref="D589">IFERROR(_xlfn.TEXTJOIN(" + ",TRUE(),IF(('Match Log'!$A$4:$A$1510=$A589)*('Match Log'!$E$4:$E$1510="Win"),'Match Log'!$D$4:$D$1510,"")),IFERROR(LOOKUP(2,1/(('Match Log'!$A$4:$A$1510=$A589)*('Match Log'!$E$4:$E$1510="Win")),'Match Log'!$D$4:$D$1510),""))</f>
        <v/>
      </c>
      <c r="E589" t="str">
        <f>IFERROR(INDEX('Match Log'!$F$4:$F$1510,MATCH($A589,'Match Log'!$A$4:$A$1510,0)),"")</f>
        <v/>
      </c>
      <c r="F589">
        <f>IFERROR(SUMIFS('Match Log'!$I$4:$I$1510,'Match Log'!$A$4:$A$1510,$A589,'Match Log'!$E$4:$E$1510,"Win"),"")</f>
        <v>0</v>
      </c>
      <c r="G589" t="str">
        <f t="shared" si="35"/>
        <v/>
      </c>
      <c r="H589" t="str">
        <f t="array" ref="H589">IFERROR(IF(COUNTIFS('Match Log'!$A$4:$A$1510,$A589,'Match Log'!$E$4:$E$1510,"Win")&gt;1,_xlfn.TEXTJOIN(" + ",TRUE(),IF(('Match Log'!$A$4:$A$1510=$A589)*('Match Log'!$E$4:$E$1510="Loss"),'Match Log'!$D$4:$D$1510,"")),IF($E589=2,LOOKUP(2,1/(('Match Log'!$A$4:$A$1510=$A589)*('Match Log'!$E$4:$E$1510="Loss")),'Match Log'!$D$4:$D$1510),"the field")),"")</f>
        <v>the field</v>
      </c>
      <c r="I589" t="str">
        <f t="shared" si="36"/>
        <v/>
      </c>
      <c r="J589">
        <v>565</v>
      </c>
      <c r="K589" t="e">
        <f>IF($J589&gt;MAX('Match Log'!$A$4:$A$1510),NA(),IFERROR(LOOKUP(2,1/(('Match Log'!$D$4:$D$1510=$K$24)*('Match Log'!$A$4:$A$1510&lt;=$J589)),'Match Log'!$N$4:$N$1510),NA()))</f>
        <v>#N/A</v>
      </c>
      <c r="L589" t="e">
        <f>IF($J589&gt;MAX('Match Log'!$A$4:$A$1510),NA(),IFERROR(LOOKUP(2,1/(('Match Log'!$D$4:$D$1510=$L$24)*('Match Log'!$A$4:$A$1510&lt;=$J589)),'Match Log'!$N$4:$N$1510),NA()))</f>
        <v>#N/A</v>
      </c>
      <c r="M589" t="e">
        <f>IF($J589&gt;MAX('Match Log'!$A$4:$A$1510),NA(),IFERROR(LOOKUP(2,1/(('Match Log'!$D$4:$D$1510=$M$24)*('Match Log'!$A$4:$A$1510&lt;=$J589)),'Match Log'!$N$4:$N$1510),NA()))</f>
        <v>#N/A</v>
      </c>
      <c r="N589" t="e">
        <f>IF($J589&gt;MAX('Match Log'!$A$4:$A$1510),NA(),IFERROR(LOOKUP(2,1/(('Match Log'!$D$4:$D$1510=$N$24)*('Match Log'!$A$4:$A$1510&lt;=$J589)),'Match Log'!$N$4:$N$1510),NA()))</f>
        <v>#N/A</v>
      </c>
      <c r="O589" t="e">
        <f>IF($J589&gt;MAX('Match Log'!$A$4:$A$1510),NA(),IFERROR(LOOKUP(2,1/(('Match Log'!$D$4:$D$1510=$O$24)*('Match Log'!$A$4:$A$1510&lt;=$J589)),'Match Log'!$N$4:$N$1510),NA()))</f>
        <v>#N/A</v>
      </c>
      <c r="P589" t="e">
        <f>IF($J589&gt;MAX('Match Log'!$A$4:$A$1510),NA(),IFERROR(LOOKUP(2,1/(('Match Log'!$D$4:$D$1510=$P$24)*('Match Log'!$A$4:$A$1510&lt;=$J589)),'Match Log'!$N$4:$N$1510),NA()))</f>
        <v>#N/A</v>
      </c>
      <c r="Q589" t="e">
        <f>IF($J589&gt;MAX('Match Log'!$A$4:$A$1510),NA(),IFERROR(LOOKUP(2,1/(('Match Log'!$D$4:$D$1510=$Q$24)*('Match Log'!$A$4:$A$1510&lt;=$J589)),'Match Log'!$N$4:$N$1510),NA()))</f>
        <v>#N/A</v>
      </c>
      <c r="R589" t="e">
        <f>IF($J589&gt;MAX('Match Log'!$A$4:$A$1510),NA(),IFERROR(LOOKUP(2,1/(('Match Log'!$D$4:$D$1510=$R$24)*('Match Log'!$A$4:$A$1510&lt;=$J589)),'Match Log'!$N$4:$N$1510),NA()))</f>
        <v>#N/A</v>
      </c>
      <c r="S589" t="e">
        <f>IF($J589&gt;MAX('Match Log'!$A$4:$A$1510),NA(),IFERROR(LOOKUP(2,1/(('Match Log'!$D$4:$D$1510=$S$24)*('Match Log'!$A$4:$A$1510&lt;=$J589)),'Match Log'!$N$4:$N$1510),NA()))</f>
        <v>#N/A</v>
      </c>
      <c r="T589" t="e">
        <f>IF($J589&gt;MAX('Match Log'!$A$4:$A$1510),NA(),IFERROR(LOOKUP(2,1/(('Match Log'!$D$4:$D$1510=$T$24)*('Match Log'!$A$4:$A$1510&lt;=$J589)),'Match Log'!$N$4:$N$1510),NA()))</f>
        <v>#N/A</v>
      </c>
      <c r="U589" t="e">
        <f>IF($J589&gt;MAX('Match Log'!$A$4:$A$1510),NA(),IFERROR(LOOKUP(2,1/(('Match Log'!$D$4:$D$1510=$U$24)*('Match Log'!$A$4:$A$1510&lt;=$J589)),'Match Log'!$N$4:$N$1510),NA()))</f>
        <v>#N/A</v>
      </c>
      <c r="V589" t="e">
        <f>IF($J589&gt;MAX('Match Log'!$A$4:$A$1510),NA(),IFERROR(LOOKUP(2,1/(('Match Log'!$D$4:$D$1510=$V$24)*('Match Log'!$A$4:$A$1510&lt;=$J589)),'Match Log'!$N$4:$N$1510),NA()))</f>
        <v>#N/A</v>
      </c>
      <c r="W589" t="e">
        <f>IF($J589&gt;MAX('Match Log'!$A$4:$A$1510),NA(),IFERROR(LOOKUP(2,1/(('Match Log'!$D$4:$D$1510=$W$24)*('Match Log'!$A$4:$A$1510&lt;=$J589)),'Match Log'!$N$4:$N$1510),NA()))</f>
        <v>#N/A</v>
      </c>
      <c r="X589" t="e">
        <f>IF($J589&gt;MAX('Match Log'!$A$4:$A$1510),NA(),IFERROR(LOOKUP(2,1/(('Match Log'!$D$4:$D$1510=$X$24)*('Match Log'!$A$4:$A$1510&lt;=$J589)),'Match Log'!$N$4:$N$1510),NA()))</f>
        <v>#N/A</v>
      </c>
      <c r="Y589" t="str">
        <f t="shared" ca="1" si="37"/>
        <v/>
      </c>
    </row>
    <row r="590" spans="1:25" x14ac:dyDescent="0.2">
      <c r="A590">
        <v>566</v>
      </c>
      <c r="B590" t="str">
        <f>IFERROR(INDEX('Match Log'!$B$4:$B$1510,MATCH($A590,'Match Log'!$A$4:$A$1510,0)),"")</f>
        <v/>
      </c>
      <c r="C590" t="str">
        <f>IFERROR(INDEX('Match Log'!$C$4:$C$1510,MATCH($A590,'Match Log'!$A$4:$A$1510,0)),"")</f>
        <v/>
      </c>
      <c r="D590" t="str">
        <f t="array" ref="D590">IFERROR(_xlfn.TEXTJOIN(" + ",TRUE(),IF(('Match Log'!$A$4:$A$1510=$A590)*('Match Log'!$E$4:$E$1510="Win"),'Match Log'!$D$4:$D$1510,"")),IFERROR(LOOKUP(2,1/(('Match Log'!$A$4:$A$1510=$A590)*('Match Log'!$E$4:$E$1510="Win")),'Match Log'!$D$4:$D$1510),""))</f>
        <v/>
      </c>
      <c r="E590" t="str">
        <f>IFERROR(INDEX('Match Log'!$F$4:$F$1510,MATCH($A590,'Match Log'!$A$4:$A$1510,0)),"")</f>
        <v/>
      </c>
      <c r="F590">
        <f>IFERROR(SUMIFS('Match Log'!$I$4:$I$1510,'Match Log'!$A$4:$A$1510,$A590,'Match Log'!$E$4:$E$1510,"Win"),"")</f>
        <v>0</v>
      </c>
      <c r="G590" t="str">
        <f t="shared" si="35"/>
        <v/>
      </c>
      <c r="H590" t="str">
        <f t="array" ref="H590">IFERROR(IF(COUNTIFS('Match Log'!$A$4:$A$1510,$A590,'Match Log'!$E$4:$E$1510,"Win")&gt;1,_xlfn.TEXTJOIN(" + ",TRUE(),IF(('Match Log'!$A$4:$A$1510=$A590)*('Match Log'!$E$4:$E$1510="Loss"),'Match Log'!$D$4:$D$1510,"")),IF($E590=2,LOOKUP(2,1/(('Match Log'!$A$4:$A$1510=$A590)*('Match Log'!$E$4:$E$1510="Loss")),'Match Log'!$D$4:$D$1510),"the field")),"")</f>
        <v>the field</v>
      </c>
      <c r="I590" t="str">
        <f t="shared" si="36"/>
        <v/>
      </c>
      <c r="J590">
        <v>566</v>
      </c>
      <c r="K590" t="e">
        <f>IF($J590&gt;MAX('Match Log'!$A$4:$A$1510),NA(),IFERROR(LOOKUP(2,1/(('Match Log'!$D$4:$D$1510=$K$24)*('Match Log'!$A$4:$A$1510&lt;=$J590)),'Match Log'!$N$4:$N$1510),NA()))</f>
        <v>#N/A</v>
      </c>
      <c r="L590" t="e">
        <f>IF($J590&gt;MAX('Match Log'!$A$4:$A$1510),NA(),IFERROR(LOOKUP(2,1/(('Match Log'!$D$4:$D$1510=$L$24)*('Match Log'!$A$4:$A$1510&lt;=$J590)),'Match Log'!$N$4:$N$1510),NA()))</f>
        <v>#N/A</v>
      </c>
      <c r="M590" t="e">
        <f>IF($J590&gt;MAX('Match Log'!$A$4:$A$1510),NA(),IFERROR(LOOKUP(2,1/(('Match Log'!$D$4:$D$1510=$M$24)*('Match Log'!$A$4:$A$1510&lt;=$J590)),'Match Log'!$N$4:$N$1510),NA()))</f>
        <v>#N/A</v>
      </c>
      <c r="N590" t="e">
        <f>IF($J590&gt;MAX('Match Log'!$A$4:$A$1510),NA(),IFERROR(LOOKUP(2,1/(('Match Log'!$D$4:$D$1510=$N$24)*('Match Log'!$A$4:$A$1510&lt;=$J590)),'Match Log'!$N$4:$N$1510),NA()))</f>
        <v>#N/A</v>
      </c>
      <c r="O590" t="e">
        <f>IF($J590&gt;MAX('Match Log'!$A$4:$A$1510),NA(),IFERROR(LOOKUP(2,1/(('Match Log'!$D$4:$D$1510=$O$24)*('Match Log'!$A$4:$A$1510&lt;=$J590)),'Match Log'!$N$4:$N$1510),NA()))</f>
        <v>#N/A</v>
      </c>
      <c r="P590" t="e">
        <f>IF($J590&gt;MAX('Match Log'!$A$4:$A$1510),NA(),IFERROR(LOOKUP(2,1/(('Match Log'!$D$4:$D$1510=$P$24)*('Match Log'!$A$4:$A$1510&lt;=$J590)),'Match Log'!$N$4:$N$1510),NA()))</f>
        <v>#N/A</v>
      </c>
      <c r="Q590" t="e">
        <f>IF($J590&gt;MAX('Match Log'!$A$4:$A$1510),NA(),IFERROR(LOOKUP(2,1/(('Match Log'!$D$4:$D$1510=$Q$24)*('Match Log'!$A$4:$A$1510&lt;=$J590)),'Match Log'!$N$4:$N$1510),NA()))</f>
        <v>#N/A</v>
      </c>
      <c r="R590" t="e">
        <f>IF($J590&gt;MAX('Match Log'!$A$4:$A$1510),NA(),IFERROR(LOOKUP(2,1/(('Match Log'!$D$4:$D$1510=$R$24)*('Match Log'!$A$4:$A$1510&lt;=$J590)),'Match Log'!$N$4:$N$1510),NA()))</f>
        <v>#N/A</v>
      </c>
      <c r="S590" t="e">
        <f>IF($J590&gt;MAX('Match Log'!$A$4:$A$1510),NA(),IFERROR(LOOKUP(2,1/(('Match Log'!$D$4:$D$1510=$S$24)*('Match Log'!$A$4:$A$1510&lt;=$J590)),'Match Log'!$N$4:$N$1510),NA()))</f>
        <v>#N/A</v>
      </c>
      <c r="T590" t="e">
        <f>IF($J590&gt;MAX('Match Log'!$A$4:$A$1510),NA(),IFERROR(LOOKUP(2,1/(('Match Log'!$D$4:$D$1510=$T$24)*('Match Log'!$A$4:$A$1510&lt;=$J590)),'Match Log'!$N$4:$N$1510),NA()))</f>
        <v>#N/A</v>
      </c>
      <c r="U590" t="e">
        <f>IF($J590&gt;MAX('Match Log'!$A$4:$A$1510),NA(),IFERROR(LOOKUP(2,1/(('Match Log'!$D$4:$D$1510=$U$24)*('Match Log'!$A$4:$A$1510&lt;=$J590)),'Match Log'!$N$4:$N$1510),NA()))</f>
        <v>#N/A</v>
      </c>
      <c r="V590" t="e">
        <f>IF($J590&gt;MAX('Match Log'!$A$4:$A$1510),NA(),IFERROR(LOOKUP(2,1/(('Match Log'!$D$4:$D$1510=$V$24)*('Match Log'!$A$4:$A$1510&lt;=$J590)),'Match Log'!$N$4:$N$1510),NA()))</f>
        <v>#N/A</v>
      </c>
      <c r="W590" t="e">
        <f>IF($J590&gt;MAX('Match Log'!$A$4:$A$1510),NA(),IFERROR(LOOKUP(2,1/(('Match Log'!$D$4:$D$1510=$W$24)*('Match Log'!$A$4:$A$1510&lt;=$J590)),'Match Log'!$N$4:$N$1510),NA()))</f>
        <v>#N/A</v>
      </c>
      <c r="X590" t="e">
        <f>IF($J590&gt;MAX('Match Log'!$A$4:$A$1510),NA(),IFERROR(LOOKUP(2,1/(('Match Log'!$D$4:$D$1510=$X$24)*('Match Log'!$A$4:$A$1510&lt;=$J590)),'Match Log'!$N$4:$N$1510),NA()))</f>
        <v>#N/A</v>
      </c>
      <c r="Y590" t="str">
        <f t="shared" ca="1" si="37"/>
        <v/>
      </c>
    </row>
    <row r="591" spans="1:25" x14ac:dyDescent="0.2">
      <c r="A591">
        <v>567</v>
      </c>
      <c r="B591" t="str">
        <f>IFERROR(INDEX('Match Log'!$B$4:$B$1510,MATCH($A591,'Match Log'!$A$4:$A$1510,0)),"")</f>
        <v/>
      </c>
      <c r="C591" t="str">
        <f>IFERROR(INDEX('Match Log'!$C$4:$C$1510,MATCH($A591,'Match Log'!$A$4:$A$1510,0)),"")</f>
        <v/>
      </c>
      <c r="D591" t="str">
        <f t="array" ref="D591">IFERROR(_xlfn.TEXTJOIN(" + ",TRUE(),IF(('Match Log'!$A$4:$A$1510=$A591)*('Match Log'!$E$4:$E$1510="Win"),'Match Log'!$D$4:$D$1510,"")),IFERROR(LOOKUP(2,1/(('Match Log'!$A$4:$A$1510=$A591)*('Match Log'!$E$4:$E$1510="Win")),'Match Log'!$D$4:$D$1510),""))</f>
        <v/>
      </c>
      <c r="E591" t="str">
        <f>IFERROR(INDEX('Match Log'!$F$4:$F$1510,MATCH($A591,'Match Log'!$A$4:$A$1510,0)),"")</f>
        <v/>
      </c>
      <c r="F591">
        <f>IFERROR(SUMIFS('Match Log'!$I$4:$I$1510,'Match Log'!$A$4:$A$1510,$A591,'Match Log'!$E$4:$E$1510,"Win"),"")</f>
        <v>0</v>
      </c>
      <c r="G591" t="str">
        <f t="shared" si="35"/>
        <v/>
      </c>
      <c r="H591" t="str">
        <f t="array" ref="H591">IFERROR(IF(COUNTIFS('Match Log'!$A$4:$A$1510,$A591,'Match Log'!$E$4:$E$1510,"Win")&gt;1,_xlfn.TEXTJOIN(" + ",TRUE(),IF(('Match Log'!$A$4:$A$1510=$A591)*('Match Log'!$E$4:$E$1510="Loss"),'Match Log'!$D$4:$D$1510,"")),IF($E591=2,LOOKUP(2,1/(('Match Log'!$A$4:$A$1510=$A591)*('Match Log'!$E$4:$E$1510="Loss")),'Match Log'!$D$4:$D$1510),"the field")),"")</f>
        <v>the field</v>
      </c>
      <c r="I591" t="str">
        <f t="shared" si="36"/>
        <v/>
      </c>
      <c r="J591">
        <v>567</v>
      </c>
      <c r="K591" t="e">
        <f>IF($J591&gt;MAX('Match Log'!$A$4:$A$1510),NA(),IFERROR(LOOKUP(2,1/(('Match Log'!$D$4:$D$1510=$K$24)*('Match Log'!$A$4:$A$1510&lt;=$J591)),'Match Log'!$N$4:$N$1510),NA()))</f>
        <v>#N/A</v>
      </c>
      <c r="L591" t="e">
        <f>IF($J591&gt;MAX('Match Log'!$A$4:$A$1510),NA(),IFERROR(LOOKUP(2,1/(('Match Log'!$D$4:$D$1510=$L$24)*('Match Log'!$A$4:$A$1510&lt;=$J591)),'Match Log'!$N$4:$N$1510),NA()))</f>
        <v>#N/A</v>
      </c>
      <c r="M591" t="e">
        <f>IF($J591&gt;MAX('Match Log'!$A$4:$A$1510),NA(),IFERROR(LOOKUP(2,1/(('Match Log'!$D$4:$D$1510=$M$24)*('Match Log'!$A$4:$A$1510&lt;=$J591)),'Match Log'!$N$4:$N$1510),NA()))</f>
        <v>#N/A</v>
      </c>
      <c r="N591" t="e">
        <f>IF($J591&gt;MAX('Match Log'!$A$4:$A$1510),NA(),IFERROR(LOOKUP(2,1/(('Match Log'!$D$4:$D$1510=$N$24)*('Match Log'!$A$4:$A$1510&lt;=$J591)),'Match Log'!$N$4:$N$1510),NA()))</f>
        <v>#N/A</v>
      </c>
      <c r="O591" t="e">
        <f>IF($J591&gt;MAX('Match Log'!$A$4:$A$1510),NA(),IFERROR(LOOKUP(2,1/(('Match Log'!$D$4:$D$1510=$O$24)*('Match Log'!$A$4:$A$1510&lt;=$J591)),'Match Log'!$N$4:$N$1510),NA()))</f>
        <v>#N/A</v>
      </c>
      <c r="P591" t="e">
        <f>IF($J591&gt;MAX('Match Log'!$A$4:$A$1510),NA(),IFERROR(LOOKUP(2,1/(('Match Log'!$D$4:$D$1510=$P$24)*('Match Log'!$A$4:$A$1510&lt;=$J591)),'Match Log'!$N$4:$N$1510),NA()))</f>
        <v>#N/A</v>
      </c>
      <c r="Q591" t="e">
        <f>IF($J591&gt;MAX('Match Log'!$A$4:$A$1510),NA(),IFERROR(LOOKUP(2,1/(('Match Log'!$D$4:$D$1510=$Q$24)*('Match Log'!$A$4:$A$1510&lt;=$J591)),'Match Log'!$N$4:$N$1510),NA()))</f>
        <v>#N/A</v>
      </c>
      <c r="R591" t="e">
        <f>IF($J591&gt;MAX('Match Log'!$A$4:$A$1510),NA(),IFERROR(LOOKUP(2,1/(('Match Log'!$D$4:$D$1510=$R$24)*('Match Log'!$A$4:$A$1510&lt;=$J591)),'Match Log'!$N$4:$N$1510),NA()))</f>
        <v>#N/A</v>
      </c>
      <c r="S591" t="e">
        <f>IF($J591&gt;MAX('Match Log'!$A$4:$A$1510),NA(),IFERROR(LOOKUP(2,1/(('Match Log'!$D$4:$D$1510=$S$24)*('Match Log'!$A$4:$A$1510&lt;=$J591)),'Match Log'!$N$4:$N$1510),NA()))</f>
        <v>#N/A</v>
      </c>
      <c r="T591" t="e">
        <f>IF($J591&gt;MAX('Match Log'!$A$4:$A$1510),NA(),IFERROR(LOOKUP(2,1/(('Match Log'!$D$4:$D$1510=$T$24)*('Match Log'!$A$4:$A$1510&lt;=$J591)),'Match Log'!$N$4:$N$1510),NA()))</f>
        <v>#N/A</v>
      </c>
      <c r="U591" t="e">
        <f>IF($J591&gt;MAX('Match Log'!$A$4:$A$1510),NA(),IFERROR(LOOKUP(2,1/(('Match Log'!$D$4:$D$1510=$U$24)*('Match Log'!$A$4:$A$1510&lt;=$J591)),'Match Log'!$N$4:$N$1510),NA()))</f>
        <v>#N/A</v>
      </c>
      <c r="V591" t="e">
        <f>IF($J591&gt;MAX('Match Log'!$A$4:$A$1510),NA(),IFERROR(LOOKUP(2,1/(('Match Log'!$D$4:$D$1510=$V$24)*('Match Log'!$A$4:$A$1510&lt;=$J591)),'Match Log'!$N$4:$N$1510),NA()))</f>
        <v>#N/A</v>
      </c>
      <c r="W591" t="e">
        <f>IF($J591&gt;MAX('Match Log'!$A$4:$A$1510),NA(),IFERROR(LOOKUP(2,1/(('Match Log'!$D$4:$D$1510=$W$24)*('Match Log'!$A$4:$A$1510&lt;=$J591)),'Match Log'!$N$4:$N$1510),NA()))</f>
        <v>#N/A</v>
      </c>
      <c r="X591" t="e">
        <f>IF($J591&gt;MAX('Match Log'!$A$4:$A$1510),NA(),IFERROR(LOOKUP(2,1/(('Match Log'!$D$4:$D$1510=$X$24)*('Match Log'!$A$4:$A$1510&lt;=$J591)),'Match Log'!$N$4:$N$1510),NA()))</f>
        <v>#N/A</v>
      </c>
      <c r="Y591" t="str">
        <f t="shared" ca="1" si="37"/>
        <v/>
      </c>
    </row>
    <row r="592" spans="1:25" x14ac:dyDescent="0.2">
      <c r="A592">
        <v>568</v>
      </c>
      <c r="B592" t="str">
        <f>IFERROR(INDEX('Match Log'!$B$4:$B$1510,MATCH($A592,'Match Log'!$A$4:$A$1510,0)),"")</f>
        <v/>
      </c>
      <c r="C592" t="str">
        <f>IFERROR(INDEX('Match Log'!$C$4:$C$1510,MATCH($A592,'Match Log'!$A$4:$A$1510,0)),"")</f>
        <v/>
      </c>
      <c r="D592" t="str">
        <f t="array" ref="D592">IFERROR(_xlfn.TEXTJOIN(" + ",TRUE(),IF(('Match Log'!$A$4:$A$1510=$A592)*('Match Log'!$E$4:$E$1510="Win"),'Match Log'!$D$4:$D$1510,"")),IFERROR(LOOKUP(2,1/(('Match Log'!$A$4:$A$1510=$A592)*('Match Log'!$E$4:$E$1510="Win")),'Match Log'!$D$4:$D$1510),""))</f>
        <v/>
      </c>
      <c r="E592" t="str">
        <f>IFERROR(INDEX('Match Log'!$F$4:$F$1510,MATCH($A592,'Match Log'!$A$4:$A$1510,0)),"")</f>
        <v/>
      </c>
      <c r="F592">
        <f>IFERROR(SUMIFS('Match Log'!$I$4:$I$1510,'Match Log'!$A$4:$A$1510,$A592,'Match Log'!$E$4:$E$1510,"Win"),"")</f>
        <v>0</v>
      </c>
      <c r="G592" t="str">
        <f t="shared" si="35"/>
        <v/>
      </c>
      <c r="H592" t="str">
        <f t="array" ref="H592">IFERROR(IF(COUNTIFS('Match Log'!$A$4:$A$1510,$A592,'Match Log'!$E$4:$E$1510,"Win")&gt;1,_xlfn.TEXTJOIN(" + ",TRUE(),IF(('Match Log'!$A$4:$A$1510=$A592)*('Match Log'!$E$4:$E$1510="Loss"),'Match Log'!$D$4:$D$1510,"")),IF($E592=2,LOOKUP(2,1/(('Match Log'!$A$4:$A$1510=$A592)*('Match Log'!$E$4:$E$1510="Loss")),'Match Log'!$D$4:$D$1510),"the field")),"")</f>
        <v>the field</v>
      </c>
      <c r="I592" t="str">
        <f t="shared" si="36"/>
        <v/>
      </c>
      <c r="J592">
        <v>568</v>
      </c>
      <c r="K592" t="e">
        <f>IF($J592&gt;MAX('Match Log'!$A$4:$A$1510),NA(),IFERROR(LOOKUP(2,1/(('Match Log'!$D$4:$D$1510=$K$24)*('Match Log'!$A$4:$A$1510&lt;=$J592)),'Match Log'!$N$4:$N$1510),NA()))</f>
        <v>#N/A</v>
      </c>
      <c r="L592" t="e">
        <f>IF($J592&gt;MAX('Match Log'!$A$4:$A$1510),NA(),IFERROR(LOOKUP(2,1/(('Match Log'!$D$4:$D$1510=$L$24)*('Match Log'!$A$4:$A$1510&lt;=$J592)),'Match Log'!$N$4:$N$1510),NA()))</f>
        <v>#N/A</v>
      </c>
      <c r="M592" t="e">
        <f>IF($J592&gt;MAX('Match Log'!$A$4:$A$1510),NA(),IFERROR(LOOKUP(2,1/(('Match Log'!$D$4:$D$1510=$M$24)*('Match Log'!$A$4:$A$1510&lt;=$J592)),'Match Log'!$N$4:$N$1510),NA()))</f>
        <v>#N/A</v>
      </c>
      <c r="N592" t="e">
        <f>IF($J592&gt;MAX('Match Log'!$A$4:$A$1510),NA(),IFERROR(LOOKUP(2,1/(('Match Log'!$D$4:$D$1510=$N$24)*('Match Log'!$A$4:$A$1510&lt;=$J592)),'Match Log'!$N$4:$N$1510),NA()))</f>
        <v>#N/A</v>
      </c>
      <c r="O592" t="e">
        <f>IF($J592&gt;MAX('Match Log'!$A$4:$A$1510),NA(),IFERROR(LOOKUP(2,1/(('Match Log'!$D$4:$D$1510=$O$24)*('Match Log'!$A$4:$A$1510&lt;=$J592)),'Match Log'!$N$4:$N$1510),NA()))</f>
        <v>#N/A</v>
      </c>
      <c r="P592" t="e">
        <f>IF($J592&gt;MAX('Match Log'!$A$4:$A$1510),NA(),IFERROR(LOOKUP(2,1/(('Match Log'!$D$4:$D$1510=$P$24)*('Match Log'!$A$4:$A$1510&lt;=$J592)),'Match Log'!$N$4:$N$1510),NA()))</f>
        <v>#N/A</v>
      </c>
      <c r="Q592" t="e">
        <f>IF($J592&gt;MAX('Match Log'!$A$4:$A$1510),NA(),IFERROR(LOOKUP(2,1/(('Match Log'!$D$4:$D$1510=$Q$24)*('Match Log'!$A$4:$A$1510&lt;=$J592)),'Match Log'!$N$4:$N$1510),NA()))</f>
        <v>#N/A</v>
      </c>
      <c r="R592" t="e">
        <f>IF($J592&gt;MAX('Match Log'!$A$4:$A$1510),NA(),IFERROR(LOOKUP(2,1/(('Match Log'!$D$4:$D$1510=$R$24)*('Match Log'!$A$4:$A$1510&lt;=$J592)),'Match Log'!$N$4:$N$1510),NA()))</f>
        <v>#N/A</v>
      </c>
      <c r="S592" t="e">
        <f>IF($J592&gt;MAX('Match Log'!$A$4:$A$1510),NA(),IFERROR(LOOKUP(2,1/(('Match Log'!$D$4:$D$1510=$S$24)*('Match Log'!$A$4:$A$1510&lt;=$J592)),'Match Log'!$N$4:$N$1510),NA()))</f>
        <v>#N/A</v>
      </c>
      <c r="T592" t="e">
        <f>IF($J592&gt;MAX('Match Log'!$A$4:$A$1510),NA(),IFERROR(LOOKUP(2,1/(('Match Log'!$D$4:$D$1510=$T$24)*('Match Log'!$A$4:$A$1510&lt;=$J592)),'Match Log'!$N$4:$N$1510),NA()))</f>
        <v>#N/A</v>
      </c>
      <c r="U592" t="e">
        <f>IF($J592&gt;MAX('Match Log'!$A$4:$A$1510),NA(),IFERROR(LOOKUP(2,1/(('Match Log'!$D$4:$D$1510=$U$24)*('Match Log'!$A$4:$A$1510&lt;=$J592)),'Match Log'!$N$4:$N$1510),NA()))</f>
        <v>#N/A</v>
      </c>
      <c r="V592" t="e">
        <f>IF($J592&gt;MAX('Match Log'!$A$4:$A$1510),NA(),IFERROR(LOOKUP(2,1/(('Match Log'!$D$4:$D$1510=$V$24)*('Match Log'!$A$4:$A$1510&lt;=$J592)),'Match Log'!$N$4:$N$1510),NA()))</f>
        <v>#N/A</v>
      </c>
      <c r="W592" t="e">
        <f>IF($J592&gt;MAX('Match Log'!$A$4:$A$1510),NA(),IFERROR(LOOKUP(2,1/(('Match Log'!$D$4:$D$1510=$W$24)*('Match Log'!$A$4:$A$1510&lt;=$J592)),'Match Log'!$N$4:$N$1510),NA()))</f>
        <v>#N/A</v>
      </c>
      <c r="X592" t="e">
        <f>IF($J592&gt;MAX('Match Log'!$A$4:$A$1510),NA(),IFERROR(LOOKUP(2,1/(('Match Log'!$D$4:$D$1510=$X$24)*('Match Log'!$A$4:$A$1510&lt;=$J592)),'Match Log'!$N$4:$N$1510),NA()))</f>
        <v>#N/A</v>
      </c>
      <c r="Y592" t="str">
        <f t="shared" ca="1" si="37"/>
        <v/>
      </c>
    </row>
    <row r="593" spans="1:25" x14ac:dyDescent="0.2">
      <c r="A593">
        <v>569</v>
      </c>
      <c r="B593" t="str">
        <f>IFERROR(INDEX('Match Log'!$B$4:$B$1510,MATCH($A593,'Match Log'!$A$4:$A$1510,0)),"")</f>
        <v/>
      </c>
      <c r="C593" t="str">
        <f>IFERROR(INDEX('Match Log'!$C$4:$C$1510,MATCH($A593,'Match Log'!$A$4:$A$1510,0)),"")</f>
        <v/>
      </c>
      <c r="D593" t="str">
        <f t="array" ref="D593">IFERROR(_xlfn.TEXTJOIN(" + ",TRUE(),IF(('Match Log'!$A$4:$A$1510=$A593)*('Match Log'!$E$4:$E$1510="Win"),'Match Log'!$D$4:$D$1510,"")),IFERROR(LOOKUP(2,1/(('Match Log'!$A$4:$A$1510=$A593)*('Match Log'!$E$4:$E$1510="Win")),'Match Log'!$D$4:$D$1510),""))</f>
        <v/>
      </c>
      <c r="E593" t="str">
        <f>IFERROR(INDEX('Match Log'!$F$4:$F$1510,MATCH($A593,'Match Log'!$A$4:$A$1510,0)),"")</f>
        <v/>
      </c>
      <c r="F593">
        <f>IFERROR(SUMIFS('Match Log'!$I$4:$I$1510,'Match Log'!$A$4:$A$1510,$A593,'Match Log'!$E$4:$E$1510,"Win"),"")</f>
        <v>0</v>
      </c>
      <c r="G593" t="str">
        <f t="shared" si="35"/>
        <v/>
      </c>
      <c r="H593" t="str">
        <f t="array" ref="H593">IFERROR(IF(COUNTIFS('Match Log'!$A$4:$A$1510,$A593,'Match Log'!$E$4:$E$1510,"Win")&gt;1,_xlfn.TEXTJOIN(" + ",TRUE(),IF(('Match Log'!$A$4:$A$1510=$A593)*('Match Log'!$E$4:$E$1510="Loss"),'Match Log'!$D$4:$D$1510,"")),IF($E593=2,LOOKUP(2,1/(('Match Log'!$A$4:$A$1510=$A593)*('Match Log'!$E$4:$E$1510="Loss")),'Match Log'!$D$4:$D$1510),"the field")),"")</f>
        <v>the field</v>
      </c>
      <c r="I593" t="str">
        <f t="shared" si="36"/>
        <v/>
      </c>
      <c r="J593">
        <v>569</v>
      </c>
      <c r="K593" t="e">
        <f>IF($J593&gt;MAX('Match Log'!$A$4:$A$1510),NA(),IFERROR(LOOKUP(2,1/(('Match Log'!$D$4:$D$1510=$K$24)*('Match Log'!$A$4:$A$1510&lt;=$J593)),'Match Log'!$N$4:$N$1510),NA()))</f>
        <v>#N/A</v>
      </c>
      <c r="L593" t="e">
        <f>IF($J593&gt;MAX('Match Log'!$A$4:$A$1510),NA(),IFERROR(LOOKUP(2,1/(('Match Log'!$D$4:$D$1510=$L$24)*('Match Log'!$A$4:$A$1510&lt;=$J593)),'Match Log'!$N$4:$N$1510),NA()))</f>
        <v>#N/A</v>
      </c>
      <c r="M593" t="e">
        <f>IF($J593&gt;MAX('Match Log'!$A$4:$A$1510),NA(),IFERROR(LOOKUP(2,1/(('Match Log'!$D$4:$D$1510=$M$24)*('Match Log'!$A$4:$A$1510&lt;=$J593)),'Match Log'!$N$4:$N$1510),NA()))</f>
        <v>#N/A</v>
      </c>
      <c r="N593" t="e">
        <f>IF($J593&gt;MAX('Match Log'!$A$4:$A$1510),NA(),IFERROR(LOOKUP(2,1/(('Match Log'!$D$4:$D$1510=$N$24)*('Match Log'!$A$4:$A$1510&lt;=$J593)),'Match Log'!$N$4:$N$1510),NA()))</f>
        <v>#N/A</v>
      </c>
      <c r="O593" t="e">
        <f>IF($J593&gt;MAX('Match Log'!$A$4:$A$1510),NA(),IFERROR(LOOKUP(2,1/(('Match Log'!$D$4:$D$1510=$O$24)*('Match Log'!$A$4:$A$1510&lt;=$J593)),'Match Log'!$N$4:$N$1510),NA()))</f>
        <v>#N/A</v>
      </c>
      <c r="P593" t="e">
        <f>IF($J593&gt;MAX('Match Log'!$A$4:$A$1510),NA(),IFERROR(LOOKUP(2,1/(('Match Log'!$D$4:$D$1510=$P$24)*('Match Log'!$A$4:$A$1510&lt;=$J593)),'Match Log'!$N$4:$N$1510),NA()))</f>
        <v>#N/A</v>
      </c>
      <c r="Q593" t="e">
        <f>IF($J593&gt;MAX('Match Log'!$A$4:$A$1510),NA(),IFERROR(LOOKUP(2,1/(('Match Log'!$D$4:$D$1510=$Q$24)*('Match Log'!$A$4:$A$1510&lt;=$J593)),'Match Log'!$N$4:$N$1510),NA()))</f>
        <v>#N/A</v>
      </c>
      <c r="R593" t="e">
        <f>IF($J593&gt;MAX('Match Log'!$A$4:$A$1510),NA(),IFERROR(LOOKUP(2,1/(('Match Log'!$D$4:$D$1510=$R$24)*('Match Log'!$A$4:$A$1510&lt;=$J593)),'Match Log'!$N$4:$N$1510),NA()))</f>
        <v>#N/A</v>
      </c>
      <c r="S593" t="e">
        <f>IF($J593&gt;MAX('Match Log'!$A$4:$A$1510),NA(),IFERROR(LOOKUP(2,1/(('Match Log'!$D$4:$D$1510=$S$24)*('Match Log'!$A$4:$A$1510&lt;=$J593)),'Match Log'!$N$4:$N$1510),NA()))</f>
        <v>#N/A</v>
      </c>
      <c r="T593" t="e">
        <f>IF($J593&gt;MAX('Match Log'!$A$4:$A$1510),NA(),IFERROR(LOOKUP(2,1/(('Match Log'!$D$4:$D$1510=$T$24)*('Match Log'!$A$4:$A$1510&lt;=$J593)),'Match Log'!$N$4:$N$1510),NA()))</f>
        <v>#N/A</v>
      </c>
      <c r="U593" t="e">
        <f>IF($J593&gt;MAX('Match Log'!$A$4:$A$1510),NA(),IFERROR(LOOKUP(2,1/(('Match Log'!$D$4:$D$1510=$U$24)*('Match Log'!$A$4:$A$1510&lt;=$J593)),'Match Log'!$N$4:$N$1510),NA()))</f>
        <v>#N/A</v>
      </c>
      <c r="V593" t="e">
        <f>IF($J593&gt;MAX('Match Log'!$A$4:$A$1510),NA(),IFERROR(LOOKUP(2,1/(('Match Log'!$D$4:$D$1510=$V$24)*('Match Log'!$A$4:$A$1510&lt;=$J593)),'Match Log'!$N$4:$N$1510),NA()))</f>
        <v>#N/A</v>
      </c>
      <c r="W593" t="e">
        <f>IF($J593&gt;MAX('Match Log'!$A$4:$A$1510),NA(),IFERROR(LOOKUP(2,1/(('Match Log'!$D$4:$D$1510=$W$24)*('Match Log'!$A$4:$A$1510&lt;=$J593)),'Match Log'!$N$4:$N$1510),NA()))</f>
        <v>#N/A</v>
      </c>
      <c r="X593" t="e">
        <f>IF($J593&gt;MAX('Match Log'!$A$4:$A$1510),NA(),IFERROR(LOOKUP(2,1/(('Match Log'!$D$4:$D$1510=$X$24)*('Match Log'!$A$4:$A$1510&lt;=$J593)),'Match Log'!$N$4:$N$1510),NA()))</f>
        <v>#N/A</v>
      </c>
      <c r="Y593" t="str">
        <f t="shared" ca="1" si="37"/>
        <v/>
      </c>
    </row>
    <row r="594" spans="1:25" x14ac:dyDescent="0.2">
      <c r="A594">
        <v>570</v>
      </c>
      <c r="B594" t="str">
        <f>IFERROR(INDEX('Match Log'!$B$4:$B$1510,MATCH($A594,'Match Log'!$A$4:$A$1510,0)),"")</f>
        <v/>
      </c>
      <c r="C594" t="str">
        <f>IFERROR(INDEX('Match Log'!$C$4:$C$1510,MATCH($A594,'Match Log'!$A$4:$A$1510,0)),"")</f>
        <v/>
      </c>
      <c r="D594" t="str">
        <f t="array" ref="D594">IFERROR(_xlfn.TEXTJOIN(" + ",TRUE(),IF(('Match Log'!$A$4:$A$1510=$A594)*('Match Log'!$E$4:$E$1510="Win"),'Match Log'!$D$4:$D$1510,"")),IFERROR(LOOKUP(2,1/(('Match Log'!$A$4:$A$1510=$A594)*('Match Log'!$E$4:$E$1510="Win")),'Match Log'!$D$4:$D$1510),""))</f>
        <v/>
      </c>
      <c r="E594" t="str">
        <f>IFERROR(INDEX('Match Log'!$F$4:$F$1510,MATCH($A594,'Match Log'!$A$4:$A$1510,0)),"")</f>
        <v/>
      </c>
      <c r="F594">
        <f>IFERROR(SUMIFS('Match Log'!$I$4:$I$1510,'Match Log'!$A$4:$A$1510,$A594,'Match Log'!$E$4:$E$1510,"Win"),"")</f>
        <v>0</v>
      </c>
      <c r="G594" t="str">
        <f t="shared" si="35"/>
        <v/>
      </c>
      <c r="H594" t="str">
        <f t="array" ref="H594">IFERROR(IF(COUNTIFS('Match Log'!$A$4:$A$1510,$A594,'Match Log'!$E$4:$E$1510,"Win")&gt;1,_xlfn.TEXTJOIN(" + ",TRUE(),IF(('Match Log'!$A$4:$A$1510=$A594)*('Match Log'!$E$4:$E$1510="Loss"),'Match Log'!$D$4:$D$1510,"")),IF($E594=2,LOOKUP(2,1/(('Match Log'!$A$4:$A$1510=$A594)*('Match Log'!$E$4:$E$1510="Loss")),'Match Log'!$D$4:$D$1510),"the field")),"")</f>
        <v>the field</v>
      </c>
      <c r="I594" t="str">
        <f t="shared" si="36"/>
        <v/>
      </c>
      <c r="J594">
        <v>570</v>
      </c>
      <c r="K594" t="e">
        <f>IF($J594&gt;MAX('Match Log'!$A$4:$A$1510),NA(),IFERROR(LOOKUP(2,1/(('Match Log'!$D$4:$D$1510=$K$24)*('Match Log'!$A$4:$A$1510&lt;=$J594)),'Match Log'!$N$4:$N$1510),NA()))</f>
        <v>#N/A</v>
      </c>
      <c r="L594" t="e">
        <f>IF($J594&gt;MAX('Match Log'!$A$4:$A$1510),NA(),IFERROR(LOOKUP(2,1/(('Match Log'!$D$4:$D$1510=$L$24)*('Match Log'!$A$4:$A$1510&lt;=$J594)),'Match Log'!$N$4:$N$1510),NA()))</f>
        <v>#N/A</v>
      </c>
      <c r="M594" t="e">
        <f>IF($J594&gt;MAX('Match Log'!$A$4:$A$1510),NA(),IFERROR(LOOKUP(2,1/(('Match Log'!$D$4:$D$1510=$M$24)*('Match Log'!$A$4:$A$1510&lt;=$J594)),'Match Log'!$N$4:$N$1510),NA()))</f>
        <v>#N/A</v>
      </c>
      <c r="N594" t="e">
        <f>IF($J594&gt;MAX('Match Log'!$A$4:$A$1510),NA(),IFERROR(LOOKUP(2,1/(('Match Log'!$D$4:$D$1510=$N$24)*('Match Log'!$A$4:$A$1510&lt;=$J594)),'Match Log'!$N$4:$N$1510),NA()))</f>
        <v>#N/A</v>
      </c>
      <c r="O594" t="e">
        <f>IF($J594&gt;MAX('Match Log'!$A$4:$A$1510),NA(),IFERROR(LOOKUP(2,1/(('Match Log'!$D$4:$D$1510=$O$24)*('Match Log'!$A$4:$A$1510&lt;=$J594)),'Match Log'!$N$4:$N$1510),NA()))</f>
        <v>#N/A</v>
      </c>
      <c r="P594" t="e">
        <f>IF($J594&gt;MAX('Match Log'!$A$4:$A$1510),NA(),IFERROR(LOOKUP(2,1/(('Match Log'!$D$4:$D$1510=$P$24)*('Match Log'!$A$4:$A$1510&lt;=$J594)),'Match Log'!$N$4:$N$1510),NA()))</f>
        <v>#N/A</v>
      </c>
      <c r="Q594" t="e">
        <f>IF($J594&gt;MAX('Match Log'!$A$4:$A$1510),NA(),IFERROR(LOOKUP(2,1/(('Match Log'!$D$4:$D$1510=$Q$24)*('Match Log'!$A$4:$A$1510&lt;=$J594)),'Match Log'!$N$4:$N$1510),NA()))</f>
        <v>#N/A</v>
      </c>
      <c r="R594" t="e">
        <f>IF($J594&gt;MAX('Match Log'!$A$4:$A$1510),NA(),IFERROR(LOOKUP(2,1/(('Match Log'!$D$4:$D$1510=$R$24)*('Match Log'!$A$4:$A$1510&lt;=$J594)),'Match Log'!$N$4:$N$1510),NA()))</f>
        <v>#N/A</v>
      </c>
      <c r="S594" t="e">
        <f>IF($J594&gt;MAX('Match Log'!$A$4:$A$1510),NA(),IFERROR(LOOKUP(2,1/(('Match Log'!$D$4:$D$1510=$S$24)*('Match Log'!$A$4:$A$1510&lt;=$J594)),'Match Log'!$N$4:$N$1510),NA()))</f>
        <v>#N/A</v>
      </c>
      <c r="T594" t="e">
        <f>IF($J594&gt;MAX('Match Log'!$A$4:$A$1510),NA(),IFERROR(LOOKUP(2,1/(('Match Log'!$D$4:$D$1510=$T$24)*('Match Log'!$A$4:$A$1510&lt;=$J594)),'Match Log'!$N$4:$N$1510),NA()))</f>
        <v>#N/A</v>
      </c>
      <c r="U594" t="e">
        <f>IF($J594&gt;MAX('Match Log'!$A$4:$A$1510),NA(),IFERROR(LOOKUP(2,1/(('Match Log'!$D$4:$D$1510=$U$24)*('Match Log'!$A$4:$A$1510&lt;=$J594)),'Match Log'!$N$4:$N$1510),NA()))</f>
        <v>#N/A</v>
      </c>
      <c r="V594" t="e">
        <f>IF($J594&gt;MAX('Match Log'!$A$4:$A$1510),NA(),IFERROR(LOOKUP(2,1/(('Match Log'!$D$4:$D$1510=$V$24)*('Match Log'!$A$4:$A$1510&lt;=$J594)),'Match Log'!$N$4:$N$1510),NA()))</f>
        <v>#N/A</v>
      </c>
      <c r="W594" t="e">
        <f>IF($J594&gt;MAX('Match Log'!$A$4:$A$1510),NA(),IFERROR(LOOKUP(2,1/(('Match Log'!$D$4:$D$1510=$W$24)*('Match Log'!$A$4:$A$1510&lt;=$J594)),'Match Log'!$N$4:$N$1510),NA()))</f>
        <v>#N/A</v>
      </c>
      <c r="X594" t="e">
        <f>IF($J594&gt;MAX('Match Log'!$A$4:$A$1510),NA(),IFERROR(LOOKUP(2,1/(('Match Log'!$D$4:$D$1510=$X$24)*('Match Log'!$A$4:$A$1510&lt;=$J594)),'Match Log'!$N$4:$N$1510),NA()))</f>
        <v>#N/A</v>
      </c>
      <c r="Y594" t="str">
        <f t="shared" ca="1" si="37"/>
        <v/>
      </c>
    </row>
    <row r="595" spans="1:25" x14ac:dyDescent="0.2">
      <c r="A595">
        <v>571</v>
      </c>
      <c r="B595" t="str">
        <f>IFERROR(INDEX('Match Log'!$B$4:$B$1510,MATCH($A595,'Match Log'!$A$4:$A$1510,0)),"")</f>
        <v/>
      </c>
      <c r="C595" t="str">
        <f>IFERROR(INDEX('Match Log'!$C$4:$C$1510,MATCH($A595,'Match Log'!$A$4:$A$1510,0)),"")</f>
        <v/>
      </c>
      <c r="D595" t="str">
        <f t="array" ref="D595">IFERROR(_xlfn.TEXTJOIN(" + ",TRUE(),IF(('Match Log'!$A$4:$A$1510=$A595)*('Match Log'!$E$4:$E$1510="Win"),'Match Log'!$D$4:$D$1510,"")),IFERROR(LOOKUP(2,1/(('Match Log'!$A$4:$A$1510=$A595)*('Match Log'!$E$4:$E$1510="Win")),'Match Log'!$D$4:$D$1510),""))</f>
        <v/>
      </c>
      <c r="E595" t="str">
        <f>IFERROR(INDEX('Match Log'!$F$4:$F$1510,MATCH($A595,'Match Log'!$A$4:$A$1510,0)),"")</f>
        <v/>
      </c>
      <c r="F595">
        <f>IFERROR(SUMIFS('Match Log'!$I$4:$I$1510,'Match Log'!$A$4:$A$1510,$A595,'Match Log'!$E$4:$E$1510,"Win"),"")</f>
        <v>0</v>
      </c>
      <c r="G595" t="str">
        <f t="shared" si="35"/>
        <v/>
      </c>
      <c r="H595" t="str">
        <f t="array" ref="H595">IFERROR(IF(COUNTIFS('Match Log'!$A$4:$A$1510,$A595,'Match Log'!$E$4:$E$1510,"Win")&gt;1,_xlfn.TEXTJOIN(" + ",TRUE(),IF(('Match Log'!$A$4:$A$1510=$A595)*('Match Log'!$E$4:$E$1510="Loss"),'Match Log'!$D$4:$D$1510,"")),IF($E595=2,LOOKUP(2,1/(('Match Log'!$A$4:$A$1510=$A595)*('Match Log'!$E$4:$E$1510="Loss")),'Match Log'!$D$4:$D$1510),"the field")),"")</f>
        <v>the field</v>
      </c>
      <c r="I595" t="str">
        <f t="shared" si="36"/>
        <v/>
      </c>
      <c r="J595">
        <v>571</v>
      </c>
      <c r="K595" t="e">
        <f>IF($J595&gt;MAX('Match Log'!$A$4:$A$1510),NA(),IFERROR(LOOKUP(2,1/(('Match Log'!$D$4:$D$1510=$K$24)*('Match Log'!$A$4:$A$1510&lt;=$J595)),'Match Log'!$N$4:$N$1510),NA()))</f>
        <v>#N/A</v>
      </c>
      <c r="L595" t="e">
        <f>IF($J595&gt;MAX('Match Log'!$A$4:$A$1510),NA(),IFERROR(LOOKUP(2,1/(('Match Log'!$D$4:$D$1510=$L$24)*('Match Log'!$A$4:$A$1510&lt;=$J595)),'Match Log'!$N$4:$N$1510),NA()))</f>
        <v>#N/A</v>
      </c>
      <c r="M595" t="e">
        <f>IF($J595&gt;MAX('Match Log'!$A$4:$A$1510),NA(),IFERROR(LOOKUP(2,1/(('Match Log'!$D$4:$D$1510=$M$24)*('Match Log'!$A$4:$A$1510&lt;=$J595)),'Match Log'!$N$4:$N$1510),NA()))</f>
        <v>#N/A</v>
      </c>
      <c r="N595" t="e">
        <f>IF($J595&gt;MAX('Match Log'!$A$4:$A$1510),NA(),IFERROR(LOOKUP(2,1/(('Match Log'!$D$4:$D$1510=$N$24)*('Match Log'!$A$4:$A$1510&lt;=$J595)),'Match Log'!$N$4:$N$1510),NA()))</f>
        <v>#N/A</v>
      </c>
      <c r="O595" t="e">
        <f>IF($J595&gt;MAX('Match Log'!$A$4:$A$1510),NA(),IFERROR(LOOKUP(2,1/(('Match Log'!$D$4:$D$1510=$O$24)*('Match Log'!$A$4:$A$1510&lt;=$J595)),'Match Log'!$N$4:$N$1510),NA()))</f>
        <v>#N/A</v>
      </c>
      <c r="P595" t="e">
        <f>IF($J595&gt;MAX('Match Log'!$A$4:$A$1510),NA(),IFERROR(LOOKUP(2,1/(('Match Log'!$D$4:$D$1510=$P$24)*('Match Log'!$A$4:$A$1510&lt;=$J595)),'Match Log'!$N$4:$N$1510),NA()))</f>
        <v>#N/A</v>
      </c>
      <c r="Q595" t="e">
        <f>IF($J595&gt;MAX('Match Log'!$A$4:$A$1510),NA(),IFERROR(LOOKUP(2,1/(('Match Log'!$D$4:$D$1510=$Q$24)*('Match Log'!$A$4:$A$1510&lt;=$J595)),'Match Log'!$N$4:$N$1510),NA()))</f>
        <v>#N/A</v>
      </c>
      <c r="R595" t="e">
        <f>IF($J595&gt;MAX('Match Log'!$A$4:$A$1510),NA(),IFERROR(LOOKUP(2,1/(('Match Log'!$D$4:$D$1510=$R$24)*('Match Log'!$A$4:$A$1510&lt;=$J595)),'Match Log'!$N$4:$N$1510),NA()))</f>
        <v>#N/A</v>
      </c>
      <c r="S595" t="e">
        <f>IF($J595&gt;MAX('Match Log'!$A$4:$A$1510),NA(),IFERROR(LOOKUP(2,1/(('Match Log'!$D$4:$D$1510=$S$24)*('Match Log'!$A$4:$A$1510&lt;=$J595)),'Match Log'!$N$4:$N$1510),NA()))</f>
        <v>#N/A</v>
      </c>
      <c r="T595" t="e">
        <f>IF($J595&gt;MAX('Match Log'!$A$4:$A$1510),NA(),IFERROR(LOOKUP(2,1/(('Match Log'!$D$4:$D$1510=$T$24)*('Match Log'!$A$4:$A$1510&lt;=$J595)),'Match Log'!$N$4:$N$1510),NA()))</f>
        <v>#N/A</v>
      </c>
      <c r="U595" t="e">
        <f>IF($J595&gt;MAX('Match Log'!$A$4:$A$1510),NA(),IFERROR(LOOKUP(2,1/(('Match Log'!$D$4:$D$1510=$U$24)*('Match Log'!$A$4:$A$1510&lt;=$J595)),'Match Log'!$N$4:$N$1510),NA()))</f>
        <v>#N/A</v>
      </c>
      <c r="V595" t="e">
        <f>IF($J595&gt;MAX('Match Log'!$A$4:$A$1510),NA(),IFERROR(LOOKUP(2,1/(('Match Log'!$D$4:$D$1510=$V$24)*('Match Log'!$A$4:$A$1510&lt;=$J595)),'Match Log'!$N$4:$N$1510),NA()))</f>
        <v>#N/A</v>
      </c>
      <c r="W595" t="e">
        <f>IF($J595&gt;MAX('Match Log'!$A$4:$A$1510),NA(),IFERROR(LOOKUP(2,1/(('Match Log'!$D$4:$D$1510=$W$24)*('Match Log'!$A$4:$A$1510&lt;=$J595)),'Match Log'!$N$4:$N$1510),NA()))</f>
        <v>#N/A</v>
      </c>
      <c r="X595" t="e">
        <f>IF($J595&gt;MAX('Match Log'!$A$4:$A$1510),NA(),IFERROR(LOOKUP(2,1/(('Match Log'!$D$4:$D$1510=$X$24)*('Match Log'!$A$4:$A$1510&lt;=$J595)),'Match Log'!$N$4:$N$1510),NA()))</f>
        <v>#N/A</v>
      </c>
      <c r="Y595" t="str">
        <f t="shared" ca="1" si="37"/>
        <v/>
      </c>
    </row>
    <row r="596" spans="1:25" x14ac:dyDescent="0.2">
      <c r="A596">
        <v>572</v>
      </c>
      <c r="B596" t="str">
        <f>IFERROR(INDEX('Match Log'!$B$4:$B$1510,MATCH($A596,'Match Log'!$A$4:$A$1510,0)),"")</f>
        <v/>
      </c>
      <c r="C596" t="str">
        <f>IFERROR(INDEX('Match Log'!$C$4:$C$1510,MATCH($A596,'Match Log'!$A$4:$A$1510,0)),"")</f>
        <v/>
      </c>
      <c r="D596" t="str">
        <f t="array" ref="D596">IFERROR(_xlfn.TEXTJOIN(" + ",TRUE(),IF(('Match Log'!$A$4:$A$1510=$A596)*('Match Log'!$E$4:$E$1510="Win"),'Match Log'!$D$4:$D$1510,"")),IFERROR(LOOKUP(2,1/(('Match Log'!$A$4:$A$1510=$A596)*('Match Log'!$E$4:$E$1510="Win")),'Match Log'!$D$4:$D$1510),""))</f>
        <v/>
      </c>
      <c r="E596" t="str">
        <f>IFERROR(INDEX('Match Log'!$F$4:$F$1510,MATCH($A596,'Match Log'!$A$4:$A$1510,0)),"")</f>
        <v/>
      </c>
      <c r="F596">
        <f>IFERROR(SUMIFS('Match Log'!$I$4:$I$1510,'Match Log'!$A$4:$A$1510,$A596,'Match Log'!$E$4:$E$1510,"Win"),"")</f>
        <v>0</v>
      </c>
      <c r="G596" t="str">
        <f t="shared" si="35"/>
        <v/>
      </c>
      <c r="H596" t="str">
        <f t="array" ref="H596">IFERROR(IF(COUNTIFS('Match Log'!$A$4:$A$1510,$A596,'Match Log'!$E$4:$E$1510,"Win")&gt;1,_xlfn.TEXTJOIN(" + ",TRUE(),IF(('Match Log'!$A$4:$A$1510=$A596)*('Match Log'!$E$4:$E$1510="Loss"),'Match Log'!$D$4:$D$1510,"")),IF($E596=2,LOOKUP(2,1/(('Match Log'!$A$4:$A$1510=$A596)*('Match Log'!$E$4:$E$1510="Loss")),'Match Log'!$D$4:$D$1510),"the field")),"")</f>
        <v>the field</v>
      </c>
      <c r="I596" t="str">
        <f t="shared" si="36"/>
        <v/>
      </c>
      <c r="J596">
        <v>572</v>
      </c>
      <c r="K596" t="e">
        <f>IF($J596&gt;MAX('Match Log'!$A$4:$A$1510),NA(),IFERROR(LOOKUP(2,1/(('Match Log'!$D$4:$D$1510=$K$24)*('Match Log'!$A$4:$A$1510&lt;=$J596)),'Match Log'!$N$4:$N$1510),NA()))</f>
        <v>#N/A</v>
      </c>
      <c r="L596" t="e">
        <f>IF($J596&gt;MAX('Match Log'!$A$4:$A$1510),NA(),IFERROR(LOOKUP(2,1/(('Match Log'!$D$4:$D$1510=$L$24)*('Match Log'!$A$4:$A$1510&lt;=$J596)),'Match Log'!$N$4:$N$1510),NA()))</f>
        <v>#N/A</v>
      </c>
      <c r="M596" t="e">
        <f>IF($J596&gt;MAX('Match Log'!$A$4:$A$1510),NA(),IFERROR(LOOKUP(2,1/(('Match Log'!$D$4:$D$1510=$M$24)*('Match Log'!$A$4:$A$1510&lt;=$J596)),'Match Log'!$N$4:$N$1510),NA()))</f>
        <v>#N/A</v>
      </c>
      <c r="N596" t="e">
        <f>IF($J596&gt;MAX('Match Log'!$A$4:$A$1510),NA(),IFERROR(LOOKUP(2,1/(('Match Log'!$D$4:$D$1510=$N$24)*('Match Log'!$A$4:$A$1510&lt;=$J596)),'Match Log'!$N$4:$N$1510),NA()))</f>
        <v>#N/A</v>
      </c>
      <c r="O596" t="e">
        <f>IF($J596&gt;MAX('Match Log'!$A$4:$A$1510),NA(),IFERROR(LOOKUP(2,1/(('Match Log'!$D$4:$D$1510=$O$24)*('Match Log'!$A$4:$A$1510&lt;=$J596)),'Match Log'!$N$4:$N$1510),NA()))</f>
        <v>#N/A</v>
      </c>
      <c r="P596" t="e">
        <f>IF($J596&gt;MAX('Match Log'!$A$4:$A$1510),NA(),IFERROR(LOOKUP(2,1/(('Match Log'!$D$4:$D$1510=$P$24)*('Match Log'!$A$4:$A$1510&lt;=$J596)),'Match Log'!$N$4:$N$1510),NA()))</f>
        <v>#N/A</v>
      </c>
      <c r="Q596" t="e">
        <f>IF($J596&gt;MAX('Match Log'!$A$4:$A$1510),NA(),IFERROR(LOOKUP(2,1/(('Match Log'!$D$4:$D$1510=$Q$24)*('Match Log'!$A$4:$A$1510&lt;=$J596)),'Match Log'!$N$4:$N$1510),NA()))</f>
        <v>#N/A</v>
      </c>
      <c r="R596" t="e">
        <f>IF($J596&gt;MAX('Match Log'!$A$4:$A$1510),NA(),IFERROR(LOOKUP(2,1/(('Match Log'!$D$4:$D$1510=$R$24)*('Match Log'!$A$4:$A$1510&lt;=$J596)),'Match Log'!$N$4:$N$1510),NA()))</f>
        <v>#N/A</v>
      </c>
      <c r="S596" t="e">
        <f>IF($J596&gt;MAX('Match Log'!$A$4:$A$1510),NA(),IFERROR(LOOKUP(2,1/(('Match Log'!$D$4:$D$1510=$S$24)*('Match Log'!$A$4:$A$1510&lt;=$J596)),'Match Log'!$N$4:$N$1510),NA()))</f>
        <v>#N/A</v>
      </c>
      <c r="T596" t="e">
        <f>IF($J596&gt;MAX('Match Log'!$A$4:$A$1510),NA(),IFERROR(LOOKUP(2,1/(('Match Log'!$D$4:$D$1510=$T$24)*('Match Log'!$A$4:$A$1510&lt;=$J596)),'Match Log'!$N$4:$N$1510),NA()))</f>
        <v>#N/A</v>
      </c>
      <c r="U596" t="e">
        <f>IF($J596&gt;MAX('Match Log'!$A$4:$A$1510),NA(),IFERROR(LOOKUP(2,1/(('Match Log'!$D$4:$D$1510=$U$24)*('Match Log'!$A$4:$A$1510&lt;=$J596)),'Match Log'!$N$4:$N$1510),NA()))</f>
        <v>#N/A</v>
      </c>
      <c r="V596" t="e">
        <f>IF($J596&gt;MAX('Match Log'!$A$4:$A$1510),NA(),IFERROR(LOOKUP(2,1/(('Match Log'!$D$4:$D$1510=$V$24)*('Match Log'!$A$4:$A$1510&lt;=$J596)),'Match Log'!$N$4:$N$1510),NA()))</f>
        <v>#N/A</v>
      </c>
      <c r="W596" t="e">
        <f>IF($J596&gt;MAX('Match Log'!$A$4:$A$1510),NA(),IFERROR(LOOKUP(2,1/(('Match Log'!$D$4:$D$1510=$W$24)*('Match Log'!$A$4:$A$1510&lt;=$J596)),'Match Log'!$N$4:$N$1510),NA()))</f>
        <v>#N/A</v>
      </c>
      <c r="X596" t="e">
        <f>IF($J596&gt;MAX('Match Log'!$A$4:$A$1510),NA(),IFERROR(LOOKUP(2,1/(('Match Log'!$D$4:$D$1510=$X$24)*('Match Log'!$A$4:$A$1510&lt;=$J596)),'Match Log'!$N$4:$N$1510),NA()))</f>
        <v>#N/A</v>
      </c>
      <c r="Y596" t="str">
        <f t="shared" ca="1" si="37"/>
        <v/>
      </c>
    </row>
    <row r="597" spans="1:25" x14ac:dyDescent="0.2">
      <c r="A597">
        <v>573</v>
      </c>
      <c r="B597" t="str">
        <f>IFERROR(INDEX('Match Log'!$B$4:$B$1510,MATCH($A597,'Match Log'!$A$4:$A$1510,0)),"")</f>
        <v/>
      </c>
      <c r="C597" t="str">
        <f>IFERROR(INDEX('Match Log'!$C$4:$C$1510,MATCH($A597,'Match Log'!$A$4:$A$1510,0)),"")</f>
        <v/>
      </c>
      <c r="D597" t="str">
        <f t="array" ref="D597">IFERROR(_xlfn.TEXTJOIN(" + ",TRUE(),IF(('Match Log'!$A$4:$A$1510=$A597)*('Match Log'!$E$4:$E$1510="Win"),'Match Log'!$D$4:$D$1510,"")),IFERROR(LOOKUP(2,1/(('Match Log'!$A$4:$A$1510=$A597)*('Match Log'!$E$4:$E$1510="Win")),'Match Log'!$D$4:$D$1510),""))</f>
        <v/>
      </c>
      <c r="E597" t="str">
        <f>IFERROR(INDEX('Match Log'!$F$4:$F$1510,MATCH($A597,'Match Log'!$A$4:$A$1510,0)),"")</f>
        <v/>
      </c>
      <c r="F597">
        <f>IFERROR(SUMIFS('Match Log'!$I$4:$I$1510,'Match Log'!$A$4:$A$1510,$A597,'Match Log'!$E$4:$E$1510,"Win"),"")</f>
        <v>0</v>
      </c>
      <c r="G597" t="str">
        <f t="shared" si="35"/>
        <v/>
      </c>
      <c r="H597" t="str">
        <f t="array" ref="H597">IFERROR(IF(COUNTIFS('Match Log'!$A$4:$A$1510,$A597,'Match Log'!$E$4:$E$1510,"Win")&gt;1,_xlfn.TEXTJOIN(" + ",TRUE(),IF(('Match Log'!$A$4:$A$1510=$A597)*('Match Log'!$E$4:$E$1510="Loss"),'Match Log'!$D$4:$D$1510,"")),IF($E597=2,LOOKUP(2,1/(('Match Log'!$A$4:$A$1510=$A597)*('Match Log'!$E$4:$E$1510="Loss")),'Match Log'!$D$4:$D$1510),"the field")),"")</f>
        <v>the field</v>
      </c>
      <c r="I597" t="str">
        <f t="shared" si="36"/>
        <v/>
      </c>
      <c r="J597">
        <v>573</v>
      </c>
      <c r="K597" t="e">
        <f>IF($J597&gt;MAX('Match Log'!$A$4:$A$1510),NA(),IFERROR(LOOKUP(2,1/(('Match Log'!$D$4:$D$1510=$K$24)*('Match Log'!$A$4:$A$1510&lt;=$J597)),'Match Log'!$N$4:$N$1510),NA()))</f>
        <v>#N/A</v>
      </c>
      <c r="L597" t="e">
        <f>IF($J597&gt;MAX('Match Log'!$A$4:$A$1510),NA(),IFERROR(LOOKUP(2,1/(('Match Log'!$D$4:$D$1510=$L$24)*('Match Log'!$A$4:$A$1510&lt;=$J597)),'Match Log'!$N$4:$N$1510),NA()))</f>
        <v>#N/A</v>
      </c>
      <c r="M597" t="e">
        <f>IF($J597&gt;MAX('Match Log'!$A$4:$A$1510),NA(),IFERROR(LOOKUP(2,1/(('Match Log'!$D$4:$D$1510=$M$24)*('Match Log'!$A$4:$A$1510&lt;=$J597)),'Match Log'!$N$4:$N$1510),NA()))</f>
        <v>#N/A</v>
      </c>
      <c r="N597" t="e">
        <f>IF($J597&gt;MAX('Match Log'!$A$4:$A$1510),NA(),IFERROR(LOOKUP(2,1/(('Match Log'!$D$4:$D$1510=$N$24)*('Match Log'!$A$4:$A$1510&lt;=$J597)),'Match Log'!$N$4:$N$1510),NA()))</f>
        <v>#N/A</v>
      </c>
      <c r="O597" t="e">
        <f>IF($J597&gt;MAX('Match Log'!$A$4:$A$1510),NA(),IFERROR(LOOKUP(2,1/(('Match Log'!$D$4:$D$1510=$O$24)*('Match Log'!$A$4:$A$1510&lt;=$J597)),'Match Log'!$N$4:$N$1510),NA()))</f>
        <v>#N/A</v>
      </c>
      <c r="P597" t="e">
        <f>IF($J597&gt;MAX('Match Log'!$A$4:$A$1510),NA(),IFERROR(LOOKUP(2,1/(('Match Log'!$D$4:$D$1510=$P$24)*('Match Log'!$A$4:$A$1510&lt;=$J597)),'Match Log'!$N$4:$N$1510),NA()))</f>
        <v>#N/A</v>
      </c>
      <c r="Q597" t="e">
        <f>IF($J597&gt;MAX('Match Log'!$A$4:$A$1510),NA(),IFERROR(LOOKUP(2,1/(('Match Log'!$D$4:$D$1510=$Q$24)*('Match Log'!$A$4:$A$1510&lt;=$J597)),'Match Log'!$N$4:$N$1510),NA()))</f>
        <v>#N/A</v>
      </c>
      <c r="R597" t="e">
        <f>IF($J597&gt;MAX('Match Log'!$A$4:$A$1510),NA(),IFERROR(LOOKUP(2,1/(('Match Log'!$D$4:$D$1510=$R$24)*('Match Log'!$A$4:$A$1510&lt;=$J597)),'Match Log'!$N$4:$N$1510),NA()))</f>
        <v>#N/A</v>
      </c>
      <c r="S597" t="e">
        <f>IF($J597&gt;MAX('Match Log'!$A$4:$A$1510),NA(),IFERROR(LOOKUP(2,1/(('Match Log'!$D$4:$D$1510=$S$24)*('Match Log'!$A$4:$A$1510&lt;=$J597)),'Match Log'!$N$4:$N$1510),NA()))</f>
        <v>#N/A</v>
      </c>
      <c r="T597" t="e">
        <f>IF($J597&gt;MAX('Match Log'!$A$4:$A$1510),NA(),IFERROR(LOOKUP(2,1/(('Match Log'!$D$4:$D$1510=$T$24)*('Match Log'!$A$4:$A$1510&lt;=$J597)),'Match Log'!$N$4:$N$1510),NA()))</f>
        <v>#N/A</v>
      </c>
      <c r="U597" t="e">
        <f>IF($J597&gt;MAX('Match Log'!$A$4:$A$1510),NA(),IFERROR(LOOKUP(2,1/(('Match Log'!$D$4:$D$1510=$U$24)*('Match Log'!$A$4:$A$1510&lt;=$J597)),'Match Log'!$N$4:$N$1510),NA()))</f>
        <v>#N/A</v>
      </c>
      <c r="V597" t="e">
        <f>IF($J597&gt;MAX('Match Log'!$A$4:$A$1510),NA(),IFERROR(LOOKUP(2,1/(('Match Log'!$D$4:$D$1510=$V$24)*('Match Log'!$A$4:$A$1510&lt;=$J597)),'Match Log'!$N$4:$N$1510),NA()))</f>
        <v>#N/A</v>
      </c>
      <c r="W597" t="e">
        <f>IF($J597&gt;MAX('Match Log'!$A$4:$A$1510),NA(),IFERROR(LOOKUP(2,1/(('Match Log'!$D$4:$D$1510=$W$24)*('Match Log'!$A$4:$A$1510&lt;=$J597)),'Match Log'!$N$4:$N$1510),NA()))</f>
        <v>#N/A</v>
      </c>
      <c r="X597" t="e">
        <f>IF($J597&gt;MAX('Match Log'!$A$4:$A$1510),NA(),IFERROR(LOOKUP(2,1/(('Match Log'!$D$4:$D$1510=$X$24)*('Match Log'!$A$4:$A$1510&lt;=$J597)),'Match Log'!$N$4:$N$1510),NA()))</f>
        <v>#N/A</v>
      </c>
      <c r="Y597" t="str">
        <f t="shared" ca="1" si="37"/>
        <v/>
      </c>
    </row>
    <row r="598" spans="1:25" x14ac:dyDescent="0.2">
      <c r="A598">
        <v>574</v>
      </c>
      <c r="B598" t="str">
        <f>IFERROR(INDEX('Match Log'!$B$4:$B$1510,MATCH($A598,'Match Log'!$A$4:$A$1510,0)),"")</f>
        <v/>
      </c>
      <c r="C598" t="str">
        <f>IFERROR(INDEX('Match Log'!$C$4:$C$1510,MATCH($A598,'Match Log'!$A$4:$A$1510,0)),"")</f>
        <v/>
      </c>
      <c r="D598" t="str">
        <f t="array" ref="D598">IFERROR(_xlfn.TEXTJOIN(" + ",TRUE(),IF(('Match Log'!$A$4:$A$1510=$A598)*('Match Log'!$E$4:$E$1510="Win"),'Match Log'!$D$4:$D$1510,"")),IFERROR(LOOKUP(2,1/(('Match Log'!$A$4:$A$1510=$A598)*('Match Log'!$E$4:$E$1510="Win")),'Match Log'!$D$4:$D$1510),""))</f>
        <v/>
      </c>
      <c r="E598" t="str">
        <f>IFERROR(INDEX('Match Log'!$F$4:$F$1510,MATCH($A598,'Match Log'!$A$4:$A$1510,0)),"")</f>
        <v/>
      </c>
      <c r="F598">
        <f>IFERROR(SUMIFS('Match Log'!$I$4:$I$1510,'Match Log'!$A$4:$A$1510,$A598,'Match Log'!$E$4:$E$1510,"Win"),"")</f>
        <v>0</v>
      </c>
      <c r="G598" t="str">
        <f t="shared" si="35"/>
        <v/>
      </c>
      <c r="H598" t="str">
        <f t="array" ref="H598">IFERROR(IF(COUNTIFS('Match Log'!$A$4:$A$1510,$A598,'Match Log'!$E$4:$E$1510,"Win")&gt;1,_xlfn.TEXTJOIN(" + ",TRUE(),IF(('Match Log'!$A$4:$A$1510=$A598)*('Match Log'!$E$4:$E$1510="Loss"),'Match Log'!$D$4:$D$1510,"")),IF($E598=2,LOOKUP(2,1/(('Match Log'!$A$4:$A$1510=$A598)*('Match Log'!$E$4:$E$1510="Loss")),'Match Log'!$D$4:$D$1510),"the field")),"")</f>
        <v>the field</v>
      </c>
      <c r="I598" t="str">
        <f t="shared" si="36"/>
        <v/>
      </c>
      <c r="J598">
        <v>574</v>
      </c>
      <c r="K598" t="e">
        <f>IF($J598&gt;MAX('Match Log'!$A$4:$A$1510),NA(),IFERROR(LOOKUP(2,1/(('Match Log'!$D$4:$D$1510=$K$24)*('Match Log'!$A$4:$A$1510&lt;=$J598)),'Match Log'!$N$4:$N$1510),NA()))</f>
        <v>#N/A</v>
      </c>
      <c r="L598" t="e">
        <f>IF($J598&gt;MAX('Match Log'!$A$4:$A$1510),NA(),IFERROR(LOOKUP(2,1/(('Match Log'!$D$4:$D$1510=$L$24)*('Match Log'!$A$4:$A$1510&lt;=$J598)),'Match Log'!$N$4:$N$1510),NA()))</f>
        <v>#N/A</v>
      </c>
      <c r="M598" t="e">
        <f>IF($J598&gt;MAX('Match Log'!$A$4:$A$1510),NA(),IFERROR(LOOKUP(2,1/(('Match Log'!$D$4:$D$1510=$M$24)*('Match Log'!$A$4:$A$1510&lt;=$J598)),'Match Log'!$N$4:$N$1510),NA()))</f>
        <v>#N/A</v>
      </c>
      <c r="N598" t="e">
        <f>IF($J598&gt;MAX('Match Log'!$A$4:$A$1510),NA(),IFERROR(LOOKUP(2,1/(('Match Log'!$D$4:$D$1510=$N$24)*('Match Log'!$A$4:$A$1510&lt;=$J598)),'Match Log'!$N$4:$N$1510),NA()))</f>
        <v>#N/A</v>
      </c>
      <c r="O598" t="e">
        <f>IF($J598&gt;MAX('Match Log'!$A$4:$A$1510),NA(),IFERROR(LOOKUP(2,1/(('Match Log'!$D$4:$D$1510=$O$24)*('Match Log'!$A$4:$A$1510&lt;=$J598)),'Match Log'!$N$4:$N$1510),NA()))</f>
        <v>#N/A</v>
      </c>
      <c r="P598" t="e">
        <f>IF($J598&gt;MAX('Match Log'!$A$4:$A$1510),NA(),IFERROR(LOOKUP(2,1/(('Match Log'!$D$4:$D$1510=$P$24)*('Match Log'!$A$4:$A$1510&lt;=$J598)),'Match Log'!$N$4:$N$1510),NA()))</f>
        <v>#N/A</v>
      </c>
      <c r="Q598" t="e">
        <f>IF($J598&gt;MAX('Match Log'!$A$4:$A$1510),NA(),IFERROR(LOOKUP(2,1/(('Match Log'!$D$4:$D$1510=$Q$24)*('Match Log'!$A$4:$A$1510&lt;=$J598)),'Match Log'!$N$4:$N$1510),NA()))</f>
        <v>#N/A</v>
      </c>
      <c r="R598" t="e">
        <f>IF($J598&gt;MAX('Match Log'!$A$4:$A$1510),NA(),IFERROR(LOOKUP(2,1/(('Match Log'!$D$4:$D$1510=$R$24)*('Match Log'!$A$4:$A$1510&lt;=$J598)),'Match Log'!$N$4:$N$1510),NA()))</f>
        <v>#N/A</v>
      </c>
      <c r="S598" t="e">
        <f>IF($J598&gt;MAX('Match Log'!$A$4:$A$1510),NA(),IFERROR(LOOKUP(2,1/(('Match Log'!$D$4:$D$1510=$S$24)*('Match Log'!$A$4:$A$1510&lt;=$J598)),'Match Log'!$N$4:$N$1510),NA()))</f>
        <v>#N/A</v>
      </c>
      <c r="T598" t="e">
        <f>IF($J598&gt;MAX('Match Log'!$A$4:$A$1510),NA(),IFERROR(LOOKUP(2,1/(('Match Log'!$D$4:$D$1510=$T$24)*('Match Log'!$A$4:$A$1510&lt;=$J598)),'Match Log'!$N$4:$N$1510),NA()))</f>
        <v>#N/A</v>
      </c>
      <c r="U598" t="e">
        <f>IF($J598&gt;MAX('Match Log'!$A$4:$A$1510),NA(),IFERROR(LOOKUP(2,1/(('Match Log'!$D$4:$D$1510=$U$24)*('Match Log'!$A$4:$A$1510&lt;=$J598)),'Match Log'!$N$4:$N$1510),NA()))</f>
        <v>#N/A</v>
      </c>
      <c r="V598" t="e">
        <f>IF($J598&gt;MAX('Match Log'!$A$4:$A$1510),NA(),IFERROR(LOOKUP(2,1/(('Match Log'!$D$4:$D$1510=$V$24)*('Match Log'!$A$4:$A$1510&lt;=$J598)),'Match Log'!$N$4:$N$1510),NA()))</f>
        <v>#N/A</v>
      </c>
      <c r="W598" t="e">
        <f>IF($J598&gt;MAX('Match Log'!$A$4:$A$1510),NA(),IFERROR(LOOKUP(2,1/(('Match Log'!$D$4:$D$1510=$W$24)*('Match Log'!$A$4:$A$1510&lt;=$J598)),'Match Log'!$N$4:$N$1510),NA()))</f>
        <v>#N/A</v>
      </c>
      <c r="X598" t="e">
        <f>IF($J598&gt;MAX('Match Log'!$A$4:$A$1510),NA(),IFERROR(LOOKUP(2,1/(('Match Log'!$D$4:$D$1510=$X$24)*('Match Log'!$A$4:$A$1510&lt;=$J598)),'Match Log'!$N$4:$N$1510),NA()))</f>
        <v>#N/A</v>
      </c>
      <c r="Y598" t="str">
        <f t="shared" ca="1" si="37"/>
        <v/>
      </c>
    </row>
    <row r="599" spans="1:25" x14ac:dyDescent="0.2">
      <c r="A599">
        <v>575</v>
      </c>
      <c r="B599" t="str">
        <f>IFERROR(INDEX('Match Log'!$B$4:$B$1510,MATCH($A599,'Match Log'!$A$4:$A$1510,0)),"")</f>
        <v/>
      </c>
      <c r="C599" t="str">
        <f>IFERROR(INDEX('Match Log'!$C$4:$C$1510,MATCH($A599,'Match Log'!$A$4:$A$1510,0)),"")</f>
        <v/>
      </c>
      <c r="D599" t="str">
        <f t="array" ref="D599">IFERROR(_xlfn.TEXTJOIN(" + ",TRUE(),IF(('Match Log'!$A$4:$A$1510=$A599)*('Match Log'!$E$4:$E$1510="Win"),'Match Log'!$D$4:$D$1510,"")),IFERROR(LOOKUP(2,1/(('Match Log'!$A$4:$A$1510=$A599)*('Match Log'!$E$4:$E$1510="Win")),'Match Log'!$D$4:$D$1510),""))</f>
        <v/>
      </c>
      <c r="E599" t="str">
        <f>IFERROR(INDEX('Match Log'!$F$4:$F$1510,MATCH($A599,'Match Log'!$A$4:$A$1510,0)),"")</f>
        <v/>
      </c>
      <c r="F599">
        <f>IFERROR(SUMIFS('Match Log'!$I$4:$I$1510,'Match Log'!$A$4:$A$1510,$A599,'Match Log'!$E$4:$E$1510,"Win"),"")</f>
        <v>0</v>
      </c>
      <c r="G599" t="str">
        <f t="shared" si="35"/>
        <v/>
      </c>
      <c r="H599" t="str">
        <f t="array" ref="H599">IFERROR(IF(COUNTIFS('Match Log'!$A$4:$A$1510,$A599,'Match Log'!$E$4:$E$1510,"Win")&gt;1,_xlfn.TEXTJOIN(" + ",TRUE(),IF(('Match Log'!$A$4:$A$1510=$A599)*('Match Log'!$E$4:$E$1510="Loss"),'Match Log'!$D$4:$D$1510,"")),IF($E599=2,LOOKUP(2,1/(('Match Log'!$A$4:$A$1510=$A599)*('Match Log'!$E$4:$E$1510="Loss")),'Match Log'!$D$4:$D$1510),"the field")),"")</f>
        <v>the field</v>
      </c>
      <c r="I599" t="str">
        <f t="shared" si="36"/>
        <v/>
      </c>
      <c r="J599">
        <v>575</v>
      </c>
      <c r="K599" t="e">
        <f>IF($J599&gt;MAX('Match Log'!$A$4:$A$1510),NA(),IFERROR(LOOKUP(2,1/(('Match Log'!$D$4:$D$1510=$K$24)*('Match Log'!$A$4:$A$1510&lt;=$J599)),'Match Log'!$N$4:$N$1510),NA()))</f>
        <v>#N/A</v>
      </c>
      <c r="L599" t="e">
        <f>IF($J599&gt;MAX('Match Log'!$A$4:$A$1510),NA(),IFERROR(LOOKUP(2,1/(('Match Log'!$D$4:$D$1510=$L$24)*('Match Log'!$A$4:$A$1510&lt;=$J599)),'Match Log'!$N$4:$N$1510),NA()))</f>
        <v>#N/A</v>
      </c>
      <c r="M599" t="e">
        <f>IF($J599&gt;MAX('Match Log'!$A$4:$A$1510),NA(),IFERROR(LOOKUP(2,1/(('Match Log'!$D$4:$D$1510=$M$24)*('Match Log'!$A$4:$A$1510&lt;=$J599)),'Match Log'!$N$4:$N$1510),NA()))</f>
        <v>#N/A</v>
      </c>
      <c r="N599" t="e">
        <f>IF($J599&gt;MAX('Match Log'!$A$4:$A$1510),NA(),IFERROR(LOOKUP(2,1/(('Match Log'!$D$4:$D$1510=$N$24)*('Match Log'!$A$4:$A$1510&lt;=$J599)),'Match Log'!$N$4:$N$1510),NA()))</f>
        <v>#N/A</v>
      </c>
      <c r="O599" t="e">
        <f>IF($J599&gt;MAX('Match Log'!$A$4:$A$1510),NA(),IFERROR(LOOKUP(2,1/(('Match Log'!$D$4:$D$1510=$O$24)*('Match Log'!$A$4:$A$1510&lt;=$J599)),'Match Log'!$N$4:$N$1510),NA()))</f>
        <v>#N/A</v>
      </c>
      <c r="P599" t="e">
        <f>IF($J599&gt;MAX('Match Log'!$A$4:$A$1510),NA(),IFERROR(LOOKUP(2,1/(('Match Log'!$D$4:$D$1510=$P$24)*('Match Log'!$A$4:$A$1510&lt;=$J599)),'Match Log'!$N$4:$N$1510),NA()))</f>
        <v>#N/A</v>
      </c>
      <c r="Q599" t="e">
        <f>IF($J599&gt;MAX('Match Log'!$A$4:$A$1510),NA(),IFERROR(LOOKUP(2,1/(('Match Log'!$D$4:$D$1510=$Q$24)*('Match Log'!$A$4:$A$1510&lt;=$J599)),'Match Log'!$N$4:$N$1510),NA()))</f>
        <v>#N/A</v>
      </c>
      <c r="R599" t="e">
        <f>IF($J599&gt;MAX('Match Log'!$A$4:$A$1510),NA(),IFERROR(LOOKUP(2,1/(('Match Log'!$D$4:$D$1510=$R$24)*('Match Log'!$A$4:$A$1510&lt;=$J599)),'Match Log'!$N$4:$N$1510),NA()))</f>
        <v>#N/A</v>
      </c>
      <c r="S599" t="e">
        <f>IF($J599&gt;MAX('Match Log'!$A$4:$A$1510),NA(),IFERROR(LOOKUP(2,1/(('Match Log'!$D$4:$D$1510=$S$24)*('Match Log'!$A$4:$A$1510&lt;=$J599)),'Match Log'!$N$4:$N$1510),NA()))</f>
        <v>#N/A</v>
      </c>
      <c r="T599" t="e">
        <f>IF($J599&gt;MAX('Match Log'!$A$4:$A$1510),NA(),IFERROR(LOOKUP(2,1/(('Match Log'!$D$4:$D$1510=$T$24)*('Match Log'!$A$4:$A$1510&lt;=$J599)),'Match Log'!$N$4:$N$1510),NA()))</f>
        <v>#N/A</v>
      </c>
      <c r="U599" t="e">
        <f>IF($J599&gt;MAX('Match Log'!$A$4:$A$1510),NA(),IFERROR(LOOKUP(2,1/(('Match Log'!$D$4:$D$1510=$U$24)*('Match Log'!$A$4:$A$1510&lt;=$J599)),'Match Log'!$N$4:$N$1510),NA()))</f>
        <v>#N/A</v>
      </c>
      <c r="V599" t="e">
        <f>IF($J599&gt;MAX('Match Log'!$A$4:$A$1510),NA(),IFERROR(LOOKUP(2,1/(('Match Log'!$D$4:$D$1510=$V$24)*('Match Log'!$A$4:$A$1510&lt;=$J599)),'Match Log'!$N$4:$N$1510),NA()))</f>
        <v>#N/A</v>
      </c>
      <c r="W599" t="e">
        <f>IF($J599&gt;MAX('Match Log'!$A$4:$A$1510),NA(),IFERROR(LOOKUP(2,1/(('Match Log'!$D$4:$D$1510=$W$24)*('Match Log'!$A$4:$A$1510&lt;=$J599)),'Match Log'!$N$4:$N$1510),NA()))</f>
        <v>#N/A</v>
      </c>
      <c r="X599" t="e">
        <f>IF($J599&gt;MAX('Match Log'!$A$4:$A$1510),NA(),IFERROR(LOOKUP(2,1/(('Match Log'!$D$4:$D$1510=$X$24)*('Match Log'!$A$4:$A$1510&lt;=$J599)),'Match Log'!$N$4:$N$1510),NA()))</f>
        <v>#N/A</v>
      </c>
      <c r="Y599" t="str">
        <f t="shared" ca="1" si="37"/>
        <v/>
      </c>
    </row>
    <row r="600" spans="1:25" x14ac:dyDescent="0.2">
      <c r="A600">
        <v>576</v>
      </c>
      <c r="B600" t="str">
        <f>IFERROR(INDEX('Match Log'!$B$4:$B$1510,MATCH($A600,'Match Log'!$A$4:$A$1510,0)),"")</f>
        <v/>
      </c>
      <c r="C600" t="str">
        <f>IFERROR(INDEX('Match Log'!$C$4:$C$1510,MATCH($A600,'Match Log'!$A$4:$A$1510,0)),"")</f>
        <v/>
      </c>
      <c r="D600" t="str">
        <f t="array" ref="D600">IFERROR(_xlfn.TEXTJOIN(" + ",TRUE(),IF(('Match Log'!$A$4:$A$1510=$A600)*('Match Log'!$E$4:$E$1510="Win"),'Match Log'!$D$4:$D$1510,"")),IFERROR(LOOKUP(2,1/(('Match Log'!$A$4:$A$1510=$A600)*('Match Log'!$E$4:$E$1510="Win")),'Match Log'!$D$4:$D$1510),""))</f>
        <v/>
      </c>
      <c r="E600" t="str">
        <f>IFERROR(INDEX('Match Log'!$F$4:$F$1510,MATCH($A600,'Match Log'!$A$4:$A$1510,0)),"")</f>
        <v/>
      </c>
      <c r="F600">
        <f>IFERROR(SUMIFS('Match Log'!$I$4:$I$1510,'Match Log'!$A$4:$A$1510,$A600,'Match Log'!$E$4:$E$1510,"Win"),"")</f>
        <v>0</v>
      </c>
      <c r="G600" t="str">
        <f t="shared" si="35"/>
        <v/>
      </c>
      <c r="H600" t="str">
        <f t="array" ref="H600">IFERROR(IF(COUNTIFS('Match Log'!$A$4:$A$1510,$A600,'Match Log'!$E$4:$E$1510,"Win")&gt;1,_xlfn.TEXTJOIN(" + ",TRUE(),IF(('Match Log'!$A$4:$A$1510=$A600)*('Match Log'!$E$4:$E$1510="Loss"),'Match Log'!$D$4:$D$1510,"")),IF($E600=2,LOOKUP(2,1/(('Match Log'!$A$4:$A$1510=$A600)*('Match Log'!$E$4:$E$1510="Loss")),'Match Log'!$D$4:$D$1510),"the field")),"")</f>
        <v>the field</v>
      </c>
      <c r="I600" t="str">
        <f t="shared" si="36"/>
        <v/>
      </c>
      <c r="J600">
        <v>576</v>
      </c>
      <c r="K600" t="e">
        <f>IF($J600&gt;MAX('Match Log'!$A$4:$A$1510),NA(),IFERROR(LOOKUP(2,1/(('Match Log'!$D$4:$D$1510=$K$24)*('Match Log'!$A$4:$A$1510&lt;=$J600)),'Match Log'!$N$4:$N$1510),NA()))</f>
        <v>#N/A</v>
      </c>
      <c r="L600" t="e">
        <f>IF($J600&gt;MAX('Match Log'!$A$4:$A$1510),NA(),IFERROR(LOOKUP(2,1/(('Match Log'!$D$4:$D$1510=$L$24)*('Match Log'!$A$4:$A$1510&lt;=$J600)),'Match Log'!$N$4:$N$1510),NA()))</f>
        <v>#N/A</v>
      </c>
      <c r="M600" t="e">
        <f>IF($J600&gt;MAX('Match Log'!$A$4:$A$1510),NA(),IFERROR(LOOKUP(2,1/(('Match Log'!$D$4:$D$1510=$M$24)*('Match Log'!$A$4:$A$1510&lt;=$J600)),'Match Log'!$N$4:$N$1510),NA()))</f>
        <v>#N/A</v>
      </c>
      <c r="N600" t="e">
        <f>IF($J600&gt;MAX('Match Log'!$A$4:$A$1510),NA(),IFERROR(LOOKUP(2,1/(('Match Log'!$D$4:$D$1510=$N$24)*('Match Log'!$A$4:$A$1510&lt;=$J600)),'Match Log'!$N$4:$N$1510),NA()))</f>
        <v>#N/A</v>
      </c>
      <c r="O600" t="e">
        <f>IF($J600&gt;MAX('Match Log'!$A$4:$A$1510),NA(),IFERROR(LOOKUP(2,1/(('Match Log'!$D$4:$D$1510=$O$24)*('Match Log'!$A$4:$A$1510&lt;=$J600)),'Match Log'!$N$4:$N$1510),NA()))</f>
        <v>#N/A</v>
      </c>
      <c r="P600" t="e">
        <f>IF($J600&gt;MAX('Match Log'!$A$4:$A$1510),NA(),IFERROR(LOOKUP(2,1/(('Match Log'!$D$4:$D$1510=$P$24)*('Match Log'!$A$4:$A$1510&lt;=$J600)),'Match Log'!$N$4:$N$1510),NA()))</f>
        <v>#N/A</v>
      </c>
      <c r="Q600" t="e">
        <f>IF($J600&gt;MAX('Match Log'!$A$4:$A$1510),NA(),IFERROR(LOOKUP(2,1/(('Match Log'!$D$4:$D$1510=$Q$24)*('Match Log'!$A$4:$A$1510&lt;=$J600)),'Match Log'!$N$4:$N$1510),NA()))</f>
        <v>#N/A</v>
      </c>
      <c r="R600" t="e">
        <f>IF($J600&gt;MAX('Match Log'!$A$4:$A$1510),NA(),IFERROR(LOOKUP(2,1/(('Match Log'!$D$4:$D$1510=$R$24)*('Match Log'!$A$4:$A$1510&lt;=$J600)),'Match Log'!$N$4:$N$1510),NA()))</f>
        <v>#N/A</v>
      </c>
      <c r="S600" t="e">
        <f>IF($J600&gt;MAX('Match Log'!$A$4:$A$1510),NA(),IFERROR(LOOKUP(2,1/(('Match Log'!$D$4:$D$1510=$S$24)*('Match Log'!$A$4:$A$1510&lt;=$J600)),'Match Log'!$N$4:$N$1510),NA()))</f>
        <v>#N/A</v>
      </c>
      <c r="T600" t="e">
        <f>IF($J600&gt;MAX('Match Log'!$A$4:$A$1510),NA(),IFERROR(LOOKUP(2,1/(('Match Log'!$D$4:$D$1510=$T$24)*('Match Log'!$A$4:$A$1510&lt;=$J600)),'Match Log'!$N$4:$N$1510),NA()))</f>
        <v>#N/A</v>
      </c>
      <c r="U600" t="e">
        <f>IF($J600&gt;MAX('Match Log'!$A$4:$A$1510),NA(),IFERROR(LOOKUP(2,1/(('Match Log'!$D$4:$D$1510=$U$24)*('Match Log'!$A$4:$A$1510&lt;=$J600)),'Match Log'!$N$4:$N$1510),NA()))</f>
        <v>#N/A</v>
      </c>
      <c r="V600" t="e">
        <f>IF($J600&gt;MAX('Match Log'!$A$4:$A$1510),NA(),IFERROR(LOOKUP(2,1/(('Match Log'!$D$4:$D$1510=$V$24)*('Match Log'!$A$4:$A$1510&lt;=$J600)),'Match Log'!$N$4:$N$1510),NA()))</f>
        <v>#N/A</v>
      </c>
      <c r="W600" t="e">
        <f>IF($J600&gt;MAX('Match Log'!$A$4:$A$1510),NA(),IFERROR(LOOKUP(2,1/(('Match Log'!$D$4:$D$1510=$W$24)*('Match Log'!$A$4:$A$1510&lt;=$J600)),'Match Log'!$N$4:$N$1510),NA()))</f>
        <v>#N/A</v>
      </c>
      <c r="X600" t="e">
        <f>IF($J600&gt;MAX('Match Log'!$A$4:$A$1510),NA(),IFERROR(LOOKUP(2,1/(('Match Log'!$D$4:$D$1510=$X$24)*('Match Log'!$A$4:$A$1510&lt;=$J600)),'Match Log'!$N$4:$N$1510),NA()))</f>
        <v>#N/A</v>
      </c>
      <c r="Y600" t="str">
        <f t="shared" ca="1" si="37"/>
        <v/>
      </c>
    </row>
    <row r="601" spans="1:25" x14ac:dyDescent="0.2">
      <c r="A601">
        <v>577</v>
      </c>
      <c r="B601" t="str">
        <f>IFERROR(INDEX('Match Log'!$B$4:$B$1510,MATCH($A601,'Match Log'!$A$4:$A$1510,0)),"")</f>
        <v/>
      </c>
      <c r="C601" t="str">
        <f>IFERROR(INDEX('Match Log'!$C$4:$C$1510,MATCH($A601,'Match Log'!$A$4:$A$1510,0)),"")</f>
        <v/>
      </c>
      <c r="D601" t="str">
        <f t="array" ref="D601">IFERROR(_xlfn.TEXTJOIN(" + ",TRUE(),IF(('Match Log'!$A$4:$A$1510=$A601)*('Match Log'!$E$4:$E$1510="Win"),'Match Log'!$D$4:$D$1510,"")),IFERROR(LOOKUP(2,1/(('Match Log'!$A$4:$A$1510=$A601)*('Match Log'!$E$4:$E$1510="Win")),'Match Log'!$D$4:$D$1510),""))</f>
        <v/>
      </c>
      <c r="E601" t="str">
        <f>IFERROR(INDEX('Match Log'!$F$4:$F$1510,MATCH($A601,'Match Log'!$A$4:$A$1510,0)),"")</f>
        <v/>
      </c>
      <c r="F601">
        <f>IFERROR(SUMIFS('Match Log'!$I$4:$I$1510,'Match Log'!$A$4:$A$1510,$A601,'Match Log'!$E$4:$E$1510,"Win"),"")</f>
        <v>0</v>
      </c>
      <c r="G601" t="str">
        <f t="shared" si="35"/>
        <v/>
      </c>
      <c r="H601" t="str">
        <f t="array" ref="H601">IFERROR(IF(COUNTIFS('Match Log'!$A$4:$A$1510,$A601,'Match Log'!$E$4:$E$1510,"Win")&gt;1,_xlfn.TEXTJOIN(" + ",TRUE(),IF(('Match Log'!$A$4:$A$1510=$A601)*('Match Log'!$E$4:$E$1510="Loss"),'Match Log'!$D$4:$D$1510,"")),IF($E601=2,LOOKUP(2,1/(('Match Log'!$A$4:$A$1510=$A601)*('Match Log'!$E$4:$E$1510="Loss")),'Match Log'!$D$4:$D$1510),"the field")),"")</f>
        <v>the field</v>
      </c>
      <c r="I601" t="str">
        <f t="shared" si="36"/>
        <v/>
      </c>
      <c r="J601">
        <v>577</v>
      </c>
      <c r="K601" t="e">
        <f>IF($J601&gt;MAX('Match Log'!$A$4:$A$1510),NA(),IFERROR(LOOKUP(2,1/(('Match Log'!$D$4:$D$1510=$K$24)*('Match Log'!$A$4:$A$1510&lt;=$J601)),'Match Log'!$N$4:$N$1510),NA()))</f>
        <v>#N/A</v>
      </c>
      <c r="L601" t="e">
        <f>IF($J601&gt;MAX('Match Log'!$A$4:$A$1510),NA(),IFERROR(LOOKUP(2,1/(('Match Log'!$D$4:$D$1510=$L$24)*('Match Log'!$A$4:$A$1510&lt;=$J601)),'Match Log'!$N$4:$N$1510),NA()))</f>
        <v>#N/A</v>
      </c>
      <c r="M601" t="e">
        <f>IF($J601&gt;MAX('Match Log'!$A$4:$A$1510),NA(),IFERROR(LOOKUP(2,1/(('Match Log'!$D$4:$D$1510=$M$24)*('Match Log'!$A$4:$A$1510&lt;=$J601)),'Match Log'!$N$4:$N$1510),NA()))</f>
        <v>#N/A</v>
      </c>
      <c r="N601" t="e">
        <f>IF($J601&gt;MAX('Match Log'!$A$4:$A$1510),NA(),IFERROR(LOOKUP(2,1/(('Match Log'!$D$4:$D$1510=$N$24)*('Match Log'!$A$4:$A$1510&lt;=$J601)),'Match Log'!$N$4:$N$1510),NA()))</f>
        <v>#N/A</v>
      </c>
      <c r="O601" t="e">
        <f>IF($J601&gt;MAX('Match Log'!$A$4:$A$1510),NA(),IFERROR(LOOKUP(2,1/(('Match Log'!$D$4:$D$1510=$O$24)*('Match Log'!$A$4:$A$1510&lt;=$J601)),'Match Log'!$N$4:$N$1510),NA()))</f>
        <v>#N/A</v>
      </c>
      <c r="P601" t="e">
        <f>IF($J601&gt;MAX('Match Log'!$A$4:$A$1510),NA(),IFERROR(LOOKUP(2,1/(('Match Log'!$D$4:$D$1510=$P$24)*('Match Log'!$A$4:$A$1510&lt;=$J601)),'Match Log'!$N$4:$N$1510),NA()))</f>
        <v>#N/A</v>
      </c>
      <c r="Q601" t="e">
        <f>IF($J601&gt;MAX('Match Log'!$A$4:$A$1510),NA(),IFERROR(LOOKUP(2,1/(('Match Log'!$D$4:$D$1510=$Q$24)*('Match Log'!$A$4:$A$1510&lt;=$J601)),'Match Log'!$N$4:$N$1510),NA()))</f>
        <v>#N/A</v>
      </c>
      <c r="R601" t="e">
        <f>IF($J601&gt;MAX('Match Log'!$A$4:$A$1510),NA(),IFERROR(LOOKUP(2,1/(('Match Log'!$D$4:$D$1510=$R$24)*('Match Log'!$A$4:$A$1510&lt;=$J601)),'Match Log'!$N$4:$N$1510),NA()))</f>
        <v>#N/A</v>
      </c>
      <c r="S601" t="e">
        <f>IF($J601&gt;MAX('Match Log'!$A$4:$A$1510),NA(),IFERROR(LOOKUP(2,1/(('Match Log'!$D$4:$D$1510=$S$24)*('Match Log'!$A$4:$A$1510&lt;=$J601)),'Match Log'!$N$4:$N$1510),NA()))</f>
        <v>#N/A</v>
      </c>
      <c r="T601" t="e">
        <f>IF($J601&gt;MAX('Match Log'!$A$4:$A$1510),NA(),IFERROR(LOOKUP(2,1/(('Match Log'!$D$4:$D$1510=$T$24)*('Match Log'!$A$4:$A$1510&lt;=$J601)),'Match Log'!$N$4:$N$1510),NA()))</f>
        <v>#N/A</v>
      </c>
      <c r="U601" t="e">
        <f>IF($J601&gt;MAX('Match Log'!$A$4:$A$1510),NA(),IFERROR(LOOKUP(2,1/(('Match Log'!$D$4:$D$1510=$U$24)*('Match Log'!$A$4:$A$1510&lt;=$J601)),'Match Log'!$N$4:$N$1510),NA()))</f>
        <v>#N/A</v>
      </c>
      <c r="V601" t="e">
        <f>IF($J601&gt;MAX('Match Log'!$A$4:$A$1510),NA(),IFERROR(LOOKUP(2,1/(('Match Log'!$D$4:$D$1510=$V$24)*('Match Log'!$A$4:$A$1510&lt;=$J601)),'Match Log'!$N$4:$N$1510),NA()))</f>
        <v>#N/A</v>
      </c>
      <c r="W601" t="e">
        <f>IF($J601&gt;MAX('Match Log'!$A$4:$A$1510),NA(),IFERROR(LOOKUP(2,1/(('Match Log'!$D$4:$D$1510=$W$24)*('Match Log'!$A$4:$A$1510&lt;=$J601)),'Match Log'!$N$4:$N$1510),NA()))</f>
        <v>#N/A</v>
      </c>
      <c r="X601" t="e">
        <f>IF($J601&gt;MAX('Match Log'!$A$4:$A$1510),NA(),IFERROR(LOOKUP(2,1/(('Match Log'!$D$4:$D$1510=$X$24)*('Match Log'!$A$4:$A$1510&lt;=$J601)),'Match Log'!$N$4:$N$1510),NA()))</f>
        <v>#N/A</v>
      </c>
      <c r="Y601" t="str">
        <f t="shared" ca="1" si="37"/>
        <v/>
      </c>
    </row>
    <row r="602" spans="1:25" x14ac:dyDescent="0.2">
      <c r="A602">
        <v>578</v>
      </c>
      <c r="B602" t="str">
        <f>IFERROR(INDEX('Match Log'!$B$4:$B$1510,MATCH($A602,'Match Log'!$A$4:$A$1510,0)),"")</f>
        <v/>
      </c>
      <c r="C602" t="str">
        <f>IFERROR(INDEX('Match Log'!$C$4:$C$1510,MATCH($A602,'Match Log'!$A$4:$A$1510,0)),"")</f>
        <v/>
      </c>
      <c r="D602" t="str">
        <f t="array" ref="D602">IFERROR(_xlfn.TEXTJOIN(" + ",TRUE(),IF(('Match Log'!$A$4:$A$1510=$A602)*('Match Log'!$E$4:$E$1510="Win"),'Match Log'!$D$4:$D$1510,"")),IFERROR(LOOKUP(2,1/(('Match Log'!$A$4:$A$1510=$A602)*('Match Log'!$E$4:$E$1510="Win")),'Match Log'!$D$4:$D$1510),""))</f>
        <v/>
      </c>
      <c r="E602" t="str">
        <f>IFERROR(INDEX('Match Log'!$F$4:$F$1510,MATCH($A602,'Match Log'!$A$4:$A$1510,0)),"")</f>
        <v/>
      </c>
      <c r="F602">
        <f>IFERROR(SUMIFS('Match Log'!$I$4:$I$1510,'Match Log'!$A$4:$A$1510,$A602,'Match Log'!$E$4:$E$1510,"Win"),"")</f>
        <v>0</v>
      </c>
      <c r="G602" t="str">
        <f t="shared" si="35"/>
        <v/>
      </c>
      <c r="H602" t="str">
        <f t="array" ref="H602">IFERROR(IF(COUNTIFS('Match Log'!$A$4:$A$1510,$A602,'Match Log'!$E$4:$E$1510,"Win")&gt;1,_xlfn.TEXTJOIN(" + ",TRUE(),IF(('Match Log'!$A$4:$A$1510=$A602)*('Match Log'!$E$4:$E$1510="Loss"),'Match Log'!$D$4:$D$1510,"")),IF($E602=2,LOOKUP(2,1/(('Match Log'!$A$4:$A$1510=$A602)*('Match Log'!$E$4:$E$1510="Loss")),'Match Log'!$D$4:$D$1510),"the field")),"")</f>
        <v>the field</v>
      </c>
      <c r="I602" t="str">
        <f t="shared" si="36"/>
        <v/>
      </c>
      <c r="J602">
        <v>578</v>
      </c>
      <c r="K602" t="e">
        <f>IF($J602&gt;MAX('Match Log'!$A$4:$A$1510),NA(),IFERROR(LOOKUP(2,1/(('Match Log'!$D$4:$D$1510=$K$24)*('Match Log'!$A$4:$A$1510&lt;=$J602)),'Match Log'!$N$4:$N$1510),NA()))</f>
        <v>#N/A</v>
      </c>
      <c r="L602" t="e">
        <f>IF($J602&gt;MAX('Match Log'!$A$4:$A$1510),NA(),IFERROR(LOOKUP(2,1/(('Match Log'!$D$4:$D$1510=$L$24)*('Match Log'!$A$4:$A$1510&lt;=$J602)),'Match Log'!$N$4:$N$1510),NA()))</f>
        <v>#N/A</v>
      </c>
      <c r="M602" t="e">
        <f>IF($J602&gt;MAX('Match Log'!$A$4:$A$1510),NA(),IFERROR(LOOKUP(2,1/(('Match Log'!$D$4:$D$1510=$M$24)*('Match Log'!$A$4:$A$1510&lt;=$J602)),'Match Log'!$N$4:$N$1510),NA()))</f>
        <v>#N/A</v>
      </c>
      <c r="N602" t="e">
        <f>IF($J602&gt;MAX('Match Log'!$A$4:$A$1510),NA(),IFERROR(LOOKUP(2,1/(('Match Log'!$D$4:$D$1510=$N$24)*('Match Log'!$A$4:$A$1510&lt;=$J602)),'Match Log'!$N$4:$N$1510),NA()))</f>
        <v>#N/A</v>
      </c>
      <c r="O602" t="e">
        <f>IF($J602&gt;MAX('Match Log'!$A$4:$A$1510),NA(),IFERROR(LOOKUP(2,1/(('Match Log'!$D$4:$D$1510=$O$24)*('Match Log'!$A$4:$A$1510&lt;=$J602)),'Match Log'!$N$4:$N$1510),NA()))</f>
        <v>#N/A</v>
      </c>
      <c r="P602" t="e">
        <f>IF($J602&gt;MAX('Match Log'!$A$4:$A$1510),NA(),IFERROR(LOOKUP(2,1/(('Match Log'!$D$4:$D$1510=$P$24)*('Match Log'!$A$4:$A$1510&lt;=$J602)),'Match Log'!$N$4:$N$1510),NA()))</f>
        <v>#N/A</v>
      </c>
      <c r="Q602" t="e">
        <f>IF($J602&gt;MAX('Match Log'!$A$4:$A$1510),NA(),IFERROR(LOOKUP(2,1/(('Match Log'!$D$4:$D$1510=$Q$24)*('Match Log'!$A$4:$A$1510&lt;=$J602)),'Match Log'!$N$4:$N$1510),NA()))</f>
        <v>#N/A</v>
      </c>
      <c r="R602" t="e">
        <f>IF($J602&gt;MAX('Match Log'!$A$4:$A$1510),NA(),IFERROR(LOOKUP(2,1/(('Match Log'!$D$4:$D$1510=$R$24)*('Match Log'!$A$4:$A$1510&lt;=$J602)),'Match Log'!$N$4:$N$1510),NA()))</f>
        <v>#N/A</v>
      </c>
      <c r="S602" t="e">
        <f>IF($J602&gt;MAX('Match Log'!$A$4:$A$1510),NA(),IFERROR(LOOKUP(2,1/(('Match Log'!$D$4:$D$1510=$S$24)*('Match Log'!$A$4:$A$1510&lt;=$J602)),'Match Log'!$N$4:$N$1510),NA()))</f>
        <v>#N/A</v>
      </c>
      <c r="T602" t="e">
        <f>IF($J602&gt;MAX('Match Log'!$A$4:$A$1510),NA(),IFERROR(LOOKUP(2,1/(('Match Log'!$D$4:$D$1510=$T$24)*('Match Log'!$A$4:$A$1510&lt;=$J602)),'Match Log'!$N$4:$N$1510),NA()))</f>
        <v>#N/A</v>
      </c>
      <c r="U602" t="e">
        <f>IF($J602&gt;MAX('Match Log'!$A$4:$A$1510),NA(),IFERROR(LOOKUP(2,1/(('Match Log'!$D$4:$D$1510=$U$24)*('Match Log'!$A$4:$A$1510&lt;=$J602)),'Match Log'!$N$4:$N$1510),NA()))</f>
        <v>#N/A</v>
      </c>
      <c r="V602" t="e">
        <f>IF($J602&gt;MAX('Match Log'!$A$4:$A$1510),NA(),IFERROR(LOOKUP(2,1/(('Match Log'!$D$4:$D$1510=$V$24)*('Match Log'!$A$4:$A$1510&lt;=$J602)),'Match Log'!$N$4:$N$1510),NA()))</f>
        <v>#N/A</v>
      </c>
      <c r="W602" t="e">
        <f>IF($J602&gt;MAX('Match Log'!$A$4:$A$1510),NA(),IFERROR(LOOKUP(2,1/(('Match Log'!$D$4:$D$1510=$W$24)*('Match Log'!$A$4:$A$1510&lt;=$J602)),'Match Log'!$N$4:$N$1510),NA()))</f>
        <v>#N/A</v>
      </c>
      <c r="X602" t="e">
        <f>IF($J602&gt;MAX('Match Log'!$A$4:$A$1510),NA(),IFERROR(LOOKUP(2,1/(('Match Log'!$D$4:$D$1510=$X$24)*('Match Log'!$A$4:$A$1510&lt;=$J602)),'Match Log'!$N$4:$N$1510),NA()))</f>
        <v>#N/A</v>
      </c>
      <c r="Y602" t="str">
        <f t="shared" ca="1" si="37"/>
        <v/>
      </c>
    </row>
    <row r="603" spans="1:25" x14ac:dyDescent="0.2">
      <c r="A603">
        <v>579</v>
      </c>
      <c r="B603" t="str">
        <f>IFERROR(INDEX('Match Log'!$B$4:$B$1510,MATCH($A603,'Match Log'!$A$4:$A$1510,0)),"")</f>
        <v/>
      </c>
      <c r="C603" t="str">
        <f>IFERROR(INDEX('Match Log'!$C$4:$C$1510,MATCH($A603,'Match Log'!$A$4:$A$1510,0)),"")</f>
        <v/>
      </c>
      <c r="D603" t="str">
        <f t="array" ref="D603">IFERROR(_xlfn.TEXTJOIN(" + ",TRUE(),IF(('Match Log'!$A$4:$A$1510=$A603)*('Match Log'!$E$4:$E$1510="Win"),'Match Log'!$D$4:$D$1510,"")),IFERROR(LOOKUP(2,1/(('Match Log'!$A$4:$A$1510=$A603)*('Match Log'!$E$4:$E$1510="Win")),'Match Log'!$D$4:$D$1510),""))</f>
        <v/>
      </c>
      <c r="E603" t="str">
        <f>IFERROR(INDEX('Match Log'!$F$4:$F$1510,MATCH($A603,'Match Log'!$A$4:$A$1510,0)),"")</f>
        <v/>
      </c>
      <c r="F603">
        <f>IFERROR(SUMIFS('Match Log'!$I$4:$I$1510,'Match Log'!$A$4:$A$1510,$A603,'Match Log'!$E$4:$E$1510,"Win"),"")</f>
        <v>0</v>
      </c>
      <c r="G603" t="str">
        <f t="shared" si="35"/>
        <v/>
      </c>
      <c r="H603" t="str">
        <f t="array" ref="H603">IFERROR(IF(COUNTIFS('Match Log'!$A$4:$A$1510,$A603,'Match Log'!$E$4:$E$1510,"Win")&gt;1,_xlfn.TEXTJOIN(" + ",TRUE(),IF(('Match Log'!$A$4:$A$1510=$A603)*('Match Log'!$E$4:$E$1510="Loss"),'Match Log'!$D$4:$D$1510,"")),IF($E603=2,LOOKUP(2,1/(('Match Log'!$A$4:$A$1510=$A603)*('Match Log'!$E$4:$E$1510="Loss")),'Match Log'!$D$4:$D$1510),"the field")),"")</f>
        <v>the field</v>
      </c>
      <c r="I603" t="str">
        <f t="shared" si="36"/>
        <v/>
      </c>
      <c r="J603">
        <v>579</v>
      </c>
      <c r="K603" t="e">
        <f>IF($J603&gt;MAX('Match Log'!$A$4:$A$1510),NA(),IFERROR(LOOKUP(2,1/(('Match Log'!$D$4:$D$1510=$K$24)*('Match Log'!$A$4:$A$1510&lt;=$J603)),'Match Log'!$N$4:$N$1510),NA()))</f>
        <v>#N/A</v>
      </c>
      <c r="L603" t="e">
        <f>IF($J603&gt;MAX('Match Log'!$A$4:$A$1510),NA(),IFERROR(LOOKUP(2,1/(('Match Log'!$D$4:$D$1510=$L$24)*('Match Log'!$A$4:$A$1510&lt;=$J603)),'Match Log'!$N$4:$N$1510),NA()))</f>
        <v>#N/A</v>
      </c>
      <c r="M603" t="e">
        <f>IF($J603&gt;MAX('Match Log'!$A$4:$A$1510),NA(),IFERROR(LOOKUP(2,1/(('Match Log'!$D$4:$D$1510=$M$24)*('Match Log'!$A$4:$A$1510&lt;=$J603)),'Match Log'!$N$4:$N$1510),NA()))</f>
        <v>#N/A</v>
      </c>
      <c r="N603" t="e">
        <f>IF($J603&gt;MAX('Match Log'!$A$4:$A$1510),NA(),IFERROR(LOOKUP(2,1/(('Match Log'!$D$4:$D$1510=$N$24)*('Match Log'!$A$4:$A$1510&lt;=$J603)),'Match Log'!$N$4:$N$1510),NA()))</f>
        <v>#N/A</v>
      </c>
      <c r="O603" t="e">
        <f>IF($J603&gt;MAX('Match Log'!$A$4:$A$1510),NA(),IFERROR(LOOKUP(2,1/(('Match Log'!$D$4:$D$1510=$O$24)*('Match Log'!$A$4:$A$1510&lt;=$J603)),'Match Log'!$N$4:$N$1510),NA()))</f>
        <v>#N/A</v>
      </c>
      <c r="P603" t="e">
        <f>IF($J603&gt;MAX('Match Log'!$A$4:$A$1510),NA(),IFERROR(LOOKUP(2,1/(('Match Log'!$D$4:$D$1510=$P$24)*('Match Log'!$A$4:$A$1510&lt;=$J603)),'Match Log'!$N$4:$N$1510),NA()))</f>
        <v>#N/A</v>
      </c>
      <c r="Q603" t="e">
        <f>IF($J603&gt;MAX('Match Log'!$A$4:$A$1510),NA(),IFERROR(LOOKUP(2,1/(('Match Log'!$D$4:$D$1510=$Q$24)*('Match Log'!$A$4:$A$1510&lt;=$J603)),'Match Log'!$N$4:$N$1510),NA()))</f>
        <v>#N/A</v>
      </c>
      <c r="R603" t="e">
        <f>IF($J603&gt;MAX('Match Log'!$A$4:$A$1510),NA(),IFERROR(LOOKUP(2,1/(('Match Log'!$D$4:$D$1510=$R$24)*('Match Log'!$A$4:$A$1510&lt;=$J603)),'Match Log'!$N$4:$N$1510),NA()))</f>
        <v>#N/A</v>
      </c>
      <c r="S603" t="e">
        <f>IF($J603&gt;MAX('Match Log'!$A$4:$A$1510),NA(),IFERROR(LOOKUP(2,1/(('Match Log'!$D$4:$D$1510=$S$24)*('Match Log'!$A$4:$A$1510&lt;=$J603)),'Match Log'!$N$4:$N$1510),NA()))</f>
        <v>#N/A</v>
      </c>
      <c r="T603" t="e">
        <f>IF($J603&gt;MAX('Match Log'!$A$4:$A$1510),NA(),IFERROR(LOOKUP(2,1/(('Match Log'!$D$4:$D$1510=$T$24)*('Match Log'!$A$4:$A$1510&lt;=$J603)),'Match Log'!$N$4:$N$1510),NA()))</f>
        <v>#N/A</v>
      </c>
      <c r="U603" t="e">
        <f>IF($J603&gt;MAX('Match Log'!$A$4:$A$1510),NA(),IFERROR(LOOKUP(2,1/(('Match Log'!$D$4:$D$1510=$U$24)*('Match Log'!$A$4:$A$1510&lt;=$J603)),'Match Log'!$N$4:$N$1510),NA()))</f>
        <v>#N/A</v>
      </c>
      <c r="V603" t="e">
        <f>IF($J603&gt;MAX('Match Log'!$A$4:$A$1510),NA(),IFERROR(LOOKUP(2,1/(('Match Log'!$D$4:$D$1510=$V$24)*('Match Log'!$A$4:$A$1510&lt;=$J603)),'Match Log'!$N$4:$N$1510),NA()))</f>
        <v>#N/A</v>
      </c>
      <c r="W603" t="e">
        <f>IF($J603&gt;MAX('Match Log'!$A$4:$A$1510),NA(),IFERROR(LOOKUP(2,1/(('Match Log'!$D$4:$D$1510=$W$24)*('Match Log'!$A$4:$A$1510&lt;=$J603)),'Match Log'!$N$4:$N$1510),NA()))</f>
        <v>#N/A</v>
      </c>
      <c r="X603" t="e">
        <f>IF($J603&gt;MAX('Match Log'!$A$4:$A$1510),NA(),IFERROR(LOOKUP(2,1/(('Match Log'!$D$4:$D$1510=$X$24)*('Match Log'!$A$4:$A$1510&lt;=$J603)),'Match Log'!$N$4:$N$1510),NA()))</f>
        <v>#N/A</v>
      </c>
      <c r="Y603" t="str">
        <f t="shared" ca="1" si="37"/>
        <v/>
      </c>
    </row>
    <row r="604" spans="1:25" x14ac:dyDescent="0.2">
      <c r="A604">
        <v>580</v>
      </c>
      <c r="B604" t="str">
        <f>IFERROR(INDEX('Match Log'!$B$4:$B$1510,MATCH($A604,'Match Log'!$A$4:$A$1510,0)),"")</f>
        <v/>
      </c>
      <c r="C604" t="str">
        <f>IFERROR(INDEX('Match Log'!$C$4:$C$1510,MATCH($A604,'Match Log'!$A$4:$A$1510,0)),"")</f>
        <v/>
      </c>
      <c r="D604" t="str">
        <f t="array" ref="D604">IFERROR(_xlfn.TEXTJOIN(" + ",TRUE(),IF(('Match Log'!$A$4:$A$1510=$A604)*('Match Log'!$E$4:$E$1510="Win"),'Match Log'!$D$4:$D$1510,"")),IFERROR(LOOKUP(2,1/(('Match Log'!$A$4:$A$1510=$A604)*('Match Log'!$E$4:$E$1510="Win")),'Match Log'!$D$4:$D$1510),""))</f>
        <v/>
      </c>
      <c r="E604" t="str">
        <f>IFERROR(INDEX('Match Log'!$F$4:$F$1510,MATCH($A604,'Match Log'!$A$4:$A$1510,0)),"")</f>
        <v/>
      </c>
      <c r="F604">
        <f>IFERROR(SUMIFS('Match Log'!$I$4:$I$1510,'Match Log'!$A$4:$A$1510,$A604,'Match Log'!$E$4:$E$1510,"Win"),"")</f>
        <v>0</v>
      </c>
      <c r="G604" t="str">
        <f t="shared" si="35"/>
        <v/>
      </c>
      <c r="H604" t="str">
        <f t="array" ref="H604">IFERROR(IF(COUNTIFS('Match Log'!$A$4:$A$1510,$A604,'Match Log'!$E$4:$E$1510,"Win")&gt;1,_xlfn.TEXTJOIN(" + ",TRUE(),IF(('Match Log'!$A$4:$A$1510=$A604)*('Match Log'!$E$4:$E$1510="Loss"),'Match Log'!$D$4:$D$1510,"")),IF($E604=2,LOOKUP(2,1/(('Match Log'!$A$4:$A$1510=$A604)*('Match Log'!$E$4:$E$1510="Loss")),'Match Log'!$D$4:$D$1510),"the field")),"")</f>
        <v>the field</v>
      </c>
      <c r="I604" t="str">
        <f t="shared" si="36"/>
        <v/>
      </c>
      <c r="J604">
        <v>580</v>
      </c>
      <c r="K604" t="e">
        <f>IF($J604&gt;MAX('Match Log'!$A$4:$A$1510),NA(),IFERROR(LOOKUP(2,1/(('Match Log'!$D$4:$D$1510=$K$24)*('Match Log'!$A$4:$A$1510&lt;=$J604)),'Match Log'!$N$4:$N$1510),NA()))</f>
        <v>#N/A</v>
      </c>
      <c r="L604" t="e">
        <f>IF($J604&gt;MAX('Match Log'!$A$4:$A$1510),NA(),IFERROR(LOOKUP(2,1/(('Match Log'!$D$4:$D$1510=$L$24)*('Match Log'!$A$4:$A$1510&lt;=$J604)),'Match Log'!$N$4:$N$1510),NA()))</f>
        <v>#N/A</v>
      </c>
      <c r="M604" t="e">
        <f>IF($J604&gt;MAX('Match Log'!$A$4:$A$1510),NA(),IFERROR(LOOKUP(2,1/(('Match Log'!$D$4:$D$1510=$M$24)*('Match Log'!$A$4:$A$1510&lt;=$J604)),'Match Log'!$N$4:$N$1510),NA()))</f>
        <v>#N/A</v>
      </c>
      <c r="N604" t="e">
        <f>IF($J604&gt;MAX('Match Log'!$A$4:$A$1510),NA(),IFERROR(LOOKUP(2,1/(('Match Log'!$D$4:$D$1510=$N$24)*('Match Log'!$A$4:$A$1510&lt;=$J604)),'Match Log'!$N$4:$N$1510),NA()))</f>
        <v>#N/A</v>
      </c>
      <c r="O604" t="e">
        <f>IF($J604&gt;MAX('Match Log'!$A$4:$A$1510),NA(),IFERROR(LOOKUP(2,1/(('Match Log'!$D$4:$D$1510=$O$24)*('Match Log'!$A$4:$A$1510&lt;=$J604)),'Match Log'!$N$4:$N$1510),NA()))</f>
        <v>#N/A</v>
      </c>
      <c r="P604" t="e">
        <f>IF($J604&gt;MAX('Match Log'!$A$4:$A$1510),NA(),IFERROR(LOOKUP(2,1/(('Match Log'!$D$4:$D$1510=$P$24)*('Match Log'!$A$4:$A$1510&lt;=$J604)),'Match Log'!$N$4:$N$1510),NA()))</f>
        <v>#N/A</v>
      </c>
      <c r="Q604" t="e">
        <f>IF($J604&gt;MAX('Match Log'!$A$4:$A$1510),NA(),IFERROR(LOOKUP(2,1/(('Match Log'!$D$4:$D$1510=$Q$24)*('Match Log'!$A$4:$A$1510&lt;=$J604)),'Match Log'!$N$4:$N$1510),NA()))</f>
        <v>#N/A</v>
      </c>
      <c r="R604" t="e">
        <f>IF($J604&gt;MAX('Match Log'!$A$4:$A$1510),NA(),IFERROR(LOOKUP(2,1/(('Match Log'!$D$4:$D$1510=$R$24)*('Match Log'!$A$4:$A$1510&lt;=$J604)),'Match Log'!$N$4:$N$1510),NA()))</f>
        <v>#N/A</v>
      </c>
      <c r="S604" t="e">
        <f>IF($J604&gt;MAX('Match Log'!$A$4:$A$1510),NA(),IFERROR(LOOKUP(2,1/(('Match Log'!$D$4:$D$1510=$S$24)*('Match Log'!$A$4:$A$1510&lt;=$J604)),'Match Log'!$N$4:$N$1510),NA()))</f>
        <v>#N/A</v>
      </c>
      <c r="T604" t="e">
        <f>IF($J604&gt;MAX('Match Log'!$A$4:$A$1510),NA(),IFERROR(LOOKUP(2,1/(('Match Log'!$D$4:$D$1510=$T$24)*('Match Log'!$A$4:$A$1510&lt;=$J604)),'Match Log'!$N$4:$N$1510),NA()))</f>
        <v>#N/A</v>
      </c>
      <c r="U604" t="e">
        <f>IF($J604&gt;MAX('Match Log'!$A$4:$A$1510),NA(),IFERROR(LOOKUP(2,1/(('Match Log'!$D$4:$D$1510=$U$24)*('Match Log'!$A$4:$A$1510&lt;=$J604)),'Match Log'!$N$4:$N$1510),NA()))</f>
        <v>#N/A</v>
      </c>
      <c r="V604" t="e">
        <f>IF($J604&gt;MAX('Match Log'!$A$4:$A$1510),NA(),IFERROR(LOOKUP(2,1/(('Match Log'!$D$4:$D$1510=$V$24)*('Match Log'!$A$4:$A$1510&lt;=$J604)),'Match Log'!$N$4:$N$1510),NA()))</f>
        <v>#N/A</v>
      </c>
      <c r="W604" t="e">
        <f>IF($J604&gt;MAX('Match Log'!$A$4:$A$1510),NA(),IFERROR(LOOKUP(2,1/(('Match Log'!$D$4:$D$1510=$W$24)*('Match Log'!$A$4:$A$1510&lt;=$J604)),'Match Log'!$N$4:$N$1510),NA()))</f>
        <v>#N/A</v>
      </c>
      <c r="X604" t="e">
        <f>IF($J604&gt;MAX('Match Log'!$A$4:$A$1510),NA(),IFERROR(LOOKUP(2,1/(('Match Log'!$D$4:$D$1510=$X$24)*('Match Log'!$A$4:$A$1510&lt;=$J604)),'Match Log'!$N$4:$N$1510),NA()))</f>
        <v>#N/A</v>
      </c>
      <c r="Y604" t="str">
        <f t="shared" ca="1" si="37"/>
        <v/>
      </c>
    </row>
    <row r="605" spans="1:25" x14ac:dyDescent="0.2">
      <c r="A605">
        <v>581</v>
      </c>
      <c r="B605" t="str">
        <f>IFERROR(INDEX('Match Log'!$B$4:$B$1510,MATCH($A605,'Match Log'!$A$4:$A$1510,0)),"")</f>
        <v/>
      </c>
      <c r="C605" t="str">
        <f>IFERROR(INDEX('Match Log'!$C$4:$C$1510,MATCH($A605,'Match Log'!$A$4:$A$1510,0)),"")</f>
        <v/>
      </c>
      <c r="D605" t="str">
        <f t="array" ref="D605">IFERROR(_xlfn.TEXTJOIN(" + ",TRUE(),IF(('Match Log'!$A$4:$A$1510=$A605)*('Match Log'!$E$4:$E$1510="Win"),'Match Log'!$D$4:$D$1510,"")),IFERROR(LOOKUP(2,1/(('Match Log'!$A$4:$A$1510=$A605)*('Match Log'!$E$4:$E$1510="Win")),'Match Log'!$D$4:$D$1510),""))</f>
        <v/>
      </c>
      <c r="E605" t="str">
        <f>IFERROR(INDEX('Match Log'!$F$4:$F$1510,MATCH($A605,'Match Log'!$A$4:$A$1510,0)),"")</f>
        <v/>
      </c>
      <c r="F605">
        <f>IFERROR(SUMIFS('Match Log'!$I$4:$I$1510,'Match Log'!$A$4:$A$1510,$A605,'Match Log'!$E$4:$E$1510,"Win"),"")</f>
        <v>0</v>
      </c>
      <c r="G605" t="str">
        <f t="shared" si="35"/>
        <v/>
      </c>
      <c r="H605" t="str">
        <f t="array" ref="H605">IFERROR(IF(COUNTIFS('Match Log'!$A$4:$A$1510,$A605,'Match Log'!$E$4:$E$1510,"Win")&gt;1,_xlfn.TEXTJOIN(" + ",TRUE(),IF(('Match Log'!$A$4:$A$1510=$A605)*('Match Log'!$E$4:$E$1510="Loss"),'Match Log'!$D$4:$D$1510,"")),IF($E605=2,LOOKUP(2,1/(('Match Log'!$A$4:$A$1510=$A605)*('Match Log'!$E$4:$E$1510="Loss")),'Match Log'!$D$4:$D$1510),"the field")),"")</f>
        <v>the field</v>
      </c>
      <c r="I605" t="str">
        <f t="shared" si="36"/>
        <v/>
      </c>
      <c r="J605">
        <v>581</v>
      </c>
      <c r="K605" t="e">
        <f>IF($J605&gt;MAX('Match Log'!$A$4:$A$1510),NA(),IFERROR(LOOKUP(2,1/(('Match Log'!$D$4:$D$1510=$K$24)*('Match Log'!$A$4:$A$1510&lt;=$J605)),'Match Log'!$N$4:$N$1510),NA()))</f>
        <v>#N/A</v>
      </c>
      <c r="L605" t="e">
        <f>IF($J605&gt;MAX('Match Log'!$A$4:$A$1510),NA(),IFERROR(LOOKUP(2,1/(('Match Log'!$D$4:$D$1510=$L$24)*('Match Log'!$A$4:$A$1510&lt;=$J605)),'Match Log'!$N$4:$N$1510),NA()))</f>
        <v>#N/A</v>
      </c>
      <c r="M605" t="e">
        <f>IF($J605&gt;MAX('Match Log'!$A$4:$A$1510),NA(),IFERROR(LOOKUP(2,1/(('Match Log'!$D$4:$D$1510=$M$24)*('Match Log'!$A$4:$A$1510&lt;=$J605)),'Match Log'!$N$4:$N$1510),NA()))</f>
        <v>#N/A</v>
      </c>
      <c r="N605" t="e">
        <f>IF($J605&gt;MAX('Match Log'!$A$4:$A$1510),NA(),IFERROR(LOOKUP(2,1/(('Match Log'!$D$4:$D$1510=$N$24)*('Match Log'!$A$4:$A$1510&lt;=$J605)),'Match Log'!$N$4:$N$1510),NA()))</f>
        <v>#N/A</v>
      </c>
      <c r="O605" t="e">
        <f>IF($J605&gt;MAX('Match Log'!$A$4:$A$1510),NA(),IFERROR(LOOKUP(2,1/(('Match Log'!$D$4:$D$1510=$O$24)*('Match Log'!$A$4:$A$1510&lt;=$J605)),'Match Log'!$N$4:$N$1510),NA()))</f>
        <v>#N/A</v>
      </c>
      <c r="P605" t="e">
        <f>IF($J605&gt;MAX('Match Log'!$A$4:$A$1510),NA(),IFERROR(LOOKUP(2,1/(('Match Log'!$D$4:$D$1510=$P$24)*('Match Log'!$A$4:$A$1510&lt;=$J605)),'Match Log'!$N$4:$N$1510),NA()))</f>
        <v>#N/A</v>
      </c>
      <c r="Q605" t="e">
        <f>IF($J605&gt;MAX('Match Log'!$A$4:$A$1510),NA(),IFERROR(LOOKUP(2,1/(('Match Log'!$D$4:$D$1510=$Q$24)*('Match Log'!$A$4:$A$1510&lt;=$J605)),'Match Log'!$N$4:$N$1510),NA()))</f>
        <v>#N/A</v>
      </c>
      <c r="R605" t="e">
        <f>IF($J605&gt;MAX('Match Log'!$A$4:$A$1510),NA(),IFERROR(LOOKUP(2,1/(('Match Log'!$D$4:$D$1510=$R$24)*('Match Log'!$A$4:$A$1510&lt;=$J605)),'Match Log'!$N$4:$N$1510),NA()))</f>
        <v>#N/A</v>
      </c>
      <c r="S605" t="e">
        <f>IF($J605&gt;MAX('Match Log'!$A$4:$A$1510),NA(),IFERROR(LOOKUP(2,1/(('Match Log'!$D$4:$D$1510=$S$24)*('Match Log'!$A$4:$A$1510&lt;=$J605)),'Match Log'!$N$4:$N$1510),NA()))</f>
        <v>#N/A</v>
      </c>
      <c r="T605" t="e">
        <f>IF($J605&gt;MAX('Match Log'!$A$4:$A$1510),NA(),IFERROR(LOOKUP(2,1/(('Match Log'!$D$4:$D$1510=$T$24)*('Match Log'!$A$4:$A$1510&lt;=$J605)),'Match Log'!$N$4:$N$1510),NA()))</f>
        <v>#N/A</v>
      </c>
      <c r="U605" t="e">
        <f>IF($J605&gt;MAX('Match Log'!$A$4:$A$1510),NA(),IFERROR(LOOKUP(2,1/(('Match Log'!$D$4:$D$1510=$U$24)*('Match Log'!$A$4:$A$1510&lt;=$J605)),'Match Log'!$N$4:$N$1510),NA()))</f>
        <v>#N/A</v>
      </c>
      <c r="V605" t="e">
        <f>IF($J605&gt;MAX('Match Log'!$A$4:$A$1510),NA(),IFERROR(LOOKUP(2,1/(('Match Log'!$D$4:$D$1510=$V$24)*('Match Log'!$A$4:$A$1510&lt;=$J605)),'Match Log'!$N$4:$N$1510),NA()))</f>
        <v>#N/A</v>
      </c>
      <c r="W605" t="e">
        <f>IF($J605&gt;MAX('Match Log'!$A$4:$A$1510),NA(),IFERROR(LOOKUP(2,1/(('Match Log'!$D$4:$D$1510=$W$24)*('Match Log'!$A$4:$A$1510&lt;=$J605)),'Match Log'!$N$4:$N$1510),NA()))</f>
        <v>#N/A</v>
      </c>
      <c r="X605" t="e">
        <f>IF($J605&gt;MAX('Match Log'!$A$4:$A$1510),NA(),IFERROR(LOOKUP(2,1/(('Match Log'!$D$4:$D$1510=$X$24)*('Match Log'!$A$4:$A$1510&lt;=$J605)),'Match Log'!$N$4:$N$1510),NA()))</f>
        <v>#N/A</v>
      </c>
      <c r="Y605" t="str">
        <f t="shared" ca="1" si="37"/>
        <v/>
      </c>
    </row>
    <row r="606" spans="1:25" x14ac:dyDescent="0.2">
      <c r="A606">
        <v>582</v>
      </c>
      <c r="B606" t="str">
        <f>IFERROR(INDEX('Match Log'!$B$4:$B$1510,MATCH($A606,'Match Log'!$A$4:$A$1510,0)),"")</f>
        <v/>
      </c>
      <c r="C606" t="str">
        <f>IFERROR(INDEX('Match Log'!$C$4:$C$1510,MATCH($A606,'Match Log'!$A$4:$A$1510,0)),"")</f>
        <v/>
      </c>
      <c r="D606" t="str">
        <f t="array" ref="D606">IFERROR(_xlfn.TEXTJOIN(" + ",TRUE(),IF(('Match Log'!$A$4:$A$1510=$A606)*('Match Log'!$E$4:$E$1510="Win"),'Match Log'!$D$4:$D$1510,"")),IFERROR(LOOKUP(2,1/(('Match Log'!$A$4:$A$1510=$A606)*('Match Log'!$E$4:$E$1510="Win")),'Match Log'!$D$4:$D$1510),""))</f>
        <v/>
      </c>
      <c r="E606" t="str">
        <f>IFERROR(INDEX('Match Log'!$F$4:$F$1510,MATCH($A606,'Match Log'!$A$4:$A$1510,0)),"")</f>
        <v/>
      </c>
      <c r="F606">
        <f>IFERROR(SUMIFS('Match Log'!$I$4:$I$1510,'Match Log'!$A$4:$A$1510,$A606,'Match Log'!$E$4:$E$1510,"Win"),"")</f>
        <v>0</v>
      </c>
      <c r="G606" t="str">
        <f t="shared" si="35"/>
        <v/>
      </c>
      <c r="H606" t="str">
        <f t="array" ref="H606">IFERROR(IF(COUNTIFS('Match Log'!$A$4:$A$1510,$A606,'Match Log'!$E$4:$E$1510,"Win")&gt;1,_xlfn.TEXTJOIN(" + ",TRUE(),IF(('Match Log'!$A$4:$A$1510=$A606)*('Match Log'!$E$4:$E$1510="Loss"),'Match Log'!$D$4:$D$1510,"")),IF($E606=2,LOOKUP(2,1/(('Match Log'!$A$4:$A$1510=$A606)*('Match Log'!$E$4:$E$1510="Loss")),'Match Log'!$D$4:$D$1510),"the field")),"")</f>
        <v>the field</v>
      </c>
      <c r="I606" t="str">
        <f t="shared" si="36"/>
        <v/>
      </c>
      <c r="J606">
        <v>582</v>
      </c>
      <c r="K606" t="e">
        <f>IF($J606&gt;MAX('Match Log'!$A$4:$A$1510),NA(),IFERROR(LOOKUP(2,1/(('Match Log'!$D$4:$D$1510=$K$24)*('Match Log'!$A$4:$A$1510&lt;=$J606)),'Match Log'!$N$4:$N$1510),NA()))</f>
        <v>#N/A</v>
      </c>
      <c r="L606" t="e">
        <f>IF($J606&gt;MAX('Match Log'!$A$4:$A$1510),NA(),IFERROR(LOOKUP(2,1/(('Match Log'!$D$4:$D$1510=$L$24)*('Match Log'!$A$4:$A$1510&lt;=$J606)),'Match Log'!$N$4:$N$1510),NA()))</f>
        <v>#N/A</v>
      </c>
      <c r="M606" t="e">
        <f>IF($J606&gt;MAX('Match Log'!$A$4:$A$1510),NA(),IFERROR(LOOKUP(2,1/(('Match Log'!$D$4:$D$1510=$M$24)*('Match Log'!$A$4:$A$1510&lt;=$J606)),'Match Log'!$N$4:$N$1510),NA()))</f>
        <v>#N/A</v>
      </c>
      <c r="N606" t="e">
        <f>IF($J606&gt;MAX('Match Log'!$A$4:$A$1510),NA(),IFERROR(LOOKUP(2,1/(('Match Log'!$D$4:$D$1510=$N$24)*('Match Log'!$A$4:$A$1510&lt;=$J606)),'Match Log'!$N$4:$N$1510),NA()))</f>
        <v>#N/A</v>
      </c>
      <c r="O606" t="e">
        <f>IF($J606&gt;MAX('Match Log'!$A$4:$A$1510),NA(),IFERROR(LOOKUP(2,1/(('Match Log'!$D$4:$D$1510=$O$24)*('Match Log'!$A$4:$A$1510&lt;=$J606)),'Match Log'!$N$4:$N$1510),NA()))</f>
        <v>#N/A</v>
      </c>
      <c r="P606" t="e">
        <f>IF($J606&gt;MAX('Match Log'!$A$4:$A$1510),NA(),IFERROR(LOOKUP(2,1/(('Match Log'!$D$4:$D$1510=$P$24)*('Match Log'!$A$4:$A$1510&lt;=$J606)),'Match Log'!$N$4:$N$1510),NA()))</f>
        <v>#N/A</v>
      </c>
      <c r="Q606" t="e">
        <f>IF($J606&gt;MAX('Match Log'!$A$4:$A$1510),NA(),IFERROR(LOOKUP(2,1/(('Match Log'!$D$4:$D$1510=$Q$24)*('Match Log'!$A$4:$A$1510&lt;=$J606)),'Match Log'!$N$4:$N$1510),NA()))</f>
        <v>#N/A</v>
      </c>
      <c r="R606" t="e">
        <f>IF($J606&gt;MAX('Match Log'!$A$4:$A$1510),NA(),IFERROR(LOOKUP(2,1/(('Match Log'!$D$4:$D$1510=$R$24)*('Match Log'!$A$4:$A$1510&lt;=$J606)),'Match Log'!$N$4:$N$1510),NA()))</f>
        <v>#N/A</v>
      </c>
      <c r="S606" t="e">
        <f>IF($J606&gt;MAX('Match Log'!$A$4:$A$1510),NA(),IFERROR(LOOKUP(2,1/(('Match Log'!$D$4:$D$1510=$S$24)*('Match Log'!$A$4:$A$1510&lt;=$J606)),'Match Log'!$N$4:$N$1510),NA()))</f>
        <v>#N/A</v>
      </c>
      <c r="T606" t="e">
        <f>IF($J606&gt;MAX('Match Log'!$A$4:$A$1510),NA(),IFERROR(LOOKUP(2,1/(('Match Log'!$D$4:$D$1510=$T$24)*('Match Log'!$A$4:$A$1510&lt;=$J606)),'Match Log'!$N$4:$N$1510),NA()))</f>
        <v>#N/A</v>
      </c>
      <c r="U606" t="e">
        <f>IF($J606&gt;MAX('Match Log'!$A$4:$A$1510),NA(),IFERROR(LOOKUP(2,1/(('Match Log'!$D$4:$D$1510=$U$24)*('Match Log'!$A$4:$A$1510&lt;=$J606)),'Match Log'!$N$4:$N$1510),NA()))</f>
        <v>#N/A</v>
      </c>
      <c r="V606" t="e">
        <f>IF($J606&gt;MAX('Match Log'!$A$4:$A$1510),NA(),IFERROR(LOOKUP(2,1/(('Match Log'!$D$4:$D$1510=$V$24)*('Match Log'!$A$4:$A$1510&lt;=$J606)),'Match Log'!$N$4:$N$1510),NA()))</f>
        <v>#N/A</v>
      </c>
      <c r="W606" t="e">
        <f>IF($J606&gt;MAX('Match Log'!$A$4:$A$1510),NA(),IFERROR(LOOKUP(2,1/(('Match Log'!$D$4:$D$1510=$W$24)*('Match Log'!$A$4:$A$1510&lt;=$J606)),'Match Log'!$N$4:$N$1510),NA()))</f>
        <v>#N/A</v>
      </c>
      <c r="X606" t="e">
        <f>IF($J606&gt;MAX('Match Log'!$A$4:$A$1510),NA(),IFERROR(LOOKUP(2,1/(('Match Log'!$D$4:$D$1510=$X$24)*('Match Log'!$A$4:$A$1510&lt;=$J606)),'Match Log'!$N$4:$N$1510),NA()))</f>
        <v>#N/A</v>
      </c>
      <c r="Y606" t="str">
        <f t="shared" ca="1" si="37"/>
        <v/>
      </c>
    </row>
    <row r="607" spans="1:25" x14ac:dyDescent="0.2">
      <c r="A607">
        <v>583</v>
      </c>
      <c r="B607" t="str">
        <f>IFERROR(INDEX('Match Log'!$B$4:$B$1510,MATCH($A607,'Match Log'!$A$4:$A$1510,0)),"")</f>
        <v/>
      </c>
      <c r="C607" t="str">
        <f>IFERROR(INDEX('Match Log'!$C$4:$C$1510,MATCH($A607,'Match Log'!$A$4:$A$1510,0)),"")</f>
        <v/>
      </c>
      <c r="D607" t="str">
        <f t="array" ref="D607">IFERROR(_xlfn.TEXTJOIN(" + ",TRUE(),IF(('Match Log'!$A$4:$A$1510=$A607)*('Match Log'!$E$4:$E$1510="Win"),'Match Log'!$D$4:$D$1510,"")),IFERROR(LOOKUP(2,1/(('Match Log'!$A$4:$A$1510=$A607)*('Match Log'!$E$4:$E$1510="Win")),'Match Log'!$D$4:$D$1510),""))</f>
        <v/>
      </c>
      <c r="E607" t="str">
        <f>IFERROR(INDEX('Match Log'!$F$4:$F$1510,MATCH($A607,'Match Log'!$A$4:$A$1510,0)),"")</f>
        <v/>
      </c>
      <c r="F607">
        <f>IFERROR(SUMIFS('Match Log'!$I$4:$I$1510,'Match Log'!$A$4:$A$1510,$A607,'Match Log'!$E$4:$E$1510,"Win"),"")</f>
        <v>0</v>
      </c>
      <c r="G607" t="str">
        <f t="shared" si="35"/>
        <v/>
      </c>
      <c r="H607" t="str">
        <f t="array" ref="H607">IFERROR(IF(COUNTIFS('Match Log'!$A$4:$A$1510,$A607,'Match Log'!$E$4:$E$1510,"Win")&gt;1,_xlfn.TEXTJOIN(" + ",TRUE(),IF(('Match Log'!$A$4:$A$1510=$A607)*('Match Log'!$E$4:$E$1510="Loss"),'Match Log'!$D$4:$D$1510,"")),IF($E607=2,LOOKUP(2,1/(('Match Log'!$A$4:$A$1510=$A607)*('Match Log'!$E$4:$E$1510="Loss")),'Match Log'!$D$4:$D$1510),"the field")),"")</f>
        <v>the field</v>
      </c>
      <c r="I607" t="str">
        <f t="shared" si="36"/>
        <v/>
      </c>
      <c r="J607">
        <v>583</v>
      </c>
      <c r="K607" t="e">
        <f>IF($J607&gt;MAX('Match Log'!$A$4:$A$1510),NA(),IFERROR(LOOKUP(2,1/(('Match Log'!$D$4:$D$1510=$K$24)*('Match Log'!$A$4:$A$1510&lt;=$J607)),'Match Log'!$N$4:$N$1510),NA()))</f>
        <v>#N/A</v>
      </c>
      <c r="L607" t="e">
        <f>IF($J607&gt;MAX('Match Log'!$A$4:$A$1510),NA(),IFERROR(LOOKUP(2,1/(('Match Log'!$D$4:$D$1510=$L$24)*('Match Log'!$A$4:$A$1510&lt;=$J607)),'Match Log'!$N$4:$N$1510),NA()))</f>
        <v>#N/A</v>
      </c>
      <c r="M607" t="e">
        <f>IF($J607&gt;MAX('Match Log'!$A$4:$A$1510),NA(),IFERROR(LOOKUP(2,1/(('Match Log'!$D$4:$D$1510=$M$24)*('Match Log'!$A$4:$A$1510&lt;=$J607)),'Match Log'!$N$4:$N$1510),NA()))</f>
        <v>#N/A</v>
      </c>
      <c r="N607" t="e">
        <f>IF($J607&gt;MAX('Match Log'!$A$4:$A$1510),NA(),IFERROR(LOOKUP(2,1/(('Match Log'!$D$4:$D$1510=$N$24)*('Match Log'!$A$4:$A$1510&lt;=$J607)),'Match Log'!$N$4:$N$1510),NA()))</f>
        <v>#N/A</v>
      </c>
      <c r="O607" t="e">
        <f>IF($J607&gt;MAX('Match Log'!$A$4:$A$1510),NA(),IFERROR(LOOKUP(2,1/(('Match Log'!$D$4:$D$1510=$O$24)*('Match Log'!$A$4:$A$1510&lt;=$J607)),'Match Log'!$N$4:$N$1510),NA()))</f>
        <v>#N/A</v>
      </c>
      <c r="P607" t="e">
        <f>IF($J607&gt;MAX('Match Log'!$A$4:$A$1510),NA(),IFERROR(LOOKUP(2,1/(('Match Log'!$D$4:$D$1510=$P$24)*('Match Log'!$A$4:$A$1510&lt;=$J607)),'Match Log'!$N$4:$N$1510),NA()))</f>
        <v>#N/A</v>
      </c>
      <c r="Q607" t="e">
        <f>IF($J607&gt;MAX('Match Log'!$A$4:$A$1510),NA(),IFERROR(LOOKUP(2,1/(('Match Log'!$D$4:$D$1510=$Q$24)*('Match Log'!$A$4:$A$1510&lt;=$J607)),'Match Log'!$N$4:$N$1510),NA()))</f>
        <v>#N/A</v>
      </c>
      <c r="R607" t="e">
        <f>IF($J607&gt;MAX('Match Log'!$A$4:$A$1510),NA(),IFERROR(LOOKUP(2,1/(('Match Log'!$D$4:$D$1510=$R$24)*('Match Log'!$A$4:$A$1510&lt;=$J607)),'Match Log'!$N$4:$N$1510),NA()))</f>
        <v>#N/A</v>
      </c>
      <c r="S607" t="e">
        <f>IF($J607&gt;MAX('Match Log'!$A$4:$A$1510),NA(),IFERROR(LOOKUP(2,1/(('Match Log'!$D$4:$D$1510=$S$24)*('Match Log'!$A$4:$A$1510&lt;=$J607)),'Match Log'!$N$4:$N$1510),NA()))</f>
        <v>#N/A</v>
      </c>
      <c r="T607" t="e">
        <f>IF($J607&gt;MAX('Match Log'!$A$4:$A$1510),NA(),IFERROR(LOOKUP(2,1/(('Match Log'!$D$4:$D$1510=$T$24)*('Match Log'!$A$4:$A$1510&lt;=$J607)),'Match Log'!$N$4:$N$1510),NA()))</f>
        <v>#N/A</v>
      </c>
      <c r="U607" t="e">
        <f>IF($J607&gt;MAX('Match Log'!$A$4:$A$1510),NA(),IFERROR(LOOKUP(2,1/(('Match Log'!$D$4:$D$1510=$U$24)*('Match Log'!$A$4:$A$1510&lt;=$J607)),'Match Log'!$N$4:$N$1510),NA()))</f>
        <v>#N/A</v>
      </c>
      <c r="V607" t="e">
        <f>IF($J607&gt;MAX('Match Log'!$A$4:$A$1510),NA(),IFERROR(LOOKUP(2,1/(('Match Log'!$D$4:$D$1510=$V$24)*('Match Log'!$A$4:$A$1510&lt;=$J607)),'Match Log'!$N$4:$N$1510),NA()))</f>
        <v>#N/A</v>
      </c>
      <c r="W607" t="e">
        <f>IF($J607&gt;MAX('Match Log'!$A$4:$A$1510),NA(),IFERROR(LOOKUP(2,1/(('Match Log'!$D$4:$D$1510=$W$24)*('Match Log'!$A$4:$A$1510&lt;=$J607)),'Match Log'!$N$4:$N$1510),NA()))</f>
        <v>#N/A</v>
      </c>
      <c r="X607" t="e">
        <f>IF($J607&gt;MAX('Match Log'!$A$4:$A$1510),NA(),IFERROR(LOOKUP(2,1/(('Match Log'!$D$4:$D$1510=$X$24)*('Match Log'!$A$4:$A$1510&lt;=$J607)),'Match Log'!$N$4:$N$1510),NA()))</f>
        <v>#N/A</v>
      </c>
      <c r="Y607" t="str">
        <f t="shared" ca="1" si="37"/>
        <v/>
      </c>
    </row>
    <row r="608" spans="1:25" x14ac:dyDescent="0.2">
      <c r="A608">
        <v>584</v>
      </c>
      <c r="B608" t="str">
        <f>IFERROR(INDEX('Match Log'!$B$4:$B$1510,MATCH($A608,'Match Log'!$A$4:$A$1510,0)),"")</f>
        <v/>
      </c>
      <c r="C608" t="str">
        <f>IFERROR(INDEX('Match Log'!$C$4:$C$1510,MATCH($A608,'Match Log'!$A$4:$A$1510,0)),"")</f>
        <v/>
      </c>
      <c r="D608" t="str">
        <f t="array" ref="D608">IFERROR(_xlfn.TEXTJOIN(" + ",TRUE(),IF(('Match Log'!$A$4:$A$1510=$A608)*('Match Log'!$E$4:$E$1510="Win"),'Match Log'!$D$4:$D$1510,"")),IFERROR(LOOKUP(2,1/(('Match Log'!$A$4:$A$1510=$A608)*('Match Log'!$E$4:$E$1510="Win")),'Match Log'!$D$4:$D$1510),""))</f>
        <v/>
      </c>
      <c r="E608" t="str">
        <f>IFERROR(INDEX('Match Log'!$F$4:$F$1510,MATCH($A608,'Match Log'!$A$4:$A$1510,0)),"")</f>
        <v/>
      </c>
      <c r="F608">
        <f>IFERROR(SUMIFS('Match Log'!$I$4:$I$1510,'Match Log'!$A$4:$A$1510,$A608,'Match Log'!$E$4:$E$1510,"Win"),"")</f>
        <v>0</v>
      </c>
      <c r="G608" t="str">
        <f t="shared" si="35"/>
        <v/>
      </c>
      <c r="H608" t="str">
        <f t="array" ref="H608">IFERROR(IF(COUNTIFS('Match Log'!$A$4:$A$1510,$A608,'Match Log'!$E$4:$E$1510,"Win")&gt;1,_xlfn.TEXTJOIN(" + ",TRUE(),IF(('Match Log'!$A$4:$A$1510=$A608)*('Match Log'!$E$4:$E$1510="Loss"),'Match Log'!$D$4:$D$1510,"")),IF($E608=2,LOOKUP(2,1/(('Match Log'!$A$4:$A$1510=$A608)*('Match Log'!$E$4:$E$1510="Loss")),'Match Log'!$D$4:$D$1510),"the field")),"")</f>
        <v>the field</v>
      </c>
      <c r="I608" t="str">
        <f t="shared" si="36"/>
        <v/>
      </c>
      <c r="J608">
        <v>584</v>
      </c>
      <c r="K608" t="e">
        <f>IF($J608&gt;MAX('Match Log'!$A$4:$A$1510),NA(),IFERROR(LOOKUP(2,1/(('Match Log'!$D$4:$D$1510=$K$24)*('Match Log'!$A$4:$A$1510&lt;=$J608)),'Match Log'!$N$4:$N$1510),NA()))</f>
        <v>#N/A</v>
      </c>
      <c r="L608" t="e">
        <f>IF($J608&gt;MAX('Match Log'!$A$4:$A$1510),NA(),IFERROR(LOOKUP(2,1/(('Match Log'!$D$4:$D$1510=$L$24)*('Match Log'!$A$4:$A$1510&lt;=$J608)),'Match Log'!$N$4:$N$1510),NA()))</f>
        <v>#N/A</v>
      </c>
      <c r="M608" t="e">
        <f>IF($J608&gt;MAX('Match Log'!$A$4:$A$1510),NA(),IFERROR(LOOKUP(2,1/(('Match Log'!$D$4:$D$1510=$M$24)*('Match Log'!$A$4:$A$1510&lt;=$J608)),'Match Log'!$N$4:$N$1510),NA()))</f>
        <v>#N/A</v>
      </c>
      <c r="N608" t="e">
        <f>IF($J608&gt;MAX('Match Log'!$A$4:$A$1510),NA(),IFERROR(LOOKUP(2,1/(('Match Log'!$D$4:$D$1510=$N$24)*('Match Log'!$A$4:$A$1510&lt;=$J608)),'Match Log'!$N$4:$N$1510),NA()))</f>
        <v>#N/A</v>
      </c>
      <c r="O608" t="e">
        <f>IF($J608&gt;MAX('Match Log'!$A$4:$A$1510),NA(),IFERROR(LOOKUP(2,1/(('Match Log'!$D$4:$D$1510=$O$24)*('Match Log'!$A$4:$A$1510&lt;=$J608)),'Match Log'!$N$4:$N$1510),NA()))</f>
        <v>#N/A</v>
      </c>
      <c r="P608" t="e">
        <f>IF($J608&gt;MAX('Match Log'!$A$4:$A$1510),NA(),IFERROR(LOOKUP(2,1/(('Match Log'!$D$4:$D$1510=$P$24)*('Match Log'!$A$4:$A$1510&lt;=$J608)),'Match Log'!$N$4:$N$1510),NA()))</f>
        <v>#N/A</v>
      </c>
      <c r="Q608" t="e">
        <f>IF($J608&gt;MAX('Match Log'!$A$4:$A$1510),NA(),IFERROR(LOOKUP(2,1/(('Match Log'!$D$4:$D$1510=$Q$24)*('Match Log'!$A$4:$A$1510&lt;=$J608)),'Match Log'!$N$4:$N$1510),NA()))</f>
        <v>#N/A</v>
      </c>
      <c r="R608" t="e">
        <f>IF($J608&gt;MAX('Match Log'!$A$4:$A$1510),NA(),IFERROR(LOOKUP(2,1/(('Match Log'!$D$4:$D$1510=$R$24)*('Match Log'!$A$4:$A$1510&lt;=$J608)),'Match Log'!$N$4:$N$1510),NA()))</f>
        <v>#N/A</v>
      </c>
      <c r="S608" t="e">
        <f>IF($J608&gt;MAX('Match Log'!$A$4:$A$1510),NA(),IFERROR(LOOKUP(2,1/(('Match Log'!$D$4:$D$1510=$S$24)*('Match Log'!$A$4:$A$1510&lt;=$J608)),'Match Log'!$N$4:$N$1510),NA()))</f>
        <v>#N/A</v>
      </c>
      <c r="T608" t="e">
        <f>IF($J608&gt;MAX('Match Log'!$A$4:$A$1510),NA(),IFERROR(LOOKUP(2,1/(('Match Log'!$D$4:$D$1510=$T$24)*('Match Log'!$A$4:$A$1510&lt;=$J608)),'Match Log'!$N$4:$N$1510),NA()))</f>
        <v>#N/A</v>
      </c>
      <c r="U608" t="e">
        <f>IF($J608&gt;MAX('Match Log'!$A$4:$A$1510),NA(),IFERROR(LOOKUP(2,1/(('Match Log'!$D$4:$D$1510=$U$24)*('Match Log'!$A$4:$A$1510&lt;=$J608)),'Match Log'!$N$4:$N$1510),NA()))</f>
        <v>#N/A</v>
      </c>
      <c r="V608" t="e">
        <f>IF($J608&gt;MAX('Match Log'!$A$4:$A$1510),NA(),IFERROR(LOOKUP(2,1/(('Match Log'!$D$4:$D$1510=$V$24)*('Match Log'!$A$4:$A$1510&lt;=$J608)),'Match Log'!$N$4:$N$1510),NA()))</f>
        <v>#N/A</v>
      </c>
      <c r="W608" t="e">
        <f>IF($J608&gt;MAX('Match Log'!$A$4:$A$1510),NA(),IFERROR(LOOKUP(2,1/(('Match Log'!$D$4:$D$1510=$W$24)*('Match Log'!$A$4:$A$1510&lt;=$J608)),'Match Log'!$N$4:$N$1510),NA()))</f>
        <v>#N/A</v>
      </c>
      <c r="X608" t="e">
        <f>IF($J608&gt;MAX('Match Log'!$A$4:$A$1510),NA(),IFERROR(LOOKUP(2,1/(('Match Log'!$D$4:$D$1510=$X$24)*('Match Log'!$A$4:$A$1510&lt;=$J608)),'Match Log'!$N$4:$N$1510),NA()))</f>
        <v>#N/A</v>
      </c>
      <c r="Y608" t="str">
        <f t="shared" ca="1" si="37"/>
        <v/>
      </c>
    </row>
    <row r="609" spans="1:25" x14ac:dyDescent="0.2">
      <c r="A609">
        <v>585</v>
      </c>
      <c r="B609" t="str">
        <f>IFERROR(INDEX('Match Log'!$B$4:$B$1510,MATCH($A609,'Match Log'!$A$4:$A$1510,0)),"")</f>
        <v/>
      </c>
      <c r="C609" t="str">
        <f>IFERROR(INDEX('Match Log'!$C$4:$C$1510,MATCH($A609,'Match Log'!$A$4:$A$1510,0)),"")</f>
        <v/>
      </c>
      <c r="D609" t="str">
        <f t="array" ref="D609">IFERROR(_xlfn.TEXTJOIN(" + ",TRUE(),IF(('Match Log'!$A$4:$A$1510=$A609)*('Match Log'!$E$4:$E$1510="Win"),'Match Log'!$D$4:$D$1510,"")),IFERROR(LOOKUP(2,1/(('Match Log'!$A$4:$A$1510=$A609)*('Match Log'!$E$4:$E$1510="Win")),'Match Log'!$D$4:$D$1510),""))</f>
        <v/>
      </c>
      <c r="E609" t="str">
        <f>IFERROR(INDEX('Match Log'!$F$4:$F$1510,MATCH($A609,'Match Log'!$A$4:$A$1510,0)),"")</f>
        <v/>
      </c>
      <c r="F609">
        <f>IFERROR(SUMIFS('Match Log'!$I$4:$I$1510,'Match Log'!$A$4:$A$1510,$A609,'Match Log'!$E$4:$E$1510,"Win"),"")</f>
        <v>0</v>
      </c>
      <c r="G609" t="str">
        <f t="shared" si="35"/>
        <v/>
      </c>
      <c r="H609" t="str">
        <f t="array" ref="H609">IFERROR(IF(COUNTIFS('Match Log'!$A$4:$A$1510,$A609,'Match Log'!$E$4:$E$1510,"Win")&gt;1,_xlfn.TEXTJOIN(" + ",TRUE(),IF(('Match Log'!$A$4:$A$1510=$A609)*('Match Log'!$E$4:$E$1510="Loss"),'Match Log'!$D$4:$D$1510,"")),IF($E609=2,LOOKUP(2,1/(('Match Log'!$A$4:$A$1510=$A609)*('Match Log'!$E$4:$E$1510="Loss")),'Match Log'!$D$4:$D$1510),"the field")),"")</f>
        <v>the field</v>
      </c>
      <c r="I609" t="str">
        <f t="shared" si="36"/>
        <v/>
      </c>
      <c r="J609">
        <v>585</v>
      </c>
      <c r="K609" t="e">
        <f>IF($J609&gt;MAX('Match Log'!$A$4:$A$1510),NA(),IFERROR(LOOKUP(2,1/(('Match Log'!$D$4:$D$1510=$K$24)*('Match Log'!$A$4:$A$1510&lt;=$J609)),'Match Log'!$N$4:$N$1510),NA()))</f>
        <v>#N/A</v>
      </c>
      <c r="L609" t="e">
        <f>IF($J609&gt;MAX('Match Log'!$A$4:$A$1510),NA(),IFERROR(LOOKUP(2,1/(('Match Log'!$D$4:$D$1510=$L$24)*('Match Log'!$A$4:$A$1510&lt;=$J609)),'Match Log'!$N$4:$N$1510),NA()))</f>
        <v>#N/A</v>
      </c>
      <c r="M609" t="e">
        <f>IF($J609&gt;MAX('Match Log'!$A$4:$A$1510),NA(),IFERROR(LOOKUP(2,1/(('Match Log'!$D$4:$D$1510=$M$24)*('Match Log'!$A$4:$A$1510&lt;=$J609)),'Match Log'!$N$4:$N$1510),NA()))</f>
        <v>#N/A</v>
      </c>
      <c r="N609" t="e">
        <f>IF($J609&gt;MAX('Match Log'!$A$4:$A$1510),NA(),IFERROR(LOOKUP(2,1/(('Match Log'!$D$4:$D$1510=$N$24)*('Match Log'!$A$4:$A$1510&lt;=$J609)),'Match Log'!$N$4:$N$1510),NA()))</f>
        <v>#N/A</v>
      </c>
      <c r="O609" t="e">
        <f>IF($J609&gt;MAX('Match Log'!$A$4:$A$1510),NA(),IFERROR(LOOKUP(2,1/(('Match Log'!$D$4:$D$1510=$O$24)*('Match Log'!$A$4:$A$1510&lt;=$J609)),'Match Log'!$N$4:$N$1510),NA()))</f>
        <v>#N/A</v>
      </c>
      <c r="P609" t="e">
        <f>IF($J609&gt;MAX('Match Log'!$A$4:$A$1510),NA(),IFERROR(LOOKUP(2,1/(('Match Log'!$D$4:$D$1510=$P$24)*('Match Log'!$A$4:$A$1510&lt;=$J609)),'Match Log'!$N$4:$N$1510),NA()))</f>
        <v>#N/A</v>
      </c>
      <c r="Q609" t="e">
        <f>IF($J609&gt;MAX('Match Log'!$A$4:$A$1510),NA(),IFERROR(LOOKUP(2,1/(('Match Log'!$D$4:$D$1510=$Q$24)*('Match Log'!$A$4:$A$1510&lt;=$J609)),'Match Log'!$N$4:$N$1510),NA()))</f>
        <v>#N/A</v>
      </c>
      <c r="R609" t="e">
        <f>IF($J609&gt;MAX('Match Log'!$A$4:$A$1510),NA(),IFERROR(LOOKUP(2,1/(('Match Log'!$D$4:$D$1510=$R$24)*('Match Log'!$A$4:$A$1510&lt;=$J609)),'Match Log'!$N$4:$N$1510),NA()))</f>
        <v>#N/A</v>
      </c>
      <c r="S609" t="e">
        <f>IF($J609&gt;MAX('Match Log'!$A$4:$A$1510),NA(),IFERROR(LOOKUP(2,1/(('Match Log'!$D$4:$D$1510=$S$24)*('Match Log'!$A$4:$A$1510&lt;=$J609)),'Match Log'!$N$4:$N$1510),NA()))</f>
        <v>#N/A</v>
      </c>
      <c r="T609" t="e">
        <f>IF($J609&gt;MAX('Match Log'!$A$4:$A$1510),NA(),IFERROR(LOOKUP(2,1/(('Match Log'!$D$4:$D$1510=$T$24)*('Match Log'!$A$4:$A$1510&lt;=$J609)),'Match Log'!$N$4:$N$1510),NA()))</f>
        <v>#N/A</v>
      </c>
      <c r="U609" t="e">
        <f>IF($J609&gt;MAX('Match Log'!$A$4:$A$1510),NA(),IFERROR(LOOKUP(2,1/(('Match Log'!$D$4:$D$1510=$U$24)*('Match Log'!$A$4:$A$1510&lt;=$J609)),'Match Log'!$N$4:$N$1510),NA()))</f>
        <v>#N/A</v>
      </c>
      <c r="V609" t="e">
        <f>IF($J609&gt;MAX('Match Log'!$A$4:$A$1510),NA(),IFERROR(LOOKUP(2,1/(('Match Log'!$D$4:$D$1510=$V$24)*('Match Log'!$A$4:$A$1510&lt;=$J609)),'Match Log'!$N$4:$N$1510),NA()))</f>
        <v>#N/A</v>
      </c>
      <c r="W609" t="e">
        <f>IF($J609&gt;MAX('Match Log'!$A$4:$A$1510),NA(),IFERROR(LOOKUP(2,1/(('Match Log'!$D$4:$D$1510=$W$24)*('Match Log'!$A$4:$A$1510&lt;=$J609)),'Match Log'!$N$4:$N$1510),NA()))</f>
        <v>#N/A</v>
      </c>
      <c r="X609" t="e">
        <f>IF($J609&gt;MAX('Match Log'!$A$4:$A$1510),NA(),IFERROR(LOOKUP(2,1/(('Match Log'!$D$4:$D$1510=$X$24)*('Match Log'!$A$4:$A$1510&lt;=$J609)),'Match Log'!$N$4:$N$1510),NA()))</f>
        <v>#N/A</v>
      </c>
      <c r="Y609" t="str">
        <f t="shared" ca="1" si="37"/>
        <v/>
      </c>
    </row>
    <row r="610" spans="1:25" x14ac:dyDescent="0.2">
      <c r="A610">
        <v>586</v>
      </c>
      <c r="B610" t="str">
        <f>IFERROR(INDEX('Match Log'!$B$4:$B$1510,MATCH($A610,'Match Log'!$A$4:$A$1510,0)),"")</f>
        <v/>
      </c>
      <c r="C610" t="str">
        <f>IFERROR(INDEX('Match Log'!$C$4:$C$1510,MATCH($A610,'Match Log'!$A$4:$A$1510,0)),"")</f>
        <v/>
      </c>
      <c r="D610" t="str">
        <f t="array" ref="D610">IFERROR(_xlfn.TEXTJOIN(" + ",TRUE(),IF(('Match Log'!$A$4:$A$1510=$A610)*('Match Log'!$E$4:$E$1510="Win"),'Match Log'!$D$4:$D$1510,"")),IFERROR(LOOKUP(2,1/(('Match Log'!$A$4:$A$1510=$A610)*('Match Log'!$E$4:$E$1510="Win")),'Match Log'!$D$4:$D$1510),""))</f>
        <v/>
      </c>
      <c r="E610" t="str">
        <f>IFERROR(INDEX('Match Log'!$F$4:$F$1510,MATCH($A610,'Match Log'!$A$4:$A$1510,0)),"")</f>
        <v/>
      </c>
      <c r="F610">
        <f>IFERROR(SUMIFS('Match Log'!$I$4:$I$1510,'Match Log'!$A$4:$A$1510,$A610,'Match Log'!$E$4:$E$1510,"Win"),"")</f>
        <v>0</v>
      </c>
      <c r="G610" t="str">
        <f t="shared" si="35"/>
        <v/>
      </c>
      <c r="H610" t="str">
        <f t="array" ref="H610">IFERROR(IF(COUNTIFS('Match Log'!$A$4:$A$1510,$A610,'Match Log'!$E$4:$E$1510,"Win")&gt;1,_xlfn.TEXTJOIN(" + ",TRUE(),IF(('Match Log'!$A$4:$A$1510=$A610)*('Match Log'!$E$4:$E$1510="Loss"),'Match Log'!$D$4:$D$1510,"")),IF($E610=2,LOOKUP(2,1/(('Match Log'!$A$4:$A$1510=$A610)*('Match Log'!$E$4:$E$1510="Loss")),'Match Log'!$D$4:$D$1510),"the field")),"")</f>
        <v>the field</v>
      </c>
      <c r="I610" t="str">
        <f t="shared" si="36"/>
        <v/>
      </c>
      <c r="J610">
        <v>586</v>
      </c>
      <c r="K610" t="e">
        <f>IF($J610&gt;MAX('Match Log'!$A$4:$A$1510),NA(),IFERROR(LOOKUP(2,1/(('Match Log'!$D$4:$D$1510=$K$24)*('Match Log'!$A$4:$A$1510&lt;=$J610)),'Match Log'!$N$4:$N$1510),NA()))</f>
        <v>#N/A</v>
      </c>
      <c r="L610" t="e">
        <f>IF($J610&gt;MAX('Match Log'!$A$4:$A$1510),NA(),IFERROR(LOOKUP(2,1/(('Match Log'!$D$4:$D$1510=$L$24)*('Match Log'!$A$4:$A$1510&lt;=$J610)),'Match Log'!$N$4:$N$1510),NA()))</f>
        <v>#N/A</v>
      </c>
      <c r="M610" t="e">
        <f>IF($J610&gt;MAX('Match Log'!$A$4:$A$1510),NA(),IFERROR(LOOKUP(2,1/(('Match Log'!$D$4:$D$1510=$M$24)*('Match Log'!$A$4:$A$1510&lt;=$J610)),'Match Log'!$N$4:$N$1510),NA()))</f>
        <v>#N/A</v>
      </c>
      <c r="N610" t="e">
        <f>IF($J610&gt;MAX('Match Log'!$A$4:$A$1510),NA(),IFERROR(LOOKUP(2,1/(('Match Log'!$D$4:$D$1510=$N$24)*('Match Log'!$A$4:$A$1510&lt;=$J610)),'Match Log'!$N$4:$N$1510),NA()))</f>
        <v>#N/A</v>
      </c>
      <c r="O610" t="e">
        <f>IF($J610&gt;MAX('Match Log'!$A$4:$A$1510),NA(),IFERROR(LOOKUP(2,1/(('Match Log'!$D$4:$D$1510=$O$24)*('Match Log'!$A$4:$A$1510&lt;=$J610)),'Match Log'!$N$4:$N$1510),NA()))</f>
        <v>#N/A</v>
      </c>
      <c r="P610" t="e">
        <f>IF($J610&gt;MAX('Match Log'!$A$4:$A$1510),NA(),IFERROR(LOOKUP(2,1/(('Match Log'!$D$4:$D$1510=$P$24)*('Match Log'!$A$4:$A$1510&lt;=$J610)),'Match Log'!$N$4:$N$1510),NA()))</f>
        <v>#N/A</v>
      </c>
      <c r="Q610" t="e">
        <f>IF($J610&gt;MAX('Match Log'!$A$4:$A$1510),NA(),IFERROR(LOOKUP(2,1/(('Match Log'!$D$4:$D$1510=$Q$24)*('Match Log'!$A$4:$A$1510&lt;=$J610)),'Match Log'!$N$4:$N$1510),NA()))</f>
        <v>#N/A</v>
      </c>
      <c r="R610" t="e">
        <f>IF($J610&gt;MAX('Match Log'!$A$4:$A$1510),NA(),IFERROR(LOOKUP(2,1/(('Match Log'!$D$4:$D$1510=$R$24)*('Match Log'!$A$4:$A$1510&lt;=$J610)),'Match Log'!$N$4:$N$1510),NA()))</f>
        <v>#N/A</v>
      </c>
      <c r="S610" t="e">
        <f>IF($J610&gt;MAX('Match Log'!$A$4:$A$1510),NA(),IFERROR(LOOKUP(2,1/(('Match Log'!$D$4:$D$1510=$S$24)*('Match Log'!$A$4:$A$1510&lt;=$J610)),'Match Log'!$N$4:$N$1510),NA()))</f>
        <v>#N/A</v>
      </c>
      <c r="T610" t="e">
        <f>IF($J610&gt;MAX('Match Log'!$A$4:$A$1510),NA(),IFERROR(LOOKUP(2,1/(('Match Log'!$D$4:$D$1510=$T$24)*('Match Log'!$A$4:$A$1510&lt;=$J610)),'Match Log'!$N$4:$N$1510),NA()))</f>
        <v>#N/A</v>
      </c>
      <c r="U610" t="e">
        <f>IF($J610&gt;MAX('Match Log'!$A$4:$A$1510),NA(),IFERROR(LOOKUP(2,1/(('Match Log'!$D$4:$D$1510=$U$24)*('Match Log'!$A$4:$A$1510&lt;=$J610)),'Match Log'!$N$4:$N$1510),NA()))</f>
        <v>#N/A</v>
      </c>
      <c r="V610" t="e">
        <f>IF($J610&gt;MAX('Match Log'!$A$4:$A$1510),NA(),IFERROR(LOOKUP(2,1/(('Match Log'!$D$4:$D$1510=$V$24)*('Match Log'!$A$4:$A$1510&lt;=$J610)),'Match Log'!$N$4:$N$1510),NA()))</f>
        <v>#N/A</v>
      </c>
      <c r="W610" t="e">
        <f>IF($J610&gt;MAX('Match Log'!$A$4:$A$1510),NA(),IFERROR(LOOKUP(2,1/(('Match Log'!$D$4:$D$1510=$W$24)*('Match Log'!$A$4:$A$1510&lt;=$J610)),'Match Log'!$N$4:$N$1510),NA()))</f>
        <v>#N/A</v>
      </c>
      <c r="X610" t="e">
        <f>IF($J610&gt;MAX('Match Log'!$A$4:$A$1510),NA(),IFERROR(LOOKUP(2,1/(('Match Log'!$D$4:$D$1510=$X$24)*('Match Log'!$A$4:$A$1510&lt;=$J610)),'Match Log'!$N$4:$N$1510),NA()))</f>
        <v>#N/A</v>
      </c>
      <c r="Y610" t="str">
        <f t="shared" ca="1" si="37"/>
        <v/>
      </c>
    </row>
    <row r="611" spans="1:25" x14ac:dyDescent="0.2">
      <c r="A611">
        <v>587</v>
      </c>
      <c r="B611" t="str">
        <f>IFERROR(INDEX('Match Log'!$B$4:$B$1510,MATCH($A611,'Match Log'!$A$4:$A$1510,0)),"")</f>
        <v/>
      </c>
      <c r="C611" t="str">
        <f>IFERROR(INDEX('Match Log'!$C$4:$C$1510,MATCH($A611,'Match Log'!$A$4:$A$1510,0)),"")</f>
        <v/>
      </c>
      <c r="D611" t="str">
        <f t="array" ref="D611">IFERROR(_xlfn.TEXTJOIN(" + ",TRUE(),IF(('Match Log'!$A$4:$A$1510=$A611)*('Match Log'!$E$4:$E$1510="Win"),'Match Log'!$D$4:$D$1510,"")),IFERROR(LOOKUP(2,1/(('Match Log'!$A$4:$A$1510=$A611)*('Match Log'!$E$4:$E$1510="Win")),'Match Log'!$D$4:$D$1510),""))</f>
        <v/>
      </c>
      <c r="E611" t="str">
        <f>IFERROR(INDEX('Match Log'!$F$4:$F$1510,MATCH($A611,'Match Log'!$A$4:$A$1510,0)),"")</f>
        <v/>
      </c>
      <c r="F611">
        <f>IFERROR(SUMIFS('Match Log'!$I$4:$I$1510,'Match Log'!$A$4:$A$1510,$A611,'Match Log'!$E$4:$E$1510,"Win"),"")</f>
        <v>0</v>
      </c>
      <c r="G611" t="str">
        <f t="shared" si="35"/>
        <v/>
      </c>
      <c r="H611" t="str">
        <f t="array" ref="H611">IFERROR(IF(COUNTIFS('Match Log'!$A$4:$A$1510,$A611,'Match Log'!$E$4:$E$1510,"Win")&gt;1,_xlfn.TEXTJOIN(" + ",TRUE(),IF(('Match Log'!$A$4:$A$1510=$A611)*('Match Log'!$E$4:$E$1510="Loss"),'Match Log'!$D$4:$D$1510,"")),IF($E611=2,LOOKUP(2,1/(('Match Log'!$A$4:$A$1510=$A611)*('Match Log'!$E$4:$E$1510="Loss")),'Match Log'!$D$4:$D$1510),"the field")),"")</f>
        <v>the field</v>
      </c>
      <c r="I611" t="str">
        <f t="shared" si="36"/>
        <v/>
      </c>
      <c r="J611">
        <v>587</v>
      </c>
      <c r="K611" t="e">
        <f>IF($J611&gt;MAX('Match Log'!$A$4:$A$1510),NA(),IFERROR(LOOKUP(2,1/(('Match Log'!$D$4:$D$1510=$K$24)*('Match Log'!$A$4:$A$1510&lt;=$J611)),'Match Log'!$N$4:$N$1510),NA()))</f>
        <v>#N/A</v>
      </c>
      <c r="L611" t="e">
        <f>IF($J611&gt;MAX('Match Log'!$A$4:$A$1510),NA(),IFERROR(LOOKUP(2,1/(('Match Log'!$D$4:$D$1510=$L$24)*('Match Log'!$A$4:$A$1510&lt;=$J611)),'Match Log'!$N$4:$N$1510),NA()))</f>
        <v>#N/A</v>
      </c>
      <c r="M611" t="e">
        <f>IF($J611&gt;MAX('Match Log'!$A$4:$A$1510),NA(),IFERROR(LOOKUP(2,1/(('Match Log'!$D$4:$D$1510=$M$24)*('Match Log'!$A$4:$A$1510&lt;=$J611)),'Match Log'!$N$4:$N$1510),NA()))</f>
        <v>#N/A</v>
      </c>
      <c r="N611" t="e">
        <f>IF($J611&gt;MAX('Match Log'!$A$4:$A$1510),NA(),IFERROR(LOOKUP(2,1/(('Match Log'!$D$4:$D$1510=$N$24)*('Match Log'!$A$4:$A$1510&lt;=$J611)),'Match Log'!$N$4:$N$1510),NA()))</f>
        <v>#N/A</v>
      </c>
      <c r="O611" t="e">
        <f>IF($J611&gt;MAX('Match Log'!$A$4:$A$1510),NA(),IFERROR(LOOKUP(2,1/(('Match Log'!$D$4:$D$1510=$O$24)*('Match Log'!$A$4:$A$1510&lt;=$J611)),'Match Log'!$N$4:$N$1510),NA()))</f>
        <v>#N/A</v>
      </c>
      <c r="P611" t="e">
        <f>IF($J611&gt;MAX('Match Log'!$A$4:$A$1510),NA(),IFERROR(LOOKUP(2,1/(('Match Log'!$D$4:$D$1510=$P$24)*('Match Log'!$A$4:$A$1510&lt;=$J611)),'Match Log'!$N$4:$N$1510),NA()))</f>
        <v>#N/A</v>
      </c>
      <c r="Q611" t="e">
        <f>IF($J611&gt;MAX('Match Log'!$A$4:$A$1510),NA(),IFERROR(LOOKUP(2,1/(('Match Log'!$D$4:$D$1510=$Q$24)*('Match Log'!$A$4:$A$1510&lt;=$J611)),'Match Log'!$N$4:$N$1510),NA()))</f>
        <v>#N/A</v>
      </c>
      <c r="R611" t="e">
        <f>IF($J611&gt;MAX('Match Log'!$A$4:$A$1510),NA(),IFERROR(LOOKUP(2,1/(('Match Log'!$D$4:$D$1510=$R$24)*('Match Log'!$A$4:$A$1510&lt;=$J611)),'Match Log'!$N$4:$N$1510),NA()))</f>
        <v>#N/A</v>
      </c>
      <c r="S611" t="e">
        <f>IF($J611&gt;MAX('Match Log'!$A$4:$A$1510),NA(),IFERROR(LOOKUP(2,1/(('Match Log'!$D$4:$D$1510=$S$24)*('Match Log'!$A$4:$A$1510&lt;=$J611)),'Match Log'!$N$4:$N$1510),NA()))</f>
        <v>#N/A</v>
      </c>
      <c r="T611" t="e">
        <f>IF($J611&gt;MAX('Match Log'!$A$4:$A$1510),NA(),IFERROR(LOOKUP(2,1/(('Match Log'!$D$4:$D$1510=$T$24)*('Match Log'!$A$4:$A$1510&lt;=$J611)),'Match Log'!$N$4:$N$1510),NA()))</f>
        <v>#N/A</v>
      </c>
      <c r="U611" t="e">
        <f>IF($J611&gt;MAX('Match Log'!$A$4:$A$1510),NA(),IFERROR(LOOKUP(2,1/(('Match Log'!$D$4:$D$1510=$U$24)*('Match Log'!$A$4:$A$1510&lt;=$J611)),'Match Log'!$N$4:$N$1510),NA()))</f>
        <v>#N/A</v>
      </c>
      <c r="V611" t="e">
        <f>IF($J611&gt;MAX('Match Log'!$A$4:$A$1510),NA(),IFERROR(LOOKUP(2,1/(('Match Log'!$D$4:$D$1510=$V$24)*('Match Log'!$A$4:$A$1510&lt;=$J611)),'Match Log'!$N$4:$N$1510),NA()))</f>
        <v>#N/A</v>
      </c>
      <c r="W611" t="e">
        <f>IF($J611&gt;MAX('Match Log'!$A$4:$A$1510),NA(),IFERROR(LOOKUP(2,1/(('Match Log'!$D$4:$D$1510=$W$24)*('Match Log'!$A$4:$A$1510&lt;=$J611)),'Match Log'!$N$4:$N$1510),NA()))</f>
        <v>#N/A</v>
      </c>
      <c r="X611" t="e">
        <f>IF($J611&gt;MAX('Match Log'!$A$4:$A$1510),NA(),IFERROR(LOOKUP(2,1/(('Match Log'!$D$4:$D$1510=$X$24)*('Match Log'!$A$4:$A$1510&lt;=$J611)),'Match Log'!$N$4:$N$1510),NA()))</f>
        <v>#N/A</v>
      </c>
      <c r="Y611" t="str">
        <f t="shared" ca="1" si="37"/>
        <v/>
      </c>
    </row>
    <row r="612" spans="1:25" x14ac:dyDescent="0.2">
      <c r="A612">
        <v>588</v>
      </c>
      <c r="B612" t="str">
        <f>IFERROR(INDEX('Match Log'!$B$4:$B$1510,MATCH($A612,'Match Log'!$A$4:$A$1510,0)),"")</f>
        <v/>
      </c>
      <c r="C612" t="str">
        <f>IFERROR(INDEX('Match Log'!$C$4:$C$1510,MATCH($A612,'Match Log'!$A$4:$A$1510,0)),"")</f>
        <v/>
      </c>
      <c r="D612" t="str">
        <f t="array" ref="D612">IFERROR(_xlfn.TEXTJOIN(" + ",TRUE(),IF(('Match Log'!$A$4:$A$1510=$A612)*('Match Log'!$E$4:$E$1510="Win"),'Match Log'!$D$4:$D$1510,"")),IFERROR(LOOKUP(2,1/(('Match Log'!$A$4:$A$1510=$A612)*('Match Log'!$E$4:$E$1510="Win")),'Match Log'!$D$4:$D$1510),""))</f>
        <v/>
      </c>
      <c r="E612" t="str">
        <f>IFERROR(INDEX('Match Log'!$F$4:$F$1510,MATCH($A612,'Match Log'!$A$4:$A$1510,0)),"")</f>
        <v/>
      </c>
      <c r="F612">
        <f>IFERROR(SUMIFS('Match Log'!$I$4:$I$1510,'Match Log'!$A$4:$A$1510,$A612,'Match Log'!$E$4:$E$1510,"Win"),"")</f>
        <v>0</v>
      </c>
      <c r="G612" t="str">
        <f t="shared" si="35"/>
        <v/>
      </c>
      <c r="H612" t="str">
        <f t="array" ref="H612">IFERROR(IF(COUNTIFS('Match Log'!$A$4:$A$1510,$A612,'Match Log'!$E$4:$E$1510,"Win")&gt;1,_xlfn.TEXTJOIN(" + ",TRUE(),IF(('Match Log'!$A$4:$A$1510=$A612)*('Match Log'!$E$4:$E$1510="Loss"),'Match Log'!$D$4:$D$1510,"")),IF($E612=2,LOOKUP(2,1/(('Match Log'!$A$4:$A$1510=$A612)*('Match Log'!$E$4:$E$1510="Loss")),'Match Log'!$D$4:$D$1510),"the field")),"")</f>
        <v>the field</v>
      </c>
      <c r="I612" t="str">
        <f t="shared" si="36"/>
        <v/>
      </c>
      <c r="J612">
        <v>588</v>
      </c>
      <c r="K612" t="e">
        <f>IF($J612&gt;MAX('Match Log'!$A$4:$A$1510),NA(),IFERROR(LOOKUP(2,1/(('Match Log'!$D$4:$D$1510=$K$24)*('Match Log'!$A$4:$A$1510&lt;=$J612)),'Match Log'!$N$4:$N$1510),NA()))</f>
        <v>#N/A</v>
      </c>
      <c r="L612" t="e">
        <f>IF($J612&gt;MAX('Match Log'!$A$4:$A$1510),NA(),IFERROR(LOOKUP(2,1/(('Match Log'!$D$4:$D$1510=$L$24)*('Match Log'!$A$4:$A$1510&lt;=$J612)),'Match Log'!$N$4:$N$1510),NA()))</f>
        <v>#N/A</v>
      </c>
      <c r="M612" t="e">
        <f>IF($J612&gt;MAX('Match Log'!$A$4:$A$1510),NA(),IFERROR(LOOKUP(2,1/(('Match Log'!$D$4:$D$1510=$M$24)*('Match Log'!$A$4:$A$1510&lt;=$J612)),'Match Log'!$N$4:$N$1510),NA()))</f>
        <v>#N/A</v>
      </c>
      <c r="N612" t="e">
        <f>IF($J612&gt;MAX('Match Log'!$A$4:$A$1510),NA(),IFERROR(LOOKUP(2,1/(('Match Log'!$D$4:$D$1510=$N$24)*('Match Log'!$A$4:$A$1510&lt;=$J612)),'Match Log'!$N$4:$N$1510),NA()))</f>
        <v>#N/A</v>
      </c>
      <c r="O612" t="e">
        <f>IF($J612&gt;MAX('Match Log'!$A$4:$A$1510),NA(),IFERROR(LOOKUP(2,1/(('Match Log'!$D$4:$D$1510=$O$24)*('Match Log'!$A$4:$A$1510&lt;=$J612)),'Match Log'!$N$4:$N$1510),NA()))</f>
        <v>#N/A</v>
      </c>
      <c r="P612" t="e">
        <f>IF($J612&gt;MAX('Match Log'!$A$4:$A$1510),NA(),IFERROR(LOOKUP(2,1/(('Match Log'!$D$4:$D$1510=$P$24)*('Match Log'!$A$4:$A$1510&lt;=$J612)),'Match Log'!$N$4:$N$1510),NA()))</f>
        <v>#N/A</v>
      </c>
      <c r="Q612" t="e">
        <f>IF($J612&gt;MAX('Match Log'!$A$4:$A$1510),NA(),IFERROR(LOOKUP(2,1/(('Match Log'!$D$4:$D$1510=$Q$24)*('Match Log'!$A$4:$A$1510&lt;=$J612)),'Match Log'!$N$4:$N$1510),NA()))</f>
        <v>#N/A</v>
      </c>
      <c r="R612" t="e">
        <f>IF($J612&gt;MAX('Match Log'!$A$4:$A$1510),NA(),IFERROR(LOOKUP(2,1/(('Match Log'!$D$4:$D$1510=$R$24)*('Match Log'!$A$4:$A$1510&lt;=$J612)),'Match Log'!$N$4:$N$1510),NA()))</f>
        <v>#N/A</v>
      </c>
      <c r="S612" t="e">
        <f>IF($J612&gt;MAX('Match Log'!$A$4:$A$1510),NA(),IFERROR(LOOKUP(2,1/(('Match Log'!$D$4:$D$1510=$S$24)*('Match Log'!$A$4:$A$1510&lt;=$J612)),'Match Log'!$N$4:$N$1510),NA()))</f>
        <v>#N/A</v>
      </c>
      <c r="T612" t="e">
        <f>IF($J612&gt;MAX('Match Log'!$A$4:$A$1510),NA(),IFERROR(LOOKUP(2,1/(('Match Log'!$D$4:$D$1510=$T$24)*('Match Log'!$A$4:$A$1510&lt;=$J612)),'Match Log'!$N$4:$N$1510),NA()))</f>
        <v>#N/A</v>
      </c>
      <c r="U612" t="e">
        <f>IF($J612&gt;MAX('Match Log'!$A$4:$A$1510),NA(),IFERROR(LOOKUP(2,1/(('Match Log'!$D$4:$D$1510=$U$24)*('Match Log'!$A$4:$A$1510&lt;=$J612)),'Match Log'!$N$4:$N$1510),NA()))</f>
        <v>#N/A</v>
      </c>
      <c r="V612" t="e">
        <f>IF($J612&gt;MAX('Match Log'!$A$4:$A$1510),NA(),IFERROR(LOOKUP(2,1/(('Match Log'!$D$4:$D$1510=$V$24)*('Match Log'!$A$4:$A$1510&lt;=$J612)),'Match Log'!$N$4:$N$1510),NA()))</f>
        <v>#N/A</v>
      </c>
      <c r="W612" t="e">
        <f>IF($J612&gt;MAX('Match Log'!$A$4:$A$1510),NA(),IFERROR(LOOKUP(2,1/(('Match Log'!$D$4:$D$1510=$W$24)*('Match Log'!$A$4:$A$1510&lt;=$J612)),'Match Log'!$N$4:$N$1510),NA()))</f>
        <v>#N/A</v>
      </c>
      <c r="X612" t="e">
        <f>IF($J612&gt;MAX('Match Log'!$A$4:$A$1510),NA(),IFERROR(LOOKUP(2,1/(('Match Log'!$D$4:$D$1510=$X$24)*('Match Log'!$A$4:$A$1510&lt;=$J612)),'Match Log'!$N$4:$N$1510),NA()))</f>
        <v>#N/A</v>
      </c>
      <c r="Y612" t="str">
        <f t="shared" ca="1" si="37"/>
        <v/>
      </c>
    </row>
    <row r="613" spans="1:25" x14ac:dyDescent="0.2">
      <c r="A613">
        <v>589</v>
      </c>
      <c r="B613" t="str">
        <f>IFERROR(INDEX('Match Log'!$B$4:$B$1510,MATCH($A613,'Match Log'!$A$4:$A$1510,0)),"")</f>
        <v/>
      </c>
      <c r="C613" t="str">
        <f>IFERROR(INDEX('Match Log'!$C$4:$C$1510,MATCH($A613,'Match Log'!$A$4:$A$1510,0)),"")</f>
        <v/>
      </c>
      <c r="D613" t="str">
        <f t="array" ref="D613">IFERROR(_xlfn.TEXTJOIN(" + ",TRUE(),IF(('Match Log'!$A$4:$A$1510=$A613)*('Match Log'!$E$4:$E$1510="Win"),'Match Log'!$D$4:$D$1510,"")),IFERROR(LOOKUP(2,1/(('Match Log'!$A$4:$A$1510=$A613)*('Match Log'!$E$4:$E$1510="Win")),'Match Log'!$D$4:$D$1510),""))</f>
        <v/>
      </c>
      <c r="E613" t="str">
        <f>IFERROR(INDEX('Match Log'!$F$4:$F$1510,MATCH($A613,'Match Log'!$A$4:$A$1510,0)),"")</f>
        <v/>
      </c>
      <c r="F613">
        <f>IFERROR(SUMIFS('Match Log'!$I$4:$I$1510,'Match Log'!$A$4:$A$1510,$A613,'Match Log'!$E$4:$E$1510,"Win"),"")</f>
        <v>0</v>
      </c>
      <c r="G613" t="str">
        <f t="shared" si="35"/>
        <v/>
      </c>
      <c r="H613" t="str">
        <f t="array" ref="H613">IFERROR(IF(COUNTIFS('Match Log'!$A$4:$A$1510,$A613,'Match Log'!$E$4:$E$1510,"Win")&gt;1,_xlfn.TEXTJOIN(" + ",TRUE(),IF(('Match Log'!$A$4:$A$1510=$A613)*('Match Log'!$E$4:$E$1510="Loss"),'Match Log'!$D$4:$D$1510,"")),IF($E613=2,LOOKUP(2,1/(('Match Log'!$A$4:$A$1510=$A613)*('Match Log'!$E$4:$E$1510="Loss")),'Match Log'!$D$4:$D$1510),"the field")),"")</f>
        <v>the field</v>
      </c>
      <c r="I613" t="str">
        <f t="shared" si="36"/>
        <v/>
      </c>
      <c r="J613">
        <v>589</v>
      </c>
      <c r="K613" t="e">
        <f>IF($J613&gt;MAX('Match Log'!$A$4:$A$1510),NA(),IFERROR(LOOKUP(2,1/(('Match Log'!$D$4:$D$1510=$K$24)*('Match Log'!$A$4:$A$1510&lt;=$J613)),'Match Log'!$N$4:$N$1510),NA()))</f>
        <v>#N/A</v>
      </c>
      <c r="L613" t="e">
        <f>IF($J613&gt;MAX('Match Log'!$A$4:$A$1510),NA(),IFERROR(LOOKUP(2,1/(('Match Log'!$D$4:$D$1510=$L$24)*('Match Log'!$A$4:$A$1510&lt;=$J613)),'Match Log'!$N$4:$N$1510),NA()))</f>
        <v>#N/A</v>
      </c>
      <c r="M613" t="e">
        <f>IF($J613&gt;MAX('Match Log'!$A$4:$A$1510),NA(),IFERROR(LOOKUP(2,1/(('Match Log'!$D$4:$D$1510=$M$24)*('Match Log'!$A$4:$A$1510&lt;=$J613)),'Match Log'!$N$4:$N$1510),NA()))</f>
        <v>#N/A</v>
      </c>
      <c r="N613" t="e">
        <f>IF($J613&gt;MAX('Match Log'!$A$4:$A$1510),NA(),IFERROR(LOOKUP(2,1/(('Match Log'!$D$4:$D$1510=$N$24)*('Match Log'!$A$4:$A$1510&lt;=$J613)),'Match Log'!$N$4:$N$1510),NA()))</f>
        <v>#N/A</v>
      </c>
      <c r="O613" t="e">
        <f>IF($J613&gt;MAX('Match Log'!$A$4:$A$1510),NA(),IFERROR(LOOKUP(2,1/(('Match Log'!$D$4:$D$1510=$O$24)*('Match Log'!$A$4:$A$1510&lt;=$J613)),'Match Log'!$N$4:$N$1510),NA()))</f>
        <v>#N/A</v>
      </c>
      <c r="P613" t="e">
        <f>IF($J613&gt;MAX('Match Log'!$A$4:$A$1510),NA(),IFERROR(LOOKUP(2,1/(('Match Log'!$D$4:$D$1510=$P$24)*('Match Log'!$A$4:$A$1510&lt;=$J613)),'Match Log'!$N$4:$N$1510),NA()))</f>
        <v>#N/A</v>
      </c>
      <c r="Q613" t="e">
        <f>IF($J613&gt;MAX('Match Log'!$A$4:$A$1510),NA(),IFERROR(LOOKUP(2,1/(('Match Log'!$D$4:$D$1510=$Q$24)*('Match Log'!$A$4:$A$1510&lt;=$J613)),'Match Log'!$N$4:$N$1510),NA()))</f>
        <v>#N/A</v>
      </c>
      <c r="R613" t="e">
        <f>IF($J613&gt;MAX('Match Log'!$A$4:$A$1510),NA(),IFERROR(LOOKUP(2,1/(('Match Log'!$D$4:$D$1510=$R$24)*('Match Log'!$A$4:$A$1510&lt;=$J613)),'Match Log'!$N$4:$N$1510),NA()))</f>
        <v>#N/A</v>
      </c>
      <c r="S613" t="e">
        <f>IF($J613&gt;MAX('Match Log'!$A$4:$A$1510),NA(),IFERROR(LOOKUP(2,1/(('Match Log'!$D$4:$D$1510=$S$24)*('Match Log'!$A$4:$A$1510&lt;=$J613)),'Match Log'!$N$4:$N$1510),NA()))</f>
        <v>#N/A</v>
      </c>
      <c r="T613" t="e">
        <f>IF($J613&gt;MAX('Match Log'!$A$4:$A$1510),NA(),IFERROR(LOOKUP(2,1/(('Match Log'!$D$4:$D$1510=$T$24)*('Match Log'!$A$4:$A$1510&lt;=$J613)),'Match Log'!$N$4:$N$1510),NA()))</f>
        <v>#N/A</v>
      </c>
      <c r="U613" t="e">
        <f>IF($J613&gt;MAX('Match Log'!$A$4:$A$1510),NA(),IFERROR(LOOKUP(2,1/(('Match Log'!$D$4:$D$1510=$U$24)*('Match Log'!$A$4:$A$1510&lt;=$J613)),'Match Log'!$N$4:$N$1510),NA()))</f>
        <v>#N/A</v>
      </c>
      <c r="V613" t="e">
        <f>IF($J613&gt;MAX('Match Log'!$A$4:$A$1510),NA(),IFERROR(LOOKUP(2,1/(('Match Log'!$D$4:$D$1510=$V$24)*('Match Log'!$A$4:$A$1510&lt;=$J613)),'Match Log'!$N$4:$N$1510),NA()))</f>
        <v>#N/A</v>
      </c>
      <c r="W613" t="e">
        <f>IF($J613&gt;MAX('Match Log'!$A$4:$A$1510),NA(),IFERROR(LOOKUP(2,1/(('Match Log'!$D$4:$D$1510=$W$24)*('Match Log'!$A$4:$A$1510&lt;=$J613)),'Match Log'!$N$4:$N$1510),NA()))</f>
        <v>#N/A</v>
      </c>
      <c r="X613" t="e">
        <f>IF($J613&gt;MAX('Match Log'!$A$4:$A$1510),NA(),IFERROR(LOOKUP(2,1/(('Match Log'!$D$4:$D$1510=$X$24)*('Match Log'!$A$4:$A$1510&lt;=$J613)),'Match Log'!$N$4:$N$1510),NA()))</f>
        <v>#N/A</v>
      </c>
      <c r="Y613" t="str">
        <f t="shared" ca="1" si="37"/>
        <v/>
      </c>
    </row>
    <row r="614" spans="1:25" x14ac:dyDescent="0.2">
      <c r="A614">
        <v>590</v>
      </c>
      <c r="B614" t="str">
        <f>IFERROR(INDEX('Match Log'!$B$4:$B$1510,MATCH($A614,'Match Log'!$A$4:$A$1510,0)),"")</f>
        <v/>
      </c>
      <c r="C614" t="str">
        <f>IFERROR(INDEX('Match Log'!$C$4:$C$1510,MATCH($A614,'Match Log'!$A$4:$A$1510,0)),"")</f>
        <v/>
      </c>
      <c r="D614" t="str">
        <f t="array" ref="D614">IFERROR(_xlfn.TEXTJOIN(" + ",TRUE(),IF(('Match Log'!$A$4:$A$1510=$A614)*('Match Log'!$E$4:$E$1510="Win"),'Match Log'!$D$4:$D$1510,"")),IFERROR(LOOKUP(2,1/(('Match Log'!$A$4:$A$1510=$A614)*('Match Log'!$E$4:$E$1510="Win")),'Match Log'!$D$4:$D$1510),""))</f>
        <v/>
      </c>
      <c r="E614" t="str">
        <f>IFERROR(INDEX('Match Log'!$F$4:$F$1510,MATCH($A614,'Match Log'!$A$4:$A$1510,0)),"")</f>
        <v/>
      </c>
      <c r="F614">
        <f>IFERROR(SUMIFS('Match Log'!$I$4:$I$1510,'Match Log'!$A$4:$A$1510,$A614,'Match Log'!$E$4:$E$1510,"Win"),"")</f>
        <v>0</v>
      </c>
      <c r="G614" t="str">
        <f t="shared" si="35"/>
        <v/>
      </c>
      <c r="H614" t="str">
        <f t="array" ref="H614">IFERROR(IF(COUNTIFS('Match Log'!$A$4:$A$1510,$A614,'Match Log'!$E$4:$E$1510,"Win")&gt;1,_xlfn.TEXTJOIN(" + ",TRUE(),IF(('Match Log'!$A$4:$A$1510=$A614)*('Match Log'!$E$4:$E$1510="Loss"),'Match Log'!$D$4:$D$1510,"")),IF($E614=2,LOOKUP(2,1/(('Match Log'!$A$4:$A$1510=$A614)*('Match Log'!$E$4:$E$1510="Loss")),'Match Log'!$D$4:$D$1510),"the field")),"")</f>
        <v>the field</v>
      </c>
      <c r="I614" t="str">
        <f t="shared" si="36"/>
        <v/>
      </c>
      <c r="J614">
        <v>590</v>
      </c>
      <c r="K614" t="e">
        <f>IF($J614&gt;MAX('Match Log'!$A$4:$A$1510),NA(),IFERROR(LOOKUP(2,1/(('Match Log'!$D$4:$D$1510=$K$24)*('Match Log'!$A$4:$A$1510&lt;=$J614)),'Match Log'!$N$4:$N$1510),NA()))</f>
        <v>#N/A</v>
      </c>
      <c r="L614" t="e">
        <f>IF($J614&gt;MAX('Match Log'!$A$4:$A$1510),NA(),IFERROR(LOOKUP(2,1/(('Match Log'!$D$4:$D$1510=$L$24)*('Match Log'!$A$4:$A$1510&lt;=$J614)),'Match Log'!$N$4:$N$1510),NA()))</f>
        <v>#N/A</v>
      </c>
      <c r="M614" t="e">
        <f>IF($J614&gt;MAX('Match Log'!$A$4:$A$1510),NA(),IFERROR(LOOKUP(2,1/(('Match Log'!$D$4:$D$1510=$M$24)*('Match Log'!$A$4:$A$1510&lt;=$J614)),'Match Log'!$N$4:$N$1510),NA()))</f>
        <v>#N/A</v>
      </c>
      <c r="N614" t="e">
        <f>IF($J614&gt;MAX('Match Log'!$A$4:$A$1510),NA(),IFERROR(LOOKUP(2,1/(('Match Log'!$D$4:$D$1510=$N$24)*('Match Log'!$A$4:$A$1510&lt;=$J614)),'Match Log'!$N$4:$N$1510),NA()))</f>
        <v>#N/A</v>
      </c>
      <c r="O614" t="e">
        <f>IF($J614&gt;MAX('Match Log'!$A$4:$A$1510),NA(),IFERROR(LOOKUP(2,1/(('Match Log'!$D$4:$D$1510=$O$24)*('Match Log'!$A$4:$A$1510&lt;=$J614)),'Match Log'!$N$4:$N$1510),NA()))</f>
        <v>#N/A</v>
      </c>
      <c r="P614" t="e">
        <f>IF($J614&gt;MAX('Match Log'!$A$4:$A$1510),NA(),IFERROR(LOOKUP(2,1/(('Match Log'!$D$4:$D$1510=$P$24)*('Match Log'!$A$4:$A$1510&lt;=$J614)),'Match Log'!$N$4:$N$1510),NA()))</f>
        <v>#N/A</v>
      </c>
      <c r="Q614" t="e">
        <f>IF($J614&gt;MAX('Match Log'!$A$4:$A$1510),NA(),IFERROR(LOOKUP(2,1/(('Match Log'!$D$4:$D$1510=$Q$24)*('Match Log'!$A$4:$A$1510&lt;=$J614)),'Match Log'!$N$4:$N$1510),NA()))</f>
        <v>#N/A</v>
      </c>
      <c r="R614" t="e">
        <f>IF($J614&gt;MAX('Match Log'!$A$4:$A$1510),NA(),IFERROR(LOOKUP(2,1/(('Match Log'!$D$4:$D$1510=$R$24)*('Match Log'!$A$4:$A$1510&lt;=$J614)),'Match Log'!$N$4:$N$1510),NA()))</f>
        <v>#N/A</v>
      </c>
      <c r="S614" t="e">
        <f>IF($J614&gt;MAX('Match Log'!$A$4:$A$1510),NA(),IFERROR(LOOKUP(2,1/(('Match Log'!$D$4:$D$1510=$S$24)*('Match Log'!$A$4:$A$1510&lt;=$J614)),'Match Log'!$N$4:$N$1510),NA()))</f>
        <v>#N/A</v>
      </c>
      <c r="T614" t="e">
        <f>IF($J614&gt;MAX('Match Log'!$A$4:$A$1510),NA(),IFERROR(LOOKUP(2,1/(('Match Log'!$D$4:$D$1510=$T$24)*('Match Log'!$A$4:$A$1510&lt;=$J614)),'Match Log'!$N$4:$N$1510),NA()))</f>
        <v>#N/A</v>
      </c>
      <c r="U614" t="e">
        <f>IF($J614&gt;MAX('Match Log'!$A$4:$A$1510),NA(),IFERROR(LOOKUP(2,1/(('Match Log'!$D$4:$D$1510=$U$24)*('Match Log'!$A$4:$A$1510&lt;=$J614)),'Match Log'!$N$4:$N$1510),NA()))</f>
        <v>#N/A</v>
      </c>
      <c r="V614" t="e">
        <f>IF($J614&gt;MAX('Match Log'!$A$4:$A$1510),NA(),IFERROR(LOOKUP(2,1/(('Match Log'!$D$4:$D$1510=$V$24)*('Match Log'!$A$4:$A$1510&lt;=$J614)),'Match Log'!$N$4:$N$1510),NA()))</f>
        <v>#N/A</v>
      </c>
      <c r="W614" t="e">
        <f>IF($J614&gt;MAX('Match Log'!$A$4:$A$1510),NA(),IFERROR(LOOKUP(2,1/(('Match Log'!$D$4:$D$1510=$W$24)*('Match Log'!$A$4:$A$1510&lt;=$J614)),'Match Log'!$N$4:$N$1510),NA()))</f>
        <v>#N/A</v>
      </c>
      <c r="X614" t="e">
        <f>IF($J614&gt;MAX('Match Log'!$A$4:$A$1510),NA(),IFERROR(LOOKUP(2,1/(('Match Log'!$D$4:$D$1510=$X$24)*('Match Log'!$A$4:$A$1510&lt;=$J614)),'Match Log'!$N$4:$N$1510),NA()))</f>
        <v>#N/A</v>
      </c>
      <c r="Y614" t="str">
        <f t="shared" ca="1" si="37"/>
        <v/>
      </c>
    </row>
    <row r="615" spans="1:25" x14ac:dyDescent="0.2">
      <c r="A615">
        <v>591</v>
      </c>
      <c r="B615" t="str">
        <f>IFERROR(INDEX('Match Log'!$B$4:$B$1510,MATCH($A615,'Match Log'!$A$4:$A$1510,0)),"")</f>
        <v/>
      </c>
      <c r="C615" t="str">
        <f>IFERROR(INDEX('Match Log'!$C$4:$C$1510,MATCH($A615,'Match Log'!$A$4:$A$1510,0)),"")</f>
        <v/>
      </c>
      <c r="D615" t="str">
        <f t="array" ref="D615">IFERROR(_xlfn.TEXTJOIN(" + ",TRUE(),IF(('Match Log'!$A$4:$A$1510=$A615)*('Match Log'!$E$4:$E$1510="Win"),'Match Log'!$D$4:$D$1510,"")),IFERROR(LOOKUP(2,1/(('Match Log'!$A$4:$A$1510=$A615)*('Match Log'!$E$4:$E$1510="Win")),'Match Log'!$D$4:$D$1510),""))</f>
        <v/>
      </c>
      <c r="E615" t="str">
        <f>IFERROR(INDEX('Match Log'!$F$4:$F$1510,MATCH($A615,'Match Log'!$A$4:$A$1510,0)),"")</f>
        <v/>
      </c>
      <c r="F615">
        <f>IFERROR(SUMIFS('Match Log'!$I$4:$I$1510,'Match Log'!$A$4:$A$1510,$A615,'Match Log'!$E$4:$E$1510,"Win"),"")</f>
        <v>0</v>
      </c>
      <c r="G615" t="str">
        <f t="shared" si="35"/>
        <v/>
      </c>
      <c r="H615" t="str">
        <f t="array" ref="H615">IFERROR(IF(COUNTIFS('Match Log'!$A$4:$A$1510,$A615,'Match Log'!$E$4:$E$1510,"Win")&gt;1,_xlfn.TEXTJOIN(" + ",TRUE(),IF(('Match Log'!$A$4:$A$1510=$A615)*('Match Log'!$E$4:$E$1510="Loss"),'Match Log'!$D$4:$D$1510,"")),IF($E615=2,LOOKUP(2,1/(('Match Log'!$A$4:$A$1510=$A615)*('Match Log'!$E$4:$E$1510="Loss")),'Match Log'!$D$4:$D$1510),"the field")),"")</f>
        <v>the field</v>
      </c>
      <c r="I615" t="str">
        <f t="shared" si="36"/>
        <v/>
      </c>
      <c r="J615">
        <v>591</v>
      </c>
      <c r="K615" t="e">
        <f>IF($J615&gt;MAX('Match Log'!$A$4:$A$1510),NA(),IFERROR(LOOKUP(2,1/(('Match Log'!$D$4:$D$1510=$K$24)*('Match Log'!$A$4:$A$1510&lt;=$J615)),'Match Log'!$N$4:$N$1510),NA()))</f>
        <v>#N/A</v>
      </c>
      <c r="L615" t="e">
        <f>IF($J615&gt;MAX('Match Log'!$A$4:$A$1510),NA(),IFERROR(LOOKUP(2,1/(('Match Log'!$D$4:$D$1510=$L$24)*('Match Log'!$A$4:$A$1510&lt;=$J615)),'Match Log'!$N$4:$N$1510),NA()))</f>
        <v>#N/A</v>
      </c>
      <c r="M615" t="e">
        <f>IF($J615&gt;MAX('Match Log'!$A$4:$A$1510),NA(),IFERROR(LOOKUP(2,1/(('Match Log'!$D$4:$D$1510=$M$24)*('Match Log'!$A$4:$A$1510&lt;=$J615)),'Match Log'!$N$4:$N$1510),NA()))</f>
        <v>#N/A</v>
      </c>
      <c r="N615" t="e">
        <f>IF($J615&gt;MAX('Match Log'!$A$4:$A$1510),NA(),IFERROR(LOOKUP(2,1/(('Match Log'!$D$4:$D$1510=$N$24)*('Match Log'!$A$4:$A$1510&lt;=$J615)),'Match Log'!$N$4:$N$1510),NA()))</f>
        <v>#N/A</v>
      </c>
      <c r="O615" t="e">
        <f>IF($J615&gt;MAX('Match Log'!$A$4:$A$1510),NA(),IFERROR(LOOKUP(2,1/(('Match Log'!$D$4:$D$1510=$O$24)*('Match Log'!$A$4:$A$1510&lt;=$J615)),'Match Log'!$N$4:$N$1510),NA()))</f>
        <v>#N/A</v>
      </c>
      <c r="P615" t="e">
        <f>IF($J615&gt;MAX('Match Log'!$A$4:$A$1510),NA(),IFERROR(LOOKUP(2,1/(('Match Log'!$D$4:$D$1510=$P$24)*('Match Log'!$A$4:$A$1510&lt;=$J615)),'Match Log'!$N$4:$N$1510),NA()))</f>
        <v>#N/A</v>
      </c>
      <c r="Q615" t="e">
        <f>IF($J615&gt;MAX('Match Log'!$A$4:$A$1510),NA(),IFERROR(LOOKUP(2,1/(('Match Log'!$D$4:$D$1510=$Q$24)*('Match Log'!$A$4:$A$1510&lt;=$J615)),'Match Log'!$N$4:$N$1510),NA()))</f>
        <v>#N/A</v>
      </c>
      <c r="R615" t="e">
        <f>IF($J615&gt;MAX('Match Log'!$A$4:$A$1510),NA(),IFERROR(LOOKUP(2,1/(('Match Log'!$D$4:$D$1510=$R$24)*('Match Log'!$A$4:$A$1510&lt;=$J615)),'Match Log'!$N$4:$N$1510),NA()))</f>
        <v>#N/A</v>
      </c>
      <c r="S615" t="e">
        <f>IF($J615&gt;MAX('Match Log'!$A$4:$A$1510),NA(),IFERROR(LOOKUP(2,1/(('Match Log'!$D$4:$D$1510=$S$24)*('Match Log'!$A$4:$A$1510&lt;=$J615)),'Match Log'!$N$4:$N$1510),NA()))</f>
        <v>#N/A</v>
      </c>
      <c r="T615" t="e">
        <f>IF($J615&gt;MAX('Match Log'!$A$4:$A$1510),NA(),IFERROR(LOOKUP(2,1/(('Match Log'!$D$4:$D$1510=$T$24)*('Match Log'!$A$4:$A$1510&lt;=$J615)),'Match Log'!$N$4:$N$1510),NA()))</f>
        <v>#N/A</v>
      </c>
      <c r="U615" t="e">
        <f>IF($J615&gt;MAX('Match Log'!$A$4:$A$1510),NA(),IFERROR(LOOKUP(2,1/(('Match Log'!$D$4:$D$1510=$U$24)*('Match Log'!$A$4:$A$1510&lt;=$J615)),'Match Log'!$N$4:$N$1510),NA()))</f>
        <v>#N/A</v>
      </c>
      <c r="V615" t="e">
        <f>IF($J615&gt;MAX('Match Log'!$A$4:$A$1510),NA(),IFERROR(LOOKUP(2,1/(('Match Log'!$D$4:$D$1510=$V$24)*('Match Log'!$A$4:$A$1510&lt;=$J615)),'Match Log'!$N$4:$N$1510),NA()))</f>
        <v>#N/A</v>
      </c>
      <c r="W615" t="e">
        <f>IF($J615&gt;MAX('Match Log'!$A$4:$A$1510),NA(),IFERROR(LOOKUP(2,1/(('Match Log'!$D$4:$D$1510=$W$24)*('Match Log'!$A$4:$A$1510&lt;=$J615)),'Match Log'!$N$4:$N$1510),NA()))</f>
        <v>#N/A</v>
      </c>
      <c r="X615" t="e">
        <f>IF($J615&gt;MAX('Match Log'!$A$4:$A$1510),NA(),IFERROR(LOOKUP(2,1/(('Match Log'!$D$4:$D$1510=$X$24)*('Match Log'!$A$4:$A$1510&lt;=$J615)),'Match Log'!$N$4:$N$1510),NA()))</f>
        <v>#N/A</v>
      </c>
      <c r="Y615" t="str">
        <f t="shared" ca="1" si="37"/>
        <v/>
      </c>
    </row>
    <row r="616" spans="1:25" x14ac:dyDescent="0.2">
      <c r="A616">
        <v>592</v>
      </c>
      <c r="B616" t="str">
        <f>IFERROR(INDEX('Match Log'!$B$4:$B$1510,MATCH($A616,'Match Log'!$A$4:$A$1510,0)),"")</f>
        <v/>
      </c>
      <c r="C616" t="str">
        <f>IFERROR(INDEX('Match Log'!$C$4:$C$1510,MATCH($A616,'Match Log'!$A$4:$A$1510,0)),"")</f>
        <v/>
      </c>
      <c r="D616" t="str">
        <f t="array" ref="D616">IFERROR(_xlfn.TEXTJOIN(" + ",TRUE(),IF(('Match Log'!$A$4:$A$1510=$A616)*('Match Log'!$E$4:$E$1510="Win"),'Match Log'!$D$4:$D$1510,"")),IFERROR(LOOKUP(2,1/(('Match Log'!$A$4:$A$1510=$A616)*('Match Log'!$E$4:$E$1510="Win")),'Match Log'!$D$4:$D$1510),""))</f>
        <v/>
      </c>
      <c r="E616" t="str">
        <f>IFERROR(INDEX('Match Log'!$F$4:$F$1510,MATCH($A616,'Match Log'!$A$4:$A$1510,0)),"")</f>
        <v/>
      </c>
      <c r="F616">
        <f>IFERROR(SUMIFS('Match Log'!$I$4:$I$1510,'Match Log'!$A$4:$A$1510,$A616,'Match Log'!$E$4:$E$1510,"Win"),"")</f>
        <v>0</v>
      </c>
      <c r="G616" t="str">
        <f t="shared" si="35"/>
        <v/>
      </c>
      <c r="H616" t="str">
        <f t="array" ref="H616">IFERROR(IF(COUNTIFS('Match Log'!$A$4:$A$1510,$A616,'Match Log'!$E$4:$E$1510,"Win")&gt;1,_xlfn.TEXTJOIN(" + ",TRUE(),IF(('Match Log'!$A$4:$A$1510=$A616)*('Match Log'!$E$4:$E$1510="Loss"),'Match Log'!$D$4:$D$1510,"")),IF($E616=2,LOOKUP(2,1/(('Match Log'!$A$4:$A$1510=$A616)*('Match Log'!$E$4:$E$1510="Loss")),'Match Log'!$D$4:$D$1510),"the field")),"")</f>
        <v>the field</v>
      </c>
      <c r="I616" t="str">
        <f t="shared" si="36"/>
        <v/>
      </c>
      <c r="J616">
        <v>592</v>
      </c>
      <c r="K616" t="e">
        <f>IF($J616&gt;MAX('Match Log'!$A$4:$A$1510),NA(),IFERROR(LOOKUP(2,1/(('Match Log'!$D$4:$D$1510=$K$24)*('Match Log'!$A$4:$A$1510&lt;=$J616)),'Match Log'!$N$4:$N$1510),NA()))</f>
        <v>#N/A</v>
      </c>
      <c r="L616" t="e">
        <f>IF($J616&gt;MAX('Match Log'!$A$4:$A$1510),NA(),IFERROR(LOOKUP(2,1/(('Match Log'!$D$4:$D$1510=$L$24)*('Match Log'!$A$4:$A$1510&lt;=$J616)),'Match Log'!$N$4:$N$1510),NA()))</f>
        <v>#N/A</v>
      </c>
      <c r="M616" t="e">
        <f>IF($J616&gt;MAX('Match Log'!$A$4:$A$1510),NA(),IFERROR(LOOKUP(2,1/(('Match Log'!$D$4:$D$1510=$M$24)*('Match Log'!$A$4:$A$1510&lt;=$J616)),'Match Log'!$N$4:$N$1510),NA()))</f>
        <v>#N/A</v>
      </c>
      <c r="N616" t="e">
        <f>IF($J616&gt;MAX('Match Log'!$A$4:$A$1510),NA(),IFERROR(LOOKUP(2,1/(('Match Log'!$D$4:$D$1510=$N$24)*('Match Log'!$A$4:$A$1510&lt;=$J616)),'Match Log'!$N$4:$N$1510),NA()))</f>
        <v>#N/A</v>
      </c>
      <c r="O616" t="e">
        <f>IF($J616&gt;MAX('Match Log'!$A$4:$A$1510),NA(),IFERROR(LOOKUP(2,1/(('Match Log'!$D$4:$D$1510=$O$24)*('Match Log'!$A$4:$A$1510&lt;=$J616)),'Match Log'!$N$4:$N$1510),NA()))</f>
        <v>#N/A</v>
      </c>
      <c r="P616" t="e">
        <f>IF($J616&gt;MAX('Match Log'!$A$4:$A$1510),NA(),IFERROR(LOOKUP(2,1/(('Match Log'!$D$4:$D$1510=$P$24)*('Match Log'!$A$4:$A$1510&lt;=$J616)),'Match Log'!$N$4:$N$1510),NA()))</f>
        <v>#N/A</v>
      </c>
      <c r="Q616" t="e">
        <f>IF($J616&gt;MAX('Match Log'!$A$4:$A$1510),NA(),IFERROR(LOOKUP(2,1/(('Match Log'!$D$4:$D$1510=$Q$24)*('Match Log'!$A$4:$A$1510&lt;=$J616)),'Match Log'!$N$4:$N$1510),NA()))</f>
        <v>#N/A</v>
      </c>
      <c r="R616" t="e">
        <f>IF($J616&gt;MAX('Match Log'!$A$4:$A$1510),NA(),IFERROR(LOOKUP(2,1/(('Match Log'!$D$4:$D$1510=$R$24)*('Match Log'!$A$4:$A$1510&lt;=$J616)),'Match Log'!$N$4:$N$1510),NA()))</f>
        <v>#N/A</v>
      </c>
      <c r="S616" t="e">
        <f>IF($J616&gt;MAX('Match Log'!$A$4:$A$1510),NA(),IFERROR(LOOKUP(2,1/(('Match Log'!$D$4:$D$1510=$S$24)*('Match Log'!$A$4:$A$1510&lt;=$J616)),'Match Log'!$N$4:$N$1510),NA()))</f>
        <v>#N/A</v>
      </c>
      <c r="T616" t="e">
        <f>IF($J616&gt;MAX('Match Log'!$A$4:$A$1510),NA(),IFERROR(LOOKUP(2,1/(('Match Log'!$D$4:$D$1510=$T$24)*('Match Log'!$A$4:$A$1510&lt;=$J616)),'Match Log'!$N$4:$N$1510),NA()))</f>
        <v>#N/A</v>
      </c>
      <c r="U616" t="e">
        <f>IF($J616&gt;MAX('Match Log'!$A$4:$A$1510),NA(),IFERROR(LOOKUP(2,1/(('Match Log'!$D$4:$D$1510=$U$24)*('Match Log'!$A$4:$A$1510&lt;=$J616)),'Match Log'!$N$4:$N$1510),NA()))</f>
        <v>#N/A</v>
      </c>
      <c r="V616" t="e">
        <f>IF($J616&gt;MAX('Match Log'!$A$4:$A$1510),NA(),IFERROR(LOOKUP(2,1/(('Match Log'!$D$4:$D$1510=$V$24)*('Match Log'!$A$4:$A$1510&lt;=$J616)),'Match Log'!$N$4:$N$1510),NA()))</f>
        <v>#N/A</v>
      </c>
      <c r="W616" t="e">
        <f>IF($J616&gt;MAX('Match Log'!$A$4:$A$1510),NA(),IFERROR(LOOKUP(2,1/(('Match Log'!$D$4:$D$1510=$W$24)*('Match Log'!$A$4:$A$1510&lt;=$J616)),'Match Log'!$N$4:$N$1510),NA()))</f>
        <v>#N/A</v>
      </c>
      <c r="X616" t="e">
        <f>IF($J616&gt;MAX('Match Log'!$A$4:$A$1510),NA(),IFERROR(LOOKUP(2,1/(('Match Log'!$D$4:$D$1510=$X$24)*('Match Log'!$A$4:$A$1510&lt;=$J616)),'Match Log'!$N$4:$N$1510),NA()))</f>
        <v>#N/A</v>
      </c>
      <c r="Y616" t="str">
        <f t="shared" ca="1" si="37"/>
        <v/>
      </c>
    </row>
    <row r="617" spans="1:25" x14ac:dyDescent="0.2">
      <c r="A617">
        <v>593</v>
      </c>
      <c r="B617" t="str">
        <f>IFERROR(INDEX('Match Log'!$B$4:$B$1510,MATCH($A617,'Match Log'!$A$4:$A$1510,0)),"")</f>
        <v/>
      </c>
      <c r="C617" t="str">
        <f>IFERROR(INDEX('Match Log'!$C$4:$C$1510,MATCH($A617,'Match Log'!$A$4:$A$1510,0)),"")</f>
        <v/>
      </c>
      <c r="D617" t="str">
        <f t="array" ref="D617">IFERROR(_xlfn.TEXTJOIN(" + ",TRUE(),IF(('Match Log'!$A$4:$A$1510=$A617)*('Match Log'!$E$4:$E$1510="Win"),'Match Log'!$D$4:$D$1510,"")),IFERROR(LOOKUP(2,1/(('Match Log'!$A$4:$A$1510=$A617)*('Match Log'!$E$4:$E$1510="Win")),'Match Log'!$D$4:$D$1510),""))</f>
        <v/>
      </c>
      <c r="E617" t="str">
        <f>IFERROR(INDEX('Match Log'!$F$4:$F$1510,MATCH($A617,'Match Log'!$A$4:$A$1510,0)),"")</f>
        <v/>
      </c>
      <c r="F617">
        <f>IFERROR(SUMIFS('Match Log'!$I$4:$I$1510,'Match Log'!$A$4:$A$1510,$A617,'Match Log'!$E$4:$E$1510,"Win"),"")</f>
        <v>0</v>
      </c>
      <c r="G617" t="str">
        <f t="shared" si="35"/>
        <v/>
      </c>
      <c r="H617" t="str">
        <f t="array" ref="H617">IFERROR(IF(COUNTIFS('Match Log'!$A$4:$A$1510,$A617,'Match Log'!$E$4:$E$1510,"Win")&gt;1,_xlfn.TEXTJOIN(" + ",TRUE(),IF(('Match Log'!$A$4:$A$1510=$A617)*('Match Log'!$E$4:$E$1510="Loss"),'Match Log'!$D$4:$D$1510,"")),IF($E617=2,LOOKUP(2,1/(('Match Log'!$A$4:$A$1510=$A617)*('Match Log'!$E$4:$E$1510="Loss")),'Match Log'!$D$4:$D$1510),"the field")),"")</f>
        <v>the field</v>
      </c>
      <c r="I617" t="str">
        <f t="shared" si="36"/>
        <v/>
      </c>
      <c r="J617">
        <v>593</v>
      </c>
      <c r="K617" t="e">
        <f>IF($J617&gt;MAX('Match Log'!$A$4:$A$1510),NA(),IFERROR(LOOKUP(2,1/(('Match Log'!$D$4:$D$1510=$K$24)*('Match Log'!$A$4:$A$1510&lt;=$J617)),'Match Log'!$N$4:$N$1510),NA()))</f>
        <v>#N/A</v>
      </c>
      <c r="L617" t="e">
        <f>IF($J617&gt;MAX('Match Log'!$A$4:$A$1510),NA(),IFERROR(LOOKUP(2,1/(('Match Log'!$D$4:$D$1510=$L$24)*('Match Log'!$A$4:$A$1510&lt;=$J617)),'Match Log'!$N$4:$N$1510),NA()))</f>
        <v>#N/A</v>
      </c>
      <c r="M617" t="e">
        <f>IF($J617&gt;MAX('Match Log'!$A$4:$A$1510),NA(),IFERROR(LOOKUP(2,1/(('Match Log'!$D$4:$D$1510=$M$24)*('Match Log'!$A$4:$A$1510&lt;=$J617)),'Match Log'!$N$4:$N$1510),NA()))</f>
        <v>#N/A</v>
      </c>
      <c r="N617" t="e">
        <f>IF($J617&gt;MAX('Match Log'!$A$4:$A$1510),NA(),IFERROR(LOOKUP(2,1/(('Match Log'!$D$4:$D$1510=$N$24)*('Match Log'!$A$4:$A$1510&lt;=$J617)),'Match Log'!$N$4:$N$1510),NA()))</f>
        <v>#N/A</v>
      </c>
      <c r="O617" t="e">
        <f>IF($J617&gt;MAX('Match Log'!$A$4:$A$1510),NA(),IFERROR(LOOKUP(2,1/(('Match Log'!$D$4:$D$1510=$O$24)*('Match Log'!$A$4:$A$1510&lt;=$J617)),'Match Log'!$N$4:$N$1510),NA()))</f>
        <v>#N/A</v>
      </c>
      <c r="P617" t="e">
        <f>IF($J617&gt;MAX('Match Log'!$A$4:$A$1510),NA(),IFERROR(LOOKUP(2,1/(('Match Log'!$D$4:$D$1510=$P$24)*('Match Log'!$A$4:$A$1510&lt;=$J617)),'Match Log'!$N$4:$N$1510),NA()))</f>
        <v>#N/A</v>
      </c>
      <c r="Q617" t="e">
        <f>IF($J617&gt;MAX('Match Log'!$A$4:$A$1510),NA(),IFERROR(LOOKUP(2,1/(('Match Log'!$D$4:$D$1510=$Q$24)*('Match Log'!$A$4:$A$1510&lt;=$J617)),'Match Log'!$N$4:$N$1510),NA()))</f>
        <v>#N/A</v>
      </c>
      <c r="R617" t="e">
        <f>IF($J617&gt;MAX('Match Log'!$A$4:$A$1510),NA(),IFERROR(LOOKUP(2,1/(('Match Log'!$D$4:$D$1510=$R$24)*('Match Log'!$A$4:$A$1510&lt;=$J617)),'Match Log'!$N$4:$N$1510),NA()))</f>
        <v>#N/A</v>
      </c>
      <c r="S617" t="e">
        <f>IF($J617&gt;MAX('Match Log'!$A$4:$A$1510),NA(),IFERROR(LOOKUP(2,1/(('Match Log'!$D$4:$D$1510=$S$24)*('Match Log'!$A$4:$A$1510&lt;=$J617)),'Match Log'!$N$4:$N$1510),NA()))</f>
        <v>#N/A</v>
      </c>
      <c r="T617" t="e">
        <f>IF($J617&gt;MAX('Match Log'!$A$4:$A$1510),NA(),IFERROR(LOOKUP(2,1/(('Match Log'!$D$4:$D$1510=$T$24)*('Match Log'!$A$4:$A$1510&lt;=$J617)),'Match Log'!$N$4:$N$1510),NA()))</f>
        <v>#N/A</v>
      </c>
      <c r="U617" t="e">
        <f>IF($J617&gt;MAX('Match Log'!$A$4:$A$1510),NA(),IFERROR(LOOKUP(2,1/(('Match Log'!$D$4:$D$1510=$U$24)*('Match Log'!$A$4:$A$1510&lt;=$J617)),'Match Log'!$N$4:$N$1510),NA()))</f>
        <v>#N/A</v>
      </c>
      <c r="V617" t="e">
        <f>IF($J617&gt;MAX('Match Log'!$A$4:$A$1510),NA(),IFERROR(LOOKUP(2,1/(('Match Log'!$D$4:$D$1510=$V$24)*('Match Log'!$A$4:$A$1510&lt;=$J617)),'Match Log'!$N$4:$N$1510),NA()))</f>
        <v>#N/A</v>
      </c>
      <c r="W617" t="e">
        <f>IF($J617&gt;MAX('Match Log'!$A$4:$A$1510),NA(),IFERROR(LOOKUP(2,1/(('Match Log'!$D$4:$D$1510=$W$24)*('Match Log'!$A$4:$A$1510&lt;=$J617)),'Match Log'!$N$4:$N$1510),NA()))</f>
        <v>#N/A</v>
      </c>
      <c r="X617" t="e">
        <f>IF($J617&gt;MAX('Match Log'!$A$4:$A$1510),NA(),IFERROR(LOOKUP(2,1/(('Match Log'!$D$4:$D$1510=$X$24)*('Match Log'!$A$4:$A$1510&lt;=$J617)),'Match Log'!$N$4:$N$1510),NA()))</f>
        <v>#N/A</v>
      </c>
      <c r="Y617" t="str">
        <f t="shared" ca="1" si="37"/>
        <v/>
      </c>
    </row>
    <row r="618" spans="1:25" x14ac:dyDescent="0.2">
      <c r="A618">
        <v>594</v>
      </c>
      <c r="B618" t="str">
        <f>IFERROR(INDEX('Match Log'!$B$4:$B$1510,MATCH($A618,'Match Log'!$A$4:$A$1510,0)),"")</f>
        <v/>
      </c>
      <c r="C618" t="str">
        <f>IFERROR(INDEX('Match Log'!$C$4:$C$1510,MATCH($A618,'Match Log'!$A$4:$A$1510,0)),"")</f>
        <v/>
      </c>
      <c r="D618" t="str">
        <f t="array" ref="D618">IFERROR(_xlfn.TEXTJOIN(" + ",TRUE(),IF(('Match Log'!$A$4:$A$1510=$A618)*('Match Log'!$E$4:$E$1510="Win"),'Match Log'!$D$4:$D$1510,"")),IFERROR(LOOKUP(2,1/(('Match Log'!$A$4:$A$1510=$A618)*('Match Log'!$E$4:$E$1510="Win")),'Match Log'!$D$4:$D$1510),""))</f>
        <v/>
      </c>
      <c r="E618" t="str">
        <f>IFERROR(INDEX('Match Log'!$F$4:$F$1510,MATCH($A618,'Match Log'!$A$4:$A$1510,0)),"")</f>
        <v/>
      </c>
      <c r="F618">
        <f>IFERROR(SUMIFS('Match Log'!$I$4:$I$1510,'Match Log'!$A$4:$A$1510,$A618,'Match Log'!$E$4:$E$1510,"Win"),"")</f>
        <v>0</v>
      </c>
      <c r="G618" t="str">
        <f t="shared" si="35"/>
        <v/>
      </c>
      <c r="H618" t="str">
        <f t="array" ref="H618">IFERROR(IF(COUNTIFS('Match Log'!$A$4:$A$1510,$A618,'Match Log'!$E$4:$E$1510,"Win")&gt;1,_xlfn.TEXTJOIN(" + ",TRUE(),IF(('Match Log'!$A$4:$A$1510=$A618)*('Match Log'!$E$4:$E$1510="Loss"),'Match Log'!$D$4:$D$1510,"")),IF($E618=2,LOOKUP(2,1/(('Match Log'!$A$4:$A$1510=$A618)*('Match Log'!$E$4:$E$1510="Loss")),'Match Log'!$D$4:$D$1510),"the field")),"")</f>
        <v>the field</v>
      </c>
      <c r="I618" t="str">
        <f t="shared" si="36"/>
        <v/>
      </c>
      <c r="J618">
        <v>594</v>
      </c>
      <c r="K618" t="e">
        <f>IF($J618&gt;MAX('Match Log'!$A$4:$A$1510),NA(),IFERROR(LOOKUP(2,1/(('Match Log'!$D$4:$D$1510=$K$24)*('Match Log'!$A$4:$A$1510&lt;=$J618)),'Match Log'!$N$4:$N$1510),NA()))</f>
        <v>#N/A</v>
      </c>
      <c r="L618" t="e">
        <f>IF($J618&gt;MAX('Match Log'!$A$4:$A$1510),NA(),IFERROR(LOOKUP(2,1/(('Match Log'!$D$4:$D$1510=$L$24)*('Match Log'!$A$4:$A$1510&lt;=$J618)),'Match Log'!$N$4:$N$1510),NA()))</f>
        <v>#N/A</v>
      </c>
      <c r="M618" t="e">
        <f>IF($J618&gt;MAX('Match Log'!$A$4:$A$1510),NA(),IFERROR(LOOKUP(2,1/(('Match Log'!$D$4:$D$1510=$M$24)*('Match Log'!$A$4:$A$1510&lt;=$J618)),'Match Log'!$N$4:$N$1510),NA()))</f>
        <v>#N/A</v>
      </c>
      <c r="N618" t="e">
        <f>IF($J618&gt;MAX('Match Log'!$A$4:$A$1510),NA(),IFERROR(LOOKUP(2,1/(('Match Log'!$D$4:$D$1510=$N$24)*('Match Log'!$A$4:$A$1510&lt;=$J618)),'Match Log'!$N$4:$N$1510),NA()))</f>
        <v>#N/A</v>
      </c>
      <c r="O618" t="e">
        <f>IF($J618&gt;MAX('Match Log'!$A$4:$A$1510),NA(),IFERROR(LOOKUP(2,1/(('Match Log'!$D$4:$D$1510=$O$24)*('Match Log'!$A$4:$A$1510&lt;=$J618)),'Match Log'!$N$4:$N$1510),NA()))</f>
        <v>#N/A</v>
      </c>
      <c r="P618" t="e">
        <f>IF($J618&gt;MAX('Match Log'!$A$4:$A$1510),NA(),IFERROR(LOOKUP(2,1/(('Match Log'!$D$4:$D$1510=$P$24)*('Match Log'!$A$4:$A$1510&lt;=$J618)),'Match Log'!$N$4:$N$1510),NA()))</f>
        <v>#N/A</v>
      </c>
      <c r="Q618" t="e">
        <f>IF($J618&gt;MAX('Match Log'!$A$4:$A$1510),NA(),IFERROR(LOOKUP(2,1/(('Match Log'!$D$4:$D$1510=$Q$24)*('Match Log'!$A$4:$A$1510&lt;=$J618)),'Match Log'!$N$4:$N$1510),NA()))</f>
        <v>#N/A</v>
      </c>
      <c r="R618" t="e">
        <f>IF($J618&gt;MAX('Match Log'!$A$4:$A$1510),NA(),IFERROR(LOOKUP(2,1/(('Match Log'!$D$4:$D$1510=$R$24)*('Match Log'!$A$4:$A$1510&lt;=$J618)),'Match Log'!$N$4:$N$1510),NA()))</f>
        <v>#N/A</v>
      </c>
      <c r="S618" t="e">
        <f>IF($J618&gt;MAX('Match Log'!$A$4:$A$1510),NA(),IFERROR(LOOKUP(2,1/(('Match Log'!$D$4:$D$1510=$S$24)*('Match Log'!$A$4:$A$1510&lt;=$J618)),'Match Log'!$N$4:$N$1510),NA()))</f>
        <v>#N/A</v>
      </c>
      <c r="T618" t="e">
        <f>IF($J618&gt;MAX('Match Log'!$A$4:$A$1510),NA(),IFERROR(LOOKUP(2,1/(('Match Log'!$D$4:$D$1510=$T$24)*('Match Log'!$A$4:$A$1510&lt;=$J618)),'Match Log'!$N$4:$N$1510),NA()))</f>
        <v>#N/A</v>
      </c>
      <c r="U618" t="e">
        <f>IF($J618&gt;MAX('Match Log'!$A$4:$A$1510),NA(),IFERROR(LOOKUP(2,1/(('Match Log'!$D$4:$D$1510=$U$24)*('Match Log'!$A$4:$A$1510&lt;=$J618)),'Match Log'!$N$4:$N$1510),NA()))</f>
        <v>#N/A</v>
      </c>
      <c r="V618" t="e">
        <f>IF($J618&gt;MAX('Match Log'!$A$4:$A$1510),NA(),IFERROR(LOOKUP(2,1/(('Match Log'!$D$4:$D$1510=$V$24)*('Match Log'!$A$4:$A$1510&lt;=$J618)),'Match Log'!$N$4:$N$1510),NA()))</f>
        <v>#N/A</v>
      </c>
      <c r="W618" t="e">
        <f>IF($J618&gt;MAX('Match Log'!$A$4:$A$1510),NA(),IFERROR(LOOKUP(2,1/(('Match Log'!$D$4:$D$1510=$W$24)*('Match Log'!$A$4:$A$1510&lt;=$J618)),'Match Log'!$N$4:$N$1510),NA()))</f>
        <v>#N/A</v>
      </c>
      <c r="X618" t="e">
        <f>IF($J618&gt;MAX('Match Log'!$A$4:$A$1510),NA(),IFERROR(LOOKUP(2,1/(('Match Log'!$D$4:$D$1510=$X$24)*('Match Log'!$A$4:$A$1510&lt;=$J618)),'Match Log'!$N$4:$N$1510),NA()))</f>
        <v>#N/A</v>
      </c>
      <c r="Y618" t="str">
        <f t="shared" ca="1" si="37"/>
        <v/>
      </c>
    </row>
    <row r="619" spans="1:25" x14ac:dyDescent="0.2">
      <c r="A619">
        <v>595</v>
      </c>
      <c r="B619" t="str">
        <f>IFERROR(INDEX('Match Log'!$B$4:$B$1510,MATCH($A619,'Match Log'!$A$4:$A$1510,0)),"")</f>
        <v/>
      </c>
      <c r="C619" t="str">
        <f>IFERROR(INDEX('Match Log'!$C$4:$C$1510,MATCH($A619,'Match Log'!$A$4:$A$1510,0)),"")</f>
        <v/>
      </c>
      <c r="D619" t="str">
        <f t="array" ref="D619">IFERROR(_xlfn.TEXTJOIN(" + ",TRUE(),IF(('Match Log'!$A$4:$A$1510=$A619)*('Match Log'!$E$4:$E$1510="Win"),'Match Log'!$D$4:$D$1510,"")),IFERROR(LOOKUP(2,1/(('Match Log'!$A$4:$A$1510=$A619)*('Match Log'!$E$4:$E$1510="Win")),'Match Log'!$D$4:$D$1510),""))</f>
        <v/>
      </c>
      <c r="E619" t="str">
        <f>IFERROR(INDEX('Match Log'!$F$4:$F$1510,MATCH($A619,'Match Log'!$A$4:$A$1510,0)),"")</f>
        <v/>
      </c>
      <c r="F619">
        <f>IFERROR(SUMIFS('Match Log'!$I$4:$I$1510,'Match Log'!$A$4:$A$1510,$A619,'Match Log'!$E$4:$E$1510,"Win"),"")</f>
        <v>0</v>
      </c>
      <c r="G619" t="str">
        <f t="shared" si="35"/>
        <v/>
      </c>
      <c r="H619" t="str">
        <f t="array" ref="H619">IFERROR(IF(COUNTIFS('Match Log'!$A$4:$A$1510,$A619,'Match Log'!$E$4:$E$1510,"Win")&gt;1,_xlfn.TEXTJOIN(" + ",TRUE(),IF(('Match Log'!$A$4:$A$1510=$A619)*('Match Log'!$E$4:$E$1510="Loss"),'Match Log'!$D$4:$D$1510,"")),IF($E619=2,LOOKUP(2,1/(('Match Log'!$A$4:$A$1510=$A619)*('Match Log'!$E$4:$E$1510="Loss")),'Match Log'!$D$4:$D$1510),"the field")),"")</f>
        <v>the field</v>
      </c>
      <c r="I619" t="str">
        <f t="shared" si="36"/>
        <v/>
      </c>
      <c r="J619">
        <v>595</v>
      </c>
      <c r="K619" t="e">
        <f>IF($J619&gt;MAX('Match Log'!$A$4:$A$1510),NA(),IFERROR(LOOKUP(2,1/(('Match Log'!$D$4:$D$1510=$K$24)*('Match Log'!$A$4:$A$1510&lt;=$J619)),'Match Log'!$N$4:$N$1510),NA()))</f>
        <v>#N/A</v>
      </c>
      <c r="L619" t="e">
        <f>IF($J619&gt;MAX('Match Log'!$A$4:$A$1510),NA(),IFERROR(LOOKUP(2,1/(('Match Log'!$D$4:$D$1510=$L$24)*('Match Log'!$A$4:$A$1510&lt;=$J619)),'Match Log'!$N$4:$N$1510),NA()))</f>
        <v>#N/A</v>
      </c>
      <c r="M619" t="e">
        <f>IF($J619&gt;MAX('Match Log'!$A$4:$A$1510),NA(),IFERROR(LOOKUP(2,1/(('Match Log'!$D$4:$D$1510=$M$24)*('Match Log'!$A$4:$A$1510&lt;=$J619)),'Match Log'!$N$4:$N$1510),NA()))</f>
        <v>#N/A</v>
      </c>
      <c r="N619" t="e">
        <f>IF($J619&gt;MAX('Match Log'!$A$4:$A$1510),NA(),IFERROR(LOOKUP(2,1/(('Match Log'!$D$4:$D$1510=$N$24)*('Match Log'!$A$4:$A$1510&lt;=$J619)),'Match Log'!$N$4:$N$1510),NA()))</f>
        <v>#N/A</v>
      </c>
      <c r="O619" t="e">
        <f>IF($J619&gt;MAX('Match Log'!$A$4:$A$1510),NA(),IFERROR(LOOKUP(2,1/(('Match Log'!$D$4:$D$1510=$O$24)*('Match Log'!$A$4:$A$1510&lt;=$J619)),'Match Log'!$N$4:$N$1510),NA()))</f>
        <v>#N/A</v>
      </c>
      <c r="P619" t="e">
        <f>IF($J619&gt;MAX('Match Log'!$A$4:$A$1510),NA(),IFERROR(LOOKUP(2,1/(('Match Log'!$D$4:$D$1510=$P$24)*('Match Log'!$A$4:$A$1510&lt;=$J619)),'Match Log'!$N$4:$N$1510),NA()))</f>
        <v>#N/A</v>
      </c>
      <c r="Q619" t="e">
        <f>IF($J619&gt;MAX('Match Log'!$A$4:$A$1510),NA(),IFERROR(LOOKUP(2,1/(('Match Log'!$D$4:$D$1510=$Q$24)*('Match Log'!$A$4:$A$1510&lt;=$J619)),'Match Log'!$N$4:$N$1510),NA()))</f>
        <v>#N/A</v>
      </c>
      <c r="R619" t="e">
        <f>IF($J619&gt;MAX('Match Log'!$A$4:$A$1510),NA(),IFERROR(LOOKUP(2,1/(('Match Log'!$D$4:$D$1510=$R$24)*('Match Log'!$A$4:$A$1510&lt;=$J619)),'Match Log'!$N$4:$N$1510),NA()))</f>
        <v>#N/A</v>
      </c>
      <c r="S619" t="e">
        <f>IF($J619&gt;MAX('Match Log'!$A$4:$A$1510),NA(),IFERROR(LOOKUP(2,1/(('Match Log'!$D$4:$D$1510=$S$24)*('Match Log'!$A$4:$A$1510&lt;=$J619)),'Match Log'!$N$4:$N$1510),NA()))</f>
        <v>#N/A</v>
      </c>
      <c r="T619" t="e">
        <f>IF($J619&gt;MAX('Match Log'!$A$4:$A$1510),NA(),IFERROR(LOOKUP(2,1/(('Match Log'!$D$4:$D$1510=$T$24)*('Match Log'!$A$4:$A$1510&lt;=$J619)),'Match Log'!$N$4:$N$1510),NA()))</f>
        <v>#N/A</v>
      </c>
      <c r="U619" t="e">
        <f>IF($J619&gt;MAX('Match Log'!$A$4:$A$1510),NA(),IFERROR(LOOKUP(2,1/(('Match Log'!$D$4:$D$1510=$U$24)*('Match Log'!$A$4:$A$1510&lt;=$J619)),'Match Log'!$N$4:$N$1510),NA()))</f>
        <v>#N/A</v>
      </c>
      <c r="V619" t="e">
        <f>IF($J619&gt;MAX('Match Log'!$A$4:$A$1510),NA(),IFERROR(LOOKUP(2,1/(('Match Log'!$D$4:$D$1510=$V$24)*('Match Log'!$A$4:$A$1510&lt;=$J619)),'Match Log'!$N$4:$N$1510),NA()))</f>
        <v>#N/A</v>
      </c>
      <c r="W619" t="e">
        <f>IF($J619&gt;MAX('Match Log'!$A$4:$A$1510),NA(),IFERROR(LOOKUP(2,1/(('Match Log'!$D$4:$D$1510=$W$24)*('Match Log'!$A$4:$A$1510&lt;=$J619)),'Match Log'!$N$4:$N$1510),NA()))</f>
        <v>#N/A</v>
      </c>
      <c r="X619" t="e">
        <f>IF($J619&gt;MAX('Match Log'!$A$4:$A$1510),NA(),IFERROR(LOOKUP(2,1/(('Match Log'!$D$4:$D$1510=$X$24)*('Match Log'!$A$4:$A$1510&lt;=$J619)),'Match Log'!$N$4:$N$1510),NA()))</f>
        <v>#N/A</v>
      </c>
      <c r="Y619" t="str">
        <f t="shared" ca="1" si="37"/>
        <v/>
      </c>
    </row>
    <row r="620" spans="1:25" x14ac:dyDescent="0.2">
      <c r="A620">
        <v>596</v>
      </c>
      <c r="B620" t="str">
        <f>IFERROR(INDEX('Match Log'!$B$4:$B$1510,MATCH($A620,'Match Log'!$A$4:$A$1510,0)),"")</f>
        <v/>
      </c>
      <c r="C620" t="str">
        <f>IFERROR(INDEX('Match Log'!$C$4:$C$1510,MATCH($A620,'Match Log'!$A$4:$A$1510,0)),"")</f>
        <v/>
      </c>
      <c r="D620" t="str">
        <f t="array" ref="D620">IFERROR(_xlfn.TEXTJOIN(" + ",TRUE(),IF(('Match Log'!$A$4:$A$1510=$A620)*('Match Log'!$E$4:$E$1510="Win"),'Match Log'!$D$4:$D$1510,"")),IFERROR(LOOKUP(2,1/(('Match Log'!$A$4:$A$1510=$A620)*('Match Log'!$E$4:$E$1510="Win")),'Match Log'!$D$4:$D$1510),""))</f>
        <v/>
      </c>
      <c r="E620" t="str">
        <f>IFERROR(INDEX('Match Log'!$F$4:$F$1510,MATCH($A620,'Match Log'!$A$4:$A$1510,0)),"")</f>
        <v/>
      </c>
      <c r="F620">
        <f>IFERROR(SUMIFS('Match Log'!$I$4:$I$1510,'Match Log'!$A$4:$A$1510,$A620,'Match Log'!$E$4:$E$1510,"Win"),"")</f>
        <v>0</v>
      </c>
      <c r="G620" t="str">
        <f t="shared" si="35"/>
        <v/>
      </c>
      <c r="H620" t="str">
        <f t="array" ref="H620">IFERROR(IF(COUNTIFS('Match Log'!$A$4:$A$1510,$A620,'Match Log'!$E$4:$E$1510,"Win")&gt;1,_xlfn.TEXTJOIN(" + ",TRUE(),IF(('Match Log'!$A$4:$A$1510=$A620)*('Match Log'!$E$4:$E$1510="Loss"),'Match Log'!$D$4:$D$1510,"")),IF($E620=2,LOOKUP(2,1/(('Match Log'!$A$4:$A$1510=$A620)*('Match Log'!$E$4:$E$1510="Loss")),'Match Log'!$D$4:$D$1510),"the field")),"")</f>
        <v>the field</v>
      </c>
      <c r="I620" t="str">
        <f t="shared" si="36"/>
        <v/>
      </c>
      <c r="J620">
        <v>596</v>
      </c>
      <c r="K620" t="e">
        <f>IF($J620&gt;MAX('Match Log'!$A$4:$A$1510),NA(),IFERROR(LOOKUP(2,1/(('Match Log'!$D$4:$D$1510=$K$24)*('Match Log'!$A$4:$A$1510&lt;=$J620)),'Match Log'!$N$4:$N$1510),NA()))</f>
        <v>#N/A</v>
      </c>
      <c r="L620" t="e">
        <f>IF($J620&gt;MAX('Match Log'!$A$4:$A$1510),NA(),IFERROR(LOOKUP(2,1/(('Match Log'!$D$4:$D$1510=$L$24)*('Match Log'!$A$4:$A$1510&lt;=$J620)),'Match Log'!$N$4:$N$1510),NA()))</f>
        <v>#N/A</v>
      </c>
      <c r="M620" t="e">
        <f>IF($J620&gt;MAX('Match Log'!$A$4:$A$1510),NA(),IFERROR(LOOKUP(2,1/(('Match Log'!$D$4:$D$1510=$M$24)*('Match Log'!$A$4:$A$1510&lt;=$J620)),'Match Log'!$N$4:$N$1510),NA()))</f>
        <v>#N/A</v>
      </c>
      <c r="N620" t="e">
        <f>IF($J620&gt;MAX('Match Log'!$A$4:$A$1510),NA(),IFERROR(LOOKUP(2,1/(('Match Log'!$D$4:$D$1510=$N$24)*('Match Log'!$A$4:$A$1510&lt;=$J620)),'Match Log'!$N$4:$N$1510),NA()))</f>
        <v>#N/A</v>
      </c>
      <c r="O620" t="e">
        <f>IF($J620&gt;MAX('Match Log'!$A$4:$A$1510),NA(),IFERROR(LOOKUP(2,1/(('Match Log'!$D$4:$D$1510=$O$24)*('Match Log'!$A$4:$A$1510&lt;=$J620)),'Match Log'!$N$4:$N$1510),NA()))</f>
        <v>#N/A</v>
      </c>
      <c r="P620" t="e">
        <f>IF($J620&gt;MAX('Match Log'!$A$4:$A$1510),NA(),IFERROR(LOOKUP(2,1/(('Match Log'!$D$4:$D$1510=$P$24)*('Match Log'!$A$4:$A$1510&lt;=$J620)),'Match Log'!$N$4:$N$1510),NA()))</f>
        <v>#N/A</v>
      </c>
      <c r="Q620" t="e">
        <f>IF($J620&gt;MAX('Match Log'!$A$4:$A$1510),NA(),IFERROR(LOOKUP(2,1/(('Match Log'!$D$4:$D$1510=$Q$24)*('Match Log'!$A$4:$A$1510&lt;=$J620)),'Match Log'!$N$4:$N$1510),NA()))</f>
        <v>#N/A</v>
      </c>
      <c r="R620" t="e">
        <f>IF($J620&gt;MAX('Match Log'!$A$4:$A$1510),NA(),IFERROR(LOOKUP(2,1/(('Match Log'!$D$4:$D$1510=$R$24)*('Match Log'!$A$4:$A$1510&lt;=$J620)),'Match Log'!$N$4:$N$1510),NA()))</f>
        <v>#N/A</v>
      </c>
      <c r="S620" t="e">
        <f>IF($J620&gt;MAX('Match Log'!$A$4:$A$1510),NA(),IFERROR(LOOKUP(2,1/(('Match Log'!$D$4:$D$1510=$S$24)*('Match Log'!$A$4:$A$1510&lt;=$J620)),'Match Log'!$N$4:$N$1510),NA()))</f>
        <v>#N/A</v>
      </c>
      <c r="T620" t="e">
        <f>IF($J620&gt;MAX('Match Log'!$A$4:$A$1510),NA(),IFERROR(LOOKUP(2,1/(('Match Log'!$D$4:$D$1510=$T$24)*('Match Log'!$A$4:$A$1510&lt;=$J620)),'Match Log'!$N$4:$N$1510),NA()))</f>
        <v>#N/A</v>
      </c>
      <c r="U620" t="e">
        <f>IF($J620&gt;MAX('Match Log'!$A$4:$A$1510),NA(),IFERROR(LOOKUP(2,1/(('Match Log'!$D$4:$D$1510=$U$24)*('Match Log'!$A$4:$A$1510&lt;=$J620)),'Match Log'!$N$4:$N$1510),NA()))</f>
        <v>#N/A</v>
      </c>
      <c r="V620" t="e">
        <f>IF($J620&gt;MAX('Match Log'!$A$4:$A$1510),NA(),IFERROR(LOOKUP(2,1/(('Match Log'!$D$4:$D$1510=$V$24)*('Match Log'!$A$4:$A$1510&lt;=$J620)),'Match Log'!$N$4:$N$1510),NA()))</f>
        <v>#N/A</v>
      </c>
      <c r="W620" t="e">
        <f>IF($J620&gt;MAX('Match Log'!$A$4:$A$1510),NA(),IFERROR(LOOKUP(2,1/(('Match Log'!$D$4:$D$1510=$W$24)*('Match Log'!$A$4:$A$1510&lt;=$J620)),'Match Log'!$N$4:$N$1510),NA()))</f>
        <v>#N/A</v>
      </c>
      <c r="X620" t="e">
        <f>IF($J620&gt;MAX('Match Log'!$A$4:$A$1510),NA(),IFERROR(LOOKUP(2,1/(('Match Log'!$D$4:$D$1510=$X$24)*('Match Log'!$A$4:$A$1510&lt;=$J620)),'Match Log'!$N$4:$N$1510),NA()))</f>
        <v>#N/A</v>
      </c>
      <c r="Y620" t="str">
        <f t="shared" ca="1" si="37"/>
        <v/>
      </c>
    </row>
    <row r="621" spans="1:25" x14ac:dyDescent="0.2">
      <c r="A621">
        <v>597</v>
      </c>
      <c r="B621" t="str">
        <f>IFERROR(INDEX('Match Log'!$B$4:$B$1510,MATCH($A621,'Match Log'!$A$4:$A$1510,0)),"")</f>
        <v/>
      </c>
      <c r="C621" t="str">
        <f>IFERROR(INDEX('Match Log'!$C$4:$C$1510,MATCH($A621,'Match Log'!$A$4:$A$1510,0)),"")</f>
        <v/>
      </c>
      <c r="D621" t="str">
        <f t="array" ref="D621">IFERROR(_xlfn.TEXTJOIN(" + ",TRUE(),IF(('Match Log'!$A$4:$A$1510=$A621)*('Match Log'!$E$4:$E$1510="Win"),'Match Log'!$D$4:$D$1510,"")),IFERROR(LOOKUP(2,1/(('Match Log'!$A$4:$A$1510=$A621)*('Match Log'!$E$4:$E$1510="Win")),'Match Log'!$D$4:$D$1510),""))</f>
        <v/>
      </c>
      <c r="E621" t="str">
        <f>IFERROR(INDEX('Match Log'!$F$4:$F$1510,MATCH($A621,'Match Log'!$A$4:$A$1510,0)),"")</f>
        <v/>
      </c>
      <c r="F621">
        <f>IFERROR(SUMIFS('Match Log'!$I$4:$I$1510,'Match Log'!$A$4:$A$1510,$A621,'Match Log'!$E$4:$E$1510,"Win"),"")</f>
        <v>0</v>
      </c>
      <c r="G621" t="str">
        <f t="shared" si="35"/>
        <v/>
      </c>
      <c r="H621" t="str">
        <f t="array" ref="H621">IFERROR(IF(COUNTIFS('Match Log'!$A$4:$A$1510,$A621,'Match Log'!$E$4:$E$1510,"Win")&gt;1,_xlfn.TEXTJOIN(" + ",TRUE(),IF(('Match Log'!$A$4:$A$1510=$A621)*('Match Log'!$E$4:$E$1510="Loss"),'Match Log'!$D$4:$D$1510,"")),IF($E621=2,LOOKUP(2,1/(('Match Log'!$A$4:$A$1510=$A621)*('Match Log'!$E$4:$E$1510="Loss")),'Match Log'!$D$4:$D$1510),"the field")),"")</f>
        <v>the field</v>
      </c>
      <c r="I621" t="str">
        <f t="shared" si="36"/>
        <v/>
      </c>
      <c r="J621">
        <v>597</v>
      </c>
      <c r="K621" t="e">
        <f>IF($J621&gt;MAX('Match Log'!$A$4:$A$1510),NA(),IFERROR(LOOKUP(2,1/(('Match Log'!$D$4:$D$1510=$K$24)*('Match Log'!$A$4:$A$1510&lt;=$J621)),'Match Log'!$N$4:$N$1510),NA()))</f>
        <v>#N/A</v>
      </c>
      <c r="L621" t="e">
        <f>IF($J621&gt;MAX('Match Log'!$A$4:$A$1510),NA(),IFERROR(LOOKUP(2,1/(('Match Log'!$D$4:$D$1510=$L$24)*('Match Log'!$A$4:$A$1510&lt;=$J621)),'Match Log'!$N$4:$N$1510),NA()))</f>
        <v>#N/A</v>
      </c>
      <c r="M621" t="e">
        <f>IF($J621&gt;MAX('Match Log'!$A$4:$A$1510),NA(),IFERROR(LOOKUP(2,1/(('Match Log'!$D$4:$D$1510=$M$24)*('Match Log'!$A$4:$A$1510&lt;=$J621)),'Match Log'!$N$4:$N$1510),NA()))</f>
        <v>#N/A</v>
      </c>
      <c r="N621" t="e">
        <f>IF($J621&gt;MAX('Match Log'!$A$4:$A$1510),NA(),IFERROR(LOOKUP(2,1/(('Match Log'!$D$4:$D$1510=$N$24)*('Match Log'!$A$4:$A$1510&lt;=$J621)),'Match Log'!$N$4:$N$1510),NA()))</f>
        <v>#N/A</v>
      </c>
      <c r="O621" t="e">
        <f>IF($J621&gt;MAX('Match Log'!$A$4:$A$1510),NA(),IFERROR(LOOKUP(2,1/(('Match Log'!$D$4:$D$1510=$O$24)*('Match Log'!$A$4:$A$1510&lt;=$J621)),'Match Log'!$N$4:$N$1510),NA()))</f>
        <v>#N/A</v>
      </c>
      <c r="P621" t="e">
        <f>IF($J621&gt;MAX('Match Log'!$A$4:$A$1510),NA(),IFERROR(LOOKUP(2,1/(('Match Log'!$D$4:$D$1510=$P$24)*('Match Log'!$A$4:$A$1510&lt;=$J621)),'Match Log'!$N$4:$N$1510),NA()))</f>
        <v>#N/A</v>
      </c>
      <c r="Q621" t="e">
        <f>IF($J621&gt;MAX('Match Log'!$A$4:$A$1510),NA(),IFERROR(LOOKUP(2,1/(('Match Log'!$D$4:$D$1510=$Q$24)*('Match Log'!$A$4:$A$1510&lt;=$J621)),'Match Log'!$N$4:$N$1510),NA()))</f>
        <v>#N/A</v>
      </c>
      <c r="R621" t="e">
        <f>IF($J621&gt;MAX('Match Log'!$A$4:$A$1510),NA(),IFERROR(LOOKUP(2,1/(('Match Log'!$D$4:$D$1510=$R$24)*('Match Log'!$A$4:$A$1510&lt;=$J621)),'Match Log'!$N$4:$N$1510),NA()))</f>
        <v>#N/A</v>
      </c>
      <c r="S621" t="e">
        <f>IF($J621&gt;MAX('Match Log'!$A$4:$A$1510),NA(),IFERROR(LOOKUP(2,1/(('Match Log'!$D$4:$D$1510=$S$24)*('Match Log'!$A$4:$A$1510&lt;=$J621)),'Match Log'!$N$4:$N$1510),NA()))</f>
        <v>#N/A</v>
      </c>
      <c r="T621" t="e">
        <f>IF($J621&gt;MAX('Match Log'!$A$4:$A$1510),NA(),IFERROR(LOOKUP(2,1/(('Match Log'!$D$4:$D$1510=$T$24)*('Match Log'!$A$4:$A$1510&lt;=$J621)),'Match Log'!$N$4:$N$1510),NA()))</f>
        <v>#N/A</v>
      </c>
      <c r="U621" t="e">
        <f>IF($J621&gt;MAX('Match Log'!$A$4:$A$1510),NA(),IFERROR(LOOKUP(2,1/(('Match Log'!$D$4:$D$1510=$U$24)*('Match Log'!$A$4:$A$1510&lt;=$J621)),'Match Log'!$N$4:$N$1510),NA()))</f>
        <v>#N/A</v>
      </c>
      <c r="V621" t="e">
        <f>IF($J621&gt;MAX('Match Log'!$A$4:$A$1510),NA(),IFERROR(LOOKUP(2,1/(('Match Log'!$D$4:$D$1510=$V$24)*('Match Log'!$A$4:$A$1510&lt;=$J621)),'Match Log'!$N$4:$N$1510),NA()))</f>
        <v>#N/A</v>
      </c>
      <c r="W621" t="e">
        <f>IF($J621&gt;MAX('Match Log'!$A$4:$A$1510),NA(),IFERROR(LOOKUP(2,1/(('Match Log'!$D$4:$D$1510=$W$24)*('Match Log'!$A$4:$A$1510&lt;=$J621)),'Match Log'!$N$4:$N$1510),NA()))</f>
        <v>#N/A</v>
      </c>
      <c r="X621" t="e">
        <f>IF($J621&gt;MAX('Match Log'!$A$4:$A$1510),NA(),IFERROR(LOOKUP(2,1/(('Match Log'!$D$4:$D$1510=$X$24)*('Match Log'!$A$4:$A$1510&lt;=$J621)),'Match Log'!$N$4:$N$1510),NA()))</f>
        <v>#N/A</v>
      </c>
      <c r="Y621" t="str">
        <f t="shared" ca="1" si="37"/>
        <v/>
      </c>
    </row>
    <row r="622" spans="1:25" x14ac:dyDescent="0.2">
      <c r="A622">
        <v>598</v>
      </c>
      <c r="B622" t="str">
        <f>IFERROR(INDEX('Match Log'!$B$4:$B$1510,MATCH($A622,'Match Log'!$A$4:$A$1510,0)),"")</f>
        <v/>
      </c>
      <c r="C622" t="str">
        <f>IFERROR(INDEX('Match Log'!$C$4:$C$1510,MATCH($A622,'Match Log'!$A$4:$A$1510,0)),"")</f>
        <v/>
      </c>
      <c r="D622" t="str">
        <f t="array" ref="D622">IFERROR(_xlfn.TEXTJOIN(" + ",TRUE(),IF(('Match Log'!$A$4:$A$1510=$A622)*('Match Log'!$E$4:$E$1510="Win"),'Match Log'!$D$4:$D$1510,"")),IFERROR(LOOKUP(2,1/(('Match Log'!$A$4:$A$1510=$A622)*('Match Log'!$E$4:$E$1510="Win")),'Match Log'!$D$4:$D$1510),""))</f>
        <v/>
      </c>
      <c r="E622" t="str">
        <f>IFERROR(INDEX('Match Log'!$F$4:$F$1510,MATCH($A622,'Match Log'!$A$4:$A$1510,0)),"")</f>
        <v/>
      </c>
      <c r="F622">
        <f>IFERROR(SUMIFS('Match Log'!$I$4:$I$1510,'Match Log'!$A$4:$A$1510,$A622,'Match Log'!$E$4:$E$1510,"Win"),"")</f>
        <v>0</v>
      </c>
      <c r="G622" t="str">
        <f t="shared" si="35"/>
        <v/>
      </c>
      <c r="H622" t="str">
        <f t="array" ref="H622">IFERROR(IF(COUNTIFS('Match Log'!$A$4:$A$1510,$A622,'Match Log'!$E$4:$E$1510,"Win")&gt;1,_xlfn.TEXTJOIN(" + ",TRUE(),IF(('Match Log'!$A$4:$A$1510=$A622)*('Match Log'!$E$4:$E$1510="Loss"),'Match Log'!$D$4:$D$1510,"")),IF($E622=2,LOOKUP(2,1/(('Match Log'!$A$4:$A$1510=$A622)*('Match Log'!$E$4:$E$1510="Loss")),'Match Log'!$D$4:$D$1510),"the field")),"")</f>
        <v>the field</v>
      </c>
      <c r="I622" t="str">
        <f t="shared" si="36"/>
        <v/>
      </c>
      <c r="J622">
        <v>598</v>
      </c>
      <c r="K622" t="e">
        <f>IF($J622&gt;MAX('Match Log'!$A$4:$A$1510),NA(),IFERROR(LOOKUP(2,1/(('Match Log'!$D$4:$D$1510=$K$24)*('Match Log'!$A$4:$A$1510&lt;=$J622)),'Match Log'!$N$4:$N$1510),NA()))</f>
        <v>#N/A</v>
      </c>
      <c r="L622" t="e">
        <f>IF($J622&gt;MAX('Match Log'!$A$4:$A$1510),NA(),IFERROR(LOOKUP(2,1/(('Match Log'!$D$4:$D$1510=$L$24)*('Match Log'!$A$4:$A$1510&lt;=$J622)),'Match Log'!$N$4:$N$1510),NA()))</f>
        <v>#N/A</v>
      </c>
      <c r="M622" t="e">
        <f>IF($J622&gt;MAX('Match Log'!$A$4:$A$1510),NA(),IFERROR(LOOKUP(2,1/(('Match Log'!$D$4:$D$1510=$M$24)*('Match Log'!$A$4:$A$1510&lt;=$J622)),'Match Log'!$N$4:$N$1510),NA()))</f>
        <v>#N/A</v>
      </c>
      <c r="N622" t="e">
        <f>IF($J622&gt;MAX('Match Log'!$A$4:$A$1510),NA(),IFERROR(LOOKUP(2,1/(('Match Log'!$D$4:$D$1510=$N$24)*('Match Log'!$A$4:$A$1510&lt;=$J622)),'Match Log'!$N$4:$N$1510),NA()))</f>
        <v>#N/A</v>
      </c>
      <c r="O622" t="e">
        <f>IF($J622&gt;MAX('Match Log'!$A$4:$A$1510),NA(),IFERROR(LOOKUP(2,1/(('Match Log'!$D$4:$D$1510=$O$24)*('Match Log'!$A$4:$A$1510&lt;=$J622)),'Match Log'!$N$4:$N$1510),NA()))</f>
        <v>#N/A</v>
      </c>
      <c r="P622" t="e">
        <f>IF($J622&gt;MAX('Match Log'!$A$4:$A$1510),NA(),IFERROR(LOOKUP(2,1/(('Match Log'!$D$4:$D$1510=$P$24)*('Match Log'!$A$4:$A$1510&lt;=$J622)),'Match Log'!$N$4:$N$1510),NA()))</f>
        <v>#N/A</v>
      </c>
      <c r="Q622" t="e">
        <f>IF($J622&gt;MAX('Match Log'!$A$4:$A$1510),NA(),IFERROR(LOOKUP(2,1/(('Match Log'!$D$4:$D$1510=$Q$24)*('Match Log'!$A$4:$A$1510&lt;=$J622)),'Match Log'!$N$4:$N$1510),NA()))</f>
        <v>#N/A</v>
      </c>
      <c r="R622" t="e">
        <f>IF($J622&gt;MAX('Match Log'!$A$4:$A$1510),NA(),IFERROR(LOOKUP(2,1/(('Match Log'!$D$4:$D$1510=$R$24)*('Match Log'!$A$4:$A$1510&lt;=$J622)),'Match Log'!$N$4:$N$1510),NA()))</f>
        <v>#N/A</v>
      </c>
      <c r="S622" t="e">
        <f>IF($J622&gt;MAX('Match Log'!$A$4:$A$1510),NA(),IFERROR(LOOKUP(2,1/(('Match Log'!$D$4:$D$1510=$S$24)*('Match Log'!$A$4:$A$1510&lt;=$J622)),'Match Log'!$N$4:$N$1510),NA()))</f>
        <v>#N/A</v>
      </c>
      <c r="T622" t="e">
        <f>IF($J622&gt;MAX('Match Log'!$A$4:$A$1510),NA(),IFERROR(LOOKUP(2,1/(('Match Log'!$D$4:$D$1510=$T$24)*('Match Log'!$A$4:$A$1510&lt;=$J622)),'Match Log'!$N$4:$N$1510),NA()))</f>
        <v>#N/A</v>
      </c>
      <c r="U622" t="e">
        <f>IF($J622&gt;MAX('Match Log'!$A$4:$A$1510),NA(),IFERROR(LOOKUP(2,1/(('Match Log'!$D$4:$D$1510=$U$24)*('Match Log'!$A$4:$A$1510&lt;=$J622)),'Match Log'!$N$4:$N$1510),NA()))</f>
        <v>#N/A</v>
      </c>
      <c r="V622" t="e">
        <f>IF($J622&gt;MAX('Match Log'!$A$4:$A$1510),NA(),IFERROR(LOOKUP(2,1/(('Match Log'!$D$4:$D$1510=$V$24)*('Match Log'!$A$4:$A$1510&lt;=$J622)),'Match Log'!$N$4:$N$1510),NA()))</f>
        <v>#N/A</v>
      </c>
      <c r="W622" t="e">
        <f>IF($J622&gt;MAX('Match Log'!$A$4:$A$1510),NA(),IFERROR(LOOKUP(2,1/(('Match Log'!$D$4:$D$1510=$W$24)*('Match Log'!$A$4:$A$1510&lt;=$J622)),'Match Log'!$N$4:$N$1510),NA()))</f>
        <v>#N/A</v>
      </c>
      <c r="X622" t="e">
        <f>IF($J622&gt;MAX('Match Log'!$A$4:$A$1510),NA(),IFERROR(LOOKUP(2,1/(('Match Log'!$D$4:$D$1510=$X$24)*('Match Log'!$A$4:$A$1510&lt;=$J622)),'Match Log'!$N$4:$N$1510),NA()))</f>
        <v>#N/A</v>
      </c>
      <c r="Y622" t="str">
        <f t="shared" ca="1" si="37"/>
        <v/>
      </c>
    </row>
    <row r="623" spans="1:25" x14ac:dyDescent="0.2">
      <c r="A623">
        <v>599</v>
      </c>
      <c r="B623" t="str">
        <f>IFERROR(INDEX('Match Log'!$B$4:$B$1510,MATCH($A623,'Match Log'!$A$4:$A$1510,0)),"")</f>
        <v/>
      </c>
      <c r="C623" t="str">
        <f>IFERROR(INDEX('Match Log'!$C$4:$C$1510,MATCH($A623,'Match Log'!$A$4:$A$1510,0)),"")</f>
        <v/>
      </c>
      <c r="D623" t="str">
        <f t="array" ref="D623">IFERROR(_xlfn.TEXTJOIN(" + ",TRUE(),IF(('Match Log'!$A$4:$A$1510=$A623)*('Match Log'!$E$4:$E$1510="Win"),'Match Log'!$D$4:$D$1510,"")),IFERROR(LOOKUP(2,1/(('Match Log'!$A$4:$A$1510=$A623)*('Match Log'!$E$4:$E$1510="Win")),'Match Log'!$D$4:$D$1510),""))</f>
        <v/>
      </c>
      <c r="E623" t="str">
        <f>IFERROR(INDEX('Match Log'!$F$4:$F$1510,MATCH($A623,'Match Log'!$A$4:$A$1510,0)),"")</f>
        <v/>
      </c>
      <c r="F623">
        <f>IFERROR(SUMIFS('Match Log'!$I$4:$I$1510,'Match Log'!$A$4:$A$1510,$A623,'Match Log'!$E$4:$E$1510,"Win"),"")</f>
        <v>0</v>
      </c>
      <c r="G623" t="str">
        <f t="shared" si="35"/>
        <v/>
      </c>
      <c r="H623" t="str">
        <f t="array" ref="H623">IFERROR(IF(COUNTIFS('Match Log'!$A$4:$A$1510,$A623,'Match Log'!$E$4:$E$1510,"Win")&gt;1,_xlfn.TEXTJOIN(" + ",TRUE(),IF(('Match Log'!$A$4:$A$1510=$A623)*('Match Log'!$E$4:$E$1510="Loss"),'Match Log'!$D$4:$D$1510,"")),IF($E623=2,LOOKUP(2,1/(('Match Log'!$A$4:$A$1510=$A623)*('Match Log'!$E$4:$E$1510="Loss")),'Match Log'!$D$4:$D$1510),"the field")),"")</f>
        <v>the field</v>
      </c>
      <c r="I623" t="str">
        <f t="shared" si="36"/>
        <v/>
      </c>
      <c r="J623">
        <v>599</v>
      </c>
      <c r="K623" t="e">
        <f>IF($J623&gt;MAX('Match Log'!$A$4:$A$1510),NA(),IFERROR(LOOKUP(2,1/(('Match Log'!$D$4:$D$1510=$K$24)*('Match Log'!$A$4:$A$1510&lt;=$J623)),'Match Log'!$N$4:$N$1510),NA()))</f>
        <v>#N/A</v>
      </c>
      <c r="L623" t="e">
        <f>IF($J623&gt;MAX('Match Log'!$A$4:$A$1510),NA(),IFERROR(LOOKUP(2,1/(('Match Log'!$D$4:$D$1510=$L$24)*('Match Log'!$A$4:$A$1510&lt;=$J623)),'Match Log'!$N$4:$N$1510),NA()))</f>
        <v>#N/A</v>
      </c>
      <c r="M623" t="e">
        <f>IF($J623&gt;MAX('Match Log'!$A$4:$A$1510),NA(),IFERROR(LOOKUP(2,1/(('Match Log'!$D$4:$D$1510=$M$24)*('Match Log'!$A$4:$A$1510&lt;=$J623)),'Match Log'!$N$4:$N$1510),NA()))</f>
        <v>#N/A</v>
      </c>
      <c r="N623" t="e">
        <f>IF($J623&gt;MAX('Match Log'!$A$4:$A$1510),NA(),IFERROR(LOOKUP(2,1/(('Match Log'!$D$4:$D$1510=$N$24)*('Match Log'!$A$4:$A$1510&lt;=$J623)),'Match Log'!$N$4:$N$1510),NA()))</f>
        <v>#N/A</v>
      </c>
      <c r="O623" t="e">
        <f>IF($J623&gt;MAX('Match Log'!$A$4:$A$1510),NA(),IFERROR(LOOKUP(2,1/(('Match Log'!$D$4:$D$1510=$O$24)*('Match Log'!$A$4:$A$1510&lt;=$J623)),'Match Log'!$N$4:$N$1510),NA()))</f>
        <v>#N/A</v>
      </c>
      <c r="P623" t="e">
        <f>IF($J623&gt;MAX('Match Log'!$A$4:$A$1510),NA(),IFERROR(LOOKUP(2,1/(('Match Log'!$D$4:$D$1510=$P$24)*('Match Log'!$A$4:$A$1510&lt;=$J623)),'Match Log'!$N$4:$N$1510),NA()))</f>
        <v>#N/A</v>
      </c>
      <c r="Q623" t="e">
        <f>IF($J623&gt;MAX('Match Log'!$A$4:$A$1510),NA(),IFERROR(LOOKUP(2,1/(('Match Log'!$D$4:$D$1510=$Q$24)*('Match Log'!$A$4:$A$1510&lt;=$J623)),'Match Log'!$N$4:$N$1510),NA()))</f>
        <v>#N/A</v>
      </c>
      <c r="R623" t="e">
        <f>IF($J623&gt;MAX('Match Log'!$A$4:$A$1510),NA(),IFERROR(LOOKUP(2,1/(('Match Log'!$D$4:$D$1510=$R$24)*('Match Log'!$A$4:$A$1510&lt;=$J623)),'Match Log'!$N$4:$N$1510),NA()))</f>
        <v>#N/A</v>
      </c>
      <c r="S623" t="e">
        <f>IF($J623&gt;MAX('Match Log'!$A$4:$A$1510),NA(),IFERROR(LOOKUP(2,1/(('Match Log'!$D$4:$D$1510=$S$24)*('Match Log'!$A$4:$A$1510&lt;=$J623)),'Match Log'!$N$4:$N$1510),NA()))</f>
        <v>#N/A</v>
      </c>
      <c r="T623" t="e">
        <f>IF($J623&gt;MAX('Match Log'!$A$4:$A$1510),NA(),IFERROR(LOOKUP(2,1/(('Match Log'!$D$4:$D$1510=$T$24)*('Match Log'!$A$4:$A$1510&lt;=$J623)),'Match Log'!$N$4:$N$1510),NA()))</f>
        <v>#N/A</v>
      </c>
      <c r="U623" t="e">
        <f>IF($J623&gt;MAX('Match Log'!$A$4:$A$1510),NA(),IFERROR(LOOKUP(2,1/(('Match Log'!$D$4:$D$1510=$U$24)*('Match Log'!$A$4:$A$1510&lt;=$J623)),'Match Log'!$N$4:$N$1510),NA()))</f>
        <v>#N/A</v>
      </c>
      <c r="V623" t="e">
        <f>IF($J623&gt;MAX('Match Log'!$A$4:$A$1510),NA(),IFERROR(LOOKUP(2,1/(('Match Log'!$D$4:$D$1510=$V$24)*('Match Log'!$A$4:$A$1510&lt;=$J623)),'Match Log'!$N$4:$N$1510),NA()))</f>
        <v>#N/A</v>
      </c>
      <c r="W623" t="e">
        <f>IF($J623&gt;MAX('Match Log'!$A$4:$A$1510),NA(),IFERROR(LOOKUP(2,1/(('Match Log'!$D$4:$D$1510=$W$24)*('Match Log'!$A$4:$A$1510&lt;=$J623)),'Match Log'!$N$4:$N$1510),NA()))</f>
        <v>#N/A</v>
      </c>
      <c r="X623" t="e">
        <f>IF($J623&gt;MAX('Match Log'!$A$4:$A$1510),NA(),IFERROR(LOOKUP(2,1/(('Match Log'!$D$4:$D$1510=$X$24)*('Match Log'!$A$4:$A$1510&lt;=$J623)),'Match Log'!$N$4:$N$1510),NA()))</f>
        <v>#N/A</v>
      </c>
      <c r="Y623" t="str">
        <f t="shared" ca="1" si="37"/>
        <v/>
      </c>
    </row>
    <row r="624" spans="1:25" x14ac:dyDescent="0.2">
      <c r="A624">
        <v>600</v>
      </c>
      <c r="B624" t="str">
        <f>IFERROR(INDEX('Match Log'!$B$4:$B$1510,MATCH($A624,'Match Log'!$A$4:$A$1510,0)),"")</f>
        <v/>
      </c>
      <c r="C624" t="str">
        <f>IFERROR(INDEX('Match Log'!$C$4:$C$1510,MATCH($A624,'Match Log'!$A$4:$A$1510,0)),"")</f>
        <v/>
      </c>
      <c r="D624" t="str">
        <f t="array" ref="D624">IFERROR(_xlfn.TEXTJOIN(" + ",TRUE(),IF(('Match Log'!$A$4:$A$1510=$A624)*('Match Log'!$E$4:$E$1510="Win"),'Match Log'!$D$4:$D$1510,"")),IFERROR(LOOKUP(2,1/(('Match Log'!$A$4:$A$1510=$A624)*('Match Log'!$E$4:$E$1510="Win")),'Match Log'!$D$4:$D$1510),""))</f>
        <v/>
      </c>
      <c r="E624" t="str">
        <f>IFERROR(INDEX('Match Log'!$F$4:$F$1510,MATCH($A624,'Match Log'!$A$4:$A$1510,0)),"")</f>
        <v/>
      </c>
      <c r="F624">
        <f>IFERROR(SUMIFS('Match Log'!$I$4:$I$1510,'Match Log'!$A$4:$A$1510,$A624,'Match Log'!$E$4:$E$1510,"Win"),"")</f>
        <v>0</v>
      </c>
      <c r="G624" t="str">
        <f t="shared" si="35"/>
        <v/>
      </c>
      <c r="H624" t="str">
        <f t="array" ref="H624">IFERROR(IF(COUNTIFS('Match Log'!$A$4:$A$1510,$A624,'Match Log'!$E$4:$E$1510,"Win")&gt;1,_xlfn.TEXTJOIN(" + ",TRUE(),IF(('Match Log'!$A$4:$A$1510=$A624)*('Match Log'!$E$4:$E$1510="Loss"),'Match Log'!$D$4:$D$1510,"")),IF($E624=2,LOOKUP(2,1/(('Match Log'!$A$4:$A$1510=$A624)*('Match Log'!$E$4:$E$1510="Loss")),'Match Log'!$D$4:$D$1510),"the field")),"")</f>
        <v>the field</v>
      </c>
      <c r="I624" t="str">
        <f t="shared" si="36"/>
        <v/>
      </c>
      <c r="J624">
        <v>600</v>
      </c>
      <c r="K624" t="e">
        <f>IF($J624&gt;MAX('Match Log'!$A$4:$A$1510),NA(),IFERROR(LOOKUP(2,1/(('Match Log'!$D$4:$D$1510=$K$24)*('Match Log'!$A$4:$A$1510&lt;=$J624)),'Match Log'!$N$4:$N$1510),NA()))</f>
        <v>#N/A</v>
      </c>
      <c r="L624" t="e">
        <f>IF($J624&gt;MAX('Match Log'!$A$4:$A$1510),NA(),IFERROR(LOOKUP(2,1/(('Match Log'!$D$4:$D$1510=$L$24)*('Match Log'!$A$4:$A$1510&lt;=$J624)),'Match Log'!$N$4:$N$1510),NA()))</f>
        <v>#N/A</v>
      </c>
      <c r="M624" t="e">
        <f>IF($J624&gt;MAX('Match Log'!$A$4:$A$1510),NA(),IFERROR(LOOKUP(2,1/(('Match Log'!$D$4:$D$1510=$M$24)*('Match Log'!$A$4:$A$1510&lt;=$J624)),'Match Log'!$N$4:$N$1510),NA()))</f>
        <v>#N/A</v>
      </c>
      <c r="N624" t="e">
        <f>IF($J624&gt;MAX('Match Log'!$A$4:$A$1510),NA(),IFERROR(LOOKUP(2,1/(('Match Log'!$D$4:$D$1510=$N$24)*('Match Log'!$A$4:$A$1510&lt;=$J624)),'Match Log'!$N$4:$N$1510),NA()))</f>
        <v>#N/A</v>
      </c>
      <c r="O624" t="e">
        <f>IF($J624&gt;MAX('Match Log'!$A$4:$A$1510),NA(),IFERROR(LOOKUP(2,1/(('Match Log'!$D$4:$D$1510=$O$24)*('Match Log'!$A$4:$A$1510&lt;=$J624)),'Match Log'!$N$4:$N$1510),NA()))</f>
        <v>#N/A</v>
      </c>
      <c r="P624" t="e">
        <f>IF($J624&gt;MAX('Match Log'!$A$4:$A$1510),NA(),IFERROR(LOOKUP(2,1/(('Match Log'!$D$4:$D$1510=$P$24)*('Match Log'!$A$4:$A$1510&lt;=$J624)),'Match Log'!$N$4:$N$1510),NA()))</f>
        <v>#N/A</v>
      </c>
      <c r="Q624" t="e">
        <f>IF($J624&gt;MAX('Match Log'!$A$4:$A$1510),NA(),IFERROR(LOOKUP(2,1/(('Match Log'!$D$4:$D$1510=$Q$24)*('Match Log'!$A$4:$A$1510&lt;=$J624)),'Match Log'!$N$4:$N$1510),NA()))</f>
        <v>#N/A</v>
      </c>
      <c r="R624" t="e">
        <f>IF($J624&gt;MAX('Match Log'!$A$4:$A$1510),NA(),IFERROR(LOOKUP(2,1/(('Match Log'!$D$4:$D$1510=$R$24)*('Match Log'!$A$4:$A$1510&lt;=$J624)),'Match Log'!$N$4:$N$1510),NA()))</f>
        <v>#N/A</v>
      </c>
      <c r="S624" t="e">
        <f>IF($J624&gt;MAX('Match Log'!$A$4:$A$1510),NA(),IFERROR(LOOKUP(2,1/(('Match Log'!$D$4:$D$1510=$S$24)*('Match Log'!$A$4:$A$1510&lt;=$J624)),'Match Log'!$N$4:$N$1510),NA()))</f>
        <v>#N/A</v>
      </c>
      <c r="T624" t="e">
        <f>IF($J624&gt;MAX('Match Log'!$A$4:$A$1510),NA(),IFERROR(LOOKUP(2,1/(('Match Log'!$D$4:$D$1510=$T$24)*('Match Log'!$A$4:$A$1510&lt;=$J624)),'Match Log'!$N$4:$N$1510),NA()))</f>
        <v>#N/A</v>
      </c>
      <c r="U624" t="e">
        <f>IF($J624&gt;MAX('Match Log'!$A$4:$A$1510),NA(),IFERROR(LOOKUP(2,1/(('Match Log'!$D$4:$D$1510=$U$24)*('Match Log'!$A$4:$A$1510&lt;=$J624)),'Match Log'!$N$4:$N$1510),NA()))</f>
        <v>#N/A</v>
      </c>
      <c r="V624" t="e">
        <f>IF($J624&gt;MAX('Match Log'!$A$4:$A$1510),NA(),IFERROR(LOOKUP(2,1/(('Match Log'!$D$4:$D$1510=$V$24)*('Match Log'!$A$4:$A$1510&lt;=$J624)),'Match Log'!$N$4:$N$1510),NA()))</f>
        <v>#N/A</v>
      </c>
      <c r="W624" t="e">
        <f>IF($J624&gt;MAX('Match Log'!$A$4:$A$1510),NA(),IFERROR(LOOKUP(2,1/(('Match Log'!$D$4:$D$1510=$W$24)*('Match Log'!$A$4:$A$1510&lt;=$J624)),'Match Log'!$N$4:$N$1510),NA()))</f>
        <v>#N/A</v>
      </c>
      <c r="X624" t="e">
        <f>IF($J624&gt;MAX('Match Log'!$A$4:$A$1510),NA(),IFERROR(LOOKUP(2,1/(('Match Log'!$D$4:$D$1510=$X$24)*('Match Log'!$A$4:$A$1510&lt;=$J624)),'Match Log'!$N$4:$N$1510),NA()))</f>
        <v>#N/A</v>
      </c>
      <c r="Y624" t="str">
        <f t="shared" ca="1" si="37"/>
        <v/>
      </c>
    </row>
    <row r="625" spans="1:25" x14ac:dyDescent="0.2">
      <c r="A625">
        <v>601</v>
      </c>
      <c r="B625" t="str">
        <f>IFERROR(INDEX('Match Log'!$B$4:$B$1510,MATCH($A625,'Match Log'!$A$4:$A$1510,0)),"")</f>
        <v/>
      </c>
      <c r="C625" t="str">
        <f>IFERROR(INDEX('Match Log'!$C$4:$C$1510,MATCH($A625,'Match Log'!$A$4:$A$1510,0)),"")</f>
        <v/>
      </c>
      <c r="D625" t="str">
        <f t="array" ref="D625">IFERROR(_xlfn.TEXTJOIN(" + ",TRUE(),IF(('Match Log'!$A$4:$A$1510=$A625)*('Match Log'!$E$4:$E$1510="Win"),'Match Log'!$D$4:$D$1510,"")),IFERROR(LOOKUP(2,1/(('Match Log'!$A$4:$A$1510=$A625)*('Match Log'!$E$4:$E$1510="Win")),'Match Log'!$D$4:$D$1510),""))</f>
        <v/>
      </c>
      <c r="E625" t="str">
        <f>IFERROR(INDEX('Match Log'!$F$4:$F$1510,MATCH($A625,'Match Log'!$A$4:$A$1510,0)),"")</f>
        <v/>
      </c>
      <c r="F625">
        <f>IFERROR(SUMIFS('Match Log'!$I$4:$I$1510,'Match Log'!$A$4:$A$1510,$A625,'Match Log'!$E$4:$E$1510,"Win"),"")</f>
        <v>0</v>
      </c>
      <c r="G625" t="str">
        <f t="shared" si="35"/>
        <v/>
      </c>
      <c r="H625" t="str">
        <f t="array" ref="H625">IFERROR(IF(COUNTIFS('Match Log'!$A$4:$A$1510,$A625,'Match Log'!$E$4:$E$1510,"Win")&gt;1,_xlfn.TEXTJOIN(" + ",TRUE(),IF(('Match Log'!$A$4:$A$1510=$A625)*('Match Log'!$E$4:$E$1510="Loss"),'Match Log'!$D$4:$D$1510,"")),IF($E625=2,LOOKUP(2,1/(('Match Log'!$A$4:$A$1510=$A625)*('Match Log'!$E$4:$E$1510="Loss")),'Match Log'!$D$4:$D$1510),"the field")),"")</f>
        <v>the field</v>
      </c>
      <c r="I625" t="str">
        <f t="shared" si="36"/>
        <v/>
      </c>
      <c r="J625">
        <v>601</v>
      </c>
      <c r="K625" t="e">
        <f>IF($J625&gt;MAX('Match Log'!$A$4:$A$1510),NA(),IFERROR(LOOKUP(2,1/(('Match Log'!$D$4:$D$1510=$K$24)*('Match Log'!$A$4:$A$1510&lt;=$J625)),'Match Log'!$N$4:$N$1510),NA()))</f>
        <v>#N/A</v>
      </c>
      <c r="L625" t="e">
        <f>IF($J625&gt;MAX('Match Log'!$A$4:$A$1510),NA(),IFERROR(LOOKUP(2,1/(('Match Log'!$D$4:$D$1510=$L$24)*('Match Log'!$A$4:$A$1510&lt;=$J625)),'Match Log'!$N$4:$N$1510),NA()))</f>
        <v>#N/A</v>
      </c>
      <c r="M625" t="e">
        <f>IF($J625&gt;MAX('Match Log'!$A$4:$A$1510),NA(),IFERROR(LOOKUP(2,1/(('Match Log'!$D$4:$D$1510=$M$24)*('Match Log'!$A$4:$A$1510&lt;=$J625)),'Match Log'!$N$4:$N$1510),NA()))</f>
        <v>#N/A</v>
      </c>
      <c r="N625" t="e">
        <f>IF($J625&gt;MAX('Match Log'!$A$4:$A$1510),NA(),IFERROR(LOOKUP(2,1/(('Match Log'!$D$4:$D$1510=$N$24)*('Match Log'!$A$4:$A$1510&lt;=$J625)),'Match Log'!$N$4:$N$1510),NA()))</f>
        <v>#N/A</v>
      </c>
      <c r="O625" t="e">
        <f>IF($J625&gt;MAX('Match Log'!$A$4:$A$1510),NA(),IFERROR(LOOKUP(2,1/(('Match Log'!$D$4:$D$1510=$O$24)*('Match Log'!$A$4:$A$1510&lt;=$J625)),'Match Log'!$N$4:$N$1510),NA()))</f>
        <v>#N/A</v>
      </c>
      <c r="P625" t="e">
        <f>IF($J625&gt;MAX('Match Log'!$A$4:$A$1510),NA(),IFERROR(LOOKUP(2,1/(('Match Log'!$D$4:$D$1510=$P$24)*('Match Log'!$A$4:$A$1510&lt;=$J625)),'Match Log'!$N$4:$N$1510),NA()))</f>
        <v>#N/A</v>
      </c>
      <c r="Q625" t="e">
        <f>IF($J625&gt;MAX('Match Log'!$A$4:$A$1510),NA(),IFERROR(LOOKUP(2,1/(('Match Log'!$D$4:$D$1510=$Q$24)*('Match Log'!$A$4:$A$1510&lt;=$J625)),'Match Log'!$N$4:$N$1510),NA()))</f>
        <v>#N/A</v>
      </c>
      <c r="R625" t="e">
        <f>IF($J625&gt;MAX('Match Log'!$A$4:$A$1510),NA(),IFERROR(LOOKUP(2,1/(('Match Log'!$D$4:$D$1510=$R$24)*('Match Log'!$A$4:$A$1510&lt;=$J625)),'Match Log'!$N$4:$N$1510),NA()))</f>
        <v>#N/A</v>
      </c>
      <c r="S625" t="e">
        <f>IF($J625&gt;MAX('Match Log'!$A$4:$A$1510),NA(),IFERROR(LOOKUP(2,1/(('Match Log'!$D$4:$D$1510=$S$24)*('Match Log'!$A$4:$A$1510&lt;=$J625)),'Match Log'!$N$4:$N$1510),NA()))</f>
        <v>#N/A</v>
      </c>
      <c r="T625" t="e">
        <f>IF($J625&gt;MAX('Match Log'!$A$4:$A$1510),NA(),IFERROR(LOOKUP(2,1/(('Match Log'!$D$4:$D$1510=$T$24)*('Match Log'!$A$4:$A$1510&lt;=$J625)),'Match Log'!$N$4:$N$1510),NA()))</f>
        <v>#N/A</v>
      </c>
      <c r="U625" t="e">
        <f>IF($J625&gt;MAX('Match Log'!$A$4:$A$1510),NA(),IFERROR(LOOKUP(2,1/(('Match Log'!$D$4:$D$1510=$U$24)*('Match Log'!$A$4:$A$1510&lt;=$J625)),'Match Log'!$N$4:$N$1510),NA()))</f>
        <v>#N/A</v>
      </c>
      <c r="V625" t="e">
        <f>IF($J625&gt;MAX('Match Log'!$A$4:$A$1510),NA(),IFERROR(LOOKUP(2,1/(('Match Log'!$D$4:$D$1510=$V$24)*('Match Log'!$A$4:$A$1510&lt;=$J625)),'Match Log'!$N$4:$N$1510),NA()))</f>
        <v>#N/A</v>
      </c>
      <c r="W625" t="e">
        <f>IF($J625&gt;MAX('Match Log'!$A$4:$A$1510),NA(),IFERROR(LOOKUP(2,1/(('Match Log'!$D$4:$D$1510=$W$24)*('Match Log'!$A$4:$A$1510&lt;=$J625)),'Match Log'!$N$4:$N$1510),NA()))</f>
        <v>#N/A</v>
      </c>
      <c r="X625" t="e">
        <f>IF($J625&gt;MAX('Match Log'!$A$4:$A$1510),NA(),IFERROR(LOOKUP(2,1/(('Match Log'!$D$4:$D$1510=$X$24)*('Match Log'!$A$4:$A$1510&lt;=$J625)),'Match Log'!$N$4:$N$1510),NA()))</f>
        <v>#N/A</v>
      </c>
      <c r="Y625" t="str">
        <f t="shared" ca="1" si="37"/>
        <v/>
      </c>
    </row>
    <row r="626" spans="1:25" x14ac:dyDescent="0.2">
      <c r="A626">
        <v>602</v>
      </c>
      <c r="B626" t="str">
        <f>IFERROR(INDEX('Match Log'!$B$4:$B$1510,MATCH($A626,'Match Log'!$A$4:$A$1510,0)),"")</f>
        <v/>
      </c>
      <c r="C626" t="str">
        <f>IFERROR(INDEX('Match Log'!$C$4:$C$1510,MATCH($A626,'Match Log'!$A$4:$A$1510,0)),"")</f>
        <v/>
      </c>
      <c r="D626" t="str">
        <f t="array" ref="D626">IFERROR(_xlfn.TEXTJOIN(" + ",TRUE(),IF(('Match Log'!$A$4:$A$1510=$A626)*('Match Log'!$E$4:$E$1510="Win"),'Match Log'!$D$4:$D$1510,"")),IFERROR(LOOKUP(2,1/(('Match Log'!$A$4:$A$1510=$A626)*('Match Log'!$E$4:$E$1510="Win")),'Match Log'!$D$4:$D$1510),""))</f>
        <v/>
      </c>
      <c r="E626" t="str">
        <f>IFERROR(INDEX('Match Log'!$F$4:$F$1510,MATCH($A626,'Match Log'!$A$4:$A$1510,0)),"")</f>
        <v/>
      </c>
      <c r="F626">
        <f>IFERROR(SUMIFS('Match Log'!$I$4:$I$1510,'Match Log'!$A$4:$A$1510,$A626,'Match Log'!$E$4:$E$1510,"Win"),"")</f>
        <v>0</v>
      </c>
      <c r="G626" t="str">
        <f t="shared" si="35"/>
        <v/>
      </c>
      <c r="H626" t="str">
        <f t="array" ref="H626">IFERROR(IF(COUNTIFS('Match Log'!$A$4:$A$1510,$A626,'Match Log'!$E$4:$E$1510,"Win")&gt;1,_xlfn.TEXTJOIN(" + ",TRUE(),IF(('Match Log'!$A$4:$A$1510=$A626)*('Match Log'!$E$4:$E$1510="Loss"),'Match Log'!$D$4:$D$1510,"")),IF($E626=2,LOOKUP(2,1/(('Match Log'!$A$4:$A$1510=$A626)*('Match Log'!$E$4:$E$1510="Loss")),'Match Log'!$D$4:$D$1510),"the field")),"")</f>
        <v>the field</v>
      </c>
      <c r="I626" t="str">
        <f t="shared" si="36"/>
        <v/>
      </c>
      <c r="J626">
        <v>602</v>
      </c>
      <c r="K626" t="e">
        <f>IF($J626&gt;MAX('Match Log'!$A$4:$A$1510),NA(),IFERROR(LOOKUP(2,1/(('Match Log'!$D$4:$D$1510=$K$24)*('Match Log'!$A$4:$A$1510&lt;=$J626)),'Match Log'!$N$4:$N$1510),NA()))</f>
        <v>#N/A</v>
      </c>
      <c r="L626" t="e">
        <f>IF($J626&gt;MAX('Match Log'!$A$4:$A$1510),NA(),IFERROR(LOOKUP(2,1/(('Match Log'!$D$4:$D$1510=$L$24)*('Match Log'!$A$4:$A$1510&lt;=$J626)),'Match Log'!$N$4:$N$1510),NA()))</f>
        <v>#N/A</v>
      </c>
      <c r="M626" t="e">
        <f>IF($J626&gt;MAX('Match Log'!$A$4:$A$1510),NA(),IFERROR(LOOKUP(2,1/(('Match Log'!$D$4:$D$1510=$M$24)*('Match Log'!$A$4:$A$1510&lt;=$J626)),'Match Log'!$N$4:$N$1510),NA()))</f>
        <v>#N/A</v>
      </c>
      <c r="N626" t="e">
        <f>IF($J626&gt;MAX('Match Log'!$A$4:$A$1510),NA(),IFERROR(LOOKUP(2,1/(('Match Log'!$D$4:$D$1510=$N$24)*('Match Log'!$A$4:$A$1510&lt;=$J626)),'Match Log'!$N$4:$N$1510),NA()))</f>
        <v>#N/A</v>
      </c>
      <c r="O626" t="e">
        <f>IF($J626&gt;MAX('Match Log'!$A$4:$A$1510),NA(),IFERROR(LOOKUP(2,1/(('Match Log'!$D$4:$D$1510=$O$24)*('Match Log'!$A$4:$A$1510&lt;=$J626)),'Match Log'!$N$4:$N$1510),NA()))</f>
        <v>#N/A</v>
      </c>
      <c r="P626" t="e">
        <f>IF($J626&gt;MAX('Match Log'!$A$4:$A$1510),NA(),IFERROR(LOOKUP(2,1/(('Match Log'!$D$4:$D$1510=$P$24)*('Match Log'!$A$4:$A$1510&lt;=$J626)),'Match Log'!$N$4:$N$1510),NA()))</f>
        <v>#N/A</v>
      </c>
      <c r="Q626" t="e">
        <f>IF($J626&gt;MAX('Match Log'!$A$4:$A$1510),NA(),IFERROR(LOOKUP(2,1/(('Match Log'!$D$4:$D$1510=$Q$24)*('Match Log'!$A$4:$A$1510&lt;=$J626)),'Match Log'!$N$4:$N$1510),NA()))</f>
        <v>#N/A</v>
      </c>
      <c r="R626" t="e">
        <f>IF($J626&gt;MAX('Match Log'!$A$4:$A$1510),NA(),IFERROR(LOOKUP(2,1/(('Match Log'!$D$4:$D$1510=$R$24)*('Match Log'!$A$4:$A$1510&lt;=$J626)),'Match Log'!$N$4:$N$1510),NA()))</f>
        <v>#N/A</v>
      </c>
      <c r="S626" t="e">
        <f>IF($J626&gt;MAX('Match Log'!$A$4:$A$1510),NA(),IFERROR(LOOKUP(2,1/(('Match Log'!$D$4:$D$1510=$S$24)*('Match Log'!$A$4:$A$1510&lt;=$J626)),'Match Log'!$N$4:$N$1510),NA()))</f>
        <v>#N/A</v>
      </c>
      <c r="T626" t="e">
        <f>IF($J626&gt;MAX('Match Log'!$A$4:$A$1510),NA(),IFERROR(LOOKUP(2,1/(('Match Log'!$D$4:$D$1510=$T$24)*('Match Log'!$A$4:$A$1510&lt;=$J626)),'Match Log'!$N$4:$N$1510),NA()))</f>
        <v>#N/A</v>
      </c>
      <c r="U626" t="e">
        <f>IF($J626&gt;MAX('Match Log'!$A$4:$A$1510),NA(),IFERROR(LOOKUP(2,1/(('Match Log'!$D$4:$D$1510=$U$24)*('Match Log'!$A$4:$A$1510&lt;=$J626)),'Match Log'!$N$4:$N$1510),NA()))</f>
        <v>#N/A</v>
      </c>
      <c r="V626" t="e">
        <f>IF($J626&gt;MAX('Match Log'!$A$4:$A$1510),NA(),IFERROR(LOOKUP(2,1/(('Match Log'!$D$4:$D$1510=$V$24)*('Match Log'!$A$4:$A$1510&lt;=$J626)),'Match Log'!$N$4:$N$1510),NA()))</f>
        <v>#N/A</v>
      </c>
      <c r="W626" t="e">
        <f>IF($J626&gt;MAX('Match Log'!$A$4:$A$1510),NA(),IFERROR(LOOKUP(2,1/(('Match Log'!$D$4:$D$1510=$W$24)*('Match Log'!$A$4:$A$1510&lt;=$J626)),'Match Log'!$N$4:$N$1510),NA()))</f>
        <v>#N/A</v>
      </c>
      <c r="X626" t="e">
        <f>IF($J626&gt;MAX('Match Log'!$A$4:$A$1510),NA(),IFERROR(LOOKUP(2,1/(('Match Log'!$D$4:$D$1510=$X$24)*('Match Log'!$A$4:$A$1510&lt;=$J626)),'Match Log'!$N$4:$N$1510),NA()))</f>
        <v>#N/A</v>
      </c>
      <c r="Y626" t="str">
        <f t="shared" ca="1" si="37"/>
        <v/>
      </c>
    </row>
    <row r="627" spans="1:25" x14ac:dyDescent="0.2">
      <c r="A627">
        <v>603</v>
      </c>
      <c r="B627" t="str">
        <f>IFERROR(INDEX('Match Log'!$B$4:$B$1510,MATCH($A627,'Match Log'!$A$4:$A$1510,0)),"")</f>
        <v/>
      </c>
      <c r="C627" t="str">
        <f>IFERROR(INDEX('Match Log'!$C$4:$C$1510,MATCH($A627,'Match Log'!$A$4:$A$1510,0)),"")</f>
        <v/>
      </c>
      <c r="D627" t="str">
        <f t="array" ref="D627">IFERROR(_xlfn.TEXTJOIN(" + ",TRUE(),IF(('Match Log'!$A$4:$A$1510=$A627)*('Match Log'!$E$4:$E$1510="Win"),'Match Log'!$D$4:$D$1510,"")),IFERROR(LOOKUP(2,1/(('Match Log'!$A$4:$A$1510=$A627)*('Match Log'!$E$4:$E$1510="Win")),'Match Log'!$D$4:$D$1510),""))</f>
        <v/>
      </c>
      <c r="E627" t="str">
        <f>IFERROR(INDEX('Match Log'!$F$4:$F$1510,MATCH($A627,'Match Log'!$A$4:$A$1510,0)),"")</f>
        <v/>
      </c>
      <c r="F627">
        <f>IFERROR(SUMIFS('Match Log'!$I$4:$I$1510,'Match Log'!$A$4:$A$1510,$A627,'Match Log'!$E$4:$E$1510,"Win"),"")</f>
        <v>0</v>
      </c>
      <c r="G627" t="str">
        <f t="shared" si="35"/>
        <v/>
      </c>
      <c r="H627" t="str">
        <f t="array" ref="H627">IFERROR(IF(COUNTIFS('Match Log'!$A$4:$A$1510,$A627,'Match Log'!$E$4:$E$1510,"Win")&gt;1,_xlfn.TEXTJOIN(" + ",TRUE(),IF(('Match Log'!$A$4:$A$1510=$A627)*('Match Log'!$E$4:$E$1510="Loss"),'Match Log'!$D$4:$D$1510,"")),IF($E627=2,LOOKUP(2,1/(('Match Log'!$A$4:$A$1510=$A627)*('Match Log'!$E$4:$E$1510="Loss")),'Match Log'!$D$4:$D$1510),"the field")),"")</f>
        <v>the field</v>
      </c>
      <c r="I627" t="str">
        <f t="shared" si="36"/>
        <v/>
      </c>
      <c r="J627">
        <v>603</v>
      </c>
      <c r="K627" t="e">
        <f>IF($J627&gt;MAX('Match Log'!$A$4:$A$1510),NA(),IFERROR(LOOKUP(2,1/(('Match Log'!$D$4:$D$1510=$K$24)*('Match Log'!$A$4:$A$1510&lt;=$J627)),'Match Log'!$N$4:$N$1510),NA()))</f>
        <v>#N/A</v>
      </c>
      <c r="L627" t="e">
        <f>IF($J627&gt;MAX('Match Log'!$A$4:$A$1510),NA(),IFERROR(LOOKUP(2,1/(('Match Log'!$D$4:$D$1510=$L$24)*('Match Log'!$A$4:$A$1510&lt;=$J627)),'Match Log'!$N$4:$N$1510),NA()))</f>
        <v>#N/A</v>
      </c>
      <c r="M627" t="e">
        <f>IF($J627&gt;MAX('Match Log'!$A$4:$A$1510),NA(),IFERROR(LOOKUP(2,1/(('Match Log'!$D$4:$D$1510=$M$24)*('Match Log'!$A$4:$A$1510&lt;=$J627)),'Match Log'!$N$4:$N$1510),NA()))</f>
        <v>#N/A</v>
      </c>
      <c r="N627" t="e">
        <f>IF($J627&gt;MAX('Match Log'!$A$4:$A$1510),NA(),IFERROR(LOOKUP(2,1/(('Match Log'!$D$4:$D$1510=$N$24)*('Match Log'!$A$4:$A$1510&lt;=$J627)),'Match Log'!$N$4:$N$1510),NA()))</f>
        <v>#N/A</v>
      </c>
      <c r="O627" t="e">
        <f>IF($J627&gt;MAX('Match Log'!$A$4:$A$1510),NA(),IFERROR(LOOKUP(2,1/(('Match Log'!$D$4:$D$1510=$O$24)*('Match Log'!$A$4:$A$1510&lt;=$J627)),'Match Log'!$N$4:$N$1510),NA()))</f>
        <v>#N/A</v>
      </c>
      <c r="P627" t="e">
        <f>IF($J627&gt;MAX('Match Log'!$A$4:$A$1510),NA(),IFERROR(LOOKUP(2,1/(('Match Log'!$D$4:$D$1510=$P$24)*('Match Log'!$A$4:$A$1510&lt;=$J627)),'Match Log'!$N$4:$N$1510),NA()))</f>
        <v>#N/A</v>
      </c>
      <c r="Q627" t="e">
        <f>IF($J627&gt;MAX('Match Log'!$A$4:$A$1510),NA(),IFERROR(LOOKUP(2,1/(('Match Log'!$D$4:$D$1510=$Q$24)*('Match Log'!$A$4:$A$1510&lt;=$J627)),'Match Log'!$N$4:$N$1510),NA()))</f>
        <v>#N/A</v>
      </c>
      <c r="R627" t="e">
        <f>IF($J627&gt;MAX('Match Log'!$A$4:$A$1510),NA(),IFERROR(LOOKUP(2,1/(('Match Log'!$D$4:$D$1510=$R$24)*('Match Log'!$A$4:$A$1510&lt;=$J627)),'Match Log'!$N$4:$N$1510),NA()))</f>
        <v>#N/A</v>
      </c>
      <c r="S627" t="e">
        <f>IF($J627&gt;MAX('Match Log'!$A$4:$A$1510),NA(),IFERROR(LOOKUP(2,1/(('Match Log'!$D$4:$D$1510=$S$24)*('Match Log'!$A$4:$A$1510&lt;=$J627)),'Match Log'!$N$4:$N$1510),NA()))</f>
        <v>#N/A</v>
      </c>
      <c r="T627" t="e">
        <f>IF($J627&gt;MAX('Match Log'!$A$4:$A$1510),NA(),IFERROR(LOOKUP(2,1/(('Match Log'!$D$4:$D$1510=$T$24)*('Match Log'!$A$4:$A$1510&lt;=$J627)),'Match Log'!$N$4:$N$1510),NA()))</f>
        <v>#N/A</v>
      </c>
      <c r="U627" t="e">
        <f>IF($J627&gt;MAX('Match Log'!$A$4:$A$1510),NA(),IFERROR(LOOKUP(2,1/(('Match Log'!$D$4:$D$1510=$U$24)*('Match Log'!$A$4:$A$1510&lt;=$J627)),'Match Log'!$N$4:$N$1510),NA()))</f>
        <v>#N/A</v>
      </c>
      <c r="V627" t="e">
        <f>IF($J627&gt;MAX('Match Log'!$A$4:$A$1510),NA(),IFERROR(LOOKUP(2,1/(('Match Log'!$D$4:$D$1510=$V$24)*('Match Log'!$A$4:$A$1510&lt;=$J627)),'Match Log'!$N$4:$N$1510),NA()))</f>
        <v>#N/A</v>
      </c>
      <c r="W627" t="e">
        <f>IF($J627&gt;MAX('Match Log'!$A$4:$A$1510),NA(),IFERROR(LOOKUP(2,1/(('Match Log'!$D$4:$D$1510=$W$24)*('Match Log'!$A$4:$A$1510&lt;=$J627)),'Match Log'!$N$4:$N$1510),NA()))</f>
        <v>#N/A</v>
      </c>
      <c r="X627" t="e">
        <f>IF($J627&gt;MAX('Match Log'!$A$4:$A$1510),NA(),IFERROR(LOOKUP(2,1/(('Match Log'!$D$4:$D$1510=$X$24)*('Match Log'!$A$4:$A$1510&lt;=$J627)),'Match Log'!$N$4:$N$1510),NA()))</f>
        <v>#N/A</v>
      </c>
      <c r="Y627" t="str">
        <f t="shared" ca="1" si="37"/>
        <v/>
      </c>
    </row>
    <row r="628" spans="1:25" x14ac:dyDescent="0.2">
      <c r="A628">
        <v>604</v>
      </c>
      <c r="B628" t="str">
        <f>IFERROR(INDEX('Match Log'!$B$4:$B$1510,MATCH($A628,'Match Log'!$A$4:$A$1510,0)),"")</f>
        <v/>
      </c>
      <c r="C628" t="str">
        <f>IFERROR(INDEX('Match Log'!$C$4:$C$1510,MATCH($A628,'Match Log'!$A$4:$A$1510,0)),"")</f>
        <v/>
      </c>
      <c r="D628" t="str">
        <f t="array" ref="D628">IFERROR(_xlfn.TEXTJOIN(" + ",TRUE(),IF(('Match Log'!$A$4:$A$1510=$A628)*('Match Log'!$E$4:$E$1510="Win"),'Match Log'!$D$4:$D$1510,"")),IFERROR(LOOKUP(2,1/(('Match Log'!$A$4:$A$1510=$A628)*('Match Log'!$E$4:$E$1510="Win")),'Match Log'!$D$4:$D$1510),""))</f>
        <v/>
      </c>
      <c r="E628" t="str">
        <f>IFERROR(INDEX('Match Log'!$F$4:$F$1510,MATCH($A628,'Match Log'!$A$4:$A$1510,0)),"")</f>
        <v/>
      </c>
      <c r="F628">
        <f>IFERROR(SUMIFS('Match Log'!$I$4:$I$1510,'Match Log'!$A$4:$A$1510,$A628,'Match Log'!$E$4:$E$1510,"Win"),"")</f>
        <v>0</v>
      </c>
      <c r="G628" t="str">
        <f t="shared" si="35"/>
        <v/>
      </c>
      <c r="H628" t="str">
        <f t="array" ref="H628">IFERROR(IF(COUNTIFS('Match Log'!$A$4:$A$1510,$A628,'Match Log'!$E$4:$E$1510,"Win")&gt;1,_xlfn.TEXTJOIN(" + ",TRUE(),IF(('Match Log'!$A$4:$A$1510=$A628)*('Match Log'!$E$4:$E$1510="Loss"),'Match Log'!$D$4:$D$1510,"")),IF($E628=2,LOOKUP(2,1/(('Match Log'!$A$4:$A$1510=$A628)*('Match Log'!$E$4:$E$1510="Loss")),'Match Log'!$D$4:$D$1510),"the field")),"")</f>
        <v>the field</v>
      </c>
      <c r="I628" t="str">
        <f t="shared" si="36"/>
        <v/>
      </c>
      <c r="J628">
        <v>604</v>
      </c>
      <c r="K628" t="e">
        <f>IF($J628&gt;MAX('Match Log'!$A$4:$A$1510),NA(),IFERROR(LOOKUP(2,1/(('Match Log'!$D$4:$D$1510=$K$24)*('Match Log'!$A$4:$A$1510&lt;=$J628)),'Match Log'!$N$4:$N$1510),NA()))</f>
        <v>#N/A</v>
      </c>
      <c r="L628" t="e">
        <f>IF($J628&gt;MAX('Match Log'!$A$4:$A$1510),NA(),IFERROR(LOOKUP(2,1/(('Match Log'!$D$4:$D$1510=$L$24)*('Match Log'!$A$4:$A$1510&lt;=$J628)),'Match Log'!$N$4:$N$1510),NA()))</f>
        <v>#N/A</v>
      </c>
      <c r="M628" t="e">
        <f>IF($J628&gt;MAX('Match Log'!$A$4:$A$1510),NA(),IFERROR(LOOKUP(2,1/(('Match Log'!$D$4:$D$1510=$M$24)*('Match Log'!$A$4:$A$1510&lt;=$J628)),'Match Log'!$N$4:$N$1510),NA()))</f>
        <v>#N/A</v>
      </c>
      <c r="N628" t="e">
        <f>IF($J628&gt;MAX('Match Log'!$A$4:$A$1510),NA(),IFERROR(LOOKUP(2,1/(('Match Log'!$D$4:$D$1510=$N$24)*('Match Log'!$A$4:$A$1510&lt;=$J628)),'Match Log'!$N$4:$N$1510),NA()))</f>
        <v>#N/A</v>
      </c>
      <c r="O628" t="e">
        <f>IF($J628&gt;MAX('Match Log'!$A$4:$A$1510),NA(),IFERROR(LOOKUP(2,1/(('Match Log'!$D$4:$D$1510=$O$24)*('Match Log'!$A$4:$A$1510&lt;=$J628)),'Match Log'!$N$4:$N$1510),NA()))</f>
        <v>#N/A</v>
      </c>
      <c r="P628" t="e">
        <f>IF($J628&gt;MAX('Match Log'!$A$4:$A$1510),NA(),IFERROR(LOOKUP(2,1/(('Match Log'!$D$4:$D$1510=$P$24)*('Match Log'!$A$4:$A$1510&lt;=$J628)),'Match Log'!$N$4:$N$1510),NA()))</f>
        <v>#N/A</v>
      </c>
      <c r="Q628" t="e">
        <f>IF($J628&gt;MAX('Match Log'!$A$4:$A$1510),NA(),IFERROR(LOOKUP(2,1/(('Match Log'!$D$4:$D$1510=$Q$24)*('Match Log'!$A$4:$A$1510&lt;=$J628)),'Match Log'!$N$4:$N$1510),NA()))</f>
        <v>#N/A</v>
      </c>
      <c r="R628" t="e">
        <f>IF($J628&gt;MAX('Match Log'!$A$4:$A$1510),NA(),IFERROR(LOOKUP(2,1/(('Match Log'!$D$4:$D$1510=$R$24)*('Match Log'!$A$4:$A$1510&lt;=$J628)),'Match Log'!$N$4:$N$1510),NA()))</f>
        <v>#N/A</v>
      </c>
      <c r="S628" t="e">
        <f>IF($J628&gt;MAX('Match Log'!$A$4:$A$1510),NA(),IFERROR(LOOKUP(2,1/(('Match Log'!$D$4:$D$1510=$S$24)*('Match Log'!$A$4:$A$1510&lt;=$J628)),'Match Log'!$N$4:$N$1510),NA()))</f>
        <v>#N/A</v>
      </c>
      <c r="T628" t="e">
        <f>IF($J628&gt;MAX('Match Log'!$A$4:$A$1510),NA(),IFERROR(LOOKUP(2,1/(('Match Log'!$D$4:$D$1510=$T$24)*('Match Log'!$A$4:$A$1510&lt;=$J628)),'Match Log'!$N$4:$N$1510),NA()))</f>
        <v>#N/A</v>
      </c>
      <c r="U628" t="e">
        <f>IF($J628&gt;MAX('Match Log'!$A$4:$A$1510),NA(),IFERROR(LOOKUP(2,1/(('Match Log'!$D$4:$D$1510=$U$24)*('Match Log'!$A$4:$A$1510&lt;=$J628)),'Match Log'!$N$4:$N$1510),NA()))</f>
        <v>#N/A</v>
      </c>
      <c r="V628" t="e">
        <f>IF($J628&gt;MAX('Match Log'!$A$4:$A$1510),NA(),IFERROR(LOOKUP(2,1/(('Match Log'!$D$4:$D$1510=$V$24)*('Match Log'!$A$4:$A$1510&lt;=$J628)),'Match Log'!$N$4:$N$1510),NA()))</f>
        <v>#N/A</v>
      </c>
      <c r="W628" t="e">
        <f>IF($J628&gt;MAX('Match Log'!$A$4:$A$1510),NA(),IFERROR(LOOKUP(2,1/(('Match Log'!$D$4:$D$1510=$W$24)*('Match Log'!$A$4:$A$1510&lt;=$J628)),'Match Log'!$N$4:$N$1510),NA()))</f>
        <v>#N/A</v>
      </c>
      <c r="X628" t="e">
        <f>IF($J628&gt;MAX('Match Log'!$A$4:$A$1510),NA(),IFERROR(LOOKUP(2,1/(('Match Log'!$D$4:$D$1510=$X$24)*('Match Log'!$A$4:$A$1510&lt;=$J628)),'Match Log'!$N$4:$N$1510),NA()))</f>
        <v>#N/A</v>
      </c>
      <c r="Y628" t="str">
        <f t="shared" ca="1" si="37"/>
        <v/>
      </c>
    </row>
    <row r="629" spans="1:25" x14ac:dyDescent="0.2">
      <c r="A629">
        <v>605</v>
      </c>
      <c r="B629" t="str">
        <f>IFERROR(INDEX('Match Log'!$B$4:$B$1510,MATCH($A629,'Match Log'!$A$4:$A$1510,0)),"")</f>
        <v/>
      </c>
      <c r="C629" t="str">
        <f>IFERROR(INDEX('Match Log'!$C$4:$C$1510,MATCH($A629,'Match Log'!$A$4:$A$1510,0)),"")</f>
        <v/>
      </c>
      <c r="D629" t="str">
        <f t="array" ref="D629">IFERROR(_xlfn.TEXTJOIN(" + ",TRUE(),IF(('Match Log'!$A$4:$A$1510=$A629)*('Match Log'!$E$4:$E$1510="Win"),'Match Log'!$D$4:$D$1510,"")),IFERROR(LOOKUP(2,1/(('Match Log'!$A$4:$A$1510=$A629)*('Match Log'!$E$4:$E$1510="Win")),'Match Log'!$D$4:$D$1510),""))</f>
        <v/>
      </c>
      <c r="E629" t="str">
        <f>IFERROR(INDEX('Match Log'!$F$4:$F$1510,MATCH($A629,'Match Log'!$A$4:$A$1510,0)),"")</f>
        <v/>
      </c>
      <c r="F629">
        <f>IFERROR(SUMIFS('Match Log'!$I$4:$I$1510,'Match Log'!$A$4:$A$1510,$A629,'Match Log'!$E$4:$E$1510,"Win"),"")</f>
        <v>0</v>
      </c>
      <c r="G629" t="str">
        <f t="shared" si="35"/>
        <v/>
      </c>
      <c r="H629" t="str">
        <f t="array" ref="H629">IFERROR(IF(COUNTIFS('Match Log'!$A$4:$A$1510,$A629,'Match Log'!$E$4:$E$1510,"Win")&gt;1,_xlfn.TEXTJOIN(" + ",TRUE(),IF(('Match Log'!$A$4:$A$1510=$A629)*('Match Log'!$E$4:$E$1510="Loss"),'Match Log'!$D$4:$D$1510,"")),IF($E629=2,LOOKUP(2,1/(('Match Log'!$A$4:$A$1510=$A629)*('Match Log'!$E$4:$E$1510="Loss")),'Match Log'!$D$4:$D$1510),"the field")),"")</f>
        <v>the field</v>
      </c>
      <c r="I629" t="str">
        <f t="shared" si="36"/>
        <v/>
      </c>
      <c r="J629">
        <v>605</v>
      </c>
      <c r="K629" t="e">
        <f>IF($J629&gt;MAX('Match Log'!$A$4:$A$1510),NA(),IFERROR(LOOKUP(2,1/(('Match Log'!$D$4:$D$1510=$K$24)*('Match Log'!$A$4:$A$1510&lt;=$J629)),'Match Log'!$N$4:$N$1510),NA()))</f>
        <v>#N/A</v>
      </c>
      <c r="L629" t="e">
        <f>IF($J629&gt;MAX('Match Log'!$A$4:$A$1510),NA(),IFERROR(LOOKUP(2,1/(('Match Log'!$D$4:$D$1510=$L$24)*('Match Log'!$A$4:$A$1510&lt;=$J629)),'Match Log'!$N$4:$N$1510),NA()))</f>
        <v>#N/A</v>
      </c>
      <c r="M629" t="e">
        <f>IF($J629&gt;MAX('Match Log'!$A$4:$A$1510),NA(),IFERROR(LOOKUP(2,1/(('Match Log'!$D$4:$D$1510=$M$24)*('Match Log'!$A$4:$A$1510&lt;=$J629)),'Match Log'!$N$4:$N$1510),NA()))</f>
        <v>#N/A</v>
      </c>
      <c r="N629" t="e">
        <f>IF($J629&gt;MAX('Match Log'!$A$4:$A$1510),NA(),IFERROR(LOOKUP(2,1/(('Match Log'!$D$4:$D$1510=$N$24)*('Match Log'!$A$4:$A$1510&lt;=$J629)),'Match Log'!$N$4:$N$1510),NA()))</f>
        <v>#N/A</v>
      </c>
      <c r="O629" t="e">
        <f>IF($J629&gt;MAX('Match Log'!$A$4:$A$1510),NA(),IFERROR(LOOKUP(2,1/(('Match Log'!$D$4:$D$1510=$O$24)*('Match Log'!$A$4:$A$1510&lt;=$J629)),'Match Log'!$N$4:$N$1510),NA()))</f>
        <v>#N/A</v>
      </c>
      <c r="P629" t="e">
        <f>IF($J629&gt;MAX('Match Log'!$A$4:$A$1510),NA(),IFERROR(LOOKUP(2,1/(('Match Log'!$D$4:$D$1510=$P$24)*('Match Log'!$A$4:$A$1510&lt;=$J629)),'Match Log'!$N$4:$N$1510),NA()))</f>
        <v>#N/A</v>
      </c>
      <c r="Q629" t="e">
        <f>IF($J629&gt;MAX('Match Log'!$A$4:$A$1510),NA(),IFERROR(LOOKUP(2,1/(('Match Log'!$D$4:$D$1510=$Q$24)*('Match Log'!$A$4:$A$1510&lt;=$J629)),'Match Log'!$N$4:$N$1510),NA()))</f>
        <v>#N/A</v>
      </c>
      <c r="R629" t="e">
        <f>IF($J629&gt;MAX('Match Log'!$A$4:$A$1510),NA(),IFERROR(LOOKUP(2,1/(('Match Log'!$D$4:$D$1510=$R$24)*('Match Log'!$A$4:$A$1510&lt;=$J629)),'Match Log'!$N$4:$N$1510),NA()))</f>
        <v>#N/A</v>
      </c>
      <c r="S629" t="e">
        <f>IF($J629&gt;MAX('Match Log'!$A$4:$A$1510),NA(),IFERROR(LOOKUP(2,1/(('Match Log'!$D$4:$D$1510=$S$24)*('Match Log'!$A$4:$A$1510&lt;=$J629)),'Match Log'!$N$4:$N$1510),NA()))</f>
        <v>#N/A</v>
      </c>
      <c r="T629" t="e">
        <f>IF($J629&gt;MAX('Match Log'!$A$4:$A$1510),NA(),IFERROR(LOOKUP(2,1/(('Match Log'!$D$4:$D$1510=$T$24)*('Match Log'!$A$4:$A$1510&lt;=$J629)),'Match Log'!$N$4:$N$1510),NA()))</f>
        <v>#N/A</v>
      </c>
      <c r="U629" t="e">
        <f>IF($J629&gt;MAX('Match Log'!$A$4:$A$1510),NA(),IFERROR(LOOKUP(2,1/(('Match Log'!$D$4:$D$1510=$U$24)*('Match Log'!$A$4:$A$1510&lt;=$J629)),'Match Log'!$N$4:$N$1510),NA()))</f>
        <v>#N/A</v>
      </c>
      <c r="V629" t="e">
        <f>IF($J629&gt;MAX('Match Log'!$A$4:$A$1510),NA(),IFERROR(LOOKUP(2,1/(('Match Log'!$D$4:$D$1510=$V$24)*('Match Log'!$A$4:$A$1510&lt;=$J629)),'Match Log'!$N$4:$N$1510),NA()))</f>
        <v>#N/A</v>
      </c>
      <c r="W629" t="e">
        <f>IF($J629&gt;MAX('Match Log'!$A$4:$A$1510),NA(),IFERROR(LOOKUP(2,1/(('Match Log'!$D$4:$D$1510=$W$24)*('Match Log'!$A$4:$A$1510&lt;=$J629)),'Match Log'!$N$4:$N$1510),NA()))</f>
        <v>#N/A</v>
      </c>
      <c r="X629" t="e">
        <f>IF($J629&gt;MAX('Match Log'!$A$4:$A$1510),NA(),IFERROR(LOOKUP(2,1/(('Match Log'!$D$4:$D$1510=$X$24)*('Match Log'!$A$4:$A$1510&lt;=$J629)),'Match Log'!$N$4:$N$1510),NA()))</f>
        <v>#N/A</v>
      </c>
      <c r="Y629" t="str">
        <f t="shared" ca="1" si="37"/>
        <v/>
      </c>
    </row>
    <row r="630" spans="1:25" x14ac:dyDescent="0.2">
      <c r="A630">
        <v>606</v>
      </c>
      <c r="B630" t="str">
        <f>IFERROR(INDEX('Match Log'!$B$4:$B$1510,MATCH($A630,'Match Log'!$A$4:$A$1510,0)),"")</f>
        <v/>
      </c>
      <c r="C630" t="str">
        <f>IFERROR(INDEX('Match Log'!$C$4:$C$1510,MATCH($A630,'Match Log'!$A$4:$A$1510,0)),"")</f>
        <v/>
      </c>
      <c r="D630" t="str">
        <f t="array" ref="D630">IFERROR(_xlfn.TEXTJOIN(" + ",TRUE(),IF(('Match Log'!$A$4:$A$1510=$A630)*('Match Log'!$E$4:$E$1510="Win"),'Match Log'!$D$4:$D$1510,"")),IFERROR(LOOKUP(2,1/(('Match Log'!$A$4:$A$1510=$A630)*('Match Log'!$E$4:$E$1510="Win")),'Match Log'!$D$4:$D$1510),""))</f>
        <v/>
      </c>
      <c r="E630" t="str">
        <f>IFERROR(INDEX('Match Log'!$F$4:$F$1510,MATCH($A630,'Match Log'!$A$4:$A$1510,0)),"")</f>
        <v/>
      </c>
      <c r="F630">
        <f>IFERROR(SUMIFS('Match Log'!$I$4:$I$1510,'Match Log'!$A$4:$A$1510,$A630,'Match Log'!$E$4:$E$1510,"Win"),"")</f>
        <v>0</v>
      </c>
      <c r="G630" t="str">
        <f t="shared" si="35"/>
        <v/>
      </c>
      <c r="H630" t="str">
        <f t="array" ref="H630">IFERROR(IF(COUNTIFS('Match Log'!$A$4:$A$1510,$A630,'Match Log'!$E$4:$E$1510,"Win")&gt;1,_xlfn.TEXTJOIN(" + ",TRUE(),IF(('Match Log'!$A$4:$A$1510=$A630)*('Match Log'!$E$4:$E$1510="Loss"),'Match Log'!$D$4:$D$1510,"")),IF($E630=2,LOOKUP(2,1/(('Match Log'!$A$4:$A$1510=$A630)*('Match Log'!$E$4:$E$1510="Loss")),'Match Log'!$D$4:$D$1510),"the field")),"")</f>
        <v>the field</v>
      </c>
      <c r="I630" t="str">
        <f t="shared" si="36"/>
        <v/>
      </c>
      <c r="J630">
        <v>606</v>
      </c>
      <c r="K630" t="e">
        <f>IF($J630&gt;MAX('Match Log'!$A$4:$A$1510),NA(),IFERROR(LOOKUP(2,1/(('Match Log'!$D$4:$D$1510=$K$24)*('Match Log'!$A$4:$A$1510&lt;=$J630)),'Match Log'!$N$4:$N$1510),NA()))</f>
        <v>#N/A</v>
      </c>
      <c r="L630" t="e">
        <f>IF($J630&gt;MAX('Match Log'!$A$4:$A$1510),NA(),IFERROR(LOOKUP(2,1/(('Match Log'!$D$4:$D$1510=$L$24)*('Match Log'!$A$4:$A$1510&lt;=$J630)),'Match Log'!$N$4:$N$1510),NA()))</f>
        <v>#N/A</v>
      </c>
      <c r="M630" t="e">
        <f>IF($J630&gt;MAX('Match Log'!$A$4:$A$1510),NA(),IFERROR(LOOKUP(2,1/(('Match Log'!$D$4:$D$1510=$M$24)*('Match Log'!$A$4:$A$1510&lt;=$J630)),'Match Log'!$N$4:$N$1510),NA()))</f>
        <v>#N/A</v>
      </c>
      <c r="N630" t="e">
        <f>IF($J630&gt;MAX('Match Log'!$A$4:$A$1510),NA(),IFERROR(LOOKUP(2,1/(('Match Log'!$D$4:$D$1510=$N$24)*('Match Log'!$A$4:$A$1510&lt;=$J630)),'Match Log'!$N$4:$N$1510),NA()))</f>
        <v>#N/A</v>
      </c>
      <c r="O630" t="e">
        <f>IF($J630&gt;MAX('Match Log'!$A$4:$A$1510),NA(),IFERROR(LOOKUP(2,1/(('Match Log'!$D$4:$D$1510=$O$24)*('Match Log'!$A$4:$A$1510&lt;=$J630)),'Match Log'!$N$4:$N$1510),NA()))</f>
        <v>#N/A</v>
      </c>
      <c r="P630" t="e">
        <f>IF($J630&gt;MAX('Match Log'!$A$4:$A$1510),NA(),IFERROR(LOOKUP(2,1/(('Match Log'!$D$4:$D$1510=$P$24)*('Match Log'!$A$4:$A$1510&lt;=$J630)),'Match Log'!$N$4:$N$1510),NA()))</f>
        <v>#N/A</v>
      </c>
      <c r="Q630" t="e">
        <f>IF($J630&gt;MAX('Match Log'!$A$4:$A$1510),NA(),IFERROR(LOOKUP(2,1/(('Match Log'!$D$4:$D$1510=$Q$24)*('Match Log'!$A$4:$A$1510&lt;=$J630)),'Match Log'!$N$4:$N$1510),NA()))</f>
        <v>#N/A</v>
      </c>
      <c r="R630" t="e">
        <f>IF($J630&gt;MAX('Match Log'!$A$4:$A$1510),NA(),IFERROR(LOOKUP(2,1/(('Match Log'!$D$4:$D$1510=$R$24)*('Match Log'!$A$4:$A$1510&lt;=$J630)),'Match Log'!$N$4:$N$1510),NA()))</f>
        <v>#N/A</v>
      </c>
      <c r="S630" t="e">
        <f>IF($J630&gt;MAX('Match Log'!$A$4:$A$1510),NA(),IFERROR(LOOKUP(2,1/(('Match Log'!$D$4:$D$1510=$S$24)*('Match Log'!$A$4:$A$1510&lt;=$J630)),'Match Log'!$N$4:$N$1510),NA()))</f>
        <v>#N/A</v>
      </c>
      <c r="T630" t="e">
        <f>IF($J630&gt;MAX('Match Log'!$A$4:$A$1510),NA(),IFERROR(LOOKUP(2,1/(('Match Log'!$D$4:$D$1510=$T$24)*('Match Log'!$A$4:$A$1510&lt;=$J630)),'Match Log'!$N$4:$N$1510),NA()))</f>
        <v>#N/A</v>
      </c>
      <c r="U630" t="e">
        <f>IF($J630&gt;MAX('Match Log'!$A$4:$A$1510),NA(),IFERROR(LOOKUP(2,1/(('Match Log'!$D$4:$D$1510=$U$24)*('Match Log'!$A$4:$A$1510&lt;=$J630)),'Match Log'!$N$4:$N$1510),NA()))</f>
        <v>#N/A</v>
      </c>
      <c r="V630" t="e">
        <f>IF($J630&gt;MAX('Match Log'!$A$4:$A$1510),NA(),IFERROR(LOOKUP(2,1/(('Match Log'!$D$4:$D$1510=$V$24)*('Match Log'!$A$4:$A$1510&lt;=$J630)),'Match Log'!$N$4:$N$1510),NA()))</f>
        <v>#N/A</v>
      </c>
      <c r="W630" t="e">
        <f>IF($J630&gt;MAX('Match Log'!$A$4:$A$1510),NA(),IFERROR(LOOKUP(2,1/(('Match Log'!$D$4:$D$1510=$W$24)*('Match Log'!$A$4:$A$1510&lt;=$J630)),'Match Log'!$N$4:$N$1510),NA()))</f>
        <v>#N/A</v>
      </c>
      <c r="X630" t="e">
        <f>IF($J630&gt;MAX('Match Log'!$A$4:$A$1510),NA(),IFERROR(LOOKUP(2,1/(('Match Log'!$D$4:$D$1510=$X$24)*('Match Log'!$A$4:$A$1510&lt;=$J630)),'Match Log'!$N$4:$N$1510),NA()))</f>
        <v>#N/A</v>
      </c>
      <c r="Y630" t="str">
        <f t="shared" ca="1" si="37"/>
        <v/>
      </c>
    </row>
    <row r="631" spans="1:25" x14ac:dyDescent="0.2">
      <c r="A631">
        <v>607</v>
      </c>
      <c r="B631" t="str">
        <f>IFERROR(INDEX('Match Log'!$B$4:$B$1510,MATCH($A631,'Match Log'!$A$4:$A$1510,0)),"")</f>
        <v/>
      </c>
      <c r="C631" t="str">
        <f>IFERROR(INDEX('Match Log'!$C$4:$C$1510,MATCH($A631,'Match Log'!$A$4:$A$1510,0)),"")</f>
        <v/>
      </c>
      <c r="D631" t="str">
        <f t="array" ref="D631">IFERROR(_xlfn.TEXTJOIN(" + ",TRUE(),IF(('Match Log'!$A$4:$A$1510=$A631)*('Match Log'!$E$4:$E$1510="Win"),'Match Log'!$D$4:$D$1510,"")),IFERROR(LOOKUP(2,1/(('Match Log'!$A$4:$A$1510=$A631)*('Match Log'!$E$4:$E$1510="Win")),'Match Log'!$D$4:$D$1510),""))</f>
        <v/>
      </c>
      <c r="E631" t="str">
        <f>IFERROR(INDEX('Match Log'!$F$4:$F$1510,MATCH($A631,'Match Log'!$A$4:$A$1510,0)),"")</f>
        <v/>
      </c>
      <c r="F631">
        <f>IFERROR(SUMIFS('Match Log'!$I$4:$I$1510,'Match Log'!$A$4:$A$1510,$A631,'Match Log'!$E$4:$E$1510,"Win"),"")</f>
        <v>0</v>
      </c>
      <c r="G631" t="str">
        <f t="shared" si="35"/>
        <v/>
      </c>
      <c r="H631" t="str">
        <f t="array" ref="H631">IFERROR(IF(COUNTIFS('Match Log'!$A$4:$A$1510,$A631,'Match Log'!$E$4:$E$1510,"Win")&gt;1,_xlfn.TEXTJOIN(" + ",TRUE(),IF(('Match Log'!$A$4:$A$1510=$A631)*('Match Log'!$E$4:$E$1510="Loss"),'Match Log'!$D$4:$D$1510,"")),IF($E631=2,LOOKUP(2,1/(('Match Log'!$A$4:$A$1510=$A631)*('Match Log'!$E$4:$E$1510="Loss")),'Match Log'!$D$4:$D$1510),"the field")),"")</f>
        <v>the field</v>
      </c>
      <c r="I631" t="str">
        <f t="shared" si="36"/>
        <v/>
      </c>
      <c r="J631">
        <v>607</v>
      </c>
      <c r="K631" t="e">
        <f>IF($J631&gt;MAX('Match Log'!$A$4:$A$1510),NA(),IFERROR(LOOKUP(2,1/(('Match Log'!$D$4:$D$1510=$K$24)*('Match Log'!$A$4:$A$1510&lt;=$J631)),'Match Log'!$N$4:$N$1510),NA()))</f>
        <v>#N/A</v>
      </c>
      <c r="L631" t="e">
        <f>IF($J631&gt;MAX('Match Log'!$A$4:$A$1510),NA(),IFERROR(LOOKUP(2,1/(('Match Log'!$D$4:$D$1510=$L$24)*('Match Log'!$A$4:$A$1510&lt;=$J631)),'Match Log'!$N$4:$N$1510),NA()))</f>
        <v>#N/A</v>
      </c>
      <c r="M631" t="e">
        <f>IF($J631&gt;MAX('Match Log'!$A$4:$A$1510),NA(),IFERROR(LOOKUP(2,1/(('Match Log'!$D$4:$D$1510=$M$24)*('Match Log'!$A$4:$A$1510&lt;=$J631)),'Match Log'!$N$4:$N$1510),NA()))</f>
        <v>#N/A</v>
      </c>
      <c r="N631" t="e">
        <f>IF($J631&gt;MAX('Match Log'!$A$4:$A$1510),NA(),IFERROR(LOOKUP(2,1/(('Match Log'!$D$4:$D$1510=$N$24)*('Match Log'!$A$4:$A$1510&lt;=$J631)),'Match Log'!$N$4:$N$1510),NA()))</f>
        <v>#N/A</v>
      </c>
      <c r="O631" t="e">
        <f>IF($J631&gt;MAX('Match Log'!$A$4:$A$1510),NA(),IFERROR(LOOKUP(2,1/(('Match Log'!$D$4:$D$1510=$O$24)*('Match Log'!$A$4:$A$1510&lt;=$J631)),'Match Log'!$N$4:$N$1510),NA()))</f>
        <v>#N/A</v>
      </c>
      <c r="P631" t="e">
        <f>IF($J631&gt;MAX('Match Log'!$A$4:$A$1510),NA(),IFERROR(LOOKUP(2,1/(('Match Log'!$D$4:$D$1510=$P$24)*('Match Log'!$A$4:$A$1510&lt;=$J631)),'Match Log'!$N$4:$N$1510),NA()))</f>
        <v>#N/A</v>
      </c>
      <c r="Q631" t="e">
        <f>IF($J631&gt;MAX('Match Log'!$A$4:$A$1510),NA(),IFERROR(LOOKUP(2,1/(('Match Log'!$D$4:$D$1510=$Q$24)*('Match Log'!$A$4:$A$1510&lt;=$J631)),'Match Log'!$N$4:$N$1510),NA()))</f>
        <v>#N/A</v>
      </c>
      <c r="R631" t="e">
        <f>IF($J631&gt;MAX('Match Log'!$A$4:$A$1510),NA(),IFERROR(LOOKUP(2,1/(('Match Log'!$D$4:$D$1510=$R$24)*('Match Log'!$A$4:$A$1510&lt;=$J631)),'Match Log'!$N$4:$N$1510),NA()))</f>
        <v>#N/A</v>
      </c>
      <c r="S631" t="e">
        <f>IF($J631&gt;MAX('Match Log'!$A$4:$A$1510),NA(),IFERROR(LOOKUP(2,1/(('Match Log'!$D$4:$D$1510=$S$24)*('Match Log'!$A$4:$A$1510&lt;=$J631)),'Match Log'!$N$4:$N$1510),NA()))</f>
        <v>#N/A</v>
      </c>
      <c r="T631" t="e">
        <f>IF($J631&gt;MAX('Match Log'!$A$4:$A$1510),NA(),IFERROR(LOOKUP(2,1/(('Match Log'!$D$4:$D$1510=$T$24)*('Match Log'!$A$4:$A$1510&lt;=$J631)),'Match Log'!$N$4:$N$1510),NA()))</f>
        <v>#N/A</v>
      </c>
      <c r="U631" t="e">
        <f>IF($J631&gt;MAX('Match Log'!$A$4:$A$1510),NA(),IFERROR(LOOKUP(2,1/(('Match Log'!$D$4:$D$1510=$U$24)*('Match Log'!$A$4:$A$1510&lt;=$J631)),'Match Log'!$N$4:$N$1510),NA()))</f>
        <v>#N/A</v>
      </c>
      <c r="V631" t="e">
        <f>IF($J631&gt;MAX('Match Log'!$A$4:$A$1510),NA(),IFERROR(LOOKUP(2,1/(('Match Log'!$D$4:$D$1510=$V$24)*('Match Log'!$A$4:$A$1510&lt;=$J631)),'Match Log'!$N$4:$N$1510),NA()))</f>
        <v>#N/A</v>
      </c>
      <c r="W631" t="e">
        <f>IF($J631&gt;MAX('Match Log'!$A$4:$A$1510),NA(),IFERROR(LOOKUP(2,1/(('Match Log'!$D$4:$D$1510=$W$24)*('Match Log'!$A$4:$A$1510&lt;=$J631)),'Match Log'!$N$4:$N$1510),NA()))</f>
        <v>#N/A</v>
      </c>
      <c r="X631" t="e">
        <f>IF($J631&gt;MAX('Match Log'!$A$4:$A$1510),NA(),IFERROR(LOOKUP(2,1/(('Match Log'!$D$4:$D$1510=$X$24)*('Match Log'!$A$4:$A$1510&lt;=$J631)),'Match Log'!$N$4:$N$1510),NA()))</f>
        <v>#N/A</v>
      </c>
      <c r="Y631" t="str">
        <f t="shared" ca="1" si="37"/>
        <v/>
      </c>
    </row>
    <row r="632" spans="1:25" x14ac:dyDescent="0.2">
      <c r="A632">
        <v>608</v>
      </c>
      <c r="B632" t="str">
        <f>IFERROR(INDEX('Match Log'!$B$4:$B$1510,MATCH($A632,'Match Log'!$A$4:$A$1510,0)),"")</f>
        <v/>
      </c>
      <c r="C632" t="str">
        <f>IFERROR(INDEX('Match Log'!$C$4:$C$1510,MATCH($A632,'Match Log'!$A$4:$A$1510,0)),"")</f>
        <v/>
      </c>
      <c r="D632" t="str">
        <f t="array" ref="D632">IFERROR(_xlfn.TEXTJOIN(" + ",TRUE(),IF(('Match Log'!$A$4:$A$1510=$A632)*('Match Log'!$E$4:$E$1510="Win"),'Match Log'!$D$4:$D$1510,"")),IFERROR(LOOKUP(2,1/(('Match Log'!$A$4:$A$1510=$A632)*('Match Log'!$E$4:$E$1510="Win")),'Match Log'!$D$4:$D$1510),""))</f>
        <v/>
      </c>
      <c r="E632" t="str">
        <f>IFERROR(INDEX('Match Log'!$F$4:$F$1510,MATCH($A632,'Match Log'!$A$4:$A$1510,0)),"")</f>
        <v/>
      </c>
      <c r="F632">
        <f>IFERROR(SUMIFS('Match Log'!$I$4:$I$1510,'Match Log'!$A$4:$A$1510,$A632,'Match Log'!$E$4:$E$1510,"Win"),"")</f>
        <v>0</v>
      </c>
      <c r="G632" t="str">
        <f t="shared" si="35"/>
        <v/>
      </c>
      <c r="H632" t="str">
        <f t="array" ref="H632">IFERROR(IF(COUNTIFS('Match Log'!$A$4:$A$1510,$A632,'Match Log'!$E$4:$E$1510,"Win")&gt;1,_xlfn.TEXTJOIN(" + ",TRUE(),IF(('Match Log'!$A$4:$A$1510=$A632)*('Match Log'!$E$4:$E$1510="Loss"),'Match Log'!$D$4:$D$1510,"")),IF($E632=2,LOOKUP(2,1/(('Match Log'!$A$4:$A$1510=$A632)*('Match Log'!$E$4:$E$1510="Loss")),'Match Log'!$D$4:$D$1510),"the field")),"")</f>
        <v>the field</v>
      </c>
      <c r="I632" t="str">
        <f t="shared" si="36"/>
        <v/>
      </c>
      <c r="J632">
        <v>608</v>
      </c>
      <c r="K632" t="e">
        <f>IF($J632&gt;MAX('Match Log'!$A$4:$A$1510),NA(),IFERROR(LOOKUP(2,1/(('Match Log'!$D$4:$D$1510=$K$24)*('Match Log'!$A$4:$A$1510&lt;=$J632)),'Match Log'!$N$4:$N$1510),NA()))</f>
        <v>#N/A</v>
      </c>
      <c r="L632" t="e">
        <f>IF($J632&gt;MAX('Match Log'!$A$4:$A$1510),NA(),IFERROR(LOOKUP(2,1/(('Match Log'!$D$4:$D$1510=$L$24)*('Match Log'!$A$4:$A$1510&lt;=$J632)),'Match Log'!$N$4:$N$1510),NA()))</f>
        <v>#N/A</v>
      </c>
      <c r="M632" t="e">
        <f>IF($J632&gt;MAX('Match Log'!$A$4:$A$1510),NA(),IFERROR(LOOKUP(2,1/(('Match Log'!$D$4:$D$1510=$M$24)*('Match Log'!$A$4:$A$1510&lt;=$J632)),'Match Log'!$N$4:$N$1510),NA()))</f>
        <v>#N/A</v>
      </c>
      <c r="N632" t="e">
        <f>IF($J632&gt;MAX('Match Log'!$A$4:$A$1510),NA(),IFERROR(LOOKUP(2,1/(('Match Log'!$D$4:$D$1510=$N$24)*('Match Log'!$A$4:$A$1510&lt;=$J632)),'Match Log'!$N$4:$N$1510),NA()))</f>
        <v>#N/A</v>
      </c>
      <c r="O632" t="e">
        <f>IF($J632&gt;MAX('Match Log'!$A$4:$A$1510),NA(),IFERROR(LOOKUP(2,1/(('Match Log'!$D$4:$D$1510=$O$24)*('Match Log'!$A$4:$A$1510&lt;=$J632)),'Match Log'!$N$4:$N$1510),NA()))</f>
        <v>#N/A</v>
      </c>
      <c r="P632" t="e">
        <f>IF($J632&gt;MAX('Match Log'!$A$4:$A$1510),NA(),IFERROR(LOOKUP(2,1/(('Match Log'!$D$4:$D$1510=$P$24)*('Match Log'!$A$4:$A$1510&lt;=$J632)),'Match Log'!$N$4:$N$1510),NA()))</f>
        <v>#N/A</v>
      </c>
      <c r="Q632" t="e">
        <f>IF($J632&gt;MAX('Match Log'!$A$4:$A$1510),NA(),IFERROR(LOOKUP(2,1/(('Match Log'!$D$4:$D$1510=$Q$24)*('Match Log'!$A$4:$A$1510&lt;=$J632)),'Match Log'!$N$4:$N$1510),NA()))</f>
        <v>#N/A</v>
      </c>
      <c r="R632" t="e">
        <f>IF($J632&gt;MAX('Match Log'!$A$4:$A$1510),NA(),IFERROR(LOOKUP(2,1/(('Match Log'!$D$4:$D$1510=$R$24)*('Match Log'!$A$4:$A$1510&lt;=$J632)),'Match Log'!$N$4:$N$1510),NA()))</f>
        <v>#N/A</v>
      </c>
      <c r="S632" t="e">
        <f>IF($J632&gt;MAX('Match Log'!$A$4:$A$1510),NA(),IFERROR(LOOKUP(2,1/(('Match Log'!$D$4:$D$1510=$S$24)*('Match Log'!$A$4:$A$1510&lt;=$J632)),'Match Log'!$N$4:$N$1510),NA()))</f>
        <v>#N/A</v>
      </c>
      <c r="T632" t="e">
        <f>IF($J632&gt;MAX('Match Log'!$A$4:$A$1510),NA(),IFERROR(LOOKUP(2,1/(('Match Log'!$D$4:$D$1510=$T$24)*('Match Log'!$A$4:$A$1510&lt;=$J632)),'Match Log'!$N$4:$N$1510),NA()))</f>
        <v>#N/A</v>
      </c>
      <c r="U632" t="e">
        <f>IF($J632&gt;MAX('Match Log'!$A$4:$A$1510),NA(),IFERROR(LOOKUP(2,1/(('Match Log'!$D$4:$D$1510=$U$24)*('Match Log'!$A$4:$A$1510&lt;=$J632)),'Match Log'!$N$4:$N$1510),NA()))</f>
        <v>#N/A</v>
      </c>
      <c r="V632" t="e">
        <f>IF($J632&gt;MAX('Match Log'!$A$4:$A$1510),NA(),IFERROR(LOOKUP(2,1/(('Match Log'!$D$4:$D$1510=$V$24)*('Match Log'!$A$4:$A$1510&lt;=$J632)),'Match Log'!$N$4:$N$1510),NA()))</f>
        <v>#N/A</v>
      </c>
      <c r="W632" t="e">
        <f>IF($J632&gt;MAX('Match Log'!$A$4:$A$1510),NA(),IFERROR(LOOKUP(2,1/(('Match Log'!$D$4:$D$1510=$W$24)*('Match Log'!$A$4:$A$1510&lt;=$J632)),'Match Log'!$N$4:$N$1510),NA()))</f>
        <v>#N/A</v>
      </c>
      <c r="X632" t="e">
        <f>IF($J632&gt;MAX('Match Log'!$A$4:$A$1510),NA(),IFERROR(LOOKUP(2,1/(('Match Log'!$D$4:$D$1510=$X$24)*('Match Log'!$A$4:$A$1510&lt;=$J632)),'Match Log'!$N$4:$N$1510),NA()))</f>
        <v>#N/A</v>
      </c>
      <c r="Y632" t="str">
        <f t="shared" ca="1" si="37"/>
        <v/>
      </c>
    </row>
    <row r="633" spans="1:25" x14ac:dyDescent="0.2">
      <c r="A633">
        <v>609</v>
      </c>
      <c r="B633" t="str">
        <f>IFERROR(INDEX('Match Log'!$B$4:$B$1510,MATCH($A633,'Match Log'!$A$4:$A$1510,0)),"")</f>
        <v/>
      </c>
      <c r="C633" t="str">
        <f>IFERROR(INDEX('Match Log'!$C$4:$C$1510,MATCH($A633,'Match Log'!$A$4:$A$1510,0)),"")</f>
        <v/>
      </c>
      <c r="D633" t="str">
        <f t="array" ref="D633">IFERROR(_xlfn.TEXTJOIN(" + ",TRUE(),IF(('Match Log'!$A$4:$A$1510=$A633)*('Match Log'!$E$4:$E$1510="Win"),'Match Log'!$D$4:$D$1510,"")),IFERROR(LOOKUP(2,1/(('Match Log'!$A$4:$A$1510=$A633)*('Match Log'!$E$4:$E$1510="Win")),'Match Log'!$D$4:$D$1510),""))</f>
        <v/>
      </c>
      <c r="E633" t="str">
        <f>IFERROR(INDEX('Match Log'!$F$4:$F$1510,MATCH($A633,'Match Log'!$A$4:$A$1510,0)),"")</f>
        <v/>
      </c>
      <c r="F633">
        <f>IFERROR(SUMIFS('Match Log'!$I$4:$I$1510,'Match Log'!$A$4:$A$1510,$A633,'Match Log'!$E$4:$E$1510,"Win"),"")</f>
        <v>0</v>
      </c>
      <c r="G633" t="str">
        <f t="shared" si="35"/>
        <v/>
      </c>
      <c r="H633" t="str">
        <f t="array" ref="H633">IFERROR(IF(COUNTIFS('Match Log'!$A$4:$A$1510,$A633,'Match Log'!$E$4:$E$1510,"Win")&gt;1,_xlfn.TEXTJOIN(" + ",TRUE(),IF(('Match Log'!$A$4:$A$1510=$A633)*('Match Log'!$E$4:$E$1510="Loss"),'Match Log'!$D$4:$D$1510,"")),IF($E633=2,LOOKUP(2,1/(('Match Log'!$A$4:$A$1510=$A633)*('Match Log'!$E$4:$E$1510="Loss")),'Match Log'!$D$4:$D$1510),"the field")),"")</f>
        <v>the field</v>
      </c>
      <c r="I633" t="str">
        <f t="shared" si="36"/>
        <v/>
      </c>
      <c r="J633">
        <v>609</v>
      </c>
      <c r="K633" t="e">
        <f>IF($J633&gt;MAX('Match Log'!$A$4:$A$1510),NA(),IFERROR(LOOKUP(2,1/(('Match Log'!$D$4:$D$1510=$K$24)*('Match Log'!$A$4:$A$1510&lt;=$J633)),'Match Log'!$N$4:$N$1510),NA()))</f>
        <v>#N/A</v>
      </c>
      <c r="L633" t="e">
        <f>IF($J633&gt;MAX('Match Log'!$A$4:$A$1510),NA(),IFERROR(LOOKUP(2,1/(('Match Log'!$D$4:$D$1510=$L$24)*('Match Log'!$A$4:$A$1510&lt;=$J633)),'Match Log'!$N$4:$N$1510),NA()))</f>
        <v>#N/A</v>
      </c>
      <c r="M633" t="e">
        <f>IF($J633&gt;MAX('Match Log'!$A$4:$A$1510),NA(),IFERROR(LOOKUP(2,1/(('Match Log'!$D$4:$D$1510=$M$24)*('Match Log'!$A$4:$A$1510&lt;=$J633)),'Match Log'!$N$4:$N$1510),NA()))</f>
        <v>#N/A</v>
      </c>
      <c r="N633" t="e">
        <f>IF($J633&gt;MAX('Match Log'!$A$4:$A$1510),NA(),IFERROR(LOOKUP(2,1/(('Match Log'!$D$4:$D$1510=$N$24)*('Match Log'!$A$4:$A$1510&lt;=$J633)),'Match Log'!$N$4:$N$1510),NA()))</f>
        <v>#N/A</v>
      </c>
      <c r="O633" t="e">
        <f>IF($J633&gt;MAX('Match Log'!$A$4:$A$1510),NA(),IFERROR(LOOKUP(2,1/(('Match Log'!$D$4:$D$1510=$O$24)*('Match Log'!$A$4:$A$1510&lt;=$J633)),'Match Log'!$N$4:$N$1510),NA()))</f>
        <v>#N/A</v>
      </c>
      <c r="P633" t="e">
        <f>IF($J633&gt;MAX('Match Log'!$A$4:$A$1510),NA(),IFERROR(LOOKUP(2,1/(('Match Log'!$D$4:$D$1510=$P$24)*('Match Log'!$A$4:$A$1510&lt;=$J633)),'Match Log'!$N$4:$N$1510),NA()))</f>
        <v>#N/A</v>
      </c>
      <c r="Q633" t="e">
        <f>IF($J633&gt;MAX('Match Log'!$A$4:$A$1510),NA(),IFERROR(LOOKUP(2,1/(('Match Log'!$D$4:$D$1510=$Q$24)*('Match Log'!$A$4:$A$1510&lt;=$J633)),'Match Log'!$N$4:$N$1510),NA()))</f>
        <v>#N/A</v>
      </c>
      <c r="R633" t="e">
        <f>IF($J633&gt;MAX('Match Log'!$A$4:$A$1510),NA(),IFERROR(LOOKUP(2,1/(('Match Log'!$D$4:$D$1510=$R$24)*('Match Log'!$A$4:$A$1510&lt;=$J633)),'Match Log'!$N$4:$N$1510),NA()))</f>
        <v>#N/A</v>
      </c>
      <c r="S633" t="e">
        <f>IF($J633&gt;MAX('Match Log'!$A$4:$A$1510),NA(),IFERROR(LOOKUP(2,1/(('Match Log'!$D$4:$D$1510=$S$24)*('Match Log'!$A$4:$A$1510&lt;=$J633)),'Match Log'!$N$4:$N$1510),NA()))</f>
        <v>#N/A</v>
      </c>
      <c r="T633" t="e">
        <f>IF($J633&gt;MAX('Match Log'!$A$4:$A$1510),NA(),IFERROR(LOOKUP(2,1/(('Match Log'!$D$4:$D$1510=$T$24)*('Match Log'!$A$4:$A$1510&lt;=$J633)),'Match Log'!$N$4:$N$1510),NA()))</f>
        <v>#N/A</v>
      </c>
      <c r="U633" t="e">
        <f>IF($J633&gt;MAX('Match Log'!$A$4:$A$1510),NA(),IFERROR(LOOKUP(2,1/(('Match Log'!$D$4:$D$1510=$U$24)*('Match Log'!$A$4:$A$1510&lt;=$J633)),'Match Log'!$N$4:$N$1510),NA()))</f>
        <v>#N/A</v>
      </c>
      <c r="V633" t="e">
        <f>IF($J633&gt;MAX('Match Log'!$A$4:$A$1510),NA(),IFERROR(LOOKUP(2,1/(('Match Log'!$D$4:$D$1510=$V$24)*('Match Log'!$A$4:$A$1510&lt;=$J633)),'Match Log'!$N$4:$N$1510),NA()))</f>
        <v>#N/A</v>
      </c>
      <c r="W633" t="e">
        <f>IF($J633&gt;MAX('Match Log'!$A$4:$A$1510),NA(),IFERROR(LOOKUP(2,1/(('Match Log'!$D$4:$D$1510=$W$24)*('Match Log'!$A$4:$A$1510&lt;=$J633)),'Match Log'!$N$4:$N$1510),NA()))</f>
        <v>#N/A</v>
      </c>
      <c r="X633" t="e">
        <f>IF($J633&gt;MAX('Match Log'!$A$4:$A$1510),NA(),IFERROR(LOOKUP(2,1/(('Match Log'!$D$4:$D$1510=$X$24)*('Match Log'!$A$4:$A$1510&lt;=$J633)),'Match Log'!$N$4:$N$1510),NA()))</f>
        <v>#N/A</v>
      </c>
      <c r="Y633" t="str">
        <f t="shared" ca="1" si="37"/>
        <v/>
      </c>
    </row>
    <row r="634" spans="1:25" x14ac:dyDescent="0.2">
      <c r="A634">
        <v>610</v>
      </c>
      <c r="B634" t="str">
        <f>IFERROR(INDEX('Match Log'!$B$4:$B$1510,MATCH($A634,'Match Log'!$A$4:$A$1510,0)),"")</f>
        <v/>
      </c>
      <c r="C634" t="str">
        <f>IFERROR(INDEX('Match Log'!$C$4:$C$1510,MATCH($A634,'Match Log'!$A$4:$A$1510,0)),"")</f>
        <v/>
      </c>
      <c r="D634" t="str">
        <f t="array" ref="D634">IFERROR(_xlfn.TEXTJOIN(" + ",TRUE(),IF(('Match Log'!$A$4:$A$1510=$A634)*('Match Log'!$E$4:$E$1510="Win"),'Match Log'!$D$4:$D$1510,"")),IFERROR(LOOKUP(2,1/(('Match Log'!$A$4:$A$1510=$A634)*('Match Log'!$E$4:$E$1510="Win")),'Match Log'!$D$4:$D$1510),""))</f>
        <v/>
      </c>
      <c r="E634" t="str">
        <f>IFERROR(INDEX('Match Log'!$F$4:$F$1510,MATCH($A634,'Match Log'!$A$4:$A$1510,0)),"")</f>
        <v/>
      </c>
      <c r="F634">
        <f>IFERROR(SUMIFS('Match Log'!$I$4:$I$1510,'Match Log'!$A$4:$A$1510,$A634,'Match Log'!$E$4:$E$1510,"Win"),"")</f>
        <v>0</v>
      </c>
      <c r="G634" t="str">
        <f t="shared" si="35"/>
        <v/>
      </c>
      <c r="H634" t="str">
        <f t="array" ref="H634">IFERROR(IF(COUNTIFS('Match Log'!$A$4:$A$1510,$A634,'Match Log'!$E$4:$E$1510,"Win")&gt;1,_xlfn.TEXTJOIN(" + ",TRUE(),IF(('Match Log'!$A$4:$A$1510=$A634)*('Match Log'!$E$4:$E$1510="Loss"),'Match Log'!$D$4:$D$1510,"")),IF($E634=2,LOOKUP(2,1/(('Match Log'!$A$4:$A$1510=$A634)*('Match Log'!$E$4:$E$1510="Loss")),'Match Log'!$D$4:$D$1510),"the field")),"")</f>
        <v>the field</v>
      </c>
      <c r="I634" t="str">
        <f t="shared" si="36"/>
        <v/>
      </c>
      <c r="J634">
        <v>610</v>
      </c>
      <c r="K634" t="e">
        <f>IF($J634&gt;MAX('Match Log'!$A$4:$A$1510),NA(),IFERROR(LOOKUP(2,1/(('Match Log'!$D$4:$D$1510=$K$24)*('Match Log'!$A$4:$A$1510&lt;=$J634)),'Match Log'!$N$4:$N$1510),NA()))</f>
        <v>#N/A</v>
      </c>
      <c r="L634" t="e">
        <f>IF($J634&gt;MAX('Match Log'!$A$4:$A$1510),NA(),IFERROR(LOOKUP(2,1/(('Match Log'!$D$4:$D$1510=$L$24)*('Match Log'!$A$4:$A$1510&lt;=$J634)),'Match Log'!$N$4:$N$1510),NA()))</f>
        <v>#N/A</v>
      </c>
      <c r="M634" t="e">
        <f>IF($J634&gt;MAX('Match Log'!$A$4:$A$1510),NA(),IFERROR(LOOKUP(2,1/(('Match Log'!$D$4:$D$1510=$M$24)*('Match Log'!$A$4:$A$1510&lt;=$J634)),'Match Log'!$N$4:$N$1510),NA()))</f>
        <v>#N/A</v>
      </c>
      <c r="N634" t="e">
        <f>IF($J634&gt;MAX('Match Log'!$A$4:$A$1510),NA(),IFERROR(LOOKUP(2,1/(('Match Log'!$D$4:$D$1510=$N$24)*('Match Log'!$A$4:$A$1510&lt;=$J634)),'Match Log'!$N$4:$N$1510),NA()))</f>
        <v>#N/A</v>
      </c>
      <c r="O634" t="e">
        <f>IF($J634&gt;MAX('Match Log'!$A$4:$A$1510),NA(),IFERROR(LOOKUP(2,1/(('Match Log'!$D$4:$D$1510=$O$24)*('Match Log'!$A$4:$A$1510&lt;=$J634)),'Match Log'!$N$4:$N$1510),NA()))</f>
        <v>#N/A</v>
      </c>
      <c r="P634" t="e">
        <f>IF($J634&gt;MAX('Match Log'!$A$4:$A$1510),NA(),IFERROR(LOOKUP(2,1/(('Match Log'!$D$4:$D$1510=$P$24)*('Match Log'!$A$4:$A$1510&lt;=$J634)),'Match Log'!$N$4:$N$1510),NA()))</f>
        <v>#N/A</v>
      </c>
      <c r="Q634" t="e">
        <f>IF($J634&gt;MAX('Match Log'!$A$4:$A$1510),NA(),IFERROR(LOOKUP(2,1/(('Match Log'!$D$4:$D$1510=$Q$24)*('Match Log'!$A$4:$A$1510&lt;=$J634)),'Match Log'!$N$4:$N$1510),NA()))</f>
        <v>#N/A</v>
      </c>
      <c r="R634" t="e">
        <f>IF($J634&gt;MAX('Match Log'!$A$4:$A$1510),NA(),IFERROR(LOOKUP(2,1/(('Match Log'!$D$4:$D$1510=$R$24)*('Match Log'!$A$4:$A$1510&lt;=$J634)),'Match Log'!$N$4:$N$1510),NA()))</f>
        <v>#N/A</v>
      </c>
      <c r="S634" t="e">
        <f>IF($J634&gt;MAX('Match Log'!$A$4:$A$1510),NA(),IFERROR(LOOKUP(2,1/(('Match Log'!$D$4:$D$1510=$S$24)*('Match Log'!$A$4:$A$1510&lt;=$J634)),'Match Log'!$N$4:$N$1510),NA()))</f>
        <v>#N/A</v>
      </c>
      <c r="T634" t="e">
        <f>IF($J634&gt;MAX('Match Log'!$A$4:$A$1510),NA(),IFERROR(LOOKUP(2,1/(('Match Log'!$D$4:$D$1510=$T$24)*('Match Log'!$A$4:$A$1510&lt;=$J634)),'Match Log'!$N$4:$N$1510),NA()))</f>
        <v>#N/A</v>
      </c>
      <c r="U634" t="e">
        <f>IF($J634&gt;MAX('Match Log'!$A$4:$A$1510),NA(),IFERROR(LOOKUP(2,1/(('Match Log'!$D$4:$D$1510=$U$24)*('Match Log'!$A$4:$A$1510&lt;=$J634)),'Match Log'!$N$4:$N$1510),NA()))</f>
        <v>#N/A</v>
      </c>
      <c r="V634" t="e">
        <f>IF($J634&gt;MAX('Match Log'!$A$4:$A$1510),NA(),IFERROR(LOOKUP(2,1/(('Match Log'!$D$4:$D$1510=$V$24)*('Match Log'!$A$4:$A$1510&lt;=$J634)),'Match Log'!$N$4:$N$1510),NA()))</f>
        <v>#N/A</v>
      </c>
      <c r="W634" t="e">
        <f>IF($J634&gt;MAX('Match Log'!$A$4:$A$1510),NA(),IFERROR(LOOKUP(2,1/(('Match Log'!$D$4:$D$1510=$W$24)*('Match Log'!$A$4:$A$1510&lt;=$J634)),'Match Log'!$N$4:$N$1510),NA()))</f>
        <v>#N/A</v>
      </c>
      <c r="X634" t="e">
        <f>IF($J634&gt;MAX('Match Log'!$A$4:$A$1510),NA(),IFERROR(LOOKUP(2,1/(('Match Log'!$D$4:$D$1510=$X$24)*('Match Log'!$A$4:$A$1510&lt;=$J634)),'Match Log'!$N$4:$N$1510),NA()))</f>
        <v>#N/A</v>
      </c>
      <c r="Y634" t="str">
        <f t="shared" ca="1" si="37"/>
        <v/>
      </c>
    </row>
    <row r="635" spans="1:25" x14ac:dyDescent="0.2">
      <c r="A635">
        <v>611</v>
      </c>
      <c r="B635" t="str">
        <f>IFERROR(INDEX('Match Log'!$B$4:$B$1510,MATCH($A635,'Match Log'!$A$4:$A$1510,0)),"")</f>
        <v/>
      </c>
      <c r="C635" t="str">
        <f>IFERROR(INDEX('Match Log'!$C$4:$C$1510,MATCH($A635,'Match Log'!$A$4:$A$1510,0)),"")</f>
        <v/>
      </c>
      <c r="D635" t="str">
        <f t="array" ref="D635">IFERROR(_xlfn.TEXTJOIN(" + ",TRUE(),IF(('Match Log'!$A$4:$A$1510=$A635)*('Match Log'!$E$4:$E$1510="Win"),'Match Log'!$D$4:$D$1510,"")),IFERROR(LOOKUP(2,1/(('Match Log'!$A$4:$A$1510=$A635)*('Match Log'!$E$4:$E$1510="Win")),'Match Log'!$D$4:$D$1510),""))</f>
        <v/>
      </c>
      <c r="E635" t="str">
        <f>IFERROR(INDEX('Match Log'!$F$4:$F$1510,MATCH($A635,'Match Log'!$A$4:$A$1510,0)),"")</f>
        <v/>
      </c>
      <c r="F635">
        <f>IFERROR(SUMIFS('Match Log'!$I$4:$I$1510,'Match Log'!$A$4:$A$1510,$A635,'Match Log'!$E$4:$E$1510,"Win"),"")</f>
        <v>0</v>
      </c>
      <c r="G635" t="str">
        <f t="shared" si="35"/>
        <v/>
      </c>
      <c r="H635" t="str">
        <f t="array" ref="H635">IFERROR(IF(COUNTIFS('Match Log'!$A$4:$A$1510,$A635,'Match Log'!$E$4:$E$1510,"Win")&gt;1,_xlfn.TEXTJOIN(" + ",TRUE(),IF(('Match Log'!$A$4:$A$1510=$A635)*('Match Log'!$E$4:$E$1510="Loss"),'Match Log'!$D$4:$D$1510,"")),IF($E635=2,LOOKUP(2,1/(('Match Log'!$A$4:$A$1510=$A635)*('Match Log'!$E$4:$E$1510="Loss")),'Match Log'!$D$4:$D$1510),"the field")),"")</f>
        <v>the field</v>
      </c>
      <c r="I635" t="str">
        <f t="shared" si="36"/>
        <v/>
      </c>
      <c r="J635">
        <v>611</v>
      </c>
      <c r="K635" t="e">
        <f>IF($J635&gt;MAX('Match Log'!$A$4:$A$1510),NA(),IFERROR(LOOKUP(2,1/(('Match Log'!$D$4:$D$1510=$K$24)*('Match Log'!$A$4:$A$1510&lt;=$J635)),'Match Log'!$N$4:$N$1510),NA()))</f>
        <v>#N/A</v>
      </c>
      <c r="L635" t="e">
        <f>IF($J635&gt;MAX('Match Log'!$A$4:$A$1510),NA(),IFERROR(LOOKUP(2,1/(('Match Log'!$D$4:$D$1510=$L$24)*('Match Log'!$A$4:$A$1510&lt;=$J635)),'Match Log'!$N$4:$N$1510),NA()))</f>
        <v>#N/A</v>
      </c>
      <c r="M635" t="e">
        <f>IF($J635&gt;MAX('Match Log'!$A$4:$A$1510),NA(),IFERROR(LOOKUP(2,1/(('Match Log'!$D$4:$D$1510=$M$24)*('Match Log'!$A$4:$A$1510&lt;=$J635)),'Match Log'!$N$4:$N$1510),NA()))</f>
        <v>#N/A</v>
      </c>
      <c r="N635" t="e">
        <f>IF($J635&gt;MAX('Match Log'!$A$4:$A$1510),NA(),IFERROR(LOOKUP(2,1/(('Match Log'!$D$4:$D$1510=$N$24)*('Match Log'!$A$4:$A$1510&lt;=$J635)),'Match Log'!$N$4:$N$1510),NA()))</f>
        <v>#N/A</v>
      </c>
      <c r="O635" t="e">
        <f>IF($J635&gt;MAX('Match Log'!$A$4:$A$1510),NA(),IFERROR(LOOKUP(2,1/(('Match Log'!$D$4:$D$1510=$O$24)*('Match Log'!$A$4:$A$1510&lt;=$J635)),'Match Log'!$N$4:$N$1510),NA()))</f>
        <v>#N/A</v>
      </c>
      <c r="P635" t="e">
        <f>IF($J635&gt;MAX('Match Log'!$A$4:$A$1510),NA(),IFERROR(LOOKUP(2,1/(('Match Log'!$D$4:$D$1510=$P$24)*('Match Log'!$A$4:$A$1510&lt;=$J635)),'Match Log'!$N$4:$N$1510),NA()))</f>
        <v>#N/A</v>
      </c>
      <c r="Q635" t="e">
        <f>IF($J635&gt;MAX('Match Log'!$A$4:$A$1510),NA(),IFERROR(LOOKUP(2,1/(('Match Log'!$D$4:$D$1510=$Q$24)*('Match Log'!$A$4:$A$1510&lt;=$J635)),'Match Log'!$N$4:$N$1510),NA()))</f>
        <v>#N/A</v>
      </c>
      <c r="R635" t="e">
        <f>IF($J635&gt;MAX('Match Log'!$A$4:$A$1510),NA(),IFERROR(LOOKUP(2,1/(('Match Log'!$D$4:$D$1510=$R$24)*('Match Log'!$A$4:$A$1510&lt;=$J635)),'Match Log'!$N$4:$N$1510),NA()))</f>
        <v>#N/A</v>
      </c>
      <c r="S635" t="e">
        <f>IF($J635&gt;MAX('Match Log'!$A$4:$A$1510),NA(),IFERROR(LOOKUP(2,1/(('Match Log'!$D$4:$D$1510=$S$24)*('Match Log'!$A$4:$A$1510&lt;=$J635)),'Match Log'!$N$4:$N$1510),NA()))</f>
        <v>#N/A</v>
      </c>
      <c r="T635" t="e">
        <f>IF($J635&gt;MAX('Match Log'!$A$4:$A$1510),NA(),IFERROR(LOOKUP(2,1/(('Match Log'!$D$4:$D$1510=$T$24)*('Match Log'!$A$4:$A$1510&lt;=$J635)),'Match Log'!$N$4:$N$1510),NA()))</f>
        <v>#N/A</v>
      </c>
      <c r="U635" t="e">
        <f>IF($J635&gt;MAX('Match Log'!$A$4:$A$1510),NA(),IFERROR(LOOKUP(2,1/(('Match Log'!$D$4:$D$1510=$U$24)*('Match Log'!$A$4:$A$1510&lt;=$J635)),'Match Log'!$N$4:$N$1510),NA()))</f>
        <v>#N/A</v>
      </c>
      <c r="V635" t="e">
        <f>IF($J635&gt;MAX('Match Log'!$A$4:$A$1510),NA(),IFERROR(LOOKUP(2,1/(('Match Log'!$D$4:$D$1510=$V$24)*('Match Log'!$A$4:$A$1510&lt;=$J635)),'Match Log'!$N$4:$N$1510),NA()))</f>
        <v>#N/A</v>
      </c>
      <c r="W635" t="e">
        <f>IF($J635&gt;MAX('Match Log'!$A$4:$A$1510),NA(),IFERROR(LOOKUP(2,1/(('Match Log'!$D$4:$D$1510=$W$24)*('Match Log'!$A$4:$A$1510&lt;=$J635)),'Match Log'!$N$4:$N$1510),NA()))</f>
        <v>#N/A</v>
      </c>
      <c r="X635" t="e">
        <f>IF($J635&gt;MAX('Match Log'!$A$4:$A$1510),NA(),IFERROR(LOOKUP(2,1/(('Match Log'!$D$4:$D$1510=$X$24)*('Match Log'!$A$4:$A$1510&lt;=$J635)),'Match Log'!$N$4:$N$1510),NA()))</f>
        <v>#N/A</v>
      </c>
      <c r="Y635" t="str">
        <f t="shared" ca="1" si="37"/>
        <v/>
      </c>
    </row>
    <row r="636" spans="1:25" x14ac:dyDescent="0.2">
      <c r="A636">
        <v>612</v>
      </c>
      <c r="B636" t="str">
        <f>IFERROR(INDEX('Match Log'!$B$4:$B$1510,MATCH($A636,'Match Log'!$A$4:$A$1510,0)),"")</f>
        <v/>
      </c>
      <c r="C636" t="str">
        <f>IFERROR(INDEX('Match Log'!$C$4:$C$1510,MATCH($A636,'Match Log'!$A$4:$A$1510,0)),"")</f>
        <v/>
      </c>
      <c r="D636" t="str">
        <f t="array" ref="D636">IFERROR(_xlfn.TEXTJOIN(" + ",TRUE(),IF(('Match Log'!$A$4:$A$1510=$A636)*('Match Log'!$E$4:$E$1510="Win"),'Match Log'!$D$4:$D$1510,"")),IFERROR(LOOKUP(2,1/(('Match Log'!$A$4:$A$1510=$A636)*('Match Log'!$E$4:$E$1510="Win")),'Match Log'!$D$4:$D$1510),""))</f>
        <v/>
      </c>
      <c r="E636" t="str">
        <f>IFERROR(INDEX('Match Log'!$F$4:$F$1510,MATCH($A636,'Match Log'!$A$4:$A$1510,0)),"")</f>
        <v/>
      </c>
      <c r="F636">
        <f>IFERROR(SUMIFS('Match Log'!$I$4:$I$1510,'Match Log'!$A$4:$A$1510,$A636,'Match Log'!$E$4:$E$1510,"Win"),"")</f>
        <v>0</v>
      </c>
      <c r="G636" t="str">
        <f t="shared" si="35"/>
        <v/>
      </c>
      <c r="H636" t="str">
        <f t="array" ref="H636">IFERROR(IF(COUNTIFS('Match Log'!$A$4:$A$1510,$A636,'Match Log'!$E$4:$E$1510,"Win")&gt;1,_xlfn.TEXTJOIN(" + ",TRUE(),IF(('Match Log'!$A$4:$A$1510=$A636)*('Match Log'!$E$4:$E$1510="Loss"),'Match Log'!$D$4:$D$1510,"")),IF($E636=2,LOOKUP(2,1/(('Match Log'!$A$4:$A$1510=$A636)*('Match Log'!$E$4:$E$1510="Loss")),'Match Log'!$D$4:$D$1510),"the field")),"")</f>
        <v>the field</v>
      </c>
      <c r="I636" t="str">
        <f t="shared" si="36"/>
        <v/>
      </c>
      <c r="J636">
        <v>612</v>
      </c>
      <c r="K636" t="e">
        <f>IF($J636&gt;MAX('Match Log'!$A$4:$A$1510),NA(),IFERROR(LOOKUP(2,1/(('Match Log'!$D$4:$D$1510=$K$24)*('Match Log'!$A$4:$A$1510&lt;=$J636)),'Match Log'!$N$4:$N$1510),NA()))</f>
        <v>#N/A</v>
      </c>
      <c r="L636" t="e">
        <f>IF($J636&gt;MAX('Match Log'!$A$4:$A$1510),NA(),IFERROR(LOOKUP(2,1/(('Match Log'!$D$4:$D$1510=$L$24)*('Match Log'!$A$4:$A$1510&lt;=$J636)),'Match Log'!$N$4:$N$1510),NA()))</f>
        <v>#N/A</v>
      </c>
      <c r="M636" t="e">
        <f>IF($J636&gt;MAX('Match Log'!$A$4:$A$1510),NA(),IFERROR(LOOKUP(2,1/(('Match Log'!$D$4:$D$1510=$M$24)*('Match Log'!$A$4:$A$1510&lt;=$J636)),'Match Log'!$N$4:$N$1510),NA()))</f>
        <v>#N/A</v>
      </c>
      <c r="N636" t="e">
        <f>IF($J636&gt;MAX('Match Log'!$A$4:$A$1510),NA(),IFERROR(LOOKUP(2,1/(('Match Log'!$D$4:$D$1510=$N$24)*('Match Log'!$A$4:$A$1510&lt;=$J636)),'Match Log'!$N$4:$N$1510),NA()))</f>
        <v>#N/A</v>
      </c>
      <c r="O636" t="e">
        <f>IF($J636&gt;MAX('Match Log'!$A$4:$A$1510),NA(),IFERROR(LOOKUP(2,1/(('Match Log'!$D$4:$D$1510=$O$24)*('Match Log'!$A$4:$A$1510&lt;=$J636)),'Match Log'!$N$4:$N$1510),NA()))</f>
        <v>#N/A</v>
      </c>
      <c r="P636" t="e">
        <f>IF($J636&gt;MAX('Match Log'!$A$4:$A$1510),NA(),IFERROR(LOOKUP(2,1/(('Match Log'!$D$4:$D$1510=$P$24)*('Match Log'!$A$4:$A$1510&lt;=$J636)),'Match Log'!$N$4:$N$1510),NA()))</f>
        <v>#N/A</v>
      </c>
      <c r="Q636" t="e">
        <f>IF($J636&gt;MAX('Match Log'!$A$4:$A$1510),NA(),IFERROR(LOOKUP(2,1/(('Match Log'!$D$4:$D$1510=$Q$24)*('Match Log'!$A$4:$A$1510&lt;=$J636)),'Match Log'!$N$4:$N$1510),NA()))</f>
        <v>#N/A</v>
      </c>
      <c r="R636" t="e">
        <f>IF($J636&gt;MAX('Match Log'!$A$4:$A$1510),NA(),IFERROR(LOOKUP(2,1/(('Match Log'!$D$4:$D$1510=$R$24)*('Match Log'!$A$4:$A$1510&lt;=$J636)),'Match Log'!$N$4:$N$1510),NA()))</f>
        <v>#N/A</v>
      </c>
      <c r="S636" t="e">
        <f>IF($J636&gt;MAX('Match Log'!$A$4:$A$1510),NA(),IFERROR(LOOKUP(2,1/(('Match Log'!$D$4:$D$1510=$S$24)*('Match Log'!$A$4:$A$1510&lt;=$J636)),'Match Log'!$N$4:$N$1510),NA()))</f>
        <v>#N/A</v>
      </c>
      <c r="T636" t="e">
        <f>IF($J636&gt;MAX('Match Log'!$A$4:$A$1510),NA(),IFERROR(LOOKUP(2,1/(('Match Log'!$D$4:$D$1510=$T$24)*('Match Log'!$A$4:$A$1510&lt;=$J636)),'Match Log'!$N$4:$N$1510),NA()))</f>
        <v>#N/A</v>
      </c>
      <c r="U636" t="e">
        <f>IF($J636&gt;MAX('Match Log'!$A$4:$A$1510),NA(),IFERROR(LOOKUP(2,1/(('Match Log'!$D$4:$D$1510=$U$24)*('Match Log'!$A$4:$A$1510&lt;=$J636)),'Match Log'!$N$4:$N$1510),NA()))</f>
        <v>#N/A</v>
      </c>
      <c r="V636" t="e">
        <f>IF($J636&gt;MAX('Match Log'!$A$4:$A$1510),NA(),IFERROR(LOOKUP(2,1/(('Match Log'!$D$4:$D$1510=$V$24)*('Match Log'!$A$4:$A$1510&lt;=$J636)),'Match Log'!$N$4:$N$1510),NA()))</f>
        <v>#N/A</v>
      </c>
      <c r="W636" t="e">
        <f>IF($J636&gt;MAX('Match Log'!$A$4:$A$1510),NA(),IFERROR(LOOKUP(2,1/(('Match Log'!$D$4:$D$1510=$W$24)*('Match Log'!$A$4:$A$1510&lt;=$J636)),'Match Log'!$N$4:$N$1510),NA()))</f>
        <v>#N/A</v>
      </c>
      <c r="X636" t="e">
        <f>IF($J636&gt;MAX('Match Log'!$A$4:$A$1510),NA(),IFERROR(LOOKUP(2,1/(('Match Log'!$D$4:$D$1510=$X$24)*('Match Log'!$A$4:$A$1510&lt;=$J636)),'Match Log'!$N$4:$N$1510),NA()))</f>
        <v>#N/A</v>
      </c>
      <c r="Y636" t="str">
        <f t="shared" ca="1" si="37"/>
        <v/>
      </c>
    </row>
    <row r="637" spans="1:25" x14ac:dyDescent="0.2">
      <c r="A637">
        <v>613</v>
      </c>
      <c r="B637" t="str">
        <f>IFERROR(INDEX('Match Log'!$B$4:$B$1510,MATCH($A637,'Match Log'!$A$4:$A$1510,0)),"")</f>
        <v/>
      </c>
      <c r="C637" t="str">
        <f>IFERROR(INDEX('Match Log'!$C$4:$C$1510,MATCH($A637,'Match Log'!$A$4:$A$1510,0)),"")</f>
        <v/>
      </c>
      <c r="D637" t="str">
        <f t="array" ref="D637">IFERROR(_xlfn.TEXTJOIN(" + ",TRUE(),IF(('Match Log'!$A$4:$A$1510=$A637)*('Match Log'!$E$4:$E$1510="Win"),'Match Log'!$D$4:$D$1510,"")),IFERROR(LOOKUP(2,1/(('Match Log'!$A$4:$A$1510=$A637)*('Match Log'!$E$4:$E$1510="Win")),'Match Log'!$D$4:$D$1510),""))</f>
        <v/>
      </c>
      <c r="E637" t="str">
        <f>IFERROR(INDEX('Match Log'!$F$4:$F$1510,MATCH($A637,'Match Log'!$A$4:$A$1510,0)),"")</f>
        <v/>
      </c>
      <c r="F637">
        <f>IFERROR(SUMIFS('Match Log'!$I$4:$I$1510,'Match Log'!$A$4:$A$1510,$A637,'Match Log'!$E$4:$E$1510,"Win"),"")</f>
        <v>0</v>
      </c>
      <c r="G637" t="str">
        <f t="shared" si="35"/>
        <v/>
      </c>
      <c r="H637" t="str">
        <f t="array" ref="H637">IFERROR(IF(COUNTIFS('Match Log'!$A$4:$A$1510,$A637,'Match Log'!$E$4:$E$1510,"Win")&gt;1,_xlfn.TEXTJOIN(" + ",TRUE(),IF(('Match Log'!$A$4:$A$1510=$A637)*('Match Log'!$E$4:$E$1510="Loss"),'Match Log'!$D$4:$D$1510,"")),IF($E637=2,LOOKUP(2,1/(('Match Log'!$A$4:$A$1510=$A637)*('Match Log'!$E$4:$E$1510="Loss")),'Match Log'!$D$4:$D$1510),"the field")),"")</f>
        <v>the field</v>
      </c>
      <c r="I637" t="str">
        <f t="shared" si="36"/>
        <v/>
      </c>
      <c r="J637">
        <v>613</v>
      </c>
      <c r="K637" t="e">
        <f>IF($J637&gt;MAX('Match Log'!$A$4:$A$1510),NA(),IFERROR(LOOKUP(2,1/(('Match Log'!$D$4:$D$1510=$K$24)*('Match Log'!$A$4:$A$1510&lt;=$J637)),'Match Log'!$N$4:$N$1510),NA()))</f>
        <v>#N/A</v>
      </c>
      <c r="L637" t="e">
        <f>IF($J637&gt;MAX('Match Log'!$A$4:$A$1510),NA(),IFERROR(LOOKUP(2,1/(('Match Log'!$D$4:$D$1510=$L$24)*('Match Log'!$A$4:$A$1510&lt;=$J637)),'Match Log'!$N$4:$N$1510),NA()))</f>
        <v>#N/A</v>
      </c>
      <c r="M637" t="e">
        <f>IF($J637&gt;MAX('Match Log'!$A$4:$A$1510),NA(),IFERROR(LOOKUP(2,1/(('Match Log'!$D$4:$D$1510=$M$24)*('Match Log'!$A$4:$A$1510&lt;=$J637)),'Match Log'!$N$4:$N$1510),NA()))</f>
        <v>#N/A</v>
      </c>
      <c r="N637" t="e">
        <f>IF($J637&gt;MAX('Match Log'!$A$4:$A$1510),NA(),IFERROR(LOOKUP(2,1/(('Match Log'!$D$4:$D$1510=$N$24)*('Match Log'!$A$4:$A$1510&lt;=$J637)),'Match Log'!$N$4:$N$1510),NA()))</f>
        <v>#N/A</v>
      </c>
      <c r="O637" t="e">
        <f>IF($J637&gt;MAX('Match Log'!$A$4:$A$1510),NA(),IFERROR(LOOKUP(2,1/(('Match Log'!$D$4:$D$1510=$O$24)*('Match Log'!$A$4:$A$1510&lt;=$J637)),'Match Log'!$N$4:$N$1510),NA()))</f>
        <v>#N/A</v>
      </c>
      <c r="P637" t="e">
        <f>IF($J637&gt;MAX('Match Log'!$A$4:$A$1510),NA(),IFERROR(LOOKUP(2,1/(('Match Log'!$D$4:$D$1510=$P$24)*('Match Log'!$A$4:$A$1510&lt;=$J637)),'Match Log'!$N$4:$N$1510),NA()))</f>
        <v>#N/A</v>
      </c>
      <c r="Q637" t="e">
        <f>IF($J637&gt;MAX('Match Log'!$A$4:$A$1510),NA(),IFERROR(LOOKUP(2,1/(('Match Log'!$D$4:$D$1510=$Q$24)*('Match Log'!$A$4:$A$1510&lt;=$J637)),'Match Log'!$N$4:$N$1510),NA()))</f>
        <v>#N/A</v>
      </c>
      <c r="R637" t="e">
        <f>IF($J637&gt;MAX('Match Log'!$A$4:$A$1510),NA(),IFERROR(LOOKUP(2,1/(('Match Log'!$D$4:$D$1510=$R$24)*('Match Log'!$A$4:$A$1510&lt;=$J637)),'Match Log'!$N$4:$N$1510),NA()))</f>
        <v>#N/A</v>
      </c>
      <c r="S637" t="e">
        <f>IF($J637&gt;MAX('Match Log'!$A$4:$A$1510),NA(),IFERROR(LOOKUP(2,1/(('Match Log'!$D$4:$D$1510=$S$24)*('Match Log'!$A$4:$A$1510&lt;=$J637)),'Match Log'!$N$4:$N$1510),NA()))</f>
        <v>#N/A</v>
      </c>
      <c r="T637" t="e">
        <f>IF($J637&gt;MAX('Match Log'!$A$4:$A$1510),NA(),IFERROR(LOOKUP(2,1/(('Match Log'!$D$4:$D$1510=$T$24)*('Match Log'!$A$4:$A$1510&lt;=$J637)),'Match Log'!$N$4:$N$1510),NA()))</f>
        <v>#N/A</v>
      </c>
      <c r="U637" t="e">
        <f>IF($J637&gt;MAX('Match Log'!$A$4:$A$1510),NA(),IFERROR(LOOKUP(2,1/(('Match Log'!$D$4:$D$1510=$U$24)*('Match Log'!$A$4:$A$1510&lt;=$J637)),'Match Log'!$N$4:$N$1510),NA()))</f>
        <v>#N/A</v>
      </c>
      <c r="V637" t="e">
        <f>IF($J637&gt;MAX('Match Log'!$A$4:$A$1510),NA(),IFERROR(LOOKUP(2,1/(('Match Log'!$D$4:$D$1510=$V$24)*('Match Log'!$A$4:$A$1510&lt;=$J637)),'Match Log'!$N$4:$N$1510),NA()))</f>
        <v>#N/A</v>
      </c>
      <c r="W637" t="e">
        <f>IF($J637&gt;MAX('Match Log'!$A$4:$A$1510),NA(),IFERROR(LOOKUP(2,1/(('Match Log'!$D$4:$D$1510=$W$24)*('Match Log'!$A$4:$A$1510&lt;=$J637)),'Match Log'!$N$4:$N$1510),NA()))</f>
        <v>#N/A</v>
      </c>
      <c r="X637" t="e">
        <f>IF($J637&gt;MAX('Match Log'!$A$4:$A$1510),NA(),IFERROR(LOOKUP(2,1/(('Match Log'!$D$4:$D$1510=$X$24)*('Match Log'!$A$4:$A$1510&lt;=$J637)),'Match Log'!$N$4:$N$1510),NA()))</f>
        <v>#N/A</v>
      </c>
      <c r="Y637" t="str">
        <f t="shared" ca="1" si="37"/>
        <v/>
      </c>
    </row>
    <row r="638" spans="1:25" x14ac:dyDescent="0.2">
      <c r="A638">
        <v>614</v>
      </c>
      <c r="B638" t="str">
        <f>IFERROR(INDEX('Match Log'!$B$4:$B$1510,MATCH($A638,'Match Log'!$A$4:$A$1510,0)),"")</f>
        <v/>
      </c>
      <c r="C638" t="str">
        <f>IFERROR(INDEX('Match Log'!$C$4:$C$1510,MATCH($A638,'Match Log'!$A$4:$A$1510,0)),"")</f>
        <v/>
      </c>
      <c r="D638" t="str">
        <f t="array" ref="D638">IFERROR(_xlfn.TEXTJOIN(" + ",TRUE(),IF(('Match Log'!$A$4:$A$1510=$A638)*('Match Log'!$E$4:$E$1510="Win"),'Match Log'!$D$4:$D$1510,"")),IFERROR(LOOKUP(2,1/(('Match Log'!$A$4:$A$1510=$A638)*('Match Log'!$E$4:$E$1510="Win")),'Match Log'!$D$4:$D$1510),""))</f>
        <v/>
      </c>
      <c r="E638" t="str">
        <f>IFERROR(INDEX('Match Log'!$F$4:$F$1510,MATCH($A638,'Match Log'!$A$4:$A$1510,0)),"")</f>
        <v/>
      </c>
      <c r="F638">
        <f>IFERROR(SUMIFS('Match Log'!$I$4:$I$1510,'Match Log'!$A$4:$A$1510,$A638,'Match Log'!$E$4:$E$1510,"Win"),"")</f>
        <v>0</v>
      </c>
      <c r="G638" t="str">
        <f t="shared" si="35"/>
        <v/>
      </c>
      <c r="H638" t="str">
        <f t="array" ref="H638">IFERROR(IF(COUNTIFS('Match Log'!$A$4:$A$1510,$A638,'Match Log'!$E$4:$E$1510,"Win")&gt;1,_xlfn.TEXTJOIN(" + ",TRUE(),IF(('Match Log'!$A$4:$A$1510=$A638)*('Match Log'!$E$4:$E$1510="Loss"),'Match Log'!$D$4:$D$1510,"")),IF($E638=2,LOOKUP(2,1/(('Match Log'!$A$4:$A$1510=$A638)*('Match Log'!$E$4:$E$1510="Loss")),'Match Log'!$D$4:$D$1510),"the field")),"")</f>
        <v>the field</v>
      </c>
      <c r="I638" t="str">
        <f t="shared" si="36"/>
        <v/>
      </c>
      <c r="J638">
        <v>614</v>
      </c>
      <c r="K638" t="e">
        <f>IF($J638&gt;MAX('Match Log'!$A$4:$A$1510),NA(),IFERROR(LOOKUP(2,1/(('Match Log'!$D$4:$D$1510=$K$24)*('Match Log'!$A$4:$A$1510&lt;=$J638)),'Match Log'!$N$4:$N$1510),NA()))</f>
        <v>#N/A</v>
      </c>
      <c r="L638" t="e">
        <f>IF($J638&gt;MAX('Match Log'!$A$4:$A$1510),NA(),IFERROR(LOOKUP(2,1/(('Match Log'!$D$4:$D$1510=$L$24)*('Match Log'!$A$4:$A$1510&lt;=$J638)),'Match Log'!$N$4:$N$1510),NA()))</f>
        <v>#N/A</v>
      </c>
      <c r="M638" t="e">
        <f>IF($J638&gt;MAX('Match Log'!$A$4:$A$1510),NA(),IFERROR(LOOKUP(2,1/(('Match Log'!$D$4:$D$1510=$M$24)*('Match Log'!$A$4:$A$1510&lt;=$J638)),'Match Log'!$N$4:$N$1510),NA()))</f>
        <v>#N/A</v>
      </c>
      <c r="N638" t="e">
        <f>IF($J638&gt;MAX('Match Log'!$A$4:$A$1510),NA(),IFERROR(LOOKUP(2,1/(('Match Log'!$D$4:$D$1510=$N$24)*('Match Log'!$A$4:$A$1510&lt;=$J638)),'Match Log'!$N$4:$N$1510),NA()))</f>
        <v>#N/A</v>
      </c>
      <c r="O638" t="e">
        <f>IF($J638&gt;MAX('Match Log'!$A$4:$A$1510),NA(),IFERROR(LOOKUP(2,1/(('Match Log'!$D$4:$D$1510=$O$24)*('Match Log'!$A$4:$A$1510&lt;=$J638)),'Match Log'!$N$4:$N$1510),NA()))</f>
        <v>#N/A</v>
      </c>
      <c r="P638" t="e">
        <f>IF($J638&gt;MAX('Match Log'!$A$4:$A$1510),NA(),IFERROR(LOOKUP(2,1/(('Match Log'!$D$4:$D$1510=$P$24)*('Match Log'!$A$4:$A$1510&lt;=$J638)),'Match Log'!$N$4:$N$1510),NA()))</f>
        <v>#N/A</v>
      </c>
      <c r="Q638" t="e">
        <f>IF($J638&gt;MAX('Match Log'!$A$4:$A$1510),NA(),IFERROR(LOOKUP(2,1/(('Match Log'!$D$4:$D$1510=$Q$24)*('Match Log'!$A$4:$A$1510&lt;=$J638)),'Match Log'!$N$4:$N$1510),NA()))</f>
        <v>#N/A</v>
      </c>
      <c r="R638" t="e">
        <f>IF($J638&gt;MAX('Match Log'!$A$4:$A$1510),NA(),IFERROR(LOOKUP(2,1/(('Match Log'!$D$4:$D$1510=$R$24)*('Match Log'!$A$4:$A$1510&lt;=$J638)),'Match Log'!$N$4:$N$1510),NA()))</f>
        <v>#N/A</v>
      </c>
      <c r="S638" t="e">
        <f>IF($J638&gt;MAX('Match Log'!$A$4:$A$1510),NA(),IFERROR(LOOKUP(2,1/(('Match Log'!$D$4:$D$1510=$S$24)*('Match Log'!$A$4:$A$1510&lt;=$J638)),'Match Log'!$N$4:$N$1510),NA()))</f>
        <v>#N/A</v>
      </c>
      <c r="T638" t="e">
        <f>IF($J638&gt;MAX('Match Log'!$A$4:$A$1510),NA(),IFERROR(LOOKUP(2,1/(('Match Log'!$D$4:$D$1510=$T$24)*('Match Log'!$A$4:$A$1510&lt;=$J638)),'Match Log'!$N$4:$N$1510),NA()))</f>
        <v>#N/A</v>
      </c>
      <c r="U638" t="e">
        <f>IF($J638&gt;MAX('Match Log'!$A$4:$A$1510),NA(),IFERROR(LOOKUP(2,1/(('Match Log'!$D$4:$D$1510=$U$24)*('Match Log'!$A$4:$A$1510&lt;=$J638)),'Match Log'!$N$4:$N$1510),NA()))</f>
        <v>#N/A</v>
      </c>
      <c r="V638" t="e">
        <f>IF($J638&gt;MAX('Match Log'!$A$4:$A$1510),NA(),IFERROR(LOOKUP(2,1/(('Match Log'!$D$4:$D$1510=$V$24)*('Match Log'!$A$4:$A$1510&lt;=$J638)),'Match Log'!$N$4:$N$1510),NA()))</f>
        <v>#N/A</v>
      </c>
      <c r="W638" t="e">
        <f>IF($J638&gt;MAX('Match Log'!$A$4:$A$1510),NA(),IFERROR(LOOKUP(2,1/(('Match Log'!$D$4:$D$1510=$W$24)*('Match Log'!$A$4:$A$1510&lt;=$J638)),'Match Log'!$N$4:$N$1510),NA()))</f>
        <v>#N/A</v>
      </c>
      <c r="X638" t="e">
        <f>IF($J638&gt;MAX('Match Log'!$A$4:$A$1510),NA(),IFERROR(LOOKUP(2,1/(('Match Log'!$D$4:$D$1510=$X$24)*('Match Log'!$A$4:$A$1510&lt;=$J638)),'Match Log'!$N$4:$N$1510),NA()))</f>
        <v>#N/A</v>
      </c>
      <c r="Y638" t="str">
        <f t="shared" ca="1" si="37"/>
        <v/>
      </c>
    </row>
    <row r="639" spans="1:25" x14ac:dyDescent="0.2">
      <c r="A639">
        <v>615</v>
      </c>
      <c r="B639" t="str">
        <f>IFERROR(INDEX('Match Log'!$B$4:$B$1510,MATCH($A639,'Match Log'!$A$4:$A$1510,0)),"")</f>
        <v/>
      </c>
      <c r="C639" t="str">
        <f>IFERROR(INDEX('Match Log'!$C$4:$C$1510,MATCH($A639,'Match Log'!$A$4:$A$1510,0)),"")</f>
        <v/>
      </c>
      <c r="D639" t="str">
        <f t="array" ref="D639">IFERROR(_xlfn.TEXTJOIN(" + ",TRUE(),IF(('Match Log'!$A$4:$A$1510=$A639)*('Match Log'!$E$4:$E$1510="Win"),'Match Log'!$D$4:$D$1510,"")),IFERROR(LOOKUP(2,1/(('Match Log'!$A$4:$A$1510=$A639)*('Match Log'!$E$4:$E$1510="Win")),'Match Log'!$D$4:$D$1510),""))</f>
        <v/>
      </c>
      <c r="E639" t="str">
        <f>IFERROR(INDEX('Match Log'!$F$4:$F$1510,MATCH($A639,'Match Log'!$A$4:$A$1510,0)),"")</f>
        <v/>
      </c>
      <c r="F639">
        <f>IFERROR(SUMIFS('Match Log'!$I$4:$I$1510,'Match Log'!$A$4:$A$1510,$A639,'Match Log'!$E$4:$E$1510,"Win"),"")</f>
        <v>0</v>
      </c>
      <c r="G639" t="str">
        <f t="shared" si="35"/>
        <v/>
      </c>
      <c r="H639" t="str">
        <f t="array" ref="H639">IFERROR(IF(COUNTIFS('Match Log'!$A$4:$A$1510,$A639,'Match Log'!$E$4:$E$1510,"Win")&gt;1,_xlfn.TEXTJOIN(" + ",TRUE(),IF(('Match Log'!$A$4:$A$1510=$A639)*('Match Log'!$E$4:$E$1510="Loss"),'Match Log'!$D$4:$D$1510,"")),IF($E639=2,LOOKUP(2,1/(('Match Log'!$A$4:$A$1510=$A639)*('Match Log'!$E$4:$E$1510="Loss")),'Match Log'!$D$4:$D$1510),"the field")),"")</f>
        <v>the field</v>
      </c>
      <c r="I639" t="str">
        <f t="shared" si="36"/>
        <v/>
      </c>
      <c r="J639">
        <v>615</v>
      </c>
      <c r="K639" t="e">
        <f>IF($J639&gt;MAX('Match Log'!$A$4:$A$1510),NA(),IFERROR(LOOKUP(2,1/(('Match Log'!$D$4:$D$1510=$K$24)*('Match Log'!$A$4:$A$1510&lt;=$J639)),'Match Log'!$N$4:$N$1510),NA()))</f>
        <v>#N/A</v>
      </c>
      <c r="L639" t="e">
        <f>IF($J639&gt;MAX('Match Log'!$A$4:$A$1510),NA(),IFERROR(LOOKUP(2,1/(('Match Log'!$D$4:$D$1510=$L$24)*('Match Log'!$A$4:$A$1510&lt;=$J639)),'Match Log'!$N$4:$N$1510),NA()))</f>
        <v>#N/A</v>
      </c>
      <c r="M639" t="e">
        <f>IF($J639&gt;MAX('Match Log'!$A$4:$A$1510),NA(),IFERROR(LOOKUP(2,1/(('Match Log'!$D$4:$D$1510=$M$24)*('Match Log'!$A$4:$A$1510&lt;=$J639)),'Match Log'!$N$4:$N$1510),NA()))</f>
        <v>#N/A</v>
      </c>
      <c r="N639" t="e">
        <f>IF($J639&gt;MAX('Match Log'!$A$4:$A$1510),NA(),IFERROR(LOOKUP(2,1/(('Match Log'!$D$4:$D$1510=$N$24)*('Match Log'!$A$4:$A$1510&lt;=$J639)),'Match Log'!$N$4:$N$1510),NA()))</f>
        <v>#N/A</v>
      </c>
      <c r="O639" t="e">
        <f>IF($J639&gt;MAX('Match Log'!$A$4:$A$1510),NA(),IFERROR(LOOKUP(2,1/(('Match Log'!$D$4:$D$1510=$O$24)*('Match Log'!$A$4:$A$1510&lt;=$J639)),'Match Log'!$N$4:$N$1510),NA()))</f>
        <v>#N/A</v>
      </c>
      <c r="P639" t="e">
        <f>IF($J639&gt;MAX('Match Log'!$A$4:$A$1510),NA(),IFERROR(LOOKUP(2,1/(('Match Log'!$D$4:$D$1510=$P$24)*('Match Log'!$A$4:$A$1510&lt;=$J639)),'Match Log'!$N$4:$N$1510),NA()))</f>
        <v>#N/A</v>
      </c>
      <c r="Q639" t="e">
        <f>IF($J639&gt;MAX('Match Log'!$A$4:$A$1510),NA(),IFERROR(LOOKUP(2,1/(('Match Log'!$D$4:$D$1510=$Q$24)*('Match Log'!$A$4:$A$1510&lt;=$J639)),'Match Log'!$N$4:$N$1510),NA()))</f>
        <v>#N/A</v>
      </c>
      <c r="R639" t="e">
        <f>IF($J639&gt;MAX('Match Log'!$A$4:$A$1510),NA(),IFERROR(LOOKUP(2,1/(('Match Log'!$D$4:$D$1510=$R$24)*('Match Log'!$A$4:$A$1510&lt;=$J639)),'Match Log'!$N$4:$N$1510),NA()))</f>
        <v>#N/A</v>
      </c>
      <c r="S639" t="e">
        <f>IF($J639&gt;MAX('Match Log'!$A$4:$A$1510),NA(),IFERROR(LOOKUP(2,1/(('Match Log'!$D$4:$D$1510=$S$24)*('Match Log'!$A$4:$A$1510&lt;=$J639)),'Match Log'!$N$4:$N$1510),NA()))</f>
        <v>#N/A</v>
      </c>
      <c r="T639" t="e">
        <f>IF($J639&gt;MAX('Match Log'!$A$4:$A$1510),NA(),IFERROR(LOOKUP(2,1/(('Match Log'!$D$4:$D$1510=$T$24)*('Match Log'!$A$4:$A$1510&lt;=$J639)),'Match Log'!$N$4:$N$1510),NA()))</f>
        <v>#N/A</v>
      </c>
      <c r="U639" t="e">
        <f>IF($J639&gt;MAX('Match Log'!$A$4:$A$1510),NA(),IFERROR(LOOKUP(2,1/(('Match Log'!$D$4:$D$1510=$U$24)*('Match Log'!$A$4:$A$1510&lt;=$J639)),'Match Log'!$N$4:$N$1510),NA()))</f>
        <v>#N/A</v>
      </c>
      <c r="V639" t="e">
        <f>IF($J639&gt;MAX('Match Log'!$A$4:$A$1510),NA(),IFERROR(LOOKUP(2,1/(('Match Log'!$D$4:$D$1510=$V$24)*('Match Log'!$A$4:$A$1510&lt;=$J639)),'Match Log'!$N$4:$N$1510),NA()))</f>
        <v>#N/A</v>
      </c>
      <c r="W639" t="e">
        <f>IF($J639&gt;MAX('Match Log'!$A$4:$A$1510),NA(),IFERROR(LOOKUP(2,1/(('Match Log'!$D$4:$D$1510=$W$24)*('Match Log'!$A$4:$A$1510&lt;=$J639)),'Match Log'!$N$4:$N$1510),NA()))</f>
        <v>#N/A</v>
      </c>
      <c r="X639" t="e">
        <f>IF($J639&gt;MAX('Match Log'!$A$4:$A$1510),NA(),IFERROR(LOOKUP(2,1/(('Match Log'!$D$4:$D$1510=$X$24)*('Match Log'!$A$4:$A$1510&lt;=$J639)),'Match Log'!$N$4:$N$1510),NA()))</f>
        <v>#N/A</v>
      </c>
      <c r="Y639" t="str">
        <f t="shared" ca="1" si="37"/>
        <v/>
      </c>
    </row>
    <row r="640" spans="1:25" x14ac:dyDescent="0.2">
      <c r="A640">
        <v>616</v>
      </c>
      <c r="B640" t="str">
        <f>IFERROR(INDEX('Match Log'!$B$4:$B$1510,MATCH($A640,'Match Log'!$A$4:$A$1510,0)),"")</f>
        <v/>
      </c>
      <c r="C640" t="str">
        <f>IFERROR(INDEX('Match Log'!$C$4:$C$1510,MATCH($A640,'Match Log'!$A$4:$A$1510,0)),"")</f>
        <v/>
      </c>
      <c r="D640" t="str">
        <f t="array" ref="D640">IFERROR(_xlfn.TEXTJOIN(" + ",TRUE(),IF(('Match Log'!$A$4:$A$1510=$A640)*('Match Log'!$E$4:$E$1510="Win"),'Match Log'!$D$4:$D$1510,"")),IFERROR(LOOKUP(2,1/(('Match Log'!$A$4:$A$1510=$A640)*('Match Log'!$E$4:$E$1510="Win")),'Match Log'!$D$4:$D$1510),""))</f>
        <v/>
      </c>
      <c r="E640" t="str">
        <f>IFERROR(INDEX('Match Log'!$F$4:$F$1510,MATCH($A640,'Match Log'!$A$4:$A$1510,0)),"")</f>
        <v/>
      </c>
      <c r="F640">
        <f>IFERROR(SUMIFS('Match Log'!$I$4:$I$1510,'Match Log'!$A$4:$A$1510,$A640,'Match Log'!$E$4:$E$1510,"Win"),"")</f>
        <v>0</v>
      </c>
      <c r="G640" t="str">
        <f t="shared" si="35"/>
        <v/>
      </c>
      <c r="H640" t="str">
        <f t="array" ref="H640">IFERROR(IF(COUNTIFS('Match Log'!$A$4:$A$1510,$A640,'Match Log'!$E$4:$E$1510,"Win")&gt;1,_xlfn.TEXTJOIN(" + ",TRUE(),IF(('Match Log'!$A$4:$A$1510=$A640)*('Match Log'!$E$4:$E$1510="Loss"),'Match Log'!$D$4:$D$1510,"")),IF($E640=2,LOOKUP(2,1/(('Match Log'!$A$4:$A$1510=$A640)*('Match Log'!$E$4:$E$1510="Loss")),'Match Log'!$D$4:$D$1510),"the field")),"")</f>
        <v>the field</v>
      </c>
      <c r="I640" t="str">
        <f t="shared" si="36"/>
        <v/>
      </c>
      <c r="J640">
        <v>616</v>
      </c>
      <c r="K640" t="e">
        <f>IF($J640&gt;MAX('Match Log'!$A$4:$A$1510),NA(),IFERROR(LOOKUP(2,1/(('Match Log'!$D$4:$D$1510=$K$24)*('Match Log'!$A$4:$A$1510&lt;=$J640)),'Match Log'!$N$4:$N$1510),NA()))</f>
        <v>#N/A</v>
      </c>
      <c r="L640" t="e">
        <f>IF($J640&gt;MAX('Match Log'!$A$4:$A$1510),NA(),IFERROR(LOOKUP(2,1/(('Match Log'!$D$4:$D$1510=$L$24)*('Match Log'!$A$4:$A$1510&lt;=$J640)),'Match Log'!$N$4:$N$1510),NA()))</f>
        <v>#N/A</v>
      </c>
      <c r="M640" t="e">
        <f>IF($J640&gt;MAX('Match Log'!$A$4:$A$1510),NA(),IFERROR(LOOKUP(2,1/(('Match Log'!$D$4:$D$1510=$M$24)*('Match Log'!$A$4:$A$1510&lt;=$J640)),'Match Log'!$N$4:$N$1510),NA()))</f>
        <v>#N/A</v>
      </c>
      <c r="N640" t="e">
        <f>IF($J640&gt;MAX('Match Log'!$A$4:$A$1510),NA(),IFERROR(LOOKUP(2,1/(('Match Log'!$D$4:$D$1510=$N$24)*('Match Log'!$A$4:$A$1510&lt;=$J640)),'Match Log'!$N$4:$N$1510),NA()))</f>
        <v>#N/A</v>
      </c>
      <c r="O640" t="e">
        <f>IF($J640&gt;MAX('Match Log'!$A$4:$A$1510),NA(),IFERROR(LOOKUP(2,1/(('Match Log'!$D$4:$D$1510=$O$24)*('Match Log'!$A$4:$A$1510&lt;=$J640)),'Match Log'!$N$4:$N$1510),NA()))</f>
        <v>#N/A</v>
      </c>
      <c r="P640" t="e">
        <f>IF($J640&gt;MAX('Match Log'!$A$4:$A$1510),NA(),IFERROR(LOOKUP(2,1/(('Match Log'!$D$4:$D$1510=$P$24)*('Match Log'!$A$4:$A$1510&lt;=$J640)),'Match Log'!$N$4:$N$1510),NA()))</f>
        <v>#N/A</v>
      </c>
      <c r="Q640" t="e">
        <f>IF($J640&gt;MAX('Match Log'!$A$4:$A$1510),NA(),IFERROR(LOOKUP(2,1/(('Match Log'!$D$4:$D$1510=$Q$24)*('Match Log'!$A$4:$A$1510&lt;=$J640)),'Match Log'!$N$4:$N$1510),NA()))</f>
        <v>#N/A</v>
      </c>
      <c r="R640" t="e">
        <f>IF($J640&gt;MAX('Match Log'!$A$4:$A$1510),NA(),IFERROR(LOOKUP(2,1/(('Match Log'!$D$4:$D$1510=$R$24)*('Match Log'!$A$4:$A$1510&lt;=$J640)),'Match Log'!$N$4:$N$1510),NA()))</f>
        <v>#N/A</v>
      </c>
      <c r="S640" t="e">
        <f>IF($J640&gt;MAX('Match Log'!$A$4:$A$1510),NA(),IFERROR(LOOKUP(2,1/(('Match Log'!$D$4:$D$1510=$S$24)*('Match Log'!$A$4:$A$1510&lt;=$J640)),'Match Log'!$N$4:$N$1510),NA()))</f>
        <v>#N/A</v>
      </c>
      <c r="T640" t="e">
        <f>IF($J640&gt;MAX('Match Log'!$A$4:$A$1510),NA(),IFERROR(LOOKUP(2,1/(('Match Log'!$D$4:$D$1510=$T$24)*('Match Log'!$A$4:$A$1510&lt;=$J640)),'Match Log'!$N$4:$N$1510),NA()))</f>
        <v>#N/A</v>
      </c>
      <c r="U640" t="e">
        <f>IF($J640&gt;MAX('Match Log'!$A$4:$A$1510),NA(),IFERROR(LOOKUP(2,1/(('Match Log'!$D$4:$D$1510=$U$24)*('Match Log'!$A$4:$A$1510&lt;=$J640)),'Match Log'!$N$4:$N$1510),NA()))</f>
        <v>#N/A</v>
      </c>
      <c r="V640" t="e">
        <f>IF($J640&gt;MAX('Match Log'!$A$4:$A$1510),NA(),IFERROR(LOOKUP(2,1/(('Match Log'!$D$4:$D$1510=$V$24)*('Match Log'!$A$4:$A$1510&lt;=$J640)),'Match Log'!$N$4:$N$1510),NA()))</f>
        <v>#N/A</v>
      </c>
      <c r="W640" t="e">
        <f>IF($J640&gt;MAX('Match Log'!$A$4:$A$1510),NA(),IFERROR(LOOKUP(2,1/(('Match Log'!$D$4:$D$1510=$W$24)*('Match Log'!$A$4:$A$1510&lt;=$J640)),'Match Log'!$N$4:$N$1510),NA()))</f>
        <v>#N/A</v>
      </c>
      <c r="X640" t="e">
        <f>IF($J640&gt;MAX('Match Log'!$A$4:$A$1510),NA(),IFERROR(LOOKUP(2,1/(('Match Log'!$D$4:$D$1510=$X$24)*('Match Log'!$A$4:$A$1510&lt;=$J640)),'Match Log'!$N$4:$N$1510),NA()))</f>
        <v>#N/A</v>
      </c>
      <c r="Y640" t="str">
        <f t="shared" ca="1" si="37"/>
        <v/>
      </c>
    </row>
    <row r="641" spans="1:25" x14ac:dyDescent="0.2">
      <c r="A641">
        <v>617</v>
      </c>
      <c r="B641" t="str">
        <f>IFERROR(INDEX('Match Log'!$B$4:$B$1510,MATCH($A641,'Match Log'!$A$4:$A$1510,0)),"")</f>
        <v/>
      </c>
      <c r="C641" t="str">
        <f>IFERROR(INDEX('Match Log'!$C$4:$C$1510,MATCH($A641,'Match Log'!$A$4:$A$1510,0)),"")</f>
        <v/>
      </c>
      <c r="D641" t="str">
        <f t="array" ref="D641">IFERROR(_xlfn.TEXTJOIN(" + ",TRUE(),IF(('Match Log'!$A$4:$A$1510=$A641)*('Match Log'!$E$4:$E$1510="Win"),'Match Log'!$D$4:$D$1510,"")),IFERROR(LOOKUP(2,1/(('Match Log'!$A$4:$A$1510=$A641)*('Match Log'!$E$4:$E$1510="Win")),'Match Log'!$D$4:$D$1510),""))</f>
        <v/>
      </c>
      <c r="E641" t="str">
        <f>IFERROR(INDEX('Match Log'!$F$4:$F$1510,MATCH($A641,'Match Log'!$A$4:$A$1510,0)),"")</f>
        <v/>
      </c>
      <c r="F641">
        <f>IFERROR(SUMIFS('Match Log'!$I$4:$I$1510,'Match Log'!$A$4:$A$1510,$A641,'Match Log'!$E$4:$E$1510,"Win"),"")</f>
        <v>0</v>
      </c>
      <c r="G641" t="str">
        <f t="shared" si="35"/>
        <v/>
      </c>
      <c r="H641" t="str">
        <f t="array" ref="H641">IFERROR(IF(COUNTIFS('Match Log'!$A$4:$A$1510,$A641,'Match Log'!$E$4:$E$1510,"Win")&gt;1,_xlfn.TEXTJOIN(" + ",TRUE(),IF(('Match Log'!$A$4:$A$1510=$A641)*('Match Log'!$E$4:$E$1510="Loss"),'Match Log'!$D$4:$D$1510,"")),IF($E641=2,LOOKUP(2,1/(('Match Log'!$A$4:$A$1510=$A641)*('Match Log'!$E$4:$E$1510="Loss")),'Match Log'!$D$4:$D$1510),"the field")),"")</f>
        <v>the field</v>
      </c>
      <c r="I641" t="str">
        <f t="shared" si="36"/>
        <v/>
      </c>
      <c r="J641">
        <v>617</v>
      </c>
      <c r="K641" t="e">
        <f>IF($J641&gt;MAX('Match Log'!$A$4:$A$1510),NA(),IFERROR(LOOKUP(2,1/(('Match Log'!$D$4:$D$1510=$K$24)*('Match Log'!$A$4:$A$1510&lt;=$J641)),'Match Log'!$N$4:$N$1510),NA()))</f>
        <v>#N/A</v>
      </c>
      <c r="L641" t="e">
        <f>IF($J641&gt;MAX('Match Log'!$A$4:$A$1510),NA(),IFERROR(LOOKUP(2,1/(('Match Log'!$D$4:$D$1510=$L$24)*('Match Log'!$A$4:$A$1510&lt;=$J641)),'Match Log'!$N$4:$N$1510),NA()))</f>
        <v>#N/A</v>
      </c>
      <c r="M641" t="e">
        <f>IF($J641&gt;MAX('Match Log'!$A$4:$A$1510),NA(),IFERROR(LOOKUP(2,1/(('Match Log'!$D$4:$D$1510=$M$24)*('Match Log'!$A$4:$A$1510&lt;=$J641)),'Match Log'!$N$4:$N$1510),NA()))</f>
        <v>#N/A</v>
      </c>
      <c r="N641" t="e">
        <f>IF($J641&gt;MAX('Match Log'!$A$4:$A$1510),NA(),IFERROR(LOOKUP(2,1/(('Match Log'!$D$4:$D$1510=$N$24)*('Match Log'!$A$4:$A$1510&lt;=$J641)),'Match Log'!$N$4:$N$1510),NA()))</f>
        <v>#N/A</v>
      </c>
      <c r="O641" t="e">
        <f>IF($J641&gt;MAX('Match Log'!$A$4:$A$1510),NA(),IFERROR(LOOKUP(2,1/(('Match Log'!$D$4:$D$1510=$O$24)*('Match Log'!$A$4:$A$1510&lt;=$J641)),'Match Log'!$N$4:$N$1510),NA()))</f>
        <v>#N/A</v>
      </c>
      <c r="P641" t="e">
        <f>IF($J641&gt;MAX('Match Log'!$A$4:$A$1510),NA(),IFERROR(LOOKUP(2,1/(('Match Log'!$D$4:$D$1510=$P$24)*('Match Log'!$A$4:$A$1510&lt;=$J641)),'Match Log'!$N$4:$N$1510),NA()))</f>
        <v>#N/A</v>
      </c>
      <c r="Q641" t="e">
        <f>IF($J641&gt;MAX('Match Log'!$A$4:$A$1510),NA(),IFERROR(LOOKUP(2,1/(('Match Log'!$D$4:$D$1510=$Q$24)*('Match Log'!$A$4:$A$1510&lt;=$J641)),'Match Log'!$N$4:$N$1510),NA()))</f>
        <v>#N/A</v>
      </c>
      <c r="R641" t="e">
        <f>IF($J641&gt;MAX('Match Log'!$A$4:$A$1510),NA(),IFERROR(LOOKUP(2,1/(('Match Log'!$D$4:$D$1510=$R$24)*('Match Log'!$A$4:$A$1510&lt;=$J641)),'Match Log'!$N$4:$N$1510),NA()))</f>
        <v>#N/A</v>
      </c>
      <c r="S641" t="e">
        <f>IF($J641&gt;MAX('Match Log'!$A$4:$A$1510),NA(),IFERROR(LOOKUP(2,1/(('Match Log'!$D$4:$D$1510=$S$24)*('Match Log'!$A$4:$A$1510&lt;=$J641)),'Match Log'!$N$4:$N$1510),NA()))</f>
        <v>#N/A</v>
      </c>
      <c r="T641" t="e">
        <f>IF($J641&gt;MAX('Match Log'!$A$4:$A$1510),NA(),IFERROR(LOOKUP(2,1/(('Match Log'!$D$4:$D$1510=$T$24)*('Match Log'!$A$4:$A$1510&lt;=$J641)),'Match Log'!$N$4:$N$1510),NA()))</f>
        <v>#N/A</v>
      </c>
      <c r="U641" t="e">
        <f>IF($J641&gt;MAX('Match Log'!$A$4:$A$1510),NA(),IFERROR(LOOKUP(2,1/(('Match Log'!$D$4:$D$1510=$U$24)*('Match Log'!$A$4:$A$1510&lt;=$J641)),'Match Log'!$N$4:$N$1510),NA()))</f>
        <v>#N/A</v>
      </c>
      <c r="V641" t="e">
        <f>IF($J641&gt;MAX('Match Log'!$A$4:$A$1510),NA(),IFERROR(LOOKUP(2,1/(('Match Log'!$D$4:$D$1510=$V$24)*('Match Log'!$A$4:$A$1510&lt;=$J641)),'Match Log'!$N$4:$N$1510),NA()))</f>
        <v>#N/A</v>
      </c>
      <c r="W641" t="e">
        <f>IF($J641&gt;MAX('Match Log'!$A$4:$A$1510),NA(),IFERROR(LOOKUP(2,1/(('Match Log'!$D$4:$D$1510=$W$24)*('Match Log'!$A$4:$A$1510&lt;=$J641)),'Match Log'!$N$4:$N$1510),NA()))</f>
        <v>#N/A</v>
      </c>
      <c r="X641" t="e">
        <f>IF($J641&gt;MAX('Match Log'!$A$4:$A$1510),NA(),IFERROR(LOOKUP(2,1/(('Match Log'!$D$4:$D$1510=$X$24)*('Match Log'!$A$4:$A$1510&lt;=$J641)),'Match Log'!$N$4:$N$1510),NA()))</f>
        <v>#N/A</v>
      </c>
      <c r="Y641" t="str">
        <f t="shared" ca="1" si="37"/>
        <v/>
      </c>
    </row>
    <row r="642" spans="1:25" x14ac:dyDescent="0.2">
      <c r="A642">
        <v>618</v>
      </c>
      <c r="B642" t="str">
        <f>IFERROR(INDEX('Match Log'!$B$4:$B$1510,MATCH($A642,'Match Log'!$A$4:$A$1510,0)),"")</f>
        <v/>
      </c>
      <c r="C642" t="str">
        <f>IFERROR(INDEX('Match Log'!$C$4:$C$1510,MATCH($A642,'Match Log'!$A$4:$A$1510,0)),"")</f>
        <v/>
      </c>
      <c r="D642" t="str">
        <f t="array" ref="D642">IFERROR(_xlfn.TEXTJOIN(" + ",TRUE(),IF(('Match Log'!$A$4:$A$1510=$A642)*('Match Log'!$E$4:$E$1510="Win"),'Match Log'!$D$4:$D$1510,"")),IFERROR(LOOKUP(2,1/(('Match Log'!$A$4:$A$1510=$A642)*('Match Log'!$E$4:$E$1510="Win")),'Match Log'!$D$4:$D$1510),""))</f>
        <v/>
      </c>
      <c r="E642" t="str">
        <f>IFERROR(INDEX('Match Log'!$F$4:$F$1510,MATCH($A642,'Match Log'!$A$4:$A$1510,0)),"")</f>
        <v/>
      </c>
      <c r="F642">
        <f>IFERROR(SUMIFS('Match Log'!$I$4:$I$1510,'Match Log'!$A$4:$A$1510,$A642,'Match Log'!$E$4:$E$1510,"Win"),"")</f>
        <v>0</v>
      </c>
      <c r="G642" t="str">
        <f t="shared" si="35"/>
        <v/>
      </c>
      <c r="H642" t="str">
        <f t="array" ref="H642">IFERROR(IF(COUNTIFS('Match Log'!$A$4:$A$1510,$A642,'Match Log'!$E$4:$E$1510,"Win")&gt;1,_xlfn.TEXTJOIN(" + ",TRUE(),IF(('Match Log'!$A$4:$A$1510=$A642)*('Match Log'!$E$4:$E$1510="Loss"),'Match Log'!$D$4:$D$1510,"")),IF($E642=2,LOOKUP(2,1/(('Match Log'!$A$4:$A$1510=$A642)*('Match Log'!$E$4:$E$1510="Loss")),'Match Log'!$D$4:$D$1510),"the field")),"")</f>
        <v>the field</v>
      </c>
      <c r="I642" t="str">
        <f t="shared" si="36"/>
        <v/>
      </c>
      <c r="J642">
        <v>618</v>
      </c>
      <c r="K642" t="e">
        <f>IF($J642&gt;MAX('Match Log'!$A$4:$A$1510),NA(),IFERROR(LOOKUP(2,1/(('Match Log'!$D$4:$D$1510=$K$24)*('Match Log'!$A$4:$A$1510&lt;=$J642)),'Match Log'!$N$4:$N$1510),NA()))</f>
        <v>#N/A</v>
      </c>
      <c r="L642" t="e">
        <f>IF($J642&gt;MAX('Match Log'!$A$4:$A$1510),NA(),IFERROR(LOOKUP(2,1/(('Match Log'!$D$4:$D$1510=$L$24)*('Match Log'!$A$4:$A$1510&lt;=$J642)),'Match Log'!$N$4:$N$1510),NA()))</f>
        <v>#N/A</v>
      </c>
      <c r="M642" t="e">
        <f>IF($J642&gt;MAX('Match Log'!$A$4:$A$1510),NA(),IFERROR(LOOKUP(2,1/(('Match Log'!$D$4:$D$1510=$M$24)*('Match Log'!$A$4:$A$1510&lt;=$J642)),'Match Log'!$N$4:$N$1510),NA()))</f>
        <v>#N/A</v>
      </c>
      <c r="N642" t="e">
        <f>IF($J642&gt;MAX('Match Log'!$A$4:$A$1510),NA(),IFERROR(LOOKUP(2,1/(('Match Log'!$D$4:$D$1510=$N$24)*('Match Log'!$A$4:$A$1510&lt;=$J642)),'Match Log'!$N$4:$N$1510),NA()))</f>
        <v>#N/A</v>
      </c>
      <c r="O642" t="e">
        <f>IF($J642&gt;MAX('Match Log'!$A$4:$A$1510),NA(),IFERROR(LOOKUP(2,1/(('Match Log'!$D$4:$D$1510=$O$24)*('Match Log'!$A$4:$A$1510&lt;=$J642)),'Match Log'!$N$4:$N$1510),NA()))</f>
        <v>#N/A</v>
      </c>
      <c r="P642" t="e">
        <f>IF($J642&gt;MAX('Match Log'!$A$4:$A$1510),NA(),IFERROR(LOOKUP(2,1/(('Match Log'!$D$4:$D$1510=$P$24)*('Match Log'!$A$4:$A$1510&lt;=$J642)),'Match Log'!$N$4:$N$1510),NA()))</f>
        <v>#N/A</v>
      </c>
      <c r="Q642" t="e">
        <f>IF($J642&gt;MAX('Match Log'!$A$4:$A$1510),NA(),IFERROR(LOOKUP(2,1/(('Match Log'!$D$4:$D$1510=$Q$24)*('Match Log'!$A$4:$A$1510&lt;=$J642)),'Match Log'!$N$4:$N$1510),NA()))</f>
        <v>#N/A</v>
      </c>
      <c r="R642" t="e">
        <f>IF($J642&gt;MAX('Match Log'!$A$4:$A$1510),NA(),IFERROR(LOOKUP(2,1/(('Match Log'!$D$4:$D$1510=$R$24)*('Match Log'!$A$4:$A$1510&lt;=$J642)),'Match Log'!$N$4:$N$1510),NA()))</f>
        <v>#N/A</v>
      </c>
      <c r="S642" t="e">
        <f>IF($J642&gt;MAX('Match Log'!$A$4:$A$1510),NA(),IFERROR(LOOKUP(2,1/(('Match Log'!$D$4:$D$1510=$S$24)*('Match Log'!$A$4:$A$1510&lt;=$J642)),'Match Log'!$N$4:$N$1510),NA()))</f>
        <v>#N/A</v>
      </c>
      <c r="T642" t="e">
        <f>IF($J642&gt;MAX('Match Log'!$A$4:$A$1510),NA(),IFERROR(LOOKUP(2,1/(('Match Log'!$D$4:$D$1510=$T$24)*('Match Log'!$A$4:$A$1510&lt;=$J642)),'Match Log'!$N$4:$N$1510),NA()))</f>
        <v>#N/A</v>
      </c>
      <c r="U642" t="e">
        <f>IF($J642&gt;MAX('Match Log'!$A$4:$A$1510),NA(),IFERROR(LOOKUP(2,1/(('Match Log'!$D$4:$D$1510=$U$24)*('Match Log'!$A$4:$A$1510&lt;=$J642)),'Match Log'!$N$4:$N$1510),NA()))</f>
        <v>#N/A</v>
      </c>
      <c r="V642" t="e">
        <f>IF($J642&gt;MAX('Match Log'!$A$4:$A$1510),NA(),IFERROR(LOOKUP(2,1/(('Match Log'!$D$4:$D$1510=$V$24)*('Match Log'!$A$4:$A$1510&lt;=$J642)),'Match Log'!$N$4:$N$1510),NA()))</f>
        <v>#N/A</v>
      </c>
      <c r="W642" t="e">
        <f>IF($J642&gt;MAX('Match Log'!$A$4:$A$1510),NA(),IFERROR(LOOKUP(2,1/(('Match Log'!$D$4:$D$1510=$W$24)*('Match Log'!$A$4:$A$1510&lt;=$J642)),'Match Log'!$N$4:$N$1510),NA()))</f>
        <v>#N/A</v>
      </c>
      <c r="X642" t="e">
        <f>IF($J642&gt;MAX('Match Log'!$A$4:$A$1510),NA(),IFERROR(LOOKUP(2,1/(('Match Log'!$D$4:$D$1510=$X$24)*('Match Log'!$A$4:$A$1510&lt;=$J642)),'Match Log'!$N$4:$N$1510),NA()))</f>
        <v>#N/A</v>
      </c>
      <c r="Y642" t="str">
        <f t="shared" ca="1" si="37"/>
        <v/>
      </c>
    </row>
    <row r="643" spans="1:25" x14ac:dyDescent="0.2">
      <c r="A643">
        <v>619</v>
      </c>
      <c r="B643" t="str">
        <f>IFERROR(INDEX('Match Log'!$B$4:$B$1510,MATCH($A643,'Match Log'!$A$4:$A$1510,0)),"")</f>
        <v/>
      </c>
      <c r="C643" t="str">
        <f>IFERROR(INDEX('Match Log'!$C$4:$C$1510,MATCH($A643,'Match Log'!$A$4:$A$1510,0)),"")</f>
        <v/>
      </c>
      <c r="D643" t="str">
        <f t="array" ref="D643">IFERROR(_xlfn.TEXTJOIN(" + ",TRUE(),IF(('Match Log'!$A$4:$A$1510=$A643)*('Match Log'!$E$4:$E$1510="Win"),'Match Log'!$D$4:$D$1510,"")),IFERROR(LOOKUP(2,1/(('Match Log'!$A$4:$A$1510=$A643)*('Match Log'!$E$4:$E$1510="Win")),'Match Log'!$D$4:$D$1510),""))</f>
        <v/>
      </c>
      <c r="E643" t="str">
        <f>IFERROR(INDEX('Match Log'!$F$4:$F$1510,MATCH($A643,'Match Log'!$A$4:$A$1510,0)),"")</f>
        <v/>
      </c>
      <c r="F643">
        <f>IFERROR(SUMIFS('Match Log'!$I$4:$I$1510,'Match Log'!$A$4:$A$1510,$A643,'Match Log'!$E$4:$E$1510,"Win"),"")</f>
        <v>0</v>
      </c>
      <c r="G643" t="str">
        <f t="shared" si="35"/>
        <v/>
      </c>
      <c r="H643" t="str">
        <f t="array" ref="H643">IFERROR(IF(COUNTIFS('Match Log'!$A$4:$A$1510,$A643,'Match Log'!$E$4:$E$1510,"Win")&gt;1,_xlfn.TEXTJOIN(" + ",TRUE(),IF(('Match Log'!$A$4:$A$1510=$A643)*('Match Log'!$E$4:$E$1510="Loss"),'Match Log'!$D$4:$D$1510,"")),IF($E643=2,LOOKUP(2,1/(('Match Log'!$A$4:$A$1510=$A643)*('Match Log'!$E$4:$E$1510="Loss")),'Match Log'!$D$4:$D$1510),"the field")),"")</f>
        <v>the field</v>
      </c>
      <c r="I643" t="str">
        <f t="shared" si="36"/>
        <v/>
      </c>
      <c r="J643">
        <v>619</v>
      </c>
      <c r="K643" t="e">
        <f>IF($J643&gt;MAX('Match Log'!$A$4:$A$1510),NA(),IFERROR(LOOKUP(2,1/(('Match Log'!$D$4:$D$1510=$K$24)*('Match Log'!$A$4:$A$1510&lt;=$J643)),'Match Log'!$N$4:$N$1510),NA()))</f>
        <v>#N/A</v>
      </c>
      <c r="L643" t="e">
        <f>IF($J643&gt;MAX('Match Log'!$A$4:$A$1510),NA(),IFERROR(LOOKUP(2,1/(('Match Log'!$D$4:$D$1510=$L$24)*('Match Log'!$A$4:$A$1510&lt;=$J643)),'Match Log'!$N$4:$N$1510),NA()))</f>
        <v>#N/A</v>
      </c>
      <c r="M643" t="e">
        <f>IF($J643&gt;MAX('Match Log'!$A$4:$A$1510),NA(),IFERROR(LOOKUP(2,1/(('Match Log'!$D$4:$D$1510=$M$24)*('Match Log'!$A$4:$A$1510&lt;=$J643)),'Match Log'!$N$4:$N$1510),NA()))</f>
        <v>#N/A</v>
      </c>
      <c r="N643" t="e">
        <f>IF($J643&gt;MAX('Match Log'!$A$4:$A$1510),NA(),IFERROR(LOOKUP(2,1/(('Match Log'!$D$4:$D$1510=$N$24)*('Match Log'!$A$4:$A$1510&lt;=$J643)),'Match Log'!$N$4:$N$1510),NA()))</f>
        <v>#N/A</v>
      </c>
      <c r="O643" t="e">
        <f>IF($J643&gt;MAX('Match Log'!$A$4:$A$1510),NA(),IFERROR(LOOKUP(2,1/(('Match Log'!$D$4:$D$1510=$O$24)*('Match Log'!$A$4:$A$1510&lt;=$J643)),'Match Log'!$N$4:$N$1510),NA()))</f>
        <v>#N/A</v>
      </c>
      <c r="P643" t="e">
        <f>IF($J643&gt;MAX('Match Log'!$A$4:$A$1510),NA(),IFERROR(LOOKUP(2,1/(('Match Log'!$D$4:$D$1510=$P$24)*('Match Log'!$A$4:$A$1510&lt;=$J643)),'Match Log'!$N$4:$N$1510),NA()))</f>
        <v>#N/A</v>
      </c>
      <c r="Q643" t="e">
        <f>IF($J643&gt;MAX('Match Log'!$A$4:$A$1510),NA(),IFERROR(LOOKUP(2,1/(('Match Log'!$D$4:$D$1510=$Q$24)*('Match Log'!$A$4:$A$1510&lt;=$J643)),'Match Log'!$N$4:$N$1510),NA()))</f>
        <v>#N/A</v>
      </c>
      <c r="R643" t="e">
        <f>IF($J643&gt;MAX('Match Log'!$A$4:$A$1510),NA(),IFERROR(LOOKUP(2,1/(('Match Log'!$D$4:$D$1510=$R$24)*('Match Log'!$A$4:$A$1510&lt;=$J643)),'Match Log'!$N$4:$N$1510),NA()))</f>
        <v>#N/A</v>
      </c>
      <c r="S643" t="e">
        <f>IF($J643&gt;MAX('Match Log'!$A$4:$A$1510),NA(),IFERROR(LOOKUP(2,1/(('Match Log'!$D$4:$D$1510=$S$24)*('Match Log'!$A$4:$A$1510&lt;=$J643)),'Match Log'!$N$4:$N$1510),NA()))</f>
        <v>#N/A</v>
      </c>
      <c r="T643" t="e">
        <f>IF($J643&gt;MAX('Match Log'!$A$4:$A$1510),NA(),IFERROR(LOOKUP(2,1/(('Match Log'!$D$4:$D$1510=$T$24)*('Match Log'!$A$4:$A$1510&lt;=$J643)),'Match Log'!$N$4:$N$1510),NA()))</f>
        <v>#N/A</v>
      </c>
      <c r="U643" t="e">
        <f>IF($J643&gt;MAX('Match Log'!$A$4:$A$1510),NA(),IFERROR(LOOKUP(2,1/(('Match Log'!$D$4:$D$1510=$U$24)*('Match Log'!$A$4:$A$1510&lt;=$J643)),'Match Log'!$N$4:$N$1510),NA()))</f>
        <v>#N/A</v>
      </c>
      <c r="V643" t="e">
        <f>IF($J643&gt;MAX('Match Log'!$A$4:$A$1510),NA(),IFERROR(LOOKUP(2,1/(('Match Log'!$D$4:$D$1510=$V$24)*('Match Log'!$A$4:$A$1510&lt;=$J643)),'Match Log'!$N$4:$N$1510),NA()))</f>
        <v>#N/A</v>
      </c>
      <c r="W643" t="e">
        <f>IF($J643&gt;MAX('Match Log'!$A$4:$A$1510),NA(),IFERROR(LOOKUP(2,1/(('Match Log'!$D$4:$D$1510=$W$24)*('Match Log'!$A$4:$A$1510&lt;=$J643)),'Match Log'!$N$4:$N$1510),NA()))</f>
        <v>#N/A</v>
      </c>
      <c r="X643" t="e">
        <f>IF($J643&gt;MAX('Match Log'!$A$4:$A$1510),NA(),IFERROR(LOOKUP(2,1/(('Match Log'!$D$4:$D$1510=$X$24)*('Match Log'!$A$4:$A$1510&lt;=$J643)),'Match Log'!$N$4:$N$1510),NA()))</f>
        <v>#N/A</v>
      </c>
      <c r="Y643" t="str">
        <f t="shared" ca="1" si="37"/>
        <v/>
      </c>
    </row>
    <row r="644" spans="1:25" x14ac:dyDescent="0.2">
      <c r="A644">
        <v>620</v>
      </c>
      <c r="B644" t="str">
        <f>IFERROR(INDEX('Match Log'!$B$4:$B$1510,MATCH($A644,'Match Log'!$A$4:$A$1510,0)),"")</f>
        <v/>
      </c>
      <c r="C644" t="str">
        <f>IFERROR(INDEX('Match Log'!$C$4:$C$1510,MATCH($A644,'Match Log'!$A$4:$A$1510,0)),"")</f>
        <v/>
      </c>
      <c r="D644" t="str">
        <f t="array" ref="D644">IFERROR(_xlfn.TEXTJOIN(" + ",TRUE(),IF(('Match Log'!$A$4:$A$1510=$A644)*('Match Log'!$E$4:$E$1510="Win"),'Match Log'!$D$4:$D$1510,"")),IFERROR(LOOKUP(2,1/(('Match Log'!$A$4:$A$1510=$A644)*('Match Log'!$E$4:$E$1510="Win")),'Match Log'!$D$4:$D$1510),""))</f>
        <v/>
      </c>
      <c r="E644" t="str">
        <f>IFERROR(INDEX('Match Log'!$F$4:$F$1510,MATCH($A644,'Match Log'!$A$4:$A$1510,0)),"")</f>
        <v/>
      </c>
      <c r="F644">
        <f>IFERROR(SUMIFS('Match Log'!$I$4:$I$1510,'Match Log'!$A$4:$A$1510,$A644,'Match Log'!$E$4:$E$1510,"Win"),"")</f>
        <v>0</v>
      </c>
      <c r="G644" t="str">
        <f t="shared" si="35"/>
        <v/>
      </c>
      <c r="H644" t="str">
        <f t="array" ref="H644">IFERROR(IF(COUNTIFS('Match Log'!$A$4:$A$1510,$A644,'Match Log'!$E$4:$E$1510,"Win")&gt;1,_xlfn.TEXTJOIN(" + ",TRUE(),IF(('Match Log'!$A$4:$A$1510=$A644)*('Match Log'!$E$4:$E$1510="Loss"),'Match Log'!$D$4:$D$1510,"")),IF($E644=2,LOOKUP(2,1/(('Match Log'!$A$4:$A$1510=$A644)*('Match Log'!$E$4:$E$1510="Loss")),'Match Log'!$D$4:$D$1510),"the field")),"")</f>
        <v>the field</v>
      </c>
      <c r="I644" t="str">
        <f t="shared" si="36"/>
        <v/>
      </c>
      <c r="J644">
        <v>620</v>
      </c>
      <c r="K644" t="e">
        <f>IF($J644&gt;MAX('Match Log'!$A$4:$A$1510),NA(),IFERROR(LOOKUP(2,1/(('Match Log'!$D$4:$D$1510=$K$24)*('Match Log'!$A$4:$A$1510&lt;=$J644)),'Match Log'!$N$4:$N$1510),NA()))</f>
        <v>#N/A</v>
      </c>
      <c r="L644" t="e">
        <f>IF($J644&gt;MAX('Match Log'!$A$4:$A$1510),NA(),IFERROR(LOOKUP(2,1/(('Match Log'!$D$4:$D$1510=$L$24)*('Match Log'!$A$4:$A$1510&lt;=$J644)),'Match Log'!$N$4:$N$1510),NA()))</f>
        <v>#N/A</v>
      </c>
      <c r="M644" t="e">
        <f>IF($J644&gt;MAX('Match Log'!$A$4:$A$1510),NA(),IFERROR(LOOKUP(2,1/(('Match Log'!$D$4:$D$1510=$M$24)*('Match Log'!$A$4:$A$1510&lt;=$J644)),'Match Log'!$N$4:$N$1510),NA()))</f>
        <v>#N/A</v>
      </c>
      <c r="N644" t="e">
        <f>IF($J644&gt;MAX('Match Log'!$A$4:$A$1510),NA(),IFERROR(LOOKUP(2,1/(('Match Log'!$D$4:$D$1510=$N$24)*('Match Log'!$A$4:$A$1510&lt;=$J644)),'Match Log'!$N$4:$N$1510),NA()))</f>
        <v>#N/A</v>
      </c>
      <c r="O644" t="e">
        <f>IF($J644&gt;MAX('Match Log'!$A$4:$A$1510),NA(),IFERROR(LOOKUP(2,1/(('Match Log'!$D$4:$D$1510=$O$24)*('Match Log'!$A$4:$A$1510&lt;=$J644)),'Match Log'!$N$4:$N$1510),NA()))</f>
        <v>#N/A</v>
      </c>
      <c r="P644" t="e">
        <f>IF($J644&gt;MAX('Match Log'!$A$4:$A$1510),NA(),IFERROR(LOOKUP(2,1/(('Match Log'!$D$4:$D$1510=$P$24)*('Match Log'!$A$4:$A$1510&lt;=$J644)),'Match Log'!$N$4:$N$1510),NA()))</f>
        <v>#N/A</v>
      </c>
      <c r="Q644" t="e">
        <f>IF($J644&gt;MAX('Match Log'!$A$4:$A$1510),NA(),IFERROR(LOOKUP(2,1/(('Match Log'!$D$4:$D$1510=$Q$24)*('Match Log'!$A$4:$A$1510&lt;=$J644)),'Match Log'!$N$4:$N$1510),NA()))</f>
        <v>#N/A</v>
      </c>
      <c r="R644" t="e">
        <f>IF($J644&gt;MAX('Match Log'!$A$4:$A$1510),NA(),IFERROR(LOOKUP(2,1/(('Match Log'!$D$4:$D$1510=$R$24)*('Match Log'!$A$4:$A$1510&lt;=$J644)),'Match Log'!$N$4:$N$1510),NA()))</f>
        <v>#N/A</v>
      </c>
      <c r="S644" t="e">
        <f>IF($J644&gt;MAX('Match Log'!$A$4:$A$1510),NA(),IFERROR(LOOKUP(2,1/(('Match Log'!$D$4:$D$1510=$S$24)*('Match Log'!$A$4:$A$1510&lt;=$J644)),'Match Log'!$N$4:$N$1510),NA()))</f>
        <v>#N/A</v>
      </c>
      <c r="T644" t="e">
        <f>IF($J644&gt;MAX('Match Log'!$A$4:$A$1510),NA(),IFERROR(LOOKUP(2,1/(('Match Log'!$D$4:$D$1510=$T$24)*('Match Log'!$A$4:$A$1510&lt;=$J644)),'Match Log'!$N$4:$N$1510),NA()))</f>
        <v>#N/A</v>
      </c>
      <c r="U644" t="e">
        <f>IF($J644&gt;MAX('Match Log'!$A$4:$A$1510),NA(),IFERROR(LOOKUP(2,1/(('Match Log'!$D$4:$D$1510=$U$24)*('Match Log'!$A$4:$A$1510&lt;=$J644)),'Match Log'!$N$4:$N$1510),NA()))</f>
        <v>#N/A</v>
      </c>
      <c r="V644" t="e">
        <f>IF($J644&gt;MAX('Match Log'!$A$4:$A$1510),NA(),IFERROR(LOOKUP(2,1/(('Match Log'!$D$4:$D$1510=$V$24)*('Match Log'!$A$4:$A$1510&lt;=$J644)),'Match Log'!$N$4:$N$1510),NA()))</f>
        <v>#N/A</v>
      </c>
      <c r="W644" t="e">
        <f>IF($J644&gt;MAX('Match Log'!$A$4:$A$1510),NA(),IFERROR(LOOKUP(2,1/(('Match Log'!$D$4:$D$1510=$W$24)*('Match Log'!$A$4:$A$1510&lt;=$J644)),'Match Log'!$N$4:$N$1510),NA()))</f>
        <v>#N/A</v>
      </c>
      <c r="X644" t="e">
        <f>IF($J644&gt;MAX('Match Log'!$A$4:$A$1510),NA(),IFERROR(LOOKUP(2,1/(('Match Log'!$D$4:$D$1510=$X$24)*('Match Log'!$A$4:$A$1510&lt;=$J644)),'Match Log'!$N$4:$N$1510),NA()))</f>
        <v>#N/A</v>
      </c>
      <c r="Y644" t="str">
        <f t="shared" ca="1" si="37"/>
        <v/>
      </c>
    </row>
    <row r="645" spans="1:25" x14ac:dyDescent="0.2">
      <c r="A645">
        <v>621</v>
      </c>
      <c r="B645" t="str">
        <f>IFERROR(INDEX('Match Log'!$B$4:$B$1510,MATCH($A645,'Match Log'!$A$4:$A$1510,0)),"")</f>
        <v/>
      </c>
      <c r="C645" t="str">
        <f>IFERROR(INDEX('Match Log'!$C$4:$C$1510,MATCH($A645,'Match Log'!$A$4:$A$1510,0)),"")</f>
        <v/>
      </c>
      <c r="D645" t="str">
        <f t="array" ref="D645">IFERROR(_xlfn.TEXTJOIN(" + ",TRUE(),IF(('Match Log'!$A$4:$A$1510=$A645)*('Match Log'!$E$4:$E$1510="Win"),'Match Log'!$D$4:$D$1510,"")),IFERROR(LOOKUP(2,1/(('Match Log'!$A$4:$A$1510=$A645)*('Match Log'!$E$4:$E$1510="Win")),'Match Log'!$D$4:$D$1510),""))</f>
        <v/>
      </c>
      <c r="E645" t="str">
        <f>IFERROR(INDEX('Match Log'!$F$4:$F$1510,MATCH($A645,'Match Log'!$A$4:$A$1510,0)),"")</f>
        <v/>
      </c>
      <c r="F645">
        <f>IFERROR(SUMIFS('Match Log'!$I$4:$I$1510,'Match Log'!$A$4:$A$1510,$A645,'Match Log'!$E$4:$E$1510,"Win"),"")</f>
        <v>0</v>
      </c>
      <c r="G645" t="str">
        <f t="shared" si="35"/>
        <v/>
      </c>
      <c r="H645" t="str">
        <f t="array" ref="H645">IFERROR(IF(COUNTIFS('Match Log'!$A$4:$A$1510,$A645,'Match Log'!$E$4:$E$1510,"Win")&gt;1,_xlfn.TEXTJOIN(" + ",TRUE(),IF(('Match Log'!$A$4:$A$1510=$A645)*('Match Log'!$E$4:$E$1510="Loss"),'Match Log'!$D$4:$D$1510,"")),IF($E645=2,LOOKUP(2,1/(('Match Log'!$A$4:$A$1510=$A645)*('Match Log'!$E$4:$E$1510="Loss")),'Match Log'!$D$4:$D$1510),"the field")),"")</f>
        <v>the field</v>
      </c>
      <c r="I645" t="str">
        <f t="shared" si="36"/>
        <v/>
      </c>
      <c r="J645">
        <v>621</v>
      </c>
      <c r="K645" t="e">
        <f>IF($J645&gt;MAX('Match Log'!$A$4:$A$1510),NA(),IFERROR(LOOKUP(2,1/(('Match Log'!$D$4:$D$1510=$K$24)*('Match Log'!$A$4:$A$1510&lt;=$J645)),'Match Log'!$N$4:$N$1510),NA()))</f>
        <v>#N/A</v>
      </c>
      <c r="L645" t="e">
        <f>IF($J645&gt;MAX('Match Log'!$A$4:$A$1510),NA(),IFERROR(LOOKUP(2,1/(('Match Log'!$D$4:$D$1510=$L$24)*('Match Log'!$A$4:$A$1510&lt;=$J645)),'Match Log'!$N$4:$N$1510),NA()))</f>
        <v>#N/A</v>
      </c>
      <c r="M645" t="e">
        <f>IF($J645&gt;MAX('Match Log'!$A$4:$A$1510),NA(),IFERROR(LOOKUP(2,1/(('Match Log'!$D$4:$D$1510=$M$24)*('Match Log'!$A$4:$A$1510&lt;=$J645)),'Match Log'!$N$4:$N$1510),NA()))</f>
        <v>#N/A</v>
      </c>
      <c r="N645" t="e">
        <f>IF($J645&gt;MAX('Match Log'!$A$4:$A$1510),NA(),IFERROR(LOOKUP(2,1/(('Match Log'!$D$4:$D$1510=$N$24)*('Match Log'!$A$4:$A$1510&lt;=$J645)),'Match Log'!$N$4:$N$1510),NA()))</f>
        <v>#N/A</v>
      </c>
      <c r="O645" t="e">
        <f>IF($J645&gt;MAX('Match Log'!$A$4:$A$1510),NA(),IFERROR(LOOKUP(2,1/(('Match Log'!$D$4:$D$1510=$O$24)*('Match Log'!$A$4:$A$1510&lt;=$J645)),'Match Log'!$N$4:$N$1510),NA()))</f>
        <v>#N/A</v>
      </c>
      <c r="P645" t="e">
        <f>IF($J645&gt;MAX('Match Log'!$A$4:$A$1510),NA(),IFERROR(LOOKUP(2,1/(('Match Log'!$D$4:$D$1510=$P$24)*('Match Log'!$A$4:$A$1510&lt;=$J645)),'Match Log'!$N$4:$N$1510),NA()))</f>
        <v>#N/A</v>
      </c>
      <c r="Q645" t="e">
        <f>IF($J645&gt;MAX('Match Log'!$A$4:$A$1510),NA(),IFERROR(LOOKUP(2,1/(('Match Log'!$D$4:$D$1510=$Q$24)*('Match Log'!$A$4:$A$1510&lt;=$J645)),'Match Log'!$N$4:$N$1510),NA()))</f>
        <v>#N/A</v>
      </c>
      <c r="R645" t="e">
        <f>IF($J645&gt;MAX('Match Log'!$A$4:$A$1510),NA(),IFERROR(LOOKUP(2,1/(('Match Log'!$D$4:$D$1510=$R$24)*('Match Log'!$A$4:$A$1510&lt;=$J645)),'Match Log'!$N$4:$N$1510),NA()))</f>
        <v>#N/A</v>
      </c>
      <c r="S645" t="e">
        <f>IF($J645&gt;MAX('Match Log'!$A$4:$A$1510),NA(),IFERROR(LOOKUP(2,1/(('Match Log'!$D$4:$D$1510=$S$24)*('Match Log'!$A$4:$A$1510&lt;=$J645)),'Match Log'!$N$4:$N$1510),NA()))</f>
        <v>#N/A</v>
      </c>
      <c r="T645" t="e">
        <f>IF($J645&gt;MAX('Match Log'!$A$4:$A$1510),NA(),IFERROR(LOOKUP(2,1/(('Match Log'!$D$4:$D$1510=$T$24)*('Match Log'!$A$4:$A$1510&lt;=$J645)),'Match Log'!$N$4:$N$1510),NA()))</f>
        <v>#N/A</v>
      </c>
      <c r="U645" t="e">
        <f>IF($J645&gt;MAX('Match Log'!$A$4:$A$1510),NA(),IFERROR(LOOKUP(2,1/(('Match Log'!$D$4:$D$1510=$U$24)*('Match Log'!$A$4:$A$1510&lt;=$J645)),'Match Log'!$N$4:$N$1510),NA()))</f>
        <v>#N/A</v>
      </c>
      <c r="V645" t="e">
        <f>IF($J645&gt;MAX('Match Log'!$A$4:$A$1510),NA(),IFERROR(LOOKUP(2,1/(('Match Log'!$D$4:$D$1510=$V$24)*('Match Log'!$A$4:$A$1510&lt;=$J645)),'Match Log'!$N$4:$N$1510),NA()))</f>
        <v>#N/A</v>
      </c>
      <c r="W645" t="e">
        <f>IF($J645&gt;MAX('Match Log'!$A$4:$A$1510),NA(),IFERROR(LOOKUP(2,1/(('Match Log'!$D$4:$D$1510=$W$24)*('Match Log'!$A$4:$A$1510&lt;=$J645)),'Match Log'!$N$4:$N$1510),NA()))</f>
        <v>#N/A</v>
      </c>
      <c r="X645" t="e">
        <f>IF($J645&gt;MAX('Match Log'!$A$4:$A$1510),NA(),IFERROR(LOOKUP(2,1/(('Match Log'!$D$4:$D$1510=$X$24)*('Match Log'!$A$4:$A$1510&lt;=$J645)),'Match Log'!$N$4:$N$1510),NA()))</f>
        <v>#N/A</v>
      </c>
      <c r="Y645" t="str">
        <f t="shared" ca="1" si="37"/>
        <v/>
      </c>
    </row>
    <row r="646" spans="1:25" x14ac:dyDescent="0.2">
      <c r="A646">
        <v>622</v>
      </c>
      <c r="B646" t="str">
        <f>IFERROR(INDEX('Match Log'!$B$4:$B$1510,MATCH($A646,'Match Log'!$A$4:$A$1510,0)),"")</f>
        <v/>
      </c>
      <c r="C646" t="str">
        <f>IFERROR(INDEX('Match Log'!$C$4:$C$1510,MATCH($A646,'Match Log'!$A$4:$A$1510,0)),"")</f>
        <v/>
      </c>
      <c r="D646" t="str">
        <f t="array" ref="D646">IFERROR(_xlfn.TEXTJOIN(" + ",TRUE(),IF(('Match Log'!$A$4:$A$1510=$A646)*('Match Log'!$E$4:$E$1510="Win"),'Match Log'!$D$4:$D$1510,"")),IFERROR(LOOKUP(2,1/(('Match Log'!$A$4:$A$1510=$A646)*('Match Log'!$E$4:$E$1510="Win")),'Match Log'!$D$4:$D$1510),""))</f>
        <v/>
      </c>
      <c r="E646" t="str">
        <f>IFERROR(INDEX('Match Log'!$F$4:$F$1510,MATCH($A646,'Match Log'!$A$4:$A$1510,0)),"")</f>
        <v/>
      </c>
      <c r="F646">
        <f>IFERROR(SUMIFS('Match Log'!$I$4:$I$1510,'Match Log'!$A$4:$A$1510,$A646,'Match Log'!$E$4:$E$1510,"Win"),"")</f>
        <v>0</v>
      </c>
      <c r="G646" t="str">
        <f t="shared" si="35"/>
        <v/>
      </c>
      <c r="H646" t="str">
        <f t="array" ref="H646">IFERROR(IF(COUNTIFS('Match Log'!$A$4:$A$1510,$A646,'Match Log'!$E$4:$E$1510,"Win")&gt;1,_xlfn.TEXTJOIN(" + ",TRUE(),IF(('Match Log'!$A$4:$A$1510=$A646)*('Match Log'!$E$4:$E$1510="Loss"),'Match Log'!$D$4:$D$1510,"")),IF($E646=2,LOOKUP(2,1/(('Match Log'!$A$4:$A$1510=$A646)*('Match Log'!$E$4:$E$1510="Loss")),'Match Log'!$D$4:$D$1510),"the field")),"")</f>
        <v>the field</v>
      </c>
      <c r="I646" t="str">
        <f t="shared" si="36"/>
        <v/>
      </c>
      <c r="J646">
        <v>622</v>
      </c>
      <c r="K646" t="e">
        <f>IF($J646&gt;MAX('Match Log'!$A$4:$A$1510),NA(),IFERROR(LOOKUP(2,1/(('Match Log'!$D$4:$D$1510=$K$24)*('Match Log'!$A$4:$A$1510&lt;=$J646)),'Match Log'!$N$4:$N$1510),NA()))</f>
        <v>#N/A</v>
      </c>
      <c r="L646" t="e">
        <f>IF($J646&gt;MAX('Match Log'!$A$4:$A$1510),NA(),IFERROR(LOOKUP(2,1/(('Match Log'!$D$4:$D$1510=$L$24)*('Match Log'!$A$4:$A$1510&lt;=$J646)),'Match Log'!$N$4:$N$1510),NA()))</f>
        <v>#N/A</v>
      </c>
      <c r="M646" t="e">
        <f>IF($J646&gt;MAX('Match Log'!$A$4:$A$1510),NA(),IFERROR(LOOKUP(2,1/(('Match Log'!$D$4:$D$1510=$M$24)*('Match Log'!$A$4:$A$1510&lt;=$J646)),'Match Log'!$N$4:$N$1510),NA()))</f>
        <v>#N/A</v>
      </c>
      <c r="N646" t="e">
        <f>IF($J646&gt;MAX('Match Log'!$A$4:$A$1510),NA(),IFERROR(LOOKUP(2,1/(('Match Log'!$D$4:$D$1510=$N$24)*('Match Log'!$A$4:$A$1510&lt;=$J646)),'Match Log'!$N$4:$N$1510),NA()))</f>
        <v>#N/A</v>
      </c>
      <c r="O646" t="e">
        <f>IF($J646&gt;MAX('Match Log'!$A$4:$A$1510),NA(),IFERROR(LOOKUP(2,1/(('Match Log'!$D$4:$D$1510=$O$24)*('Match Log'!$A$4:$A$1510&lt;=$J646)),'Match Log'!$N$4:$N$1510),NA()))</f>
        <v>#N/A</v>
      </c>
      <c r="P646" t="e">
        <f>IF($J646&gt;MAX('Match Log'!$A$4:$A$1510),NA(),IFERROR(LOOKUP(2,1/(('Match Log'!$D$4:$D$1510=$P$24)*('Match Log'!$A$4:$A$1510&lt;=$J646)),'Match Log'!$N$4:$N$1510),NA()))</f>
        <v>#N/A</v>
      </c>
      <c r="Q646" t="e">
        <f>IF($J646&gt;MAX('Match Log'!$A$4:$A$1510),NA(),IFERROR(LOOKUP(2,1/(('Match Log'!$D$4:$D$1510=$Q$24)*('Match Log'!$A$4:$A$1510&lt;=$J646)),'Match Log'!$N$4:$N$1510),NA()))</f>
        <v>#N/A</v>
      </c>
      <c r="R646" t="e">
        <f>IF($J646&gt;MAX('Match Log'!$A$4:$A$1510),NA(),IFERROR(LOOKUP(2,1/(('Match Log'!$D$4:$D$1510=$R$24)*('Match Log'!$A$4:$A$1510&lt;=$J646)),'Match Log'!$N$4:$N$1510),NA()))</f>
        <v>#N/A</v>
      </c>
      <c r="S646" t="e">
        <f>IF($J646&gt;MAX('Match Log'!$A$4:$A$1510),NA(),IFERROR(LOOKUP(2,1/(('Match Log'!$D$4:$D$1510=$S$24)*('Match Log'!$A$4:$A$1510&lt;=$J646)),'Match Log'!$N$4:$N$1510),NA()))</f>
        <v>#N/A</v>
      </c>
      <c r="T646" t="e">
        <f>IF($J646&gt;MAX('Match Log'!$A$4:$A$1510),NA(),IFERROR(LOOKUP(2,1/(('Match Log'!$D$4:$D$1510=$T$24)*('Match Log'!$A$4:$A$1510&lt;=$J646)),'Match Log'!$N$4:$N$1510),NA()))</f>
        <v>#N/A</v>
      </c>
      <c r="U646" t="e">
        <f>IF($J646&gt;MAX('Match Log'!$A$4:$A$1510),NA(),IFERROR(LOOKUP(2,1/(('Match Log'!$D$4:$D$1510=$U$24)*('Match Log'!$A$4:$A$1510&lt;=$J646)),'Match Log'!$N$4:$N$1510),NA()))</f>
        <v>#N/A</v>
      </c>
      <c r="V646" t="e">
        <f>IF($J646&gt;MAX('Match Log'!$A$4:$A$1510),NA(),IFERROR(LOOKUP(2,1/(('Match Log'!$D$4:$D$1510=$V$24)*('Match Log'!$A$4:$A$1510&lt;=$J646)),'Match Log'!$N$4:$N$1510),NA()))</f>
        <v>#N/A</v>
      </c>
      <c r="W646" t="e">
        <f>IF($J646&gt;MAX('Match Log'!$A$4:$A$1510),NA(),IFERROR(LOOKUP(2,1/(('Match Log'!$D$4:$D$1510=$W$24)*('Match Log'!$A$4:$A$1510&lt;=$J646)),'Match Log'!$N$4:$N$1510),NA()))</f>
        <v>#N/A</v>
      </c>
      <c r="X646" t="e">
        <f>IF($J646&gt;MAX('Match Log'!$A$4:$A$1510),NA(),IFERROR(LOOKUP(2,1/(('Match Log'!$D$4:$D$1510=$X$24)*('Match Log'!$A$4:$A$1510&lt;=$J646)),'Match Log'!$N$4:$N$1510),NA()))</f>
        <v>#N/A</v>
      </c>
      <c r="Y646" t="str">
        <f t="shared" ca="1" si="37"/>
        <v/>
      </c>
    </row>
    <row r="647" spans="1:25" x14ac:dyDescent="0.2">
      <c r="A647">
        <v>623</v>
      </c>
      <c r="B647" t="str">
        <f>IFERROR(INDEX('Match Log'!$B$4:$B$1510,MATCH($A647,'Match Log'!$A$4:$A$1510,0)),"")</f>
        <v/>
      </c>
      <c r="C647" t="str">
        <f>IFERROR(INDEX('Match Log'!$C$4:$C$1510,MATCH($A647,'Match Log'!$A$4:$A$1510,0)),"")</f>
        <v/>
      </c>
      <c r="D647" t="str">
        <f t="array" ref="D647">IFERROR(_xlfn.TEXTJOIN(" + ",TRUE(),IF(('Match Log'!$A$4:$A$1510=$A647)*('Match Log'!$E$4:$E$1510="Win"),'Match Log'!$D$4:$D$1510,"")),IFERROR(LOOKUP(2,1/(('Match Log'!$A$4:$A$1510=$A647)*('Match Log'!$E$4:$E$1510="Win")),'Match Log'!$D$4:$D$1510),""))</f>
        <v/>
      </c>
      <c r="E647" t="str">
        <f>IFERROR(INDEX('Match Log'!$F$4:$F$1510,MATCH($A647,'Match Log'!$A$4:$A$1510,0)),"")</f>
        <v/>
      </c>
      <c r="F647">
        <f>IFERROR(SUMIFS('Match Log'!$I$4:$I$1510,'Match Log'!$A$4:$A$1510,$A647,'Match Log'!$E$4:$E$1510,"Win"),"")</f>
        <v>0</v>
      </c>
      <c r="G647" t="str">
        <f t="shared" si="35"/>
        <v/>
      </c>
      <c r="H647" t="str">
        <f t="array" ref="H647">IFERROR(IF(COUNTIFS('Match Log'!$A$4:$A$1510,$A647,'Match Log'!$E$4:$E$1510,"Win")&gt;1,_xlfn.TEXTJOIN(" + ",TRUE(),IF(('Match Log'!$A$4:$A$1510=$A647)*('Match Log'!$E$4:$E$1510="Loss"),'Match Log'!$D$4:$D$1510,"")),IF($E647=2,LOOKUP(2,1/(('Match Log'!$A$4:$A$1510=$A647)*('Match Log'!$E$4:$E$1510="Loss")),'Match Log'!$D$4:$D$1510),"the field")),"")</f>
        <v>the field</v>
      </c>
      <c r="I647" t="str">
        <f t="shared" si="36"/>
        <v/>
      </c>
      <c r="J647">
        <v>623</v>
      </c>
      <c r="K647" t="e">
        <f>IF($J647&gt;MAX('Match Log'!$A$4:$A$1510),NA(),IFERROR(LOOKUP(2,1/(('Match Log'!$D$4:$D$1510=$K$24)*('Match Log'!$A$4:$A$1510&lt;=$J647)),'Match Log'!$N$4:$N$1510),NA()))</f>
        <v>#N/A</v>
      </c>
      <c r="L647" t="e">
        <f>IF($J647&gt;MAX('Match Log'!$A$4:$A$1510),NA(),IFERROR(LOOKUP(2,1/(('Match Log'!$D$4:$D$1510=$L$24)*('Match Log'!$A$4:$A$1510&lt;=$J647)),'Match Log'!$N$4:$N$1510),NA()))</f>
        <v>#N/A</v>
      </c>
      <c r="M647" t="e">
        <f>IF($J647&gt;MAX('Match Log'!$A$4:$A$1510),NA(),IFERROR(LOOKUP(2,1/(('Match Log'!$D$4:$D$1510=$M$24)*('Match Log'!$A$4:$A$1510&lt;=$J647)),'Match Log'!$N$4:$N$1510),NA()))</f>
        <v>#N/A</v>
      </c>
      <c r="N647" t="e">
        <f>IF($J647&gt;MAX('Match Log'!$A$4:$A$1510),NA(),IFERROR(LOOKUP(2,1/(('Match Log'!$D$4:$D$1510=$N$24)*('Match Log'!$A$4:$A$1510&lt;=$J647)),'Match Log'!$N$4:$N$1510),NA()))</f>
        <v>#N/A</v>
      </c>
      <c r="O647" t="e">
        <f>IF($J647&gt;MAX('Match Log'!$A$4:$A$1510),NA(),IFERROR(LOOKUP(2,1/(('Match Log'!$D$4:$D$1510=$O$24)*('Match Log'!$A$4:$A$1510&lt;=$J647)),'Match Log'!$N$4:$N$1510),NA()))</f>
        <v>#N/A</v>
      </c>
      <c r="P647" t="e">
        <f>IF($J647&gt;MAX('Match Log'!$A$4:$A$1510),NA(),IFERROR(LOOKUP(2,1/(('Match Log'!$D$4:$D$1510=$P$24)*('Match Log'!$A$4:$A$1510&lt;=$J647)),'Match Log'!$N$4:$N$1510),NA()))</f>
        <v>#N/A</v>
      </c>
      <c r="Q647" t="e">
        <f>IF($J647&gt;MAX('Match Log'!$A$4:$A$1510),NA(),IFERROR(LOOKUP(2,1/(('Match Log'!$D$4:$D$1510=$Q$24)*('Match Log'!$A$4:$A$1510&lt;=$J647)),'Match Log'!$N$4:$N$1510),NA()))</f>
        <v>#N/A</v>
      </c>
      <c r="R647" t="e">
        <f>IF($J647&gt;MAX('Match Log'!$A$4:$A$1510),NA(),IFERROR(LOOKUP(2,1/(('Match Log'!$D$4:$D$1510=$R$24)*('Match Log'!$A$4:$A$1510&lt;=$J647)),'Match Log'!$N$4:$N$1510),NA()))</f>
        <v>#N/A</v>
      </c>
      <c r="S647" t="e">
        <f>IF($J647&gt;MAX('Match Log'!$A$4:$A$1510),NA(),IFERROR(LOOKUP(2,1/(('Match Log'!$D$4:$D$1510=$S$24)*('Match Log'!$A$4:$A$1510&lt;=$J647)),'Match Log'!$N$4:$N$1510),NA()))</f>
        <v>#N/A</v>
      </c>
      <c r="T647" t="e">
        <f>IF($J647&gt;MAX('Match Log'!$A$4:$A$1510),NA(),IFERROR(LOOKUP(2,1/(('Match Log'!$D$4:$D$1510=$T$24)*('Match Log'!$A$4:$A$1510&lt;=$J647)),'Match Log'!$N$4:$N$1510),NA()))</f>
        <v>#N/A</v>
      </c>
      <c r="U647" t="e">
        <f>IF($J647&gt;MAX('Match Log'!$A$4:$A$1510),NA(),IFERROR(LOOKUP(2,1/(('Match Log'!$D$4:$D$1510=$U$24)*('Match Log'!$A$4:$A$1510&lt;=$J647)),'Match Log'!$N$4:$N$1510),NA()))</f>
        <v>#N/A</v>
      </c>
      <c r="V647" t="e">
        <f>IF($J647&gt;MAX('Match Log'!$A$4:$A$1510),NA(),IFERROR(LOOKUP(2,1/(('Match Log'!$D$4:$D$1510=$V$24)*('Match Log'!$A$4:$A$1510&lt;=$J647)),'Match Log'!$N$4:$N$1510),NA()))</f>
        <v>#N/A</v>
      </c>
      <c r="W647" t="e">
        <f>IF($J647&gt;MAX('Match Log'!$A$4:$A$1510),NA(),IFERROR(LOOKUP(2,1/(('Match Log'!$D$4:$D$1510=$W$24)*('Match Log'!$A$4:$A$1510&lt;=$J647)),'Match Log'!$N$4:$N$1510),NA()))</f>
        <v>#N/A</v>
      </c>
      <c r="X647" t="e">
        <f>IF($J647&gt;MAX('Match Log'!$A$4:$A$1510),NA(),IFERROR(LOOKUP(2,1/(('Match Log'!$D$4:$D$1510=$X$24)*('Match Log'!$A$4:$A$1510&lt;=$J647)),'Match Log'!$N$4:$N$1510),NA()))</f>
        <v>#N/A</v>
      </c>
      <c r="Y647" t="str">
        <f t="shared" ca="1" si="37"/>
        <v/>
      </c>
    </row>
    <row r="648" spans="1:25" x14ac:dyDescent="0.2">
      <c r="A648">
        <v>624</v>
      </c>
      <c r="B648" t="str">
        <f>IFERROR(INDEX('Match Log'!$B$4:$B$1510,MATCH($A648,'Match Log'!$A$4:$A$1510,0)),"")</f>
        <v/>
      </c>
      <c r="C648" t="str">
        <f>IFERROR(INDEX('Match Log'!$C$4:$C$1510,MATCH($A648,'Match Log'!$A$4:$A$1510,0)),"")</f>
        <v/>
      </c>
      <c r="D648" t="str">
        <f t="array" ref="D648">IFERROR(_xlfn.TEXTJOIN(" + ",TRUE(),IF(('Match Log'!$A$4:$A$1510=$A648)*('Match Log'!$E$4:$E$1510="Win"),'Match Log'!$D$4:$D$1510,"")),IFERROR(LOOKUP(2,1/(('Match Log'!$A$4:$A$1510=$A648)*('Match Log'!$E$4:$E$1510="Win")),'Match Log'!$D$4:$D$1510),""))</f>
        <v/>
      </c>
      <c r="E648" t="str">
        <f>IFERROR(INDEX('Match Log'!$F$4:$F$1510,MATCH($A648,'Match Log'!$A$4:$A$1510,0)),"")</f>
        <v/>
      </c>
      <c r="F648">
        <f>IFERROR(SUMIFS('Match Log'!$I$4:$I$1510,'Match Log'!$A$4:$A$1510,$A648,'Match Log'!$E$4:$E$1510,"Win"),"")</f>
        <v>0</v>
      </c>
      <c r="G648" t="str">
        <f t="shared" si="35"/>
        <v/>
      </c>
      <c r="H648" t="str">
        <f t="array" ref="H648">IFERROR(IF(COUNTIFS('Match Log'!$A$4:$A$1510,$A648,'Match Log'!$E$4:$E$1510,"Win")&gt;1,_xlfn.TEXTJOIN(" + ",TRUE(),IF(('Match Log'!$A$4:$A$1510=$A648)*('Match Log'!$E$4:$E$1510="Loss"),'Match Log'!$D$4:$D$1510,"")),IF($E648=2,LOOKUP(2,1/(('Match Log'!$A$4:$A$1510=$A648)*('Match Log'!$E$4:$E$1510="Loss")),'Match Log'!$D$4:$D$1510),"the field")),"")</f>
        <v>the field</v>
      </c>
      <c r="I648" t="str">
        <f t="shared" si="36"/>
        <v/>
      </c>
      <c r="J648">
        <v>624</v>
      </c>
      <c r="K648" t="e">
        <f>IF($J648&gt;MAX('Match Log'!$A$4:$A$1510),NA(),IFERROR(LOOKUP(2,1/(('Match Log'!$D$4:$D$1510=$K$24)*('Match Log'!$A$4:$A$1510&lt;=$J648)),'Match Log'!$N$4:$N$1510),NA()))</f>
        <v>#N/A</v>
      </c>
      <c r="L648" t="e">
        <f>IF($J648&gt;MAX('Match Log'!$A$4:$A$1510),NA(),IFERROR(LOOKUP(2,1/(('Match Log'!$D$4:$D$1510=$L$24)*('Match Log'!$A$4:$A$1510&lt;=$J648)),'Match Log'!$N$4:$N$1510),NA()))</f>
        <v>#N/A</v>
      </c>
      <c r="M648" t="e">
        <f>IF($J648&gt;MAX('Match Log'!$A$4:$A$1510),NA(),IFERROR(LOOKUP(2,1/(('Match Log'!$D$4:$D$1510=$M$24)*('Match Log'!$A$4:$A$1510&lt;=$J648)),'Match Log'!$N$4:$N$1510),NA()))</f>
        <v>#N/A</v>
      </c>
      <c r="N648" t="e">
        <f>IF($J648&gt;MAX('Match Log'!$A$4:$A$1510),NA(),IFERROR(LOOKUP(2,1/(('Match Log'!$D$4:$D$1510=$N$24)*('Match Log'!$A$4:$A$1510&lt;=$J648)),'Match Log'!$N$4:$N$1510),NA()))</f>
        <v>#N/A</v>
      </c>
      <c r="O648" t="e">
        <f>IF($J648&gt;MAX('Match Log'!$A$4:$A$1510),NA(),IFERROR(LOOKUP(2,1/(('Match Log'!$D$4:$D$1510=$O$24)*('Match Log'!$A$4:$A$1510&lt;=$J648)),'Match Log'!$N$4:$N$1510),NA()))</f>
        <v>#N/A</v>
      </c>
      <c r="P648" t="e">
        <f>IF($J648&gt;MAX('Match Log'!$A$4:$A$1510),NA(),IFERROR(LOOKUP(2,1/(('Match Log'!$D$4:$D$1510=$P$24)*('Match Log'!$A$4:$A$1510&lt;=$J648)),'Match Log'!$N$4:$N$1510),NA()))</f>
        <v>#N/A</v>
      </c>
      <c r="Q648" t="e">
        <f>IF($J648&gt;MAX('Match Log'!$A$4:$A$1510),NA(),IFERROR(LOOKUP(2,1/(('Match Log'!$D$4:$D$1510=$Q$24)*('Match Log'!$A$4:$A$1510&lt;=$J648)),'Match Log'!$N$4:$N$1510),NA()))</f>
        <v>#N/A</v>
      </c>
      <c r="R648" t="e">
        <f>IF($J648&gt;MAX('Match Log'!$A$4:$A$1510),NA(),IFERROR(LOOKUP(2,1/(('Match Log'!$D$4:$D$1510=$R$24)*('Match Log'!$A$4:$A$1510&lt;=$J648)),'Match Log'!$N$4:$N$1510),NA()))</f>
        <v>#N/A</v>
      </c>
      <c r="S648" t="e">
        <f>IF($J648&gt;MAX('Match Log'!$A$4:$A$1510),NA(),IFERROR(LOOKUP(2,1/(('Match Log'!$D$4:$D$1510=$S$24)*('Match Log'!$A$4:$A$1510&lt;=$J648)),'Match Log'!$N$4:$N$1510),NA()))</f>
        <v>#N/A</v>
      </c>
      <c r="T648" t="e">
        <f>IF($J648&gt;MAX('Match Log'!$A$4:$A$1510),NA(),IFERROR(LOOKUP(2,1/(('Match Log'!$D$4:$D$1510=$T$24)*('Match Log'!$A$4:$A$1510&lt;=$J648)),'Match Log'!$N$4:$N$1510),NA()))</f>
        <v>#N/A</v>
      </c>
      <c r="U648" t="e">
        <f>IF($J648&gt;MAX('Match Log'!$A$4:$A$1510),NA(),IFERROR(LOOKUP(2,1/(('Match Log'!$D$4:$D$1510=$U$24)*('Match Log'!$A$4:$A$1510&lt;=$J648)),'Match Log'!$N$4:$N$1510),NA()))</f>
        <v>#N/A</v>
      </c>
      <c r="V648" t="e">
        <f>IF($J648&gt;MAX('Match Log'!$A$4:$A$1510),NA(),IFERROR(LOOKUP(2,1/(('Match Log'!$D$4:$D$1510=$V$24)*('Match Log'!$A$4:$A$1510&lt;=$J648)),'Match Log'!$N$4:$N$1510),NA()))</f>
        <v>#N/A</v>
      </c>
      <c r="W648" t="e">
        <f>IF($J648&gt;MAX('Match Log'!$A$4:$A$1510),NA(),IFERROR(LOOKUP(2,1/(('Match Log'!$D$4:$D$1510=$W$24)*('Match Log'!$A$4:$A$1510&lt;=$J648)),'Match Log'!$N$4:$N$1510),NA()))</f>
        <v>#N/A</v>
      </c>
      <c r="X648" t="e">
        <f>IF($J648&gt;MAX('Match Log'!$A$4:$A$1510),NA(),IFERROR(LOOKUP(2,1/(('Match Log'!$D$4:$D$1510=$X$24)*('Match Log'!$A$4:$A$1510&lt;=$J648)),'Match Log'!$N$4:$N$1510),NA()))</f>
        <v>#N/A</v>
      </c>
      <c r="Y648" t="str">
        <f t="shared" ca="1" si="37"/>
        <v/>
      </c>
    </row>
    <row r="649" spans="1:25" x14ac:dyDescent="0.2">
      <c r="A649">
        <v>625</v>
      </c>
      <c r="B649" t="str">
        <f>IFERROR(INDEX('Match Log'!$B$4:$B$1510,MATCH($A649,'Match Log'!$A$4:$A$1510,0)),"")</f>
        <v/>
      </c>
      <c r="C649" t="str">
        <f>IFERROR(INDEX('Match Log'!$C$4:$C$1510,MATCH($A649,'Match Log'!$A$4:$A$1510,0)),"")</f>
        <v/>
      </c>
      <c r="D649" t="str">
        <f t="array" ref="D649">IFERROR(_xlfn.TEXTJOIN(" + ",TRUE(),IF(('Match Log'!$A$4:$A$1510=$A649)*('Match Log'!$E$4:$E$1510="Win"),'Match Log'!$D$4:$D$1510,"")),IFERROR(LOOKUP(2,1/(('Match Log'!$A$4:$A$1510=$A649)*('Match Log'!$E$4:$E$1510="Win")),'Match Log'!$D$4:$D$1510),""))</f>
        <v/>
      </c>
      <c r="E649" t="str">
        <f>IFERROR(INDEX('Match Log'!$F$4:$F$1510,MATCH($A649,'Match Log'!$A$4:$A$1510,0)),"")</f>
        <v/>
      </c>
      <c r="F649">
        <f>IFERROR(SUMIFS('Match Log'!$I$4:$I$1510,'Match Log'!$A$4:$A$1510,$A649,'Match Log'!$E$4:$E$1510,"Win"),"")</f>
        <v>0</v>
      </c>
      <c r="G649" t="str">
        <f t="shared" si="35"/>
        <v/>
      </c>
      <c r="H649" t="str">
        <f t="array" ref="H649">IFERROR(IF(COUNTIFS('Match Log'!$A$4:$A$1510,$A649,'Match Log'!$E$4:$E$1510,"Win")&gt;1,_xlfn.TEXTJOIN(" + ",TRUE(),IF(('Match Log'!$A$4:$A$1510=$A649)*('Match Log'!$E$4:$E$1510="Loss"),'Match Log'!$D$4:$D$1510,"")),IF($E649=2,LOOKUP(2,1/(('Match Log'!$A$4:$A$1510=$A649)*('Match Log'!$E$4:$E$1510="Loss")),'Match Log'!$D$4:$D$1510),"the field")),"")</f>
        <v>the field</v>
      </c>
      <c r="I649" t="str">
        <f t="shared" si="36"/>
        <v/>
      </c>
      <c r="J649">
        <v>625</v>
      </c>
      <c r="K649" t="e">
        <f>IF($J649&gt;MAX('Match Log'!$A$4:$A$1510),NA(),IFERROR(LOOKUP(2,1/(('Match Log'!$D$4:$D$1510=$K$24)*('Match Log'!$A$4:$A$1510&lt;=$J649)),'Match Log'!$N$4:$N$1510),NA()))</f>
        <v>#N/A</v>
      </c>
      <c r="L649" t="e">
        <f>IF($J649&gt;MAX('Match Log'!$A$4:$A$1510),NA(),IFERROR(LOOKUP(2,1/(('Match Log'!$D$4:$D$1510=$L$24)*('Match Log'!$A$4:$A$1510&lt;=$J649)),'Match Log'!$N$4:$N$1510),NA()))</f>
        <v>#N/A</v>
      </c>
      <c r="M649" t="e">
        <f>IF($J649&gt;MAX('Match Log'!$A$4:$A$1510),NA(),IFERROR(LOOKUP(2,1/(('Match Log'!$D$4:$D$1510=$M$24)*('Match Log'!$A$4:$A$1510&lt;=$J649)),'Match Log'!$N$4:$N$1510),NA()))</f>
        <v>#N/A</v>
      </c>
      <c r="N649" t="e">
        <f>IF($J649&gt;MAX('Match Log'!$A$4:$A$1510),NA(),IFERROR(LOOKUP(2,1/(('Match Log'!$D$4:$D$1510=$N$24)*('Match Log'!$A$4:$A$1510&lt;=$J649)),'Match Log'!$N$4:$N$1510),NA()))</f>
        <v>#N/A</v>
      </c>
      <c r="O649" t="e">
        <f>IF($J649&gt;MAX('Match Log'!$A$4:$A$1510),NA(),IFERROR(LOOKUP(2,1/(('Match Log'!$D$4:$D$1510=$O$24)*('Match Log'!$A$4:$A$1510&lt;=$J649)),'Match Log'!$N$4:$N$1510),NA()))</f>
        <v>#N/A</v>
      </c>
      <c r="P649" t="e">
        <f>IF($J649&gt;MAX('Match Log'!$A$4:$A$1510),NA(),IFERROR(LOOKUP(2,1/(('Match Log'!$D$4:$D$1510=$P$24)*('Match Log'!$A$4:$A$1510&lt;=$J649)),'Match Log'!$N$4:$N$1510),NA()))</f>
        <v>#N/A</v>
      </c>
      <c r="Q649" t="e">
        <f>IF($J649&gt;MAX('Match Log'!$A$4:$A$1510),NA(),IFERROR(LOOKUP(2,1/(('Match Log'!$D$4:$D$1510=$Q$24)*('Match Log'!$A$4:$A$1510&lt;=$J649)),'Match Log'!$N$4:$N$1510),NA()))</f>
        <v>#N/A</v>
      </c>
      <c r="R649" t="e">
        <f>IF($J649&gt;MAX('Match Log'!$A$4:$A$1510),NA(),IFERROR(LOOKUP(2,1/(('Match Log'!$D$4:$D$1510=$R$24)*('Match Log'!$A$4:$A$1510&lt;=$J649)),'Match Log'!$N$4:$N$1510),NA()))</f>
        <v>#N/A</v>
      </c>
      <c r="S649" t="e">
        <f>IF($J649&gt;MAX('Match Log'!$A$4:$A$1510),NA(),IFERROR(LOOKUP(2,1/(('Match Log'!$D$4:$D$1510=$S$24)*('Match Log'!$A$4:$A$1510&lt;=$J649)),'Match Log'!$N$4:$N$1510),NA()))</f>
        <v>#N/A</v>
      </c>
      <c r="T649" t="e">
        <f>IF($J649&gt;MAX('Match Log'!$A$4:$A$1510),NA(),IFERROR(LOOKUP(2,1/(('Match Log'!$D$4:$D$1510=$T$24)*('Match Log'!$A$4:$A$1510&lt;=$J649)),'Match Log'!$N$4:$N$1510),NA()))</f>
        <v>#N/A</v>
      </c>
      <c r="U649" t="e">
        <f>IF($J649&gt;MAX('Match Log'!$A$4:$A$1510),NA(),IFERROR(LOOKUP(2,1/(('Match Log'!$D$4:$D$1510=$U$24)*('Match Log'!$A$4:$A$1510&lt;=$J649)),'Match Log'!$N$4:$N$1510),NA()))</f>
        <v>#N/A</v>
      </c>
      <c r="V649" t="e">
        <f>IF($J649&gt;MAX('Match Log'!$A$4:$A$1510),NA(),IFERROR(LOOKUP(2,1/(('Match Log'!$D$4:$D$1510=$V$24)*('Match Log'!$A$4:$A$1510&lt;=$J649)),'Match Log'!$N$4:$N$1510),NA()))</f>
        <v>#N/A</v>
      </c>
      <c r="W649" t="e">
        <f>IF($J649&gt;MAX('Match Log'!$A$4:$A$1510),NA(),IFERROR(LOOKUP(2,1/(('Match Log'!$D$4:$D$1510=$W$24)*('Match Log'!$A$4:$A$1510&lt;=$J649)),'Match Log'!$N$4:$N$1510),NA()))</f>
        <v>#N/A</v>
      </c>
      <c r="X649" t="e">
        <f>IF($J649&gt;MAX('Match Log'!$A$4:$A$1510),NA(),IFERROR(LOOKUP(2,1/(('Match Log'!$D$4:$D$1510=$X$24)*('Match Log'!$A$4:$A$1510&lt;=$J649)),'Match Log'!$N$4:$N$1510),NA()))</f>
        <v>#N/A</v>
      </c>
      <c r="Y649" t="str">
        <f t="shared" ca="1" si="37"/>
        <v/>
      </c>
    </row>
    <row r="650" spans="1:25" x14ac:dyDescent="0.2">
      <c r="A650">
        <v>626</v>
      </c>
      <c r="B650" t="str">
        <f>IFERROR(INDEX('Match Log'!$B$4:$B$1510,MATCH($A650,'Match Log'!$A$4:$A$1510,0)),"")</f>
        <v/>
      </c>
      <c r="C650" t="str">
        <f>IFERROR(INDEX('Match Log'!$C$4:$C$1510,MATCH($A650,'Match Log'!$A$4:$A$1510,0)),"")</f>
        <v/>
      </c>
      <c r="D650" t="str">
        <f t="array" ref="D650">IFERROR(_xlfn.TEXTJOIN(" + ",TRUE(),IF(('Match Log'!$A$4:$A$1510=$A650)*('Match Log'!$E$4:$E$1510="Win"),'Match Log'!$D$4:$D$1510,"")),IFERROR(LOOKUP(2,1/(('Match Log'!$A$4:$A$1510=$A650)*('Match Log'!$E$4:$E$1510="Win")),'Match Log'!$D$4:$D$1510),""))</f>
        <v/>
      </c>
      <c r="E650" t="str">
        <f>IFERROR(INDEX('Match Log'!$F$4:$F$1510,MATCH($A650,'Match Log'!$A$4:$A$1510,0)),"")</f>
        <v/>
      </c>
      <c r="F650">
        <f>IFERROR(SUMIFS('Match Log'!$I$4:$I$1510,'Match Log'!$A$4:$A$1510,$A650,'Match Log'!$E$4:$E$1510,"Win"),"")</f>
        <v>0</v>
      </c>
      <c r="G650" t="str">
        <f t="shared" si="35"/>
        <v/>
      </c>
      <c r="H650" t="str">
        <f t="array" ref="H650">IFERROR(IF(COUNTIFS('Match Log'!$A$4:$A$1510,$A650,'Match Log'!$E$4:$E$1510,"Win")&gt;1,_xlfn.TEXTJOIN(" + ",TRUE(),IF(('Match Log'!$A$4:$A$1510=$A650)*('Match Log'!$E$4:$E$1510="Loss"),'Match Log'!$D$4:$D$1510,"")),IF($E650=2,LOOKUP(2,1/(('Match Log'!$A$4:$A$1510=$A650)*('Match Log'!$E$4:$E$1510="Loss")),'Match Log'!$D$4:$D$1510),"the field")),"")</f>
        <v>the field</v>
      </c>
      <c r="I650" t="str">
        <f t="shared" si="36"/>
        <v/>
      </c>
      <c r="J650">
        <v>626</v>
      </c>
      <c r="K650" t="e">
        <f>IF($J650&gt;MAX('Match Log'!$A$4:$A$1510),NA(),IFERROR(LOOKUP(2,1/(('Match Log'!$D$4:$D$1510=$K$24)*('Match Log'!$A$4:$A$1510&lt;=$J650)),'Match Log'!$N$4:$N$1510),NA()))</f>
        <v>#N/A</v>
      </c>
      <c r="L650" t="e">
        <f>IF($J650&gt;MAX('Match Log'!$A$4:$A$1510),NA(),IFERROR(LOOKUP(2,1/(('Match Log'!$D$4:$D$1510=$L$24)*('Match Log'!$A$4:$A$1510&lt;=$J650)),'Match Log'!$N$4:$N$1510),NA()))</f>
        <v>#N/A</v>
      </c>
      <c r="M650" t="e">
        <f>IF($J650&gt;MAX('Match Log'!$A$4:$A$1510),NA(),IFERROR(LOOKUP(2,1/(('Match Log'!$D$4:$D$1510=$M$24)*('Match Log'!$A$4:$A$1510&lt;=$J650)),'Match Log'!$N$4:$N$1510),NA()))</f>
        <v>#N/A</v>
      </c>
      <c r="N650" t="e">
        <f>IF($J650&gt;MAX('Match Log'!$A$4:$A$1510),NA(),IFERROR(LOOKUP(2,1/(('Match Log'!$D$4:$D$1510=$N$24)*('Match Log'!$A$4:$A$1510&lt;=$J650)),'Match Log'!$N$4:$N$1510),NA()))</f>
        <v>#N/A</v>
      </c>
      <c r="O650" t="e">
        <f>IF($J650&gt;MAX('Match Log'!$A$4:$A$1510),NA(),IFERROR(LOOKUP(2,1/(('Match Log'!$D$4:$D$1510=$O$24)*('Match Log'!$A$4:$A$1510&lt;=$J650)),'Match Log'!$N$4:$N$1510),NA()))</f>
        <v>#N/A</v>
      </c>
      <c r="P650" t="e">
        <f>IF($J650&gt;MAX('Match Log'!$A$4:$A$1510),NA(),IFERROR(LOOKUP(2,1/(('Match Log'!$D$4:$D$1510=$P$24)*('Match Log'!$A$4:$A$1510&lt;=$J650)),'Match Log'!$N$4:$N$1510),NA()))</f>
        <v>#N/A</v>
      </c>
      <c r="Q650" t="e">
        <f>IF($J650&gt;MAX('Match Log'!$A$4:$A$1510),NA(),IFERROR(LOOKUP(2,1/(('Match Log'!$D$4:$D$1510=$Q$24)*('Match Log'!$A$4:$A$1510&lt;=$J650)),'Match Log'!$N$4:$N$1510),NA()))</f>
        <v>#N/A</v>
      </c>
      <c r="R650" t="e">
        <f>IF($J650&gt;MAX('Match Log'!$A$4:$A$1510),NA(),IFERROR(LOOKUP(2,1/(('Match Log'!$D$4:$D$1510=$R$24)*('Match Log'!$A$4:$A$1510&lt;=$J650)),'Match Log'!$N$4:$N$1510),NA()))</f>
        <v>#N/A</v>
      </c>
      <c r="S650" t="e">
        <f>IF($J650&gt;MAX('Match Log'!$A$4:$A$1510),NA(),IFERROR(LOOKUP(2,1/(('Match Log'!$D$4:$D$1510=$S$24)*('Match Log'!$A$4:$A$1510&lt;=$J650)),'Match Log'!$N$4:$N$1510),NA()))</f>
        <v>#N/A</v>
      </c>
      <c r="T650" t="e">
        <f>IF($J650&gt;MAX('Match Log'!$A$4:$A$1510),NA(),IFERROR(LOOKUP(2,1/(('Match Log'!$D$4:$D$1510=$T$24)*('Match Log'!$A$4:$A$1510&lt;=$J650)),'Match Log'!$N$4:$N$1510),NA()))</f>
        <v>#N/A</v>
      </c>
      <c r="U650" t="e">
        <f>IF($J650&gt;MAX('Match Log'!$A$4:$A$1510),NA(),IFERROR(LOOKUP(2,1/(('Match Log'!$D$4:$D$1510=$U$24)*('Match Log'!$A$4:$A$1510&lt;=$J650)),'Match Log'!$N$4:$N$1510),NA()))</f>
        <v>#N/A</v>
      </c>
      <c r="V650" t="e">
        <f>IF($J650&gt;MAX('Match Log'!$A$4:$A$1510),NA(),IFERROR(LOOKUP(2,1/(('Match Log'!$D$4:$D$1510=$V$24)*('Match Log'!$A$4:$A$1510&lt;=$J650)),'Match Log'!$N$4:$N$1510),NA()))</f>
        <v>#N/A</v>
      </c>
      <c r="W650" t="e">
        <f>IF($J650&gt;MAX('Match Log'!$A$4:$A$1510),NA(),IFERROR(LOOKUP(2,1/(('Match Log'!$D$4:$D$1510=$W$24)*('Match Log'!$A$4:$A$1510&lt;=$J650)),'Match Log'!$N$4:$N$1510),NA()))</f>
        <v>#N/A</v>
      </c>
      <c r="X650" t="e">
        <f>IF($J650&gt;MAX('Match Log'!$A$4:$A$1510),NA(),IFERROR(LOOKUP(2,1/(('Match Log'!$D$4:$D$1510=$X$24)*('Match Log'!$A$4:$A$1510&lt;=$J650)),'Match Log'!$N$4:$N$1510),NA()))</f>
        <v>#N/A</v>
      </c>
      <c r="Y650" t="str">
        <f t="shared" ca="1" si="37"/>
        <v/>
      </c>
    </row>
    <row r="651" spans="1:25" x14ac:dyDescent="0.2">
      <c r="A651">
        <v>627</v>
      </c>
      <c r="B651" t="str">
        <f>IFERROR(INDEX('Match Log'!$B$4:$B$1510,MATCH($A651,'Match Log'!$A$4:$A$1510,0)),"")</f>
        <v/>
      </c>
      <c r="C651" t="str">
        <f>IFERROR(INDEX('Match Log'!$C$4:$C$1510,MATCH($A651,'Match Log'!$A$4:$A$1510,0)),"")</f>
        <v/>
      </c>
      <c r="D651" t="str">
        <f t="array" ref="D651">IFERROR(_xlfn.TEXTJOIN(" + ",TRUE(),IF(('Match Log'!$A$4:$A$1510=$A651)*('Match Log'!$E$4:$E$1510="Win"),'Match Log'!$D$4:$D$1510,"")),IFERROR(LOOKUP(2,1/(('Match Log'!$A$4:$A$1510=$A651)*('Match Log'!$E$4:$E$1510="Win")),'Match Log'!$D$4:$D$1510),""))</f>
        <v/>
      </c>
      <c r="E651" t="str">
        <f>IFERROR(INDEX('Match Log'!$F$4:$F$1510,MATCH($A651,'Match Log'!$A$4:$A$1510,0)),"")</f>
        <v/>
      </c>
      <c r="F651">
        <f>IFERROR(SUMIFS('Match Log'!$I$4:$I$1510,'Match Log'!$A$4:$A$1510,$A651,'Match Log'!$E$4:$E$1510,"Win"),"")</f>
        <v>0</v>
      </c>
      <c r="G651" t="str">
        <f t="shared" si="35"/>
        <v/>
      </c>
      <c r="H651" t="str">
        <f t="array" ref="H651">IFERROR(IF(COUNTIFS('Match Log'!$A$4:$A$1510,$A651,'Match Log'!$E$4:$E$1510,"Win")&gt;1,_xlfn.TEXTJOIN(" + ",TRUE(),IF(('Match Log'!$A$4:$A$1510=$A651)*('Match Log'!$E$4:$E$1510="Loss"),'Match Log'!$D$4:$D$1510,"")),IF($E651=2,LOOKUP(2,1/(('Match Log'!$A$4:$A$1510=$A651)*('Match Log'!$E$4:$E$1510="Loss")),'Match Log'!$D$4:$D$1510),"the field")),"")</f>
        <v>the field</v>
      </c>
      <c r="I651" t="str">
        <f t="shared" si="36"/>
        <v/>
      </c>
      <c r="J651">
        <v>627</v>
      </c>
      <c r="K651" t="e">
        <f>IF($J651&gt;MAX('Match Log'!$A$4:$A$1510),NA(),IFERROR(LOOKUP(2,1/(('Match Log'!$D$4:$D$1510=$K$24)*('Match Log'!$A$4:$A$1510&lt;=$J651)),'Match Log'!$N$4:$N$1510),NA()))</f>
        <v>#N/A</v>
      </c>
      <c r="L651" t="e">
        <f>IF($J651&gt;MAX('Match Log'!$A$4:$A$1510),NA(),IFERROR(LOOKUP(2,1/(('Match Log'!$D$4:$D$1510=$L$24)*('Match Log'!$A$4:$A$1510&lt;=$J651)),'Match Log'!$N$4:$N$1510),NA()))</f>
        <v>#N/A</v>
      </c>
      <c r="M651" t="e">
        <f>IF($J651&gt;MAX('Match Log'!$A$4:$A$1510),NA(),IFERROR(LOOKUP(2,1/(('Match Log'!$D$4:$D$1510=$M$24)*('Match Log'!$A$4:$A$1510&lt;=$J651)),'Match Log'!$N$4:$N$1510),NA()))</f>
        <v>#N/A</v>
      </c>
      <c r="N651" t="e">
        <f>IF($J651&gt;MAX('Match Log'!$A$4:$A$1510),NA(),IFERROR(LOOKUP(2,1/(('Match Log'!$D$4:$D$1510=$N$24)*('Match Log'!$A$4:$A$1510&lt;=$J651)),'Match Log'!$N$4:$N$1510),NA()))</f>
        <v>#N/A</v>
      </c>
      <c r="O651" t="e">
        <f>IF($J651&gt;MAX('Match Log'!$A$4:$A$1510),NA(),IFERROR(LOOKUP(2,1/(('Match Log'!$D$4:$D$1510=$O$24)*('Match Log'!$A$4:$A$1510&lt;=$J651)),'Match Log'!$N$4:$N$1510),NA()))</f>
        <v>#N/A</v>
      </c>
      <c r="P651" t="e">
        <f>IF($J651&gt;MAX('Match Log'!$A$4:$A$1510),NA(),IFERROR(LOOKUP(2,1/(('Match Log'!$D$4:$D$1510=$P$24)*('Match Log'!$A$4:$A$1510&lt;=$J651)),'Match Log'!$N$4:$N$1510),NA()))</f>
        <v>#N/A</v>
      </c>
      <c r="Q651" t="e">
        <f>IF($J651&gt;MAX('Match Log'!$A$4:$A$1510),NA(),IFERROR(LOOKUP(2,1/(('Match Log'!$D$4:$D$1510=$Q$24)*('Match Log'!$A$4:$A$1510&lt;=$J651)),'Match Log'!$N$4:$N$1510),NA()))</f>
        <v>#N/A</v>
      </c>
      <c r="R651" t="e">
        <f>IF($J651&gt;MAX('Match Log'!$A$4:$A$1510),NA(),IFERROR(LOOKUP(2,1/(('Match Log'!$D$4:$D$1510=$R$24)*('Match Log'!$A$4:$A$1510&lt;=$J651)),'Match Log'!$N$4:$N$1510),NA()))</f>
        <v>#N/A</v>
      </c>
      <c r="S651" t="e">
        <f>IF($J651&gt;MAX('Match Log'!$A$4:$A$1510),NA(),IFERROR(LOOKUP(2,1/(('Match Log'!$D$4:$D$1510=$S$24)*('Match Log'!$A$4:$A$1510&lt;=$J651)),'Match Log'!$N$4:$N$1510),NA()))</f>
        <v>#N/A</v>
      </c>
      <c r="T651" t="e">
        <f>IF($J651&gt;MAX('Match Log'!$A$4:$A$1510),NA(),IFERROR(LOOKUP(2,1/(('Match Log'!$D$4:$D$1510=$T$24)*('Match Log'!$A$4:$A$1510&lt;=$J651)),'Match Log'!$N$4:$N$1510),NA()))</f>
        <v>#N/A</v>
      </c>
      <c r="U651" t="e">
        <f>IF($J651&gt;MAX('Match Log'!$A$4:$A$1510),NA(),IFERROR(LOOKUP(2,1/(('Match Log'!$D$4:$D$1510=$U$24)*('Match Log'!$A$4:$A$1510&lt;=$J651)),'Match Log'!$N$4:$N$1510),NA()))</f>
        <v>#N/A</v>
      </c>
      <c r="V651" t="e">
        <f>IF($J651&gt;MAX('Match Log'!$A$4:$A$1510),NA(),IFERROR(LOOKUP(2,1/(('Match Log'!$D$4:$D$1510=$V$24)*('Match Log'!$A$4:$A$1510&lt;=$J651)),'Match Log'!$N$4:$N$1510),NA()))</f>
        <v>#N/A</v>
      </c>
      <c r="W651" t="e">
        <f>IF($J651&gt;MAX('Match Log'!$A$4:$A$1510),NA(),IFERROR(LOOKUP(2,1/(('Match Log'!$D$4:$D$1510=$W$24)*('Match Log'!$A$4:$A$1510&lt;=$J651)),'Match Log'!$N$4:$N$1510),NA()))</f>
        <v>#N/A</v>
      </c>
      <c r="X651" t="e">
        <f>IF($J651&gt;MAX('Match Log'!$A$4:$A$1510),NA(),IFERROR(LOOKUP(2,1/(('Match Log'!$D$4:$D$1510=$X$24)*('Match Log'!$A$4:$A$1510&lt;=$J651)),'Match Log'!$N$4:$N$1510),NA()))</f>
        <v>#N/A</v>
      </c>
      <c r="Y651" t="str">
        <f t="shared" ca="1" si="37"/>
        <v/>
      </c>
    </row>
    <row r="652" spans="1:25" x14ac:dyDescent="0.2">
      <c r="A652">
        <v>628</v>
      </c>
      <c r="B652" t="str">
        <f>IFERROR(INDEX('Match Log'!$B$4:$B$1510,MATCH($A652,'Match Log'!$A$4:$A$1510,0)),"")</f>
        <v/>
      </c>
      <c r="C652" t="str">
        <f>IFERROR(INDEX('Match Log'!$C$4:$C$1510,MATCH($A652,'Match Log'!$A$4:$A$1510,0)),"")</f>
        <v/>
      </c>
      <c r="D652" t="str">
        <f t="array" ref="D652">IFERROR(_xlfn.TEXTJOIN(" + ",TRUE(),IF(('Match Log'!$A$4:$A$1510=$A652)*('Match Log'!$E$4:$E$1510="Win"),'Match Log'!$D$4:$D$1510,"")),IFERROR(LOOKUP(2,1/(('Match Log'!$A$4:$A$1510=$A652)*('Match Log'!$E$4:$E$1510="Win")),'Match Log'!$D$4:$D$1510),""))</f>
        <v/>
      </c>
      <c r="E652" t="str">
        <f>IFERROR(INDEX('Match Log'!$F$4:$F$1510,MATCH($A652,'Match Log'!$A$4:$A$1510,0)),"")</f>
        <v/>
      </c>
      <c r="F652">
        <f>IFERROR(SUMIFS('Match Log'!$I$4:$I$1510,'Match Log'!$A$4:$A$1510,$A652,'Match Log'!$E$4:$E$1510,"Win"),"")</f>
        <v>0</v>
      </c>
      <c r="G652" t="str">
        <f t="shared" si="35"/>
        <v/>
      </c>
      <c r="H652" t="str">
        <f t="array" ref="H652">IFERROR(IF(COUNTIFS('Match Log'!$A$4:$A$1510,$A652,'Match Log'!$E$4:$E$1510,"Win")&gt;1,_xlfn.TEXTJOIN(" + ",TRUE(),IF(('Match Log'!$A$4:$A$1510=$A652)*('Match Log'!$E$4:$E$1510="Loss"),'Match Log'!$D$4:$D$1510,"")),IF($E652=2,LOOKUP(2,1/(('Match Log'!$A$4:$A$1510=$A652)*('Match Log'!$E$4:$E$1510="Loss")),'Match Log'!$D$4:$D$1510),"the field")),"")</f>
        <v>the field</v>
      </c>
      <c r="I652" t="str">
        <f t="shared" si="36"/>
        <v/>
      </c>
      <c r="J652">
        <v>628</v>
      </c>
      <c r="K652" t="e">
        <f>IF($J652&gt;MAX('Match Log'!$A$4:$A$1510),NA(),IFERROR(LOOKUP(2,1/(('Match Log'!$D$4:$D$1510=$K$24)*('Match Log'!$A$4:$A$1510&lt;=$J652)),'Match Log'!$N$4:$N$1510),NA()))</f>
        <v>#N/A</v>
      </c>
      <c r="L652" t="e">
        <f>IF($J652&gt;MAX('Match Log'!$A$4:$A$1510),NA(),IFERROR(LOOKUP(2,1/(('Match Log'!$D$4:$D$1510=$L$24)*('Match Log'!$A$4:$A$1510&lt;=$J652)),'Match Log'!$N$4:$N$1510),NA()))</f>
        <v>#N/A</v>
      </c>
      <c r="M652" t="e">
        <f>IF($J652&gt;MAX('Match Log'!$A$4:$A$1510),NA(),IFERROR(LOOKUP(2,1/(('Match Log'!$D$4:$D$1510=$M$24)*('Match Log'!$A$4:$A$1510&lt;=$J652)),'Match Log'!$N$4:$N$1510),NA()))</f>
        <v>#N/A</v>
      </c>
      <c r="N652" t="e">
        <f>IF($J652&gt;MAX('Match Log'!$A$4:$A$1510),NA(),IFERROR(LOOKUP(2,1/(('Match Log'!$D$4:$D$1510=$N$24)*('Match Log'!$A$4:$A$1510&lt;=$J652)),'Match Log'!$N$4:$N$1510),NA()))</f>
        <v>#N/A</v>
      </c>
      <c r="O652" t="e">
        <f>IF($J652&gt;MAX('Match Log'!$A$4:$A$1510),NA(),IFERROR(LOOKUP(2,1/(('Match Log'!$D$4:$D$1510=$O$24)*('Match Log'!$A$4:$A$1510&lt;=$J652)),'Match Log'!$N$4:$N$1510),NA()))</f>
        <v>#N/A</v>
      </c>
      <c r="P652" t="e">
        <f>IF($J652&gt;MAX('Match Log'!$A$4:$A$1510),NA(),IFERROR(LOOKUP(2,1/(('Match Log'!$D$4:$D$1510=$P$24)*('Match Log'!$A$4:$A$1510&lt;=$J652)),'Match Log'!$N$4:$N$1510),NA()))</f>
        <v>#N/A</v>
      </c>
      <c r="Q652" t="e">
        <f>IF($J652&gt;MAX('Match Log'!$A$4:$A$1510),NA(),IFERROR(LOOKUP(2,1/(('Match Log'!$D$4:$D$1510=$Q$24)*('Match Log'!$A$4:$A$1510&lt;=$J652)),'Match Log'!$N$4:$N$1510),NA()))</f>
        <v>#N/A</v>
      </c>
      <c r="R652" t="e">
        <f>IF($J652&gt;MAX('Match Log'!$A$4:$A$1510),NA(),IFERROR(LOOKUP(2,1/(('Match Log'!$D$4:$D$1510=$R$24)*('Match Log'!$A$4:$A$1510&lt;=$J652)),'Match Log'!$N$4:$N$1510),NA()))</f>
        <v>#N/A</v>
      </c>
      <c r="S652" t="e">
        <f>IF($J652&gt;MAX('Match Log'!$A$4:$A$1510),NA(),IFERROR(LOOKUP(2,1/(('Match Log'!$D$4:$D$1510=$S$24)*('Match Log'!$A$4:$A$1510&lt;=$J652)),'Match Log'!$N$4:$N$1510),NA()))</f>
        <v>#N/A</v>
      </c>
      <c r="T652" t="e">
        <f>IF($J652&gt;MAX('Match Log'!$A$4:$A$1510),NA(),IFERROR(LOOKUP(2,1/(('Match Log'!$D$4:$D$1510=$T$24)*('Match Log'!$A$4:$A$1510&lt;=$J652)),'Match Log'!$N$4:$N$1510),NA()))</f>
        <v>#N/A</v>
      </c>
      <c r="U652" t="e">
        <f>IF($J652&gt;MAX('Match Log'!$A$4:$A$1510),NA(),IFERROR(LOOKUP(2,1/(('Match Log'!$D$4:$D$1510=$U$24)*('Match Log'!$A$4:$A$1510&lt;=$J652)),'Match Log'!$N$4:$N$1510),NA()))</f>
        <v>#N/A</v>
      </c>
      <c r="V652" t="e">
        <f>IF($J652&gt;MAX('Match Log'!$A$4:$A$1510),NA(),IFERROR(LOOKUP(2,1/(('Match Log'!$D$4:$D$1510=$V$24)*('Match Log'!$A$4:$A$1510&lt;=$J652)),'Match Log'!$N$4:$N$1510),NA()))</f>
        <v>#N/A</v>
      </c>
      <c r="W652" t="e">
        <f>IF($J652&gt;MAX('Match Log'!$A$4:$A$1510),NA(),IFERROR(LOOKUP(2,1/(('Match Log'!$D$4:$D$1510=$W$24)*('Match Log'!$A$4:$A$1510&lt;=$J652)),'Match Log'!$N$4:$N$1510),NA()))</f>
        <v>#N/A</v>
      </c>
      <c r="X652" t="e">
        <f>IF($J652&gt;MAX('Match Log'!$A$4:$A$1510),NA(),IFERROR(LOOKUP(2,1/(('Match Log'!$D$4:$D$1510=$X$24)*('Match Log'!$A$4:$A$1510&lt;=$J652)),'Match Log'!$N$4:$N$1510),NA()))</f>
        <v>#N/A</v>
      </c>
      <c r="Y652" t="str">
        <f t="shared" ca="1" si="37"/>
        <v/>
      </c>
    </row>
    <row r="653" spans="1:25" x14ac:dyDescent="0.2">
      <c r="A653">
        <v>629</v>
      </c>
      <c r="B653" t="str">
        <f>IFERROR(INDEX('Match Log'!$B$4:$B$1510,MATCH($A653,'Match Log'!$A$4:$A$1510,0)),"")</f>
        <v/>
      </c>
      <c r="C653" t="str">
        <f>IFERROR(INDEX('Match Log'!$C$4:$C$1510,MATCH($A653,'Match Log'!$A$4:$A$1510,0)),"")</f>
        <v/>
      </c>
      <c r="D653" t="str">
        <f t="array" ref="D653">IFERROR(_xlfn.TEXTJOIN(" + ",TRUE(),IF(('Match Log'!$A$4:$A$1510=$A653)*('Match Log'!$E$4:$E$1510="Win"),'Match Log'!$D$4:$D$1510,"")),IFERROR(LOOKUP(2,1/(('Match Log'!$A$4:$A$1510=$A653)*('Match Log'!$E$4:$E$1510="Win")),'Match Log'!$D$4:$D$1510),""))</f>
        <v/>
      </c>
      <c r="E653" t="str">
        <f>IFERROR(INDEX('Match Log'!$F$4:$F$1510,MATCH($A653,'Match Log'!$A$4:$A$1510,0)),"")</f>
        <v/>
      </c>
      <c r="F653">
        <f>IFERROR(SUMIFS('Match Log'!$I$4:$I$1510,'Match Log'!$A$4:$A$1510,$A653,'Match Log'!$E$4:$E$1510,"Win"),"")</f>
        <v>0</v>
      </c>
      <c r="G653" t="str">
        <f t="shared" si="35"/>
        <v/>
      </c>
      <c r="H653" t="str">
        <f t="array" ref="H653">IFERROR(IF(COUNTIFS('Match Log'!$A$4:$A$1510,$A653,'Match Log'!$E$4:$E$1510,"Win")&gt;1,_xlfn.TEXTJOIN(" + ",TRUE(),IF(('Match Log'!$A$4:$A$1510=$A653)*('Match Log'!$E$4:$E$1510="Loss"),'Match Log'!$D$4:$D$1510,"")),IF($E653=2,LOOKUP(2,1/(('Match Log'!$A$4:$A$1510=$A653)*('Match Log'!$E$4:$E$1510="Loss")),'Match Log'!$D$4:$D$1510),"the field")),"")</f>
        <v>the field</v>
      </c>
      <c r="I653" t="str">
        <f t="shared" si="36"/>
        <v/>
      </c>
      <c r="J653">
        <v>629</v>
      </c>
      <c r="K653" t="e">
        <f>IF($J653&gt;MAX('Match Log'!$A$4:$A$1510),NA(),IFERROR(LOOKUP(2,1/(('Match Log'!$D$4:$D$1510=$K$24)*('Match Log'!$A$4:$A$1510&lt;=$J653)),'Match Log'!$N$4:$N$1510),NA()))</f>
        <v>#N/A</v>
      </c>
      <c r="L653" t="e">
        <f>IF($J653&gt;MAX('Match Log'!$A$4:$A$1510),NA(),IFERROR(LOOKUP(2,1/(('Match Log'!$D$4:$D$1510=$L$24)*('Match Log'!$A$4:$A$1510&lt;=$J653)),'Match Log'!$N$4:$N$1510),NA()))</f>
        <v>#N/A</v>
      </c>
      <c r="M653" t="e">
        <f>IF($J653&gt;MAX('Match Log'!$A$4:$A$1510),NA(),IFERROR(LOOKUP(2,1/(('Match Log'!$D$4:$D$1510=$M$24)*('Match Log'!$A$4:$A$1510&lt;=$J653)),'Match Log'!$N$4:$N$1510),NA()))</f>
        <v>#N/A</v>
      </c>
      <c r="N653" t="e">
        <f>IF($J653&gt;MAX('Match Log'!$A$4:$A$1510),NA(),IFERROR(LOOKUP(2,1/(('Match Log'!$D$4:$D$1510=$N$24)*('Match Log'!$A$4:$A$1510&lt;=$J653)),'Match Log'!$N$4:$N$1510),NA()))</f>
        <v>#N/A</v>
      </c>
      <c r="O653" t="e">
        <f>IF($J653&gt;MAX('Match Log'!$A$4:$A$1510),NA(),IFERROR(LOOKUP(2,1/(('Match Log'!$D$4:$D$1510=$O$24)*('Match Log'!$A$4:$A$1510&lt;=$J653)),'Match Log'!$N$4:$N$1510),NA()))</f>
        <v>#N/A</v>
      </c>
      <c r="P653" t="e">
        <f>IF($J653&gt;MAX('Match Log'!$A$4:$A$1510),NA(),IFERROR(LOOKUP(2,1/(('Match Log'!$D$4:$D$1510=$P$24)*('Match Log'!$A$4:$A$1510&lt;=$J653)),'Match Log'!$N$4:$N$1510),NA()))</f>
        <v>#N/A</v>
      </c>
      <c r="Q653" t="e">
        <f>IF($J653&gt;MAX('Match Log'!$A$4:$A$1510),NA(),IFERROR(LOOKUP(2,1/(('Match Log'!$D$4:$D$1510=$Q$24)*('Match Log'!$A$4:$A$1510&lt;=$J653)),'Match Log'!$N$4:$N$1510),NA()))</f>
        <v>#N/A</v>
      </c>
      <c r="R653" t="e">
        <f>IF($J653&gt;MAX('Match Log'!$A$4:$A$1510),NA(),IFERROR(LOOKUP(2,1/(('Match Log'!$D$4:$D$1510=$R$24)*('Match Log'!$A$4:$A$1510&lt;=$J653)),'Match Log'!$N$4:$N$1510),NA()))</f>
        <v>#N/A</v>
      </c>
      <c r="S653" t="e">
        <f>IF($J653&gt;MAX('Match Log'!$A$4:$A$1510),NA(),IFERROR(LOOKUP(2,1/(('Match Log'!$D$4:$D$1510=$S$24)*('Match Log'!$A$4:$A$1510&lt;=$J653)),'Match Log'!$N$4:$N$1510),NA()))</f>
        <v>#N/A</v>
      </c>
      <c r="T653" t="e">
        <f>IF($J653&gt;MAX('Match Log'!$A$4:$A$1510),NA(),IFERROR(LOOKUP(2,1/(('Match Log'!$D$4:$D$1510=$T$24)*('Match Log'!$A$4:$A$1510&lt;=$J653)),'Match Log'!$N$4:$N$1510),NA()))</f>
        <v>#N/A</v>
      </c>
      <c r="U653" t="e">
        <f>IF($J653&gt;MAX('Match Log'!$A$4:$A$1510),NA(),IFERROR(LOOKUP(2,1/(('Match Log'!$D$4:$D$1510=$U$24)*('Match Log'!$A$4:$A$1510&lt;=$J653)),'Match Log'!$N$4:$N$1510),NA()))</f>
        <v>#N/A</v>
      </c>
      <c r="V653" t="e">
        <f>IF($J653&gt;MAX('Match Log'!$A$4:$A$1510),NA(),IFERROR(LOOKUP(2,1/(('Match Log'!$D$4:$D$1510=$V$24)*('Match Log'!$A$4:$A$1510&lt;=$J653)),'Match Log'!$N$4:$N$1510),NA()))</f>
        <v>#N/A</v>
      </c>
      <c r="W653" t="e">
        <f>IF($J653&gt;MAX('Match Log'!$A$4:$A$1510),NA(),IFERROR(LOOKUP(2,1/(('Match Log'!$D$4:$D$1510=$W$24)*('Match Log'!$A$4:$A$1510&lt;=$J653)),'Match Log'!$N$4:$N$1510),NA()))</f>
        <v>#N/A</v>
      </c>
      <c r="X653" t="e">
        <f>IF($J653&gt;MAX('Match Log'!$A$4:$A$1510),NA(),IFERROR(LOOKUP(2,1/(('Match Log'!$D$4:$D$1510=$X$24)*('Match Log'!$A$4:$A$1510&lt;=$J653)),'Match Log'!$N$4:$N$1510),NA()))</f>
        <v>#N/A</v>
      </c>
      <c r="Y653" t="str">
        <f t="shared" ca="1" si="37"/>
        <v/>
      </c>
    </row>
    <row r="654" spans="1:25" x14ac:dyDescent="0.2">
      <c r="A654">
        <v>630</v>
      </c>
      <c r="B654" t="str">
        <f>IFERROR(INDEX('Match Log'!$B$4:$B$1510,MATCH($A654,'Match Log'!$A$4:$A$1510,0)),"")</f>
        <v/>
      </c>
      <c r="C654" t="str">
        <f>IFERROR(INDEX('Match Log'!$C$4:$C$1510,MATCH($A654,'Match Log'!$A$4:$A$1510,0)),"")</f>
        <v/>
      </c>
      <c r="D654" t="str">
        <f t="array" ref="D654">IFERROR(_xlfn.TEXTJOIN(" + ",TRUE(),IF(('Match Log'!$A$4:$A$1510=$A654)*('Match Log'!$E$4:$E$1510="Win"),'Match Log'!$D$4:$D$1510,"")),IFERROR(LOOKUP(2,1/(('Match Log'!$A$4:$A$1510=$A654)*('Match Log'!$E$4:$E$1510="Win")),'Match Log'!$D$4:$D$1510),""))</f>
        <v/>
      </c>
      <c r="E654" t="str">
        <f>IFERROR(INDEX('Match Log'!$F$4:$F$1510,MATCH($A654,'Match Log'!$A$4:$A$1510,0)),"")</f>
        <v/>
      </c>
      <c r="F654">
        <f>IFERROR(SUMIFS('Match Log'!$I$4:$I$1510,'Match Log'!$A$4:$A$1510,$A654,'Match Log'!$E$4:$E$1510,"Win"),"")</f>
        <v>0</v>
      </c>
      <c r="G654" t="str">
        <f t="shared" si="35"/>
        <v/>
      </c>
      <c r="H654" t="str">
        <f t="array" ref="H654">IFERROR(IF(COUNTIFS('Match Log'!$A$4:$A$1510,$A654,'Match Log'!$E$4:$E$1510,"Win")&gt;1,_xlfn.TEXTJOIN(" + ",TRUE(),IF(('Match Log'!$A$4:$A$1510=$A654)*('Match Log'!$E$4:$E$1510="Loss"),'Match Log'!$D$4:$D$1510,"")),IF($E654=2,LOOKUP(2,1/(('Match Log'!$A$4:$A$1510=$A654)*('Match Log'!$E$4:$E$1510="Loss")),'Match Log'!$D$4:$D$1510),"the field")),"")</f>
        <v>the field</v>
      </c>
      <c r="I654" t="str">
        <f t="shared" si="36"/>
        <v/>
      </c>
      <c r="J654">
        <v>630</v>
      </c>
      <c r="K654" t="e">
        <f>IF($J654&gt;MAX('Match Log'!$A$4:$A$1510),NA(),IFERROR(LOOKUP(2,1/(('Match Log'!$D$4:$D$1510=$K$24)*('Match Log'!$A$4:$A$1510&lt;=$J654)),'Match Log'!$N$4:$N$1510),NA()))</f>
        <v>#N/A</v>
      </c>
      <c r="L654" t="e">
        <f>IF($J654&gt;MAX('Match Log'!$A$4:$A$1510),NA(),IFERROR(LOOKUP(2,1/(('Match Log'!$D$4:$D$1510=$L$24)*('Match Log'!$A$4:$A$1510&lt;=$J654)),'Match Log'!$N$4:$N$1510),NA()))</f>
        <v>#N/A</v>
      </c>
      <c r="M654" t="e">
        <f>IF($J654&gt;MAX('Match Log'!$A$4:$A$1510),NA(),IFERROR(LOOKUP(2,1/(('Match Log'!$D$4:$D$1510=$M$24)*('Match Log'!$A$4:$A$1510&lt;=$J654)),'Match Log'!$N$4:$N$1510),NA()))</f>
        <v>#N/A</v>
      </c>
      <c r="N654" t="e">
        <f>IF($J654&gt;MAX('Match Log'!$A$4:$A$1510),NA(),IFERROR(LOOKUP(2,1/(('Match Log'!$D$4:$D$1510=$N$24)*('Match Log'!$A$4:$A$1510&lt;=$J654)),'Match Log'!$N$4:$N$1510),NA()))</f>
        <v>#N/A</v>
      </c>
      <c r="O654" t="e">
        <f>IF($J654&gt;MAX('Match Log'!$A$4:$A$1510),NA(),IFERROR(LOOKUP(2,1/(('Match Log'!$D$4:$D$1510=$O$24)*('Match Log'!$A$4:$A$1510&lt;=$J654)),'Match Log'!$N$4:$N$1510),NA()))</f>
        <v>#N/A</v>
      </c>
      <c r="P654" t="e">
        <f>IF($J654&gt;MAX('Match Log'!$A$4:$A$1510),NA(),IFERROR(LOOKUP(2,1/(('Match Log'!$D$4:$D$1510=$P$24)*('Match Log'!$A$4:$A$1510&lt;=$J654)),'Match Log'!$N$4:$N$1510),NA()))</f>
        <v>#N/A</v>
      </c>
      <c r="Q654" t="e">
        <f>IF($J654&gt;MAX('Match Log'!$A$4:$A$1510),NA(),IFERROR(LOOKUP(2,1/(('Match Log'!$D$4:$D$1510=$Q$24)*('Match Log'!$A$4:$A$1510&lt;=$J654)),'Match Log'!$N$4:$N$1510),NA()))</f>
        <v>#N/A</v>
      </c>
      <c r="R654" t="e">
        <f>IF($J654&gt;MAX('Match Log'!$A$4:$A$1510),NA(),IFERROR(LOOKUP(2,1/(('Match Log'!$D$4:$D$1510=$R$24)*('Match Log'!$A$4:$A$1510&lt;=$J654)),'Match Log'!$N$4:$N$1510),NA()))</f>
        <v>#N/A</v>
      </c>
      <c r="S654" t="e">
        <f>IF($J654&gt;MAX('Match Log'!$A$4:$A$1510),NA(),IFERROR(LOOKUP(2,1/(('Match Log'!$D$4:$D$1510=$S$24)*('Match Log'!$A$4:$A$1510&lt;=$J654)),'Match Log'!$N$4:$N$1510),NA()))</f>
        <v>#N/A</v>
      </c>
      <c r="T654" t="e">
        <f>IF($J654&gt;MAX('Match Log'!$A$4:$A$1510),NA(),IFERROR(LOOKUP(2,1/(('Match Log'!$D$4:$D$1510=$T$24)*('Match Log'!$A$4:$A$1510&lt;=$J654)),'Match Log'!$N$4:$N$1510),NA()))</f>
        <v>#N/A</v>
      </c>
      <c r="U654" t="e">
        <f>IF($J654&gt;MAX('Match Log'!$A$4:$A$1510),NA(),IFERROR(LOOKUP(2,1/(('Match Log'!$D$4:$D$1510=$U$24)*('Match Log'!$A$4:$A$1510&lt;=$J654)),'Match Log'!$N$4:$N$1510),NA()))</f>
        <v>#N/A</v>
      </c>
      <c r="V654" t="e">
        <f>IF($J654&gt;MAX('Match Log'!$A$4:$A$1510),NA(),IFERROR(LOOKUP(2,1/(('Match Log'!$D$4:$D$1510=$V$24)*('Match Log'!$A$4:$A$1510&lt;=$J654)),'Match Log'!$N$4:$N$1510),NA()))</f>
        <v>#N/A</v>
      </c>
      <c r="W654" t="e">
        <f>IF($J654&gt;MAX('Match Log'!$A$4:$A$1510),NA(),IFERROR(LOOKUP(2,1/(('Match Log'!$D$4:$D$1510=$W$24)*('Match Log'!$A$4:$A$1510&lt;=$J654)),'Match Log'!$N$4:$N$1510),NA()))</f>
        <v>#N/A</v>
      </c>
      <c r="X654" t="e">
        <f>IF($J654&gt;MAX('Match Log'!$A$4:$A$1510),NA(),IFERROR(LOOKUP(2,1/(('Match Log'!$D$4:$D$1510=$X$24)*('Match Log'!$A$4:$A$1510&lt;=$J654)),'Match Log'!$N$4:$N$1510),NA()))</f>
        <v>#N/A</v>
      </c>
      <c r="Y654" t="str">
        <f t="shared" ca="1" si="37"/>
        <v/>
      </c>
    </row>
    <row r="655" spans="1:25" x14ac:dyDescent="0.2">
      <c r="A655">
        <v>631</v>
      </c>
      <c r="B655" t="str">
        <f>IFERROR(INDEX('Match Log'!$B$4:$B$1510,MATCH($A655,'Match Log'!$A$4:$A$1510,0)),"")</f>
        <v/>
      </c>
      <c r="C655" t="str">
        <f>IFERROR(INDEX('Match Log'!$C$4:$C$1510,MATCH($A655,'Match Log'!$A$4:$A$1510,0)),"")</f>
        <v/>
      </c>
      <c r="D655" t="str">
        <f t="array" ref="D655">IFERROR(_xlfn.TEXTJOIN(" + ",TRUE(),IF(('Match Log'!$A$4:$A$1510=$A655)*('Match Log'!$E$4:$E$1510="Win"),'Match Log'!$D$4:$D$1510,"")),IFERROR(LOOKUP(2,1/(('Match Log'!$A$4:$A$1510=$A655)*('Match Log'!$E$4:$E$1510="Win")),'Match Log'!$D$4:$D$1510),""))</f>
        <v/>
      </c>
      <c r="E655" t="str">
        <f>IFERROR(INDEX('Match Log'!$F$4:$F$1510,MATCH($A655,'Match Log'!$A$4:$A$1510,0)),"")</f>
        <v/>
      </c>
      <c r="F655">
        <f>IFERROR(SUMIFS('Match Log'!$I$4:$I$1510,'Match Log'!$A$4:$A$1510,$A655,'Match Log'!$E$4:$E$1510,"Win"),"")</f>
        <v>0</v>
      </c>
      <c r="G655" t="str">
        <f t="shared" si="35"/>
        <v/>
      </c>
      <c r="H655" t="str">
        <f t="array" ref="H655">IFERROR(IF(COUNTIFS('Match Log'!$A$4:$A$1510,$A655,'Match Log'!$E$4:$E$1510,"Win")&gt;1,_xlfn.TEXTJOIN(" + ",TRUE(),IF(('Match Log'!$A$4:$A$1510=$A655)*('Match Log'!$E$4:$E$1510="Loss"),'Match Log'!$D$4:$D$1510,"")),IF($E655=2,LOOKUP(2,1/(('Match Log'!$A$4:$A$1510=$A655)*('Match Log'!$E$4:$E$1510="Loss")),'Match Log'!$D$4:$D$1510),"the field")),"")</f>
        <v>the field</v>
      </c>
      <c r="I655" t="str">
        <f t="shared" si="36"/>
        <v/>
      </c>
      <c r="J655">
        <v>631</v>
      </c>
      <c r="K655" t="e">
        <f>IF($J655&gt;MAX('Match Log'!$A$4:$A$1510),NA(),IFERROR(LOOKUP(2,1/(('Match Log'!$D$4:$D$1510=$K$24)*('Match Log'!$A$4:$A$1510&lt;=$J655)),'Match Log'!$N$4:$N$1510),NA()))</f>
        <v>#N/A</v>
      </c>
      <c r="L655" t="e">
        <f>IF($J655&gt;MAX('Match Log'!$A$4:$A$1510),NA(),IFERROR(LOOKUP(2,1/(('Match Log'!$D$4:$D$1510=$L$24)*('Match Log'!$A$4:$A$1510&lt;=$J655)),'Match Log'!$N$4:$N$1510),NA()))</f>
        <v>#N/A</v>
      </c>
      <c r="M655" t="e">
        <f>IF($J655&gt;MAX('Match Log'!$A$4:$A$1510),NA(),IFERROR(LOOKUP(2,1/(('Match Log'!$D$4:$D$1510=$M$24)*('Match Log'!$A$4:$A$1510&lt;=$J655)),'Match Log'!$N$4:$N$1510),NA()))</f>
        <v>#N/A</v>
      </c>
      <c r="N655" t="e">
        <f>IF($J655&gt;MAX('Match Log'!$A$4:$A$1510),NA(),IFERROR(LOOKUP(2,1/(('Match Log'!$D$4:$D$1510=$N$24)*('Match Log'!$A$4:$A$1510&lt;=$J655)),'Match Log'!$N$4:$N$1510),NA()))</f>
        <v>#N/A</v>
      </c>
      <c r="O655" t="e">
        <f>IF($J655&gt;MAX('Match Log'!$A$4:$A$1510),NA(),IFERROR(LOOKUP(2,1/(('Match Log'!$D$4:$D$1510=$O$24)*('Match Log'!$A$4:$A$1510&lt;=$J655)),'Match Log'!$N$4:$N$1510),NA()))</f>
        <v>#N/A</v>
      </c>
      <c r="P655" t="e">
        <f>IF($J655&gt;MAX('Match Log'!$A$4:$A$1510),NA(),IFERROR(LOOKUP(2,1/(('Match Log'!$D$4:$D$1510=$P$24)*('Match Log'!$A$4:$A$1510&lt;=$J655)),'Match Log'!$N$4:$N$1510),NA()))</f>
        <v>#N/A</v>
      </c>
      <c r="Q655" t="e">
        <f>IF($J655&gt;MAX('Match Log'!$A$4:$A$1510),NA(),IFERROR(LOOKUP(2,1/(('Match Log'!$D$4:$D$1510=$Q$24)*('Match Log'!$A$4:$A$1510&lt;=$J655)),'Match Log'!$N$4:$N$1510),NA()))</f>
        <v>#N/A</v>
      </c>
      <c r="R655" t="e">
        <f>IF($J655&gt;MAX('Match Log'!$A$4:$A$1510),NA(),IFERROR(LOOKUP(2,1/(('Match Log'!$D$4:$D$1510=$R$24)*('Match Log'!$A$4:$A$1510&lt;=$J655)),'Match Log'!$N$4:$N$1510),NA()))</f>
        <v>#N/A</v>
      </c>
      <c r="S655" t="e">
        <f>IF($J655&gt;MAX('Match Log'!$A$4:$A$1510),NA(),IFERROR(LOOKUP(2,1/(('Match Log'!$D$4:$D$1510=$S$24)*('Match Log'!$A$4:$A$1510&lt;=$J655)),'Match Log'!$N$4:$N$1510),NA()))</f>
        <v>#N/A</v>
      </c>
      <c r="T655" t="e">
        <f>IF($J655&gt;MAX('Match Log'!$A$4:$A$1510),NA(),IFERROR(LOOKUP(2,1/(('Match Log'!$D$4:$D$1510=$T$24)*('Match Log'!$A$4:$A$1510&lt;=$J655)),'Match Log'!$N$4:$N$1510),NA()))</f>
        <v>#N/A</v>
      </c>
      <c r="U655" t="e">
        <f>IF($J655&gt;MAX('Match Log'!$A$4:$A$1510),NA(),IFERROR(LOOKUP(2,1/(('Match Log'!$D$4:$D$1510=$U$24)*('Match Log'!$A$4:$A$1510&lt;=$J655)),'Match Log'!$N$4:$N$1510),NA()))</f>
        <v>#N/A</v>
      </c>
      <c r="V655" t="e">
        <f>IF($J655&gt;MAX('Match Log'!$A$4:$A$1510),NA(),IFERROR(LOOKUP(2,1/(('Match Log'!$D$4:$D$1510=$V$24)*('Match Log'!$A$4:$A$1510&lt;=$J655)),'Match Log'!$N$4:$N$1510),NA()))</f>
        <v>#N/A</v>
      </c>
      <c r="W655" t="e">
        <f>IF($J655&gt;MAX('Match Log'!$A$4:$A$1510),NA(),IFERROR(LOOKUP(2,1/(('Match Log'!$D$4:$D$1510=$W$24)*('Match Log'!$A$4:$A$1510&lt;=$J655)),'Match Log'!$N$4:$N$1510),NA()))</f>
        <v>#N/A</v>
      </c>
      <c r="X655" t="e">
        <f>IF($J655&gt;MAX('Match Log'!$A$4:$A$1510),NA(),IFERROR(LOOKUP(2,1/(('Match Log'!$D$4:$D$1510=$X$24)*('Match Log'!$A$4:$A$1510&lt;=$J655)),'Match Log'!$N$4:$N$1510),NA()))</f>
        <v>#N/A</v>
      </c>
      <c r="Y655" t="str">
        <f t="shared" ca="1" si="37"/>
        <v/>
      </c>
    </row>
    <row r="656" spans="1:25" x14ac:dyDescent="0.2">
      <c r="A656">
        <v>632</v>
      </c>
      <c r="B656" t="str">
        <f>IFERROR(INDEX('Match Log'!$B$4:$B$1510,MATCH($A656,'Match Log'!$A$4:$A$1510,0)),"")</f>
        <v/>
      </c>
      <c r="C656" t="str">
        <f>IFERROR(INDEX('Match Log'!$C$4:$C$1510,MATCH($A656,'Match Log'!$A$4:$A$1510,0)),"")</f>
        <v/>
      </c>
      <c r="D656" t="str">
        <f t="array" ref="D656">IFERROR(_xlfn.TEXTJOIN(" + ",TRUE(),IF(('Match Log'!$A$4:$A$1510=$A656)*('Match Log'!$E$4:$E$1510="Win"),'Match Log'!$D$4:$D$1510,"")),IFERROR(LOOKUP(2,1/(('Match Log'!$A$4:$A$1510=$A656)*('Match Log'!$E$4:$E$1510="Win")),'Match Log'!$D$4:$D$1510),""))</f>
        <v/>
      </c>
      <c r="E656" t="str">
        <f>IFERROR(INDEX('Match Log'!$F$4:$F$1510,MATCH($A656,'Match Log'!$A$4:$A$1510,0)),"")</f>
        <v/>
      </c>
      <c r="F656">
        <f>IFERROR(SUMIFS('Match Log'!$I$4:$I$1510,'Match Log'!$A$4:$A$1510,$A656,'Match Log'!$E$4:$E$1510,"Win"),"")</f>
        <v>0</v>
      </c>
      <c r="G656" t="str">
        <f t="shared" si="35"/>
        <v/>
      </c>
      <c r="H656" t="str">
        <f t="array" ref="H656">IFERROR(IF(COUNTIFS('Match Log'!$A$4:$A$1510,$A656,'Match Log'!$E$4:$E$1510,"Win")&gt;1,_xlfn.TEXTJOIN(" + ",TRUE(),IF(('Match Log'!$A$4:$A$1510=$A656)*('Match Log'!$E$4:$E$1510="Loss"),'Match Log'!$D$4:$D$1510,"")),IF($E656=2,LOOKUP(2,1/(('Match Log'!$A$4:$A$1510=$A656)*('Match Log'!$E$4:$E$1510="Loss")),'Match Log'!$D$4:$D$1510),"the field")),"")</f>
        <v>the field</v>
      </c>
      <c r="I656" t="str">
        <f t="shared" si="36"/>
        <v/>
      </c>
      <c r="J656">
        <v>632</v>
      </c>
      <c r="K656" t="e">
        <f>IF($J656&gt;MAX('Match Log'!$A$4:$A$1510),NA(),IFERROR(LOOKUP(2,1/(('Match Log'!$D$4:$D$1510=$K$24)*('Match Log'!$A$4:$A$1510&lt;=$J656)),'Match Log'!$N$4:$N$1510),NA()))</f>
        <v>#N/A</v>
      </c>
      <c r="L656" t="e">
        <f>IF($J656&gt;MAX('Match Log'!$A$4:$A$1510),NA(),IFERROR(LOOKUP(2,1/(('Match Log'!$D$4:$D$1510=$L$24)*('Match Log'!$A$4:$A$1510&lt;=$J656)),'Match Log'!$N$4:$N$1510),NA()))</f>
        <v>#N/A</v>
      </c>
      <c r="M656" t="e">
        <f>IF($J656&gt;MAX('Match Log'!$A$4:$A$1510),NA(),IFERROR(LOOKUP(2,1/(('Match Log'!$D$4:$D$1510=$M$24)*('Match Log'!$A$4:$A$1510&lt;=$J656)),'Match Log'!$N$4:$N$1510),NA()))</f>
        <v>#N/A</v>
      </c>
      <c r="N656" t="e">
        <f>IF($J656&gt;MAX('Match Log'!$A$4:$A$1510),NA(),IFERROR(LOOKUP(2,1/(('Match Log'!$D$4:$D$1510=$N$24)*('Match Log'!$A$4:$A$1510&lt;=$J656)),'Match Log'!$N$4:$N$1510),NA()))</f>
        <v>#N/A</v>
      </c>
      <c r="O656" t="e">
        <f>IF($J656&gt;MAX('Match Log'!$A$4:$A$1510),NA(),IFERROR(LOOKUP(2,1/(('Match Log'!$D$4:$D$1510=$O$24)*('Match Log'!$A$4:$A$1510&lt;=$J656)),'Match Log'!$N$4:$N$1510),NA()))</f>
        <v>#N/A</v>
      </c>
      <c r="P656" t="e">
        <f>IF($J656&gt;MAX('Match Log'!$A$4:$A$1510),NA(),IFERROR(LOOKUP(2,1/(('Match Log'!$D$4:$D$1510=$P$24)*('Match Log'!$A$4:$A$1510&lt;=$J656)),'Match Log'!$N$4:$N$1510),NA()))</f>
        <v>#N/A</v>
      </c>
      <c r="Q656" t="e">
        <f>IF($J656&gt;MAX('Match Log'!$A$4:$A$1510),NA(),IFERROR(LOOKUP(2,1/(('Match Log'!$D$4:$D$1510=$Q$24)*('Match Log'!$A$4:$A$1510&lt;=$J656)),'Match Log'!$N$4:$N$1510),NA()))</f>
        <v>#N/A</v>
      </c>
      <c r="R656" t="e">
        <f>IF($J656&gt;MAX('Match Log'!$A$4:$A$1510),NA(),IFERROR(LOOKUP(2,1/(('Match Log'!$D$4:$D$1510=$R$24)*('Match Log'!$A$4:$A$1510&lt;=$J656)),'Match Log'!$N$4:$N$1510),NA()))</f>
        <v>#N/A</v>
      </c>
      <c r="S656" t="e">
        <f>IF($J656&gt;MAX('Match Log'!$A$4:$A$1510),NA(),IFERROR(LOOKUP(2,1/(('Match Log'!$D$4:$D$1510=$S$24)*('Match Log'!$A$4:$A$1510&lt;=$J656)),'Match Log'!$N$4:$N$1510),NA()))</f>
        <v>#N/A</v>
      </c>
      <c r="T656" t="e">
        <f>IF($J656&gt;MAX('Match Log'!$A$4:$A$1510),NA(),IFERROR(LOOKUP(2,1/(('Match Log'!$D$4:$D$1510=$T$24)*('Match Log'!$A$4:$A$1510&lt;=$J656)),'Match Log'!$N$4:$N$1510),NA()))</f>
        <v>#N/A</v>
      </c>
      <c r="U656" t="e">
        <f>IF($J656&gt;MAX('Match Log'!$A$4:$A$1510),NA(),IFERROR(LOOKUP(2,1/(('Match Log'!$D$4:$D$1510=$U$24)*('Match Log'!$A$4:$A$1510&lt;=$J656)),'Match Log'!$N$4:$N$1510),NA()))</f>
        <v>#N/A</v>
      </c>
      <c r="V656" t="e">
        <f>IF($J656&gt;MAX('Match Log'!$A$4:$A$1510),NA(),IFERROR(LOOKUP(2,1/(('Match Log'!$D$4:$D$1510=$V$24)*('Match Log'!$A$4:$A$1510&lt;=$J656)),'Match Log'!$N$4:$N$1510),NA()))</f>
        <v>#N/A</v>
      </c>
      <c r="W656" t="e">
        <f>IF($J656&gt;MAX('Match Log'!$A$4:$A$1510),NA(),IFERROR(LOOKUP(2,1/(('Match Log'!$D$4:$D$1510=$W$24)*('Match Log'!$A$4:$A$1510&lt;=$J656)),'Match Log'!$N$4:$N$1510),NA()))</f>
        <v>#N/A</v>
      </c>
      <c r="X656" t="e">
        <f>IF($J656&gt;MAX('Match Log'!$A$4:$A$1510),NA(),IFERROR(LOOKUP(2,1/(('Match Log'!$D$4:$D$1510=$X$24)*('Match Log'!$A$4:$A$1510&lt;=$J656)),'Match Log'!$N$4:$N$1510),NA()))</f>
        <v>#N/A</v>
      </c>
      <c r="Y656" t="str">
        <f t="shared" ca="1" si="37"/>
        <v/>
      </c>
    </row>
    <row r="657" spans="1:25" x14ac:dyDescent="0.2">
      <c r="A657">
        <v>633</v>
      </c>
      <c r="B657" t="str">
        <f>IFERROR(INDEX('Match Log'!$B$4:$B$1510,MATCH($A657,'Match Log'!$A$4:$A$1510,0)),"")</f>
        <v/>
      </c>
      <c r="C657" t="str">
        <f>IFERROR(INDEX('Match Log'!$C$4:$C$1510,MATCH($A657,'Match Log'!$A$4:$A$1510,0)),"")</f>
        <v/>
      </c>
      <c r="D657" t="str">
        <f t="array" ref="D657">IFERROR(_xlfn.TEXTJOIN(" + ",TRUE(),IF(('Match Log'!$A$4:$A$1510=$A657)*('Match Log'!$E$4:$E$1510="Win"),'Match Log'!$D$4:$D$1510,"")),IFERROR(LOOKUP(2,1/(('Match Log'!$A$4:$A$1510=$A657)*('Match Log'!$E$4:$E$1510="Win")),'Match Log'!$D$4:$D$1510),""))</f>
        <v/>
      </c>
      <c r="E657" t="str">
        <f>IFERROR(INDEX('Match Log'!$F$4:$F$1510,MATCH($A657,'Match Log'!$A$4:$A$1510,0)),"")</f>
        <v/>
      </c>
      <c r="F657">
        <f>IFERROR(SUMIFS('Match Log'!$I$4:$I$1510,'Match Log'!$A$4:$A$1510,$A657,'Match Log'!$E$4:$E$1510,"Win"),"")</f>
        <v>0</v>
      </c>
      <c r="G657" t="str">
        <f t="shared" si="35"/>
        <v/>
      </c>
      <c r="H657" t="str">
        <f t="array" ref="H657">IFERROR(IF(COUNTIFS('Match Log'!$A$4:$A$1510,$A657,'Match Log'!$E$4:$E$1510,"Win")&gt;1,_xlfn.TEXTJOIN(" + ",TRUE(),IF(('Match Log'!$A$4:$A$1510=$A657)*('Match Log'!$E$4:$E$1510="Loss"),'Match Log'!$D$4:$D$1510,"")),IF($E657=2,LOOKUP(2,1/(('Match Log'!$A$4:$A$1510=$A657)*('Match Log'!$E$4:$E$1510="Loss")),'Match Log'!$D$4:$D$1510),"the field")),"")</f>
        <v>the field</v>
      </c>
      <c r="I657" t="str">
        <f t="shared" si="36"/>
        <v/>
      </c>
      <c r="J657">
        <v>633</v>
      </c>
      <c r="K657" t="e">
        <f>IF($J657&gt;MAX('Match Log'!$A$4:$A$1510),NA(),IFERROR(LOOKUP(2,1/(('Match Log'!$D$4:$D$1510=$K$24)*('Match Log'!$A$4:$A$1510&lt;=$J657)),'Match Log'!$N$4:$N$1510),NA()))</f>
        <v>#N/A</v>
      </c>
      <c r="L657" t="e">
        <f>IF($J657&gt;MAX('Match Log'!$A$4:$A$1510),NA(),IFERROR(LOOKUP(2,1/(('Match Log'!$D$4:$D$1510=$L$24)*('Match Log'!$A$4:$A$1510&lt;=$J657)),'Match Log'!$N$4:$N$1510),NA()))</f>
        <v>#N/A</v>
      </c>
      <c r="M657" t="e">
        <f>IF($J657&gt;MAX('Match Log'!$A$4:$A$1510),NA(),IFERROR(LOOKUP(2,1/(('Match Log'!$D$4:$D$1510=$M$24)*('Match Log'!$A$4:$A$1510&lt;=$J657)),'Match Log'!$N$4:$N$1510),NA()))</f>
        <v>#N/A</v>
      </c>
      <c r="N657" t="e">
        <f>IF($J657&gt;MAX('Match Log'!$A$4:$A$1510),NA(),IFERROR(LOOKUP(2,1/(('Match Log'!$D$4:$D$1510=$N$24)*('Match Log'!$A$4:$A$1510&lt;=$J657)),'Match Log'!$N$4:$N$1510),NA()))</f>
        <v>#N/A</v>
      </c>
      <c r="O657" t="e">
        <f>IF($J657&gt;MAX('Match Log'!$A$4:$A$1510),NA(),IFERROR(LOOKUP(2,1/(('Match Log'!$D$4:$D$1510=$O$24)*('Match Log'!$A$4:$A$1510&lt;=$J657)),'Match Log'!$N$4:$N$1510),NA()))</f>
        <v>#N/A</v>
      </c>
      <c r="P657" t="e">
        <f>IF($J657&gt;MAX('Match Log'!$A$4:$A$1510),NA(),IFERROR(LOOKUP(2,1/(('Match Log'!$D$4:$D$1510=$P$24)*('Match Log'!$A$4:$A$1510&lt;=$J657)),'Match Log'!$N$4:$N$1510),NA()))</f>
        <v>#N/A</v>
      </c>
      <c r="Q657" t="e">
        <f>IF($J657&gt;MAX('Match Log'!$A$4:$A$1510),NA(),IFERROR(LOOKUP(2,1/(('Match Log'!$D$4:$D$1510=$Q$24)*('Match Log'!$A$4:$A$1510&lt;=$J657)),'Match Log'!$N$4:$N$1510),NA()))</f>
        <v>#N/A</v>
      </c>
      <c r="R657" t="e">
        <f>IF($J657&gt;MAX('Match Log'!$A$4:$A$1510),NA(),IFERROR(LOOKUP(2,1/(('Match Log'!$D$4:$D$1510=$R$24)*('Match Log'!$A$4:$A$1510&lt;=$J657)),'Match Log'!$N$4:$N$1510),NA()))</f>
        <v>#N/A</v>
      </c>
      <c r="S657" t="e">
        <f>IF($J657&gt;MAX('Match Log'!$A$4:$A$1510),NA(),IFERROR(LOOKUP(2,1/(('Match Log'!$D$4:$D$1510=$S$24)*('Match Log'!$A$4:$A$1510&lt;=$J657)),'Match Log'!$N$4:$N$1510),NA()))</f>
        <v>#N/A</v>
      </c>
      <c r="T657" t="e">
        <f>IF($J657&gt;MAX('Match Log'!$A$4:$A$1510),NA(),IFERROR(LOOKUP(2,1/(('Match Log'!$D$4:$D$1510=$T$24)*('Match Log'!$A$4:$A$1510&lt;=$J657)),'Match Log'!$N$4:$N$1510),NA()))</f>
        <v>#N/A</v>
      </c>
      <c r="U657" t="e">
        <f>IF($J657&gt;MAX('Match Log'!$A$4:$A$1510),NA(),IFERROR(LOOKUP(2,1/(('Match Log'!$D$4:$D$1510=$U$24)*('Match Log'!$A$4:$A$1510&lt;=$J657)),'Match Log'!$N$4:$N$1510),NA()))</f>
        <v>#N/A</v>
      </c>
      <c r="V657" t="e">
        <f>IF($J657&gt;MAX('Match Log'!$A$4:$A$1510),NA(),IFERROR(LOOKUP(2,1/(('Match Log'!$D$4:$D$1510=$V$24)*('Match Log'!$A$4:$A$1510&lt;=$J657)),'Match Log'!$N$4:$N$1510),NA()))</f>
        <v>#N/A</v>
      </c>
      <c r="W657" t="e">
        <f>IF($J657&gt;MAX('Match Log'!$A$4:$A$1510),NA(),IFERROR(LOOKUP(2,1/(('Match Log'!$D$4:$D$1510=$W$24)*('Match Log'!$A$4:$A$1510&lt;=$J657)),'Match Log'!$N$4:$N$1510),NA()))</f>
        <v>#N/A</v>
      </c>
      <c r="X657" t="e">
        <f>IF($J657&gt;MAX('Match Log'!$A$4:$A$1510),NA(),IFERROR(LOOKUP(2,1/(('Match Log'!$D$4:$D$1510=$X$24)*('Match Log'!$A$4:$A$1510&lt;=$J657)),'Match Log'!$N$4:$N$1510),NA()))</f>
        <v>#N/A</v>
      </c>
      <c r="Y657" t="str">
        <f t="shared" ca="1" si="37"/>
        <v/>
      </c>
    </row>
    <row r="658" spans="1:25" x14ac:dyDescent="0.2">
      <c r="A658">
        <v>634</v>
      </c>
      <c r="B658" t="str">
        <f>IFERROR(INDEX('Match Log'!$B$4:$B$1510,MATCH($A658,'Match Log'!$A$4:$A$1510,0)),"")</f>
        <v/>
      </c>
      <c r="C658" t="str">
        <f>IFERROR(INDEX('Match Log'!$C$4:$C$1510,MATCH($A658,'Match Log'!$A$4:$A$1510,0)),"")</f>
        <v/>
      </c>
      <c r="D658" t="str">
        <f t="array" ref="D658">IFERROR(_xlfn.TEXTJOIN(" + ",TRUE(),IF(('Match Log'!$A$4:$A$1510=$A658)*('Match Log'!$E$4:$E$1510="Win"),'Match Log'!$D$4:$D$1510,"")),IFERROR(LOOKUP(2,1/(('Match Log'!$A$4:$A$1510=$A658)*('Match Log'!$E$4:$E$1510="Win")),'Match Log'!$D$4:$D$1510),""))</f>
        <v/>
      </c>
      <c r="E658" t="str">
        <f>IFERROR(INDEX('Match Log'!$F$4:$F$1510,MATCH($A658,'Match Log'!$A$4:$A$1510,0)),"")</f>
        <v/>
      </c>
      <c r="F658">
        <f>IFERROR(SUMIFS('Match Log'!$I$4:$I$1510,'Match Log'!$A$4:$A$1510,$A658,'Match Log'!$E$4:$E$1510,"Win"),"")</f>
        <v>0</v>
      </c>
      <c r="G658" t="str">
        <f t="shared" si="35"/>
        <v/>
      </c>
      <c r="H658" t="str">
        <f t="array" ref="H658">IFERROR(IF(COUNTIFS('Match Log'!$A$4:$A$1510,$A658,'Match Log'!$E$4:$E$1510,"Win")&gt;1,_xlfn.TEXTJOIN(" + ",TRUE(),IF(('Match Log'!$A$4:$A$1510=$A658)*('Match Log'!$E$4:$E$1510="Loss"),'Match Log'!$D$4:$D$1510,"")),IF($E658=2,LOOKUP(2,1/(('Match Log'!$A$4:$A$1510=$A658)*('Match Log'!$E$4:$E$1510="Loss")),'Match Log'!$D$4:$D$1510),"the field")),"")</f>
        <v>the field</v>
      </c>
      <c r="I658" t="str">
        <f t="shared" si="36"/>
        <v/>
      </c>
      <c r="J658">
        <v>634</v>
      </c>
      <c r="K658" t="e">
        <f>IF($J658&gt;MAX('Match Log'!$A$4:$A$1510),NA(),IFERROR(LOOKUP(2,1/(('Match Log'!$D$4:$D$1510=$K$24)*('Match Log'!$A$4:$A$1510&lt;=$J658)),'Match Log'!$N$4:$N$1510),NA()))</f>
        <v>#N/A</v>
      </c>
      <c r="L658" t="e">
        <f>IF($J658&gt;MAX('Match Log'!$A$4:$A$1510),NA(),IFERROR(LOOKUP(2,1/(('Match Log'!$D$4:$D$1510=$L$24)*('Match Log'!$A$4:$A$1510&lt;=$J658)),'Match Log'!$N$4:$N$1510),NA()))</f>
        <v>#N/A</v>
      </c>
      <c r="M658" t="e">
        <f>IF($J658&gt;MAX('Match Log'!$A$4:$A$1510),NA(),IFERROR(LOOKUP(2,1/(('Match Log'!$D$4:$D$1510=$M$24)*('Match Log'!$A$4:$A$1510&lt;=$J658)),'Match Log'!$N$4:$N$1510),NA()))</f>
        <v>#N/A</v>
      </c>
      <c r="N658" t="e">
        <f>IF($J658&gt;MAX('Match Log'!$A$4:$A$1510),NA(),IFERROR(LOOKUP(2,1/(('Match Log'!$D$4:$D$1510=$N$24)*('Match Log'!$A$4:$A$1510&lt;=$J658)),'Match Log'!$N$4:$N$1510),NA()))</f>
        <v>#N/A</v>
      </c>
      <c r="O658" t="e">
        <f>IF($J658&gt;MAX('Match Log'!$A$4:$A$1510),NA(),IFERROR(LOOKUP(2,1/(('Match Log'!$D$4:$D$1510=$O$24)*('Match Log'!$A$4:$A$1510&lt;=$J658)),'Match Log'!$N$4:$N$1510),NA()))</f>
        <v>#N/A</v>
      </c>
      <c r="P658" t="e">
        <f>IF($J658&gt;MAX('Match Log'!$A$4:$A$1510),NA(),IFERROR(LOOKUP(2,1/(('Match Log'!$D$4:$D$1510=$P$24)*('Match Log'!$A$4:$A$1510&lt;=$J658)),'Match Log'!$N$4:$N$1510),NA()))</f>
        <v>#N/A</v>
      </c>
      <c r="Q658" t="e">
        <f>IF($J658&gt;MAX('Match Log'!$A$4:$A$1510),NA(),IFERROR(LOOKUP(2,1/(('Match Log'!$D$4:$D$1510=$Q$24)*('Match Log'!$A$4:$A$1510&lt;=$J658)),'Match Log'!$N$4:$N$1510),NA()))</f>
        <v>#N/A</v>
      </c>
      <c r="R658" t="e">
        <f>IF($J658&gt;MAX('Match Log'!$A$4:$A$1510),NA(),IFERROR(LOOKUP(2,1/(('Match Log'!$D$4:$D$1510=$R$24)*('Match Log'!$A$4:$A$1510&lt;=$J658)),'Match Log'!$N$4:$N$1510),NA()))</f>
        <v>#N/A</v>
      </c>
      <c r="S658" t="e">
        <f>IF($J658&gt;MAX('Match Log'!$A$4:$A$1510),NA(),IFERROR(LOOKUP(2,1/(('Match Log'!$D$4:$D$1510=$S$24)*('Match Log'!$A$4:$A$1510&lt;=$J658)),'Match Log'!$N$4:$N$1510),NA()))</f>
        <v>#N/A</v>
      </c>
      <c r="T658" t="e">
        <f>IF($J658&gt;MAX('Match Log'!$A$4:$A$1510),NA(),IFERROR(LOOKUP(2,1/(('Match Log'!$D$4:$D$1510=$T$24)*('Match Log'!$A$4:$A$1510&lt;=$J658)),'Match Log'!$N$4:$N$1510),NA()))</f>
        <v>#N/A</v>
      </c>
      <c r="U658" t="e">
        <f>IF($J658&gt;MAX('Match Log'!$A$4:$A$1510),NA(),IFERROR(LOOKUP(2,1/(('Match Log'!$D$4:$D$1510=$U$24)*('Match Log'!$A$4:$A$1510&lt;=$J658)),'Match Log'!$N$4:$N$1510),NA()))</f>
        <v>#N/A</v>
      </c>
      <c r="V658" t="e">
        <f>IF($J658&gt;MAX('Match Log'!$A$4:$A$1510),NA(),IFERROR(LOOKUP(2,1/(('Match Log'!$D$4:$D$1510=$V$24)*('Match Log'!$A$4:$A$1510&lt;=$J658)),'Match Log'!$N$4:$N$1510),NA()))</f>
        <v>#N/A</v>
      </c>
      <c r="W658" t="e">
        <f>IF($J658&gt;MAX('Match Log'!$A$4:$A$1510),NA(),IFERROR(LOOKUP(2,1/(('Match Log'!$D$4:$D$1510=$W$24)*('Match Log'!$A$4:$A$1510&lt;=$J658)),'Match Log'!$N$4:$N$1510),NA()))</f>
        <v>#N/A</v>
      </c>
      <c r="X658" t="e">
        <f>IF($J658&gt;MAX('Match Log'!$A$4:$A$1510),NA(),IFERROR(LOOKUP(2,1/(('Match Log'!$D$4:$D$1510=$X$24)*('Match Log'!$A$4:$A$1510&lt;=$J658)),'Match Log'!$N$4:$N$1510),NA()))</f>
        <v>#N/A</v>
      </c>
      <c r="Y658" t="str">
        <f t="shared" ca="1" si="37"/>
        <v/>
      </c>
    </row>
    <row r="659" spans="1:25" x14ac:dyDescent="0.2">
      <c r="A659">
        <v>635</v>
      </c>
      <c r="B659" t="str">
        <f>IFERROR(INDEX('Match Log'!$B$4:$B$1510,MATCH($A659,'Match Log'!$A$4:$A$1510,0)),"")</f>
        <v/>
      </c>
      <c r="C659" t="str">
        <f>IFERROR(INDEX('Match Log'!$C$4:$C$1510,MATCH($A659,'Match Log'!$A$4:$A$1510,0)),"")</f>
        <v/>
      </c>
      <c r="D659" t="str">
        <f t="array" ref="D659">IFERROR(_xlfn.TEXTJOIN(" + ",TRUE(),IF(('Match Log'!$A$4:$A$1510=$A659)*('Match Log'!$E$4:$E$1510="Win"),'Match Log'!$D$4:$D$1510,"")),IFERROR(LOOKUP(2,1/(('Match Log'!$A$4:$A$1510=$A659)*('Match Log'!$E$4:$E$1510="Win")),'Match Log'!$D$4:$D$1510),""))</f>
        <v/>
      </c>
      <c r="E659" t="str">
        <f>IFERROR(INDEX('Match Log'!$F$4:$F$1510,MATCH($A659,'Match Log'!$A$4:$A$1510,0)),"")</f>
        <v/>
      </c>
      <c r="F659">
        <f>IFERROR(SUMIFS('Match Log'!$I$4:$I$1510,'Match Log'!$A$4:$A$1510,$A659,'Match Log'!$E$4:$E$1510,"Win"),"")</f>
        <v>0</v>
      </c>
      <c r="G659" t="str">
        <f t="shared" si="35"/>
        <v/>
      </c>
      <c r="H659" t="str">
        <f t="array" ref="H659">IFERROR(IF(COUNTIFS('Match Log'!$A$4:$A$1510,$A659,'Match Log'!$E$4:$E$1510,"Win")&gt;1,_xlfn.TEXTJOIN(" + ",TRUE(),IF(('Match Log'!$A$4:$A$1510=$A659)*('Match Log'!$E$4:$E$1510="Loss"),'Match Log'!$D$4:$D$1510,"")),IF($E659=2,LOOKUP(2,1/(('Match Log'!$A$4:$A$1510=$A659)*('Match Log'!$E$4:$E$1510="Loss")),'Match Log'!$D$4:$D$1510),"the field")),"")</f>
        <v>the field</v>
      </c>
      <c r="I659" t="str">
        <f t="shared" si="36"/>
        <v/>
      </c>
      <c r="J659">
        <v>635</v>
      </c>
      <c r="K659" t="e">
        <f>IF($J659&gt;MAX('Match Log'!$A$4:$A$1510),NA(),IFERROR(LOOKUP(2,1/(('Match Log'!$D$4:$D$1510=$K$24)*('Match Log'!$A$4:$A$1510&lt;=$J659)),'Match Log'!$N$4:$N$1510),NA()))</f>
        <v>#N/A</v>
      </c>
      <c r="L659" t="e">
        <f>IF($J659&gt;MAX('Match Log'!$A$4:$A$1510),NA(),IFERROR(LOOKUP(2,1/(('Match Log'!$D$4:$D$1510=$L$24)*('Match Log'!$A$4:$A$1510&lt;=$J659)),'Match Log'!$N$4:$N$1510),NA()))</f>
        <v>#N/A</v>
      </c>
      <c r="M659" t="e">
        <f>IF($J659&gt;MAX('Match Log'!$A$4:$A$1510),NA(),IFERROR(LOOKUP(2,1/(('Match Log'!$D$4:$D$1510=$M$24)*('Match Log'!$A$4:$A$1510&lt;=$J659)),'Match Log'!$N$4:$N$1510),NA()))</f>
        <v>#N/A</v>
      </c>
      <c r="N659" t="e">
        <f>IF($J659&gt;MAX('Match Log'!$A$4:$A$1510),NA(),IFERROR(LOOKUP(2,1/(('Match Log'!$D$4:$D$1510=$N$24)*('Match Log'!$A$4:$A$1510&lt;=$J659)),'Match Log'!$N$4:$N$1510),NA()))</f>
        <v>#N/A</v>
      </c>
      <c r="O659" t="e">
        <f>IF($J659&gt;MAX('Match Log'!$A$4:$A$1510),NA(),IFERROR(LOOKUP(2,1/(('Match Log'!$D$4:$D$1510=$O$24)*('Match Log'!$A$4:$A$1510&lt;=$J659)),'Match Log'!$N$4:$N$1510),NA()))</f>
        <v>#N/A</v>
      </c>
      <c r="P659" t="e">
        <f>IF($J659&gt;MAX('Match Log'!$A$4:$A$1510),NA(),IFERROR(LOOKUP(2,1/(('Match Log'!$D$4:$D$1510=$P$24)*('Match Log'!$A$4:$A$1510&lt;=$J659)),'Match Log'!$N$4:$N$1510),NA()))</f>
        <v>#N/A</v>
      </c>
      <c r="Q659" t="e">
        <f>IF($J659&gt;MAX('Match Log'!$A$4:$A$1510),NA(),IFERROR(LOOKUP(2,1/(('Match Log'!$D$4:$D$1510=$Q$24)*('Match Log'!$A$4:$A$1510&lt;=$J659)),'Match Log'!$N$4:$N$1510),NA()))</f>
        <v>#N/A</v>
      </c>
      <c r="R659" t="e">
        <f>IF($J659&gt;MAX('Match Log'!$A$4:$A$1510),NA(),IFERROR(LOOKUP(2,1/(('Match Log'!$D$4:$D$1510=$R$24)*('Match Log'!$A$4:$A$1510&lt;=$J659)),'Match Log'!$N$4:$N$1510),NA()))</f>
        <v>#N/A</v>
      </c>
      <c r="S659" t="e">
        <f>IF($J659&gt;MAX('Match Log'!$A$4:$A$1510),NA(),IFERROR(LOOKUP(2,1/(('Match Log'!$D$4:$D$1510=$S$24)*('Match Log'!$A$4:$A$1510&lt;=$J659)),'Match Log'!$N$4:$N$1510),NA()))</f>
        <v>#N/A</v>
      </c>
      <c r="T659" t="e">
        <f>IF($J659&gt;MAX('Match Log'!$A$4:$A$1510),NA(),IFERROR(LOOKUP(2,1/(('Match Log'!$D$4:$D$1510=$T$24)*('Match Log'!$A$4:$A$1510&lt;=$J659)),'Match Log'!$N$4:$N$1510),NA()))</f>
        <v>#N/A</v>
      </c>
      <c r="U659" t="e">
        <f>IF($J659&gt;MAX('Match Log'!$A$4:$A$1510),NA(),IFERROR(LOOKUP(2,1/(('Match Log'!$D$4:$D$1510=$U$24)*('Match Log'!$A$4:$A$1510&lt;=$J659)),'Match Log'!$N$4:$N$1510),NA()))</f>
        <v>#N/A</v>
      </c>
      <c r="V659" t="e">
        <f>IF($J659&gt;MAX('Match Log'!$A$4:$A$1510),NA(),IFERROR(LOOKUP(2,1/(('Match Log'!$D$4:$D$1510=$V$24)*('Match Log'!$A$4:$A$1510&lt;=$J659)),'Match Log'!$N$4:$N$1510),NA()))</f>
        <v>#N/A</v>
      </c>
      <c r="W659" t="e">
        <f>IF($J659&gt;MAX('Match Log'!$A$4:$A$1510),NA(),IFERROR(LOOKUP(2,1/(('Match Log'!$D$4:$D$1510=$W$24)*('Match Log'!$A$4:$A$1510&lt;=$J659)),'Match Log'!$N$4:$N$1510),NA()))</f>
        <v>#N/A</v>
      </c>
      <c r="X659" t="e">
        <f>IF($J659&gt;MAX('Match Log'!$A$4:$A$1510),NA(),IFERROR(LOOKUP(2,1/(('Match Log'!$D$4:$D$1510=$X$24)*('Match Log'!$A$4:$A$1510&lt;=$J659)),'Match Log'!$N$4:$N$1510),NA()))</f>
        <v>#N/A</v>
      </c>
      <c r="Y659" t="str">
        <f t="shared" ca="1" si="37"/>
        <v/>
      </c>
    </row>
    <row r="660" spans="1:25" x14ac:dyDescent="0.2">
      <c r="A660">
        <v>636</v>
      </c>
      <c r="B660" t="str">
        <f>IFERROR(INDEX('Match Log'!$B$4:$B$1510,MATCH($A660,'Match Log'!$A$4:$A$1510,0)),"")</f>
        <v/>
      </c>
      <c r="C660" t="str">
        <f>IFERROR(INDEX('Match Log'!$C$4:$C$1510,MATCH($A660,'Match Log'!$A$4:$A$1510,0)),"")</f>
        <v/>
      </c>
      <c r="D660" t="str">
        <f t="array" ref="D660">IFERROR(_xlfn.TEXTJOIN(" + ",TRUE(),IF(('Match Log'!$A$4:$A$1510=$A660)*('Match Log'!$E$4:$E$1510="Win"),'Match Log'!$D$4:$D$1510,"")),IFERROR(LOOKUP(2,1/(('Match Log'!$A$4:$A$1510=$A660)*('Match Log'!$E$4:$E$1510="Win")),'Match Log'!$D$4:$D$1510),""))</f>
        <v/>
      </c>
      <c r="E660" t="str">
        <f>IFERROR(INDEX('Match Log'!$F$4:$F$1510,MATCH($A660,'Match Log'!$A$4:$A$1510,0)),"")</f>
        <v/>
      </c>
      <c r="F660">
        <f>IFERROR(SUMIFS('Match Log'!$I$4:$I$1510,'Match Log'!$A$4:$A$1510,$A660,'Match Log'!$E$4:$E$1510,"Win"),"")</f>
        <v>0</v>
      </c>
      <c r="G660" t="str">
        <f t="shared" si="35"/>
        <v/>
      </c>
      <c r="H660" t="str">
        <f t="array" ref="H660">IFERROR(IF(COUNTIFS('Match Log'!$A$4:$A$1510,$A660,'Match Log'!$E$4:$E$1510,"Win")&gt;1,_xlfn.TEXTJOIN(" + ",TRUE(),IF(('Match Log'!$A$4:$A$1510=$A660)*('Match Log'!$E$4:$E$1510="Loss"),'Match Log'!$D$4:$D$1510,"")),IF($E660=2,LOOKUP(2,1/(('Match Log'!$A$4:$A$1510=$A660)*('Match Log'!$E$4:$E$1510="Loss")),'Match Log'!$D$4:$D$1510),"the field")),"")</f>
        <v>the field</v>
      </c>
      <c r="I660" t="str">
        <f t="shared" si="36"/>
        <v/>
      </c>
      <c r="J660">
        <v>636</v>
      </c>
      <c r="K660" t="e">
        <f>IF($J660&gt;MAX('Match Log'!$A$4:$A$1510),NA(),IFERROR(LOOKUP(2,1/(('Match Log'!$D$4:$D$1510=$K$24)*('Match Log'!$A$4:$A$1510&lt;=$J660)),'Match Log'!$N$4:$N$1510),NA()))</f>
        <v>#N/A</v>
      </c>
      <c r="L660" t="e">
        <f>IF($J660&gt;MAX('Match Log'!$A$4:$A$1510),NA(),IFERROR(LOOKUP(2,1/(('Match Log'!$D$4:$D$1510=$L$24)*('Match Log'!$A$4:$A$1510&lt;=$J660)),'Match Log'!$N$4:$N$1510),NA()))</f>
        <v>#N/A</v>
      </c>
      <c r="M660" t="e">
        <f>IF($J660&gt;MAX('Match Log'!$A$4:$A$1510),NA(),IFERROR(LOOKUP(2,1/(('Match Log'!$D$4:$D$1510=$M$24)*('Match Log'!$A$4:$A$1510&lt;=$J660)),'Match Log'!$N$4:$N$1510),NA()))</f>
        <v>#N/A</v>
      </c>
      <c r="N660" t="e">
        <f>IF($J660&gt;MAX('Match Log'!$A$4:$A$1510),NA(),IFERROR(LOOKUP(2,1/(('Match Log'!$D$4:$D$1510=$N$24)*('Match Log'!$A$4:$A$1510&lt;=$J660)),'Match Log'!$N$4:$N$1510),NA()))</f>
        <v>#N/A</v>
      </c>
      <c r="O660" t="e">
        <f>IF($J660&gt;MAX('Match Log'!$A$4:$A$1510),NA(),IFERROR(LOOKUP(2,1/(('Match Log'!$D$4:$D$1510=$O$24)*('Match Log'!$A$4:$A$1510&lt;=$J660)),'Match Log'!$N$4:$N$1510),NA()))</f>
        <v>#N/A</v>
      </c>
      <c r="P660" t="e">
        <f>IF($J660&gt;MAX('Match Log'!$A$4:$A$1510),NA(),IFERROR(LOOKUP(2,1/(('Match Log'!$D$4:$D$1510=$P$24)*('Match Log'!$A$4:$A$1510&lt;=$J660)),'Match Log'!$N$4:$N$1510),NA()))</f>
        <v>#N/A</v>
      </c>
      <c r="Q660" t="e">
        <f>IF($J660&gt;MAX('Match Log'!$A$4:$A$1510),NA(),IFERROR(LOOKUP(2,1/(('Match Log'!$D$4:$D$1510=$Q$24)*('Match Log'!$A$4:$A$1510&lt;=$J660)),'Match Log'!$N$4:$N$1510),NA()))</f>
        <v>#N/A</v>
      </c>
      <c r="R660" t="e">
        <f>IF($J660&gt;MAX('Match Log'!$A$4:$A$1510),NA(),IFERROR(LOOKUP(2,1/(('Match Log'!$D$4:$D$1510=$R$24)*('Match Log'!$A$4:$A$1510&lt;=$J660)),'Match Log'!$N$4:$N$1510),NA()))</f>
        <v>#N/A</v>
      </c>
      <c r="S660" t="e">
        <f>IF($J660&gt;MAX('Match Log'!$A$4:$A$1510),NA(),IFERROR(LOOKUP(2,1/(('Match Log'!$D$4:$D$1510=$S$24)*('Match Log'!$A$4:$A$1510&lt;=$J660)),'Match Log'!$N$4:$N$1510),NA()))</f>
        <v>#N/A</v>
      </c>
      <c r="T660" t="e">
        <f>IF($J660&gt;MAX('Match Log'!$A$4:$A$1510),NA(),IFERROR(LOOKUP(2,1/(('Match Log'!$D$4:$D$1510=$T$24)*('Match Log'!$A$4:$A$1510&lt;=$J660)),'Match Log'!$N$4:$N$1510),NA()))</f>
        <v>#N/A</v>
      </c>
      <c r="U660" t="e">
        <f>IF($J660&gt;MAX('Match Log'!$A$4:$A$1510),NA(),IFERROR(LOOKUP(2,1/(('Match Log'!$D$4:$D$1510=$U$24)*('Match Log'!$A$4:$A$1510&lt;=$J660)),'Match Log'!$N$4:$N$1510),NA()))</f>
        <v>#N/A</v>
      </c>
      <c r="V660" t="e">
        <f>IF($J660&gt;MAX('Match Log'!$A$4:$A$1510),NA(),IFERROR(LOOKUP(2,1/(('Match Log'!$D$4:$D$1510=$V$24)*('Match Log'!$A$4:$A$1510&lt;=$J660)),'Match Log'!$N$4:$N$1510),NA()))</f>
        <v>#N/A</v>
      </c>
      <c r="W660" t="e">
        <f>IF($J660&gt;MAX('Match Log'!$A$4:$A$1510),NA(),IFERROR(LOOKUP(2,1/(('Match Log'!$D$4:$D$1510=$W$24)*('Match Log'!$A$4:$A$1510&lt;=$J660)),'Match Log'!$N$4:$N$1510),NA()))</f>
        <v>#N/A</v>
      </c>
      <c r="X660" t="e">
        <f>IF($J660&gt;MAX('Match Log'!$A$4:$A$1510),NA(),IFERROR(LOOKUP(2,1/(('Match Log'!$D$4:$D$1510=$X$24)*('Match Log'!$A$4:$A$1510&lt;=$J660)),'Match Log'!$N$4:$N$1510),NA()))</f>
        <v>#N/A</v>
      </c>
      <c r="Y660" t="str">
        <f t="shared" ca="1" si="37"/>
        <v/>
      </c>
    </row>
    <row r="661" spans="1:25" x14ac:dyDescent="0.2">
      <c r="A661">
        <v>637</v>
      </c>
      <c r="B661" t="str">
        <f>IFERROR(INDEX('Match Log'!$B$4:$B$1510,MATCH($A661,'Match Log'!$A$4:$A$1510,0)),"")</f>
        <v/>
      </c>
      <c r="C661" t="str">
        <f>IFERROR(INDEX('Match Log'!$C$4:$C$1510,MATCH($A661,'Match Log'!$A$4:$A$1510,0)),"")</f>
        <v/>
      </c>
      <c r="D661" t="str">
        <f t="array" ref="D661">IFERROR(_xlfn.TEXTJOIN(" + ",TRUE(),IF(('Match Log'!$A$4:$A$1510=$A661)*('Match Log'!$E$4:$E$1510="Win"),'Match Log'!$D$4:$D$1510,"")),IFERROR(LOOKUP(2,1/(('Match Log'!$A$4:$A$1510=$A661)*('Match Log'!$E$4:$E$1510="Win")),'Match Log'!$D$4:$D$1510),""))</f>
        <v/>
      </c>
      <c r="E661" t="str">
        <f>IFERROR(INDEX('Match Log'!$F$4:$F$1510,MATCH($A661,'Match Log'!$A$4:$A$1510,0)),"")</f>
        <v/>
      </c>
      <c r="F661">
        <f>IFERROR(SUMIFS('Match Log'!$I$4:$I$1510,'Match Log'!$A$4:$A$1510,$A661,'Match Log'!$E$4:$E$1510,"Win"),"")</f>
        <v>0</v>
      </c>
      <c r="G661" t="str">
        <f t="shared" si="35"/>
        <v/>
      </c>
      <c r="H661" t="str">
        <f t="array" ref="H661">IFERROR(IF(COUNTIFS('Match Log'!$A$4:$A$1510,$A661,'Match Log'!$E$4:$E$1510,"Win")&gt;1,_xlfn.TEXTJOIN(" + ",TRUE(),IF(('Match Log'!$A$4:$A$1510=$A661)*('Match Log'!$E$4:$E$1510="Loss"),'Match Log'!$D$4:$D$1510,"")),IF($E661=2,LOOKUP(2,1/(('Match Log'!$A$4:$A$1510=$A661)*('Match Log'!$E$4:$E$1510="Loss")),'Match Log'!$D$4:$D$1510),"the field")),"")</f>
        <v>the field</v>
      </c>
      <c r="I661" t="str">
        <f t="shared" si="36"/>
        <v/>
      </c>
      <c r="J661">
        <v>637</v>
      </c>
      <c r="K661" t="e">
        <f>IF($J661&gt;MAX('Match Log'!$A$4:$A$1510),NA(),IFERROR(LOOKUP(2,1/(('Match Log'!$D$4:$D$1510=$K$24)*('Match Log'!$A$4:$A$1510&lt;=$J661)),'Match Log'!$N$4:$N$1510),NA()))</f>
        <v>#N/A</v>
      </c>
      <c r="L661" t="e">
        <f>IF($J661&gt;MAX('Match Log'!$A$4:$A$1510),NA(),IFERROR(LOOKUP(2,1/(('Match Log'!$D$4:$D$1510=$L$24)*('Match Log'!$A$4:$A$1510&lt;=$J661)),'Match Log'!$N$4:$N$1510),NA()))</f>
        <v>#N/A</v>
      </c>
      <c r="M661" t="e">
        <f>IF($J661&gt;MAX('Match Log'!$A$4:$A$1510),NA(),IFERROR(LOOKUP(2,1/(('Match Log'!$D$4:$D$1510=$M$24)*('Match Log'!$A$4:$A$1510&lt;=$J661)),'Match Log'!$N$4:$N$1510),NA()))</f>
        <v>#N/A</v>
      </c>
      <c r="N661" t="e">
        <f>IF($J661&gt;MAX('Match Log'!$A$4:$A$1510),NA(),IFERROR(LOOKUP(2,1/(('Match Log'!$D$4:$D$1510=$N$24)*('Match Log'!$A$4:$A$1510&lt;=$J661)),'Match Log'!$N$4:$N$1510),NA()))</f>
        <v>#N/A</v>
      </c>
      <c r="O661" t="e">
        <f>IF($J661&gt;MAX('Match Log'!$A$4:$A$1510),NA(),IFERROR(LOOKUP(2,1/(('Match Log'!$D$4:$D$1510=$O$24)*('Match Log'!$A$4:$A$1510&lt;=$J661)),'Match Log'!$N$4:$N$1510),NA()))</f>
        <v>#N/A</v>
      </c>
      <c r="P661" t="e">
        <f>IF($J661&gt;MAX('Match Log'!$A$4:$A$1510),NA(),IFERROR(LOOKUP(2,1/(('Match Log'!$D$4:$D$1510=$P$24)*('Match Log'!$A$4:$A$1510&lt;=$J661)),'Match Log'!$N$4:$N$1510),NA()))</f>
        <v>#N/A</v>
      </c>
      <c r="Q661" t="e">
        <f>IF($J661&gt;MAX('Match Log'!$A$4:$A$1510),NA(),IFERROR(LOOKUP(2,1/(('Match Log'!$D$4:$D$1510=$Q$24)*('Match Log'!$A$4:$A$1510&lt;=$J661)),'Match Log'!$N$4:$N$1510),NA()))</f>
        <v>#N/A</v>
      </c>
      <c r="R661" t="e">
        <f>IF($J661&gt;MAX('Match Log'!$A$4:$A$1510),NA(),IFERROR(LOOKUP(2,1/(('Match Log'!$D$4:$D$1510=$R$24)*('Match Log'!$A$4:$A$1510&lt;=$J661)),'Match Log'!$N$4:$N$1510),NA()))</f>
        <v>#N/A</v>
      </c>
      <c r="S661" t="e">
        <f>IF($J661&gt;MAX('Match Log'!$A$4:$A$1510),NA(),IFERROR(LOOKUP(2,1/(('Match Log'!$D$4:$D$1510=$S$24)*('Match Log'!$A$4:$A$1510&lt;=$J661)),'Match Log'!$N$4:$N$1510),NA()))</f>
        <v>#N/A</v>
      </c>
      <c r="T661" t="e">
        <f>IF($J661&gt;MAX('Match Log'!$A$4:$A$1510),NA(),IFERROR(LOOKUP(2,1/(('Match Log'!$D$4:$D$1510=$T$24)*('Match Log'!$A$4:$A$1510&lt;=$J661)),'Match Log'!$N$4:$N$1510),NA()))</f>
        <v>#N/A</v>
      </c>
      <c r="U661" t="e">
        <f>IF($J661&gt;MAX('Match Log'!$A$4:$A$1510),NA(),IFERROR(LOOKUP(2,1/(('Match Log'!$D$4:$D$1510=$U$24)*('Match Log'!$A$4:$A$1510&lt;=$J661)),'Match Log'!$N$4:$N$1510),NA()))</f>
        <v>#N/A</v>
      </c>
      <c r="V661" t="e">
        <f>IF($J661&gt;MAX('Match Log'!$A$4:$A$1510),NA(),IFERROR(LOOKUP(2,1/(('Match Log'!$D$4:$D$1510=$V$24)*('Match Log'!$A$4:$A$1510&lt;=$J661)),'Match Log'!$N$4:$N$1510),NA()))</f>
        <v>#N/A</v>
      </c>
      <c r="W661" t="e">
        <f>IF($J661&gt;MAX('Match Log'!$A$4:$A$1510),NA(),IFERROR(LOOKUP(2,1/(('Match Log'!$D$4:$D$1510=$W$24)*('Match Log'!$A$4:$A$1510&lt;=$J661)),'Match Log'!$N$4:$N$1510),NA()))</f>
        <v>#N/A</v>
      </c>
      <c r="X661" t="e">
        <f>IF($J661&gt;MAX('Match Log'!$A$4:$A$1510),NA(),IFERROR(LOOKUP(2,1/(('Match Log'!$D$4:$D$1510=$X$24)*('Match Log'!$A$4:$A$1510&lt;=$J661)),'Match Log'!$N$4:$N$1510),NA()))</f>
        <v>#N/A</v>
      </c>
      <c r="Y661" t="str">
        <f t="shared" ca="1" si="37"/>
        <v/>
      </c>
    </row>
    <row r="662" spans="1:25" x14ac:dyDescent="0.2">
      <c r="A662">
        <v>638</v>
      </c>
      <c r="B662" t="str">
        <f>IFERROR(INDEX('Match Log'!$B$4:$B$1510,MATCH($A662,'Match Log'!$A$4:$A$1510,0)),"")</f>
        <v/>
      </c>
      <c r="C662" t="str">
        <f>IFERROR(INDEX('Match Log'!$C$4:$C$1510,MATCH($A662,'Match Log'!$A$4:$A$1510,0)),"")</f>
        <v/>
      </c>
      <c r="D662" t="str">
        <f t="array" ref="D662">IFERROR(_xlfn.TEXTJOIN(" + ",TRUE(),IF(('Match Log'!$A$4:$A$1510=$A662)*('Match Log'!$E$4:$E$1510="Win"),'Match Log'!$D$4:$D$1510,"")),IFERROR(LOOKUP(2,1/(('Match Log'!$A$4:$A$1510=$A662)*('Match Log'!$E$4:$E$1510="Win")),'Match Log'!$D$4:$D$1510),""))</f>
        <v/>
      </c>
      <c r="E662" t="str">
        <f>IFERROR(INDEX('Match Log'!$F$4:$F$1510,MATCH($A662,'Match Log'!$A$4:$A$1510,0)),"")</f>
        <v/>
      </c>
      <c r="F662">
        <f>IFERROR(SUMIFS('Match Log'!$I$4:$I$1510,'Match Log'!$A$4:$A$1510,$A662,'Match Log'!$E$4:$E$1510,"Win"),"")</f>
        <v>0</v>
      </c>
      <c r="G662" t="str">
        <f t="shared" si="35"/>
        <v/>
      </c>
      <c r="H662" t="str">
        <f t="array" ref="H662">IFERROR(IF(COUNTIFS('Match Log'!$A$4:$A$1510,$A662,'Match Log'!$E$4:$E$1510,"Win")&gt;1,_xlfn.TEXTJOIN(" + ",TRUE(),IF(('Match Log'!$A$4:$A$1510=$A662)*('Match Log'!$E$4:$E$1510="Loss"),'Match Log'!$D$4:$D$1510,"")),IF($E662=2,LOOKUP(2,1/(('Match Log'!$A$4:$A$1510=$A662)*('Match Log'!$E$4:$E$1510="Loss")),'Match Log'!$D$4:$D$1510),"the field")),"")</f>
        <v>the field</v>
      </c>
      <c r="I662" t="str">
        <f t="shared" si="36"/>
        <v/>
      </c>
      <c r="J662">
        <v>638</v>
      </c>
      <c r="K662" t="e">
        <f>IF($J662&gt;MAX('Match Log'!$A$4:$A$1510),NA(),IFERROR(LOOKUP(2,1/(('Match Log'!$D$4:$D$1510=$K$24)*('Match Log'!$A$4:$A$1510&lt;=$J662)),'Match Log'!$N$4:$N$1510),NA()))</f>
        <v>#N/A</v>
      </c>
      <c r="L662" t="e">
        <f>IF($J662&gt;MAX('Match Log'!$A$4:$A$1510),NA(),IFERROR(LOOKUP(2,1/(('Match Log'!$D$4:$D$1510=$L$24)*('Match Log'!$A$4:$A$1510&lt;=$J662)),'Match Log'!$N$4:$N$1510),NA()))</f>
        <v>#N/A</v>
      </c>
      <c r="M662" t="e">
        <f>IF($J662&gt;MAX('Match Log'!$A$4:$A$1510),NA(),IFERROR(LOOKUP(2,1/(('Match Log'!$D$4:$D$1510=$M$24)*('Match Log'!$A$4:$A$1510&lt;=$J662)),'Match Log'!$N$4:$N$1510),NA()))</f>
        <v>#N/A</v>
      </c>
      <c r="N662" t="e">
        <f>IF($J662&gt;MAX('Match Log'!$A$4:$A$1510),NA(),IFERROR(LOOKUP(2,1/(('Match Log'!$D$4:$D$1510=$N$24)*('Match Log'!$A$4:$A$1510&lt;=$J662)),'Match Log'!$N$4:$N$1510),NA()))</f>
        <v>#N/A</v>
      </c>
      <c r="O662" t="e">
        <f>IF($J662&gt;MAX('Match Log'!$A$4:$A$1510),NA(),IFERROR(LOOKUP(2,1/(('Match Log'!$D$4:$D$1510=$O$24)*('Match Log'!$A$4:$A$1510&lt;=$J662)),'Match Log'!$N$4:$N$1510),NA()))</f>
        <v>#N/A</v>
      </c>
      <c r="P662" t="e">
        <f>IF($J662&gt;MAX('Match Log'!$A$4:$A$1510),NA(),IFERROR(LOOKUP(2,1/(('Match Log'!$D$4:$D$1510=$P$24)*('Match Log'!$A$4:$A$1510&lt;=$J662)),'Match Log'!$N$4:$N$1510),NA()))</f>
        <v>#N/A</v>
      </c>
      <c r="Q662" t="e">
        <f>IF($J662&gt;MAX('Match Log'!$A$4:$A$1510),NA(),IFERROR(LOOKUP(2,1/(('Match Log'!$D$4:$D$1510=$Q$24)*('Match Log'!$A$4:$A$1510&lt;=$J662)),'Match Log'!$N$4:$N$1510),NA()))</f>
        <v>#N/A</v>
      </c>
      <c r="R662" t="e">
        <f>IF($J662&gt;MAX('Match Log'!$A$4:$A$1510),NA(),IFERROR(LOOKUP(2,1/(('Match Log'!$D$4:$D$1510=$R$24)*('Match Log'!$A$4:$A$1510&lt;=$J662)),'Match Log'!$N$4:$N$1510),NA()))</f>
        <v>#N/A</v>
      </c>
      <c r="S662" t="e">
        <f>IF($J662&gt;MAX('Match Log'!$A$4:$A$1510),NA(),IFERROR(LOOKUP(2,1/(('Match Log'!$D$4:$D$1510=$S$24)*('Match Log'!$A$4:$A$1510&lt;=$J662)),'Match Log'!$N$4:$N$1510),NA()))</f>
        <v>#N/A</v>
      </c>
      <c r="T662" t="e">
        <f>IF($J662&gt;MAX('Match Log'!$A$4:$A$1510),NA(),IFERROR(LOOKUP(2,1/(('Match Log'!$D$4:$D$1510=$T$24)*('Match Log'!$A$4:$A$1510&lt;=$J662)),'Match Log'!$N$4:$N$1510),NA()))</f>
        <v>#N/A</v>
      </c>
      <c r="U662" t="e">
        <f>IF($J662&gt;MAX('Match Log'!$A$4:$A$1510),NA(),IFERROR(LOOKUP(2,1/(('Match Log'!$D$4:$D$1510=$U$24)*('Match Log'!$A$4:$A$1510&lt;=$J662)),'Match Log'!$N$4:$N$1510),NA()))</f>
        <v>#N/A</v>
      </c>
      <c r="V662" t="e">
        <f>IF($J662&gt;MAX('Match Log'!$A$4:$A$1510),NA(),IFERROR(LOOKUP(2,1/(('Match Log'!$D$4:$D$1510=$V$24)*('Match Log'!$A$4:$A$1510&lt;=$J662)),'Match Log'!$N$4:$N$1510),NA()))</f>
        <v>#N/A</v>
      </c>
      <c r="W662" t="e">
        <f>IF($J662&gt;MAX('Match Log'!$A$4:$A$1510),NA(),IFERROR(LOOKUP(2,1/(('Match Log'!$D$4:$D$1510=$W$24)*('Match Log'!$A$4:$A$1510&lt;=$J662)),'Match Log'!$N$4:$N$1510),NA()))</f>
        <v>#N/A</v>
      </c>
      <c r="X662" t="e">
        <f>IF($J662&gt;MAX('Match Log'!$A$4:$A$1510),NA(),IFERROR(LOOKUP(2,1/(('Match Log'!$D$4:$D$1510=$X$24)*('Match Log'!$A$4:$A$1510&lt;=$J662)),'Match Log'!$N$4:$N$1510),NA()))</f>
        <v>#N/A</v>
      </c>
      <c r="Y662" t="str">
        <f t="shared" ca="1" si="37"/>
        <v/>
      </c>
    </row>
    <row r="663" spans="1:25" x14ac:dyDescent="0.2">
      <c r="A663">
        <v>639</v>
      </c>
      <c r="B663" t="str">
        <f>IFERROR(INDEX('Match Log'!$B$4:$B$1510,MATCH($A663,'Match Log'!$A$4:$A$1510,0)),"")</f>
        <v/>
      </c>
      <c r="C663" t="str">
        <f>IFERROR(INDEX('Match Log'!$C$4:$C$1510,MATCH($A663,'Match Log'!$A$4:$A$1510,0)),"")</f>
        <v/>
      </c>
      <c r="D663" t="str">
        <f t="array" ref="D663">IFERROR(_xlfn.TEXTJOIN(" + ",TRUE(),IF(('Match Log'!$A$4:$A$1510=$A663)*('Match Log'!$E$4:$E$1510="Win"),'Match Log'!$D$4:$D$1510,"")),IFERROR(LOOKUP(2,1/(('Match Log'!$A$4:$A$1510=$A663)*('Match Log'!$E$4:$E$1510="Win")),'Match Log'!$D$4:$D$1510),""))</f>
        <v/>
      </c>
      <c r="E663" t="str">
        <f>IFERROR(INDEX('Match Log'!$F$4:$F$1510,MATCH($A663,'Match Log'!$A$4:$A$1510,0)),"")</f>
        <v/>
      </c>
      <c r="F663">
        <f>IFERROR(SUMIFS('Match Log'!$I$4:$I$1510,'Match Log'!$A$4:$A$1510,$A663,'Match Log'!$E$4:$E$1510,"Win"),"")</f>
        <v>0</v>
      </c>
      <c r="G663" t="str">
        <f t="shared" si="35"/>
        <v/>
      </c>
      <c r="H663" t="str">
        <f t="array" ref="H663">IFERROR(IF(COUNTIFS('Match Log'!$A$4:$A$1510,$A663,'Match Log'!$E$4:$E$1510,"Win")&gt;1,_xlfn.TEXTJOIN(" + ",TRUE(),IF(('Match Log'!$A$4:$A$1510=$A663)*('Match Log'!$E$4:$E$1510="Loss"),'Match Log'!$D$4:$D$1510,"")),IF($E663=2,LOOKUP(2,1/(('Match Log'!$A$4:$A$1510=$A663)*('Match Log'!$E$4:$E$1510="Loss")),'Match Log'!$D$4:$D$1510),"the field")),"")</f>
        <v>the field</v>
      </c>
      <c r="I663" t="str">
        <f t="shared" si="36"/>
        <v/>
      </c>
      <c r="J663">
        <v>639</v>
      </c>
      <c r="K663" t="e">
        <f>IF($J663&gt;MAX('Match Log'!$A$4:$A$1510),NA(),IFERROR(LOOKUP(2,1/(('Match Log'!$D$4:$D$1510=$K$24)*('Match Log'!$A$4:$A$1510&lt;=$J663)),'Match Log'!$N$4:$N$1510),NA()))</f>
        <v>#N/A</v>
      </c>
      <c r="L663" t="e">
        <f>IF($J663&gt;MAX('Match Log'!$A$4:$A$1510),NA(),IFERROR(LOOKUP(2,1/(('Match Log'!$D$4:$D$1510=$L$24)*('Match Log'!$A$4:$A$1510&lt;=$J663)),'Match Log'!$N$4:$N$1510),NA()))</f>
        <v>#N/A</v>
      </c>
      <c r="M663" t="e">
        <f>IF($J663&gt;MAX('Match Log'!$A$4:$A$1510),NA(),IFERROR(LOOKUP(2,1/(('Match Log'!$D$4:$D$1510=$M$24)*('Match Log'!$A$4:$A$1510&lt;=$J663)),'Match Log'!$N$4:$N$1510),NA()))</f>
        <v>#N/A</v>
      </c>
      <c r="N663" t="e">
        <f>IF($J663&gt;MAX('Match Log'!$A$4:$A$1510),NA(),IFERROR(LOOKUP(2,1/(('Match Log'!$D$4:$D$1510=$N$24)*('Match Log'!$A$4:$A$1510&lt;=$J663)),'Match Log'!$N$4:$N$1510),NA()))</f>
        <v>#N/A</v>
      </c>
      <c r="O663" t="e">
        <f>IF($J663&gt;MAX('Match Log'!$A$4:$A$1510),NA(),IFERROR(LOOKUP(2,1/(('Match Log'!$D$4:$D$1510=$O$24)*('Match Log'!$A$4:$A$1510&lt;=$J663)),'Match Log'!$N$4:$N$1510),NA()))</f>
        <v>#N/A</v>
      </c>
      <c r="P663" t="e">
        <f>IF($J663&gt;MAX('Match Log'!$A$4:$A$1510),NA(),IFERROR(LOOKUP(2,1/(('Match Log'!$D$4:$D$1510=$P$24)*('Match Log'!$A$4:$A$1510&lt;=$J663)),'Match Log'!$N$4:$N$1510),NA()))</f>
        <v>#N/A</v>
      </c>
      <c r="Q663" t="e">
        <f>IF($J663&gt;MAX('Match Log'!$A$4:$A$1510),NA(),IFERROR(LOOKUP(2,1/(('Match Log'!$D$4:$D$1510=$Q$24)*('Match Log'!$A$4:$A$1510&lt;=$J663)),'Match Log'!$N$4:$N$1510),NA()))</f>
        <v>#N/A</v>
      </c>
      <c r="R663" t="e">
        <f>IF($J663&gt;MAX('Match Log'!$A$4:$A$1510),NA(),IFERROR(LOOKUP(2,1/(('Match Log'!$D$4:$D$1510=$R$24)*('Match Log'!$A$4:$A$1510&lt;=$J663)),'Match Log'!$N$4:$N$1510),NA()))</f>
        <v>#N/A</v>
      </c>
      <c r="S663" t="e">
        <f>IF($J663&gt;MAX('Match Log'!$A$4:$A$1510),NA(),IFERROR(LOOKUP(2,1/(('Match Log'!$D$4:$D$1510=$S$24)*('Match Log'!$A$4:$A$1510&lt;=$J663)),'Match Log'!$N$4:$N$1510),NA()))</f>
        <v>#N/A</v>
      </c>
      <c r="T663" t="e">
        <f>IF($J663&gt;MAX('Match Log'!$A$4:$A$1510),NA(),IFERROR(LOOKUP(2,1/(('Match Log'!$D$4:$D$1510=$T$24)*('Match Log'!$A$4:$A$1510&lt;=$J663)),'Match Log'!$N$4:$N$1510),NA()))</f>
        <v>#N/A</v>
      </c>
      <c r="U663" t="e">
        <f>IF($J663&gt;MAX('Match Log'!$A$4:$A$1510),NA(),IFERROR(LOOKUP(2,1/(('Match Log'!$D$4:$D$1510=$U$24)*('Match Log'!$A$4:$A$1510&lt;=$J663)),'Match Log'!$N$4:$N$1510),NA()))</f>
        <v>#N/A</v>
      </c>
      <c r="V663" t="e">
        <f>IF($J663&gt;MAX('Match Log'!$A$4:$A$1510),NA(),IFERROR(LOOKUP(2,1/(('Match Log'!$D$4:$D$1510=$V$24)*('Match Log'!$A$4:$A$1510&lt;=$J663)),'Match Log'!$N$4:$N$1510),NA()))</f>
        <v>#N/A</v>
      </c>
      <c r="W663" t="e">
        <f>IF($J663&gt;MAX('Match Log'!$A$4:$A$1510),NA(),IFERROR(LOOKUP(2,1/(('Match Log'!$D$4:$D$1510=$W$24)*('Match Log'!$A$4:$A$1510&lt;=$J663)),'Match Log'!$N$4:$N$1510),NA()))</f>
        <v>#N/A</v>
      </c>
      <c r="X663" t="e">
        <f>IF($J663&gt;MAX('Match Log'!$A$4:$A$1510),NA(),IFERROR(LOOKUP(2,1/(('Match Log'!$D$4:$D$1510=$X$24)*('Match Log'!$A$4:$A$1510&lt;=$J663)),'Match Log'!$N$4:$N$1510),NA()))</f>
        <v>#N/A</v>
      </c>
      <c r="Y663" t="str">
        <f t="shared" ca="1" si="37"/>
        <v/>
      </c>
    </row>
    <row r="664" spans="1:25" x14ac:dyDescent="0.2">
      <c r="A664">
        <v>640</v>
      </c>
      <c r="B664" t="str">
        <f>IFERROR(INDEX('Match Log'!$B$4:$B$1510,MATCH($A664,'Match Log'!$A$4:$A$1510,0)),"")</f>
        <v/>
      </c>
      <c r="C664" t="str">
        <f>IFERROR(INDEX('Match Log'!$C$4:$C$1510,MATCH($A664,'Match Log'!$A$4:$A$1510,0)),"")</f>
        <v/>
      </c>
      <c r="D664" t="str">
        <f t="array" ref="D664">IFERROR(_xlfn.TEXTJOIN(" + ",TRUE(),IF(('Match Log'!$A$4:$A$1510=$A664)*('Match Log'!$E$4:$E$1510="Win"),'Match Log'!$D$4:$D$1510,"")),IFERROR(LOOKUP(2,1/(('Match Log'!$A$4:$A$1510=$A664)*('Match Log'!$E$4:$E$1510="Win")),'Match Log'!$D$4:$D$1510),""))</f>
        <v/>
      </c>
      <c r="E664" t="str">
        <f>IFERROR(INDEX('Match Log'!$F$4:$F$1510,MATCH($A664,'Match Log'!$A$4:$A$1510,0)),"")</f>
        <v/>
      </c>
      <c r="F664">
        <f>IFERROR(SUMIFS('Match Log'!$I$4:$I$1510,'Match Log'!$A$4:$A$1510,$A664,'Match Log'!$E$4:$E$1510,"Win"),"")</f>
        <v>0</v>
      </c>
      <c r="G664" t="str">
        <f t="shared" ref="G664:G724" si="38">IF($D664="","",1-$F664*$E664)</f>
        <v/>
      </c>
      <c r="H664" t="str">
        <f t="array" ref="H664">IFERROR(IF(COUNTIFS('Match Log'!$A$4:$A$1510,$A664,'Match Log'!$E$4:$E$1510,"Win")&gt;1,_xlfn.TEXTJOIN(" + ",TRUE(),IF(('Match Log'!$A$4:$A$1510=$A664)*('Match Log'!$E$4:$E$1510="Loss"),'Match Log'!$D$4:$D$1510,"")),IF($E664=2,LOOKUP(2,1/(('Match Log'!$A$4:$A$1510=$A664)*('Match Log'!$E$4:$E$1510="Loss")),'Match Log'!$D$4:$D$1510),"the field")),"")</f>
        <v>the field</v>
      </c>
      <c r="I664" t="str">
        <f t="shared" ref="I664:I724" si="39">IF($G664="","",$G664-$A664/1000000)</f>
        <v/>
      </c>
      <c r="J664">
        <v>640</v>
      </c>
      <c r="K664" t="e">
        <f>IF($J664&gt;MAX('Match Log'!$A$4:$A$1510),NA(),IFERROR(LOOKUP(2,1/(('Match Log'!$D$4:$D$1510=$K$24)*('Match Log'!$A$4:$A$1510&lt;=$J664)),'Match Log'!$N$4:$N$1510),NA()))</f>
        <v>#N/A</v>
      </c>
      <c r="L664" t="e">
        <f>IF($J664&gt;MAX('Match Log'!$A$4:$A$1510),NA(),IFERROR(LOOKUP(2,1/(('Match Log'!$D$4:$D$1510=$L$24)*('Match Log'!$A$4:$A$1510&lt;=$J664)),'Match Log'!$N$4:$N$1510),NA()))</f>
        <v>#N/A</v>
      </c>
      <c r="M664" t="e">
        <f>IF($J664&gt;MAX('Match Log'!$A$4:$A$1510),NA(),IFERROR(LOOKUP(2,1/(('Match Log'!$D$4:$D$1510=$M$24)*('Match Log'!$A$4:$A$1510&lt;=$J664)),'Match Log'!$N$4:$N$1510),NA()))</f>
        <v>#N/A</v>
      </c>
      <c r="N664" t="e">
        <f>IF($J664&gt;MAX('Match Log'!$A$4:$A$1510),NA(),IFERROR(LOOKUP(2,1/(('Match Log'!$D$4:$D$1510=$N$24)*('Match Log'!$A$4:$A$1510&lt;=$J664)),'Match Log'!$N$4:$N$1510),NA()))</f>
        <v>#N/A</v>
      </c>
      <c r="O664" t="e">
        <f>IF($J664&gt;MAX('Match Log'!$A$4:$A$1510),NA(),IFERROR(LOOKUP(2,1/(('Match Log'!$D$4:$D$1510=$O$24)*('Match Log'!$A$4:$A$1510&lt;=$J664)),'Match Log'!$N$4:$N$1510),NA()))</f>
        <v>#N/A</v>
      </c>
      <c r="P664" t="e">
        <f>IF($J664&gt;MAX('Match Log'!$A$4:$A$1510),NA(),IFERROR(LOOKUP(2,1/(('Match Log'!$D$4:$D$1510=$P$24)*('Match Log'!$A$4:$A$1510&lt;=$J664)),'Match Log'!$N$4:$N$1510),NA()))</f>
        <v>#N/A</v>
      </c>
      <c r="Q664" t="e">
        <f>IF($J664&gt;MAX('Match Log'!$A$4:$A$1510),NA(),IFERROR(LOOKUP(2,1/(('Match Log'!$D$4:$D$1510=$Q$24)*('Match Log'!$A$4:$A$1510&lt;=$J664)),'Match Log'!$N$4:$N$1510),NA()))</f>
        <v>#N/A</v>
      </c>
      <c r="R664" t="e">
        <f>IF($J664&gt;MAX('Match Log'!$A$4:$A$1510),NA(),IFERROR(LOOKUP(2,1/(('Match Log'!$D$4:$D$1510=$R$24)*('Match Log'!$A$4:$A$1510&lt;=$J664)),'Match Log'!$N$4:$N$1510),NA()))</f>
        <v>#N/A</v>
      </c>
      <c r="S664" t="e">
        <f>IF($J664&gt;MAX('Match Log'!$A$4:$A$1510),NA(),IFERROR(LOOKUP(2,1/(('Match Log'!$D$4:$D$1510=$S$24)*('Match Log'!$A$4:$A$1510&lt;=$J664)),'Match Log'!$N$4:$N$1510),NA()))</f>
        <v>#N/A</v>
      </c>
      <c r="T664" t="e">
        <f>IF($J664&gt;MAX('Match Log'!$A$4:$A$1510),NA(),IFERROR(LOOKUP(2,1/(('Match Log'!$D$4:$D$1510=$T$24)*('Match Log'!$A$4:$A$1510&lt;=$J664)),'Match Log'!$N$4:$N$1510),NA()))</f>
        <v>#N/A</v>
      </c>
      <c r="U664" t="e">
        <f>IF($J664&gt;MAX('Match Log'!$A$4:$A$1510),NA(),IFERROR(LOOKUP(2,1/(('Match Log'!$D$4:$D$1510=$U$24)*('Match Log'!$A$4:$A$1510&lt;=$J664)),'Match Log'!$N$4:$N$1510),NA()))</f>
        <v>#N/A</v>
      </c>
      <c r="V664" t="e">
        <f>IF($J664&gt;MAX('Match Log'!$A$4:$A$1510),NA(),IFERROR(LOOKUP(2,1/(('Match Log'!$D$4:$D$1510=$V$24)*('Match Log'!$A$4:$A$1510&lt;=$J664)),'Match Log'!$N$4:$N$1510),NA()))</f>
        <v>#N/A</v>
      </c>
      <c r="W664" t="e">
        <f>IF($J664&gt;MAX('Match Log'!$A$4:$A$1510),NA(),IFERROR(LOOKUP(2,1/(('Match Log'!$D$4:$D$1510=$W$24)*('Match Log'!$A$4:$A$1510&lt;=$J664)),'Match Log'!$N$4:$N$1510),NA()))</f>
        <v>#N/A</v>
      </c>
      <c r="X664" t="e">
        <f>IF($J664&gt;MAX('Match Log'!$A$4:$A$1510),NA(),IFERROR(LOOKUP(2,1/(('Match Log'!$D$4:$D$1510=$X$24)*('Match Log'!$A$4:$A$1510&lt;=$J664)),'Match Log'!$N$4:$N$1510),NA()))</f>
        <v>#N/A</v>
      </c>
      <c r="Y664" t="str">
        <f t="shared" ref="Y664:Y724" ca="1" si="40">IF(AND($B664&lt;&gt;"",$B664&gt;=$B$5,$I664&lt;&gt;""),$I664,"")</f>
        <v/>
      </c>
    </row>
    <row r="665" spans="1:25" x14ac:dyDescent="0.2">
      <c r="A665">
        <v>641</v>
      </c>
      <c r="B665" t="str">
        <f>IFERROR(INDEX('Match Log'!$B$4:$B$1510,MATCH($A665,'Match Log'!$A$4:$A$1510,0)),"")</f>
        <v/>
      </c>
      <c r="C665" t="str">
        <f>IFERROR(INDEX('Match Log'!$C$4:$C$1510,MATCH($A665,'Match Log'!$A$4:$A$1510,0)),"")</f>
        <v/>
      </c>
      <c r="D665" t="str">
        <f t="array" ref="D665">IFERROR(_xlfn.TEXTJOIN(" + ",TRUE(),IF(('Match Log'!$A$4:$A$1510=$A665)*('Match Log'!$E$4:$E$1510="Win"),'Match Log'!$D$4:$D$1510,"")),IFERROR(LOOKUP(2,1/(('Match Log'!$A$4:$A$1510=$A665)*('Match Log'!$E$4:$E$1510="Win")),'Match Log'!$D$4:$D$1510),""))</f>
        <v/>
      </c>
      <c r="E665" t="str">
        <f>IFERROR(INDEX('Match Log'!$F$4:$F$1510,MATCH($A665,'Match Log'!$A$4:$A$1510,0)),"")</f>
        <v/>
      </c>
      <c r="F665">
        <f>IFERROR(SUMIFS('Match Log'!$I$4:$I$1510,'Match Log'!$A$4:$A$1510,$A665,'Match Log'!$E$4:$E$1510,"Win"),"")</f>
        <v>0</v>
      </c>
      <c r="G665" t="str">
        <f t="shared" si="38"/>
        <v/>
      </c>
      <c r="H665" t="str">
        <f t="array" ref="H665">IFERROR(IF(COUNTIFS('Match Log'!$A$4:$A$1510,$A665,'Match Log'!$E$4:$E$1510,"Win")&gt;1,_xlfn.TEXTJOIN(" + ",TRUE(),IF(('Match Log'!$A$4:$A$1510=$A665)*('Match Log'!$E$4:$E$1510="Loss"),'Match Log'!$D$4:$D$1510,"")),IF($E665=2,LOOKUP(2,1/(('Match Log'!$A$4:$A$1510=$A665)*('Match Log'!$E$4:$E$1510="Loss")),'Match Log'!$D$4:$D$1510),"the field")),"")</f>
        <v>the field</v>
      </c>
      <c r="I665" t="str">
        <f t="shared" si="39"/>
        <v/>
      </c>
      <c r="J665">
        <v>641</v>
      </c>
      <c r="K665" t="e">
        <f>IF($J665&gt;MAX('Match Log'!$A$4:$A$1510),NA(),IFERROR(LOOKUP(2,1/(('Match Log'!$D$4:$D$1510=$K$24)*('Match Log'!$A$4:$A$1510&lt;=$J665)),'Match Log'!$N$4:$N$1510),NA()))</f>
        <v>#N/A</v>
      </c>
      <c r="L665" t="e">
        <f>IF($J665&gt;MAX('Match Log'!$A$4:$A$1510),NA(),IFERROR(LOOKUP(2,1/(('Match Log'!$D$4:$D$1510=$L$24)*('Match Log'!$A$4:$A$1510&lt;=$J665)),'Match Log'!$N$4:$N$1510),NA()))</f>
        <v>#N/A</v>
      </c>
      <c r="M665" t="e">
        <f>IF($J665&gt;MAX('Match Log'!$A$4:$A$1510),NA(),IFERROR(LOOKUP(2,1/(('Match Log'!$D$4:$D$1510=$M$24)*('Match Log'!$A$4:$A$1510&lt;=$J665)),'Match Log'!$N$4:$N$1510),NA()))</f>
        <v>#N/A</v>
      </c>
      <c r="N665" t="e">
        <f>IF($J665&gt;MAX('Match Log'!$A$4:$A$1510),NA(),IFERROR(LOOKUP(2,1/(('Match Log'!$D$4:$D$1510=$N$24)*('Match Log'!$A$4:$A$1510&lt;=$J665)),'Match Log'!$N$4:$N$1510),NA()))</f>
        <v>#N/A</v>
      </c>
      <c r="O665" t="e">
        <f>IF($J665&gt;MAX('Match Log'!$A$4:$A$1510),NA(),IFERROR(LOOKUP(2,1/(('Match Log'!$D$4:$D$1510=$O$24)*('Match Log'!$A$4:$A$1510&lt;=$J665)),'Match Log'!$N$4:$N$1510),NA()))</f>
        <v>#N/A</v>
      </c>
      <c r="P665" t="e">
        <f>IF($J665&gt;MAX('Match Log'!$A$4:$A$1510),NA(),IFERROR(LOOKUP(2,1/(('Match Log'!$D$4:$D$1510=$P$24)*('Match Log'!$A$4:$A$1510&lt;=$J665)),'Match Log'!$N$4:$N$1510),NA()))</f>
        <v>#N/A</v>
      </c>
      <c r="Q665" t="e">
        <f>IF($J665&gt;MAX('Match Log'!$A$4:$A$1510),NA(),IFERROR(LOOKUP(2,1/(('Match Log'!$D$4:$D$1510=$Q$24)*('Match Log'!$A$4:$A$1510&lt;=$J665)),'Match Log'!$N$4:$N$1510),NA()))</f>
        <v>#N/A</v>
      </c>
      <c r="R665" t="e">
        <f>IF($J665&gt;MAX('Match Log'!$A$4:$A$1510),NA(),IFERROR(LOOKUP(2,1/(('Match Log'!$D$4:$D$1510=$R$24)*('Match Log'!$A$4:$A$1510&lt;=$J665)),'Match Log'!$N$4:$N$1510),NA()))</f>
        <v>#N/A</v>
      </c>
      <c r="S665" t="e">
        <f>IF($J665&gt;MAX('Match Log'!$A$4:$A$1510),NA(),IFERROR(LOOKUP(2,1/(('Match Log'!$D$4:$D$1510=$S$24)*('Match Log'!$A$4:$A$1510&lt;=$J665)),'Match Log'!$N$4:$N$1510),NA()))</f>
        <v>#N/A</v>
      </c>
      <c r="T665" t="e">
        <f>IF($J665&gt;MAX('Match Log'!$A$4:$A$1510),NA(),IFERROR(LOOKUP(2,1/(('Match Log'!$D$4:$D$1510=$T$24)*('Match Log'!$A$4:$A$1510&lt;=$J665)),'Match Log'!$N$4:$N$1510),NA()))</f>
        <v>#N/A</v>
      </c>
      <c r="U665" t="e">
        <f>IF($J665&gt;MAX('Match Log'!$A$4:$A$1510),NA(),IFERROR(LOOKUP(2,1/(('Match Log'!$D$4:$D$1510=$U$24)*('Match Log'!$A$4:$A$1510&lt;=$J665)),'Match Log'!$N$4:$N$1510),NA()))</f>
        <v>#N/A</v>
      </c>
      <c r="V665" t="e">
        <f>IF($J665&gt;MAX('Match Log'!$A$4:$A$1510),NA(),IFERROR(LOOKUP(2,1/(('Match Log'!$D$4:$D$1510=$V$24)*('Match Log'!$A$4:$A$1510&lt;=$J665)),'Match Log'!$N$4:$N$1510),NA()))</f>
        <v>#N/A</v>
      </c>
      <c r="W665" t="e">
        <f>IF($J665&gt;MAX('Match Log'!$A$4:$A$1510),NA(),IFERROR(LOOKUP(2,1/(('Match Log'!$D$4:$D$1510=$W$24)*('Match Log'!$A$4:$A$1510&lt;=$J665)),'Match Log'!$N$4:$N$1510),NA()))</f>
        <v>#N/A</v>
      </c>
      <c r="X665" t="e">
        <f>IF($J665&gt;MAX('Match Log'!$A$4:$A$1510),NA(),IFERROR(LOOKUP(2,1/(('Match Log'!$D$4:$D$1510=$X$24)*('Match Log'!$A$4:$A$1510&lt;=$J665)),'Match Log'!$N$4:$N$1510),NA()))</f>
        <v>#N/A</v>
      </c>
      <c r="Y665" t="str">
        <f t="shared" ca="1" si="40"/>
        <v/>
      </c>
    </row>
    <row r="666" spans="1:25" x14ac:dyDescent="0.2">
      <c r="A666">
        <v>642</v>
      </c>
      <c r="B666" t="str">
        <f>IFERROR(INDEX('Match Log'!$B$4:$B$1510,MATCH($A666,'Match Log'!$A$4:$A$1510,0)),"")</f>
        <v/>
      </c>
      <c r="C666" t="str">
        <f>IFERROR(INDEX('Match Log'!$C$4:$C$1510,MATCH($A666,'Match Log'!$A$4:$A$1510,0)),"")</f>
        <v/>
      </c>
      <c r="D666" t="str">
        <f t="array" ref="D666">IFERROR(_xlfn.TEXTJOIN(" + ",TRUE(),IF(('Match Log'!$A$4:$A$1510=$A666)*('Match Log'!$E$4:$E$1510="Win"),'Match Log'!$D$4:$D$1510,"")),IFERROR(LOOKUP(2,1/(('Match Log'!$A$4:$A$1510=$A666)*('Match Log'!$E$4:$E$1510="Win")),'Match Log'!$D$4:$D$1510),""))</f>
        <v/>
      </c>
      <c r="E666" t="str">
        <f>IFERROR(INDEX('Match Log'!$F$4:$F$1510,MATCH($A666,'Match Log'!$A$4:$A$1510,0)),"")</f>
        <v/>
      </c>
      <c r="F666">
        <f>IFERROR(SUMIFS('Match Log'!$I$4:$I$1510,'Match Log'!$A$4:$A$1510,$A666,'Match Log'!$E$4:$E$1510,"Win"),"")</f>
        <v>0</v>
      </c>
      <c r="G666" t="str">
        <f t="shared" si="38"/>
        <v/>
      </c>
      <c r="H666" t="str">
        <f t="array" ref="H666">IFERROR(IF(COUNTIFS('Match Log'!$A$4:$A$1510,$A666,'Match Log'!$E$4:$E$1510,"Win")&gt;1,_xlfn.TEXTJOIN(" + ",TRUE(),IF(('Match Log'!$A$4:$A$1510=$A666)*('Match Log'!$E$4:$E$1510="Loss"),'Match Log'!$D$4:$D$1510,"")),IF($E666=2,LOOKUP(2,1/(('Match Log'!$A$4:$A$1510=$A666)*('Match Log'!$E$4:$E$1510="Loss")),'Match Log'!$D$4:$D$1510),"the field")),"")</f>
        <v>the field</v>
      </c>
      <c r="I666" t="str">
        <f t="shared" si="39"/>
        <v/>
      </c>
      <c r="J666">
        <v>642</v>
      </c>
      <c r="K666" t="e">
        <f>IF($J666&gt;MAX('Match Log'!$A$4:$A$1510),NA(),IFERROR(LOOKUP(2,1/(('Match Log'!$D$4:$D$1510=$K$24)*('Match Log'!$A$4:$A$1510&lt;=$J666)),'Match Log'!$N$4:$N$1510),NA()))</f>
        <v>#N/A</v>
      </c>
      <c r="L666" t="e">
        <f>IF($J666&gt;MAX('Match Log'!$A$4:$A$1510),NA(),IFERROR(LOOKUP(2,1/(('Match Log'!$D$4:$D$1510=$L$24)*('Match Log'!$A$4:$A$1510&lt;=$J666)),'Match Log'!$N$4:$N$1510),NA()))</f>
        <v>#N/A</v>
      </c>
      <c r="M666" t="e">
        <f>IF($J666&gt;MAX('Match Log'!$A$4:$A$1510),NA(),IFERROR(LOOKUP(2,1/(('Match Log'!$D$4:$D$1510=$M$24)*('Match Log'!$A$4:$A$1510&lt;=$J666)),'Match Log'!$N$4:$N$1510),NA()))</f>
        <v>#N/A</v>
      </c>
      <c r="N666" t="e">
        <f>IF($J666&gt;MAX('Match Log'!$A$4:$A$1510),NA(),IFERROR(LOOKUP(2,1/(('Match Log'!$D$4:$D$1510=$N$24)*('Match Log'!$A$4:$A$1510&lt;=$J666)),'Match Log'!$N$4:$N$1510),NA()))</f>
        <v>#N/A</v>
      </c>
      <c r="O666" t="e">
        <f>IF($J666&gt;MAX('Match Log'!$A$4:$A$1510),NA(),IFERROR(LOOKUP(2,1/(('Match Log'!$D$4:$D$1510=$O$24)*('Match Log'!$A$4:$A$1510&lt;=$J666)),'Match Log'!$N$4:$N$1510),NA()))</f>
        <v>#N/A</v>
      </c>
      <c r="P666" t="e">
        <f>IF($J666&gt;MAX('Match Log'!$A$4:$A$1510),NA(),IFERROR(LOOKUP(2,1/(('Match Log'!$D$4:$D$1510=$P$24)*('Match Log'!$A$4:$A$1510&lt;=$J666)),'Match Log'!$N$4:$N$1510),NA()))</f>
        <v>#N/A</v>
      </c>
      <c r="Q666" t="e">
        <f>IF($J666&gt;MAX('Match Log'!$A$4:$A$1510),NA(),IFERROR(LOOKUP(2,1/(('Match Log'!$D$4:$D$1510=$Q$24)*('Match Log'!$A$4:$A$1510&lt;=$J666)),'Match Log'!$N$4:$N$1510),NA()))</f>
        <v>#N/A</v>
      </c>
      <c r="R666" t="e">
        <f>IF($J666&gt;MAX('Match Log'!$A$4:$A$1510),NA(),IFERROR(LOOKUP(2,1/(('Match Log'!$D$4:$D$1510=$R$24)*('Match Log'!$A$4:$A$1510&lt;=$J666)),'Match Log'!$N$4:$N$1510),NA()))</f>
        <v>#N/A</v>
      </c>
      <c r="S666" t="e">
        <f>IF($J666&gt;MAX('Match Log'!$A$4:$A$1510),NA(),IFERROR(LOOKUP(2,1/(('Match Log'!$D$4:$D$1510=$S$24)*('Match Log'!$A$4:$A$1510&lt;=$J666)),'Match Log'!$N$4:$N$1510),NA()))</f>
        <v>#N/A</v>
      </c>
      <c r="T666" t="e">
        <f>IF($J666&gt;MAX('Match Log'!$A$4:$A$1510),NA(),IFERROR(LOOKUP(2,1/(('Match Log'!$D$4:$D$1510=$T$24)*('Match Log'!$A$4:$A$1510&lt;=$J666)),'Match Log'!$N$4:$N$1510),NA()))</f>
        <v>#N/A</v>
      </c>
      <c r="U666" t="e">
        <f>IF($J666&gt;MAX('Match Log'!$A$4:$A$1510),NA(),IFERROR(LOOKUP(2,1/(('Match Log'!$D$4:$D$1510=$U$24)*('Match Log'!$A$4:$A$1510&lt;=$J666)),'Match Log'!$N$4:$N$1510),NA()))</f>
        <v>#N/A</v>
      </c>
      <c r="V666" t="e">
        <f>IF($J666&gt;MAX('Match Log'!$A$4:$A$1510),NA(),IFERROR(LOOKUP(2,1/(('Match Log'!$D$4:$D$1510=$V$24)*('Match Log'!$A$4:$A$1510&lt;=$J666)),'Match Log'!$N$4:$N$1510),NA()))</f>
        <v>#N/A</v>
      </c>
      <c r="W666" t="e">
        <f>IF($J666&gt;MAX('Match Log'!$A$4:$A$1510),NA(),IFERROR(LOOKUP(2,1/(('Match Log'!$D$4:$D$1510=$W$24)*('Match Log'!$A$4:$A$1510&lt;=$J666)),'Match Log'!$N$4:$N$1510),NA()))</f>
        <v>#N/A</v>
      </c>
      <c r="X666" t="e">
        <f>IF($J666&gt;MAX('Match Log'!$A$4:$A$1510),NA(),IFERROR(LOOKUP(2,1/(('Match Log'!$D$4:$D$1510=$X$24)*('Match Log'!$A$4:$A$1510&lt;=$J666)),'Match Log'!$N$4:$N$1510),NA()))</f>
        <v>#N/A</v>
      </c>
      <c r="Y666" t="str">
        <f t="shared" ca="1" si="40"/>
        <v/>
      </c>
    </row>
    <row r="667" spans="1:25" x14ac:dyDescent="0.2">
      <c r="A667">
        <v>643</v>
      </c>
      <c r="B667" t="str">
        <f>IFERROR(INDEX('Match Log'!$B$4:$B$1510,MATCH($A667,'Match Log'!$A$4:$A$1510,0)),"")</f>
        <v/>
      </c>
      <c r="C667" t="str">
        <f>IFERROR(INDEX('Match Log'!$C$4:$C$1510,MATCH($A667,'Match Log'!$A$4:$A$1510,0)),"")</f>
        <v/>
      </c>
      <c r="D667" t="str">
        <f t="array" ref="D667">IFERROR(_xlfn.TEXTJOIN(" + ",TRUE(),IF(('Match Log'!$A$4:$A$1510=$A667)*('Match Log'!$E$4:$E$1510="Win"),'Match Log'!$D$4:$D$1510,"")),IFERROR(LOOKUP(2,1/(('Match Log'!$A$4:$A$1510=$A667)*('Match Log'!$E$4:$E$1510="Win")),'Match Log'!$D$4:$D$1510),""))</f>
        <v/>
      </c>
      <c r="E667" t="str">
        <f>IFERROR(INDEX('Match Log'!$F$4:$F$1510,MATCH($A667,'Match Log'!$A$4:$A$1510,0)),"")</f>
        <v/>
      </c>
      <c r="F667">
        <f>IFERROR(SUMIFS('Match Log'!$I$4:$I$1510,'Match Log'!$A$4:$A$1510,$A667,'Match Log'!$E$4:$E$1510,"Win"),"")</f>
        <v>0</v>
      </c>
      <c r="G667" t="str">
        <f t="shared" si="38"/>
        <v/>
      </c>
      <c r="H667" t="str">
        <f t="array" ref="H667">IFERROR(IF(COUNTIFS('Match Log'!$A$4:$A$1510,$A667,'Match Log'!$E$4:$E$1510,"Win")&gt;1,_xlfn.TEXTJOIN(" + ",TRUE(),IF(('Match Log'!$A$4:$A$1510=$A667)*('Match Log'!$E$4:$E$1510="Loss"),'Match Log'!$D$4:$D$1510,"")),IF($E667=2,LOOKUP(2,1/(('Match Log'!$A$4:$A$1510=$A667)*('Match Log'!$E$4:$E$1510="Loss")),'Match Log'!$D$4:$D$1510),"the field")),"")</f>
        <v>the field</v>
      </c>
      <c r="I667" t="str">
        <f t="shared" si="39"/>
        <v/>
      </c>
      <c r="J667">
        <v>643</v>
      </c>
      <c r="K667" t="e">
        <f>IF($J667&gt;MAX('Match Log'!$A$4:$A$1510),NA(),IFERROR(LOOKUP(2,1/(('Match Log'!$D$4:$D$1510=$K$24)*('Match Log'!$A$4:$A$1510&lt;=$J667)),'Match Log'!$N$4:$N$1510),NA()))</f>
        <v>#N/A</v>
      </c>
      <c r="L667" t="e">
        <f>IF($J667&gt;MAX('Match Log'!$A$4:$A$1510),NA(),IFERROR(LOOKUP(2,1/(('Match Log'!$D$4:$D$1510=$L$24)*('Match Log'!$A$4:$A$1510&lt;=$J667)),'Match Log'!$N$4:$N$1510),NA()))</f>
        <v>#N/A</v>
      </c>
      <c r="M667" t="e">
        <f>IF($J667&gt;MAX('Match Log'!$A$4:$A$1510),NA(),IFERROR(LOOKUP(2,1/(('Match Log'!$D$4:$D$1510=$M$24)*('Match Log'!$A$4:$A$1510&lt;=$J667)),'Match Log'!$N$4:$N$1510),NA()))</f>
        <v>#N/A</v>
      </c>
      <c r="N667" t="e">
        <f>IF($J667&gt;MAX('Match Log'!$A$4:$A$1510),NA(),IFERROR(LOOKUP(2,1/(('Match Log'!$D$4:$D$1510=$N$24)*('Match Log'!$A$4:$A$1510&lt;=$J667)),'Match Log'!$N$4:$N$1510),NA()))</f>
        <v>#N/A</v>
      </c>
      <c r="O667" t="e">
        <f>IF($J667&gt;MAX('Match Log'!$A$4:$A$1510),NA(),IFERROR(LOOKUP(2,1/(('Match Log'!$D$4:$D$1510=$O$24)*('Match Log'!$A$4:$A$1510&lt;=$J667)),'Match Log'!$N$4:$N$1510),NA()))</f>
        <v>#N/A</v>
      </c>
      <c r="P667" t="e">
        <f>IF($J667&gt;MAX('Match Log'!$A$4:$A$1510),NA(),IFERROR(LOOKUP(2,1/(('Match Log'!$D$4:$D$1510=$P$24)*('Match Log'!$A$4:$A$1510&lt;=$J667)),'Match Log'!$N$4:$N$1510),NA()))</f>
        <v>#N/A</v>
      </c>
      <c r="Q667" t="e">
        <f>IF($J667&gt;MAX('Match Log'!$A$4:$A$1510),NA(),IFERROR(LOOKUP(2,1/(('Match Log'!$D$4:$D$1510=$Q$24)*('Match Log'!$A$4:$A$1510&lt;=$J667)),'Match Log'!$N$4:$N$1510),NA()))</f>
        <v>#N/A</v>
      </c>
      <c r="R667" t="e">
        <f>IF($J667&gt;MAX('Match Log'!$A$4:$A$1510),NA(),IFERROR(LOOKUP(2,1/(('Match Log'!$D$4:$D$1510=$R$24)*('Match Log'!$A$4:$A$1510&lt;=$J667)),'Match Log'!$N$4:$N$1510),NA()))</f>
        <v>#N/A</v>
      </c>
      <c r="S667" t="e">
        <f>IF($J667&gt;MAX('Match Log'!$A$4:$A$1510),NA(),IFERROR(LOOKUP(2,1/(('Match Log'!$D$4:$D$1510=$S$24)*('Match Log'!$A$4:$A$1510&lt;=$J667)),'Match Log'!$N$4:$N$1510),NA()))</f>
        <v>#N/A</v>
      </c>
      <c r="T667" t="e">
        <f>IF($J667&gt;MAX('Match Log'!$A$4:$A$1510),NA(),IFERROR(LOOKUP(2,1/(('Match Log'!$D$4:$D$1510=$T$24)*('Match Log'!$A$4:$A$1510&lt;=$J667)),'Match Log'!$N$4:$N$1510),NA()))</f>
        <v>#N/A</v>
      </c>
      <c r="U667" t="e">
        <f>IF($J667&gt;MAX('Match Log'!$A$4:$A$1510),NA(),IFERROR(LOOKUP(2,1/(('Match Log'!$D$4:$D$1510=$U$24)*('Match Log'!$A$4:$A$1510&lt;=$J667)),'Match Log'!$N$4:$N$1510),NA()))</f>
        <v>#N/A</v>
      </c>
      <c r="V667" t="e">
        <f>IF($J667&gt;MAX('Match Log'!$A$4:$A$1510),NA(),IFERROR(LOOKUP(2,1/(('Match Log'!$D$4:$D$1510=$V$24)*('Match Log'!$A$4:$A$1510&lt;=$J667)),'Match Log'!$N$4:$N$1510),NA()))</f>
        <v>#N/A</v>
      </c>
      <c r="W667" t="e">
        <f>IF($J667&gt;MAX('Match Log'!$A$4:$A$1510),NA(),IFERROR(LOOKUP(2,1/(('Match Log'!$D$4:$D$1510=$W$24)*('Match Log'!$A$4:$A$1510&lt;=$J667)),'Match Log'!$N$4:$N$1510),NA()))</f>
        <v>#N/A</v>
      </c>
      <c r="X667" t="e">
        <f>IF($J667&gt;MAX('Match Log'!$A$4:$A$1510),NA(),IFERROR(LOOKUP(2,1/(('Match Log'!$D$4:$D$1510=$X$24)*('Match Log'!$A$4:$A$1510&lt;=$J667)),'Match Log'!$N$4:$N$1510),NA()))</f>
        <v>#N/A</v>
      </c>
      <c r="Y667" t="str">
        <f t="shared" ca="1" si="40"/>
        <v/>
      </c>
    </row>
    <row r="668" spans="1:25" x14ac:dyDescent="0.2">
      <c r="A668">
        <v>644</v>
      </c>
      <c r="B668" t="str">
        <f>IFERROR(INDEX('Match Log'!$B$4:$B$1510,MATCH($A668,'Match Log'!$A$4:$A$1510,0)),"")</f>
        <v/>
      </c>
      <c r="C668" t="str">
        <f>IFERROR(INDEX('Match Log'!$C$4:$C$1510,MATCH($A668,'Match Log'!$A$4:$A$1510,0)),"")</f>
        <v/>
      </c>
      <c r="D668" t="str">
        <f t="array" ref="D668">IFERROR(_xlfn.TEXTJOIN(" + ",TRUE(),IF(('Match Log'!$A$4:$A$1510=$A668)*('Match Log'!$E$4:$E$1510="Win"),'Match Log'!$D$4:$D$1510,"")),IFERROR(LOOKUP(2,1/(('Match Log'!$A$4:$A$1510=$A668)*('Match Log'!$E$4:$E$1510="Win")),'Match Log'!$D$4:$D$1510),""))</f>
        <v/>
      </c>
      <c r="E668" t="str">
        <f>IFERROR(INDEX('Match Log'!$F$4:$F$1510,MATCH($A668,'Match Log'!$A$4:$A$1510,0)),"")</f>
        <v/>
      </c>
      <c r="F668">
        <f>IFERROR(SUMIFS('Match Log'!$I$4:$I$1510,'Match Log'!$A$4:$A$1510,$A668,'Match Log'!$E$4:$E$1510,"Win"),"")</f>
        <v>0</v>
      </c>
      <c r="G668" t="str">
        <f t="shared" si="38"/>
        <v/>
      </c>
      <c r="H668" t="str">
        <f t="array" ref="H668">IFERROR(IF(COUNTIFS('Match Log'!$A$4:$A$1510,$A668,'Match Log'!$E$4:$E$1510,"Win")&gt;1,_xlfn.TEXTJOIN(" + ",TRUE(),IF(('Match Log'!$A$4:$A$1510=$A668)*('Match Log'!$E$4:$E$1510="Loss"),'Match Log'!$D$4:$D$1510,"")),IF($E668=2,LOOKUP(2,1/(('Match Log'!$A$4:$A$1510=$A668)*('Match Log'!$E$4:$E$1510="Loss")),'Match Log'!$D$4:$D$1510),"the field")),"")</f>
        <v>the field</v>
      </c>
      <c r="I668" t="str">
        <f t="shared" si="39"/>
        <v/>
      </c>
      <c r="J668">
        <v>644</v>
      </c>
      <c r="K668" t="e">
        <f>IF($J668&gt;MAX('Match Log'!$A$4:$A$1510),NA(),IFERROR(LOOKUP(2,1/(('Match Log'!$D$4:$D$1510=$K$24)*('Match Log'!$A$4:$A$1510&lt;=$J668)),'Match Log'!$N$4:$N$1510),NA()))</f>
        <v>#N/A</v>
      </c>
      <c r="L668" t="e">
        <f>IF($J668&gt;MAX('Match Log'!$A$4:$A$1510),NA(),IFERROR(LOOKUP(2,1/(('Match Log'!$D$4:$D$1510=$L$24)*('Match Log'!$A$4:$A$1510&lt;=$J668)),'Match Log'!$N$4:$N$1510),NA()))</f>
        <v>#N/A</v>
      </c>
      <c r="M668" t="e">
        <f>IF($J668&gt;MAX('Match Log'!$A$4:$A$1510),NA(),IFERROR(LOOKUP(2,1/(('Match Log'!$D$4:$D$1510=$M$24)*('Match Log'!$A$4:$A$1510&lt;=$J668)),'Match Log'!$N$4:$N$1510),NA()))</f>
        <v>#N/A</v>
      </c>
      <c r="N668" t="e">
        <f>IF($J668&gt;MAX('Match Log'!$A$4:$A$1510),NA(),IFERROR(LOOKUP(2,1/(('Match Log'!$D$4:$D$1510=$N$24)*('Match Log'!$A$4:$A$1510&lt;=$J668)),'Match Log'!$N$4:$N$1510),NA()))</f>
        <v>#N/A</v>
      </c>
      <c r="O668" t="e">
        <f>IF($J668&gt;MAX('Match Log'!$A$4:$A$1510),NA(),IFERROR(LOOKUP(2,1/(('Match Log'!$D$4:$D$1510=$O$24)*('Match Log'!$A$4:$A$1510&lt;=$J668)),'Match Log'!$N$4:$N$1510),NA()))</f>
        <v>#N/A</v>
      </c>
      <c r="P668" t="e">
        <f>IF($J668&gt;MAX('Match Log'!$A$4:$A$1510),NA(),IFERROR(LOOKUP(2,1/(('Match Log'!$D$4:$D$1510=$P$24)*('Match Log'!$A$4:$A$1510&lt;=$J668)),'Match Log'!$N$4:$N$1510),NA()))</f>
        <v>#N/A</v>
      </c>
      <c r="Q668" t="e">
        <f>IF($J668&gt;MAX('Match Log'!$A$4:$A$1510),NA(),IFERROR(LOOKUP(2,1/(('Match Log'!$D$4:$D$1510=$Q$24)*('Match Log'!$A$4:$A$1510&lt;=$J668)),'Match Log'!$N$4:$N$1510),NA()))</f>
        <v>#N/A</v>
      </c>
      <c r="R668" t="e">
        <f>IF($J668&gt;MAX('Match Log'!$A$4:$A$1510),NA(),IFERROR(LOOKUP(2,1/(('Match Log'!$D$4:$D$1510=$R$24)*('Match Log'!$A$4:$A$1510&lt;=$J668)),'Match Log'!$N$4:$N$1510),NA()))</f>
        <v>#N/A</v>
      </c>
      <c r="S668" t="e">
        <f>IF($J668&gt;MAX('Match Log'!$A$4:$A$1510),NA(),IFERROR(LOOKUP(2,1/(('Match Log'!$D$4:$D$1510=$S$24)*('Match Log'!$A$4:$A$1510&lt;=$J668)),'Match Log'!$N$4:$N$1510),NA()))</f>
        <v>#N/A</v>
      </c>
      <c r="T668" t="e">
        <f>IF($J668&gt;MAX('Match Log'!$A$4:$A$1510),NA(),IFERROR(LOOKUP(2,1/(('Match Log'!$D$4:$D$1510=$T$24)*('Match Log'!$A$4:$A$1510&lt;=$J668)),'Match Log'!$N$4:$N$1510),NA()))</f>
        <v>#N/A</v>
      </c>
      <c r="U668" t="e">
        <f>IF($J668&gt;MAX('Match Log'!$A$4:$A$1510),NA(),IFERROR(LOOKUP(2,1/(('Match Log'!$D$4:$D$1510=$U$24)*('Match Log'!$A$4:$A$1510&lt;=$J668)),'Match Log'!$N$4:$N$1510),NA()))</f>
        <v>#N/A</v>
      </c>
      <c r="V668" t="e">
        <f>IF($J668&gt;MAX('Match Log'!$A$4:$A$1510),NA(),IFERROR(LOOKUP(2,1/(('Match Log'!$D$4:$D$1510=$V$24)*('Match Log'!$A$4:$A$1510&lt;=$J668)),'Match Log'!$N$4:$N$1510),NA()))</f>
        <v>#N/A</v>
      </c>
      <c r="W668" t="e">
        <f>IF($J668&gt;MAX('Match Log'!$A$4:$A$1510),NA(),IFERROR(LOOKUP(2,1/(('Match Log'!$D$4:$D$1510=$W$24)*('Match Log'!$A$4:$A$1510&lt;=$J668)),'Match Log'!$N$4:$N$1510),NA()))</f>
        <v>#N/A</v>
      </c>
      <c r="X668" t="e">
        <f>IF($J668&gt;MAX('Match Log'!$A$4:$A$1510),NA(),IFERROR(LOOKUP(2,1/(('Match Log'!$D$4:$D$1510=$X$24)*('Match Log'!$A$4:$A$1510&lt;=$J668)),'Match Log'!$N$4:$N$1510),NA()))</f>
        <v>#N/A</v>
      </c>
      <c r="Y668" t="str">
        <f t="shared" ca="1" si="40"/>
        <v/>
      </c>
    </row>
    <row r="669" spans="1:25" x14ac:dyDescent="0.2">
      <c r="A669">
        <v>645</v>
      </c>
      <c r="B669" t="str">
        <f>IFERROR(INDEX('Match Log'!$B$4:$B$1510,MATCH($A669,'Match Log'!$A$4:$A$1510,0)),"")</f>
        <v/>
      </c>
      <c r="C669" t="str">
        <f>IFERROR(INDEX('Match Log'!$C$4:$C$1510,MATCH($A669,'Match Log'!$A$4:$A$1510,0)),"")</f>
        <v/>
      </c>
      <c r="D669" t="str">
        <f t="array" ref="D669">IFERROR(_xlfn.TEXTJOIN(" + ",TRUE(),IF(('Match Log'!$A$4:$A$1510=$A669)*('Match Log'!$E$4:$E$1510="Win"),'Match Log'!$D$4:$D$1510,"")),IFERROR(LOOKUP(2,1/(('Match Log'!$A$4:$A$1510=$A669)*('Match Log'!$E$4:$E$1510="Win")),'Match Log'!$D$4:$D$1510),""))</f>
        <v/>
      </c>
      <c r="E669" t="str">
        <f>IFERROR(INDEX('Match Log'!$F$4:$F$1510,MATCH($A669,'Match Log'!$A$4:$A$1510,0)),"")</f>
        <v/>
      </c>
      <c r="F669">
        <f>IFERROR(SUMIFS('Match Log'!$I$4:$I$1510,'Match Log'!$A$4:$A$1510,$A669,'Match Log'!$E$4:$E$1510,"Win"),"")</f>
        <v>0</v>
      </c>
      <c r="G669" t="str">
        <f t="shared" si="38"/>
        <v/>
      </c>
      <c r="H669" t="str">
        <f t="array" ref="H669">IFERROR(IF(COUNTIFS('Match Log'!$A$4:$A$1510,$A669,'Match Log'!$E$4:$E$1510,"Win")&gt;1,_xlfn.TEXTJOIN(" + ",TRUE(),IF(('Match Log'!$A$4:$A$1510=$A669)*('Match Log'!$E$4:$E$1510="Loss"),'Match Log'!$D$4:$D$1510,"")),IF($E669=2,LOOKUP(2,1/(('Match Log'!$A$4:$A$1510=$A669)*('Match Log'!$E$4:$E$1510="Loss")),'Match Log'!$D$4:$D$1510),"the field")),"")</f>
        <v>the field</v>
      </c>
      <c r="I669" t="str">
        <f t="shared" si="39"/>
        <v/>
      </c>
      <c r="J669">
        <v>645</v>
      </c>
      <c r="K669" t="e">
        <f>IF($J669&gt;MAX('Match Log'!$A$4:$A$1510),NA(),IFERROR(LOOKUP(2,1/(('Match Log'!$D$4:$D$1510=$K$24)*('Match Log'!$A$4:$A$1510&lt;=$J669)),'Match Log'!$N$4:$N$1510),NA()))</f>
        <v>#N/A</v>
      </c>
      <c r="L669" t="e">
        <f>IF($J669&gt;MAX('Match Log'!$A$4:$A$1510),NA(),IFERROR(LOOKUP(2,1/(('Match Log'!$D$4:$D$1510=$L$24)*('Match Log'!$A$4:$A$1510&lt;=$J669)),'Match Log'!$N$4:$N$1510),NA()))</f>
        <v>#N/A</v>
      </c>
      <c r="M669" t="e">
        <f>IF($J669&gt;MAX('Match Log'!$A$4:$A$1510),NA(),IFERROR(LOOKUP(2,1/(('Match Log'!$D$4:$D$1510=$M$24)*('Match Log'!$A$4:$A$1510&lt;=$J669)),'Match Log'!$N$4:$N$1510),NA()))</f>
        <v>#N/A</v>
      </c>
      <c r="N669" t="e">
        <f>IF($J669&gt;MAX('Match Log'!$A$4:$A$1510),NA(),IFERROR(LOOKUP(2,1/(('Match Log'!$D$4:$D$1510=$N$24)*('Match Log'!$A$4:$A$1510&lt;=$J669)),'Match Log'!$N$4:$N$1510),NA()))</f>
        <v>#N/A</v>
      </c>
      <c r="O669" t="e">
        <f>IF($J669&gt;MAX('Match Log'!$A$4:$A$1510),NA(),IFERROR(LOOKUP(2,1/(('Match Log'!$D$4:$D$1510=$O$24)*('Match Log'!$A$4:$A$1510&lt;=$J669)),'Match Log'!$N$4:$N$1510),NA()))</f>
        <v>#N/A</v>
      </c>
      <c r="P669" t="e">
        <f>IF($J669&gt;MAX('Match Log'!$A$4:$A$1510),NA(),IFERROR(LOOKUP(2,1/(('Match Log'!$D$4:$D$1510=$P$24)*('Match Log'!$A$4:$A$1510&lt;=$J669)),'Match Log'!$N$4:$N$1510),NA()))</f>
        <v>#N/A</v>
      </c>
      <c r="Q669" t="e">
        <f>IF($J669&gt;MAX('Match Log'!$A$4:$A$1510),NA(),IFERROR(LOOKUP(2,1/(('Match Log'!$D$4:$D$1510=$Q$24)*('Match Log'!$A$4:$A$1510&lt;=$J669)),'Match Log'!$N$4:$N$1510),NA()))</f>
        <v>#N/A</v>
      </c>
      <c r="R669" t="e">
        <f>IF($J669&gt;MAX('Match Log'!$A$4:$A$1510),NA(),IFERROR(LOOKUP(2,1/(('Match Log'!$D$4:$D$1510=$R$24)*('Match Log'!$A$4:$A$1510&lt;=$J669)),'Match Log'!$N$4:$N$1510),NA()))</f>
        <v>#N/A</v>
      </c>
      <c r="S669" t="e">
        <f>IF($J669&gt;MAX('Match Log'!$A$4:$A$1510),NA(),IFERROR(LOOKUP(2,1/(('Match Log'!$D$4:$D$1510=$S$24)*('Match Log'!$A$4:$A$1510&lt;=$J669)),'Match Log'!$N$4:$N$1510),NA()))</f>
        <v>#N/A</v>
      </c>
      <c r="T669" t="e">
        <f>IF($J669&gt;MAX('Match Log'!$A$4:$A$1510),NA(),IFERROR(LOOKUP(2,1/(('Match Log'!$D$4:$D$1510=$T$24)*('Match Log'!$A$4:$A$1510&lt;=$J669)),'Match Log'!$N$4:$N$1510),NA()))</f>
        <v>#N/A</v>
      </c>
      <c r="U669" t="e">
        <f>IF($J669&gt;MAX('Match Log'!$A$4:$A$1510),NA(),IFERROR(LOOKUP(2,1/(('Match Log'!$D$4:$D$1510=$U$24)*('Match Log'!$A$4:$A$1510&lt;=$J669)),'Match Log'!$N$4:$N$1510),NA()))</f>
        <v>#N/A</v>
      </c>
      <c r="V669" t="e">
        <f>IF($J669&gt;MAX('Match Log'!$A$4:$A$1510),NA(),IFERROR(LOOKUP(2,1/(('Match Log'!$D$4:$D$1510=$V$24)*('Match Log'!$A$4:$A$1510&lt;=$J669)),'Match Log'!$N$4:$N$1510),NA()))</f>
        <v>#N/A</v>
      </c>
      <c r="W669" t="e">
        <f>IF($J669&gt;MAX('Match Log'!$A$4:$A$1510),NA(),IFERROR(LOOKUP(2,1/(('Match Log'!$D$4:$D$1510=$W$24)*('Match Log'!$A$4:$A$1510&lt;=$J669)),'Match Log'!$N$4:$N$1510),NA()))</f>
        <v>#N/A</v>
      </c>
      <c r="X669" t="e">
        <f>IF($J669&gt;MAX('Match Log'!$A$4:$A$1510),NA(),IFERROR(LOOKUP(2,1/(('Match Log'!$D$4:$D$1510=$X$24)*('Match Log'!$A$4:$A$1510&lt;=$J669)),'Match Log'!$N$4:$N$1510),NA()))</f>
        <v>#N/A</v>
      </c>
      <c r="Y669" t="str">
        <f t="shared" ca="1" si="40"/>
        <v/>
      </c>
    </row>
    <row r="670" spans="1:25" x14ac:dyDescent="0.2">
      <c r="A670">
        <v>646</v>
      </c>
      <c r="B670" t="str">
        <f>IFERROR(INDEX('Match Log'!$B$4:$B$1510,MATCH($A670,'Match Log'!$A$4:$A$1510,0)),"")</f>
        <v/>
      </c>
      <c r="C670" t="str">
        <f>IFERROR(INDEX('Match Log'!$C$4:$C$1510,MATCH($A670,'Match Log'!$A$4:$A$1510,0)),"")</f>
        <v/>
      </c>
      <c r="D670" t="str">
        <f t="array" ref="D670">IFERROR(_xlfn.TEXTJOIN(" + ",TRUE(),IF(('Match Log'!$A$4:$A$1510=$A670)*('Match Log'!$E$4:$E$1510="Win"),'Match Log'!$D$4:$D$1510,"")),IFERROR(LOOKUP(2,1/(('Match Log'!$A$4:$A$1510=$A670)*('Match Log'!$E$4:$E$1510="Win")),'Match Log'!$D$4:$D$1510),""))</f>
        <v/>
      </c>
      <c r="E670" t="str">
        <f>IFERROR(INDEX('Match Log'!$F$4:$F$1510,MATCH($A670,'Match Log'!$A$4:$A$1510,0)),"")</f>
        <v/>
      </c>
      <c r="F670">
        <f>IFERROR(SUMIFS('Match Log'!$I$4:$I$1510,'Match Log'!$A$4:$A$1510,$A670,'Match Log'!$E$4:$E$1510,"Win"),"")</f>
        <v>0</v>
      </c>
      <c r="G670" t="str">
        <f t="shared" si="38"/>
        <v/>
      </c>
      <c r="H670" t="str">
        <f t="array" ref="H670">IFERROR(IF(COUNTIFS('Match Log'!$A$4:$A$1510,$A670,'Match Log'!$E$4:$E$1510,"Win")&gt;1,_xlfn.TEXTJOIN(" + ",TRUE(),IF(('Match Log'!$A$4:$A$1510=$A670)*('Match Log'!$E$4:$E$1510="Loss"),'Match Log'!$D$4:$D$1510,"")),IF($E670=2,LOOKUP(2,1/(('Match Log'!$A$4:$A$1510=$A670)*('Match Log'!$E$4:$E$1510="Loss")),'Match Log'!$D$4:$D$1510),"the field")),"")</f>
        <v>the field</v>
      </c>
      <c r="I670" t="str">
        <f t="shared" si="39"/>
        <v/>
      </c>
      <c r="J670">
        <v>646</v>
      </c>
      <c r="K670" t="e">
        <f>IF($J670&gt;MAX('Match Log'!$A$4:$A$1510),NA(),IFERROR(LOOKUP(2,1/(('Match Log'!$D$4:$D$1510=$K$24)*('Match Log'!$A$4:$A$1510&lt;=$J670)),'Match Log'!$N$4:$N$1510),NA()))</f>
        <v>#N/A</v>
      </c>
      <c r="L670" t="e">
        <f>IF($J670&gt;MAX('Match Log'!$A$4:$A$1510),NA(),IFERROR(LOOKUP(2,1/(('Match Log'!$D$4:$D$1510=$L$24)*('Match Log'!$A$4:$A$1510&lt;=$J670)),'Match Log'!$N$4:$N$1510),NA()))</f>
        <v>#N/A</v>
      </c>
      <c r="M670" t="e">
        <f>IF($J670&gt;MAX('Match Log'!$A$4:$A$1510),NA(),IFERROR(LOOKUP(2,1/(('Match Log'!$D$4:$D$1510=$M$24)*('Match Log'!$A$4:$A$1510&lt;=$J670)),'Match Log'!$N$4:$N$1510),NA()))</f>
        <v>#N/A</v>
      </c>
      <c r="N670" t="e">
        <f>IF($J670&gt;MAX('Match Log'!$A$4:$A$1510),NA(),IFERROR(LOOKUP(2,1/(('Match Log'!$D$4:$D$1510=$N$24)*('Match Log'!$A$4:$A$1510&lt;=$J670)),'Match Log'!$N$4:$N$1510),NA()))</f>
        <v>#N/A</v>
      </c>
      <c r="O670" t="e">
        <f>IF($J670&gt;MAX('Match Log'!$A$4:$A$1510),NA(),IFERROR(LOOKUP(2,1/(('Match Log'!$D$4:$D$1510=$O$24)*('Match Log'!$A$4:$A$1510&lt;=$J670)),'Match Log'!$N$4:$N$1510),NA()))</f>
        <v>#N/A</v>
      </c>
      <c r="P670" t="e">
        <f>IF($J670&gt;MAX('Match Log'!$A$4:$A$1510),NA(),IFERROR(LOOKUP(2,1/(('Match Log'!$D$4:$D$1510=$P$24)*('Match Log'!$A$4:$A$1510&lt;=$J670)),'Match Log'!$N$4:$N$1510),NA()))</f>
        <v>#N/A</v>
      </c>
      <c r="Q670" t="e">
        <f>IF($J670&gt;MAX('Match Log'!$A$4:$A$1510),NA(),IFERROR(LOOKUP(2,1/(('Match Log'!$D$4:$D$1510=$Q$24)*('Match Log'!$A$4:$A$1510&lt;=$J670)),'Match Log'!$N$4:$N$1510),NA()))</f>
        <v>#N/A</v>
      </c>
      <c r="R670" t="e">
        <f>IF($J670&gt;MAX('Match Log'!$A$4:$A$1510),NA(),IFERROR(LOOKUP(2,1/(('Match Log'!$D$4:$D$1510=$R$24)*('Match Log'!$A$4:$A$1510&lt;=$J670)),'Match Log'!$N$4:$N$1510),NA()))</f>
        <v>#N/A</v>
      </c>
      <c r="S670" t="e">
        <f>IF($J670&gt;MAX('Match Log'!$A$4:$A$1510),NA(),IFERROR(LOOKUP(2,1/(('Match Log'!$D$4:$D$1510=$S$24)*('Match Log'!$A$4:$A$1510&lt;=$J670)),'Match Log'!$N$4:$N$1510),NA()))</f>
        <v>#N/A</v>
      </c>
      <c r="T670" t="e">
        <f>IF($J670&gt;MAX('Match Log'!$A$4:$A$1510),NA(),IFERROR(LOOKUP(2,1/(('Match Log'!$D$4:$D$1510=$T$24)*('Match Log'!$A$4:$A$1510&lt;=$J670)),'Match Log'!$N$4:$N$1510),NA()))</f>
        <v>#N/A</v>
      </c>
      <c r="U670" t="e">
        <f>IF($J670&gt;MAX('Match Log'!$A$4:$A$1510),NA(),IFERROR(LOOKUP(2,1/(('Match Log'!$D$4:$D$1510=$U$24)*('Match Log'!$A$4:$A$1510&lt;=$J670)),'Match Log'!$N$4:$N$1510),NA()))</f>
        <v>#N/A</v>
      </c>
      <c r="V670" t="e">
        <f>IF($J670&gt;MAX('Match Log'!$A$4:$A$1510),NA(),IFERROR(LOOKUP(2,1/(('Match Log'!$D$4:$D$1510=$V$24)*('Match Log'!$A$4:$A$1510&lt;=$J670)),'Match Log'!$N$4:$N$1510),NA()))</f>
        <v>#N/A</v>
      </c>
      <c r="W670" t="e">
        <f>IF($J670&gt;MAX('Match Log'!$A$4:$A$1510),NA(),IFERROR(LOOKUP(2,1/(('Match Log'!$D$4:$D$1510=$W$24)*('Match Log'!$A$4:$A$1510&lt;=$J670)),'Match Log'!$N$4:$N$1510),NA()))</f>
        <v>#N/A</v>
      </c>
      <c r="X670" t="e">
        <f>IF($J670&gt;MAX('Match Log'!$A$4:$A$1510),NA(),IFERROR(LOOKUP(2,1/(('Match Log'!$D$4:$D$1510=$X$24)*('Match Log'!$A$4:$A$1510&lt;=$J670)),'Match Log'!$N$4:$N$1510),NA()))</f>
        <v>#N/A</v>
      </c>
      <c r="Y670" t="str">
        <f t="shared" ca="1" si="40"/>
        <v/>
      </c>
    </row>
    <row r="671" spans="1:25" x14ac:dyDescent="0.2">
      <c r="A671">
        <v>647</v>
      </c>
      <c r="B671" t="str">
        <f>IFERROR(INDEX('Match Log'!$B$4:$B$1510,MATCH($A671,'Match Log'!$A$4:$A$1510,0)),"")</f>
        <v/>
      </c>
      <c r="C671" t="str">
        <f>IFERROR(INDEX('Match Log'!$C$4:$C$1510,MATCH($A671,'Match Log'!$A$4:$A$1510,0)),"")</f>
        <v/>
      </c>
      <c r="D671" t="str">
        <f t="array" ref="D671">IFERROR(_xlfn.TEXTJOIN(" + ",TRUE(),IF(('Match Log'!$A$4:$A$1510=$A671)*('Match Log'!$E$4:$E$1510="Win"),'Match Log'!$D$4:$D$1510,"")),IFERROR(LOOKUP(2,1/(('Match Log'!$A$4:$A$1510=$A671)*('Match Log'!$E$4:$E$1510="Win")),'Match Log'!$D$4:$D$1510),""))</f>
        <v/>
      </c>
      <c r="E671" t="str">
        <f>IFERROR(INDEX('Match Log'!$F$4:$F$1510,MATCH($A671,'Match Log'!$A$4:$A$1510,0)),"")</f>
        <v/>
      </c>
      <c r="F671">
        <f>IFERROR(SUMIFS('Match Log'!$I$4:$I$1510,'Match Log'!$A$4:$A$1510,$A671,'Match Log'!$E$4:$E$1510,"Win"),"")</f>
        <v>0</v>
      </c>
      <c r="G671" t="str">
        <f t="shared" si="38"/>
        <v/>
      </c>
      <c r="H671" t="str">
        <f t="array" ref="H671">IFERROR(IF(COUNTIFS('Match Log'!$A$4:$A$1510,$A671,'Match Log'!$E$4:$E$1510,"Win")&gt;1,_xlfn.TEXTJOIN(" + ",TRUE(),IF(('Match Log'!$A$4:$A$1510=$A671)*('Match Log'!$E$4:$E$1510="Loss"),'Match Log'!$D$4:$D$1510,"")),IF($E671=2,LOOKUP(2,1/(('Match Log'!$A$4:$A$1510=$A671)*('Match Log'!$E$4:$E$1510="Loss")),'Match Log'!$D$4:$D$1510),"the field")),"")</f>
        <v>the field</v>
      </c>
      <c r="I671" t="str">
        <f t="shared" si="39"/>
        <v/>
      </c>
      <c r="J671">
        <v>647</v>
      </c>
      <c r="K671" t="e">
        <f>IF($J671&gt;MAX('Match Log'!$A$4:$A$1510),NA(),IFERROR(LOOKUP(2,1/(('Match Log'!$D$4:$D$1510=$K$24)*('Match Log'!$A$4:$A$1510&lt;=$J671)),'Match Log'!$N$4:$N$1510),NA()))</f>
        <v>#N/A</v>
      </c>
      <c r="L671" t="e">
        <f>IF($J671&gt;MAX('Match Log'!$A$4:$A$1510),NA(),IFERROR(LOOKUP(2,1/(('Match Log'!$D$4:$D$1510=$L$24)*('Match Log'!$A$4:$A$1510&lt;=$J671)),'Match Log'!$N$4:$N$1510),NA()))</f>
        <v>#N/A</v>
      </c>
      <c r="M671" t="e">
        <f>IF($J671&gt;MAX('Match Log'!$A$4:$A$1510),NA(),IFERROR(LOOKUP(2,1/(('Match Log'!$D$4:$D$1510=$M$24)*('Match Log'!$A$4:$A$1510&lt;=$J671)),'Match Log'!$N$4:$N$1510),NA()))</f>
        <v>#N/A</v>
      </c>
      <c r="N671" t="e">
        <f>IF($J671&gt;MAX('Match Log'!$A$4:$A$1510),NA(),IFERROR(LOOKUP(2,1/(('Match Log'!$D$4:$D$1510=$N$24)*('Match Log'!$A$4:$A$1510&lt;=$J671)),'Match Log'!$N$4:$N$1510),NA()))</f>
        <v>#N/A</v>
      </c>
      <c r="O671" t="e">
        <f>IF($J671&gt;MAX('Match Log'!$A$4:$A$1510),NA(),IFERROR(LOOKUP(2,1/(('Match Log'!$D$4:$D$1510=$O$24)*('Match Log'!$A$4:$A$1510&lt;=$J671)),'Match Log'!$N$4:$N$1510),NA()))</f>
        <v>#N/A</v>
      </c>
      <c r="P671" t="e">
        <f>IF($J671&gt;MAX('Match Log'!$A$4:$A$1510),NA(),IFERROR(LOOKUP(2,1/(('Match Log'!$D$4:$D$1510=$P$24)*('Match Log'!$A$4:$A$1510&lt;=$J671)),'Match Log'!$N$4:$N$1510),NA()))</f>
        <v>#N/A</v>
      </c>
      <c r="Q671" t="e">
        <f>IF($J671&gt;MAX('Match Log'!$A$4:$A$1510),NA(),IFERROR(LOOKUP(2,1/(('Match Log'!$D$4:$D$1510=$Q$24)*('Match Log'!$A$4:$A$1510&lt;=$J671)),'Match Log'!$N$4:$N$1510),NA()))</f>
        <v>#N/A</v>
      </c>
      <c r="R671" t="e">
        <f>IF($J671&gt;MAX('Match Log'!$A$4:$A$1510),NA(),IFERROR(LOOKUP(2,1/(('Match Log'!$D$4:$D$1510=$R$24)*('Match Log'!$A$4:$A$1510&lt;=$J671)),'Match Log'!$N$4:$N$1510),NA()))</f>
        <v>#N/A</v>
      </c>
      <c r="S671" t="e">
        <f>IF($J671&gt;MAX('Match Log'!$A$4:$A$1510),NA(),IFERROR(LOOKUP(2,1/(('Match Log'!$D$4:$D$1510=$S$24)*('Match Log'!$A$4:$A$1510&lt;=$J671)),'Match Log'!$N$4:$N$1510),NA()))</f>
        <v>#N/A</v>
      </c>
      <c r="T671" t="e">
        <f>IF($J671&gt;MAX('Match Log'!$A$4:$A$1510),NA(),IFERROR(LOOKUP(2,1/(('Match Log'!$D$4:$D$1510=$T$24)*('Match Log'!$A$4:$A$1510&lt;=$J671)),'Match Log'!$N$4:$N$1510),NA()))</f>
        <v>#N/A</v>
      </c>
      <c r="U671" t="e">
        <f>IF($J671&gt;MAX('Match Log'!$A$4:$A$1510),NA(),IFERROR(LOOKUP(2,1/(('Match Log'!$D$4:$D$1510=$U$24)*('Match Log'!$A$4:$A$1510&lt;=$J671)),'Match Log'!$N$4:$N$1510),NA()))</f>
        <v>#N/A</v>
      </c>
      <c r="V671" t="e">
        <f>IF($J671&gt;MAX('Match Log'!$A$4:$A$1510),NA(),IFERROR(LOOKUP(2,1/(('Match Log'!$D$4:$D$1510=$V$24)*('Match Log'!$A$4:$A$1510&lt;=$J671)),'Match Log'!$N$4:$N$1510),NA()))</f>
        <v>#N/A</v>
      </c>
      <c r="W671" t="e">
        <f>IF($J671&gt;MAX('Match Log'!$A$4:$A$1510),NA(),IFERROR(LOOKUP(2,1/(('Match Log'!$D$4:$D$1510=$W$24)*('Match Log'!$A$4:$A$1510&lt;=$J671)),'Match Log'!$N$4:$N$1510),NA()))</f>
        <v>#N/A</v>
      </c>
      <c r="X671" t="e">
        <f>IF($J671&gt;MAX('Match Log'!$A$4:$A$1510),NA(),IFERROR(LOOKUP(2,1/(('Match Log'!$D$4:$D$1510=$X$24)*('Match Log'!$A$4:$A$1510&lt;=$J671)),'Match Log'!$N$4:$N$1510),NA()))</f>
        <v>#N/A</v>
      </c>
      <c r="Y671" t="str">
        <f t="shared" ca="1" si="40"/>
        <v/>
      </c>
    </row>
    <row r="672" spans="1:25" x14ac:dyDescent="0.2">
      <c r="A672">
        <v>648</v>
      </c>
      <c r="B672" t="str">
        <f>IFERROR(INDEX('Match Log'!$B$4:$B$1510,MATCH($A672,'Match Log'!$A$4:$A$1510,0)),"")</f>
        <v/>
      </c>
      <c r="C672" t="str">
        <f>IFERROR(INDEX('Match Log'!$C$4:$C$1510,MATCH($A672,'Match Log'!$A$4:$A$1510,0)),"")</f>
        <v/>
      </c>
      <c r="D672" t="str">
        <f t="array" ref="D672">IFERROR(_xlfn.TEXTJOIN(" + ",TRUE(),IF(('Match Log'!$A$4:$A$1510=$A672)*('Match Log'!$E$4:$E$1510="Win"),'Match Log'!$D$4:$D$1510,"")),IFERROR(LOOKUP(2,1/(('Match Log'!$A$4:$A$1510=$A672)*('Match Log'!$E$4:$E$1510="Win")),'Match Log'!$D$4:$D$1510),""))</f>
        <v/>
      </c>
      <c r="E672" t="str">
        <f>IFERROR(INDEX('Match Log'!$F$4:$F$1510,MATCH($A672,'Match Log'!$A$4:$A$1510,0)),"")</f>
        <v/>
      </c>
      <c r="F672">
        <f>IFERROR(SUMIFS('Match Log'!$I$4:$I$1510,'Match Log'!$A$4:$A$1510,$A672,'Match Log'!$E$4:$E$1510,"Win"),"")</f>
        <v>0</v>
      </c>
      <c r="G672" t="str">
        <f t="shared" si="38"/>
        <v/>
      </c>
      <c r="H672" t="str">
        <f t="array" ref="H672">IFERROR(IF(COUNTIFS('Match Log'!$A$4:$A$1510,$A672,'Match Log'!$E$4:$E$1510,"Win")&gt;1,_xlfn.TEXTJOIN(" + ",TRUE(),IF(('Match Log'!$A$4:$A$1510=$A672)*('Match Log'!$E$4:$E$1510="Loss"),'Match Log'!$D$4:$D$1510,"")),IF($E672=2,LOOKUP(2,1/(('Match Log'!$A$4:$A$1510=$A672)*('Match Log'!$E$4:$E$1510="Loss")),'Match Log'!$D$4:$D$1510),"the field")),"")</f>
        <v>the field</v>
      </c>
      <c r="I672" t="str">
        <f t="shared" si="39"/>
        <v/>
      </c>
      <c r="J672">
        <v>648</v>
      </c>
      <c r="K672" t="e">
        <f>IF($J672&gt;MAX('Match Log'!$A$4:$A$1510),NA(),IFERROR(LOOKUP(2,1/(('Match Log'!$D$4:$D$1510=$K$24)*('Match Log'!$A$4:$A$1510&lt;=$J672)),'Match Log'!$N$4:$N$1510),NA()))</f>
        <v>#N/A</v>
      </c>
      <c r="L672" t="e">
        <f>IF($J672&gt;MAX('Match Log'!$A$4:$A$1510),NA(),IFERROR(LOOKUP(2,1/(('Match Log'!$D$4:$D$1510=$L$24)*('Match Log'!$A$4:$A$1510&lt;=$J672)),'Match Log'!$N$4:$N$1510),NA()))</f>
        <v>#N/A</v>
      </c>
      <c r="M672" t="e">
        <f>IF($J672&gt;MAX('Match Log'!$A$4:$A$1510),NA(),IFERROR(LOOKUP(2,1/(('Match Log'!$D$4:$D$1510=$M$24)*('Match Log'!$A$4:$A$1510&lt;=$J672)),'Match Log'!$N$4:$N$1510),NA()))</f>
        <v>#N/A</v>
      </c>
      <c r="N672" t="e">
        <f>IF($J672&gt;MAX('Match Log'!$A$4:$A$1510),NA(),IFERROR(LOOKUP(2,1/(('Match Log'!$D$4:$D$1510=$N$24)*('Match Log'!$A$4:$A$1510&lt;=$J672)),'Match Log'!$N$4:$N$1510),NA()))</f>
        <v>#N/A</v>
      </c>
      <c r="O672" t="e">
        <f>IF($J672&gt;MAX('Match Log'!$A$4:$A$1510),NA(),IFERROR(LOOKUP(2,1/(('Match Log'!$D$4:$D$1510=$O$24)*('Match Log'!$A$4:$A$1510&lt;=$J672)),'Match Log'!$N$4:$N$1510),NA()))</f>
        <v>#N/A</v>
      </c>
      <c r="P672" t="e">
        <f>IF($J672&gt;MAX('Match Log'!$A$4:$A$1510),NA(),IFERROR(LOOKUP(2,1/(('Match Log'!$D$4:$D$1510=$P$24)*('Match Log'!$A$4:$A$1510&lt;=$J672)),'Match Log'!$N$4:$N$1510),NA()))</f>
        <v>#N/A</v>
      </c>
      <c r="Q672" t="e">
        <f>IF($J672&gt;MAX('Match Log'!$A$4:$A$1510),NA(),IFERROR(LOOKUP(2,1/(('Match Log'!$D$4:$D$1510=$Q$24)*('Match Log'!$A$4:$A$1510&lt;=$J672)),'Match Log'!$N$4:$N$1510),NA()))</f>
        <v>#N/A</v>
      </c>
      <c r="R672" t="e">
        <f>IF($J672&gt;MAX('Match Log'!$A$4:$A$1510),NA(),IFERROR(LOOKUP(2,1/(('Match Log'!$D$4:$D$1510=$R$24)*('Match Log'!$A$4:$A$1510&lt;=$J672)),'Match Log'!$N$4:$N$1510),NA()))</f>
        <v>#N/A</v>
      </c>
      <c r="S672" t="e">
        <f>IF($J672&gt;MAX('Match Log'!$A$4:$A$1510),NA(),IFERROR(LOOKUP(2,1/(('Match Log'!$D$4:$D$1510=$S$24)*('Match Log'!$A$4:$A$1510&lt;=$J672)),'Match Log'!$N$4:$N$1510),NA()))</f>
        <v>#N/A</v>
      </c>
      <c r="T672" t="e">
        <f>IF($J672&gt;MAX('Match Log'!$A$4:$A$1510),NA(),IFERROR(LOOKUP(2,1/(('Match Log'!$D$4:$D$1510=$T$24)*('Match Log'!$A$4:$A$1510&lt;=$J672)),'Match Log'!$N$4:$N$1510),NA()))</f>
        <v>#N/A</v>
      </c>
      <c r="U672" t="e">
        <f>IF($J672&gt;MAX('Match Log'!$A$4:$A$1510),NA(),IFERROR(LOOKUP(2,1/(('Match Log'!$D$4:$D$1510=$U$24)*('Match Log'!$A$4:$A$1510&lt;=$J672)),'Match Log'!$N$4:$N$1510),NA()))</f>
        <v>#N/A</v>
      </c>
      <c r="V672" t="e">
        <f>IF($J672&gt;MAX('Match Log'!$A$4:$A$1510),NA(),IFERROR(LOOKUP(2,1/(('Match Log'!$D$4:$D$1510=$V$24)*('Match Log'!$A$4:$A$1510&lt;=$J672)),'Match Log'!$N$4:$N$1510),NA()))</f>
        <v>#N/A</v>
      </c>
      <c r="W672" t="e">
        <f>IF($J672&gt;MAX('Match Log'!$A$4:$A$1510),NA(),IFERROR(LOOKUP(2,1/(('Match Log'!$D$4:$D$1510=$W$24)*('Match Log'!$A$4:$A$1510&lt;=$J672)),'Match Log'!$N$4:$N$1510),NA()))</f>
        <v>#N/A</v>
      </c>
      <c r="X672" t="e">
        <f>IF($J672&gt;MAX('Match Log'!$A$4:$A$1510),NA(),IFERROR(LOOKUP(2,1/(('Match Log'!$D$4:$D$1510=$X$24)*('Match Log'!$A$4:$A$1510&lt;=$J672)),'Match Log'!$N$4:$N$1510),NA()))</f>
        <v>#N/A</v>
      </c>
      <c r="Y672" t="str">
        <f t="shared" ca="1" si="40"/>
        <v/>
      </c>
    </row>
    <row r="673" spans="1:25" x14ac:dyDescent="0.2">
      <c r="A673">
        <v>649</v>
      </c>
      <c r="B673" t="str">
        <f>IFERROR(INDEX('Match Log'!$B$4:$B$1510,MATCH($A673,'Match Log'!$A$4:$A$1510,0)),"")</f>
        <v/>
      </c>
      <c r="C673" t="str">
        <f>IFERROR(INDEX('Match Log'!$C$4:$C$1510,MATCH($A673,'Match Log'!$A$4:$A$1510,0)),"")</f>
        <v/>
      </c>
      <c r="D673" t="str">
        <f t="array" ref="D673">IFERROR(_xlfn.TEXTJOIN(" + ",TRUE(),IF(('Match Log'!$A$4:$A$1510=$A673)*('Match Log'!$E$4:$E$1510="Win"),'Match Log'!$D$4:$D$1510,"")),IFERROR(LOOKUP(2,1/(('Match Log'!$A$4:$A$1510=$A673)*('Match Log'!$E$4:$E$1510="Win")),'Match Log'!$D$4:$D$1510),""))</f>
        <v/>
      </c>
      <c r="E673" t="str">
        <f>IFERROR(INDEX('Match Log'!$F$4:$F$1510,MATCH($A673,'Match Log'!$A$4:$A$1510,0)),"")</f>
        <v/>
      </c>
      <c r="F673">
        <f>IFERROR(SUMIFS('Match Log'!$I$4:$I$1510,'Match Log'!$A$4:$A$1510,$A673,'Match Log'!$E$4:$E$1510,"Win"),"")</f>
        <v>0</v>
      </c>
      <c r="G673" t="str">
        <f t="shared" si="38"/>
        <v/>
      </c>
      <c r="H673" t="str">
        <f t="array" ref="H673">IFERROR(IF(COUNTIFS('Match Log'!$A$4:$A$1510,$A673,'Match Log'!$E$4:$E$1510,"Win")&gt;1,_xlfn.TEXTJOIN(" + ",TRUE(),IF(('Match Log'!$A$4:$A$1510=$A673)*('Match Log'!$E$4:$E$1510="Loss"),'Match Log'!$D$4:$D$1510,"")),IF($E673=2,LOOKUP(2,1/(('Match Log'!$A$4:$A$1510=$A673)*('Match Log'!$E$4:$E$1510="Loss")),'Match Log'!$D$4:$D$1510),"the field")),"")</f>
        <v>the field</v>
      </c>
      <c r="I673" t="str">
        <f t="shared" si="39"/>
        <v/>
      </c>
      <c r="J673">
        <v>649</v>
      </c>
      <c r="K673" t="e">
        <f>IF($J673&gt;MAX('Match Log'!$A$4:$A$1510),NA(),IFERROR(LOOKUP(2,1/(('Match Log'!$D$4:$D$1510=$K$24)*('Match Log'!$A$4:$A$1510&lt;=$J673)),'Match Log'!$N$4:$N$1510),NA()))</f>
        <v>#N/A</v>
      </c>
      <c r="L673" t="e">
        <f>IF($J673&gt;MAX('Match Log'!$A$4:$A$1510),NA(),IFERROR(LOOKUP(2,1/(('Match Log'!$D$4:$D$1510=$L$24)*('Match Log'!$A$4:$A$1510&lt;=$J673)),'Match Log'!$N$4:$N$1510),NA()))</f>
        <v>#N/A</v>
      </c>
      <c r="M673" t="e">
        <f>IF($J673&gt;MAX('Match Log'!$A$4:$A$1510),NA(),IFERROR(LOOKUP(2,1/(('Match Log'!$D$4:$D$1510=$M$24)*('Match Log'!$A$4:$A$1510&lt;=$J673)),'Match Log'!$N$4:$N$1510),NA()))</f>
        <v>#N/A</v>
      </c>
      <c r="N673" t="e">
        <f>IF($J673&gt;MAX('Match Log'!$A$4:$A$1510),NA(),IFERROR(LOOKUP(2,1/(('Match Log'!$D$4:$D$1510=$N$24)*('Match Log'!$A$4:$A$1510&lt;=$J673)),'Match Log'!$N$4:$N$1510),NA()))</f>
        <v>#N/A</v>
      </c>
      <c r="O673" t="e">
        <f>IF($J673&gt;MAX('Match Log'!$A$4:$A$1510),NA(),IFERROR(LOOKUP(2,1/(('Match Log'!$D$4:$D$1510=$O$24)*('Match Log'!$A$4:$A$1510&lt;=$J673)),'Match Log'!$N$4:$N$1510),NA()))</f>
        <v>#N/A</v>
      </c>
      <c r="P673" t="e">
        <f>IF($J673&gt;MAX('Match Log'!$A$4:$A$1510),NA(),IFERROR(LOOKUP(2,1/(('Match Log'!$D$4:$D$1510=$P$24)*('Match Log'!$A$4:$A$1510&lt;=$J673)),'Match Log'!$N$4:$N$1510),NA()))</f>
        <v>#N/A</v>
      </c>
      <c r="Q673" t="e">
        <f>IF($J673&gt;MAX('Match Log'!$A$4:$A$1510),NA(),IFERROR(LOOKUP(2,1/(('Match Log'!$D$4:$D$1510=$Q$24)*('Match Log'!$A$4:$A$1510&lt;=$J673)),'Match Log'!$N$4:$N$1510),NA()))</f>
        <v>#N/A</v>
      </c>
      <c r="R673" t="e">
        <f>IF($J673&gt;MAX('Match Log'!$A$4:$A$1510),NA(),IFERROR(LOOKUP(2,1/(('Match Log'!$D$4:$D$1510=$R$24)*('Match Log'!$A$4:$A$1510&lt;=$J673)),'Match Log'!$N$4:$N$1510),NA()))</f>
        <v>#N/A</v>
      </c>
      <c r="S673" t="e">
        <f>IF($J673&gt;MAX('Match Log'!$A$4:$A$1510),NA(),IFERROR(LOOKUP(2,1/(('Match Log'!$D$4:$D$1510=$S$24)*('Match Log'!$A$4:$A$1510&lt;=$J673)),'Match Log'!$N$4:$N$1510),NA()))</f>
        <v>#N/A</v>
      </c>
      <c r="T673" t="e">
        <f>IF($J673&gt;MAX('Match Log'!$A$4:$A$1510),NA(),IFERROR(LOOKUP(2,1/(('Match Log'!$D$4:$D$1510=$T$24)*('Match Log'!$A$4:$A$1510&lt;=$J673)),'Match Log'!$N$4:$N$1510),NA()))</f>
        <v>#N/A</v>
      </c>
      <c r="U673" t="e">
        <f>IF($J673&gt;MAX('Match Log'!$A$4:$A$1510),NA(),IFERROR(LOOKUP(2,1/(('Match Log'!$D$4:$D$1510=$U$24)*('Match Log'!$A$4:$A$1510&lt;=$J673)),'Match Log'!$N$4:$N$1510),NA()))</f>
        <v>#N/A</v>
      </c>
      <c r="V673" t="e">
        <f>IF($J673&gt;MAX('Match Log'!$A$4:$A$1510),NA(),IFERROR(LOOKUP(2,1/(('Match Log'!$D$4:$D$1510=$V$24)*('Match Log'!$A$4:$A$1510&lt;=$J673)),'Match Log'!$N$4:$N$1510),NA()))</f>
        <v>#N/A</v>
      </c>
      <c r="W673" t="e">
        <f>IF($J673&gt;MAX('Match Log'!$A$4:$A$1510),NA(),IFERROR(LOOKUP(2,1/(('Match Log'!$D$4:$D$1510=$W$24)*('Match Log'!$A$4:$A$1510&lt;=$J673)),'Match Log'!$N$4:$N$1510),NA()))</f>
        <v>#N/A</v>
      </c>
      <c r="X673" t="e">
        <f>IF($J673&gt;MAX('Match Log'!$A$4:$A$1510),NA(),IFERROR(LOOKUP(2,1/(('Match Log'!$D$4:$D$1510=$X$24)*('Match Log'!$A$4:$A$1510&lt;=$J673)),'Match Log'!$N$4:$N$1510),NA()))</f>
        <v>#N/A</v>
      </c>
      <c r="Y673" t="str">
        <f t="shared" ca="1" si="40"/>
        <v/>
      </c>
    </row>
    <row r="674" spans="1:25" x14ac:dyDescent="0.2">
      <c r="A674">
        <v>650</v>
      </c>
      <c r="B674" t="str">
        <f>IFERROR(INDEX('Match Log'!$B$4:$B$1510,MATCH($A674,'Match Log'!$A$4:$A$1510,0)),"")</f>
        <v/>
      </c>
      <c r="C674" t="str">
        <f>IFERROR(INDEX('Match Log'!$C$4:$C$1510,MATCH($A674,'Match Log'!$A$4:$A$1510,0)),"")</f>
        <v/>
      </c>
      <c r="D674" t="str">
        <f t="array" ref="D674">IFERROR(_xlfn.TEXTJOIN(" + ",TRUE(),IF(('Match Log'!$A$4:$A$1510=$A674)*('Match Log'!$E$4:$E$1510="Win"),'Match Log'!$D$4:$D$1510,"")),IFERROR(LOOKUP(2,1/(('Match Log'!$A$4:$A$1510=$A674)*('Match Log'!$E$4:$E$1510="Win")),'Match Log'!$D$4:$D$1510),""))</f>
        <v/>
      </c>
      <c r="E674" t="str">
        <f>IFERROR(INDEX('Match Log'!$F$4:$F$1510,MATCH($A674,'Match Log'!$A$4:$A$1510,0)),"")</f>
        <v/>
      </c>
      <c r="F674">
        <f>IFERROR(SUMIFS('Match Log'!$I$4:$I$1510,'Match Log'!$A$4:$A$1510,$A674,'Match Log'!$E$4:$E$1510,"Win"),"")</f>
        <v>0</v>
      </c>
      <c r="G674" t="str">
        <f t="shared" si="38"/>
        <v/>
      </c>
      <c r="H674" t="str">
        <f t="array" ref="H674">IFERROR(IF(COUNTIFS('Match Log'!$A$4:$A$1510,$A674,'Match Log'!$E$4:$E$1510,"Win")&gt;1,_xlfn.TEXTJOIN(" + ",TRUE(),IF(('Match Log'!$A$4:$A$1510=$A674)*('Match Log'!$E$4:$E$1510="Loss"),'Match Log'!$D$4:$D$1510,"")),IF($E674=2,LOOKUP(2,1/(('Match Log'!$A$4:$A$1510=$A674)*('Match Log'!$E$4:$E$1510="Loss")),'Match Log'!$D$4:$D$1510),"the field")),"")</f>
        <v>the field</v>
      </c>
      <c r="I674" t="str">
        <f t="shared" si="39"/>
        <v/>
      </c>
      <c r="J674">
        <v>650</v>
      </c>
      <c r="K674" t="e">
        <f>IF($J674&gt;MAX('Match Log'!$A$4:$A$1510),NA(),IFERROR(LOOKUP(2,1/(('Match Log'!$D$4:$D$1510=$K$24)*('Match Log'!$A$4:$A$1510&lt;=$J674)),'Match Log'!$N$4:$N$1510),NA()))</f>
        <v>#N/A</v>
      </c>
      <c r="L674" t="e">
        <f>IF($J674&gt;MAX('Match Log'!$A$4:$A$1510),NA(),IFERROR(LOOKUP(2,1/(('Match Log'!$D$4:$D$1510=$L$24)*('Match Log'!$A$4:$A$1510&lt;=$J674)),'Match Log'!$N$4:$N$1510),NA()))</f>
        <v>#N/A</v>
      </c>
      <c r="M674" t="e">
        <f>IF($J674&gt;MAX('Match Log'!$A$4:$A$1510),NA(),IFERROR(LOOKUP(2,1/(('Match Log'!$D$4:$D$1510=$M$24)*('Match Log'!$A$4:$A$1510&lt;=$J674)),'Match Log'!$N$4:$N$1510),NA()))</f>
        <v>#N/A</v>
      </c>
      <c r="N674" t="e">
        <f>IF($J674&gt;MAX('Match Log'!$A$4:$A$1510),NA(),IFERROR(LOOKUP(2,1/(('Match Log'!$D$4:$D$1510=$N$24)*('Match Log'!$A$4:$A$1510&lt;=$J674)),'Match Log'!$N$4:$N$1510),NA()))</f>
        <v>#N/A</v>
      </c>
      <c r="O674" t="e">
        <f>IF($J674&gt;MAX('Match Log'!$A$4:$A$1510),NA(),IFERROR(LOOKUP(2,1/(('Match Log'!$D$4:$D$1510=$O$24)*('Match Log'!$A$4:$A$1510&lt;=$J674)),'Match Log'!$N$4:$N$1510),NA()))</f>
        <v>#N/A</v>
      </c>
      <c r="P674" t="e">
        <f>IF($J674&gt;MAX('Match Log'!$A$4:$A$1510),NA(),IFERROR(LOOKUP(2,1/(('Match Log'!$D$4:$D$1510=$P$24)*('Match Log'!$A$4:$A$1510&lt;=$J674)),'Match Log'!$N$4:$N$1510),NA()))</f>
        <v>#N/A</v>
      </c>
      <c r="Q674" t="e">
        <f>IF($J674&gt;MAX('Match Log'!$A$4:$A$1510),NA(),IFERROR(LOOKUP(2,1/(('Match Log'!$D$4:$D$1510=$Q$24)*('Match Log'!$A$4:$A$1510&lt;=$J674)),'Match Log'!$N$4:$N$1510),NA()))</f>
        <v>#N/A</v>
      </c>
      <c r="R674" t="e">
        <f>IF($J674&gt;MAX('Match Log'!$A$4:$A$1510),NA(),IFERROR(LOOKUP(2,1/(('Match Log'!$D$4:$D$1510=$R$24)*('Match Log'!$A$4:$A$1510&lt;=$J674)),'Match Log'!$N$4:$N$1510),NA()))</f>
        <v>#N/A</v>
      </c>
      <c r="S674" t="e">
        <f>IF($J674&gt;MAX('Match Log'!$A$4:$A$1510),NA(),IFERROR(LOOKUP(2,1/(('Match Log'!$D$4:$D$1510=$S$24)*('Match Log'!$A$4:$A$1510&lt;=$J674)),'Match Log'!$N$4:$N$1510),NA()))</f>
        <v>#N/A</v>
      </c>
      <c r="T674" t="e">
        <f>IF($J674&gt;MAX('Match Log'!$A$4:$A$1510),NA(),IFERROR(LOOKUP(2,1/(('Match Log'!$D$4:$D$1510=$T$24)*('Match Log'!$A$4:$A$1510&lt;=$J674)),'Match Log'!$N$4:$N$1510),NA()))</f>
        <v>#N/A</v>
      </c>
      <c r="U674" t="e">
        <f>IF($J674&gt;MAX('Match Log'!$A$4:$A$1510),NA(),IFERROR(LOOKUP(2,1/(('Match Log'!$D$4:$D$1510=$U$24)*('Match Log'!$A$4:$A$1510&lt;=$J674)),'Match Log'!$N$4:$N$1510),NA()))</f>
        <v>#N/A</v>
      </c>
      <c r="V674" t="e">
        <f>IF($J674&gt;MAX('Match Log'!$A$4:$A$1510),NA(),IFERROR(LOOKUP(2,1/(('Match Log'!$D$4:$D$1510=$V$24)*('Match Log'!$A$4:$A$1510&lt;=$J674)),'Match Log'!$N$4:$N$1510),NA()))</f>
        <v>#N/A</v>
      </c>
      <c r="W674" t="e">
        <f>IF($J674&gt;MAX('Match Log'!$A$4:$A$1510),NA(),IFERROR(LOOKUP(2,1/(('Match Log'!$D$4:$D$1510=$W$24)*('Match Log'!$A$4:$A$1510&lt;=$J674)),'Match Log'!$N$4:$N$1510),NA()))</f>
        <v>#N/A</v>
      </c>
      <c r="X674" t="e">
        <f>IF($J674&gt;MAX('Match Log'!$A$4:$A$1510),NA(),IFERROR(LOOKUP(2,1/(('Match Log'!$D$4:$D$1510=$X$24)*('Match Log'!$A$4:$A$1510&lt;=$J674)),'Match Log'!$N$4:$N$1510),NA()))</f>
        <v>#N/A</v>
      </c>
      <c r="Y674" t="str">
        <f t="shared" ca="1" si="40"/>
        <v/>
      </c>
    </row>
    <row r="675" spans="1:25" x14ac:dyDescent="0.2">
      <c r="A675">
        <v>651</v>
      </c>
      <c r="B675" t="str">
        <f>IFERROR(INDEX('Match Log'!$B$4:$B$1510,MATCH($A675,'Match Log'!$A$4:$A$1510,0)),"")</f>
        <v/>
      </c>
      <c r="C675" t="str">
        <f>IFERROR(INDEX('Match Log'!$C$4:$C$1510,MATCH($A675,'Match Log'!$A$4:$A$1510,0)),"")</f>
        <v/>
      </c>
      <c r="D675" t="str">
        <f t="array" ref="D675">IFERROR(_xlfn.TEXTJOIN(" + ",TRUE(),IF(('Match Log'!$A$4:$A$1510=$A675)*('Match Log'!$E$4:$E$1510="Win"),'Match Log'!$D$4:$D$1510,"")),IFERROR(LOOKUP(2,1/(('Match Log'!$A$4:$A$1510=$A675)*('Match Log'!$E$4:$E$1510="Win")),'Match Log'!$D$4:$D$1510),""))</f>
        <v/>
      </c>
      <c r="E675" t="str">
        <f>IFERROR(INDEX('Match Log'!$F$4:$F$1510,MATCH($A675,'Match Log'!$A$4:$A$1510,0)),"")</f>
        <v/>
      </c>
      <c r="F675">
        <f>IFERROR(SUMIFS('Match Log'!$I$4:$I$1510,'Match Log'!$A$4:$A$1510,$A675,'Match Log'!$E$4:$E$1510,"Win"),"")</f>
        <v>0</v>
      </c>
      <c r="G675" t="str">
        <f t="shared" si="38"/>
        <v/>
      </c>
      <c r="H675" t="str">
        <f t="array" ref="H675">IFERROR(IF(COUNTIFS('Match Log'!$A$4:$A$1510,$A675,'Match Log'!$E$4:$E$1510,"Win")&gt;1,_xlfn.TEXTJOIN(" + ",TRUE(),IF(('Match Log'!$A$4:$A$1510=$A675)*('Match Log'!$E$4:$E$1510="Loss"),'Match Log'!$D$4:$D$1510,"")),IF($E675=2,LOOKUP(2,1/(('Match Log'!$A$4:$A$1510=$A675)*('Match Log'!$E$4:$E$1510="Loss")),'Match Log'!$D$4:$D$1510),"the field")),"")</f>
        <v>the field</v>
      </c>
      <c r="I675" t="str">
        <f t="shared" si="39"/>
        <v/>
      </c>
      <c r="J675">
        <v>651</v>
      </c>
      <c r="K675" t="e">
        <f>IF($J675&gt;MAX('Match Log'!$A$4:$A$1510),NA(),IFERROR(LOOKUP(2,1/(('Match Log'!$D$4:$D$1510=$K$24)*('Match Log'!$A$4:$A$1510&lt;=$J675)),'Match Log'!$N$4:$N$1510),NA()))</f>
        <v>#N/A</v>
      </c>
      <c r="L675" t="e">
        <f>IF($J675&gt;MAX('Match Log'!$A$4:$A$1510),NA(),IFERROR(LOOKUP(2,1/(('Match Log'!$D$4:$D$1510=$L$24)*('Match Log'!$A$4:$A$1510&lt;=$J675)),'Match Log'!$N$4:$N$1510),NA()))</f>
        <v>#N/A</v>
      </c>
      <c r="M675" t="e">
        <f>IF($J675&gt;MAX('Match Log'!$A$4:$A$1510),NA(),IFERROR(LOOKUP(2,1/(('Match Log'!$D$4:$D$1510=$M$24)*('Match Log'!$A$4:$A$1510&lt;=$J675)),'Match Log'!$N$4:$N$1510),NA()))</f>
        <v>#N/A</v>
      </c>
      <c r="N675" t="e">
        <f>IF($J675&gt;MAX('Match Log'!$A$4:$A$1510),NA(),IFERROR(LOOKUP(2,1/(('Match Log'!$D$4:$D$1510=$N$24)*('Match Log'!$A$4:$A$1510&lt;=$J675)),'Match Log'!$N$4:$N$1510),NA()))</f>
        <v>#N/A</v>
      </c>
      <c r="O675" t="e">
        <f>IF($J675&gt;MAX('Match Log'!$A$4:$A$1510),NA(),IFERROR(LOOKUP(2,1/(('Match Log'!$D$4:$D$1510=$O$24)*('Match Log'!$A$4:$A$1510&lt;=$J675)),'Match Log'!$N$4:$N$1510),NA()))</f>
        <v>#N/A</v>
      </c>
      <c r="P675" t="e">
        <f>IF($J675&gt;MAX('Match Log'!$A$4:$A$1510),NA(),IFERROR(LOOKUP(2,1/(('Match Log'!$D$4:$D$1510=$P$24)*('Match Log'!$A$4:$A$1510&lt;=$J675)),'Match Log'!$N$4:$N$1510),NA()))</f>
        <v>#N/A</v>
      </c>
      <c r="Q675" t="e">
        <f>IF($J675&gt;MAX('Match Log'!$A$4:$A$1510),NA(),IFERROR(LOOKUP(2,1/(('Match Log'!$D$4:$D$1510=$Q$24)*('Match Log'!$A$4:$A$1510&lt;=$J675)),'Match Log'!$N$4:$N$1510),NA()))</f>
        <v>#N/A</v>
      </c>
      <c r="R675" t="e">
        <f>IF($J675&gt;MAX('Match Log'!$A$4:$A$1510),NA(),IFERROR(LOOKUP(2,1/(('Match Log'!$D$4:$D$1510=$R$24)*('Match Log'!$A$4:$A$1510&lt;=$J675)),'Match Log'!$N$4:$N$1510),NA()))</f>
        <v>#N/A</v>
      </c>
      <c r="S675" t="e">
        <f>IF($J675&gt;MAX('Match Log'!$A$4:$A$1510),NA(),IFERROR(LOOKUP(2,1/(('Match Log'!$D$4:$D$1510=$S$24)*('Match Log'!$A$4:$A$1510&lt;=$J675)),'Match Log'!$N$4:$N$1510),NA()))</f>
        <v>#N/A</v>
      </c>
      <c r="T675" t="e">
        <f>IF($J675&gt;MAX('Match Log'!$A$4:$A$1510),NA(),IFERROR(LOOKUP(2,1/(('Match Log'!$D$4:$D$1510=$T$24)*('Match Log'!$A$4:$A$1510&lt;=$J675)),'Match Log'!$N$4:$N$1510),NA()))</f>
        <v>#N/A</v>
      </c>
      <c r="U675" t="e">
        <f>IF($J675&gt;MAX('Match Log'!$A$4:$A$1510),NA(),IFERROR(LOOKUP(2,1/(('Match Log'!$D$4:$D$1510=$U$24)*('Match Log'!$A$4:$A$1510&lt;=$J675)),'Match Log'!$N$4:$N$1510),NA()))</f>
        <v>#N/A</v>
      </c>
      <c r="V675" t="e">
        <f>IF($J675&gt;MAX('Match Log'!$A$4:$A$1510),NA(),IFERROR(LOOKUP(2,1/(('Match Log'!$D$4:$D$1510=$V$24)*('Match Log'!$A$4:$A$1510&lt;=$J675)),'Match Log'!$N$4:$N$1510),NA()))</f>
        <v>#N/A</v>
      </c>
      <c r="W675" t="e">
        <f>IF($J675&gt;MAX('Match Log'!$A$4:$A$1510),NA(),IFERROR(LOOKUP(2,1/(('Match Log'!$D$4:$D$1510=$W$24)*('Match Log'!$A$4:$A$1510&lt;=$J675)),'Match Log'!$N$4:$N$1510),NA()))</f>
        <v>#N/A</v>
      </c>
      <c r="X675" t="e">
        <f>IF($J675&gt;MAX('Match Log'!$A$4:$A$1510),NA(),IFERROR(LOOKUP(2,1/(('Match Log'!$D$4:$D$1510=$X$24)*('Match Log'!$A$4:$A$1510&lt;=$J675)),'Match Log'!$N$4:$N$1510),NA()))</f>
        <v>#N/A</v>
      </c>
      <c r="Y675" t="str">
        <f t="shared" ca="1" si="40"/>
        <v/>
      </c>
    </row>
    <row r="676" spans="1:25" x14ac:dyDescent="0.2">
      <c r="A676">
        <v>652</v>
      </c>
      <c r="B676" t="str">
        <f>IFERROR(INDEX('Match Log'!$B$4:$B$1510,MATCH($A676,'Match Log'!$A$4:$A$1510,0)),"")</f>
        <v/>
      </c>
      <c r="C676" t="str">
        <f>IFERROR(INDEX('Match Log'!$C$4:$C$1510,MATCH($A676,'Match Log'!$A$4:$A$1510,0)),"")</f>
        <v/>
      </c>
      <c r="D676" t="str">
        <f t="array" ref="D676">IFERROR(_xlfn.TEXTJOIN(" + ",TRUE(),IF(('Match Log'!$A$4:$A$1510=$A676)*('Match Log'!$E$4:$E$1510="Win"),'Match Log'!$D$4:$D$1510,"")),IFERROR(LOOKUP(2,1/(('Match Log'!$A$4:$A$1510=$A676)*('Match Log'!$E$4:$E$1510="Win")),'Match Log'!$D$4:$D$1510),""))</f>
        <v/>
      </c>
      <c r="E676" t="str">
        <f>IFERROR(INDEX('Match Log'!$F$4:$F$1510,MATCH($A676,'Match Log'!$A$4:$A$1510,0)),"")</f>
        <v/>
      </c>
      <c r="F676">
        <f>IFERROR(SUMIFS('Match Log'!$I$4:$I$1510,'Match Log'!$A$4:$A$1510,$A676,'Match Log'!$E$4:$E$1510,"Win"),"")</f>
        <v>0</v>
      </c>
      <c r="G676" t="str">
        <f t="shared" si="38"/>
        <v/>
      </c>
      <c r="H676" t="str">
        <f t="array" ref="H676">IFERROR(IF(COUNTIFS('Match Log'!$A$4:$A$1510,$A676,'Match Log'!$E$4:$E$1510,"Win")&gt;1,_xlfn.TEXTJOIN(" + ",TRUE(),IF(('Match Log'!$A$4:$A$1510=$A676)*('Match Log'!$E$4:$E$1510="Loss"),'Match Log'!$D$4:$D$1510,"")),IF($E676=2,LOOKUP(2,1/(('Match Log'!$A$4:$A$1510=$A676)*('Match Log'!$E$4:$E$1510="Loss")),'Match Log'!$D$4:$D$1510),"the field")),"")</f>
        <v>the field</v>
      </c>
      <c r="I676" t="str">
        <f t="shared" si="39"/>
        <v/>
      </c>
      <c r="J676">
        <v>652</v>
      </c>
      <c r="K676" t="e">
        <f>IF($J676&gt;MAX('Match Log'!$A$4:$A$1510),NA(),IFERROR(LOOKUP(2,1/(('Match Log'!$D$4:$D$1510=$K$24)*('Match Log'!$A$4:$A$1510&lt;=$J676)),'Match Log'!$N$4:$N$1510),NA()))</f>
        <v>#N/A</v>
      </c>
      <c r="L676" t="e">
        <f>IF($J676&gt;MAX('Match Log'!$A$4:$A$1510),NA(),IFERROR(LOOKUP(2,1/(('Match Log'!$D$4:$D$1510=$L$24)*('Match Log'!$A$4:$A$1510&lt;=$J676)),'Match Log'!$N$4:$N$1510),NA()))</f>
        <v>#N/A</v>
      </c>
      <c r="M676" t="e">
        <f>IF($J676&gt;MAX('Match Log'!$A$4:$A$1510),NA(),IFERROR(LOOKUP(2,1/(('Match Log'!$D$4:$D$1510=$M$24)*('Match Log'!$A$4:$A$1510&lt;=$J676)),'Match Log'!$N$4:$N$1510),NA()))</f>
        <v>#N/A</v>
      </c>
      <c r="N676" t="e">
        <f>IF($J676&gt;MAX('Match Log'!$A$4:$A$1510),NA(),IFERROR(LOOKUP(2,1/(('Match Log'!$D$4:$D$1510=$N$24)*('Match Log'!$A$4:$A$1510&lt;=$J676)),'Match Log'!$N$4:$N$1510),NA()))</f>
        <v>#N/A</v>
      </c>
      <c r="O676" t="e">
        <f>IF($J676&gt;MAX('Match Log'!$A$4:$A$1510),NA(),IFERROR(LOOKUP(2,1/(('Match Log'!$D$4:$D$1510=$O$24)*('Match Log'!$A$4:$A$1510&lt;=$J676)),'Match Log'!$N$4:$N$1510),NA()))</f>
        <v>#N/A</v>
      </c>
      <c r="P676" t="e">
        <f>IF($J676&gt;MAX('Match Log'!$A$4:$A$1510),NA(),IFERROR(LOOKUP(2,1/(('Match Log'!$D$4:$D$1510=$P$24)*('Match Log'!$A$4:$A$1510&lt;=$J676)),'Match Log'!$N$4:$N$1510),NA()))</f>
        <v>#N/A</v>
      </c>
      <c r="Q676" t="e">
        <f>IF($J676&gt;MAX('Match Log'!$A$4:$A$1510),NA(),IFERROR(LOOKUP(2,1/(('Match Log'!$D$4:$D$1510=$Q$24)*('Match Log'!$A$4:$A$1510&lt;=$J676)),'Match Log'!$N$4:$N$1510),NA()))</f>
        <v>#N/A</v>
      </c>
      <c r="R676" t="e">
        <f>IF($J676&gt;MAX('Match Log'!$A$4:$A$1510),NA(),IFERROR(LOOKUP(2,1/(('Match Log'!$D$4:$D$1510=$R$24)*('Match Log'!$A$4:$A$1510&lt;=$J676)),'Match Log'!$N$4:$N$1510),NA()))</f>
        <v>#N/A</v>
      </c>
      <c r="S676" t="e">
        <f>IF($J676&gt;MAX('Match Log'!$A$4:$A$1510),NA(),IFERROR(LOOKUP(2,1/(('Match Log'!$D$4:$D$1510=$S$24)*('Match Log'!$A$4:$A$1510&lt;=$J676)),'Match Log'!$N$4:$N$1510),NA()))</f>
        <v>#N/A</v>
      </c>
      <c r="T676" t="e">
        <f>IF($J676&gt;MAX('Match Log'!$A$4:$A$1510),NA(),IFERROR(LOOKUP(2,1/(('Match Log'!$D$4:$D$1510=$T$24)*('Match Log'!$A$4:$A$1510&lt;=$J676)),'Match Log'!$N$4:$N$1510),NA()))</f>
        <v>#N/A</v>
      </c>
      <c r="U676" t="e">
        <f>IF($J676&gt;MAX('Match Log'!$A$4:$A$1510),NA(),IFERROR(LOOKUP(2,1/(('Match Log'!$D$4:$D$1510=$U$24)*('Match Log'!$A$4:$A$1510&lt;=$J676)),'Match Log'!$N$4:$N$1510),NA()))</f>
        <v>#N/A</v>
      </c>
      <c r="V676" t="e">
        <f>IF($J676&gt;MAX('Match Log'!$A$4:$A$1510),NA(),IFERROR(LOOKUP(2,1/(('Match Log'!$D$4:$D$1510=$V$24)*('Match Log'!$A$4:$A$1510&lt;=$J676)),'Match Log'!$N$4:$N$1510),NA()))</f>
        <v>#N/A</v>
      </c>
      <c r="W676" t="e">
        <f>IF($J676&gt;MAX('Match Log'!$A$4:$A$1510),NA(),IFERROR(LOOKUP(2,1/(('Match Log'!$D$4:$D$1510=$W$24)*('Match Log'!$A$4:$A$1510&lt;=$J676)),'Match Log'!$N$4:$N$1510),NA()))</f>
        <v>#N/A</v>
      </c>
      <c r="X676" t="e">
        <f>IF($J676&gt;MAX('Match Log'!$A$4:$A$1510),NA(),IFERROR(LOOKUP(2,1/(('Match Log'!$D$4:$D$1510=$X$24)*('Match Log'!$A$4:$A$1510&lt;=$J676)),'Match Log'!$N$4:$N$1510),NA()))</f>
        <v>#N/A</v>
      </c>
      <c r="Y676" t="str">
        <f t="shared" ca="1" si="40"/>
        <v/>
      </c>
    </row>
    <row r="677" spans="1:25" x14ac:dyDescent="0.2">
      <c r="A677">
        <v>653</v>
      </c>
      <c r="B677" t="str">
        <f>IFERROR(INDEX('Match Log'!$B$4:$B$1510,MATCH($A677,'Match Log'!$A$4:$A$1510,0)),"")</f>
        <v/>
      </c>
      <c r="C677" t="str">
        <f>IFERROR(INDEX('Match Log'!$C$4:$C$1510,MATCH($A677,'Match Log'!$A$4:$A$1510,0)),"")</f>
        <v/>
      </c>
      <c r="D677" t="str">
        <f t="array" ref="D677">IFERROR(_xlfn.TEXTJOIN(" + ",TRUE(),IF(('Match Log'!$A$4:$A$1510=$A677)*('Match Log'!$E$4:$E$1510="Win"),'Match Log'!$D$4:$D$1510,"")),IFERROR(LOOKUP(2,1/(('Match Log'!$A$4:$A$1510=$A677)*('Match Log'!$E$4:$E$1510="Win")),'Match Log'!$D$4:$D$1510),""))</f>
        <v/>
      </c>
      <c r="E677" t="str">
        <f>IFERROR(INDEX('Match Log'!$F$4:$F$1510,MATCH($A677,'Match Log'!$A$4:$A$1510,0)),"")</f>
        <v/>
      </c>
      <c r="F677">
        <f>IFERROR(SUMIFS('Match Log'!$I$4:$I$1510,'Match Log'!$A$4:$A$1510,$A677,'Match Log'!$E$4:$E$1510,"Win"),"")</f>
        <v>0</v>
      </c>
      <c r="G677" t="str">
        <f t="shared" si="38"/>
        <v/>
      </c>
      <c r="H677" t="str">
        <f t="array" ref="H677">IFERROR(IF(COUNTIFS('Match Log'!$A$4:$A$1510,$A677,'Match Log'!$E$4:$E$1510,"Win")&gt;1,_xlfn.TEXTJOIN(" + ",TRUE(),IF(('Match Log'!$A$4:$A$1510=$A677)*('Match Log'!$E$4:$E$1510="Loss"),'Match Log'!$D$4:$D$1510,"")),IF($E677=2,LOOKUP(2,1/(('Match Log'!$A$4:$A$1510=$A677)*('Match Log'!$E$4:$E$1510="Loss")),'Match Log'!$D$4:$D$1510),"the field")),"")</f>
        <v>the field</v>
      </c>
      <c r="I677" t="str">
        <f t="shared" si="39"/>
        <v/>
      </c>
      <c r="J677">
        <v>653</v>
      </c>
      <c r="K677" t="e">
        <f>IF($J677&gt;MAX('Match Log'!$A$4:$A$1510),NA(),IFERROR(LOOKUP(2,1/(('Match Log'!$D$4:$D$1510=$K$24)*('Match Log'!$A$4:$A$1510&lt;=$J677)),'Match Log'!$N$4:$N$1510),NA()))</f>
        <v>#N/A</v>
      </c>
      <c r="L677" t="e">
        <f>IF($J677&gt;MAX('Match Log'!$A$4:$A$1510),NA(),IFERROR(LOOKUP(2,1/(('Match Log'!$D$4:$D$1510=$L$24)*('Match Log'!$A$4:$A$1510&lt;=$J677)),'Match Log'!$N$4:$N$1510),NA()))</f>
        <v>#N/A</v>
      </c>
      <c r="M677" t="e">
        <f>IF($J677&gt;MAX('Match Log'!$A$4:$A$1510),NA(),IFERROR(LOOKUP(2,1/(('Match Log'!$D$4:$D$1510=$M$24)*('Match Log'!$A$4:$A$1510&lt;=$J677)),'Match Log'!$N$4:$N$1510),NA()))</f>
        <v>#N/A</v>
      </c>
      <c r="N677" t="e">
        <f>IF($J677&gt;MAX('Match Log'!$A$4:$A$1510),NA(),IFERROR(LOOKUP(2,1/(('Match Log'!$D$4:$D$1510=$N$24)*('Match Log'!$A$4:$A$1510&lt;=$J677)),'Match Log'!$N$4:$N$1510),NA()))</f>
        <v>#N/A</v>
      </c>
      <c r="O677" t="e">
        <f>IF($J677&gt;MAX('Match Log'!$A$4:$A$1510),NA(),IFERROR(LOOKUP(2,1/(('Match Log'!$D$4:$D$1510=$O$24)*('Match Log'!$A$4:$A$1510&lt;=$J677)),'Match Log'!$N$4:$N$1510),NA()))</f>
        <v>#N/A</v>
      </c>
      <c r="P677" t="e">
        <f>IF($J677&gt;MAX('Match Log'!$A$4:$A$1510),NA(),IFERROR(LOOKUP(2,1/(('Match Log'!$D$4:$D$1510=$P$24)*('Match Log'!$A$4:$A$1510&lt;=$J677)),'Match Log'!$N$4:$N$1510),NA()))</f>
        <v>#N/A</v>
      </c>
      <c r="Q677" t="e">
        <f>IF($J677&gt;MAX('Match Log'!$A$4:$A$1510),NA(),IFERROR(LOOKUP(2,1/(('Match Log'!$D$4:$D$1510=$Q$24)*('Match Log'!$A$4:$A$1510&lt;=$J677)),'Match Log'!$N$4:$N$1510),NA()))</f>
        <v>#N/A</v>
      </c>
      <c r="R677" t="e">
        <f>IF($J677&gt;MAX('Match Log'!$A$4:$A$1510),NA(),IFERROR(LOOKUP(2,1/(('Match Log'!$D$4:$D$1510=$R$24)*('Match Log'!$A$4:$A$1510&lt;=$J677)),'Match Log'!$N$4:$N$1510),NA()))</f>
        <v>#N/A</v>
      </c>
      <c r="S677" t="e">
        <f>IF($J677&gt;MAX('Match Log'!$A$4:$A$1510),NA(),IFERROR(LOOKUP(2,1/(('Match Log'!$D$4:$D$1510=$S$24)*('Match Log'!$A$4:$A$1510&lt;=$J677)),'Match Log'!$N$4:$N$1510),NA()))</f>
        <v>#N/A</v>
      </c>
      <c r="T677" t="e">
        <f>IF($J677&gt;MAX('Match Log'!$A$4:$A$1510),NA(),IFERROR(LOOKUP(2,1/(('Match Log'!$D$4:$D$1510=$T$24)*('Match Log'!$A$4:$A$1510&lt;=$J677)),'Match Log'!$N$4:$N$1510),NA()))</f>
        <v>#N/A</v>
      </c>
      <c r="U677" t="e">
        <f>IF($J677&gt;MAX('Match Log'!$A$4:$A$1510),NA(),IFERROR(LOOKUP(2,1/(('Match Log'!$D$4:$D$1510=$U$24)*('Match Log'!$A$4:$A$1510&lt;=$J677)),'Match Log'!$N$4:$N$1510),NA()))</f>
        <v>#N/A</v>
      </c>
      <c r="V677" t="e">
        <f>IF($J677&gt;MAX('Match Log'!$A$4:$A$1510),NA(),IFERROR(LOOKUP(2,1/(('Match Log'!$D$4:$D$1510=$V$24)*('Match Log'!$A$4:$A$1510&lt;=$J677)),'Match Log'!$N$4:$N$1510),NA()))</f>
        <v>#N/A</v>
      </c>
      <c r="W677" t="e">
        <f>IF($J677&gt;MAX('Match Log'!$A$4:$A$1510),NA(),IFERROR(LOOKUP(2,1/(('Match Log'!$D$4:$D$1510=$W$24)*('Match Log'!$A$4:$A$1510&lt;=$J677)),'Match Log'!$N$4:$N$1510),NA()))</f>
        <v>#N/A</v>
      </c>
      <c r="X677" t="e">
        <f>IF($J677&gt;MAX('Match Log'!$A$4:$A$1510),NA(),IFERROR(LOOKUP(2,1/(('Match Log'!$D$4:$D$1510=$X$24)*('Match Log'!$A$4:$A$1510&lt;=$J677)),'Match Log'!$N$4:$N$1510),NA()))</f>
        <v>#N/A</v>
      </c>
      <c r="Y677" t="str">
        <f t="shared" ca="1" si="40"/>
        <v/>
      </c>
    </row>
    <row r="678" spans="1:25" x14ac:dyDescent="0.2">
      <c r="A678">
        <v>654</v>
      </c>
      <c r="B678" t="str">
        <f>IFERROR(INDEX('Match Log'!$B$4:$B$1510,MATCH($A678,'Match Log'!$A$4:$A$1510,0)),"")</f>
        <v/>
      </c>
      <c r="C678" t="str">
        <f>IFERROR(INDEX('Match Log'!$C$4:$C$1510,MATCH($A678,'Match Log'!$A$4:$A$1510,0)),"")</f>
        <v/>
      </c>
      <c r="D678" t="str">
        <f t="array" ref="D678">IFERROR(_xlfn.TEXTJOIN(" + ",TRUE(),IF(('Match Log'!$A$4:$A$1510=$A678)*('Match Log'!$E$4:$E$1510="Win"),'Match Log'!$D$4:$D$1510,"")),IFERROR(LOOKUP(2,1/(('Match Log'!$A$4:$A$1510=$A678)*('Match Log'!$E$4:$E$1510="Win")),'Match Log'!$D$4:$D$1510),""))</f>
        <v/>
      </c>
      <c r="E678" t="str">
        <f>IFERROR(INDEX('Match Log'!$F$4:$F$1510,MATCH($A678,'Match Log'!$A$4:$A$1510,0)),"")</f>
        <v/>
      </c>
      <c r="F678">
        <f>IFERROR(SUMIFS('Match Log'!$I$4:$I$1510,'Match Log'!$A$4:$A$1510,$A678,'Match Log'!$E$4:$E$1510,"Win"),"")</f>
        <v>0</v>
      </c>
      <c r="G678" t="str">
        <f t="shared" si="38"/>
        <v/>
      </c>
      <c r="H678" t="str">
        <f t="array" ref="H678">IFERROR(IF(COUNTIFS('Match Log'!$A$4:$A$1510,$A678,'Match Log'!$E$4:$E$1510,"Win")&gt;1,_xlfn.TEXTJOIN(" + ",TRUE(),IF(('Match Log'!$A$4:$A$1510=$A678)*('Match Log'!$E$4:$E$1510="Loss"),'Match Log'!$D$4:$D$1510,"")),IF($E678=2,LOOKUP(2,1/(('Match Log'!$A$4:$A$1510=$A678)*('Match Log'!$E$4:$E$1510="Loss")),'Match Log'!$D$4:$D$1510),"the field")),"")</f>
        <v>the field</v>
      </c>
      <c r="I678" t="str">
        <f t="shared" si="39"/>
        <v/>
      </c>
      <c r="J678">
        <v>654</v>
      </c>
      <c r="K678" t="e">
        <f>IF($J678&gt;MAX('Match Log'!$A$4:$A$1510),NA(),IFERROR(LOOKUP(2,1/(('Match Log'!$D$4:$D$1510=$K$24)*('Match Log'!$A$4:$A$1510&lt;=$J678)),'Match Log'!$N$4:$N$1510),NA()))</f>
        <v>#N/A</v>
      </c>
      <c r="L678" t="e">
        <f>IF($J678&gt;MAX('Match Log'!$A$4:$A$1510),NA(),IFERROR(LOOKUP(2,1/(('Match Log'!$D$4:$D$1510=$L$24)*('Match Log'!$A$4:$A$1510&lt;=$J678)),'Match Log'!$N$4:$N$1510),NA()))</f>
        <v>#N/A</v>
      </c>
      <c r="M678" t="e">
        <f>IF($J678&gt;MAX('Match Log'!$A$4:$A$1510),NA(),IFERROR(LOOKUP(2,1/(('Match Log'!$D$4:$D$1510=$M$24)*('Match Log'!$A$4:$A$1510&lt;=$J678)),'Match Log'!$N$4:$N$1510),NA()))</f>
        <v>#N/A</v>
      </c>
      <c r="N678" t="e">
        <f>IF($J678&gt;MAX('Match Log'!$A$4:$A$1510),NA(),IFERROR(LOOKUP(2,1/(('Match Log'!$D$4:$D$1510=$N$24)*('Match Log'!$A$4:$A$1510&lt;=$J678)),'Match Log'!$N$4:$N$1510),NA()))</f>
        <v>#N/A</v>
      </c>
      <c r="O678" t="e">
        <f>IF($J678&gt;MAX('Match Log'!$A$4:$A$1510),NA(),IFERROR(LOOKUP(2,1/(('Match Log'!$D$4:$D$1510=$O$24)*('Match Log'!$A$4:$A$1510&lt;=$J678)),'Match Log'!$N$4:$N$1510),NA()))</f>
        <v>#N/A</v>
      </c>
      <c r="P678" t="e">
        <f>IF($J678&gt;MAX('Match Log'!$A$4:$A$1510),NA(),IFERROR(LOOKUP(2,1/(('Match Log'!$D$4:$D$1510=$P$24)*('Match Log'!$A$4:$A$1510&lt;=$J678)),'Match Log'!$N$4:$N$1510),NA()))</f>
        <v>#N/A</v>
      </c>
      <c r="Q678" t="e">
        <f>IF($J678&gt;MAX('Match Log'!$A$4:$A$1510),NA(),IFERROR(LOOKUP(2,1/(('Match Log'!$D$4:$D$1510=$Q$24)*('Match Log'!$A$4:$A$1510&lt;=$J678)),'Match Log'!$N$4:$N$1510),NA()))</f>
        <v>#N/A</v>
      </c>
      <c r="R678" t="e">
        <f>IF($J678&gt;MAX('Match Log'!$A$4:$A$1510),NA(),IFERROR(LOOKUP(2,1/(('Match Log'!$D$4:$D$1510=$R$24)*('Match Log'!$A$4:$A$1510&lt;=$J678)),'Match Log'!$N$4:$N$1510),NA()))</f>
        <v>#N/A</v>
      </c>
      <c r="S678" t="e">
        <f>IF($J678&gt;MAX('Match Log'!$A$4:$A$1510),NA(),IFERROR(LOOKUP(2,1/(('Match Log'!$D$4:$D$1510=$S$24)*('Match Log'!$A$4:$A$1510&lt;=$J678)),'Match Log'!$N$4:$N$1510),NA()))</f>
        <v>#N/A</v>
      </c>
      <c r="T678" t="e">
        <f>IF($J678&gt;MAX('Match Log'!$A$4:$A$1510),NA(),IFERROR(LOOKUP(2,1/(('Match Log'!$D$4:$D$1510=$T$24)*('Match Log'!$A$4:$A$1510&lt;=$J678)),'Match Log'!$N$4:$N$1510),NA()))</f>
        <v>#N/A</v>
      </c>
      <c r="U678" t="e">
        <f>IF($J678&gt;MAX('Match Log'!$A$4:$A$1510),NA(),IFERROR(LOOKUP(2,1/(('Match Log'!$D$4:$D$1510=$U$24)*('Match Log'!$A$4:$A$1510&lt;=$J678)),'Match Log'!$N$4:$N$1510),NA()))</f>
        <v>#N/A</v>
      </c>
      <c r="V678" t="e">
        <f>IF($J678&gt;MAX('Match Log'!$A$4:$A$1510),NA(),IFERROR(LOOKUP(2,1/(('Match Log'!$D$4:$D$1510=$V$24)*('Match Log'!$A$4:$A$1510&lt;=$J678)),'Match Log'!$N$4:$N$1510),NA()))</f>
        <v>#N/A</v>
      </c>
      <c r="W678" t="e">
        <f>IF($J678&gt;MAX('Match Log'!$A$4:$A$1510),NA(),IFERROR(LOOKUP(2,1/(('Match Log'!$D$4:$D$1510=$W$24)*('Match Log'!$A$4:$A$1510&lt;=$J678)),'Match Log'!$N$4:$N$1510),NA()))</f>
        <v>#N/A</v>
      </c>
      <c r="X678" t="e">
        <f>IF($J678&gt;MAX('Match Log'!$A$4:$A$1510),NA(),IFERROR(LOOKUP(2,1/(('Match Log'!$D$4:$D$1510=$X$24)*('Match Log'!$A$4:$A$1510&lt;=$J678)),'Match Log'!$N$4:$N$1510),NA()))</f>
        <v>#N/A</v>
      </c>
      <c r="Y678" t="str">
        <f t="shared" ca="1" si="40"/>
        <v/>
      </c>
    </row>
    <row r="679" spans="1:25" x14ac:dyDescent="0.2">
      <c r="A679">
        <v>655</v>
      </c>
      <c r="B679" t="str">
        <f>IFERROR(INDEX('Match Log'!$B$4:$B$1510,MATCH($A679,'Match Log'!$A$4:$A$1510,0)),"")</f>
        <v/>
      </c>
      <c r="C679" t="str">
        <f>IFERROR(INDEX('Match Log'!$C$4:$C$1510,MATCH($A679,'Match Log'!$A$4:$A$1510,0)),"")</f>
        <v/>
      </c>
      <c r="D679" t="str">
        <f t="array" ref="D679">IFERROR(_xlfn.TEXTJOIN(" + ",TRUE(),IF(('Match Log'!$A$4:$A$1510=$A679)*('Match Log'!$E$4:$E$1510="Win"),'Match Log'!$D$4:$D$1510,"")),IFERROR(LOOKUP(2,1/(('Match Log'!$A$4:$A$1510=$A679)*('Match Log'!$E$4:$E$1510="Win")),'Match Log'!$D$4:$D$1510),""))</f>
        <v/>
      </c>
      <c r="E679" t="str">
        <f>IFERROR(INDEX('Match Log'!$F$4:$F$1510,MATCH($A679,'Match Log'!$A$4:$A$1510,0)),"")</f>
        <v/>
      </c>
      <c r="F679">
        <f>IFERROR(SUMIFS('Match Log'!$I$4:$I$1510,'Match Log'!$A$4:$A$1510,$A679,'Match Log'!$E$4:$E$1510,"Win"),"")</f>
        <v>0</v>
      </c>
      <c r="G679" t="str">
        <f t="shared" si="38"/>
        <v/>
      </c>
      <c r="H679" t="str">
        <f t="array" ref="H679">IFERROR(IF(COUNTIFS('Match Log'!$A$4:$A$1510,$A679,'Match Log'!$E$4:$E$1510,"Win")&gt;1,_xlfn.TEXTJOIN(" + ",TRUE(),IF(('Match Log'!$A$4:$A$1510=$A679)*('Match Log'!$E$4:$E$1510="Loss"),'Match Log'!$D$4:$D$1510,"")),IF($E679=2,LOOKUP(2,1/(('Match Log'!$A$4:$A$1510=$A679)*('Match Log'!$E$4:$E$1510="Loss")),'Match Log'!$D$4:$D$1510),"the field")),"")</f>
        <v>the field</v>
      </c>
      <c r="I679" t="str">
        <f t="shared" si="39"/>
        <v/>
      </c>
      <c r="J679">
        <v>655</v>
      </c>
      <c r="K679" t="e">
        <f>IF($J679&gt;MAX('Match Log'!$A$4:$A$1510),NA(),IFERROR(LOOKUP(2,1/(('Match Log'!$D$4:$D$1510=$K$24)*('Match Log'!$A$4:$A$1510&lt;=$J679)),'Match Log'!$N$4:$N$1510),NA()))</f>
        <v>#N/A</v>
      </c>
      <c r="L679" t="e">
        <f>IF($J679&gt;MAX('Match Log'!$A$4:$A$1510),NA(),IFERROR(LOOKUP(2,1/(('Match Log'!$D$4:$D$1510=$L$24)*('Match Log'!$A$4:$A$1510&lt;=$J679)),'Match Log'!$N$4:$N$1510),NA()))</f>
        <v>#N/A</v>
      </c>
      <c r="M679" t="e">
        <f>IF($J679&gt;MAX('Match Log'!$A$4:$A$1510),NA(),IFERROR(LOOKUP(2,1/(('Match Log'!$D$4:$D$1510=$M$24)*('Match Log'!$A$4:$A$1510&lt;=$J679)),'Match Log'!$N$4:$N$1510),NA()))</f>
        <v>#N/A</v>
      </c>
      <c r="N679" t="e">
        <f>IF($J679&gt;MAX('Match Log'!$A$4:$A$1510),NA(),IFERROR(LOOKUP(2,1/(('Match Log'!$D$4:$D$1510=$N$24)*('Match Log'!$A$4:$A$1510&lt;=$J679)),'Match Log'!$N$4:$N$1510),NA()))</f>
        <v>#N/A</v>
      </c>
      <c r="O679" t="e">
        <f>IF($J679&gt;MAX('Match Log'!$A$4:$A$1510),NA(),IFERROR(LOOKUP(2,1/(('Match Log'!$D$4:$D$1510=$O$24)*('Match Log'!$A$4:$A$1510&lt;=$J679)),'Match Log'!$N$4:$N$1510),NA()))</f>
        <v>#N/A</v>
      </c>
      <c r="P679" t="e">
        <f>IF($J679&gt;MAX('Match Log'!$A$4:$A$1510),NA(),IFERROR(LOOKUP(2,1/(('Match Log'!$D$4:$D$1510=$P$24)*('Match Log'!$A$4:$A$1510&lt;=$J679)),'Match Log'!$N$4:$N$1510),NA()))</f>
        <v>#N/A</v>
      </c>
      <c r="Q679" t="e">
        <f>IF($J679&gt;MAX('Match Log'!$A$4:$A$1510),NA(),IFERROR(LOOKUP(2,1/(('Match Log'!$D$4:$D$1510=$Q$24)*('Match Log'!$A$4:$A$1510&lt;=$J679)),'Match Log'!$N$4:$N$1510),NA()))</f>
        <v>#N/A</v>
      </c>
      <c r="R679" t="e">
        <f>IF($J679&gt;MAX('Match Log'!$A$4:$A$1510),NA(),IFERROR(LOOKUP(2,1/(('Match Log'!$D$4:$D$1510=$R$24)*('Match Log'!$A$4:$A$1510&lt;=$J679)),'Match Log'!$N$4:$N$1510),NA()))</f>
        <v>#N/A</v>
      </c>
      <c r="S679" t="e">
        <f>IF($J679&gt;MAX('Match Log'!$A$4:$A$1510),NA(),IFERROR(LOOKUP(2,1/(('Match Log'!$D$4:$D$1510=$S$24)*('Match Log'!$A$4:$A$1510&lt;=$J679)),'Match Log'!$N$4:$N$1510),NA()))</f>
        <v>#N/A</v>
      </c>
      <c r="T679" t="e">
        <f>IF($J679&gt;MAX('Match Log'!$A$4:$A$1510),NA(),IFERROR(LOOKUP(2,1/(('Match Log'!$D$4:$D$1510=$T$24)*('Match Log'!$A$4:$A$1510&lt;=$J679)),'Match Log'!$N$4:$N$1510),NA()))</f>
        <v>#N/A</v>
      </c>
      <c r="U679" t="e">
        <f>IF($J679&gt;MAX('Match Log'!$A$4:$A$1510),NA(),IFERROR(LOOKUP(2,1/(('Match Log'!$D$4:$D$1510=$U$24)*('Match Log'!$A$4:$A$1510&lt;=$J679)),'Match Log'!$N$4:$N$1510),NA()))</f>
        <v>#N/A</v>
      </c>
      <c r="V679" t="e">
        <f>IF($J679&gt;MAX('Match Log'!$A$4:$A$1510),NA(),IFERROR(LOOKUP(2,1/(('Match Log'!$D$4:$D$1510=$V$24)*('Match Log'!$A$4:$A$1510&lt;=$J679)),'Match Log'!$N$4:$N$1510),NA()))</f>
        <v>#N/A</v>
      </c>
      <c r="W679" t="e">
        <f>IF($J679&gt;MAX('Match Log'!$A$4:$A$1510),NA(),IFERROR(LOOKUP(2,1/(('Match Log'!$D$4:$D$1510=$W$24)*('Match Log'!$A$4:$A$1510&lt;=$J679)),'Match Log'!$N$4:$N$1510),NA()))</f>
        <v>#N/A</v>
      </c>
      <c r="X679" t="e">
        <f>IF($J679&gt;MAX('Match Log'!$A$4:$A$1510),NA(),IFERROR(LOOKUP(2,1/(('Match Log'!$D$4:$D$1510=$X$24)*('Match Log'!$A$4:$A$1510&lt;=$J679)),'Match Log'!$N$4:$N$1510),NA()))</f>
        <v>#N/A</v>
      </c>
      <c r="Y679" t="str">
        <f t="shared" ca="1" si="40"/>
        <v/>
      </c>
    </row>
    <row r="680" spans="1:25" x14ac:dyDescent="0.2">
      <c r="A680">
        <v>656</v>
      </c>
      <c r="B680" t="str">
        <f>IFERROR(INDEX('Match Log'!$B$4:$B$1510,MATCH($A680,'Match Log'!$A$4:$A$1510,0)),"")</f>
        <v/>
      </c>
      <c r="C680" t="str">
        <f>IFERROR(INDEX('Match Log'!$C$4:$C$1510,MATCH($A680,'Match Log'!$A$4:$A$1510,0)),"")</f>
        <v/>
      </c>
      <c r="D680" t="str">
        <f t="array" ref="D680">IFERROR(_xlfn.TEXTJOIN(" + ",TRUE(),IF(('Match Log'!$A$4:$A$1510=$A680)*('Match Log'!$E$4:$E$1510="Win"),'Match Log'!$D$4:$D$1510,"")),IFERROR(LOOKUP(2,1/(('Match Log'!$A$4:$A$1510=$A680)*('Match Log'!$E$4:$E$1510="Win")),'Match Log'!$D$4:$D$1510),""))</f>
        <v/>
      </c>
      <c r="E680" t="str">
        <f>IFERROR(INDEX('Match Log'!$F$4:$F$1510,MATCH($A680,'Match Log'!$A$4:$A$1510,0)),"")</f>
        <v/>
      </c>
      <c r="F680">
        <f>IFERROR(SUMIFS('Match Log'!$I$4:$I$1510,'Match Log'!$A$4:$A$1510,$A680,'Match Log'!$E$4:$E$1510,"Win"),"")</f>
        <v>0</v>
      </c>
      <c r="G680" t="str">
        <f t="shared" si="38"/>
        <v/>
      </c>
      <c r="H680" t="str">
        <f t="array" ref="H680">IFERROR(IF(COUNTIFS('Match Log'!$A$4:$A$1510,$A680,'Match Log'!$E$4:$E$1510,"Win")&gt;1,_xlfn.TEXTJOIN(" + ",TRUE(),IF(('Match Log'!$A$4:$A$1510=$A680)*('Match Log'!$E$4:$E$1510="Loss"),'Match Log'!$D$4:$D$1510,"")),IF($E680=2,LOOKUP(2,1/(('Match Log'!$A$4:$A$1510=$A680)*('Match Log'!$E$4:$E$1510="Loss")),'Match Log'!$D$4:$D$1510),"the field")),"")</f>
        <v>the field</v>
      </c>
      <c r="I680" t="str">
        <f t="shared" si="39"/>
        <v/>
      </c>
      <c r="J680">
        <v>656</v>
      </c>
      <c r="K680" t="e">
        <f>IF($J680&gt;MAX('Match Log'!$A$4:$A$1510),NA(),IFERROR(LOOKUP(2,1/(('Match Log'!$D$4:$D$1510=$K$24)*('Match Log'!$A$4:$A$1510&lt;=$J680)),'Match Log'!$N$4:$N$1510),NA()))</f>
        <v>#N/A</v>
      </c>
      <c r="L680" t="e">
        <f>IF($J680&gt;MAX('Match Log'!$A$4:$A$1510),NA(),IFERROR(LOOKUP(2,1/(('Match Log'!$D$4:$D$1510=$L$24)*('Match Log'!$A$4:$A$1510&lt;=$J680)),'Match Log'!$N$4:$N$1510),NA()))</f>
        <v>#N/A</v>
      </c>
      <c r="M680" t="e">
        <f>IF($J680&gt;MAX('Match Log'!$A$4:$A$1510),NA(),IFERROR(LOOKUP(2,1/(('Match Log'!$D$4:$D$1510=$M$24)*('Match Log'!$A$4:$A$1510&lt;=$J680)),'Match Log'!$N$4:$N$1510),NA()))</f>
        <v>#N/A</v>
      </c>
      <c r="N680" t="e">
        <f>IF($J680&gt;MAX('Match Log'!$A$4:$A$1510),NA(),IFERROR(LOOKUP(2,1/(('Match Log'!$D$4:$D$1510=$N$24)*('Match Log'!$A$4:$A$1510&lt;=$J680)),'Match Log'!$N$4:$N$1510),NA()))</f>
        <v>#N/A</v>
      </c>
      <c r="O680" t="e">
        <f>IF($J680&gt;MAX('Match Log'!$A$4:$A$1510),NA(),IFERROR(LOOKUP(2,1/(('Match Log'!$D$4:$D$1510=$O$24)*('Match Log'!$A$4:$A$1510&lt;=$J680)),'Match Log'!$N$4:$N$1510),NA()))</f>
        <v>#N/A</v>
      </c>
      <c r="P680" t="e">
        <f>IF($J680&gt;MAX('Match Log'!$A$4:$A$1510),NA(),IFERROR(LOOKUP(2,1/(('Match Log'!$D$4:$D$1510=$P$24)*('Match Log'!$A$4:$A$1510&lt;=$J680)),'Match Log'!$N$4:$N$1510),NA()))</f>
        <v>#N/A</v>
      </c>
      <c r="Q680" t="e">
        <f>IF($J680&gt;MAX('Match Log'!$A$4:$A$1510),NA(),IFERROR(LOOKUP(2,1/(('Match Log'!$D$4:$D$1510=$Q$24)*('Match Log'!$A$4:$A$1510&lt;=$J680)),'Match Log'!$N$4:$N$1510),NA()))</f>
        <v>#N/A</v>
      </c>
      <c r="R680" t="e">
        <f>IF($J680&gt;MAX('Match Log'!$A$4:$A$1510),NA(),IFERROR(LOOKUP(2,1/(('Match Log'!$D$4:$D$1510=$R$24)*('Match Log'!$A$4:$A$1510&lt;=$J680)),'Match Log'!$N$4:$N$1510),NA()))</f>
        <v>#N/A</v>
      </c>
      <c r="S680" t="e">
        <f>IF($J680&gt;MAX('Match Log'!$A$4:$A$1510),NA(),IFERROR(LOOKUP(2,1/(('Match Log'!$D$4:$D$1510=$S$24)*('Match Log'!$A$4:$A$1510&lt;=$J680)),'Match Log'!$N$4:$N$1510),NA()))</f>
        <v>#N/A</v>
      </c>
      <c r="T680" t="e">
        <f>IF($J680&gt;MAX('Match Log'!$A$4:$A$1510),NA(),IFERROR(LOOKUP(2,1/(('Match Log'!$D$4:$D$1510=$T$24)*('Match Log'!$A$4:$A$1510&lt;=$J680)),'Match Log'!$N$4:$N$1510),NA()))</f>
        <v>#N/A</v>
      </c>
      <c r="U680" t="e">
        <f>IF($J680&gt;MAX('Match Log'!$A$4:$A$1510),NA(),IFERROR(LOOKUP(2,1/(('Match Log'!$D$4:$D$1510=$U$24)*('Match Log'!$A$4:$A$1510&lt;=$J680)),'Match Log'!$N$4:$N$1510),NA()))</f>
        <v>#N/A</v>
      </c>
      <c r="V680" t="e">
        <f>IF($J680&gt;MAX('Match Log'!$A$4:$A$1510),NA(),IFERROR(LOOKUP(2,1/(('Match Log'!$D$4:$D$1510=$V$24)*('Match Log'!$A$4:$A$1510&lt;=$J680)),'Match Log'!$N$4:$N$1510),NA()))</f>
        <v>#N/A</v>
      </c>
      <c r="W680" t="e">
        <f>IF($J680&gt;MAX('Match Log'!$A$4:$A$1510),NA(),IFERROR(LOOKUP(2,1/(('Match Log'!$D$4:$D$1510=$W$24)*('Match Log'!$A$4:$A$1510&lt;=$J680)),'Match Log'!$N$4:$N$1510),NA()))</f>
        <v>#N/A</v>
      </c>
      <c r="X680" t="e">
        <f>IF($J680&gt;MAX('Match Log'!$A$4:$A$1510),NA(),IFERROR(LOOKUP(2,1/(('Match Log'!$D$4:$D$1510=$X$24)*('Match Log'!$A$4:$A$1510&lt;=$J680)),'Match Log'!$N$4:$N$1510),NA()))</f>
        <v>#N/A</v>
      </c>
      <c r="Y680" t="str">
        <f t="shared" ca="1" si="40"/>
        <v/>
      </c>
    </row>
    <row r="681" spans="1:25" x14ac:dyDescent="0.2">
      <c r="A681">
        <v>657</v>
      </c>
      <c r="B681" t="str">
        <f>IFERROR(INDEX('Match Log'!$B$4:$B$1510,MATCH($A681,'Match Log'!$A$4:$A$1510,0)),"")</f>
        <v/>
      </c>
      <c r="C681" t="str">
        <f>IFERROR(INDEX('Match Log'!$C$4:$C$1510,MATCH($A681,'Match Log'!$A$4:$A$1510,0)),"")</f>
        <v/>
      </c>
      <c r="D681" t="str">
        <f t="array" ref="D681">IFERROR(_xlfn.TEXTJOIN(" + ",TRUE(),IF(('Match Log'!$A$4:$A$1510=$A681)*('Match Log'!$E$4:$E$1510="Win"),'Match Log'!$D$4:$D$1510,"")),IFERROR(LOOKUP(2,1/(('Match Log'!$A$4:$A$1510=$A681)*('Match Log'!$E$4:$E$1510="Win")),'Match Log'!$D$4:$D$1510),""))</f>
        <v/>
      </c>
      <c r="E681" t="str">
        <f>IFERROR(INDEX('Match Log'!$F$4:$F$1510,MATCH($A681,'Match Log'!$A$4:$A$1510,0)),"")</f>
        <v/>
      </c>
      <c r="F681">
        <f>IFERROR(SUMIFS('Match Log'!$I$4:$I$1510,'Match Log'!$A$4:$A$1510,$A681,'Match Log'!$E$4:$E$1510,"Win"),"")</f>
        <v>0</v>
      </c>
      <c r="G681" t="str">
        <f t="shared" si="38"/>
        <v/>
      </c>
      <c r="H681" t="str">
        <f t="array" ref="H681">IFERROR(IF(COUNTIFS('Match Log'!$A$4:$A$1510,$A681,'Match Log'!$E$4:$E$1510,"Win")&gt;1,_xlfn.TEXTJOIN(" + ",TRUE(),IF(('Match Log'!$A$4:$A$1510=$A681)*('Match Log'!$E$4:$E$1510="Loss"),'Match Log'!$D$4:$D$1510,"")),IF($E681=2,LOOKUP(2,1/(('Match Log'!$A$4:$A$1510=$A681)*('Match Log'!$E$4:$E$1510="Loss")),'Match Log'!$D$4:$D$1510),"the field")),"")</f>
        <v>the field</v>
      </c>
      <c r="I681" t="str">
        <f t="shared" si="39"/>
        <v/>
      </c>
      <c r="J681">
        <v>657</v>
      </c>
      <c r="K681" t="e">
        <f>IF($J681&gt;MAX('Match Log'!$A$4:$A$1510),NA(),IFERROR(LOOKUP(2,1/(('Match Log'!$D$4:$D$1510=$K$24)*('Match Log'!$A$4:$A$1510&lt;=$J681)),'Match Log'!$N$4:$N$1510),NA()))</f>
        <v>#N/A</v>
      </c>
      <c r="L681" t="e">
        <f>IF($J681&gt;MAX('Match Log'!$A$4:$A$1510),NA(),IFERROR(LOOKUP(2,1/(('Match Log'!$D$4:$D$1510=$L$24)*('Match Log'!$A$4:$A$1510&lt;=$J681)),'Match Log'!$N$4:$N$1510),NA()))</f>
        <v>#N/A</v>
      </c>
      <c r="M681" t="e">
        <f>IF($J681&gt;MAX('Match Log'!$A$4:$A$1510),NA(),IFERROR(LOOKUP(2,1/(('Match Log'!$D$4:$D$1510=$M$24)*('Match Log'!$A$4:$A$1510&lt;=$J681)),'Match Log'!$N$4:$N$1510),NA()))</f>
        <v>#N/A</v>
      </c>
      <c r="N681" t="e">
        <f>IF($J681&gt;MAX('Match Log'!$A$4:$A$1510),NA(),IFERROR(LOOKUP(2,1/(('Match Log'!$D$4:$D$1510=$N$24)*('Match Log'!$A$4:$A$1510&lt;=$J681)),'Match Log'!$N$4:$N$1510),NA()))</f>
        <v>#N/A</v>
      </c>
      <c r="O681" t="e">
        <f>IF($J681&gt;MAX('Match Log'!$A$4:$A$1510),NA(),IFERROR(LOOKUP(2,1/(('Match Log'!$D$4:$D$1510=$O$24)*('Match Log'!$A$4:$A$1510&lt;=$J681)),'Match Log'!$N$4:$N$1510),NA()))</f>
        <v>#N/A</v>
      </c>
      <c r="P681" t="e">
        <f>IF($J681&gt;MAX('Match Log'!$A$4:$A$1510),NA(),IFERROR(LOOKUP(2,1/(('Match Log'!$D$4:$D$1510=$P$24)*('Match Log'!$A$4:$A$1510&lt;=$J681)),'Match Log'!$N$4:$N$1510),NA()))</f>
        <v>#N/A</v>
      </c>
      <c r="Q681" t="e">
        <f>IF($J681&gt;MAX('Match Log'!$A$4:$A$1510),NA(),IFERROR(LOOKUP(2,1/(('Match Log'!$D$4:$D$1510=$Q$24)*('Match Log'!$A$4:$A$1510&lt;=$J681)),'Match Log'!$N$4:$N$1510),NA()))</f>
        <v>#N/A</v>
      </c>
      <c r="R681" t="e">
        <f>IF($J681&gt;MAX('Match Log'!$A$4:$A$1510),NA(),IFERROR(LOOKUP(2,1/(('Match Log'!$D$4:$D$1510=$R$24)*('Match Log'!$A$4:$A$1510&lt;=$J681)),'Match Log'!$N$4:$N$1510),NA()))</f>
        <v>#N/A</v>
      </c>
      <c r="S681" t="e">
        <f>IF($J681&gt;MAX('Match Log'!$A$4:$A$1510),NA(),IFERROR(LOOKUP(2,1/(('Match Log'!$D$4:$D$1510=$S$24)*('Match Log'!$A$4:$A$1510&lt;=$J681)),'Match Log'!$N$4:$N$1510),NA()))</f>
        <v>#N/A</v>
      </c>
      <c r="T681" t="e">
        <f>IF($J681&gt;MAX('Match Log'!$A$4:$A$1510),NA(),IFERROR(LOOKUP(2,1/(('Match Log'!$D$4:$D$1510=$T$24)*('Match Log'!$A$4:$A$1510&lt;=$J681)),'Match Log'!$N$4:$N$1510),NA()))</f>
        <v>#N/A</v>
      </c>
      <c r="U681" t="e">
        <f>IF($J681&gt;MAX('Match Log'!$A$4:$A$1510),NA(),IFERROR(LOOKUP(2,1/(('Match Log'!$D$4:$D$1510=$U$24)*('Match Log'!$A$4:$A$1510&lt;=$J681)),'Match Log'!$N$4:$N$1510),NA()))</f>
        <v>#N/A</v>
      </c>
      <c r="V681" t="e">
        <f>IF($J681&gt;MAX('Match Log'!$A$4:$A$1510),NA(),IFERROR(LOOKUP(2,1/(('Match Log'!$D$4:$D$1510=$V$24)*('Match Log'!$A$4:$A$1510&lt;=$J681)),'Match Log'!$N$4:$N$1510),NA()))</f>
        <v>#N/A</v>
      </c>
      <c r="W681" t="e">
        <f>IF($J681&gt;MAX('Match Log'!$A$4:$A$1510),NA(),IFERROR(LOOKUP(2,1/(('Match Log'!$D$4:$D$1510=$W$24)*('Match Log'!$A$4:$A$1510&lt;=$J681)),'Match Log'!$N$4:$N$1510),NA()))</f>
        <v>#N/A</v>
      </c>
      <c r="X681" t="e">
        <f>IF($J681&gt;MAX('Match Log'!$A$4:$A$1510),NA(),IFERROR(LOOKUP(2,1/(('Match Log'!$D$4:$D$1510=$X$24)*('Match Log'!$A$4:$A$1510&lt;=$J681)),'Match Log'!$N$4:$N$1510),NA()))</f>
        <v>#N/A</v>
      </c>
      <c r="Y681" t="str">
        <f t="shared" ca="1" si="40"/>
        <v/>
      </c>
    </row>
    <row r="682" spans="1:25" x14ac:dyDescent="0.2">
      <c r="A682">
        <v>658</v>
      </c>
      <c r="B682" t="str">
        <f>IFERROR(INDEX('Match Log'!$B$4:$B$1510,MATCH($A682,'Match Log'!$A$4:$A$1510,0)),"")</f>
        <v/>
      </c>
      <c r="C682" t="str">
        <f>IFERROR(INDEX('Match Log'!$C$4:$C$1510,MATCH($A682,'Match Log'!$A$4:$A$1510,0)),"")</f>
        <v/>
      </c>
      <c r="D682" t="str">
        <f t="array" ref="D682">IFERROR(_xlfn.TEXTJOIN(" + ",TRUE(),IF(('Match Log'!$A$4:$A$1510=$A682)*('Match Log'!$E$4:$E$1510="Win"),'Match Log'!$D$4:$D$1510,"")),IFERROR(LOOKUP(2,1/(('Match Log'!$A$4:$A$1510=$A682)*('Match Log'!$E$4:$E$1510="Win")),'Match Log'!$D$4:$D$1510),""))</f>
        <v/>
      </c>
      <c r="E682" t="str">
        <f>IFERROR(INDEX('Match Log'!$F$4:$F$1510,MATCH($A682,'Match Log'!$A$4:$A$1510,0)),"")</f>
        <v/>
      </c>
      <c r="F682">
        <f>IFERROR(SUMIFS('Match Log'!$I$4:$I$1510,'Match Log'!$A$4:$A$1510,$A682,'Match Log'!$E$4:$E$1510,"Win"),"")</f>
        <v>0</v>
      </c>
      <c r="G682" t="str">
        <f t="shared" si="38"/>
        <v/>
      </c>
      <c r="H682" t="str">
        <f t="array" ref="H682">IFERROR(IF(COUNTIFS('Match Log'!$A$4:$A$1510,$A682,'Match Log'!$E$4:$E$1510,"Win")&gt;1,_xlfn.TEXTJOIN(" + ",TRUE(),IF(('Match Log'!$A$4:$A$1510=$A682)*('Match Log'!$E$4:$E$1510="Loss"),'Match Log'!$D$4:$D$1510,"")),IF($E682=2,LOOKUP(2,1/(('Match Log'!$A$4:$A$1510=$A682)*('Match Log'!$E$4:$E$1510="Loss")),'Match Log'!$D$4:$D$1510),"the field")),"")</f>
        <v>the field</v>
      </c>
      <c r="I682" t="str">
        <f t="shared" si="39"/>
        <v/>
      </c>
      <c r="J682">
        <v>658</v>
      </c>
      <c r="K682" t="e">
        <f>IF($J682&gt;MAX('Match Log'!$A$4:$A$1510),NA(),IFERROR(LOOKUP(2,1/(('Match Log'!$D$4:$D$1510=$K$24)*('Match Log'!$A$4:$A$1510&lt;=$J682)),'Match Log'!$N$4:$N$1510),NA()))</f>
        <v>#N/A</v>
      </c>
      <c r="L682" t="e">
        <f>IF($J682&gt;MAX('Match Log'!$A$4:$A$1510),NA(),IFERROR(LOOKUP(2,1/(('Match Log'!$D$4:$D$1510=$L$24)*('Match Log'!$A$4:$A$1510&lt;=$J682)),'Match Log'!$N$4:$N$1510),NA()))</f>
        <v>#N/A</v>
      </c>
      <c r="M682" t="e">
        <f>IF($J682&gt;MAX('Match Log'!$A$4:$A$1510),NA(),IFERROR(LOOKUP(2,1/(('Match Log'!$D$4:$D$1510=$M$24)*('Match Log'!$A$4:$A$1510&lt;=$J682)),'Match Log'!$N$4:$N$1510),NA()))</f>
        <v>#N/A</v>
      </c>
      <c r="N682" t="e">
        <f>IF($J682&gt;MAX('Match Log'!$A$4:$A$1510),NA(),IFERROR(LOOKUP(2,1/(('Match Log'!$D$4:$D$1510=$N$24)*('Match Log'!$A$4:$A$1510&lt;=$J682)),'Match Log'!$N$4:$N$1510),NA()))</f>
        <v>#N/A</v>
      </c>
      <c r="O682" t="e">
        <f>IF($J682&gt;MAX('Match Log'!$A$4:$A$1510),NA(),IFERROR(LOOKUP(2,1/(('Match Log'!$D$4:$D$1510=$O$24)*('Match Log'!$A$4:$A$1510&lt;=$J682)),'Match Log'!$N$4:$N$1510),NA()))</f>
        <v>#N/A</v>
      </c>
      <c r="P682" t="e">
        <f>IF($J682&gt;MAX('Match Log'!$A$4:$A$1510),NA(),IFERROR(LOOKUP(2,1/(('Match Log'!$D$4:$D$1510=$P$24)*('Match Log'!$A$4:$A$1510&lt;=$J682)),'Match Log'!$N$4:$N$1510),NA()))</f>
        <v>#N/A</v>
      </c>
      <c r="Q682" t="e">
        <f>IF($J682&gt;MAX('Match Log'!$A$4:$A$1510),NA(),IFERROR(LOOKUP(2,1/(('Match Log'!$D$4:$D$1510=$Q$24)*('Match Log'!$A$4:$A$1510&lt;=$J682)),'Match Log'!$N$4:$N$1510),NA()))</f>
        <v>#N/A</v>
      </c>
      <c r="R682" t="e">
        <f>IF($J682&gt;MAX('Match Log'!$A$4:$A$1510),NA(),IFERROR(LOOKUP(2,1/(('Match Log'!$D$4:$D$1510=$R$24)*('Match Log'!$A$4:$A$1510&lt;=$J682)),'Match Log'!$N$4:$N$1510),NA()))</f>
        <v>#N/A</v>
      </c>
      <c r="S682" t="e">
        <f>IF($J682&gt;MAX('Match Log'!$A$4:$A$1510),NA(),IFERROR(LOOKUP(2,1/(('Match Log'!$D$4:$D$1510=$S$24)*('Match Log'!$A$4:$A$1510&lt;=$J682)),'Match Log'!$N$4:$N$1510),NA()))</f>
        <v>#N/A</v>
      </c>
      <c r="T682" t="e">
        <f>IF($J682&gt;MAX('Match Log'!$A$4:$A$1510),NA(),IFERROR(LOOKUP(2,1/(('Match Log'!$D$4:$D$1510=$T$24)*('Match Log'!$A$4:$A$1510&lt;=$J682)),'Match Log'!$N$4:$N$1510),NA()))</f>
        <v>#N/A</v>
      </c>
      <c r="U682" t="e">
        <f>IF($J682&gt;MAX('Match Log'!$A$4:$A$1510),NA(),IFERROR(LOOKUP(2,1/(('Match Log'!$D$4:$D$1510=$U$24)*('Match Log'!$A$4:$A$1510&lt;=$J682)),'Match Log'!$N$4:$N$1510),NA()))</f>
        <v>#N/A</v>
      </c>
      <c r="V682" t="e">
        <f>IF($J682&gt;MAX('Match Log'!$A$4:$A$1510),NA(),IFERROR(LOOKUP(2,1/(('Match Log'!$D$4:$D$1510=$V$24)*('Match Log'!$A$4:$A$1510&lt;=$J682)),'Match Log'!$N$4:$N$1510),NA()))</f>
        <v>#N/A</v>
      </c>
      <c r="W682" t="e">
        <f>IF($J682&gt;MAX('Match Log'!$A$4:$A$1510),NA(),IFERROR(LOOKUP(2,1/(('Match Log'!$D$4:$D$1510=$W$24)*('Match Log'!$A$4:$A$1510&lt;=$J682)),'Match Log'!$N$4:$N$1510),NA()))</f>
        <v>#N/A</v>
      </c>
      <c r="X682" t="e">
        <f>IF($J682&gt;MAX('Match Log'!$A$4:$A$1510),NA(),IFERROR(LOOKUP(2,1/(('Match Log'!$D$4:$D$1510=$X$24)*('Match Log'!$A$4:$A$1510&lt;=$J682)),'Match Log'!$N$4:$N$1510),NA()))</f>
        <v>#N/A</v>
      </c>
      <c r="Y682" t="str">
        <f t="shared" ca="1" si="40"/>
        <v/>
      </c>
    </row>
    <row r="683" spans="1:25" x14ac:dyDescent="0.2">
      <c r="A683">
        <v>659</v>
      </c>
      <c r="B683" t="str">
        <f>IFERROR(INDEX('Match Log'!$B$4:$B$1510,MATCH($A683,'Match Log'!$A$4:$A$1510,0)),"")</f>
        <v/>
      </c>
      <c r="C683" t="str">
        <f>IFERROR(INDEX('Match Log'!$C$4:$C$1510,MATCH($A683,'Match Log'!$A$4:$A$1510,0)),"")</f>
        <v/>
      </c>
      <c r="D683" t="str">
        <f t="array" ref="D683">IFERROR(_xlfn.TEXTJOIN(" + ",TRUE(),IF(('Match Log'!$A$4:$A$1510=$A683)*('Match Log'!$E$4:$E$1510="Win"),'Match Log'!$D$4:$D$1510,"")),IFERROR(LOOKUP(2,1/(('Match Log'!$A$4:$A$1510=$A683)*('Match Log'!$E$4:$E$1510="Win")),'Match Log'!$D$4:$D$1510),""))</f>
        <v/>
      </c>
      <c r="E683" t="str">
        <f>IFERROR(INDEX('Match Log'!$F$4:$F$1510,MATCH($A683,'Match Log'!$A$4:$A$1510,0)),"")</f>
        <v/>
      </c>
      <c r="F683">
        <f>IFERROR(SUMIFS('Match Log'!$I$4:$I$1510,'Match Log'!$A$4:$A$1510,$A683,'Match Log'!$E$4:$E$1510,"Win"),"")</f>
        <v>0</v>
      </c>
      <c r="G683" t="str">
        <f t="shared" si="38"/>
        <v/>
      </c>
      <c r="H683" t="str">
        <f t="array" ref="H683">IFERROR(IF(COUNTIFS('Match Log'!$A$4:$A$1510,$A683,'Match Log'!$E$4:$E$1510,"Win")&gt;1,_xlfn.TEXTJOIN(" + ",TRUE(),IF(('Match Log'!$A$4:$A$1510=$A683)*('Match Log'!$E$4:$E$1510="Loss"),'Match Log'!$D$4:$D$1510,"")),IF($E683=2,LOOKUP(2,1/(('Match Log'!$A$4:$A$1510=$A683)*('Match Log'!$E$4:$E$1510="Loss")),'Match Log'!$D$4:$D$1510),"the field")),"")</f>
        <v>the field</v>
      </c>
      <c r="I683" t="str">
        <f t="shared" si="39"/>
        <v/>
      </c>
      <c r="J683">
        <v>659</v>
      </c>
      <c r="K683" t="e">
        <f>IF($J683&gt;MAX('Match Log'!$A$4:$A$1510),NA(),IFERROR(LOOKUP(2,1/(('Match Log'!$D$4:$D$1510=$K$24)*('Match Log'!$A$4:$A$1510&lt;=$J683)),'Match Log'!$N$4:$N$1510),NA()))</f>
        <v>#N/A</v>
      </c>
      <c r="L683" t="e">
        <f>IF($J683&gt;MAX('Match Log'!$A$4:$A$1510),NA(),IFERROR(LOOKUP(2,1/(('Match Log'!$D$4:$D$1510=$L$24)*('Match Log'!$A$4:$A$1510&lt;=$J683)),'Match Log'!$N$4:$N$1510),NA()))</f>
        <v>#N/A</v>
      </c>
      <c r="M683" t="e">
        <f>IF($J683&gt;MAX('Match Log'!$A$4:$A$1510),NA(),IFERROR(LOOKUP(2,1/(('Match Log'!$D$4:$D$1510=$M$24)*('Match Log'!$A$4:$A$1510&lt;=$J683)),'Match Log'!$N$4:$N$1510),NA()))</f>
        <v>#N/A</v>
      </c>
      <c r="N683" t="e">
        <f>IF($J683&gt;MAX('Match Log'!$A$4:$A$1510),NA(),IFERROR(LOOKUP(2,1/(('Match Log'!$D$4:$D$1510=$N$24)*('Match Log'!$A$4:$A$1510&lt;=$J683)),'Match Log'!$N$4:$N$1510),NA()))</f>
        <v>#N/A</v>
      </c>
      <c r="O683" t="e">
        <f>IF($J683&gt;MAX('Match Log'!$A$4:$A$1510),NA(),IFERROR(LOOKUP(2,1/(('Match Log'!$D$4:$D$1510=$O$24)*('Match Log'!$A$4:$A$1510&lt;=$J683)),'Match Log'!$N$4:$N$1510),NA()))</f>
        <v>#N/A</v>
      </c>
      <c r="P683" t="e">
        <f>IF($J683&gt;MAX('Match Log'!$A$4:$A$1510),NA(),IFERROR(LOOKUP(2,1/(('Match Log'!$D$4:$D$1510=$P$24)*('Match Log'!$A$4:$A$1510&lt;=$J683)),'Match Log'!$N$4:$N$1510),NA()))</f>
        <v>#N/A</v>
      </c>
      <c r="Q683" t="e">
        <f>IF($J683&gt;MAX('Match Log'!$A$4:$A$1510),NA(),IFERROR(LOOKUP(2,1/(('Match Log'!$D$4:$D$1510=$Q$24)*('Match Log'!$A$4:$A$1510&lt;=$J683)),'Match Log'!$N$4:$N$1510),NA()))</f>
        <v>#N/A</v>
      </c>
      <c r="R683" t="e">
        <f>IF($J683&gt;MAX('Match Log'!$A$4:$A$1510),NA(),IFERROR(LOOKUP(2,1/(('Match Log'!$D$4:$D$1510=$R$24)*('Match Log'!$A$4:$A$1510&lt;=$J683)),'Match Log'!$N$4:$N$1510),NA()))</f>
        <v>#N/A</v>
      </c>
      <c r="S683" t="e">
        <f>IF($J683&gt;MAX('Match Log'!$A$4:$A$1510),NA(),IFERROR(LOOKUP(2,1/(('Match Log'!$D$4:$D$1510=$S$24)*('Match Log'!$A$4:$A$1510&lt;=$J683)),'Match Log'!$N$4:$N$1510),NA()))</f>
        <v>#N/A</v>
      </c>
      <c r="T683" t="e">
        <f>IF($J683&gt;MAX('Match Log'!$A$4:$A$1510),NA(),IFERROR(LOOKUP(2,1/(('Match Log'!$D$4:$D$1510=$T$24)*('Match Log'!$A$4:$A$1510&lt;=$J683)),'Match Log'!$N$4:$N$1510),NA()))</f>
        <v>#N/A</v>
      </c>
      <c r="U683" t="e">
        <f>IF($J683&gt;MAX('Match Log'!$A$4:$A$1510),NA(),IFERROR(LOOKUP(2,1/(('Match Log'!$D$4:$D$1510=$U$24)*('Match Log'!$A$4:$A$1510&lt;=$J683)),'Match Log'!$N$4:$N$1510),NA()))</f>
        <v>#N/A</v>
      </c>
      <c r="V683" t="e">
        <f>IF($J683&gt;MAX('Match Log'!$A$4:$A$1510),NA(),IFERROR(LOOKUP(2,1/(('Match Log'!$D$4:$D$1510=$V$24)*('Match Log'!$A$4:$A$1510&lt;=$J683)),'Match Log'!$N$4:$N$1510),NA()))</f>
        <v>#N/A</v>
      </c>
      <c r="W683" t="e">
        <f>IF($J683&gt;MAX('Match Log'!$A$4:$A$1510),NA(),IFERROR(LOOKUP(2,1/(('Match Log'!$D$4:$D$1510=$W$24)*('Match Log'!$A$4:$A$1510&lt;=$J683)),'Match Log'!$N$4:$N$1510),NA()))</f>
        <v>#N/A</v>
      </c>
      <c r="X683" t="e">
        <f>IF($J683&gt;MAX('Match Log'!$A$4:$A$1510),NA(),IFERROR(LOOKUP(2,1/(('Match Log'!$D$4:$D$1510=$X$24)*('Match Log'!$A$4:$A$1510&lt;=$J683)),'Match Log'!$N$4:$N$1510),NA()))</f>
        <v>#N/A</v>
      </c>
      <c r="Y683" t="str">
        <f t="shared" ca="1" si="40"/>
        <v/>
      </c>
    </row>
    <row r="684" spans="1:25" x14ac:dyDescent="0.2">
      <c r="A684">
        <v>660</v>
      </c>
      <c r="B684" t="str">
        <f>IFERROR(INDEX('Match Log'!$B$4:$B$1510,MATCH($A684,'Match Log'!$A$4:$A$1510,0)),"")</f>
        <v/>
      </c>
      <c r="C684" t="str">
        <f>IFERROR(INDEX('Match Log'!$C$4:$C$1510,MATCH($A684,'Match Log'!$A$4:$A$1510,0)),"")</f>
        <v/>
      </c>
      <c r="D684" t="str">
        <f t="array" ref="D684">IFERROR(_xlfn.TEXTJOIN(" + ",TRUE(),IF(('Match Log'!$A$4:$A$1510=$A684)*('Match Log'!$E$4:$E$1510="Win"),'Match Log'!$D$4:$D$1510,"")),IFERROR(LOOKUP(2,1/(('Match Log'!$A$4:$A$1510=$A684)*('Match Log'!$E$4:$E$1510="Win")),'Match Log'!$D$4:$D$1510),""))</f>
        <v/>
      </c>
      <c r="E684" t="str">
        <f>IFERROR(INDEX('Match Log'!$F$4:$F$1510,MATCH($A684,'Match Log'!$A$4:$A$1510,0)),"")</f>
        <v/>
      </c>
      <c r="F684">
        <f>IFERROR(SUMIFS('Match Log'!$I$4:$I$1510,'Match Log'!$A$4:$A$1510,$A684,'Match Log'!$E$4:$E$1510,"Win"),"")</f>
        <v>0</v>
      </c>
      <c r="G684" t="str">
        <f t="shared" si="38"/>
        <v/>
      </c>
      <c r="H684" t="str">
        <f t="array" ref="H684">IFERROR(IF(COUNTIFS('Match Log'!$A$4:$A$1510,$A684,'Match Log'!$E$4:$E$1510,"Win")&gt;1,_xlfn.TEXTJOIN(" + ",TRUE(),IF(('Match Log'!$A$4:$A$1510=$A684)*('Match Log'!$E$4:$E$1510="Loss"),'Match Log'!$D$4:$D$1510,"")),IF($E684=2,LOOKUP(2,1/(('Match Log'!$A$4:$A$1510=$A684)*('Match Log'!$E$4:$E$1510="Loss")),'Match Log'!$D$4:$D$1510),"the field")),"")</f>
        <v>the field</v>
      </c>
      <c r="I684" t="str">
        <f t="shared" si="39"/>
        <v/>
      </c>
      <c r="J684">
        <v>660</v>
      </c>
      <c r="K684" t="e">
        <f>IF($J684&gt;MAX('Match Log'!$A$4:$A$1510),NA(),IFERROR(LOOKUP(2,1/(('Match Log'!$D$4:$D$1510=$K$24)*('Match Log'!$A$4:$A$1510&lt;=$J684)),'Match Log'!$N$4:$N$1510),NA()))</f>
        <v>#N/A</v>
      </c>
      <c r="L684" t="e">
        <f>IF($J684&gt;MAX('Match Log'!$A$4:$A$1510),NA(),IFERROR(LOOKUP(2,1/(('Match Log'!$D$4:$D$1510=$L$24)*('Match Log'!$A$4:$A$1510&lt;=$J684)),'Match Log'!$N$4:$N$1510),NA()))</f>
        <v>#N/A</v>
      </c>
      <c r="M684" t="e">
        <f>IF($J684&gt;MAX('Match Log'!$A$4:$A$1510),NA(),IFERROR(LOOKUP(2,1/(('Match Log'!$D$4:$D$1510=$M$24)*('Match Log'!$A$4:$A$1510&lt;=$J684)),'Match Log'!$N$4:$N$1510),NA()))</f>
        <v>#N/A</v>
      </c>
      <c r="N684" t="e">
        <f>IF($J684&gt;MAX('Match Log'!$A$4:$A$1510),NA(),IFERROR(LOOKUP(2,1/(('Match Log'!$D$4:$D$1510=$N$24)*('Match Log'!$A$4:$A$1510&lt;=$J684)),'Match Log'!$N$4:$N$1510),NA()))</f>
        <v>#N/A</v>
      </c>
      <c r="O684" t="e">
        <f>IF($J684&gt;MAX('Match Log'!$A$4:$A$1510),NA(),IFERROR(LOOKUP(2,1/(('Match Log'!$D$4:$D$1510=$O$24)*('Match Log'!$A$4:$A$1510&lt;=$J684)),'Match Log'!$N$4:$N$1510),NA()))</f>
        <v>#N/A</v>
      </c>
      <c r="P684" t="e">
        <f>IF($J684&gt;MAX('Match Log'!$A$4:$A$1510),NA(),IFERROR(LOOKUP(2,1/(('Match Log'!$D$4:$D$1510=$P$24)*('Match Log'!$A$4:$A$1510&lt;=$J684)),'Match Log'!$N$4:$N$1510),NA()))</f>
        <v>#N/A</v>
      </c>
      <c r="Q684" t="e">
        <f>IF($J684&gt;MAX('Match Log'!$A$4:$A$1510),NA(),IFERROR(LOOKUP(2,1/(('Match Log'!$D$4:$D$1510=$Q$24)*('Match Log'!$A$4:$A$1510&lt;=$J684)),'Match Log'!$N$4:$N$1510),NA()))</f>
        <v>#N/A</v>
      </c>
      <c r="R684" t="e">
        <f>IF($J684&gt;MAX('Match Log'!$A$4:$A$1510),NA(),IFERROR(LOOKUP(2,1/(('Match Log'!$D$4:$D$1510=$R$24)*('Match Log'!$A$4:$A$1510&lt;=$J684)),'Match Log'!$N$4:$N$1510),NA()))</f>
        <v>#N/A</v>
      </c>
      <c r="S684" t="e">
        <f>IF($J684&gt;MAX('Match Log'!$A$4:$A$1510),NA(),IFERROR(LOOKUP(2,1/(('Match Log'!$D$4:$D$1510=$S$24)*('Match Log'!$A$4:$A$1510&lt;=$J684)),'Match Log'!$N$4:$N$1510),NA()))</f>
        <v>#N/A</v>
      </c>
      <c r="T684" t="e">
        <f>IF($J684&gt;MAX('Match Log'!$A$4:$A$1510),NA(),IFERROR(LOOKUP(2,1/(('Match Log'!$D$4:$D$1510=$T$24)*('Match Log'!$A$4:$A$1510&lt;=$J684)),'Match Log'!$N$4:$N$1510),NA()))</f>
        <v>#N/A</v>
      </c>
      <c r="U684" t="e">
        <f>IF($J684&gt;MAX('Match Log'!$A$4:$A$1510),NA(),IFERROR(LOOKUP(2,1/(('Match Log'!$D$4:$D$1510=$U$24)*('Match Log'!$A$4:$A$1510&lt;=$J684)),'Match Log'!$N$4:$N$1510),NA()))</f>
        <v>#N/A</v>
      </c>
      <c r="V684" t="e">
        <f>IF($J684&gt;MAX('Match Log'!$A$4:$A$1510),NA(),IFERROR(LOOKUP(2,1/(('Match Log'!$D$4:$D$1510=$V$24)*('Match Log'!$A$4:$A$1510&lt;=$J684)),'Match Log'!$N$4:$N$1510),NA()))</f>
        <v>#N/A</v>
      </c>
      <c r="W684" t="e">
        <f>IF($J684&gt;MAX('Match Log'!$A$4:$A$1510),NA(),IFERROR(LOOKUP(2,1/(('Match Log'!$D$4:$D$1510=$W$24)*('Match Log'!$A$4:$A$1510&lt;=$J684)),'Match Log'!$N$4:$N$1510),NA()))</f>
        <v>#N/A</v>
      </c>
      <c r="X684" t="e">
        <f>IF($J684&gt;MAX('Match Log'!$A$4:$A$1510),NA(),IFERROR(LOOKUP(2,1/(('Match Log'!$D$4:$D$1510=$X$24)*('Match Log'!$A$4:$A$1510&lt;=$J684)),'Match Log'!$N$4:$N$1510),NA()))</f>
        <v>#N/A</v>
      </c>
      <c r="Y684" t="str">
        <f t="shared" ca="1" si="40"/>
        <v/>
      </c>
    </row>
    <row r="685" spans="1:25" x14ac:dyDescent="0.2">
      <c r="A685">
        <v>661</v>
      </c>
      <c r="B685" t="str">
        <f>IFERROR(INDEX('Match Log'!$B$4:$B$1510,MATCH($A685,'Match Log'!$A$4:$A$1510,0)),"")</f>
        <v/>
      </c>
      <c r="C685" t="str">
        <f>IFERROR(INDEX('Match Log'!$C$4:$C$1510,MATCH($A685,'Match Log'!$A$4:$A$1510,0)),"")</f>
        <v/>
      </c>
      <c r="D685" t="str">
        <f t="array" ref="D685">IFERROR(_xlfn.TEXTJOIN(" + ",TRUE(),IF(('Match Log'!$A$4:$A$1510=$A685)*('Match Log'!$E$4:$E$1510="Win"),'Match Log'!$D$4:$D$1510,"")),IFERROR(LOOKUP(2,1/(('Match Log'!$A$4:$A$1510=$A685)*('Match Log'!$E$4:$E$1510="Win")),'Match Log'!$D$4:$D$1510),""))</f>
        <v/>
      </c>
      <c r="E685" t="str">
        <f>IFERROR(INDEX('Match Log'!$F$4:$F$1510,MATCH($A685,'Match Log'!$A$4:$A$1510,0)),"")</f>
        <v/>
      </c>
      <c r="F685">
        <f>IFERROR(SUMIFS('Match Log'!$I$4:$I$1510,'Match Log'!$A$4:$A$1510,$A685,'Match Log'!$E$4:$E$1510,"Win"),"")</f>
        <v>0</v>
      </c>
      <c r="G685" t="str">
        <f t="shared" si="38"/>
        <v/>
      </c>
      <c r="H685" t="str">
        <f t="array" ref="H685">IFERROR(IF(COUNTIFS('Match Log'!$A$4:$A$1510,$A685,'Match Log'!$E$4:$E$1510,"Win")&gt;1,_xlfn.TEXTJOIN(" + ",TRUE(),IF(('Match Log'!$A$4:$A$1510=$A685)*('Match Log'!$E$4:$E$1510="Loss"),'Match Log'!$D$4:$D$1510,"")),IF($E685=2,LOOKUP(2,1/(('Match Log'!$A$4:$A$1510=$A685)*('Match Log'!$E$4:$E$1510="Loss")),'Match Log'!$D$4:$D$1510),"the field")),"")</f>
        <v>the field</v>
      </c>
      <c r="I685" t="str">
        <f t="shared" si="39"/>
        <v/>
      </c>
      <c r="J685">
        <v>661</v>
      </c>
      <c r="K685" t="e">
        <f>IF($J685&gt;MAX('Match Log'!$A$4:$A$1510),NA(),IFERROR(LOOKUP(2,1/(('Match Log'!$D$4:$D$1510=$K$24)*('Match Log'!$A$4:$A$1510&lt;=$J685)),'Match Log'!$N$4:$N$1510),NA()))</f>
        <v>#N/A</v>
      </c>
      <c r="L685" t="e">
        <f>IF($J685&gt;MAX('Match Log'!$A$4:$A$1510),NA(),IFERROR(LOOKUP(2,1/(('Match Log'!$D$4:$D$1510=$L$24)*('Match Log'!$A$4:$A$1510&lt;=$J685)),'Match Log'!$N$4:$N$1510),NA()))</f>
        <v>#N/A</v>
      </c>
      <c r="M685" t="e">
        <f>IF($J685&gt;MAX('Match Log'!$A$4:$A$1510),NA(),IFERROR(LOOKUP(2,1/(('Match Log'!$D$4:$D$1510=$M$24)*('Match Log'!$A$4:$A$1510&lt;=$J685)),'Match Log'!$N$4:$N$1510),NA()))</f>
        <v>#N/A</v>
      </c>
      <c r="N685" t="e">
        <f>IF($J685&gt;MAX('Match Log'!$A$4:$A$1510),NA(),IFERROR(LOOKUP(2,1/(('Match Log'!$D$4:$D$1510=$N$24)*('Match Log'!$A$4:$A$1510&lt;=$J685)),'Match Log'!$N$4:$N$1510),NA()))</f>
        <v>#N/A</v>
      </c>
      <c r="O685" t="e">
        <f>IF($J685&gt;MAX('Match Log'!$A$4:$A$1510),NA(),IFERROR(LOOKUP(2,1/(('Match Log'!$D$4:$D$1510=$O$24)*('Match Log'!$A$4:$A$1510&lt;=$J685)),'Match Log'!$N$4:$N$1510),NA()))</f>
        <v>#N/A</v>
      </c>
      <c r="P685" t="e">
        <f>IF($J685&gt;MAX('Match Log'!$A$4:$A$1510),NA(),IFERROR(LOOKUP(2,1/(('Match Log'!$D$4:$D$1510=$P$24)*('Match Log'!$A$4:$A$1510&lt;=$J685)),'Match Log'!$N$4:$N$1510),NA()))</f>
        <v>#N/A</v>
      </c>
      <c r="Q685" t="e">
        <f>IF($J685&gt;MAX('Match Log'!$A$4:$A$1510),NA(),IFERROR(LOOKUP(2,1/(('Match Log'!$D$4:$D$1510=$Q$24)*('Match Log'!$A$4:$A$1510&lt;=$J685)),'Match Log'!$N$4:$N$1510),NA()))</f>
        <v>#N/A</v>
      </c>
      <c r="R685" t="e">
        <f>IF($J685&gt;MAX('Match Log'!$A$4:$A$1510),NA(),IFERROR(LOOKUP(2,1/(('Match Log'!$D$4:$D$1510=$R$24)*('Match Log'!$A$4:$A$1510&lt;=$J685)),'Match Log'!$N$4:$N$1510),NA()))</f>
        <v>#N/A</v>
      </c>
      <c r="S685" t="e">
        <f>IF($J685&gt;MAX('Match Log'!$A$4:$A$1510),NA(),IFERROR(LOOKUP(2,1/(('Match Log'!$D$4:$D$1510=$S$24)*('Match Log'!$A$4:$A$1510&lt;=$J685)),'Match Log'!$N$4:$N$1510),NA()))</f>
        <v>#N/A</v>
      </c>
      <c r="T685" t="e">
        <f>IF($J685&gt;MAX('Match Log'!$A$4:$A$1510),NA(),IFERROR(LOOKUP(2,1/(('Match Log'!$D$4:$D$1510=$T$24)*('Match Log'!$A$4:$A$1510&lt;=$J685)),'Match Log'!$N$4:$N$1510),NA()))</f>
        <v>#N/A</v>
      </c>
      <c r="U685" t="e">
        <f>IF($J685&gt;MAX('Match Log'!$A$4:$A$1510),NA(),IFERROR(LOOKUP(2,1/(('Match Log'!$D$4:$D$1510=$U$24)*('Match Log'!$A$4:$A$1510&lt;=$J685)),'Match Log'!$N$4:$N$1510),NA()))</f>
        <v>#N/A</v>
      </c>
      <c r="V685" t="e">
        <f>IF($J685&gt;MAX('Match Log'!$A$4:$A$1510),NA(),IFERROR(LOOKUP(2,1/(('Match Log'!$D$4:$D$1510=$V$24)*('Match Log'!$A$4:$A$1510&lt;=$J685)),'Match Log'!$N$4:$N$1510),NA()))</f>
        <v>#N/A</v>
      </c>
      <c r="W685" t="e">
        <f>IF($J685&gt;MAX('Match Log'!$A$4:$A$1510),NA(),IFERROR(LOOKUP(2,1/(('Match Log'!$D$4:$D$1510=$W$24)*('Match Log'!$A$4:$A$1510&lt;=$J685)),'Match Log'!$N$4:$N$1510),NA()))</f>
        <v>#N/A</v>
      </c>
      <c r="X685" t="e">
        <f>IF($J685&gt;MAX('Match Log'!$A$4:$A$1510),NA(),IFERROR(LOOKUP(2,1/(('Match Log'!$D$4:$D$1510=$X$24)*('Match Log'!$A$4:$A$1510&lt;=$J685)),'Match Log'!$N$4:$N$1510),NA()))</f>
        <v>#N/A</v>
      </c>
      <c r="Y685" t="str">
        <f t="shared" ca="1" si="40"/>
        <v/>
      </c>
    </row>
    <row r="686" spans="1:25" x14ac:dyDescent="0.2">
      <c r="A686">
        <v>662</v>
      </c>
      <c r="B686" t="str">
        <f>IFERROR(INDEX('Match Log'!$B$4:$B$1510,MATCH($A686,'Match Log'!$A$4:$A$1510,0)),"")</f>
        <v/>
      </c>
      <c r="C686" t="str">
        <f>IFERROR(INDEX('Match Log'!$C$4:$C$1510,MATCH($A686,'Match Log'!$A$4:$A$1510,0)),"")</f>
        <v/>
      </c>
      <c r="D686" t="str">
        <f t="array" ref="D686">IFERROR(_xlfn.TEXTJOIN(" + ",TRUE(),IF(('Match Log'!$A$4:$A$1510=$A686)*('Match Log'!$E$4:$E$1510="Win"),'Match Log'!$D$4:$D$1510,"")),IFERROR(LOOKUP(2,1/(('Match Log'!$A$4:$A$1510=$A686)*('Match Log'!$E$4:$E$1510="Win")),'Match Log'!$D$4:$D$1510),""))</f>
        <v/>
      </c>
      <c r="E686" t="str">
        <f>IFERROR(INDEX('Match Log'!$F$4:$F$1510,MATCH($A686,'Match Log'!$A$4:$A$1510,0)),"")</f>
        <v/>
      </c>
      <c r="F686">
        <f>IFERROR(SUMIFS('Match Log'!$I$4:$I$1510,'Match Log'!$A$4:$A$1510,$A686,'Match Log'!$E$4:$E$1510,"Win"),"")</f>
        <v>0</v>
      </c>
      <c r="G686" t="str">
        <f t="shared" si="38"/>
        <v/>
      </c>
      <c r="H686" t="str">
        <f t="array" ref="H686">IFERROR(IF(COUNTIFS('Match Log'!$A$4:$A$1510,$A686,'Match Log'!$E$4:$E$1510,"Win")&gt;1,_xlfn.TEXTJOIN(" + ",TRUE(),IF(('Match Log'!$A$4:$A$1510=$A686)*('Match Log'!$E$4:$E$1510="Loss"),'Match Log'!$D$4:$D$1510,"")),IF($E686=2,LOOKUP(2,1/(('Match Log'!$A$4:$A$1510=$A686)*('Match Log'!$E$4:$E$1510="Loss")),'Match Log'!$D$4:$D$1510),"the field")),"")</f>
        <v>the field</v>
      </c>
      <c r="I686" t="str">
        <f t="shared" si="39"/>
        <v/>
      </c>
      <c r="J686">
        <v>662</v>
      </c>
      <c r="K686" t="e">
        <f>IF($J686&gt;MAX('Match Log'!$A$4:$A$1510),NA(),IFERROR(LOOKUP(2,1/(('Match Log'!$D$4:$D$1510=$K$24)*('Match Log'!$A$4:$A$1510&lt;=$J686)),'Match Log'!$N$4:$N$1510),NA()))</f>
        <v>#N/A</v>
      </c>
      <c r="L686" t="e">
        <f>IF($J686&gt;MAX('Match Log'!$A$4:$A$1510),NA(),IFERROR(LOOKUP(2,1/(('Match Log'!$D$4:$D$1510=$L$24)*('Match Log'!$A$4:$A$1510&lt;=$J686)),'Match Log'!$N$4:$N$1510),NA()))</f>
        <v>#N/A</v>
      </c>
      <c r="M686" t="e">
        <f>IF($J686&gt;MAX('Match Log'!$A$4:$A$1510),NA(),IFERROR(LOOKUP(2,1/(('Match Log'!$D$4:$D$1510=$M$24)*('Match Log'!$A$4:$A$1510&lt;=$J686)),'Match Log'!$N$4:$N$1510),NA()))</f>
        <v>#N/A</v>
      </c>
      <c r="N686" t="e">
        <f>IF($J686&gt;MAX('Match Log'!$A$4:$A$1510),NA(),IFERROR(LOOKUP(2,1/(('Match Log'!$D$4:$D$1510=$N$24)*('Match Log'!$A$4:$A$1510&lt;=$J686)),'Match Log'!$N$4:$N$1510),NA()))</f>
        <v>#N/A</v>
      </c>
      <c r="O686" t="e">
        <f>IF($J686&gt;MAX('Match Log'!$A$4:$A$1510),NA(),IFERROR(LOOKUP(2,1/(('Match Log'!$D$4:$D$1510=$O$24)*('Match Log'!$A$4:$A$1510&lt;=$J686)),'Match Log'!$N$4:$N$1510),NA()))</f>
        <v>#N/A</v>
      </c>
      <c r="P686" t="e">
        <f>IF($J686&gt;MAX('Match Log'!$A$4:$A$1510),NA(),IFERROR(LOOKUP(2,1/(('Match Log'!$D$4:$D$1510=$P$24)*('Match Log'!$A$4:$A$1510&lt;=$J686)),'Match Log'!$N$4:$N$1510),NA()))</f>
        <v>#N/A</v>
      </c>
      <c r="Q686" t="e">
        <f>IF($J686&gt;MAX('Match Log'!$A$4:$A$1510),NA(),IFERROR(LOOKUP(2,1/(('Match Log'!$D$4:$D$1510=$Q$24)*('Match Log'!$A$4:$A$1510&lt;=$J686)),'Match Log'!$N$4:$N$1510),NA()))</f>
        <v>#N/A</v>
      </c>
      <c r="R686" t="e">
        <f>IF($J686&gt;MAX('Match Log'!$A$4:$A$1510),NA(),IFERROR(LOOKUP(2,1/(('Match Log'!$D$4:$D$1510=$R$24)*('Match Log'!$A$4:$A$1510&lt;=$J686)),'Match Log'!$N$4:$N$1510),NA()))</f>
        <v>#N/A</v>
      </c>
      <c r="S686" t="e">
        <f>IF($J686&gt;MAX('Match Log'!$A$4:$A$1510),NA(),IFERROR(LOOKUP(2,1/(('Match Log'!$D$4:$D$1510=$S$24)*('Match Log'!$A$4:$A$1510&lt;=$J686)),'Match Log'!$N$4:$N$1510),NA()))</f>
        <v>#N/A</v>
      </c>
      <c r="T686" t="e">
        <f>IF($J686&gt;MAX('Match Log'!$A$4:$A$1510),NA(),IFERROR(LOOKUP(2,1/(('Match Log'!$D$4:$D$1510=$T$24)*('Match Log'!$A$4:$A$1510&lt;=$J686)),'Match Log'!$N$4:$N$1510),NA()))</f>
        <v>#N/A</v>
      </c>
      <c r="U686" t="e">
        <f>IF($J686&gt;MAX('Match Log'!$A$4:$A$1510),NA(),IFERROR(LOOKUP(2,1/(('Match Log'!$D$4:$D$1510=$U$24)*('Match Log'!$A$4:$A$1510&lt;=$J686)),'Match Log'!$N$4:$N$1510),NA()))</f>
        <v>#N/A</v>
      </c>
      <c r="V686" t="e">
        <f>IF($J686&gt;MAX('Match Log'!$A$4:$A$1510),NA(),IFERROR(LOOKUP(2,1/(('Match Log'!$D$4:$D$1510=$V$24)*('Match Log'!$A$4:$A$1510&lt;=$J686)),'Match Log'!$N$4:$N$1510),NA()))</f>
        <v>#N/A</v>
      </c>
      <c r="W686" t="e">
        <f>IF($J686&gt;MAX('Match Log'!$A$4:$A$1510),NA(),IFERROR(LOOKUP(2,1/(('Match Log'!$D$4:$D$1510=$W$24)*('Match Log'!$A$4:$A$1510&lt;=$J686)),'Match Log'!$N$4:$N$1510),NA()))</f>
        <v>#N/A</v>
      </c>
      <c r="X686" t="e">
        <f>IF($J686&gt;MAX('Match Log'!$A$4:$A$1510),NA(),IFERROR(LOOKUP(2,1/(('Match Log'!$D$4:$D$1510=$X$24)*('Match Log'!$A$4:$A$1510&lt;=$J686)),'Match Log'!$N$4:$N$1510),NA()))</f>
        <v>#N/A</v>
      </c>
      <c r="Y686" t="str">
        <f t="shared" ca="1" si="40"/>
        <v/>
      </c>
    </row>
    <row r="687" spans="1:25" x14ac:dyDescent="0.2">
      <c r="A687">
        <v>663</v>
      </c>
      <c r="B687" t="str">
        <f>IFERROR(INDEX('Match Log'!$B$4:$B$1510,MATCH($A687,'Match Log'!$A$4:$A$1510,0)),"")</f>
        <v/>
      </c>
      <c r="C687" t="str">
        <f>IFERROR(INDEX('Match Log'!$C$4:$C$1510,MATCH($A687,'Match Log'!$A$4:$A$1510,0)),"")</f>
        <v/>
      </c>
      <c r="D687" t="str">
        <f t="array" ref="D687">IFERROR(_xlfn.TEXTJOIN(" + ",TRUE(),IF(('Match Log'!$A$4:$A$1510=$A687)*('Match Log'!$E$4:$E$1510="Win"),'Match Log'!$D$4:$D$1510,"")),IFERROR(LOOKUP(2,1/(('Match Log'!$A$4:$A$1510=$A687)*('Match Log'!$E$4:$E$1510="Win")),'Match Log'!$D$4:$D$1510),""))</f>
        <v/>
      </c>
      <c r="E687" t="str">
        <f>IFERROR(INDEX('Match Log'!$F$4:$F$1510,MATCH($A687,'Match Log'!$A$4:$A$1510,0)),"")</f>
        <v/>
      </c>
      <c r="F687">
        <f>IFERROR(SUMIFS('Match Log'!$I$4:$I$1510,'Match Log'!$A$4:$A$1510,$A687,'Match Log'!$E$4:$E$1510,"Win"),"")</f>
        <v>0</v>
      </c>
      <c r="G687" t="str">
        <f t="shared" si="38"/>
        <v/>
      </c>
      <c r="H687" t="str">
        <f t="array" ref="H687">IFERROR(IF(COUNTIFS('Match Log'!$A$4:$A$1510,$A687,'Match Log'!$E$4:$E$1510,"Win")&gt;1,_xlfn.TEXTJOIN(" + ",TRUE(),IF(('Match Log'!$A$4:$A$1510=$A687)*('Match Log'!$E$4:$E$1510="Loss"),'Match Log'!$D$4:$D$1510,"")),IF($E687=2,LOOKUP(2,1/(('Match Log'!$A$4:$A$1510=$A687)*('Match Log'!$E$4:$E$1510="Loss")),'Match Log'!$D$4:$D$1510),"the field")),"")</f>
        <v>the field</v>
      </c>
      <c r="I687" t="str">
        <f t="shared" si="39"/>
        <v/>
      </c>
      <c r="J687">
        <v>663</v>
      </c>
      <c r="K687" t="e">
        <f>IF($J687&gt;MAX('Match Log'!$A$4:$A$1510),NA(),IFERROR(LOOKUP(2,1/(('Match Log'!$D$4:$D$1510=$K$24)*('Match Log'!$A$4:$A$1510&lt;=$J687)),'Match Log'!$N$4:$N$1510),NA()))</f>
        <v>#N/A</v>
      </c>
      <c r="L687" t="e">
        <f>IF($J687&gt;MAX('Match Log'!$A$4:$A$1510),NA(),IFERROR(LOOKUP(2,1/(('Match Log'!$D$4:$D$1510=$L$24)*('Match Log'!$A$4:$A$1510&lt;=$J687)),'Match Log'!$N$4:$N$1510),NA()))</f>
        <v>#N/A</v>
      </c>
      <c r="M687" t="e">
        <f>IF($J687&gt;MAX('Match Log'!$A$4:$A$1510),NA(),IFERROR(LOOKUP(2,1/(('Match Log'!$D$4:$D$1510=$M$24)*('Match Log'!$A$4:$A$1510&lt;=$J687)),'Match Log'!$N$4:$N$1510),NA()))</f>
        <v>#N/A</v>
      </c>
      <c r="N687" t="e">
        <f>IF($J687&gt;MAX('Match Log'!$A$4:$A$1510),NA(),IFERROR(LOOKUP(2,1/(('Match Log'!$D$4:$D$1510=$N$24)*('Match Log'!$A$4:$A$1510&lt;=$J687)),'Match Log'!$N$4:$N$1510),NA()))</f>
        <v>#N/A</v>
      </c>
      <c r="O687" t="e">
        <f>IF($J687&gt;MAX('Match Log'!$A$4:$A$1510),NA(),IFERROR(LOOKUP(2,1/(('Match Log'!$D$4:$D$1510=$O$24)*('Match Log'!$A$4:$A$1510&lt;=$J687)),'Match Log'!$N$4:$N$1510),NA()))</f>
        <v>#N/A</v>
      </c>
      <c r="P687" t="e">
        <f>IF($J687&gt;MAX('Match Log'!$A$4:$A$1510),NA(),IFERROR(LOOKUP(2,1/(('Match Log'!$D$4:$D$1510=$P$24)*('Match Log'!$A$4:$A$1510&lt;=$J687)),'Match Log'!$N$4:$N$1510),NA()))</f>
        <v>#N/A</v>
      </c>
      <c r="Q687" t="e">
        <f>IF($J687&gt;MAX('Match Log'!$A$4:$A$1510),NA(),IFERROR(LOOKUP(2,1/(('Match Log'!$D$4:$D$1510=$Q$24)*('Match Log'!$A$4:$A$1510&lt;=$J687)),'Match Log'!$N$4:$N$1510),NA()))</f>
        <v>#N/A</v>
      </c>
      <c r="R687" t="e">
        <f>IF($J687&gt;MAX('Match Log'!$A$4:$A$1510),NA(),IFERROR(LOOKUP(2,1/(('Match Log'!$D$4:$D$1510=$R$24)*('Match Log'!$A$4:$A$1510&lt;=$J687)),'Match Log'!$N$4:$N$1510),NA()))</f>
        <v>#N/A</v>
      </c>
      <c r="S687" t="e">
        <f>IF($J687&gt;MAX('Match Log'!$A$4:$A$1510),NA(),IFERROR(LOOKUP(2,1/(('Match Log'!$D$4:$D$1510=$S$24)*('Match Log'!$A$4:$A$1510&lt;=$J687)),'Match Log'!$N$4:$N$1510),NA()))</f>
        <v>#N/A</v>
      </c>
      <c r="T687" t="e">
        <f>IF($J687&gt;MAX('Match Log'!$A$4:$A$1510),NA(),IFERROR(LOOKUP(2,1/(('Match Log'!$D$4:$D$1510=$T$24)*('Match Log'!$A$4:$A$1510&lt;=$J687)),'Match Log'!$N$4:$N$1510),NA()))</f>
        <v>#N/A</v>
      </c>
      <c r="U687" t="e">
        <f>IF($J687&gt;MAX('Match Log'!$A$4:$A$1510),NA(),IFERROR(LOOKUP(2,1/(('Match Log'!$D$4:$D$1510=$U$24)*('Match Log'!$A$4:$A$1510&lt;=$J687)),'Match Log'!$N$4:$N$1510),NA()))</f>
        <v>#N/A</v>
      </c>
      <c r="V687" t="e">
        <f>IF($J687&gt;MAX('Match Log'!$A$4:$A$1510),NA(),IFERROR(LOOKUP(2,1/(('Match Log'!$D$4:$D$1510=$V$24)*('Match Log'!$A$4:$A$1510&lt;=$J687)),'Match Log'!$N$4:$N$1510),NA()))</f>
        <v>#N/A</v>
      </c>
      <c r="W687" t="e">
        <f>IF($J687&gt;MAX('Match Log'!$A$4:$A$1510),NA(),IFERROR(LOOKUP(2,1/(('Match Log'!$D$4:$D$1510=$W$24)*('Match Log'!$A$4:$A$1510&lt;=$J687)),'Match Log'!$N$4:$N$1510),NA()))</f>
        <v>#N/A</v>
      </c>
      <c r="X687" t="e">
        <f>IF($J687&gt;MAX('Match Log'!$A$4:$A$1510),NA(),IFERROR(LOOKUP(2,1/(('Match Log'!$D$4:$D$1510=$X$24)*('Match Log'!$A$4:$A$1510&lt;=$J687)),'Match Log'!$N$4:$N$1510),NA()))</f>
        <v>#N/A</v>
      </c>
      <c r="Y687" t="str">
        <f t="shared" ca="1" si="40"/>
        <v/>
      </c>
    </row>
    <row r="688" spans="1:25" x14ac:dyDescent="0.2">
      <c r="A688">
        <v>664</v>
      </c>
      <c r="B688" t="str">
        <f>IFERROR(INDEX('Match Log'!$B$4:$B$1510,MATCH($A688,'Match Log'!$A$4:$A$1510,0)),"")</f>
        <v/>
      </c>
      <c r="C688" t="str">
        <f>IFERROR(INDEX('Match Log'!$C$4:$C$1510,MATCH($A688,'Match Log'!$A$4:$A$1510,0)),"")</f>
        <v/>
      </c>
      <c r="D688" t="str">
        <f t="array" ref="D688">IFERROR(_xlfn.TEXTJOIN(" + ",TRUE(),IF(('Match Log'!$A$4:$A$1510=$A688)*('Match Log'!$E$4:$E$1510="Win"),'Match Log'!$D$4:$D$1510,"")),IFERROR(LOOKUP(2,1/(('Match Log'!$A$4:$A$1510=$A688)*('Match Log'!$E$4:$E$1510="Win")),'Match Log'!$D$4:$D$1510),""))</f>
        <v/>
      </c>
      <c r="E688" t="str">
        <f>IFERROR(INDEX('Match Log'!$F$4:$F$1510,MATCH($A688,'Match Log'!$A$4:$A$1510,0)),"")</f>
        <v/>
      </c>
      <c r="F688">
        <f>IFERROR(SUMIFS('Match Log'!$I$4:$I$1510,'Match Log'!$A$4:$A$1510,$A688,'Match Log'!$E$4:$E$1510,"Win"),"")</f>
        <v>0</v>
      </c>
      <c r="G688" t="str">
        <f t="shared" si="38"/>
        <v/>
      </c>
      <c r="H688" t="str">
        <f t="array" ref="H688">IFERROR(IF(COUNTIFS('Match Log'!$A$4:$A$1510,$A688,'Match Log'!$E$4:$E$1510,"Win")&gt;1,_xlfn.TEXTJOIN(" + ",TRUE(),IF(('Match Log'!$A$4:$A$1510=$A688)*('Match Log'!$E$4:$E$1510="Loss"),'Match Log'!$D$4:$D$1510,"")),IF($E688=2,LOOKUP(2,1/(('Match Log'!$A$4:$A$1510=$A688)*('Match Log'!$E$4:$E$1510="Loss")),'Match Log'!$D$4:$D$1510),"the field")),"")</f>
        <v>the field</v>
      </c>
      <c r="I688" t="str">
        <f t="shared" si="39"/>
        <v/>
      </c>
      <c r="J688">
        <v>664</v>
      </c>
      <c r="K688" t="e">
        <f>IF($J688&gt;MAX('Match Log'!$A$4:$A$1510),NA(),IFERROR(LOOKUP(2,1/(('Match Log'!$D$4:$D$1510=$K$24)*('Match Log'!$A$4:$A$1510&lt;=$J688)),'Match Log'!$N$4:$N$1510),NA()))</f>
        <v>#N/A</v>
      </c>
      <c r="L688" t="e">
        <f>IF($J688&gt;MAX('Match Log'!$A$4:$A$1510),NA(),IFERROR(LOOKUP(2,1/(('Match Log'!$D$4:$D$1510=$L$24)*('Match Log'!$A$4:$A$1510&lt;=$J688)),'Match Log'!$N$4:$N$1510),NA()))</f>
        <v>#N/A</v>
      </c>
      <c r="M688" t="e">
        <f>IF($J688&gt;MAX('Match Log'!$A$4:$A$1510),NA(),IFERROR(LOOKUP(2,1/(('Match Log'!$D$4:$D$1510=$M$24)*('Match Log'!$A$4:$A$1510&lt;=$J688)),'Match Log'!$N$4:$N$1510),NA()))</f>
        <v>#N/A</v>
      </c>
      <c r="N688" t="e">
        <f>IF($J688&gt;MAX('Match Log'!$A$4:$A$1510),NA(),IFERROR(LOOKUP(2,1/(('Match Log'!$D$4:$D$1510=$N$24)*('Match Log'!$A$4:$A$1510&lt;=$J688)),'Match Log'!$N$4:$N$1510),NA()))</f>
        <v>#N/A</v>
      </c>
      <c r="O688" t="e">
        <f>IF($J688&gt;MAX('Match Log'!$A$4:$A$1510),NA(),IFERROR(LOOKUP(2,1/(('Match Log'!$D$4:$D$1510=$O$24)*('Match Log'!$A$4:$A$1510&lt;=$J688)),'Match Log'!$N$4:$N$1510),NA()))</f>
        <v>#N/A</v>
      </c>
      <c r="P688" t="e">
        <f>IF($J688&gt;MAX('Match Log'!$A$4:$A$1510),NA(),IFERROR(LOOKUP(2,1/(('Match Log'!$D$4:$D$1510=$P$24)*('Match Log'!$A$4:$A$1510&lt;=$J688)),'Match Log'!$N$4:$N$1510),NA()))</f>
        <v>#N/A</v>
      </c>
      <c r="Q688" t="e">
        <f>IF($J688&gt;MAX('Match Log'!$A$4:$A$1510),NA(),IFERROR(LOOKUP(2,1/(('Match Log'!$D$4:$D$1510=$Q$24)*('Match Log'!$A$4:$A$1510&lt;=$J688)),'Match Log'!$N$4:$N$1510),NA()))</f>
        <v>#N/A</v>
      </c>
      <c r="R688" t="e">
        <f>IF($J688&gt;MAX('Match Log'!$A$4:$A$1510),NA(),IFERROR(LOOKUP(2,1/(('Match Log'!$D$4:$D$1510=$R$24)*('Match Log'!$A$4:$A$1510&lt;=$J688)),'Match Log'!$N$4:$N$1510),NA()))</f>
        <v>#N/A</v>
      </c>
      <c r="S688" t="e">
        <f>IF($J688&gt;MAX('Match Log'!$A$4:$A$1510),NA(),IFERROR(LOOKUP(2,1/(('Match Log'!$D$4:$D$1510=$S$24)*('Match Log'!$A$4:$A$1510&lt;=$J688)),'Match Log'!$N$4:$N$1510),NA()))</f>
        <v>#N/A</v>
      </c>
      <c r="T688" t="e">
        <f>IF($J688&gt;MAX('Match Log'!$A$4:$A$1510),NA(),IFERROR(LOOKUP(2,1/(('Match Log'!$D$4:$D$1510=$T$24)*('Match Log'!$A$4:$A$1510&lt;=$J688)),'Match Log'!$N$4:$N$1510),NA()))</f>
        <v>#N/A</v>
      </c>
      <c r="U688" t="e">
        <f>IF($J688&gt;MAX('Match Log'!$A$4:$A$1510),NA(),IFERROR(LOOKUP(2,1/(('Match Log'!$D$4:$D$1510=$U$24)*('Match Log'!$A$4:$A$1510&lt;=$J688)),'Match Log'!$N$4:$N$1510),NA()))</f>
        <v>#N/A</v>
      </c>
      <c r="V688" t="e">
        <f>IF($J688&gt;MAX('Match Log'!$A$4:$A$1510),NA(),IFERROR(LOOKUP(2,1/(('Match Log'!$D$4:$D$1510=$V$24)*('Match Log'!$A$4:$A$1510&lt;=$J688)),'Match Log'!$N$4:$N$1510),NA()))</f>
        <v>#N/A</v>
      </c>
      <c r="W688" t="e">
        <f>IF($J688&gt;MAX('Match Log'!$A$4:$A$1510),NA(),IFERROR(LOOKUP(2,1/(('Match Log'!$D$4:$D$1510=$W$24)*('Match Log'!$A$4:$A$1510&lt;=$J688)),'Match Log'!$N$4:$N$1510),NA()))</f>
        <v>#N/A</v>
      </c>
      <c r="X688" t="e">
        <f>IF($J688&gt;MAX('Match Log'!$A$4:$A$1510),NA(),IFERROR(LOOKUP(2,1/(('Match Log'!$D$4:$D$1510=$X$24)*('Match Log'!$A$4:$A$1510&lt;=$J688)),'Match Log'!$N$4:$N$1510),NA()))</f>
        <v>#N/A</v>
      </c>
      <c r="Y688" t="str">
        <f t="shared" ca="1" si="40"/>
        <v/>
      </c>
    </row>
    <row r="689" spans="1:25" x14ac:dyDescent="0.2">
      <c r="A689">
        <v>665</v>
      </c>
      <c r="B689" t="str">
        <f>IFERROR(INDEX('Match Log'!$B$4:$B$1510,MATCH($A689,'Match Log'!$A$4:$A$1510,0)),"")</f>
        <v/>
      </c>
      <c r="C689" t="str">
        <f>IFERROR(INDEX('Match Log'!$C$4:$C$1510,MATCH($A689,'Match Log'!$A$4:$A$1510,0)),"")</f>
        <v/>
      </c>
      <c r="D689" t="str">
        <f t="array" ref="D689">IFERROR(_xlfn.TEXTJOIN(" + ",TRUE(),IF(('Match Log'!$A$4:$A$1510=$A689)*('Match Log'!$E$4:$E$1510="Win"),'Match Log'!$D$4:$D$1510,"")),IFERROR(LOOKUP(2,1/(('Match Log'!$A$4:$A$1510=$A689)*('Match Log'!$E$4:$E$1510="Win")),'Match Log'!$D$4:$D$1510),""))</f>
        <v/>
      </c>
      <c r="E689" t="str">
        <f>IFERROR(INDEX('Match Log'!$F$4:$F$1510,MATCH($A689,'Match Log'!$A$4:$A$1510,0)),"")</f>
        <v/>
      </c>
      <c r="F689">
        <f>IFERROR(SUMIFS('Match Log'!$I$4:$I$1510,'Match Log'!$A$4:$A$1510,$A689,'Match Log'!$E$4:$E$1510,"Win"),"")</f>
        <v>0</v>
      </c>
      <c r="G689" t="str">
        <f t="shared" si="38"/>
        <v/>
      </c>
      <c r="H689" t="str">
        <f t="array" ref="H689">IFERROR(IF(COUNTIFS('Match Log'!$A$4:$A$1510,$A689,'Match Log'!$E$4:$E$1510,"Win")&gt;1,_xlfn.TEXTJOIN(" + ",TRUE(),IF(('Match Log'!$A$4:$A$1510=$A689)*('Match Log'!$E$4:$E$1510="Loss"),'Match Log'!$D$4:$D$1510,"")),IF($E689=2,LOOKUP(2,1/(('Match Log'!$A$4:$A$1510=$A689)*('Match Log'!$E$4:$E$1510="Loss")),'Match Log'!$D$4:$D$1510),"the field")),"")</f>
        <v>the field</v>
      </c>
      <c r="I689" t="str">
        <f t="shared" si="39"/>
        <v/>
      </c>
      <c r="J689">
        <v>665</v>
      </c>
      <c r="K689" t="e">
        <f>IF($J689&gt;MAX('Match Log'!$A$4:$A$1510),NA(),IFERROR(LOOKUP(2,1/(('Match Log'!$D$4:$D$1510=$K$24)*('Match Log'!$A$4:$A$1510&lt;=$J689)),'Match Log'!$N$4:$N$1510),NA()))</f>
        <v>#N/A</v>
      </c>
      <c r="L689" t="e">
        <f>IF($J689&gt;MAX('Match Log'!$A$4:$A$1510),NA(),IFERROR(LOOKUP(2,1/(('Match Log'!$D$4:$D$1510=$L$24)*('Match Log'!$A$4:$A$1510&lt;=$J689)),'Match Log'!$N$4:$N$1510),NA()))</f>
        <v>#N/A</v>
      </c>
      <c r="M689" t="e">
        <f>IF($J689&gt;MAX('Match Log'!$A$4:$A$1510),NA(),IFERROR(LOOKUP(2,1/(('Match Log'!$D$4:$D$1510=$M$24)*('Match Log'!$A$4:$A$1510&lt;=$J689)),'Match Log'!$N$4:$N$1510),NA()))</f>
        <v>#N/A</v>
      </c>
      <c r="N689" t="e">
        <f>IF($J689&gt;MAX('Match Log'!$A$4:$A$1510),NA(),IFERROR(LOOKUP(2,1/(('Match Log'!$D$4:$D$1510=$N$24)*('Match Log'!$A$4:$A$1510&lt;=$J689)),'Match Log'!$N$4:$N$1510),NA()))</f>
        <v>#N/A</v>
      </c>
      <c r="O689" t="e">
        <f>IF($J689&gt;MAX('Match Log'!$A$4:$A$1510),NA(),IFERROR(LOOKUP(2,1/(('Match Log'!$D$4:$D$1510=$O$24)*('Match Log'!$A$4:$A$1510&lt;=$J689)),'Match Log'!$N$4:$N$1510),NA()))</f>
        <v>#N/A</v>
      </c>
      <c r="P689" t="e">
        <f>IF($J689&gt;MAX('Match Log'!$A$4:$A$1510),NA(),IFERROR(LOOKUP(2,1/(('Match Log'!$D$4:$D$1510=$P$24)*('Match Log'!$A$4:$A$1510&lt;=$J689)),'Match Log'!$N$4:$N$1510),NA()))</f>
        <v>#N/A</v>
      </c>
      <c r="Q689" t="e">
        <f>IF($J689&gt;MAX('Match Log'!$A$4:$A$1510),NA(),IFERROR(LOOKUP(2,1/(('Match Log'!$D$4:$D$1510=$Q$24)*('Match Log'!$A$4:$A$1510&lt;=$J689)),'Match Log'!$N$4:$N$1510),NA()))</f>
        <v>#N/A</v>
      </c>
      <c r="R689" t="e">
        <f>IF($J689&gt;MAX('Match Log'!$A$4:$A$1510),NA(),IFERROR(LOOKUP(2,1/(('Match Log'!$D$4:$D$1510=$R$24)*('Match Log'!$A$4:$A$1510&lt;=$J689)),'Match Log'!$N$4:$N$1510),NA()))</f>
        <v>#N/A</v>
      </c>
      <c r="S689" t="e">
        <f>IF($J689&gt;MAX('Match Log'!$A$4:$A$1510),NA(),IFERROR(LOOKUP(2,1/(('Match Log'!$D$4:$D$1510=$S$24)*('Match Log'!$A$4:$A$1510&lt;=$J689)),'Match Log'!$N$4:$N$1510),NA()))</f>
        <v>#N/A</v>
      </c>
      <c r="T689" t="e">
        <f>IF($J689&gt;MAX('Match Log'!$A$4:$A$1510),NA(),IFERROR(LOOKUP(2,1/(('Match Log'!$D$4:$D$1510=$T$24)*('Match Log'!$A$4:$A$1510&lt;=$J689)),'Match Log'!$N$4:$N$1510),NA()))</f>
        <v>#N/A</v>
      </c>
      <c r="U689" t="e">
        <f>IF($J689&gt;MAX('Match Log'!$A$4:$A$1510),NA(),IFERROR(LOOKUP(2,1/(('Match Log'!$D$4:$D$1510=$U$24)*('Match Log'!$A$4:$A$1510&lt;=$J689)),'Match Log'!$N$4:$N$1510),NA()))</f>
        <v>#N/A</v>
      </c>
      <c r="V689" t="e">
        <f>IF($J689&gt;MAX('Match Log'!$A$4:$A$1510),NA(),IFERROR(LOOKUP(2,1/(('Match Log'!$D$4:$D$1510=$V$24)*('Match Log'!$A$4:$A$1510&lt;=$J689)),'Match Log'!$N$4:$N$1510),NA()))</f>
        <v>#N/A</v>
      </c>
      <c r="W689" t="e">
        <f>IF($J689&gt;MAX('Match Log'!$A$4:$A$1510),NA(),IFERROR(LOOKUP(2,1/(('Match Log'!$D$4:$D$1510=$W$24)*('Match Log'!$A$4:$A$1510&lt;=$J689)),'Match Log'!$N$4:$N$1510),NA()))</f>
        <v>#N/A</v>
      </c>
      <c r="X689" t="e">
        <f>IF($J689&gt;MAX('Match Log'!$A$4:$A$1510),NA(),IFERROR(LOOKUP(2,1/(('Match Log'!$D$4:$D$1510=$X$24)*('Match Log'!$A$4:$A$1510&lt;=$J689)),'Match Log'!$N$4:$N$1510),NA()))</f>
        <v>#N/A</v>
      </c>
      <c r="Y689" t="str">
        <f t="shared" ca="1" si="40"/>
        <v/>
      </c>
    </row>
    <row r="690" spans="1:25" x14ac:dyDescent="0.2">
      <c r="A690">
        <v>666</v>
      </c>
      <c r="B690" t="str">
        <f>IFERROR(INDEX('Match Log'!$B$4:$B$1510,MATCH($A690,'Match Log'!$A$4:$A$1510,0)),"")</f>
        <v/>
      </c>
      <c r="C690" t="str">
        <f>IFERROR(INDEX('Match Log'!$C$4:$C$1510,MATCH($A690,'Match Log'!$A$4:$A$1510,0)),"")</f>
        <v/>
      </c>
      <c r="D690" t="str">
        <f t="array" ref="D690">IFERROR(_xlfn.TEXTJOIN(" + ",TRUE(),IF(('Match Log'!$A$4:$A$1510=$A690)*('Match Log'!$E$4:$E$1510="Win"),'Match Log'!$D$4:$D$1510,"")),IFERROR(LOOKUP(2,1/(('Match Log'!$A$4:$A$1510=$A690)*('Match Log'!$E$4:$E$1510="Win")),'Match Log'!$D$4:$D$1510),""))</f>
        <v/>
      </c>
      <c r="E690" t="str">
        <f>IFERROR(INDEX('Match Log'!$F$4:$F$1510,MATCH($A690,'Match Log'!$A$4:$A$1510,0)),"")</f>
        <v/>
      </c>
      <c r="F690">
        <f>IFERROR(SUMIFS('Match Log'!$I$4:$I$1510,'Match Log'!$A$4:$A$1510,$A690,'Match Log'!$E$4:$E$1510,"Win"),"")</f>
        <v>0</v>
      </c>
      <c r="G690" t="str">
        <f t="shared" si="38"/>
        <v/>
      </c>
      <c r="H690" t="str">
        <f t="array" ref="H690">IFERROR(IF(COUNTIFS('Match Log'!$A$4:$A$1510,$A690,'Match Log'!$E$4:$E$1510,"Win")&gt;1,_xlfn.TEXTJOIN(" + ",TRUE(),IF(('Match Log'!$A$4:$A$1510=$A690)*('Match Log'!$E$4:$E$1510="Loss"),'Match Log'!$D$4:$D$1510,"")),IF($E690=2,LOOKUP(2,1/(('Match Log'!$A$4:$A$1510=$A690)*('Match Log'!$E$4:$E$1510="Loss")),'Match Log'!$D$4:$D$1510),"the field")),"")</f>
        <v>the field</v>
      </c>
      <c r="I690" t="str">
        <f t="shared" si="39"/>
        <v/>
      </c>
      <c r="J690">
        <v>666</v>
      </c>
      <c r="K690" t="e">
        <f>IF($J690&gt;MAX('Match Log'!$A$4:$A$1510),NA(),IFERROR(LOOKUP(2,1/(('Match Log'!$D$4:$D$1510=$K$24)*('Match Log'!$A$4:$A$1510&lt;=$J690)),'Match Log'!$N$4:$N$1510),NA()))</f>
        <v>#N/A</v>
      </c>
      <c r="L690" t="e">
        <f>IF($J690&gt;MAX('Match Log'!$A$4:$A$1510),NA(),IFERROR(LOOKUP(2,1/(('Match Log'!$D$4:$D$1510=$L$24)*('Match Log'!$A$4:$A$1510&lt;=$J690)),'Match Log'!$N$4:$N$1510),NA()))</f>
        <v>#N/A</v>
      </c>
      <c r="M690" t="e">
        <f>IF($J690&gt;MAX('Match Log'!$A$4:$A$1510),NA(),IFERROR(LOOKUP(2,1/(('Match Log'!$D$4:$D$1510=$M$24)*('Match Log'!$A$4:$A$1510&lt;=$J690)),'Match Log'!$N$4:$N$1510),NA()))</f>
        <v>#N/A</v>
      </c>
      <c r="N690" t="e">
        <f>IF($J690&gt;MAX('Match Log'!$A$4:$A$1510),NA(),IFERROR(LOOKUP(2,1/(('Match Log'!$D$4:$D$1510=$N$24)*('Match Log'!$A$4:$A$1510&lt;=$J690)),'Match Log'!$N$4:$N$1510),NA()))</f>
        <v>#N/A</v>
      </c>
      <c r="O690" t="e">
        <f>IF($J690&gt;MAX('Match Log'!$A$4:$A$1510),NA(),IFERROR(LOOKUP(2,1/(('Match Log'!$D$4:$D$1510=$O$24)*('Match Log'!$A$4:$A$1510&lt;=$J690)),'Match Log'!$N$4:$N$1510),NA()))</f>
        <v>#N/A</v>
      </c>
      <c r="P690" t="e">
        <f>IF($J690&gt;MAX('Match Log'!$A$4:$A$1510),NA(),IFERROR(LOOKUP(2,1/(('Match Log'!$D$4:$D$1510=$P$24)*('Match Log'!$A$4:$A$1510&lt;=$J690)),'Match Log'!$N$4:$N$1510),NA()))</f>
        <v>#N/A</v>
      </c>
      <c r="Q690" t="e">
        <f>IF($J690&gt;MAX('Match Log'!$A$4:$A$1510),NA(),IFERROR(LOOKUP(2,1/(('Match Log'!$D$4:$D$1510=$Q$24)*('Match Log'!$A$4:$A$1510&lt;=$J690)),'Match Log'!$N$4:$N$1510),NA()))</f>
        <v>#N/A</v>
      </c>
      <c r="R690" t="e">
        <f>IF($J690&gt;MAX('Match Log'!$A$4:$A$1510),NA(),IFERROR(LOOKUP(2,1/(('Match Log'!$D$4:$D$1510=$R$24)*('Match Log'!$A$4:$A$1510&lt;=$J690)),'Match Log'!$N$4:$N$1510),NA()))</f>
        <v>#N/A</v>
      </c>
      <c r="S690" t="e">
        <f>IF($J690&gt;MAX('Match Log'!$A$4:$A$1510),NA(),IFERROR(LOOKUP(2,1/(('Match Log'!$D$4:$D$1510=$S$24)*('Match Log'!$A$4:$A$1510&lt;=$J690)),'Match Log'!$N$4:$N$1510),NA()))</f>
        <v>#N/A</v>
      </c>
      <c r="T690" t="e">
        <f>IF($J690&gt;MAX('Match Log'!$A$4:$A$1510),NA(),IFERROR(LOOKUP(2,1/(('Match Log'!$D$4:$D$1510=$T$24)*('Match Log'!$A$4:$A$1510&lt;=$J690)),'Match Log'!$N$4:$N$1510),NA()))</f>
        <v>#N/A</v>
      </c>
      <c r="U690" t="e">
        <f>IF($J690&gt;MAX('Match Log'!$A$4:$A$1510),NA(),IFERROR(LOOKUP(2,1/(('Match Log'!$D$4:$D$1510=$U$24)*('Match Log'!$A$4:$A$1510&lt;=$J690)),'Match Log'!$N$4:$N$1510),NA()))</f>
        <v>#N/A</v>
      </c>
      <c r="V690" t="e">
        <f>IF($J690&gt;MAX('Match Log'!$A$4:$A$1510),NA(),IFERROR(LOOKUP(2,1/(('Match Log'!$D$4:$D$1510=$V$24)*('Match Log'!$A$4:$A$1510&lt;=$J690)),'Match Log'!$N$4:$N$1510),NA()))</f>
        <v>#N/A</v>
      </c>
      <c r="W690" t="e">
        <f>IF($J690&gt;MAX('Match Log'!$A$4:$A$1510),NA(),IFERROR(LOOKUP(2,1/(('Match Log'!$D$4:$D$1510=$W$24)*('Match Log'!$A$4:$A$1510&lt;=$J690)),'Match Log'!$N$4:$N$1510),NA()))</f>
        <v>#N/A</v>
      </c>
      <c r="X690" t="e">
        <f>IF($J690&gt;MAX('Match Log'!$A$4:$A$1510),NA(),IFERROR(LOOKUP(2,1/(('Match Log'!$D$4:$D$1510=$X$24)*('Match Log'!$A$4:$A$1510&lt;=$J690)),'Match Log'!$N$4:$N$1510),NA()))</f>
        <v>#N/A</v>
      </c>
      <c r="Y690" t="str">
        <f t="shared" ca="1" si="40"/>
        <v/>
      </c>
    </row>
    <row r="691" spans="1:25" x14ac:dyDescent="0.2">
      <c r="A691">
        <v>667</v>
      </c>
      <c r="B691" t="str">
        <f>IFERROR(INDEX('Match Log'!$B$4:$B$1510,MATCH($A691,'Match Log'!$A$4:$A$1510,0)),"")</f>
        <v/>
      </c>
      <c r="C691" t="str">
        <f>IFERROR(INDEX('Match Log'!$C$4:$C$1510,MATCH($A691,'Match Log'!$A$4:$A$1510,0)),"")</f>
        <v/>
      </c>
      <c r="D691" t="str">
        <f t="array" ref="D691">IFERROR(_xlfn.TEXTJOIN(" + ",TRUE(),IF(('Match Log'!$A$4:$A$1510=$A691)*('Match Log'!$E$4:$E$1510="Win"),'Match Log'!$D$4:$D$1510,"")),IFERROR(LOOKUP(2,1/(('Match Log'!$A$4:$A$1510=$A691)*('Match Log'!$E$4:$E$1510="Win")),'Match Log'!$D$4:$D$1510),""))</f>
        <v/>
      </c>
      <c r="E691" t="str">
        <f>IFERROR(INDEX('Match Log'!$F$4:$F$1510,MATCH($A691,'Match Log'!$A$4:$A$1510,0)),"")</f>
        <v/>
      </c>
      <c r="F691">
        <f>IFERROR(SUMIFS('Match Log'!$I$4:$I$1510,'Match Log'!$A$4:$A$1510,$A691,'Match Log'!$E$4:$E$1510,"Win"),"")</f>
        <v>0</v>
      </c>
      <c r="G691" t="str">
        <f t="shared" si="38"/>
        <v/>
      </c>
      <c r="H691" t="str">
        <f t="array" ref="H691">IFERROR(IF(COUNTIFS('Match Log'!$A$4:$A$1510,$A691,'Match Log'!$E$4:$E$1510,"Win")&gt;1,_xlfn.TEXTJOIN(" + ",TRUE(),IF(('Match Log'!$A$4:$A$1510=$A691)*('Match Log'!$E$4:$E$1510="Loss"),'Match Log'!$D$4:$D$1510,"")),IF($E691=2,LOOKUP(2,1/(('Match Log'!$A$4:$A$1510=$A691)*('Match Log'!$E$4:$E$1510="Loss")),'Match Log'!$D$4:$D$1510),"the field")),"")</f>
        <v>the field</v>
      </c>
      <c r="I691" t="str">
        <f t="shared" si="39"/>
        <v/>
      </c>
      <c r="J691">
        <v>667</v>
      </c>
      <c r="K691" t="e">
        <f>IF($J691&gt;MAX('Match Log'!$A$4:$A$1510),NA(),IFERROR(LOOKUP(2,1/(('Match Log'!$D$4:$D$1510=$K$24)*('Match Log'!$A$4:$A$1510&lt;=$J691)),'Match Log'!$N$4:$N$1510),NA()))</f>
        <v>#N/A</v>
      </c>
      <c r="L691" t="e">
        <f>IF($J691&gt;MAX('Match Log'!$A$4:$A$1510),NA(),IFERROR(LOOKUP(2,1/(('Match Log'!$D$4:$D$1510=$L$24)*('Match Log'!$A$4:$A$1510&lt;=$J691)),'Match Log'!$N$4:$N$1510),NA()))</f>
        <v>#N/A</v>
      </c>
      <c r="M691" t="e">
        <f>IF($J691&gt;MAX('Match Log'!$A$4:$A$1510),NA(),IFERROR(LOOKUP(2,1/(('Match Log'!$D$4:$D$1510=$M$24)*('Match Log'!$A$4:$A$1510&lt;=$J691)),'Match Log'!$N$4:$N$1510),NA()))</f>
        <v>#N/A</v>
      </c>
      <c r="N691" t="e">
        <f>IF($J691&gt;MAX('Match Log'!$A$4:$A$1510),NA(),IFERROR(LOOKUP(2,1/(('Match Log'!$D$4:$D$1510=$N$24)*('Match Log'!$A$4:$A$1510&lt;=$J691)),'Match Log'!$N$4:$N$1510),NA()))</f>
        <v>#N/A</v>
      </c>
      <c r="O691" t="e">
        <f>IF($J691&gt;MAX('Match Log'!$A$4:$A$1510),NA(),IFERROR(LOOKUP(2,1/(('Match Log'!$D$4:$D$1510=$O$24)*('Match Log'!$A$4:$A$1510&lt;=$J691)),'Match Log'!$N$4:$N$1510),NA()))</f>
        <v>#N/A</v>
      </c>
      <c r="P691" t="e">
        <f>IF($J691&gt;MAX('Match Log'!$A$4:$A$1510),NA(),IFERROR(LOOKUP(2,1/(('Match Log'!$D$4:$D$1510=$P$24)*('Match Log'!$A$4:$A$1510&lt;=$J691)),'Match Log'!$N$4:$N$1510),NA()))</f>
        <v>#N/A</v>
      </c>
      <c r="Q691" t="e">
        <f>IF($J691&gt;MAX('Match Log'!$A$4:$A$1510),NA(),IFERROR(LOOKUP(2,1/(('Match Log'!$D$4:$D$1510=$Q$24)*('Match Log'!$A$4:$A$1510&lt;=$J691)),'Match Log'!$N$4:$N$1510),NA()))</f>
        <v>#N/A</v>
      </c>
      <c r="R691" t="e">
        <f>IF($J691&gt;MAX('Match Log'!$A$4:$A$1510),NA(),IFERROR(LOOKUP(2,1/(('Match Log'!$D$4:$D$1510=$R$24)*('Match Log'!$A$4:$A$1510&lt;=$J691)),'Match Log'!$N$4:$N$1510),NA()))</f>
        <v>#N/A</v>
      </c>
      <c r="S691" t="e">
        <f>IF($J691&gt;MAX('Match Log'!$A$4:$A$1510),NA(),IFERROR(LOOKUP(2,1/(('Match Log'!$D$4:$D$1510=$S$24)*('Match Log'!$A$4:$A$1510&lt;=$J691)),'Match Log'!$N$4:$N$1510),NA()))</f>
        <v>#N/A</v>
      </c>
      <c r="T691" t="e">
        <f>IF($J691&gt;MAX('Match Log'!$A$4:$A$1510),NA(),IFERROR(LOOKUP(2,1/(('Match Log'!$D$4:$D$1510=$T$24)*('Match Log'!$A$4:$A$1510&lt;=$J691)),'Match Log'!$N$4:$N$1510),NA()))</f>
        <v>#N/A</v>
      </c>
      <c r="U691" t="e">
        <f>IF($J691&gt;MAX('Match Log'!$A$4:$A$1510),NA(),IFERROR(LOOKUP(2,1/(('Match Log'!$D$4:$D$1510=$U$24)*('Match Log'!$A$4:$A$1510&lt;=$J691)),'Match Log'!$N$4:$N$1510),NA()))</f>
        <v>#N/A</v>
      </c>
      <c r="V691" t="e">
        <f>IF($J691&gt;MAX('Match Log'!$A$4:$A$1510),NA(),IFERROR(LOOKUP(2,1/(('Match Log'!$D$4:$D$1510=$V$24)*('Match Log'!$A$4:$A$1510&lt;=$J691)),'Match Log'!$N$4:$N$1510),NA()))</f>
        <v>#N/A</v>
      </c>
      <c r="W691" t="e">
        <f>IF($J691&gt;MAX('Match Log'!$A$4:$A$1510),NA(),IFERROR(LOOKUP(2,1/(('Match Log'!$D$4:$D$1510=$W$24)*('Match Log'!$A$4:$A$1510&lt;=$J691)),'Match Log'!$N$4:$N$1510),NA()))</f>
        <v>#N/A</v>
      </c>
      <c r="X691" t="e">
        <f>IF($J691&gt;MAX('Match Log'!$A$4:$A$1510),NA(),IFERROR(LOOKUP(2,1/(('Match Log'!$D$4:$D$1510=$X$24)*('Match Log'!$A$4:$A$1510&lt;=$J691)),'Match Log'!$N$4:$N$1510),NA()))</f>
        <v>#N/A</v>
      </c>
      <c r="Y691" t="str">
        <f t="shared" ca="1" si="40"/>
        <v/>
      </c>
    </row>
    <row r="692" spans="1:25" x14ac:dyDescent="0.2">
      <c r="A692">
        <v>668</v>
      </c>
      <c r="B692" t="str">
        <f>IFERROR(INDEX('Match Log'!$B$4:$B$1510,MATCH($A692,'Match Log'!$A$4:$A$1510,0)),"")</f>
        <v/>
      </c>
      <c r="C692" t="str">
        <f>IFERROR(INDEX('Match Log'!$C$4:$C$1510,MATCH($A692,'Match Log'!$A$4:$A$1510,0)),"")</f>
        <v/>
      </c>
      <c r="D692" t="str">
        <f t="array" ref="D692">IFERROR(_xlfn.TEXTJOIN(" + ",TRUE(),IF(('Match Log'!$A$4:$A$1510=$A692)*('Match Log'!$E$4:$E$1510="Win"),'Match Log'!$D$4:$D$1510,"")),IFERROR(LOOKUP(2,1/(('Match Log'!$A$4:$A$1510=$A692)*('Match Log'!$E$4:$E$1510="Win")),'Match Log'!$D$4:$D$1510),""))</f>
        <v/>
      </c>
      <c r="E692" t="str">
        <f>IFERROR(INDEX('Match Log'!$F$4:$F$1510,MATCH($A692,'Match Log'!$A$4:$A$1510,0)),"")</f>
        <v/>
      </c>
      <c r="F692">
        <f>IFERROR(SUMIFS('Match Log'!$I$4:$I$1510,'Match Log'!$A$4:$A$1510,$A692,'Match Log'!$E$4:$E$1510,"Win"),"")</f>
        <v>0</v>
      </c>
      <c r="G692" t="str">
        <f t="shared" si="38"/>
        <v/>
      </c>
      <c r="H692" t="str">
        <f t="array" ref="H692">IFERROR(IF(COUNTIFS('Match Log'!$A$4:$A$1510,$A692,'Match Log'!$E$4:$E$1510,"Win")&gt;1,_xlfn.TEXTJOIN(" + ",TRUE(),IF(('Match Log'!$A$4:$A$1510=$A692)*('Match Log'!$E$4:$E$1510="Loss"),'Match Log'!$D$4:$D$1510,"")),IF($E692=2,LOOKUP(2,1/(('Match Log'!$A$4:$A$1510=$A692)*('Match Log'!$E$4:$E$1510="Loss")),'Match Log'!$D$4:$D$1510),"the field")),"")</f>
        <v>the field</v>
      </c>
      <c r="I692" t="str">
        <f t="shared" si="39"/>
        <v/>
      </c>
      <c r="J692">
        <v>668</v>
      </c>
      <c r="K692" t="e">
        <f>IF($J692&gt;MAX('Match Log'!$A$4:$A$1510),NA(),IFERROR(LOOKUP(2,1/(('Match Log'!$D$4:$D$1510=$K$24)*('Match Log'!$A$4:$A$1510&lt;=$J692)),'Match Log'!$N$4:$N$1510),NA()))</f>
        <v>#N/A</v>
      </c>
      <c r="L692" t="e">
        <f>IF($J692&gt;MAX('Match Log'!$A$4:$A$1510),NA(),IFERROR(LOOKUP(2,1/(('Match Log'!$D$4:$D$1510=$L$24)*('Match Log'!$A$4:$A$1510&lt;=$J692)),'Match Log'!$N$4:$N$1510),NA()))</f>
        <v>#N/A</v>
      </c>
      <c r="M692" t="e">
        <f>IF($J692&gt;MAX('Match Log'!$A$4:$A$1510),NA(),IFERROR(LOOKUP(2,1/(('Match Log'!$D$4:$D$1510=$M$24)*('Match Log'!$A$4:$A$1510&lt;=$J692)),'Match Log'!$N$4:$N$1510),NA()))</f>
        <v>#N/A</v>
      </c>
      <c r="N692" t="e">
        <f>IF($J692&gt;MAX('Match Log'!$A$4:$A$1510),NA(),IFERROR(LOOKUP(2,1/(('Match Log'!$D$4:$D$1510=$N$24)*('Match Log'!$A$4:$A$1510&lt;=$J692)),'Match Log'!$N$4:$N$1510),NA()))</f>
        <v>#N/A</v>
      </c>
      <c r="O692" t="e">
        <f>IF($J692&gt;MAX('Match Log'!$A$4:$A$1510),NA(),IFERROR(LOOKUP(2,1/(('Match Log'!$D$4:$D$1510=$O$24)*('Match Log'!$A$4:$A$1510&lt;=$J692)),'Match Log'!$N$4:$N$1510),NA()))</f>
        <v>#N/A</v>
      </c>
      <c r="P692" t="e">
        <f>IF($J692&gt;MAX('Match Log'!$A$4:$A$1510),NA(),IFERROR(LOOKUP(2,1/(('Match Log'!$D$4:$D$1510=$P$24)*('Match Log'!$A$4:$A$1510&lt;=$J692)),'Match Log'!$N$4:$N$1510),NA()))</f>
        <v>#N/A</v>
      </c>
      <c r="Q692" t="e">
        <f>IF($J692&gt;MAX('Match Log'!$A$4:$A$1510),NA(),IFERROR(LOOKUP(2,1/(('Match Log'!$D$4:$D$1510=$Q$24)*('Match Log'!$A$4:$A$1510&lt;=$J692)),'Match Log'!$N$4:$N$1510),NA()))</f>
        <v>#N/A</v>
      </c>
      <c r="R692" t="e">
        <f>IF($J692&gt;MAX('Match Log'!$A$4:$A$1510),NA(),IFERROR(LOOKUP(2,1/(('Match Log'!$D$4:$D$1510=$R$24)*('Match Log'!$A$4:$A$1510&lt;=$J692)),'Match Log'!$N$4:$N$1510),NA()))</f>
        <v>#N/A</v>
      </c>
      <c r="S692" t="e">
        <f>IF($J692&gt;MAX('Match Log'!$A$4:$A$1510),NA(),IFERROR(LOOKUP(2,1/(('Match Log'!$D$4:$D$1510=$S$24)*('Match Log'!$A$4:$A$1510&lt;=$J692)),'Match Log'!$N$4:$N$1510),NA()))</f>
        <v>#N/A</v>
      </c>
      <c r="T692" t="e">
        <f>IF($J692&gt;MAX('Match Log'!$A$4:$A$1510),NA(),IFERROR(LOOKUP(2,1/(('Match Log'!$D$4:$D$1510=$T$24)*('Match Log'!$A$4:$A$1510&lt;=$J692)),'Match Log'!$N$4:$N$1510),NA()))</f>
        <v>#N/A</v>
      </c>
      <c r="U692" t="e">
        <f>IF($J692&gt;MAX('Match Log'!$A$4:$A$1510),NA(),IFERROR(LOOKUP(2,1/(('Match Log'!$D$4:$D$1510=$U$24)*('Match Log'!$A$4:$A$1510&lt;=$J692)),'Match Log'!$N$4:$N$1510),NA()))</f>
        <v>#N/A</v>
      </c>
      <c r="V692" t="e">
        <f>IF($J692&gt;MAX('Match Log'!$A$4:$A$1510),NA(),IFERROR(LOOKUP(2,1/(('Match Log'!$D$4:$D$1510=$V$24)*('Match Log'!$A$4:$A$1510&lt;=$J692)),'Match Log'!$N$4:$N$1510),NA()))</f>
        <v>#N/A</v>
      </c>
      <c r="W692" t="e">
        <f>IF($J692&gt;MAX('Match Log'!$A$4:$A$1510),NA(),IFERROR(LOOKUP(2,1/(('Match Log'!$D$4:$D$1510=$W$24)*('Match Log'!$A$4:$A$1510&lt;=$J692)),'Match Log'!$N$4:$N$1510),NA()))</f>
        <v>#N/A</v>
      </c>
      <c r="X692" t="e">
        <f>IF($J692&gt;MAX('Match Log'!$A$4:$A$1510),NA(),IFERROR(LOOKUP(2,1/(('Match Log'!$D$4:$D$1510=$X$24)*('Match Log'!$A$4:$A$1510&lt;=$J692)),'Match Log'!$N$4:$N$1510),NA()))</f>
        <v>#N/A</v>
      </c>
      <c r="Y692" t="str">
        <f t="shared" ca="1" si="40"/>
        <v/>
      </c>
    </row>
    <row r="693" spans="1:25" x14ac:dyDescent="0.2">
      <c r="A693">
        <v>669</v>
      </c>
      <c r="B693" t="str">
        <f>IFERROR(INDEX('Match Log'!$B$4:$B$1510,MATCH($A693,'Match Log'!$A$4:$A$1510,0)),"")</f>
        <v/>
      </c>
      <c r="C693" t="str">
        <f>IFERROR(INDEX('Match Log'!$C$4:$C$1510,MATCH($A693,'Match Log'!$A$4:$A$1510,0)),"")</f>
        <v/>
      </c>
      <c r="D693" t="str">
        <f t="array" ref="D693">IFERROR(_xlfn.TEXTJOIN(" + ",TRUE(),IF(('Match Log'!$A$4:$A$1510=$A693)*('Match Log'!$E$4:$E$1510="Win"),'Match Log'!$D$4:$D$1510,"")),IFERROR(LOOKUP(2,1/(('Match Log'!$A$4:$A$1510=$A693)*('Match Log'!$E$4:$E$1510="Win")),'Match Log'!$D$4:$D$1510),""))</f>
        <v/>
      </c>
      <c r="E693" t="str">
        <f>IFERROR(INDEX('Match Log'!$F$4:$F$1510,MATCH($A693,'Match Log'!$A$4:$A$1510,0)),"")</f>
        <v/>
      </c>
      <c r="F693">
        <f>IFERROR(SUMIFS('Match Log'!$I$4:$I$1510,'Match Log'!$A$4:$A$1510,$A693,'Match Log'!$E$4:$E$1510,"Win"),"")</f>
        <v>0</v>
      </c>
      <c r="G693" t="str">
        <f t="shared" si="38"/>
        <v/>
      </c>
      <c r="H693" t="str">
        <f t="array" ref="H693">IFERROR(IF(COUNTIFS('Match Log'!$A$4:$A$1510,$A693,'Match Log'!$E$4:$E$1510,"Win")&gt;1,_xlfn.TEXTJOIN(" + ",TRUE(),IF(('Match Log'!$A$4:$A$1510=$A693)*('Match Log'!$E$4:$E$1510="Loss"),'Match Log'!$D$4:$D$1510,"")),IF($E693=2,LOOKUP(2,1/(('Match Log'!$A$4:$A$1510=$A693)*('Match Log'!$E$4:$E$1510="Loss")),'Match Log'!$D$4:$D$1510),"the field")),"")</f>
        <v>the field</v>
      </c>
      <c r="I693" t="str">
        <f t="shared" si="39"/>
        <v/>
      </c>
      <c r="J693">
        <v>669</v>
      </c>
      <c r="K693" t="e">
        <f>IF($J693&gt;MAX('Match Log'!$A$4:$A$1510),NA(),IFERROR(LOOKUP(2,1/(('Match Log'!$D$4:$D$1510=$K$24)*('Match Log'!$A$4:$A$1510&lt;=$J693)),'Match Log'!$N$4:$N$1510),NA()))</f>
        <v>#N/A</v>
      </c>
      <c r="L693" t="e">
        <f>IF($J693&gt;MAX('Match Log'!$A$4:$A$1510),NA(),IFERROR(LOOKUP(2,1/(('Match Log'!$D$4:$D$1510=$L$24)*('Match Log'!$A$4:$A$1510&lt;=$J693)),'Match Log'!$N$4:$N$1510),NA()))</f>
        <v>#N/A</v>
      </c>
      <c r="M693" t="e">
        <f>IF($J693&gt;MAX('Match Log'!$A$4:$A$1510),NA(),IFERROR(LOOKUP(2,1/(('Match Log'!$D$4:$D$1510=$M$24)*('Match Log'!$A$4:$A$1510&lt;=$J693)),'Match Log'!$N$4:$N$1510),NA()))</f>
        <v>#N/A</v>
      </c>
      <c r="N693" t="e">
        <f>IF($J693&gt;MAX('Match Log'!$A$4:$A$1510),NA(),IFERROR(LOOKUP(2,1/(('Match Log'!$D$4:$D$1510=$N$24)*('Match Log'!$A$4:$A$1510&lt;=$J693)),'Match Log'!$N$4:$N$1510),NA()))</f>
        <v>#N/A</v>
      </c>
      <c r="O693" t="e">
        <f>IF($J693&gt;MAX('Match Log'!$A$4:$A$1510),NA(),IFERROR(LOOKUP(2,1/(('Match Log'!$D$4:$D$1510=$O$24)*('Match Log'!$A$4:$A$1510&lt;=$J693)),'Match Log'!$N$4:$N$1510),NA()))</f>
        <v>#N/A</v>
      </c>
      <c r="P693" t="e">
        <f>IF($J693&gt;MAX('Match Log'!$A$4:$A$1510),NA(),IFERROR(LOOKUP(2,1/(('Match Log'!$D$4:$D$1510=$P$24)*('Match Log'!$A$4:$A$1510&lt;=$J693)),'Match Log'!$N$4:$N$1510),NA()))</f>
        <v>#N/A</v>
      </c>
      <c r="Q693" t="e">
        <f>IF($J693&gt;MAX('Match Log'!$A$4:$A$1510),NA(),IFERROR(LOOKUP(2,1/(('Match Log'!$D$4:$D$1510=$Q$24)*('Match Log'!$A$4:$A$1510&lt;=$J693)),'Match Log'!$N$4:$N$1510),NA()))</f>
        <v>#N/A</v>
      </c>
      <c r="R693" t="e">
        <f>IF($J693&gt;MAX('Match Log'!$A$4:$A$1510),NA(),IFERROR(LOOKUP(2,1/(('Match Log'!$D$4:$D$1510=$R$24)*('Match Log'!$A$4:$A$1510&lt;=$J693)),'Match Log'!$N$4:$N$1510),NA()))</f>
        <v>#N/A</v>
      </c>
      <c r="S693" t="e">
        <f>IF($J693&gt;MAX('Match Log'!$A$4:$A$1510),NA(),IFERROR(LOOKUP(2,1/(('Match Log'!$D$4:$D$1510=$S$24)*('Match Log'!$A$4:$A$1510&lt;=$J693)),'Match Log'!$N$4:$N$1510),NA()))</f>
        <v>#N/A</v>
      </c>
      <c r="T693" t="e">
        <f>IF($J693&gt;MAX('Match Log'!$A$4:$A$1510),NA(),IFERROR(LOOKUP(2,1/(('Match Log'!$D$4:$D$1510=$T$24)*('Match Log'!$A$4:$A$1510&lt;=$J693)),'Match Log'!$N$4:$N$1510),NA()))</f>
        <v>#N/A</v>
      </c>
      <c r="U693" t="e">
        <f>IF($J693&gt;MAX('Match Log'!$A$4:$A$1510),NA(),IFERROR(LOOKUP(2,1/(('Match Log'!$D$4:$D$1510=$U$24)*('Match Log'!$A$4:$A$1510&lt;=$J693)),'Match Log'!$N$4:$N$1510),NA()))</f>
        <v>#N/A</v>
      </c>
      <c r="V693" t="e">
        <f>IF($J693&gt;MAX('Match Log'!$A$4:$A$1510),NA(),IFERROR(LOOKUP(2,1/(('Match Log'!$D$4:$D$1510=$V$24)*('Match Log'!$A$4:$A$1510&lt;=$J693)),'Match Log'!$N$4:$N$1510),NA()))</f>
        <v>#N/A</v>
      </c>
      <c r="W693" t="e">
        <f>IF($J693&gt;MAX('Match Log'!$A$4:$A$1510),NA(),IFERROR(LOOKUP(2,1/(('Match Log'!$D$4:$D$1510=$W$24)*('Match Log'!$A$4:$A$1510&lt;=$J693)),'Match Log'!$N$4:$N$1510),NA()))</f>
        <v>#N/A</v>
      </c>
      <c r="X693" t="e">
        <f>IF($J693&gt;MAX('Match Log'!$A$4:$A$1510),NA(),IFERROR(LOOKUP(2,1/(('Match Log'!$D$4:$D$1510=$X$24)*('Match Log'!$A$4:$A$1510&lt;=$J693)),'Match Log'!$N$4:$N$1510),NA()))</f>
        <v>#N/A</v>
      </c>
      <c r="Y693" t="str">
        <f t="shared" ca="1" si="40"/>
        <v/>
      </c>
    </row>
    <row r="694" spans="1:25" x14ac:dyDescent="0.2">
      <c r="A694">
        <v>670</v>
      </c>
      <c r="B694" t="str">
        <f>IFERROR(INDEX('Match Log'!$B$4:$B$1510,MATCH($A694,'Match Log'!$A$4:$A$1510,0)),"")</f>
        <v/>
      </c>
      <c r="C694" t="str">
        <f>IFERROR(INDEX('Match Log'!$C$4:$C$1510,MATCH($A694,'Match Log'!$A$4:$A$1510,0)),"")</f>
        <v/>
      </c>
      <c r="D694" t="str">
        <f t="array" ref="D694">IFERROR(_xlfn.TEXTJOIN(" + ",TRUE(),IF(('Match Log'!$A$4:$A$1510=$A694)*('Match Log'!$E$4:$E$1510="Win"),'Match Log'!$D$4:$D$1510,"")),IFERROR(LOOKUP(2,1/(('Match Log'!$A$4:$A$1510=$A694)*('Match Log'!$E$4:$E$1510="Win")),'Match Log'!$D$4:$D$1510),""))</f>
        <v/>
      </c>
      <c r="E694" t="str">
        <f>IFERROR(INDEX('Match Log'!$F$4:$F$1510,MATCH($A694,'Match Log'!$A$4:$A$1510,0)),"")</f>
        <v/>
      </c>
      <c r="F694">
        <f>IFERROR(SUMIFS('Match Log'!$I$4:$I$1510,'Match Log'!$A$4:$A$1510,$A694,'Match Log'!$E$4:$E$1510,"Win"),"")</f>
        <v>0</v>
      </c>
      <c r="G694" t="str">
        <f t="shared" si="38"/>
        <v/>
      </c>
      <c r="H694" t="str">
        <f t="array" ref="H694">IFERROR(IF(COUNTIFS('Match Log'!$A$4:$A$1510,$A694,'Match Log'!$E$4:$E$1510,"Win")&gt;1,_xlfn.TEXTJOIN(" + ",TRUE(),IF(('Match Log'!$A$4:$A$1510=$A694)*('Match Log'!$E$4:$E$1510="Loss"),'Match Log'!$D$4:$D$1510,"")),IF($E694=2,LOOKUP(2,1/(('Match Log'!$A$4:$A$1510=$A694)*('Match Log'!$E$4:$E$1510="Loss")),'Match Log'!$D$4:$D$1510),"the field")),"")</f>
        <v>the field</v>
      </c>
      <c r="I694" t="str">
        <f t="shared" si="39"/>
        <v/>
      </c>
      <c r="J694">
        <v>670</v>
      </c>
      <c r="K694" t="e">
        <f>IF($J694&gt;MAX('Match Log'!$A$4:$A$1510),NA(),IFERROR(LOOKUP(2,1/(('Match Log'!$D$4:$D$1510=$K$24)*('Match Log'!$A$4:$A$1510&lt;=$J694)),'Match Log'!$N$4:$N$1510),NA()))</f>
        <v>#N/A</v>
      </c>
      <c r="L694" t="e">
        <f>IF($J694&gt;MAX('Match Log'!$A$4:$A$1510),NA(),IFERROR(LOOKUP(2,1/(('Match Log'!$D$4:$D$1510=$L$24)*('Match Log'!$A$4:$A$1510&lt;=$J694)),'Match Log'!$N$4:$N$1510),NA()))</f>
        <v>#N/A</v>
      </c>
      <c r="M694" t="e">
        <f>IF($J694&gt;MAX('Match Log'!$A$4:$A$1510),NA(),IFERROR(LOOKUP(2,1/(('Match Log'!$D$4:$D$1510=$M$24)*('Match Log'!$A$4:$A$1510&lt;=$J694)),'Match Log'!$N$4:$N$1510),NA()))</f>
        <v>#N/A</v>
      </c>
      <c r="N694" t="e">
        <f>IF($J694&gt;MAX('Match Log'!$A$4:$A$1510),NA(),IFERROR(LOOKUP(2,1/(('Match Log'!$D$4:$D$1510=$N$24)*('Match Log'!$A$4:$A$1510&lt;=$J694)),'Match Log'!$N$4:$N$1510),NA()))</f>
        <v>#N/A</v>
      </c>
      <c r="O694" t="e">
        <f>IF($J694&gt;MAX('Match Log'!$A$4:$A$1510),NA(),IFERROR(LOOKUP(2,1/(('Match Log'!$D$4:$D$1510=$O$24)*('Match Log'!$A$4:$A$1510&lt;=$J694)),'Match Log'!$N$4:$N$1510),NA()))</f>
        <v>#N/A</v>
      </c>
      <c r="P694" t="e">
        <f>IF($J694&gt;MAX('Match Log'!$A$4:$A$1510),NA(),IFERROR(LOOKUP(2,1/(('Match Log'!$D$4:$D$1510=$P$24)*('Match Log'!$A$4:$A$1510&lt;=$J694)),'Match Log'!$N$4:$N$1510),NA()))</f>
        <v>#N/A</v>
      </c>
      <c r="Q694" t="e">
        <f>IF($J694&gt;MAX('Match Log'!$A$4:$A$1510),NA(),IFERROR(LOOKUP(2,1/(('Match Log'!$D$4:$D$1510=$Q$24)*('Match Log'!$A$4:$A$1510&lt;=$J694)),'Match Log'!$N$4:$N$1510),NA()))</f>
        <v>#N/A</v>
      </c>
      <c r="R694" t="e">
        <f>IF($J694&gt;MAX('Match Log'!$A$4:$A$1510),NA(),IFERROR(LOOKUP(2,1/(('Match Log'!$D$4:$D$1510=$R$24)*('Match Log'!$A$4:$A$1510&lt;=$J694)),'Match Log'!$N$4:$N$1510),NA()))</f>
        <v>#N/A</v>
      </c>
      <c r="S694" t="e">
        <f>IF($J694&gt;MAX('Match Log'!$A$4:$A$1510),NA(),IFERROR(LOOKUP(2,1/(('Match Log'!$D$4:$D$1510=$S$24)*('Match Log'!$A$4:$A$1510&lt;=$J694)),'Match Log'!$N$4:$N$1510),NA()))</f>
        <v>#N/A</v>
      </c>
      <c r="T694" t="e">
        <f>IF($J694&gt;MAX('Match Log'!$A$4:$A$1510),NA(),IFERROR(LOOKUP(2,1/(('Match Log'!$D$4:$D$1510=$T$24)*('Match Log'!$A$4:$A$1510&lt;=$J694)),'Match Log'!$N$4:$N$1510),NA()))</f>
        <v>#N/A</v>
      </c>
      <c r="U694" t="e">
        <f>IF($J694&gt;MAX('Match Log'!$A$4:$A$1510),NA(),IFERROR(LOOKUP(2,1/(('Match Log'!$D$4:$D$1510=$U$24)*('Match Log'!$A$4:$A$1510&lt;=$J694)),'Match Log'!$N$4:$N$1510),NA()))</f>
        <v>#N/A</v>
      </c>
      <c r="V694" t="e">
        <f>IF($J694&gt;MAX('Match Log'!$A$4:$A$1510),NA(),IFERROR(LOOKUP(2,1/(('Match Log'!$D$4:$D$1510=$V$24)*('Match Log'!$A$4:$A$1510&lt;=$J694)),'Match Log'!$N$4:$N$1510),NA()))</f>
        <v>#N/A</v>
      </c>
      <c r="W694" t="e">
        <f>IF($J694&gt;MAX('Match Log'!$A$4:$A$1510),NA(),IFERROR(LOOKUP(2,1/(('Match Log'!$D$4:$D$1510=$W$24)*('Match Log'!$A$4:$A$1510&lt;=$J694)),'Match Log'!$N$4:$N$1510),NA()))</f>
        <v>#N/A</v>
      </c>
      <c r="X694" t="e">
        <f>IF($J694&gt;MAX('Match Log'!$A$4:$A$1510),NA(),IFERROR(LOOKUP(2,1/(('Match Log'!$D$4:$D$1510=$X$24)*('Match Log'!$A$4:$A$1510&lt;=$J694)),'Match Log'!$N$4:$N$1510),NA()))</f>
        <v>#N/A</v>
      </c>
      <c r="Y694" t="str">
        <f t="shared" ca="1" si="40"/>
        <v/>
      </c>
    </row>
    <row r="695" spans="1:25" x14ac:dyDescent="0.2">
      <c r="A695">
        <v>671</v>
      </c>
      <c r="B695" t="str">
        <f>IFERROR(INDEX('Match Log'!$B$4:$B$1510,MATCH($A695,'Match Log'!$A$4:$A$1510,0)),"")</f>
        <v/>
      </c>
      <c r="C695" t="str">
        <f>IFERROR(INDEX('Match Log'!$C$4:$C$1510,MATCH($A695,'Match Log'!$A$4:$A$1510,0)),"")</f>
        <v/>
      </c>
      <c r="D695" t="str">
        <f t="array" ref="D695">IFERROR(_xlfn.TEXTJOIN(" + ",TRUE(),IF(('Match Log'!$A$4:$A$1510=$A695)*('Match Log'!$E$4:$E$1510="Win"),'Match Log'!$D$4:$D$1510,"")),IFERROR(LOOKUP(2,1/(('Match Log'!$A$4:$A$1510=$A695)*('Match Log'!$E$4:$E$1510="Win")),'Match Log'!$D$4:$D$1510),""))</f>
        <v/>
      </c>
      <c r="E695" t="str">
        <f>IFERROR(INDEX('Match Log'!$F$4:$F$1510,MATCH($A695,'Match Log'!$A$4:$A$1510,0)),"")</f>
        <v/>
      </c>
      <c r="F695">
        <f>IFERROR(SUMIFS('Match Log'!$I$4:$I$1510,'Match Log'!$A$4:$A$1510,$A695,'Match Log'!$E$4:$E$1510,"Win"),"")</f>
        <v>0</v>
      </c>
      <c r="G695" t="str">
        <f t="shared" si="38"/>
        <v/>
      </c>
      <c r="H695" t="str">
        <f t="array" ref="H695">IFERROR(IF(COUNTIFS('Match Log'!$A$4:$A$1510,$A695,'Match Log'!$E$4:$E$1510,"Win")&gt;1,_xlfn.TEXTJOIN(" + ",TRUE(),IF(('Match Log'!$A$4:$A$1510=$A695)*('Match Log'!$E$4:$E$1510="Loss"),'Match Log'!$D$4:$D$1510,"")),IF($E695=2,LOOKUP(2,1/(('Match Log'!$A$4:$A$1510=$A695)*('Match Log'!$E$4:$E$1510="Loss")),'Match Log'!$D$4:$D$1510),"the field")),"")</f>
        <v>the field</v>
      </c>
      <c r="I695" t="str">
        <f t="shared" si="39"/>
        <v/>
      </c>
      <c r="J695">
        <v>671</v>
      </c>
      <c r="K695" t="e">
        <f>IF($J695&gt;MAX('Match Log'!$A$4:$A$1510),NA(),IFERROR(LOOKUP(2,1/(('Match Log'!$D$4:$D$1510=$K$24)*('Match Log'!$A$4:$A$1510&lt;=$J695)),'Match Log'!$N$4:$N$1510),NA()))</f>
        <v>#N/A</v>
      </c>
      <c r="L695" t="e">
        <f>IF($J695&gt;MAX('Match Log'!$A$4:$A$1510),NA(),IFERROR(LOOKUP(2,1/(('Match Log'!$D$4:$D$1510=$L$24)*('Match Log'!$A$4:$A$1510&lt;=$J695)),'Match Log'!$N$4:$N$1510),NA()))</f>
        <v>#N/A</v>
      </c>
      <c r="M695" t="e">
        <f>IF($J695&gt;MAX('Match Log'!$A$4:$A$1510),NA(),IFERROR(LOOKUP(2,1/(('Match Log'!$D$4:$D$1510=$M$24)*('Match Log'!$A$4:$A$1510&lt;=$J695)),'Match Log'!$N$4:$N$1510),NA()))</f>
        <v>#N/A</v>
      </c>
      <c r="N695" t="e">
        <f>IF($J695&gt;MAX('Match Log'!$A$4:$A$1510),NA(),IFERROR(LOOKUP(2,1/(('Match Log'!$D$4:$D$1510=$N$24)*('Match Log'!$A$4:$A$1510&lt;=$J695)),'Match Log'!$N$4:$N$1510),NA()))</f>
        <v>#N/A</v>
      </c>
      <c r="O695" t="e">
        <f>IF($J695&gt;MAX('Match Log'!$A$4:$A$1510),NA(),IFERROR(LOOKUP(2,1/(('Match Log'!$D$4:$D$1510=$O$24)*('Match Log'!$A$4:$A$1510&lt;=$J695)),'Match Log'!$N$4:$N$1510),NA()))</f>
        <v>#N/A</v>
      </c>
      <c r="P695" t="e">
        <f>IF($J695&gt;MAX('Match Log'!$A$4:$A$1510),NA(),IFERROR(LOOKUP(2,1/(('Match Log'!$D$4:$D$1510=$P$24)*('Match Log'!$A$4:$A$1510&lt;=$J695)),'Match Log'!$N$4:$N$1510),NA()))</f>
        <v>#N/A</v>
      </c>
      <c r="Q695" t="e">
        <f>IF($J695&gt;MAX('Match Log'!$A$4:$A$1510),NA(),IFERROR(LOOKUP(2,1/(('Match Log'!$D$4:$D$1510=$Q$24)*('Match Log'!$A$4:$A$1510&lt;=$J695)),'Match Log'!$N$4:$N$1510),NA()))</f>
        <v>#N/A</v>
      </c>
      <c r="R695" t="e">
        <f>IF($J695&gt;MAX('Match Log'!$A$4:$A$1510),NA(),IFERROR(LOOKUP(2,1/(('Match Log'!$D$4:$D$1510=$R$24)*('Match Log'!$A$4:$A$1510&lt;=$J695)),'Match Log'!$N$4:$N$1510),NA()))</f>
        <v>#N/A</v>
      </c>
      <c r="S695" t="e">
        <f>IF($J695&gt;MAX('Match Log'!$A$4:$A$1510),NA(),IFERROR(LOOKUP(2,1/(('Match Log'!$D$4:$D$1510=$S$24)*('Match Log'!$A$4:$A$1510&lt;=$J695)),'Match Log'!$N$4:$N$1510),NA()))</f>
        <v>#N/A</v>
      </c>
      <c r="T695" t="e">
        <f>IF($J695&gt;MAX('Match Log'!$A$4:$A$1510),NA(),IFERROR(LOOKUP(2,1/(('Match Log'!$D$4:$D$1510=$T$24)*('Match Log'!$A$4:$A$1510&lt;=$J695)),'Match Log'!$N$4:$N$1510),NA()))</f>
        <v>#N/A</v>
      </c>
      <c r="U695" t="e">
        <f>IF($J695&gt;MAX('Match Log'!$A$4:$A$1510),NA(),IFERROR(LOOKUP(2,1/(('Match Log'!$D$4:$D$1510=$U$24)*('Match Log'!$A$4:$A$1510&lt;=$J695)),'Match Log'!$N$4:$N$1510),NA()))</f>
        <v>#N/A</v>
      </c>
      <c r="V695" t="e">
        <f>IF($J695&gt;MAX('Match Log'!$A$4:$A$1510),NA(),IFERROR(LOOKUP(2,1/(('Match Log'!$D$4:$D$1510=$V$24)*('Match Log'!$A$4:$A$1510&lt;=$J695)),'Match Log'!$N$4:$N$1510),NA()))</f>
        <v>#N/A</v>
      </c>
      <c r="W695" t="e">
        <f>IF($J695&gt;MAX('Match Log'!$A$4:$A$1510),NA(),IFERROR(LOOKUP(2,1/(('Match Log'!$D$4:$D$1510=$W$24)*('Match Log'!$A$4:$A$1510&lt;=$J695)),'Match Log'!$N$4:$N$1510),NA()))</f>
        <v>#N/A</v>
      </c>
      <c r="X695" t="e">
        <f>IF($J695&gt;MAX('Match Log'!$A$4:$A$1510),NA(),IFERROR(LOOKUP(2,1/(('Match Log'!$D$4:$D$1510=$X$24)*('Match Log'!$A$4:$A$1510&lt;=$J695)),'Match Log'!$N$4:$N$1510),NA()))</f>
        <v>#N/A</v>
      </c>
      <c r="Y695" t="str">
        <f t="shared" ca="1" si="40"/>
        <v/>
      </c>
    </row>
    <row r="696" spans="1:25" x14ac:dyDescent="0.2">
      <c r="A696">
        <v>672</v>
      </c>
      <c r="B696" t="str">
        <f>IFERROR(INDEX('Match Log'!$B$4:$B$1510,MATCH($A696,'Match Log'!$A$4:$A$1510,0)),"")</f>
        <v/>
      </c>
      <c r="C696" t="str">
        <f>IFERROR(INDEX('Match Log'!$C$4:$C$1510,MATCH($A696,'Match Log'!$A$4:$A$1510,0)),"")</f>
        <v/>
      </c>
      <c r="D696" t="str">
        <f t="array" ref="D696">IFERROR(_xlfn.TEXTJOIN(" + ",TRUE(),IF(('Match Log'!$A$4:$A$1510=$A696)*('Match Log'!$E$4:$E$1510="Win"),'Match Log'!$D$4:$D$1510,"")),IFERROR(LOOKUP(2,1/(('Match Log'!$A$4:$A$1510=$A696)*('Match Log'!$E$4:$E$1510="Win")),'Match Log'!$D$4:$D$1510),""))</f>
        <v/>
      </c>
      <c r="E696" t="str">
        <f>IFERROR(INDEX('Match Log'!$F$4:$F$1510,MATCH($A696,'Match Log'!$A$4:$A$1510,0)),"")</f>
        <v/>
      </c>
      <c r="F696">
        <f>IFERROR(SUMIFS('Match Log'!$I$4:$I$1510,'Match Log'!$A$4:$A$1510,$A696,'Match Log'!$E$4:$E$1510,"Win"),"")</f>
        <v>0</v>
      </c>
      <c r="G696" t="str">
        <f t="shared" si="38"/>
        <v/>
      </c>
      <c r="H696" t="str">
        <f t="array" ref="H696">IFERROR(IF(COUNTIFS('Match Log'!$A$4:$A$1510,$A696,'Match Log'!$E$4:$E$1510,"Win")&gt;1,_xlfn.TEXTJOIN(" + ",TRUE(),IF(('Match Log'!$A$4:$A$1510=$A696)*('Match Log'!$E$4:$E$1510="Loss"),'Match Log'!$D$4:$D$1510,"")),IF($E696=2,LOOKUP(2,1/(('Match Log'!$A$4:$A$1510=$A696)*('Match Log'!$E$4:$E$1510="Loss")),'Match Log'!$D$4:$D$1510),"the field")),"")</f>
        <v>the field</v>
      </c>
      <c r="I696" t="str">
        <f t="shared" si="39"/>
        <v/>
      </c>
      <c r="J696">
        <v>672</v>
      </c>
      <c r="K696" t="e">
        <f>IF($J696&gt;MAX('Match Log'!$A$4:$A$1510),NA(),IFERROR(LOOKUP(2,1/(('Match Log'!$D$4:$D$1510=$K$24)*('Match Log'!$A$4:$A$1510&lt;=$J696)),'Match Log'!$N$4:$N$1510),NA()))</f>
        <v>#N/A</v>
      </c>
      <c r="L696" t="e">
        <f>IF($J696&gt;MAX('Match Log'!$A$4:$A$1510),NA(),IFERROR(LOOKUP(2,1/(('Match Log'!$D$4:$D$1510=$L$24)*('Match Log'!$A$4:$A$1510&lt;=$J696)),'Match Log'!$N$4:$N$1510),NA()))</f>
        <v>#N/A</v>
      </c>
      <c r="M696" t="e">
        <f>IF($J696&gt;MAX('Match Log'!$A$4:$A$1510),NA(),IFERROR(LOOKUP(2,1/(('Match Log'!$D$4:$D$1510=$M$24)*('Match Log'!$A$4:$A$1510&lt;=$J696)),'Match Log'!$N$4:$N$1510),NA()))</f>
        <v>#N/A</v>
      </c>
      <c r="N696" t="e">
        <f>IF($J696&gt;MAX('Match Log'!$A$4:$A$1510),NA(),IFERROR(LOOKUP(2,1/(('Match Log'!$D$4:$D$1510=$N$24)*('Match Log'!$A$4:$A$1510&lt;=$J696)),'Match Log'!$N$4:$N$1510),NA()))</f>
        <v>#N/A</v>
      </c>
      <c r="O696" t="e">
        <f>IF($J696&gt;MAX('Match Log'!$A$4:$A$1510),NA(),IFERROR(LOOKUP(2,1/(('Match Log'!$D$4:$D$1510=$O$24)*('Match Log'!$A$4:$A$1510&lt;=$J696)),'Match Log'!$N$4:$N$1510),NA()))</f>
        <v>#N/A</v>
      </c>
      <c r="P696" t="e">
        <f>IF($J696&gt;MAX('Match Log'!$A$4:$A$1510),NA(),IFERROR(LOOKUP(2,1/(('Match Log'!$D$4:$D$1510=$P$24)*('Match Log'!$A$4:$A$1510&lt;=$J696)),'Match Log'!$N$4:$N$1510),NA()))</f>
        <v>#N/A</v>
      </c>
      <c r="Q696" t="e">
        <f>IF($J696&gt;MAX('Match Log'!$A$4:$A$1510),NA(),IFERROR(LOOKUP(2,1/(('Match Log'!$D$4:$D$1510=$Q$24)*('Match Log'!$A$4:$A$1510&lt;=$J696)),'Match Log'!$N$4:$N$1510),NA()))</f>
        <v>#N/A</v>
      </c>
      <c r="R696" t="e">
        <f>IF($J696&gt;MAX('Match Log'!$A$4:$A$1510),NA(),IFERROR(LOOKUP(2,1/(('Match Log'!$D$4:$D$1510=$R$24)*('Match Log'!$A$4:$A$1510&lt;=$J696)),'Match Log'!$N$4:$N$1510),NA()))</f>
        <v>#N/A</v>
      </c>
      <c r="S696" t="e">
        <f>IF($J696&gt;MAX('Match Log'!$A$4:$A$1510),NA(),IFERROR(LOOKUP(2,1/(('Match Log'!$D$4:$D$1510=$S$24)*('Match Log'!$A$4:$A$1510&lt;=$J696)),'Match Log'!$N$4:$N$1510),NA()))</f>
        <v>#N/A</v>
      </c>
      <c r="T696" t="e">
        <f>IF($J696&gt;MAX('Match Log'!$A$4:$A$1510),NA(),IFERROR(LOOKUP(2,1/(('Match Log'!$D$4:$D$1510=$T$24)*('Match Log'!$A$4:$A$1510&lt;=$J696)),'Match Log'!$N$4:$N$1510),NA()))</f>
        <v>#N/A</v>
      </c>
      <c r="U696" t="e">
        <f>IF($J696&gt;MAX('Match Log'!$A$4:$A$1510),NA(),IFERROR(LOOKUP(2,1/(('Match Log'!$D$4:$D$1510=$U$24)*('Match Log'!$A$4:$A$1510&lt;=$J696)),'Match Log'!$N$4:$N$1510),NA()))</f>
        <v>#N/A</v>
      </c>
      <c r="V696" t="e">
        <f>IF($J696&gt;MAX('Match Log'!$A$4:$A$1510),NA(),IFERROR(LOOKUP(2,1/(('Match Log'!$D$4:$D$1510=$V$24)*('Match Log'!$A$4:$A$1510&lt;=$J696)),'Match Log'!$N$4:$N$1510),NA()))</f>
        <v>#N/A</v>
      </c>
      <c r="W696" t="e">
        <f>IF($J696&gt;MAX('Match Log'!$A$4:$A$1510),NA(),IFERROR(LOOKUP(2,1/(('Match Log'!$D$4:$D$1510=$W$24)*('Match Log'!$A$4:$A$1510&lt;=$J696)),'Match Log'!$N$4:$N$1510),NA()))</f>
        <v>#N/A</v>
      </c>
      <c r="X696" t="e">
        <f>IF($J696&gt;MAX('Match Log'!$A$4:$A$1510),NA(),IFERROR(LOOKUP(2,1/(('Match Log'!$D$4:$D$1510=$X$24)*('Match Log'!$A$4:$A$1510&lt;=$J696)),'Match Log'!$N$4:$N$1510),NA()))</f>
        <v>#N/A</v>
      </c>
      <c r="Y696" t="str">
        <f t="shared" ca="1" si="40"/>
        <v/>
      </c>
    </row>
    <row r="697" spans="1:25" x14ac:dyDescent="0.2">
      <c r="A697">
        <v>673</v>
      </c>
      <c r="B697" t="str">
        <f>IFERROR(INDEX('Match Log'!$B$4:$B$1510,MATCH($A697,'Match Log'!$A$4:$A$1510,0)),"")</f>
        <v/>
      </c>
      <c r="C697" t="str">
        <f>IFERROR(INDEX('Match Log'!$C$4:$C$1510,MATCH($A697,'Match Log'!$A$4:$A$1510,0)),"")</f>
        <v/>
      </c>
      <c r="D697" t="str">
        <f t="array" ref="D697">IFERROR(_xlfn.TEXTJOIN(" + ",TRUE(),IF(('Match Log'!$A$4:$A$1510=$A697)*('Match Log'!$E$4:$E$1510="Win"),'Match Log'!$D$4:$D$1510,"")),IFERROR(LOOKUP(2,1/(('Match Log'!$A$4:$A$1510=$A697)*('Match Log'!$E$4:$E$1510="Win")),'Match Log'!$D$4:$D$1510),""))</f>
        <v/>
      </c>
      <c r="E697" t="str">
        <f>IFERROR(INDEX('Match Log'!$F$4:$F$1510,MATCH($A697,'Match Log'!$A$4:$A$1510,0)),"")</f>
        <v/>
      </c>
      <c r="F697">
        <f>IFERROR(SUMIFS('Match Log'!$I$4:$I$1510,'Match Log'!$A$4:$A$1510,$A697,'Match Log'!$E$4:$E$1510,"Win"),"")</f>
        <v>0</v>
      </c>
      <c r="G697" t="str">
        <f t="shared" si="38"/>
        <v/>
      </c>
      <c r="H697" t="str">
        <f t="array" ref="H697">IFERROR(IF(COUNTIFS('Match Log'!$A$4:$A$1510,$A697,'Match Log'!$E$4:$E$1510,"Win")&gt;1,_xlfn.TEXTJOIN(" + ",TRUE(),IF(('Match Log'!$A$4:$A$1510=$A697)*('Match Log'!$E$4:$E$1510="Loss"),'Match Log'!$D$4:$D$1510,"")),IF($E697=2,LOOKUP(2,1/(('Match Log'!$A$4:$A$1510=$A697)*('Match Log'!$E$4:$E$1510="Loss")),'Match Log'!$D$4:$D$1510),"the field")),"")</f>
        <v>the field</v>
      </c>
      <c r="I697" t="str">
        <f t="shared" si="39"/>
        <v/>
      </c>
      <c r="J697">
        <v>673</v>
      </c>
      <c r="K697" t="e">
        <f>IF($J697&gt;MAX('Match Log'!$A$4:$A$1510),NA(),IFERROR(LOOKUP(2,1/(('Match Log'!$D$4:$D$1510=$K$24)*('Match Log'!$A$4:$A$1510&lt;=$J697)),'Match Log'!$N$4:$N$1510),NA()))</f>
        <v>#N/A</v>
      </c>
      <c r="L697" t="e">
        <f>IF($J697&gt;MAX('Match Log'!$A$4:$A$1510),NA(),IFERROR(LOOKUP(2,1/(('Match Log'!$D$4:$D$1510=$L$24)*('Match Log'!$A$4:$A$1510&lt;=$J697)),'Match Log'!$N$4:$N$1510),NA()))</f>
        <v>#N/A</v>
      </c>
      <c r="M697" t="e">
        <f>IF($J697&gt;MAX('Match Log'!$A$4:$A$1510),NA(),IFERROR(LOOKUP(2,1/(('Match Log'!$D$4:$D$1510=$M$24)*('Match Log'!$A$4:$A$1510&lt;=$J697)),'Match Log'!$N$4:$N$1510),NA()))</f>
        <v>#N/A</v>
      </c>
      <c r="N697" t="e">
        <f>IF($J697&gt;MAX('Match Log'!$A$4:$A$1510),NA(),IFERROR(LOOKUP(2,1/(('Match Log'!$D$4:$D$1510=$N$24)*('Match Log'!$A$4:$A$1510&lt;=$J697)),'Match Log'!$N$4:$N$1510),NA()))</f>
        <v>#N/A</v>
      </c>
      <c r="O697" t="e">
        <f>IF($J697&gt;MAX('Match Log'!$A$4:$A$1510),NA(),IFERROR(LOOKUP(2,1/(('Match Log'!$D$4:$D$1510=$O$24)*('Match Log'!$A$4:$A$1510&lt;=$J697)),'Match Log'!$N$4:$N$1510),NA()))</f>
        <v>#N/A</v>
      </c>
      <c r="P697" t="e">
        <f>IF($J697&gt;MAX('Match Log'!$A$4:$A$1510),NA(),IFERROR(LOOKUP(2,1/(('Match Log'!$D$4:$D$1510=$P$24)*('Match Log'!$A$4:$A$1510&lt;=$J697)),'Match Log'!$N$4:$N$1510),NA()))</f>
        <v>#N/A</v>
      </c>
      <c r="Q697" t="e">
        <f>IF($J697&gt;MAX('Match Log'!$A$4:$A$1510),NA(),IFERROR(LOOKUP(2,1/(('Match Log'!$D$4:$D$1510=$Q$24)*('Match Log'!$A$4:$A$1510&lt;=$J697)),'Match Log'!$N$4:$N$1510),NA()))</f>
        <v>#N/A</v>
      </c>
      <c r="R697" t="e">
        <f>IF($J697&gt;MAX('Match Log'!$A$4:$A$1510),NA(),IFERROR(LOOKUP(2,1/(('Match Log'!$D$4:$D$1510=$R$24)*('Match Log'!$A$4:$A$1510&lt;=$J697)),'Match Log'!$N$4:$N$1510),NA()))</f>
        <v>#N/A</v>
      </c>
      <c r="S697" t="e">
        <f>IF($J697&gt;MAX('Match Log'!$A$4:$A$1510),NA(),IFERROR(LOOKUP(2,1/(('Match Log'!$D$4:$D$1510=$S$24)*('Match Log'!$A$4:$A$1510&lt;=$J697)),'Match Log'!$N$4:$N$1510),NA()))</f>
        <v>#N/A</v>
      </c>
      <c r="T697" t="e">
        <f>IF($J697&gt;MAX('Match Log'!$A$4:$A$1510),NA(),IFERROR(LOOKUP(2,1/(('Match Log'!$D$4:$D$1510=$T$24)*('Match Log'!$A$4:$A$1510&lt;=$J697)),'Match Log'!$N$4:$N$1510),NA()))</f>
        <v>#N/A</v>
      </c>
      <c r="U697" t="e">
        <f>IF($J697&gt;MAX('Match Log'!$A$4:$A$1510),NA(),IFERROR(LOOKUP(2,1/(('Match Log'!$D$4:$D$1510=$U$24)*('Match Log'!$A$4:$A$1510&lt;=$J697)),'Match Log'!$N$4:$N$1510),NA()))</f>
        <v>#N/A</v>
      </c>
      <c r="V697" t="e">
        <f>IF($J697&gt;MAX('Match Log'!$A$4:$A$1510),NA(),IFERROR(LOOKUP(2,1/(('Match Log'!$D$4:$D$1510=$V$24)*('Match Log'!$A$4:$A$1510&lt;=$J697)),'Match Log'!$N$4:$N$1510),NA()))</f>
        <v>#N/A</v>
      </c>
      <c r="W697" t="e">
        <f>IF($J697&gt;MAX('Match Log'!$A$4:$A$1510),NA(),IFERROR(LOOKUP(2,1/(('Match Log'!$D$4:$D$1510=$W$24)*('Match Log'!$A$4:$A$1510&lt;=$J697)),'Match Log'!$N$4:$N$1510),NA()))</f>
        <v>#N/A</v>
      </c>
      <c r="X697" t="e">
        <f>IF($J697&gt;MAX('Match Log'!$A$4:$A$1510),NA(),IFERROR(LOOKUP(2,1/(('Match Log'!$D$4:$D$1510=$X$24)*('Match Log'!$A$4:$A$1510&lt;=$J697)),'Match Log'!$N$4:$N$1510),NA()))</f>
        <v>#N/A</v>
      </c>
      <c r="Y697" t="str">
        <f t="shared" ca="1" si="40"/>
        <v/>
      </c>
    </row>
    <row r="698" spans="1:25" x14ac:dyDescent="0.2">
      <c r="A698">
        <v>674</v>
      </c>
      <c r="B698" t="str">
        <f>IFERROR(INDEX('Match Log'!$B$4:$B$1510,MATCH($A698,'Match Log'!$A$4:$A$1510,0)),"")</f>
        <v/>
      </c>
      <c r="C698" t="str">
        <f>IFERROR(INDEX('Match Log'!$C$4:$C$1510,MATCH($A698,'Match Log'!$A$4:$A$1510,0)),"")</f>
        <v/>
      </c>
      <c r="D698" t="str">
        <f t="array" ref="D698">IFERROR(_xlfn.TEXTJOIN(" + ",TRUE(),IF(('Match Log'!$A$4:$A$1510=$A698)*('Match Log'!$E$4:$E$1510="Win"),'Match Log'!$D$4:$D$1510,"")),IFERROR(LOOKUP(2,1/(('Match Log'!$A$4:$A$1510=$A698)*('Match Log'!$E$4:$E$1510="Win")),'Match Log'!$D$4:$D$1510),""))</f>
        <v/>
      </c>
      <c r="E698" t="str">
        <f>IFERROR(INDEX('Match Log'!$F$4:$F$1510,MATCH($A698,'Match Log'!$A$4:$A$1510,0)),"")</f>
        <v/>
      </c>
      <c r="F698">
        <f>IFERROR(SUMIFS('Match Log'!$I$4:$I$1510,'Match Log'!$A$4:$A$1510,$A698,'Match Log'!$E$4:$E$1510,"Win"),"")</f>
        <v>0</v>
      </c>
      <c r="G698" t="str">
        <f t="shared" si="38"/>
        <v/>
      </c>
      <c r="H698" t="str">
        <f t="array" ref="H698">IFERROR(IF(COUNTIFS('Match Log'!$A$4:$A$1510,$A698,'Match Log'!$E$4:$E$1510,"Win")&gt;1,_xlfn.TEXTJOIN(" + ",TRUE(),IF(('Match Log'!$A$4:$A$1510=$A698)*('Match Log'!$E$4:$E$1510="Loss"),'Match Log'!$D$4:$D$1510,"")),IF($E698=2,LOOKUP(2,1/(('Match Log'!$A$4:$A$1510=$A698)*('Match Log'!$E$4:$E$1510="Loss")),'Match Log'!$D$4:$D$1510),"the field")),"")</f>
        <v>the field</v>
      </c>
      <c r="I698" t="str">
        <f t="shared" si="39"/>
        <v/>
      </c>
      <c r="J698">
        <v>674</v>
      </c>
      <c r="K698" t="e">
        <f>IF($J698&gt;MAX('Match Log'!$A$4:$A$1510),NA(),IFERROR(LOOKUP(2,1/(('Match Log'!$D$4:$D$1510=$K$24)*('Match Log'!$A$4:$A$1510&lt;=$J698)),'Match Log'!$N$4:$N$1510),NA()))</f>
        <v>#N/A</v>
      </c>
      <c r="L698" t="e">
        <f>IF($J698&gt;MAX('Match Log'!$A$4:$A$1510),NA(),IFERROR(LOOKUP(2,1/(('Match Log'!$D$4:$D$1510=$L$24)*('Match Log'!$A$4:$A$1510&lt;=$J698)),'Match Log'!$N$4:$N$1510),NA()))</f>
        <v>#N/A</v>
      </c>
      <c r="M698" t="e">
        <f>IF($J698&gt;MAX('Match Log'!$A$4:$A$1510),NA(),IFERROR(LOOKUP(2,1/(('Match Log'!$D$4:$D$1510=$M$24)*('Match Log'!$A$4:$A$1510&lt;=$J698)),'Match Log'!$N$4:$N$1510),NA()))</f>
        <v>#N/A</v>
      </c>
      <c r="N698" t="e">
        <f>IF($J698&gt;MAX('Match Log'!$A$4:$A$1510),NA(),IFERROR(LOOKUP(2,1/(('Match Log'!$D$4:$D$1510=$N$24)*('Match Log'!$A$4:$A$1510&lt;=$J698)),'Match Log'!$N$4:$N$1510),NA()))</f>
        <v>#N/A</v>
      </c>
      <c r="O698" t="e">
        <f>IF($J698&gt;MAX('Match Log'!$A$4:$A$1510),NA(),IFERROR(LOOKUP(2,1/(('Match Log'!$D$4:$D$1510=$O$24)*('Match Log'!$A$4:$A$1510&lt;=$J698)),'Match Log'!$N$4:$N$1510),NA()))</f>
        <v>#N/A</v>
      </c>
      <c r="P698" t="e">
        <f>IF($J698&gt;MAX('Match Log'!$A$4:$A$1510),NA(),IFERROR(LOOKUP(2,1/(('Match Log'!$D$4:$D$1510=$P$24)*('Match Log'!$A$4:$A$1510&lt;=$J698)),'Match Log'!$N$4:$N$1510),NA()))</f>
        <v>#N/A</v>
      </c>
      <c r="Q698" t="e">
        <f>IF($J698&gt;MAX('Match Log'!$A$4:$A$1510),NA(),IFERROR(LOOKUP(2,1/(('Match Log'!$D$4:$D$1510=$Q$24)*('Match Log'!$A$4:$A$1510&lt;=$J698)),'Match Log'!$N$4:$N$1510),NA()))</f>
        <v>#N/A</v>
      </c>
      <c r="R698" t="e">
        <f>IF($J698&gt;MAX('Match Log'!$A$4:$A$1510),NA(),IFERROR(LOOKUP(2,1/(('Match Log'!$D$4:$D$1510=$R$24)*('Match Log'!$A$4:$A$1510&lt;=$J698)),'Match Log'!$N$4:$N$1510),NA()))</f>
        <v>#N/A</v>
      </c>
      <c r="S698" t="e">
        <f>IF($J698&gt;MAX('Match Log'!$A$4:$A$1510),NA(),IFERROR(LOOKUP(2,1/(('Match Log'!$D$4:$D$1510=$S$24)*('Match Log'!$A$4:$A$1510&lt;=$J698)),'Match Log'!$N$4:$N$1510),NA()))</f>
        <v>#N/A</v>
      </c>
      <c r="T698" t="e">
        <f>IF($J698&gt;MAX('Match Log'!$A$4:$A$1510),NA(),IFERROR(LOOKUP(2,1/(('Match Log'!$D$4:$D$1510=$T$24)*('Match Log'!$A$4:$A$1510&lt;=$J698)),'Match Log'!$N$4:$N$1510),NA()))</f>
        <v>#N/A</v>
      </c>
      <c r="U698" t="e">
        <f>IF($J698&gt;MAX('Match Log'!$A$4:$A$1510),NA(),IFERROR(LOOKUP(2,1/(('Match Log'!$D$4:$D$1510=$U$24)*('Match Log'!$A$4:$A$1510&lt;=$J698)),'Match Log'!$N$4:$N$1510),NA()))</f>
        <v>#N/A</v>
      </c>
      <c r="V698" t="e">
        <f>IF($J698&gt;MAX('Match Log'!$A$4:$A$1510),NA(),IFERROR(LOOKUP(2,1/(('Match Log'!$D$4:$D$1510=$V$24)*('Match Log'!$A$4:$A$1510&lt;=$J698)),'Match Log'!$N$4:$N$1510),NA()))</f>
        <v>#N/A</v>
      </c>
      <c r="W698" t="e">
        <f>IF($J698&gt;MAX('Match Log'!$A$4:$A$1510),NA(),IFERROR(LOOKUP(2,1/(('Match Log'!$D$4:$D$1510=$W$24)*('Match Log'!$A$4:$A$1510&lt;=$J698)),'Match Log'!$N$4:$N$1510),NA()))</f>
        <v>#N/A</v>
      </c>
      <c r="X698" t="e">
        <f>IF($J698&gt;MAX('Match Log'!$A$4:$A$1510),NA(),IFERROR(LOOKUP(2,1/(('Match Log'!$D$4:$D$1510=$X$24)*('Match Log'!$A$4:$A$1510&lt;=$J698)),'Match Log'!$N$4:$N$1510),NA()))</f>
        <v>#N/A</v>
      </c>
      <c r="Y698" t="str">
        <f t="shared" ca="1" si="40"/>
        <v/>
      </c>
    </row>
    <row r="699" spans="1:25" x14ac:dyDescent="0.2">
      <c r="A699">
        <v>675</v>
      </c>
      <c r="B699" t="str">
        <f>IFERROR(INDEX('Match Log'!$B$4:$B$1510,MATCH($A699,'Match Log'!$A$4:$A$1510,0)),"")</f>
        <v/>
      </c>
      <c r="C699" t="str">
        <f>IFERROR(INDEX('Match Log'!$C$4:$C$1510,MATCH($A699,'Match Log'!$A$4:$A$1510,0)),"")</f>
        <v/>
      </c>
      <c r="D699" t="str">
        <f t="array" ref="D699">IFERROR(_xlfn.TEXTJOIN(" + ",TRUE(),IF(('Match Log'!$A$4:$A$1510=$A699)*('Match Log'!$E$4:$E$1510="Win"),'Match Log'!$D$4:$D$1510,"")),IFERROR(LOOKUP(2,1/(('Match Log'!$A$4:$A$1510=$A699)*('Match Log'!$E$4:$E$1510="Win")),'Match Log'!$D$4:$D$1510),""))</f>
        <v/>
      </c>
      <c r="E699" t="str">
        <f>IFERROR(INDEX('Match Log'!$F$4:$F$1510,MATCH($A699,'Match Log'!$A$4:$A$1510,0)),"")</f>
        <v/>
      </c>
      <c r="F699">
        <f>IFERROR(SUMIFS('Match Log'!$I$4:$I$1510,'Match Log'!$A$4:$A$1510,$A699,'Match Log'!$E$4:$E$1510,"Win"),"")</f>
        <v>0</v>
      </c>
      <c r="G699" t="str">
        <f t="shared" si="38"/>
        <v/>
      </c>
      <c r="H699" t="str">
        <f t="array" ref="H699">IFERROR(IF(COUNTIFS('Match Log'!$A$4:$A$1510,$A699,'Match Log'!$E$4:$E$1510,"Win")&gt;1,_xlfn.TEXTJOIN(" + ",TRUE(),IF(('Match Log'!$A$4:$A$1510=$A699)*('Match Log'!$E$4:$E$1510="Loss"),'Match Log'!$D$4:$D$1510,"")),IF($E699=2,LOOKUP(2,1/(('Match Log'!$A$4:$A$1510=$A699)*('Match Log'!$E$4:$E$1510="Loss")),'Match Log'!$D$4:$D$1510),"the field")),"")</f>
        <v>the field</v>
      </c>
      <c r="I699" t="str">
        <f t="shared" si="39"/>
        <v/>
      </c>
      <c r="J699">
        <v>675</v>
      </c>
      <c r="K699" t="e">
        <f>IF($J699&gt;MAX('Match Log'!$A$4:$A$1510),NA(),IFERROR(LOOKUP(2,1/(('Match Log'!$D$4:$D$1510=$K$24)*('Match Log'!$A$4:$A$1510&lt;=$J699)),'Match Log'!$N$4:$N$1510),NA()))</f>
        <v>#N/A</v>
      </c>
      <c r="L699" t="e">
        <f>IF($J699&gt;MAX('Match Log'!$A$4:$A$1510),NA(),IFERROR(LOOKUP(2,1/(('Match Log'!$D$4:$D$1510=$L$24)*('Match Log'!$A$4:$A$1510&lt;=$J699)),'Match Log'!$N$4:$N$1510),NA()))</f>
        <v>#N/A</v>
      </c>
      <c r="M699" t="e">
        <f>IF($J699&gt;MAX('Match Log'!$A$4:$A$1510),NA(),IFERROR(LOOKUP(2,1/(('Match Log'!$D$4:$D$1510=$M$24)*('Match Log'!$A$4:$A$1510&lt;=$J699)),'Match Log'!$N$4:$N$1510),NA()))</f>
        <v>#N/A</v>
      </c>
      <c r="N699" t="e">
        <f>IF($J699&gt;MAX('Match Log'!$A$4:$A$1510),NA(),IFERROR(LOOKUP(2,1/(('Match Log'!$D$4:$D$1510=$N$24)*('Match Log'!$A$4:$A$1510&lt;=$J699)),'Match Log'!$N$4:$N$1510),NA()))</f>
        <v>#N/A</v>
      </c>
      <c r="O699" t="e">
        <f>IF($J699&gt;MAX('Match Log'!$A$4:$A$1510),NA(),IFERROR(LOOKUP(2,1/(('Match Log'!$D$4:$D$1510=$O$24)*('Match Log'!$A$4:$A$1510&lt;=$J699)),'Match Log'!$N$4:$N$1510),NA()))</f>
        <v>#N/A</v>
      </c>
      <c r="P699" t="e">
        <f>IF($J699&gt;MAX('Match Log'!$A$4:$A$1510),NA(),IFERROR(LOOKUP(2,1/(('Match Log'!$D$4:$D$1510=$P$24)*('Match Log'!$A$4:$A$1510&lt;=$J699)),'Match Log'!$N$4:$N$1510),NA()))</f>
        <v>#N/A</v>
      </c>
      <c r="Q699" t="e">
        <f>IF($J699&gt;MAX('Match Log'!$A$4:$A$1510),NA(),IFERROR(LOOKUP(2,1/(('Match Log'!$D$4:$D$1510=$Q$24)*('Match Log'!$A$4:$A$1510&lt;=$J699)),'Match Log'!$N$4:$N$1510),NA()))</f>
        <v>#N/A</v>
      </c>
      <c r="R699" t="e">
        <f>IF($J699&gt;MAX('Match Log'!$A$4:$A$1510),NA(),IFERROR(LOOKUP(2,1/(('Match Log'!$D$4:$D$1510=$R$24)*('Match Log'!$A$4:$A$1510&lt;=$J699)),'Match Log'!$N$4:$N$1510),NA()))</f>
        <v>#N/A</v>
      </c>
      <c r="S699" t="e">
        <f>IF($J699&gt;MAX('Match Log'!$A$4:$A$1510),NA(),IFERROR(LOOKUP(2,1/(('Match Log'!$D$4:$D$1510=$S$24)*('Match Log'!$A$4:$A$1510&lt;=$J699)),'Match Log'!$N$4:$N$1510),NA()))</f>
        <v>#N/A</v>
      </c>
      <c r="T699" t="e">
        <f>IF($J699&gt;MAX('Match Log'!$A$4:$A$1510),NA(),IFERROR(LOOKUP(2,1/(('Match Log'!$D$4:$D$1510=$T$24)*('Match Log'!$A$4:$A$1510&lt;=$J699)),'Match Log'!$N$4:$N$1510),NA()))</f>
        <v>#N/A</v>
      </c>
      <c r="U699" t="e">
        <f>IF($J699&gt;MAX('Match Log'!$A$4:$A$1510),NA(),IFERROR(LOOKUP(2,1/(('Match Log'!$D$4:$D$1510=$U$24)*('Match Log'!$A$4:$A$1510&lt;=$J699)),'Match Log'!$N$4:$N$1510),NA()))</f>
        <v>#N/A</v>
      </c>
      <c r="V699" t="e">
        <f>IF($J699&gt;MAX('Match Log'!$A$4:$A$1510),NA(),IFERROR(LOOKUP(2,1/(('Match Log'!$D$4:$D$1510=$V$24)*('Match Log'!$A$4:$A$1510&lt;=$J699)),'Match Log'!$N$4:$N$1510),NA()))</f>
        <v>#N/A</v>
      </c>
      <c r="W699" t="e">
        <f>IF($J699&gt;MAX('Match Log'!$A$4:$A$1510),NA(),IFERROR(LOOKUP(2,1/(('Match Log'!$D$4:$D$1510=$W$24)*('Match Log'!$A$4:$A$1510&lt;=$J699)),'Match Log'!$N$4:$N$1510),NA()))</f>
        <v>#N/A</v>
      </c>
      <c r="X699" t="e">
        <f>IF($J699&gt;MAX('Match Log'!$A$4:$A$1510),NA(),IFERROR(LOOKUP(2,1/(('Match Log'!$D$4:$D$1510=$X$24)*('Match Log'!$A$4:$A$1510&lt;=$J699)),'Match Log'!$N$4:$N$1510),NA()))</f>
        <v>#N/A</v>
      </c>
      <c r="Y699" t="str">
        <f t="shared" ca="1" si="40"/>
        <v/>
      </c>
    </row>
    <row r="700" spans="1:25" x14ac:dyDescent="0.2">
      <c r="A700">
        <v>676</v>
      </c>
      <c r="B700" t="str">
        <f>IFERROR(INDEX('Match Log'!$B$4:$B$1510,MATCH($A700,'Match Log'!$A$4:$A$1510,0)),"")</f>
        <v/>
      </c>
      <c r="C700" t="str">
        <f>IFERROR(INDEX('Match Log'!$C$4:$C$1510,MATCH($A700,'Match Log'!$A$4:$A$1510,0)),"")</f>
        <v/>
      </c>
      <c r="D700" t="str">
        <f t="array" ref="D700">IFERROR(_xlfn.TEXTJOIN(" + ",TRUE(),IF(('Match Log'!$A$4:$A$1510=$A700)*('Match Log'!$E$4:$E$1510="Win"),'Match Log'!$D$4:$D$1510,"")),IFERROR(LOOKUP(2,1/(('Match Log'!$A$4:$A$1510=$A700)*('Match Log'!$E$4:$E$1510="Win")),'Match Log'!$D$4:$D$1510),""))</f>
        <v/>
      </c>
      <c r="E700" t="str">
        <f>IFERROR(INDEX('Match Log'!$F$4:$F$1510,MATCH($A700,'Match Log'!$A$4:$A$1510,0)),"")</f>
        <v/>
      </c>
      <c r="F700">
        <f>IFERROR(SUMIFS('Match Log'!$I$4:$I$1510,'Match Log'!$A$4:$A$1510,$A700,'Match Log'!$E$4:$E$1510,"Win"),"")</f>
        <v>0</v>
      </c>
      <c r="G700" t="str">
        <f t="shared" si="38"/>
        <v/>
      </c>
      <c r="H700" t="str">
        <f t="array" ref="H700">IFERROR(IF(COUNTIFS('Match Log'!$A$4:$A$1510,$A700,'Match Log'!$E$4:$E$1510,"Win")&gt;1,_xlfn.TEXTJOIN(" + ",TRUE(),IF(('Match Log'!$A$4:$A$1510=$A700)*('Match Log'!$E$4:$E$1510="Loss"),'Match Log'!$D$4:$D$1510,"")),IF($E700=2,LOOKUP(2,1/(('Match Log'!$A$4:$A$1510=$A700)*('Match Log'!$E$4:$E$1510="Loss")),'Match Log'!$D$4:$D$1510),"the field")),"")</f>
        <v>the field</v>
      </c>
      <c r="I700" t="str">
        <f t="shared" si="39"/>
        <v/>
      </c>
      <c r="J700">
        <v>676</v>
      </c>
      <c r="K700" t="e">
        <f>IF($J700&gt;MAX('Match Log'!$A$4:$A$1510),NA(),IFERROR(LOOKUP(2,1/(('Match Log'!$D$4:$D$1510=$K$24)*('Match Log'!$A$4:$A$1510&lt;=$J700)),'Match Log'!$N$4:$N$1510),NA()))</f>
        <v>#N/A</v>
      </c>
      <c r="L700" t="e">
        <f>IF($J700&gt;MAX('Match Log'!$A$4:$A$1510),NA(),IFERROR(LOOKUP(2,1/(('Match Log'!$D$4:$D$1510=$L$24)*('Match Log'!$A$4:$A$1510&lt;=$J700)),'Match Log'!$N$4:$N$1510),NA()))</f>
        <v>#N/A</v>
      </c>
      <c r="M700" t="e">
        <f>IF($J700&gt;MAX('Match Log'!$A$4:$A$1510),NA(),IFERROR(LOOKUP(2,1/(('Match Log'!$D$4:$D$1510=$M$24)*('Match Log'!$A$4:$A$1510&lt;=$J700)),'Match Log'!$N$4:$N$1510),NA()))</f>
        <v>#N/A</v>
      </c>
      <c r="N700" t="e">
        <f>IF($J700&gt;MAX('Match Log'!$A$4:$A$1510),NA(),IFERROR(LOOKUP(2,1/(('Match Log'!$D$4:$D$1510=$N$24)*('Match Log'!$A$4:$A$1510&lt;=$J700)),'Match Log'!$N$4:$N$1510),NA()))</f>
        <v>#N/A</v>
      </c>
      <c r="O700" t="e">
        <f>IF($J700&gt;MAX('Match Log'!$A$4:$A$1510),NA(),IFERROR(LOOKUP(2,1/(('Match Log'!$D$4:$D$1510=$O$24)*('Match Log'!$A$4:$A$1510&lt;=$J700)),'Match Log'!$N$4:$N$1510),NA()))</f>
        <v>#N/A</v>
      </c>
      <c r="P700" t="e">
        <f>IF($J700&gt;MAX('Match Log'!$A$4:$A$1510),NA(),IFERROR(LOOKUP(2,1/(('Match Log'!$D$4:$D$1510=$P$24)*('Match Log'!$A$4:$A$1510&lt;=$J700)),'Match Log'!$N$4:$N$1510),NA()))</f>
        <v>#N/A</v>
      </c>
      <c r="Q700" t="e">
        <f>IF($J700&gt;MAX('Match Log'!$A$4:$A$1510),NA(),IFERROR(LOOKUP(2,1/(('Match Log'!$D$4:$D$1510=$Q$24)*('Match Log'!$A$4:$A$1510&lt;=$J700)),'Match Log'!$N$4:$N$1510),NA()))</f>
        <v>#N/A</v>
      </c>
      <c r="R700" t="e">
        <f>IF($J700&gt;MAX('Match Log'!$A$4:$A$1510),NA(),IFERROR(LOOKUP(2,1/(('Match Log'!$D$4:$D$1510=$R$24)*('Match Log'!$A$4:$A$1510&lt;=$J700)),'Match Log'!$N$4:$N$1510),NA()))</f>
        <v>#N/A</v>
      </c>
      <c r="S700" t="e">
        <f>IF($J700&gt;MAX('Match Log'!$A$4:$A$1510),NA(),IFERROR(LOOKUP(2,1/(('Match Log'!$D$4:$D$1510=$S$24)*('Match Log'!$A$4:$A$1510&lt;=$J700)),'Match Log'!$N$4:$N$1510),NA()))</f>
        <v>#N/A</v>
      </c>
      <c r="T700" t="e">
        <f>IF($J700&gt;MAX('Match Log'!$A$4:$A$1510),NA(),IFERROR(LOOKUP(2,1/(('Match Log'!$D$4:$D$1510=$T$24)*('Match Log'!$A$4:$A$1510&lt;=$J700)),'Match Log'!$N$4:$N$1510),NA()))</f>
        <v>#N/A</v>
      </c>
      <c r="U700" t="e">
        <f>IF($J700&gt;MAX('Match Log'!$A$4:$A$1510),NA(),IFERROR(LOOKUP(2,1/(('Match Log'!$D$4:$D$1510=$U$24)*('Match Log'!$A$4:$A$1510&lt;=$J700)),'Match Log'!$N$4:$N$1510),NA()))</f>
        <v>#N/A</v>
      </c>
      <c r="V700" t="e">
        <f>IF($J700&gt;MAX('Match Log'!$A$4:$A$1510),NA(),IFERROR(LOOKUP(2,1/(('Match Log'!$D$4:$D$1510=$V$24)*('Match Log'!$A$4:$A$1510&lt;=$J700)),'Match Log'!$N$4:$N$1510),NA()))</f>
        <v>#N/A</v>
      </c>
      <c r="W700" t="e">
        <f>IF($J700&gt;MAX('Match Log'!$A$4:$A$1510),NA(),IFERROR(LOOKUP(2,1/(('Match Log'!$D$4:$D$1510=$W$24)*('Match Log'!$A$4:$A$1510&lt;=$J700)),'Match Log'!$N$4:$N$1510),NA()))</f>
        <v>#N/A</v>
      </c>
      <c r="X700" t="e">
        <f>IF($J700&gt;MAX('Match Log'!$A$4:$A$1510),NA(),IFERROR(LOOKUP(2,1/(('Match Log'!$D$4:$D$1510=$X$24)*('Match Log'!$A$4:$A$1510&lt;=$J700)),'Match Log'!$N$4:$N$1510),NA()))</f>
        <v>#N/A</v>
      </c>
      <c r="Y700" t="str">
        <f t="shared" ca="1" si="40"/>
        <v/>
      </c>
    </row>
    <row r="701" spans="1:25" x14ac:dyDescent="0.2">
      <c r="A701">
        <v>677</v>
      </c>
      <c r="B701" t="str">
        <f>IFERROR(INDEX('Match Log'!$B$4:$B$1510,MATCH($A701,'Match Log'!$A$4:$A$1510,0)),"")</f>
        <v/>
      </c>
      <c r="C701" t="str">
        <f>IFERROR(INDEX('Match Log'!$C$4:$C$1510,MATCH($A701,'Match Log'!$A$4:$A$1510,0)),"")</f>
        <v/>
      </c>
      <c r="D701" t="str">
        <f t="array" ref="D701">IFERROR(_xlfn.TEXTJOIN(" + ",TRUE(),IF(('Match Log'!$A$4:$A$1510=$A701)*('Match Log'!$E$4:$E$1510="Win"),'Match Log'!$D$4:$D$1510,"")),IFERROR(LOOKUP(2,1/(('Match Log'!$A$4:$A$1510=$A701)*('Match Log'!$E$4:$E$1510="Win")),'Match Log'!$D$4:$D$1510),""))</f>
        <v/>
      </c>
      <c r="E701" t="str">
        <f>IFERROR(INDEX('Match Log'!$F$4:$F$1510,MATCH($A701,'Match Log'!$A$4:$A$1510,0)),"")</f>
        <v/>
      </c>
      <c r="F701">
        <f>IFERROR(SUMIFS('Match Log'!$I$4:$I$1510,'Match Log'!$A$4:$A$1510,$A701,'Match Log'!$E$4:$E$1510,"Win"),"")</f>
        <v>0</v>
      </c>
      <c r="G701" t="str">
        <f t="shared" si="38"/>
        <v/>
      </c>
      <c r="H701" t="str">
        <f t="array" ref="H701">IFERROR(IF(COUNTIFS('Match Log'!$A$4:$A$1510,$A701,'Match Log'!$E$4:$E$1510,"Win")&gt;1,_xlfn.TEXTJOIN(" + ",TRUE(),IF(('Match Log'!$A$4:$A$1510=$A701)*('Match Log'!$E$4:$E$1510="Loss"),'Match Log'!$D$4:$D$1510,"")),IF($E701=2,LOOKUP(2,1/(('Match Log'!$A$4:$A$1510=$A701)*('Match Log'!$E$4:$E$1510="Loss")),'Match Log'!$D$4:$D$1510),"the field")),"")</f>
        <v>the field</v>
      </c>
      <c r="I701" t="str">
        <f t="shared" si="39"/>
        <v/>
      </c>
      <c r="J701">
        <v>677</v>
      </c>
      <c r="K701" t="e">
        <f>IF($J701&gt;MAX('Match Log'!$A$4:$A$1510),NA(),IFERROR(LOOKUP(2,1/(('Match Log'!$D$4:$D$1510=$K$24)*('Match Log'!$A$4:$A$1510&lt;=$J701)),'Match Log'!$N$4:$N$1510),NA()))</f>
        <v>#N/A</v>
      </c>
      <c r="L701" t="e">
        <f>IF($J701&gt;MAX('Match Log'!$A$4:$A$1510),NA(),IFERROR(LOOKUP(2,1/(('Match Log'!$D$4:$D$1510=$L$24)*('Match Log'!$A$4:$A$1510&lt;=$J701)),'Match Log'!$N$4:$N$1510),NA()))</f>
        <v>#N/A</v>
      </c>
      <c r="M701" t="e">
        <f>IF($J701&gt;MAX('Match Log'!$A$4:$A$1510),NA(),IFERROR(LOOKUP(2,1/(('Match Log'!$D$4:$D$1510=$M$24)*('Match Log'!$A$4:$A$1510&lt;=$J701)),'Match Log'!$N$4:$N$1510),NA()))</f>
        <v>#N/A</v>
      </c>
      <c r="N701" t="e">
        <f>IF($J701&gt;MAX('Match Log'!$A$4:$A$1510),NA(),IFERROR(LOOKUP(2,1/(('Match Log'!$D$4:$D$1510=$N$24)*('Match Log'!$A$4:$A$1510&lt;=$J701)),'Match Log'!$N$4:$N$1510),NA()))</f>
        <v>#N/A</v>
      </c>
      <c r="O701" t="e">
        <f>IF($J701&gt;MAX('Match Log'!$A$4:$A$1510),NA(),IFERROR(LOOKUP(2,1/(('Match Log'!$D$4:$D$1510=$O$24)*('Match Log'!$A$4:$A$1510&lt;=$J701)),'Match Log'!$N$4:$N$1510),NA()))</f>
        <v>#N/A</v>
      </c>
      <c r="P701" t="e">
        <f>IF($J701&gt;MAX('Match Log'!$A$4:$A$1510),NA(),IFERROR(LOOKUP(2,1/(('Match Log'!$D$4:$D$1510=$P$24)*('Match Log'!$A$4:$A$1510&lt;=$J701)),'Match Log'!$N$4:$N$1510),NA()))</f>
        <v>#N/A</v>
      </c>
      <c r="Q701" t="e">
        <f>IF($J701&gt;MAX('Match Log'!$A$4:$A$1510),NA(),IFERROR(LOOKUP(2,1/(('Match Log'!$D$4:$D$1510=$Q$24)*('Match Log'!$A$4:$A$1510&lt;=$J701)),'Match Log'!$N$4:$N$1510),NA()))</f>
        <v>#N/A</v>
      </c>
      <c r="R701" t="e">
        <f>IF($J701&gt;MAX('Match Log'!$A$4:$A$1510),NA(),IFERROR(LOOKUP(2,1/(('Match Log'!$D$4:$D$1510=$R$24)*('Match Log'!$A$4:$A$1510&lt;=$J701)),'Match Log'!$N$4:$N$1510),NA()))</f>
        <v>#N/A</v>
      </c>
      <c r="S701" t="e">
        <f>IF($J701&gt;MAX('Match Log'!$A$4:$A$1510),NA(),IFERROR(LOOKUP(2,1/(('Match Log'!$D$4:$D$1510=$S$24)*('Match Log'!$A$4:$A$1510&lt;=$J701)),'Match Log'!$N$4:$N$1510),NA()))</f>
        <v>#N/A</v>
      </c>
      <c r="T701" t="e">
        <f>IF($J701&gt;MAX('Match Log'!$A$4:$A$1510),NA(),IFERROR(LOOKUP(2,1/(('Match Log'!$D$4:$D$1510=$T$24)*('Match Log'!$A$4:$A$1510&lt;=$J701)),'Match Log'!$N$4:$N$1510),NA()))</f>
        <v>#N/A</v>
      </c>
      <c r="U701" t="e">
        <f>IF($J701&gt;MAX('Match Log'!$A$4:$A$1510),NA(),IFERROR(LOOKUP(2,1/(('Match Log'!$D$4:$D$1510=$U$24)*('Match Log'!$A$4:$A$1510&lt;=$J701)),'Match Log'!$N$4:$N$1510),NA()))</f>
        <v>#N/A</v>
      </c>
      <c r="V701" t="e">
        <f>IF($J701&gt;MAX('Match Log'!$A$4:$A$1510),NA(),IFERROR(LOOKUP(2,1/(('Match Log'!$D$4:$D$1510=$V$24)*('Match Log'!$A$4:$A$1510&lt;=$J701)),'Match Log'!$N$4:$N$1510),NA()))</f>
        <v>#N/A</v>
      </c>
      <c r="W701" t="e">
        <f>IF($J701&gt;MAX('Match Log'!$A$4:$A$1510),NA(),IFERROR(LOOKUP(2,1/(('Match Log'!$D$4:$D$1510=$W$24)*('Match Log'!$A$4:$A$1510&lt;=$J701)),'Match Log'!$N$4:$N$1510),NA()))</f>
        <v>#N/A</v>
      </c>
      <c r="X701" t="e">
        <f>IF($J701&gt;MAX('Match Log'!$A$4:$A$1510),NA(),IFERROR(LOOKUP(2,1/(('Match Log'!$D$4:$D$1510=$X$24)*('Match Log'!$A$4:$A$1510&lt;=$J701)),'Match Log'!$N$4:$N$1510),NA()))</f>
        <v>#N/A</v>
      </c>
      <c r="Y701" t="str">
        <f t="shared" ca="1" si="40"/>
        <v/>
      </c>
    </row>
    <row r="702" spans="1:25" x14ac:dyDescent="0.2">
      <c r="A702">
        <v>678</v>
      </c>
      <c r="B702" t="str">
        <f>IFERROR(INDEX('Match Log'!$B$4:$B$1510,MATCH($A702,'Match Log'!$A$4:$A$1510,0)),"")</f>
        <v/>
      </c>
      <c r="C702" t="str">
        <f>IFERROR(INDEX('Match Log'!$C$4:$C$1510,MATCH($A702,'Match Log'!$A$4:$A$1510,0)),"")</f>
        <v/>
      </c>
      <c r="D702" t="str">
        <f t="array" ref="D702">IFERROR(_xlfn.TEXTJOIN(" + ",TRUE(),IF(('Match Log'!$A$4:$A$1510=$A702)*('Match Log'!$E$4:$E$1510="Win"),'Match Log'!$D$4:$D$1510,"")),IFERROR(LOOKUP(2,1/(('Match Log'!$A$4:$A$1510=$A702)*('Match Log'!$E$4:$E$1510="Win")),'Match Log'!$D$4:$D$1510),""))</f>
        <v/>
      </c>
      <c r="E702" t="str">
        <f>IFERROR(INDEX('Match Log'!$F$4:$F$1510,MATCH($A702,'Match Log'!$A$4:$A$1510,0)),"")</f>
        <v/>
      </c>
      <c r="F702">
        <f>IFERROR(SUMIFS('Match Log'!$I$4:$I$1510,'Match Log'!$A$4:$A$1510,$A702,'Match Log'!$E$4:$E$1510,"Win"),"")</f>
        <v>0</v>
      </c>
      <c r="G702" t="str">
        <f t="shared" si="38"/>
        <v/>
      </c>
      <c r="H702" t="str">
        <f t="array" ref="H702">IFERROR(IF(COUNTIFS('Match Log'!$A$4:$A$1510,$A702,'Match Log'!$E$4:$E$1510,"Win")&gt;1,_xlfn.TEXTJOIN(" + ",TRUE(),IF(('Match Log'!$A$4:$A$1510=$A702)*('Match Log'!$E$4:$E$1510="Loss"),'Match Log'!$D$4:$D$1510,"")),IF($E702=2,LOOKUP(2,1/(('Match Log'!$A$4:$A$1510=$A702)*('Match Log'!$E$4:$E$1510="Loss")),'Match Log'!$D$4:$D$1510),"the field")),"")</f>
        <v>the field</v>
      </c>
      <c r="I702" t="str">
        <f t="shared" si="39"/>
        <v/>
      </c>
      <c r="J702">
        <v>678</v>
      </c>
      <c r="K702" t="e">
        <f>IF($J702&gt;MAX('Match Log'!$A$4:$A$1510),NA(),IFERROR(LOOKUP(2,1/(('Match Log'!$D$4:$D$1510=$K$24)*('Match Log'!$A$4:$A$1510&lt;=$J702)),'Match Log'!$N$4:$N$1510),NA()))</f>
        <v>#N/A</v>
      </c>
      <c r="L702" t="e">
        <f>IF($J702&gt;MAX('Match Log'!$A$4:$A$1510),NA(),IFERROR(LOOKUP(2,1/(('Match Log'!$D$4:$D$1510=$L$24)*('Match Log'!$A$4:$A$1510&lt;=$J702)),'Match Log'!$N$4:$N$1510),NA()))</f>
        <v>#N/A</v>
      </c>
      <c r="M702" t="e">
        <f>IF($J702&gt;MAX('Match Log'!$A$4:$A$1510),NA(),IFERROR(LOOKUP(2,1/(('Match Log'!$D$4:$D$1510=$M$24)*('Match Log'!$A$4:$A$1510&lt;=$J702)),'Match Log'!$N$4:$N$1510),NA()))</f>
        <v>#N/A</v>
      </c>
      <c r="N702" t="e">
        <f>IF($J702&gt;MAX('Match Log'!$A$4:$A$1510),NA(),IFERROR(LOOKUP(2,1/(('Match Log'!$D$4:$D$1510=$N$24)*('Match Log'!$A$4:$A$1510&lt;=$J702)),'Match Log'!$N$4:$N$1510),NA()))</f>
        <v>#N/A</v>
      </c>
      <c r="O702" t="e">
        <f>IF($J702&gt;MAX('Match Log'!$A$4:$A$1510),NA(),IFERROR(LOOKUP(2,1/(('Match Log'!$D$4:$D$1510=$O$24)*('Match Log'!$A$4:$A$1510&lt;=$J702)),'Match Log'!$N$4:$N$1510),NA()))</f>
        <v>#N/A</v>
      </c>
      <c r="P702" t="e">
        <f>IF($J702&gt;MAX('Match Log'!$A$4:$A$1510),NA(),IFERROR(LOOKUP(2,1/(('Match Log'!$D$4:$D$1510=$P$24)*('Match Log'!$A$4:$A$1510&lt;=$J702)),'Match Log'!$N$4:$N$1510),NA()))</f>
        <v>#N/A</v>
      </c>
      <c r="Q702" t="e">
        <f>IF($J702&gt;MAX('Match Log'!$A$4:$A$1510),NA(),IFERROR(LOOKUP(2,1/(('Match Log'!$D$4:$D$1510=$Q$24)*('Match Log'!$A$4:$A$1510&lt;=$J702)),'Match Log'!$N$4:$N$1510),NA()))</f>
        <v>#N/A</v>
      </c>
      <c r="R702" t="e">
        <f>IF($J702&gt;MAX('Match Log'!$A$4:$A$1510),NA(),IFERROR(LOOKUP(2,1/(('Match Log'!$D$4:$D$1510=$R$24)*('Match Log'!$A$4:$A$1510&lt;=$J702)),'Match Log'!$N$4:$N$1510),NA()))</f>
        <v>#N/A</v>
      </c>
      <c r="S702" t="e">
        <f>IF($J702&gt;MAX('Match Log'!$A$4:$A$1510),NA(),IFERROR(LOOKUP(2,1/(('Match Log'!$D$4:$D$1510=$S$24)*('Match Log'!$A$4:$A$1510&lt;=$J702)),'Match Log'!$N$4:$N$1510),NA()))</f>
        <v>#N/A</v>
      </c>
      <c r="T702" t="e">
        <f>IF($J702&gt;MAX('Match Log'!$A$4:$A$1510),NA(),IFERROR(LOOKUP(2,1/(('Match Log'!$D$4:$D$1510=$T$24)*('Match Log'!$A$4:$A$1510&lt;=$J702)),'Match Log'!$N$4:$N$1510),NA()))</f>
        <v>#N/A</v>
      </c>
      <c r="U702" t="e">
        <f>IF($J702&gt;MAX('Match Log'!$A$4:$A$1510),NA(),IFERROR(LOOKUP(2,1/(('Match Log'!$D$4:$D$1510=$U$24)*('Match Log'!$A$4:$A$1510&lt;=$J702)),'Match Log'!$N$4:$N$1510),NA()))</f>
        <v>#N/A</v>
      </c>
      <c r="V702" t="e">
        <f>IF($J702&gt;MAX('Match Log'!$A$4:$A$1510),NA(),IFERROR(LOOKUP(2,1/(('Match Log'!$D$4:$D$1510=$V$24)*('Match Log'!$A$4:$A$1510&lt;=$J702)),'Match Log'!$N$4:$N$1510),NA()))</f>
        <v>#N/A</v>
      </c>
      <c r="W702" t="e">
        <f>IF($J702&gt;MAX('Match Log'!$A$4:$A$1510),NA(),IFERROR(LOOKUP(2,1/(('Match Log'!$D$4:$D$1510=$W$24)*('Match Log'!$A$4:$A$1510&lt;=$J702)),'Match Log'!$N$4:$N$1510),NA()))</f>
        <v>#N/A</v>
      </c>
      <c r="X702" t="e">
        <f>IF($J702&gt;MAX('Match Log'!$A$4:$A$1510),NA(),IFERROR(LOOKUP(2,1/(('Match Log'!$D$4:$D$1510=$X$24)*('Match Log'!$A$4:$A$1510&lt;=$J702)),'Match Log'!$N$4:$N$1510),NA()))</f>
        <v>#N/A</v>
      </c>
      <c r="Y702" t="str">
        <f t="shared" ca="1" si="40"/>
        <v/>
      </c>
    </row>
    <row r="703" spans="1:25" x14ac:dyDescent="0.2">
      <c r="A703">
        <v>679</v>
      </c>
      <c r="B703" t="str">
        <f>IFERROR(INDEX('Match Log'!$B$4:$B$1510,MATCH($A703,'Match Log'!$A$4:$A$1510,0)),"")</f>
        <v/>
      </c>
      <c r="C703" t="str">
        <f>IFERROR(INDEX('Match Log'!$C$4:$C$1510,MATCH($A703,'Match Log'!$A$4:$A$1510,0)),"")</f>
        <v/>
      </c>
      <c r="D703" t="str">
        <f t="array" ref="D703">IFERROR(_xlfn.TEXTJOIN(" + ",TRUE(),IF(('Match Log'!$A$4:$A$1510=$A703)*('Match Log'!$E$4:$E$1510="Win"),'Match Log'!$D$4:$D$1510,"")),IFERROR(LOOKUP(2,1/(('Match Log'!$A$4:$A$1510=$A703)*('Match Log'!$E$4:$E$1510="Win")),'Match Log'!$D$4:$D$1510),""))</f>
        <v/>
      </c>
      <c r="E703" t="str">
        <f>IFERROR(INDEX('Match Log'!$F$4:$F$1510,MATCH($A703,'Match Log'!$A$4:$A$1510,0)),"")</f>
        <v/>
      </c>
      <c r="F703">
        <f>IFERROR(SUMIFS('Match Log'!$I$4:$I$1510,'Match Log'!$A$4:$A$1510,$A703,'Match Log'!$E$4:$E$1510,"Win"),"")</f>
        <v>0</v>
      </c>
      <c r="G703" t="str">
        <f t="shared" si="38"/>
        <v/>
      </c>
      <c r="H703" t="str">
        <f t="array" ref="H703">IFERROR(IF(COUNTIFS('Match Log'!$A$4:$A$1510,$A703,'Match Log'!$E$4:$E$1510,"Win")&gt;1,_xlfn.TEXTJOIN(" + ",TRUE(),IF(('Match Log'!$A$4:$A$1510=$A703)*('Match Log'!$E$4:$E$1510="Loss"),'Match Log'!$D$4:$D$1510,"")),IF($E703=2,LOOKUP(2,1/(('Match Log'!$A$4:$A$1510=$A703)*('Match Log'!$E$4:$E$1510="Loss")),'Match Log'!$D$4:$D$1510),"the field")),"")</f>
        <v>the field</v>
      </c>
      <c r="I703" t="str">
        <f t="shared" si="39"/>
        <v/>
      </c>
      <c r="J703">
        <v>679</v>
      </c>
      <c r="K703" t="e">
        <f>IF($J703&gt;MAX('Match Log'!$A$4:$A$1510),NA(),IFERROR(LOOKUP(2,1/(('Match Log'!$D$4:$D$1510=$K$24)*('Match Log'!$A$4:$A$1510&lt;=$J703)),'Match Log'!$N$4:$N$1510),NA()))</f>
        <v>#N/A</v>
      </c>
      <c r="L703" t="e">
        <f>IF($J703&gt;MAX('Match Log'!$A$4:$A$1510),NA(),IFERROR(LOOKUP(2,1/(('Match Log'!$D$4:$D$1510=$L$24)*('Match Log'!$A$4:$A$1510&lt;=$J703)),'Match Log'!$N$4:$N$1510),NA()))</f>
        <v>#N/A</v>
      </c>
      <c r="M703" t="e">
        <f>IF($J703&gt;MAX('Match Log'!$A$4:$A$1510),NA(),IFERROR(LOOKUP(2,1/(('Match Log'!$D$4:$D$1510=$M$24)*('Match Log'!$A$4:$A$1510&lt;=$J703)),'Match Log'!$N$4:$N$1510),NA()))</f>
        <v>#N/A</v>
      </c>
      <c r="N703" t="e">
        <f>IF($J703&gt;MAX('Match Log'!$A$4:$A$1510),NA(),IFERROR(LOOKUP(2,1/(('Match Log'!$D$4:$D$1510=$N$24)*('Match Log'!$A$4:$A$1510&lt;=$J703)),'Match Log'!$N$4:$N$1510),NA()))</f>
        <v>#N/A</v>
      </c>
      <c r="O703" t="e">
        <f>IF($J703&gt;MAX('Match Log'!$A$4:$A$1510),NA(),IFERROR(LOOKUP(2,1/(('Match Log'!$D$4:$D$1510=$O$24)*('Match Log'!$A$4:$A$1510&lt;=$J703)),'Match Log'!$N$4:$N$1510),NA()))</f>
        <v>#N/A</v>
      </c>
      <c r="P703" t="e">
        <f>IF($J703&gt;MAX('Match Log'!$A$4:$A$1510),NA(),IFERROR(LOOKUP(2,1/(('Match Log'!$D$4:$D$1510=$P$24)*('Match Log'!$A$4:$A$1510&lt;=$J703)),'Match Log'!$N$4:$N$1510),NA()))</f>
        <v>#N/A</v>
      </c>
      <c r="Q703" t="e">
        <f>IF($J703&gt;MAX('Match Log'!$A$4:$A$1510),NA(),IFERROR(LOOKUP(2,1/(('Match Log'!$D$4:$D$1510=$Q$24)*('Match Log'!$A$4:$A$1510&lt;=$J703)),'Match Log'!$N$4:$N$1510),NA()))</f>
        <v>#N/A</v>
      </c>
      <c r="R703" t="e">
        <f>IF($J703&gt;MAX('Match Log'!$A$4:$A$1510),NA(),IFERROR(LOOKUP(2,1/(('Match Log'!$D$4:$D$1510=$R$24)*('Match Log'!$A$4:$A$1510&lt;=$J703)),'Match Log'!$N$4:$N$1510),NA()))</f>
        <v>#N/A</v>
      </c>
      <c r="S703" t="e">
        <f>IF($J703&gt;MAX('Match Log'!$A$4:$A$1510),NA(),IFERROR(LOOKUP(2,1/(('Match Log'!$D$4:$D$1510=$S$24)*('Match Log'!$A$4:$A$1510&lt;=$J703)),'Match Log'!$N$4:$N$1510),NA()))</f>
        <v>#N/A</v>
      </c>
      <c r="T703" t="e">
        <f>IF($J703&gt;MAX('Match Log'!$A$4:$A$1510),NA(),IFERROR(LOOKUP(2,1/(('Match Log'!$D$4:$D$1510=$T$24)*('Match Log'!$A$4:$A$1510&lt;=$J703)),'Match Log'!$N$4:$N$1510),NA()))</f>
        <v>#N/A</v>
      </c>
      <c r="U703" t="e">
        <f>IF($J703&gt;MAX('Match Log'!$A$4:$A$1510),NA(),IFERROR(LOOKUP(2,1/(('Match Log'!$D$4:$D$1510=$U$24)*('Match Log'!$A$4:$A$1510&lt;=$J703)),'Match Log'!$N$4:$N$1510),NA()))</f>
        <v>#N/A</v>
      </c>
      <c r="V703" t="e">
        <f>IF($J703&gt;MAX('Match Log'!$A$4:$A$1510),NA(),IFERROR(LOOKUP(2,1/(('Match Log'!$D$4:$D$1510=$V$24)*('Match Log'!$A$4:$A$1510&lt;=$J703)),'Match Log'!$N$4:$N$1510),NA()))</f>
        <v>#N/A</v>
      </c>
      <c r="W703" t="e">
        <f>IF($J703&gt;MAX('Match Log'!$A$4:$A$1510),NA(),IFERROR(LOOKUP(2,1/(('Match Log'!$D$4:$D$1510=$W$24)*('Match Log'!$A$4:$A$1510&lt;=$J703)),'Match Log'!$N$4:$N$1510),NA()))</f>
        <v>#N/A</v>
      </c>
      <c r="X703" t="e">
        <f>IF($J703&gt;MAX('Match Log'!$A$4:$A$1510),NA(),IFERROR(LOOKUP(2,1/(('Match Log'!$D$4:$D$1510=$X$24)*('Match Log'!$A$4:$A$1510&lt;=$J703)),'Match Log'!$N$4:$N$1510),NA()))</f>
        <v>#N/A</v>
      </c>
      <c r="Y703" t="str">
        <f t="shared" ca="1" si="40"/>
        <v/>
      </c>
    </row>
    <row r="704" spans="1:25" x14ac:dyDescent="0.2">
      <c r="A704">
        <v>680</v>
      </c>
      <c r="B704" t="str">
        <f>IFERROR(INDEX('Match Log'!$B$4:$B$1510,MATCH($A704,'Match Log'!$A$4:$A$1510,0)),"")</f>
        <v/>
      </c>
      <c r="C704" t="str">
        <f>IFERROR(INDEX('Match Log'!$C$4:$C$1510,MATCH($A704,'Match Log'!$A$4:$A$1510,0)),"")</f>
        <v/>
      </c>
      <c r="D704" t="str">
        <f t="array" ref="D704">IFERROR(_xlfn.TEXTJOIN(" + ",TRUE(),IF(('Match Log'!$A$4:$A$1510=$A704)*('Match Log'!$E$4:$E$1510="Win"),'Match Log'!$D$4:$D$1510,"")),IFERROR(LOOKUP(2,1/(('Match Log'!$A$4:$A$1510=$A704)*('Match Log'!$E$4:$E$1510="Win")),'Match Log'!$D$4:$D$1510),""))</f>
        <v/>
      </c>
      <c r="E704" t="str">
        <f>IFERROR(INDEX('Match Log'!$F$4:$F$1510,MATCH($A704,'Match Log'!$A$4:$A$1510,0)),"")</f>
        <v/>
      </c>
      <c r="F704">
        <f>IFERROR(SUMIFS('Match Log'!$I$4:$I$1510,'Match Log'!$A$4:$A$1510,$A704,'Match Log'!$E$4:$E$1510,"Win"),"")</f>
        <v>0</v>
      </c>
      <c r="G704" t="str">
        <f t="shared" si="38"/>
        <v/>
      </c>
      <c r="H704" t="str">
        <f t="array" ref="H704">IFERROR(IF(COUNTIFS('Match Log'!$A$4:$A$1510,$A704,'Match Log'!$E$4:$E$1510,"Win")&gt;1,_xlfn.TEXTJOIN(" + ",TRUE(),IF(('Match Log'!$A$4:$A$1510=$A704)*('Match Log'!$E$4:$E$1510="Loss"),'Match Log'!$D$4:$D$1510,"")),IF($E704=2,LOOKUP(2,1/(('Match Log'!$A$4:$A$1510=$A704)*('Match Log'!$E$4:$E$1510="Loss")),'Match Log'!$D$4:$D$1510),"the field")),"")</f>
        <v>the field</v>
      </c>
      <c r="I704" t="str">
        <f t="shared" si="39"/>
        <v/>
      </c>
      <c r="J704">
        <v>680</v>
      </c>
      <c r="K704" t="e">
        <f>IF($J704&gt;MAX('Match Log'!$A$4:$A$1510),NA(),IFERROR(LOOKUP(2,1/(('Match Log'!$D$4:$D$1510=$K$24)*('Match Log'!$A$4:$A$1510&lt;=$J704)),'Match Log'!$N$4:$N$1510),NA()))</f>
        <v>#N/A</v>
      </c>
      <c r="L704" t="e">
        <f>IF($J704&gt;MAX('Match Log'!$A$4:$A$1510),NA(),IFERROR(LOOKUP(2,1/(('Match Log'!$D$4:$D$1510=$L$24)*('Match Log'!$A$4:$A$1510&lt;=$J704)),'Match Log'!$N$4:$N$1510),NA()))</f>
        <v>#N/A</v>
      </c>
      <c r="M704" t="e">
        <f>IF($J704&gt;MAX('Match Log'!$A$4:$A$1510),NA(),IFERROR(LOOKUP(2,1/(('Match Log'!$D$4:$D$1510=$M$24)*('Match Log'!$A$4:$A$1510&lt;=$J704)),'Match Log'!$N$4:$N$1510),NA()))</f>
        <v>#N/A</v>
      </c>
      <c r="N704" t="e">
        <f>IF($J704&gt;MAX('Match Log'!$A$4:$A$1510),NA(),IFERROR(LOOKUP(2,1/(('Match Log'!$D$4:$D$1510=$N$24)*('Match Log'!$A$4:$A$1510&lt;=$J704)),'Match Log'!$N$4:$N$1510),NA()))</f>
        <v>#N/A</v>
      </c>
      <c r="O704" t="e">
        <f>IF($J704&gt;MAX('Match Log'!$A$4:$A$1510),NA(),IFERROR(LOOKUP(2,1/(('Match Log'!$D$4:$D$1510=$O$24)*('Match Log'!$A$4:$A$1510&lt;=$J704)),'Match Log'!$N$4:$N$1510),NA()))</f>
        <v>#N/A</v>
      </c>
      <c r="P704" t="e">
        <f>IF($J704&gt;MAX('Match Log'!$A$4:$A$1510),NA(),IFERROR(LOOKUP(2,1/(('Match Log'!$D$4:$D$1510=$P$24)*('Match Log'!$A$4:$A$1510&lt;=$J704)),'Match Log'!$N$4:$N$1510),NA()))</f>
        <v>#N/A</v>
      </c>
      <c r="Q704" t="e">
        <f>IF($J704&gt;MAX('Match Log'!$A$4:$A$1510),NA(),IFERROR(LOOKUP(2,1/(('Match Log'!$D$4:$D$1510=$Q$24)*('Match Log'!$A$4:$A$1510&lt;=$J704)),'Match Log'!$N$4:$N$1510),NA()))</f>
        <v>#N/A</v>
      </c>
      <c r="R704" t="e">
        <f>IF($J704&gt;MAX('Match Log'!$A$4:$A$1510),NA(),IFERROR(LOOKUP(2,1/(('Match Log'!$D$4:$D$1510=$R$24)*('Match Log'!$A$4:$A$1510&lt;=$J704)),'Match Log'!$N$4:$N$1510),NA()))</f>
        <v>#N/A</v>
      </c>
      <c r="S704" t="e">
        <f>IF($J704&gt;MAX('Match Log'!$A$4:$A$1510),NA(),IFERROR(LOOKUP(2,1/(('Match Log'!$D$4:$D$1510=$S$24)*('Match Log'!$A$4:$A$1510&lt;=$J704)),'Match Log'!$N$4:$N$1510),NA()))</f>
        <v>#N/A</v>
      </c>
      <c r="T704" t="e">
        <f>IF($J704&gt;MAX('Match Log'!$A$4:$A$1510),NA(),IFERROR(LOOKUP(2,1/(('Match Log'!$D$4:$D$1510=$T$24)*('Match Log'!$A$4:$A$1510&lt;=$J704)),'Match Log'!$N$4:$N$1510),NA()))</f>
        <v>#N/A</v>
      </c>
      <c r="U704" t="e">
        <f>IF($J704&gt;MAX('Match Log'!$A$4:$A$1510),NA(),IFERROR(LOOKUP(2,1/(('Match Log'!$D$4:$D$1510=$U$24)*('Match Log'!$A$4:$A$1510&lt;=$J704)),'Match Log'!$N$4:$N$1510),NA()))</f>
        <v>#N/A</v>
      </c>
      <c r="V704" t="e">
        <f>IF($J704&gt;MAX('Match Log'!$A$4:$A$1510),NA(),IFERROR(LOOKUP(2,1/(('Match Log'!$D$4:$D$1510=$V$24)*('Match Log'!$A$4:$A$1510&lt;=$J704)),'Match Log'!$N$4:$N$1510),NA()))</f>
        <v>#N/A</v>
      </c>
      <c r="W704" t="e">
        <f>IF($J704&gt;MAX('Match Log'!$A$4:$A$1510),NA(),IFERROR(LOOKUP(2,1/(('Match Log'!$D$4:$D$1510=$W$24)*('Match Log'!$A$4:$A$1510&lt;=$J704)),'Match Log'!$N$4:$N$1510),NA()))</f>
        <v>#N/A</v>
      </c>
      <c r="X704" t="e">
        <f>IF($J704&gt;MAX('Match Log'!$A$4:$A$1510),NA(),IFERROR(LOOKUP(2,1/(('Match Log'!$D$4:$D$1510=$X$24)*('Match Log'!$A$4:$A$1510&lt;=$J704)),'Match Log'!$N$4:$N$1510),NA()))</f>
        <v>#N/A</v>
      </c>
      <c r="Y704" t="str">
        <f t="shared" ca="1" si="40"/>
        <v/>
      </c>
    </row>
    <row r="705" spans="1:25" x14ac:dyDescent="0.2">
      <c r="A705">
        <v>681</v>
      </c>
      <c r="B705" t="str">
        <f>IFERROR(INDEX('Match Log'!$B$4:$B$1510,MATCH($A705,'Match Log'!$A$4:$A$1510,0)),"")</f>
        <v/>
      </c>
      <c r="C705" t="str">
        <f>IFERROR(INDEX('Match Log'!$C$4:$C$1510,MATCH($A705,'Match Log'!$A$4:$A$1510,0)),"")</f>
        <v/>
      </c>
      <c r="D705" t="str">
        <f t="array" ref="D705">IFERROR(_xlfn.TEXTJOIN(" + ",TRUE(),IF(('Match Log'!$A$4:$A$1510=$A705)*('Match Log'!$E$4:$E$1510="Win"),'Match Log'!$D$4:$D$1510,"")),IFERROR(LOOKUP(2,1/(('Match Log'!$A$4:$A$1510=$A705)*('Match Log'!$E$4:$E$1510="Win")),'Match Log'!$D$4:$D$1510),""))</f>
        <v/>
      </c>
      <c r="E705" t="str">
        <f>IFERROR(INDEX('Match Log'!$F$4:$F$1510,MATCH($A705,'Match Log'!$A$4:$A$1510,0)),"")</f>
        <v/>
      </c>
      <c r="F705">
        <f>IFERROR(SUMIFS('Match Log'!$I$4:$I$1510,'Match Log'!$A$4:$A$1510,$A705,'Match Log'!$E$4:$E$1510,"Win"),"")</f>
        <v>0</v>
      </c>
      <c r="G705" t="str">
        <f t="shared" si="38"/>
        <v/>
      </c>
      <c r="H705" t="str">
        <f t="array" ref="H705">IFERROR(IF(COUNTIFS('Match Log'!$A$4:$A$1510,$A705,'Match Log'!$E$4:$E$1510,"Win")&gt;1,_xlfn.TEXTJOIN(" + ",TRUE(),IF(('Match Log'!$A$4:$A$1510=$A705)*('Match Log'!$E$4:$E$1510="Loss"),'Match Log'!$D$4:$D$1510,"")),IF($E705=2,LOOKUP(2,1/(('Match Log'!$A$4:$A$1510=$A705)*('Match Log'!$E$4:$E$1510="Loss")),'Match Log'!$D$4:$D$1510),"the field")),"")</f>
        <v>the field</v>
      </c>
      <c r="I705" t="str">
        <f t="shared" si="39"/>
        <v/>
      </c>
      <c r="J705">
        <v>681</v>
      </c>
      <c r="K705" t="e">
        <f>IF($J705&gt;MAX('Match Log'!$A$4:$A$1510),NA(),IFERROR(LOOKUP(2,1/(('Match Log'!$D$4:$D$1510=$K$24)*('Match Log'!$A$4:$A$1510&lt;=$J705)),'Match Log'!$N$4:$N$1510),NA()))</f>
        <v>#N/A</v>
      </c>
      <c r="L705" t="e">
        <f>IF($J705&gt;MAX('Match Log'!$A$4:$A$1510),NA(),IFERROR(LOOKUP(2,1/(('Match Log'!$D$4:$D$1510=$L$24)*('Match Log'!$A$4:$A$1510&lt;=$J705)),'Match Log'!$N$4:$N$1510),NA()))</f>
        <v>#N/A</v>
      </c>
      <c r="M705" t="e">
        <f>IF($J705&gt;MAX('Match Log'!$A$4:$A$1510),NA(),IFERROR(LOOKUP(2,1/(('Match Log'!$D$4:$D$1510=$M$24)*('Match Log'!$A$4:$A$1510&lt;=$J705)),'Match Log'!$N$4:$N$1510),NA()))</f>
        <v>#N/A</v>
      </c>
      <c r="N705" t="e">
        <f>IF($J705&gt;MAX('Match Log'!$A$4:$A$1510),NA(),IFERROR(LOOKUP(2,1/(('Match Log'!$D$4:$D$1510=$N$24)*('Match Log'!$A$4:$A$1510&lt;=$J705)),'Match Log'!$N$4:$N$1510),NA()))</f>
        <v>#N/A</v>
      </c>
      <c r="O705" t="e">
        <f>IF($J705&gt;MAX('Match Log'!$A$4:$A$1510),NA(),IFERROR(LOOKUP(2,1/(('Match Log'!$D$4:$D$1510=$O$24)*('Match Log'!$A$4:$A$1510&lt;=$J705)),'Match Log'!$N$4:$N$1510),NA()))</f>
        <v>#N/A</v>
      </c>
      <c r="P705" t="e">
        <f>IF($J705&gt;MAX('Match Log'!$A$4:$A$1510),NA(),IFERROR(LOOKUP(2,1/(('Match Log'!$D$4:$D$1510=$P$24)*('Match Log'!$A$4:$A$1510&lt;=$J705)),'Match Log'!$N$4:$N$1510),NA()))</f>
        <v>#N/A</v>
      </c>
      <c r="Q705" t="e">
        <f>IF($J705&gt;MAX('Match Log'!$A$4:$A$1510),NA(),IFERROR(LOOKUP(2,1/(('Match Log'!$D$4:$D$1510=$Q$24)*('Match Log'!$A$4:$A$1510&lt;=$J705)),'Match Log'!$N$4:$N$1510),NA()))</f>
        <v>#N/A</v>
      </c>
      <c r="R705" t="e">
        <f>IF($J705&gt;MAX('Match Log'!$A$4:$A$1510),NA(),IFERROR(LOOKUP(2,1/(('Match Log'!$D$4:$D$1510=$R$24)*('Match Log'!$A$4:$A$1510&lt;=$J705)),'Match Log'!$N$4:$N$1510),NA()))</f>
        <v>#N/A</v>
      </c>
      <c r="S705" t="e">
        <f>IF($J705&gt;MAX('Match Log'!$A$4:$A$1510),NA(),IFERROR(LOOKUP(2,1/(('Match Log'!$D$4:$D$1510=$S$24)*('Match Log'!$A$4:$A$1510&lt;=$J705)),'Match Log'!$N$4:$N$1510),NA()))</f>
        <v>#N/A</v>
      </c>
      <c r="T705" t="e">
        <f>IF($J705&gt;MAX('Match Log'!$A$4:$A$1510),NA(),IFERROR(LOOKUP(2,1/(('Match Log'!$D$4:$D$1510=$T$24)*('Match Log'!$A$4:$A$1510&lt;=$J705)),'Match Log'!$N$4:$N$1510),NA()))</f>
        <v>#N/A</v>
      </c>
      <c r="U705" t="e">
        <f>IF($J705&gt;MAX('Match Log'!$A$4:$A$1510),NA(),IFERROR(LOOKUP(2,1/(('Match Log'!$D$4:$D$1510=$U$24)*('Match Log'!$A$4:$A$1510&lt;=$J705)),'Match Log'!$N$4:$N$1510),NA()))</f>
        <v>#N/A</v>
      </c>
      <c r="V705" t="e">
        <f>IF($J705&gt;MAX('Match Log'!$A$4:$A$1510),NA(),IFERROR(LOOKUP(2,1/(('Match Log'!$D$4:$D$1510=$V$24)*('Match Log'!$A$4:$A$1510&lt;=$J705)),'Match Log'!$N$4:$N$1510),NA()))</f>
        <v>#N/A</v>
      </c>
      <c r="W705" t="e">
        <f>IF($J705&gt;MAX('Match Log'!$A$4:$A$1510),NA(),IFERROR(LOOKUP(2,1/(('Match Log'!$D$4:$D$1510=$W$24)*('Match Log'!$A$4:$A$1510&lt;=$J705)),'Match Log'!$N$4:$N$1510),NA()))</f>
        <v>#N/A</v>
      </c>
      <c r="X705" t="e">
        <f>IF($J705&gt;MAX('Match Log'!$A$4:$A$1510),NA(),IFERROR(LOOKUP(2,1/(('Match Log'!$D$4:$D$1510=$X$24)*('Match Log'!$A$4:$A$1510&lt;=$J705)),'Match Log'!$N$4:$N$1510),NA()))</f>
        <v>#N/A</v>
      </c>
      <c r="Y705" t="str">
        <f t="shared" ca="1" si="40"/>
        <v/>
      </c>
    </row>
    <row r="706" spans="1:25" x14ac:dyDescent="0.2">
      <c r="A706">
        <v>682</v>
      </c>
      <c r="B706" t="str">
        <f>IFERROR(INDEX('Match Log'!$B$4:$B$1510,MATCH($A706,'Match Log'!$A$4:$A$1510,0)),"")</f>
        <v/>
      </c>
      <c r="C706" t="str">
        <f>IFERROR(INDEX('Match Log'!$C$4:$C$1510,MATCH($A706,'Match Log'!$A$4:$A$1510,0)),"")</f>
        <v/>
      </c>
      <c r="D706" t="str">
        <f t="array" ref="D706">IFERROR(_xlfn.TEXTJOIN(" + ",TRUE(),IF(('Match Log'!$A$4:$A$1510=$A706)*('Match Log'!$E$4:$E$1510="Win"),'Match Log'!$D$4:$D$1510,"")),IFERROR(LOOKUP(2,1/(('Match Log'!$A$4:$A$1510=$A706)*('Match Log'!$E$4:$E$1510="Win")),'Match Log'!$D$4:$D$1510),""))</f>
        <v/>
      </c>
      <c r="E706" t="str">
        <f>IFERROR(INDEX('Match Log'!$F$4:$F$1510,MATCH($A706,'Match Log'!$A$4:$A$1510,0)),"")</f>
        <v/>
      </c>
      <c r="F706">
        <f>IFERROR(SUMIFS('Match Log'!$I$4:$I$1510,'Match Log'!$A$4:$A$1510,$A706,'Match Log'!$E$4:$E$1510,"Win"),"")</f>
        <v>0</v>
      </c>
      <c r="G706" t="str">
        <f t="shared" si="38"/>
        <v/>
      </c>
      <c r="H706" t="str">
        <f t="array" ref="H706">IFERROR(IF(COUNTIFS('Match Log'!$A$4:$A$1510,$A706,'Match Log'!$E$4:$E$1510,"Win")&gt;1,_xlfn.TEXTJOIN(" + ",TRUE(),IF(('Match Log'!$A$4:$A$1510=$A706)*('Match Log'!$E$4:$E$1510="Loss"),'Match Log'!$D$4:$D$1510,"")),IF($E706=2,LOOKUP(2,1/(('Match Log'!$A$4:$A$1510=$A706)*('Match Log'!$E$4:$E$1510="Loss")),'Match Log'!$D$4:$D$1510),"the field")),"")</f>
        <v>the field</v>
      </c>
      <c r="I706" t="str">
        <f t="shared" si="39"/>
        <v/>
      </c>
      <c r="J706">
        <v>682</v>
      </c>
      <c r="K706" t="e">
        <f>IF($J706&gt;MAX('Match Log'!$A$4:$A$1510),NA(),IFERROR(LOOKUP(2,1/(('Match Log'!$D$4:$D$1510=$K$24)*('Match Log'!$A$4:$A$1510&lt;=$J706)),'Match Log'!$N$4:$N$1510),NA()))</f>
        <v>#N/A</v>
      </c>
      <c r="L706" t="e">
        <f>IF($J706&gt;MAX('Match Log'!$A$4:$A$1510),NA(),IFERROR(LOOKUP(2,1/(('Match Log'!$D$4:$D$1510=$L$24)*('Match Log'!$A$4:$A$1510&lt;=$J706)),'Match Log'!$N$4:$N$1510),NA()))</f>
        <v>#N/A</v>
      </c>
      <c r="M706" t="e">
        <f>IF($J706&gt;MAX('Match Log'!$A$4:$A$1510),NA(),IFERROR(LOOKUP(2,1/(('Match Log'!$D$4:$D$1510=$M$24)*('Match Log'!$A$4:$A$1510&lt;=$J706)),'Match Log'!$N$4:$N$1510),NA()))</f>
        <v>#N/A</v>
      </c>
      <c r="N706" t="e">
        <f>IF($J706&gt;MAX('Match Log'!$A$4:$A$1510),NA(),IFERROR(LOOKUP(2,1/(('Match Log'!$D$4:$D$1510=$N$24)*('Match Log'!$A$4:$A$1510&lt;=$J706)),'Match Log'!$N$4:$N$1510),NA()))</f>
        <v>#N/A</v>
      </c>
      <c r="O706" t="e">
        <f>IF($J706&gt;MAX('Match Log'!$A$4:$A$1510),NA(),IFERROR(LOOKUP(2,1/(('Match Log'!$D$4:$D$1510=$O$24)*('Match Log'!$A$4:$A$1510&lt;=$J706)),'Match Log'!$N$4:$N$1510),NA()))</f>
        <v>#N/A</v>
      </c>
      <c r="P706" t="e">
        <f>IF($J706&gt;MAX('Match Log'!$A$4:$A$1510),NA(),IFERROR(LOOKUP(2,1/(('Match Log'!$D$4:$D$1510=$P$24)*('Match Log'!$A$4:$A$1510&lt;=$J706)),'Match Log'!$N$4:$N$1510),NA()))</f>
        <v>#N/A</v>
      </c>
      <c r="Q706" t="e">
        <f>IF($J706&gt;MAX('Match Log'!$A$4:$A$1510),NA(),IFERROR(LOOKUP(2,1/(('Match Log'!$D$4:$D$1510=$Q$24)*('Match Log'!$A$4:$A$1510&lt;=$J706)),'Match Log'!$N$4:$N$1510),NA()))</f>
        <v>#N/A</v>
      </c>
      <c r="R706" t="e">
        <f>IF($J706&gt;MAX('Match Log'!$A$4:$A$1510),NA(),IFERROR(LOOKUP(2,1/(('Match Log'!$D$4:$D$1510=$R$24)*('Match Log'!$A$4:$A$1510&lt;=$J706)),'Match Log'!$N$4:$N$1510),NA()))</f>
        <v>#N/A</v>
      </c>
      <c r="S706" t="e">
        <f>IF($J706&gt;MAX('Match Log'!$A$4:$A$1510),NA(),IFERROR(LOOKUP(2,1/(('Match Log'!$D$4:$D$1510=$S$24)*('Match Log'!$A$4:$A$1510&lt;=$J706)),'Match Log'!$N$4:$N$1510),NA()))</f>
        <v>#N/A</v>
      </c>
      <c r="T706" t="e">
        <f>IF($J706&gt;MAX('Match Log'!$A$4:$A$1510),NA(),IFERROR(LOOKUP(2,1/(('Match Log'!$D$4:$D$1510=$T$24)*('Match Log'!$A$4:$A$1510&lt;=$J706)),'Match Log'!$N$4:$N$1510),NA()))</f>
        <v>#N/A</v>
      </c>
      <c r="U706" t="e">
        <f>IF($J706&gt;MAX('Match Log'!$A$4:$A$1510),NA(),IFERROR(LOOKUP(2,1/(('Match Log'!$D$4:$D$1510=$U$24)*('Match Log'!$A$4:$A$1510&lt;=$J706)),'Match Log'!$N$4:$N$1510),NA()))</f>
        <v>#N/A</v>
      </c>
      <c r="V706" t="e">
        <f>IF($J706&gt;MAX('Match Log'!$A$4:$A$1510),NA(),IFERROR(LOOKUP(2,1/(('Match Log'!$D$4:$D$1510=$V$24)*('Match Log'!$A$4:$A$1510&lt;=$J706)),'Match Log'!$N$4:$N$1510),NA()))</f>
        <v>#N/A</v>
      </c>
      <c r="W706" t="e">
        <f>IF($J706&gt;MAX('Match Log'!$A$4:$A$1510),NA(),IFERROR(LOOKUP(2,1/(('Match Log'!$D$4:$D$1510=$W$24)*('Match Log'!$A$4:$A$1510&lt;=$J706)),'Match Log'!$N$4:$N$1510),NA()))</f>
        <v>#N/A</v>
      </c>
      <c r="X706" t="e">
        <f>IF($J706&gt;MAX('Match Log'!$A$4:$A$1510),NA(),IFERROR(LOOKUP(2,1/(('Match Log'!$D$4:$D$1510=$X$24)*('Match Log'!$A$4:$A$1510&lt;=$J706)),'Match Log'!$N$4:$N$1510),NA()))</f>
        <v>#N/A</v>
      </c>
      <c r="Y706" t="str">
        <f t="shared" ca="1" si="40"/>
        <v/>
      </c>
    </row>
    <row r="707" spans="1:25" x14ac:dyDescent="0.2">
      <c r="A707">
        <v>683</v>
      </c>
      <c r="B707" t="str">
        <f>IFERROR(INDEX('Match Log'!$B$4:$B$1510,MATCH($A707,'Match Log'!$A$4:$A$1510,0)),"")</f>
        <v/>
      </c>
      <c r="C707" t="str">
        <f>IFERROR(INDEX('Match Log'!$C$4:$C$1510,MATCH($A707,'Match Log'!$A$4:$A$1510,0)),"")</f>
        <v/>
      </c>
      <c r="D707" t="str">
        <f t="array" ref="D707">IFERROR(_xlfn.TEXTJOIN(" + ",TRUE(),IF(('Match Log'!$A$4:$A$1510=$A707)*('Match Log'!$E$4:$E$1510="Win"),'Match Log'!$D$4:$D$1510,"")),IFERROR(LOOKUP(2,1/(('Match Log'!$A$4:$A$1510=$A707)*('Match Log'!$E$4:$E$1510="Win")),'Match Log'!$D$4:$D$1510),""))</f>
        <v/>
      </c>
      <c r="E707" t="str">
        <f>IFERROR(INDEX('Match Log'!$F$4:$F$1510,MATCH($A707,'Match Log'!$A$4:$A$1510,0)),"")</f>
        <v/>
      </c>
      <c r="F707">
        <f>IFERROR(SUMIFS('Match Log'!$I$4:$I$1510,'Match Log'!$A$4:$A$1510,$A707,'Match Log'!$E$4:$E$1510,"Win"),"")</f>
        <v>0</v>
      </c>
      <c r="G707" t="str">
        <f t="shared" si="38"/>
        <v/>
      </c>
      <c r="H707" t="str">
        <f t="array" ref="H707">IFERROR(IF(COUNTIFS('Match Log'!$A$4:$A$1510,$A707,'Match Log'!$E$4:$E$1510,"Win")&gt;1,_xlfn.TEXTJOIN(" + ",TRUE(),IF(('Match Log'!$A$4:$A$1510=$A707)*('Match Log'!$E$4:$E$1510="Loss"),'Match Log'!$D$4:$D$1510,"")),IF($E707=2,LOOKUP(2,1/(('Match Log'!$A$4:$A$1510=$A707)*('Match Log'!$E$4:$E$1510="Loss")),'Match Log'!$D$4:$D$1510),"the field")),"")</f>
        <v>the field</v>
      </c>
      <c r="I707" t="str">
        <f t="shared" si="39"/>
        <v/>
      </c>
      <c r="J707">
        <v>683</v>
      </c>
      <c r="K707" t="e">
        <f>IF($J707&gt;MAX('Match Log'!$A$4:$A$1510),NA(),IFERROR(LOOKUP(2,1/(('Match Log'!$D$4:$D$1510=$K$24)*('Match Log'!$A$4:$A$1510&lt;=$J707)),'Match Log'!$N$4:$N$1510),NA()))</f>
        <v>#N/A</v>
      </c>
      <c r="L707" t="e">
        <f>IF($J707&gt;MAX('Match Log'!$A$4:$A$1510),NA(),IFERROR(LOOKUP(2,1/(('Match Log'!$D$4:$D$1510=$L$24)*('Match Log'!$A$4:$A$1510&lt;=$J707)),'Match Log'!$N$4:$N$1510),NA()))</f>
        <v>#N/A</v>
      </c>
      <c r="M707" t="e">
        <f>IF($J707&gt;MAX('Match Log'!$A$4:$A$1510),NA(),IFERROR(LOOKUP(2,1/(('Match Log'!$D$4:$D$1510=$M$24)*('Match Log'!$A$4:$A$1510&lt;=$J707)),'Match Log'!$N$4:$N$1510),NA()))</f>
        <v>#N/A</v>
      </c>
      <c r="N707" t="e">
        <f>IF($J707&gt;MAX('Match Log'!$A$4:$A$1510),NA(),IFERROR(LOOKUP(2,1/(('Match Log'!$D$4:$D$1510=$N$24)*('Match Log'!$A$4:$A$1510&lt;=$J707)),'Match Log'!$N$4:$N$1510),NA()))</f>
        <v>#N/A</v>
      </c>
      <c r="O707" t="e">
        <f>IF($J707&gt;MAX('Match Log'!$A$4:$A$1510),NA(),IFERROR(LOOKUP(2,1/(('Match Log'!$D$4:$D$1510=$O$24)*('Match Log'!$A$4:$A$1510&lt;=$J707)),'Match Log'!$N$4:$N$1510),NA()))</f>
        <v>#N/A</v>
      </c>
      <c r="P707" t="e">
        <f>IF($J707&gt;MAX('Match Log'!$A$4:$A$1510),NA(),IFERROR(LOOKUP(2,1/(('Match Log'!$D$4:$D$1510=$P$24)*('Match Log'!$A$4:$A$1510&lt;=$J707)),'Match Log'!$N$4:$N$1510),NA()))</f>
        <v>#N/A</v>
      </c>
      <c r="Q707" t="e">
        <f>IF($J707&gt;MAX('Match Log'!$A$4:$A$1510),NA(),IFERROR(LOOKUP(2,1/(('Match Log'!$D$4:$D$1510=$Q$24)*('Match Log'!$A$4:$A$1510&lt;=$J707)),'Match Log'!$N$4:$N$1510),NA()))</f>
        <v>#N/A</v>
      </c>
      <c r="R707" t="e">
        <f>IF($J707&gt;MAX('Match Log'!$A$4:$A$1510),NA(),IFERROR(LOOKUP(2,1/(('Match Log'!$D$4:$D$1510=$R$24)*('Match Log'!$A$4:$A$1510&lt;=$J707)),'Match Log'!$N$4:$N$1510),NA()))</f>
        <v>#N/A</v>
      </c>
      <c r="S707" t="e">
        <f>IF($J707&gt;MAX('Match Log'!$A$4:$A$1510),NA(),IFERROR(LOOKUP(2,1/(('Match Log'!$D$4:$D$1510=$S$24)*('Match Log'!$A$4:$A$1510&lt;=$J707)),'Match Log'!$N$4:$N$1510),NA()))</f>
        <v>#N/A</v>
      </c>
      <c r="T707" t="e">
        <f>IF($J707&gt;MAX('Match Log'!$A$4:$A$1510),NA(),IFERROR(LOOKUP(2,1/(('Match Log'!$D$4:$D$1510=$T$24)*('Match Log'!$A$4:$A$1510&lt;=$J707)),'Match Log'!$N$4:$N$1510),NA()))</f>
        <v>#N/A</v>
      </c>
      <c r="U707" t="e">
        <f>IF($J707&gt;MAX('Match Log'!$A$4:$A$1510),NA(),IFERROR(LOOKUP(2,1/(('Match Log'!$D$4:$D$1510=$U$24)*('Match Log'!$A$4:$A$1510&lt;=$J707)),'Match Log'!$N$4:$N$1510),NA()))</f>
        <v>#N/A</v>
      </c>
      <c r="V707" t="e">
        <f>IF($J707&gt;MAX('Match Log'!$A$4:$A$1510),NA(),IFERROR(LOOKUP(2,1/(('Match Log'!$D$4:$D$1510=$V$24)*('Match Log'!$A$4:$A$1510&lt;=$J707)),'Match Log'!$N$4:$N$1510),NA()))</f>
        <v>#N/A</v>
      </c>
      <c r="W707" t="e">
        <f>IF($J707&gt;MAX('Match Log'!$A$4:$A$1510),NA(),IFERROR(LOOKUP(2,1/(('Match Log'!$D$4:$D$1510=$W$24)*('Match Log'!$A$4:$A$1510&lt;=$J707)),'Match Log'!$N$4:$N$1510),NA()))</f>
        <v>#N/A</v>
      </c>
      <c r="X707" t="e">
        <f>IF($J707&gt;MAX('Match Log'!$A$4:$A$1510),NA(),IFERROR(LOOKUP(2,1/(('Match Log'!$D$4:$D$1510=$X$24)*('Match Log'!$A$4:$A$1510&lt;=$J707)),'Match Log'!$N$4:$N$1510),NA()))</f>
        <v>#N/A</v>
      </c>
      <c r="Y707" t="str">
        <f t="shared" ca="1" si="40"/>
        <v/>
      </c>
    </row>
    <row r="708" spans="1:25" x14ac:dyDescent="0.2">
      <c r="A708">
        <v>684</v>
      </c>
      <c r="B708" t="str">
        <f>IFERROR(INDEX('Match Log'!$B$4:$B$1510,MATCH($A708,'Match Log'!$A$4:$A$1510,0)),"")</f>
        <v/>
      </c>
      <c r="C708" t="str">
        <f>IFERROR(INDEX('Match Log'!$C$4:$C$1510,MATCH($A708,'Match Log'!$A$4:$A$1510,0)),"")</f>
        <v/>
      </c>
      <c r="D708" t="str">
        <f t="array" ref="D708">IFERROR(_xlfn.TEXTJOIN(" + ",TRUE(),IF(('Match Log'!$A$4:$A$1510=$A708)*('Match Log'!$E$4:$E$1510="Win"),'Match Log'!$D$4:$D$1510,"")),IFERROR(LOOKUP(2,1/(('Match Log'!$A$4:$A$1510=$A708)*('Match Log'!$E$4:$E$1510="Win")),'Match Log'!$D$4:$D$1510),""))</f>
        <v/>
      </c>
      <c r="E708" t="str">
        <f>IFERROR(INDEX('Match Log'!$F$4:$F$1510,MATCH($A708,'Match Log'!$A$4:$A$1510,0)),"")</f>
        <v/>
      </c>
      <c r="F708">
        <f>IFERROR(SUMIFS('Match Log'!$I$4:$I$1510,'Match Log'!$A$4:$A$1510,$A708,'Match Log'!$E$4:$E$1510,"Win"),"")</f>
        <v>0</v>
      </c>
      <c r="G708" t="str">
        <f t="shared" si="38"/>
        <v/>
      </c>
      <c r="H708" t="str">
        <f t="array" ref="H708">IFERROR(IF(COUNTIFS('Match Log'!$A$4:$A$1510,$A708,'Match Log'!$E$4:$E$1510,"Win")&gt;1,_xlfn.TEXTJOIN(" + ",TRUE(),IF(('Match Log'!$A$4:$A$1510=$A708)*('Match Log'!$E$4:$E$1510="Loss"),'Match Log'!$D$4:$D$1510,"")),IF($E708=2,LOOKUP(2,1/(('Match Log'!$A$4:$A$1510=$A708)*('Match Log'!$E$4:$E$1510="Loss")),'Match Log'!$D$4:$D$1510),"the field")),"")</f>
        <v>the field</v>
      </c>
      <c r="I708" t="str">
        <f t="shared" si="39"/>
        <v/>
      </c>
      <c r="J708">
        <v>684</v>
      </c>
      <c r="K708" t="e">
        <f>IF($J708&gt;MAX('Match Log'!$A$4:$A$1510),NA(),IFERROR(LOOKUP(2,1/(('Match Log'!$D$4:$D$1510=$K$24)*('Match Log'!$A$4:$A$1510&lt;=$J708)),'Match Log'!$N$4:$N$1510),NA()))</f>
        <v>#N/A</v>
      </c>
      <c r="L708" t="e">
        <f>IF($J708&gt;MAX('Match Log'!$A$4:$A$1510),NA(),IFERROR(LOOKUP(2,1/(('Match Log'!$D$4:$D$1510=$L$24)*('Match Log'!$A$4:$A$1510&lt;=$J708)),'Match Log'!$N$4:$N$1510),NA()))</f>
        <v>#N/A</v>
      </c>
      <c r="M708" t="e">
        <f>IF($J708&gt;MAX('Match Log'!$A$4:$A$1510),NA(),IFERROR(LOOKUP(2,1/(('Match Log'!$D$4:$D$1510=$M$24)*('Match Log'!$A$4:$A$1510&lt;=$J708)),'Match Log'!$N$4:$N$1510),NA()))</f>
        <v>#N/A</v>
      </c>
      <c r="N708" t="e">
        <f>IF($J708&gt;MAX('Match Log'!$A$4:$A$1510),NA(),IFERROR(LOOKUP(2,1/(('Match Log'!$D$4:$D$1510=$N$24)*('Match Log'!$A$4:$A$1510&lt;=$J708)),'Match Log'!$N$4:$N$1510),NA()))</f>
        <v>#N/A</v>
      </c>
      <c r="O708" t="e">
        <f>IF($J708&gt;MAX('Match Log'!$A$4:$A$1510),NA(),IFERROR(LOOKUP(2,1/(('Match Log'!$D$4:$D$1510=$O$24)*('Match Log'!$A$4:$A$1510&lt;=$J708)),'Match Log'!$N$4:$N$1510),NA()))</f>
        <v>#N/A</v>
      </c>
      <c r="P708" t="e">
        <f>IF($J708&gt;MAX('Match Log'!$A$4:$A$1510),NA(),IFERROR(LOOKUP(2,1/(('Match Log'!$D$4:$D$1510=$P$24)*('Match Log'!$A$4:$A$1510&lt;=$J708)),'Match Log'!$N$4:$N$1510),NA()))</f>
        <v>#N/A</v>
      </c>
      <c r="Q708" t="e">
        <f>IF($J708&gt;MAX('Match Log'!$A$4:$A$1510),NA(),IFERROR(LOOKUP(2,1/(('Match Log'!$D$4:$D$1510=$Q$24)*('Match Log'!$A$4:$A$1510&lt;=$J708)),'Match Log'!$N$4:$N$1510),NA()))</f>
        <v>#N/A</v>
      </c>
      <c r="R708" t="e">
        <f>IF($J708&gt;MAX('Match Log'!$A$4:$A$1510),NA(),IFERROR(LOOKUP(2,1/(('Match Log'!$D$4:$D$1510=$R$24)*('Match Log'!$A$4:$A$1510&lt;=$J708)),'Match Log'!$N$4:$N$1510),NA()))</f>
        <v>#N/A</v>
      </c>
      <c r="S708" t="e">
        <f>IF($J708&gt;MAX('Match Log'!$A$4:$A$1510),NA(),IFERROR(LOOKUP(2,1/(('Match Log'!$D$4:$D$1510=$S$24)*('Match Log'!$A$4:$A$1510&lt;=$J708)),'Match Log'!$N$4:$N$1510),NA()))</f>
        <v>#N/A</v>
      </c>
      <c r="T708" t="e">
        <f>IF($J708&gt;MAX('Match Log'!$A$4:$A$1510),NA(),IFERROR(LOOKUP(2,1/(('Match Log'!$D$4:$D$1510=$T$24)*('Match Log'!$A$4:$A$1510&lt;=$J708)),'Match Log'!$N$4:$N$1510),NA()))</f>
        <v>#N/A</v>
      </c>
      <c r="U708" t="e">
        <f>IF($J708&gt;MAX('Match Log'!$A$4:$A$1510),NA(),IFERROR(LOOKUP(2,1/(('Match Log'!$D$4:$D$1510=$U$24)*('Match Log'!$A$4:$A$1510&lt;=$J708)),'Match Log'!$N$4:$N$1510),NA()))</f>
        <v>#N/A</v>
      </c>
      <c r="V708" t="e">
        <f>IF($J708&gt;MAX('Match Log'!$A$4:$A$1510),NA(),IFERROR(LOOKUP(2,1/(('Match Log'!$D$4:$D$1510=$V$24)*('Match Log'!$A$4:$A$1510&lt;=$J708)),'Match Log'!$N$4:$N$1510),NA()))</f>
        <v>#N/A</v>
      </c>
      <c r="W708" t="e">
        <f>IF($J708&gt;MAX('Match Log'!$A$4:$A$1510),NA(),IFERROR(LOOKUP(2,1/(('Match Log'!$D$4:$D$1510=$W$24)*('Match Log'!$A$4:$A$1510&lt;=$J708)),'Match Log'!$N$4:$N$1510),NA()))</f>
        <v>#N/A</v>
      </c>
      <c r="X708" t="e">
        <f>IF($J708&gt;MAX('Match Log'!$A$4:$A$1510),NA(),IFERROR(LOOKUP(2,1/(('Match Log'!$D$4:$D$1510=$X$24)*('Match Log'!$A$4:$A$1510&lt;=$J708)),'Match Log'!$N$4:$N$1510),NA()))</f>
        <v>#N/A</v>
      </c>
      <c r="Y708" t="str">
        <f t="shared" ca="1" si="40"/>
        <v/>
      </c>
    </row>
    <row r="709" spans="1:25" x14ac:dyDescent="0.2">
      <c r="A709">
        <v>685</v>
      </c>
      <c r="B709" t="str">
        <f>IFERROR(INDEX('Match Log'!$B$4:$B$1510,MATCH($A709,'Match Log'!$A$4:$A$1510,0)),"")</f>
        <v/>
      </c>
      <c r="C709" t="str">
        <f>IFERROR(INDEX('Match Log'!$C$4:$C$1510,MATCH($A709,'Match Log'!$A$4:$A$1510,0)),"")</f>
        <v/>
      </c>
      <c r="D709" t="str">
        <f t="array" ref="D709">IFERROR(_xlfn.TEXTJOIN(" + ",TRUE(),IF(('Match Log'!$A$4:$A$1510=$A709)*('Match Log'!$E$4:$E$1510="Win"),'Match Log'!$D$4:$D$1510,"")),IFERROR(LOOKUP(2,1/(('Match Log'!$A$4:$A$1510=$A709)*('Match Log'!$E$4:$E$1510="Win")),'Match Log'!$D$4:$D$1510),""))</f>
        <v/>
      </c>
      <c r="E709" t="str">
        <f>IFERROR(INDEX('Match Log'!$F$4:$F$1510,MATCH($A709,'Match Log'!$A$4:$A$1510,0)),"")</f>
        <v/>
      </c>
      <c r="F709">
        <f>IFERROR(SUMIFS('Match Log'!$I$4:$I$1510,'Match Log'!$A$4:$A$1510,$A709,'Match Log'!$E$4:$E$1510,"Win"),"")</f>
        <v>0</v>
      </c>
      <c r="G709" t="str">
        <f t="shared" si="38"/>
        <v/>
      </c>
      <c r="H709" t="str">
        <f t="array" ref="H709">IFERROR(IF(COUNTIFS('Match Log'!$A$4:$A$1510,$A709,'Match Log'!$E$4:$E$1510,"Win")&gt;1,_xlfn.TEXTJOIN(" + ",TRUE(),IF(('Match Log'!$A$4:$A$1510=$A709)*('Match Log'!$E$4:$E$1510="Loss"),'Match Log'!$D$4:$D$1510,"")),IF($E709=2,LOOKUP(2,1/(('Match Log'!$A$4:$A$1510=$A709)*('Match Log'!$E$4:$E$1510="Loss")),'Match Log'!$D$4:$D$1510),"the field")),"")</f>
        <v>the field</v>
      </c>
      <c r="I709" t="str">
        <f t="shared" si="39"/>
        <v/>
      </c>
      <c r="J709">
        <v>685</v>
      </c>
      <c r="K709" t="e">
        <f>IF($J709&gt;MAX('Match Log'!$A$4:$A$1510),NA(),IFERROR(LOOKUP(2,1/(('Match Log'!$D$4:$D$1510=$K$24)*('Match Log'!$A$4:$A$1510&lt;=$J709)),'Match Log'!$N$4:$N$1510),NA()))</f>
        <v>#N/A</v>
      </c>
      <c r="L709" t="e">
        <f>IF($J709&gt;MAX('Match Log'!$A$4:$A$1510),NA(),IFERROR(LOOKUP(2,1/(('Match Log'!$D$4:$D$1510=$L$24)*('Match Log'!$A$4:$A$1510&lt;=$J709)),'Match Log'!$N$4:$N$1510),NA()))</f>
        <v>#N/A</v>
      </c>
      <c r="M709" t="e">
        <f>IF($J709&gt;MAX('Match Log'!$A$4:$A$1510),NA(),IFERROR(LOOKUP(2,1/(('Match Log'!$D$4:$D$1510=$M$24)*('Match Log'!$A$4:$A$1510&lt;=$J709)),'Match Log'!$N$4:$N$1510),NA()))</f>
        <v>#N/A</v>
      </c>
      <c r="N709" t="e">
        <f>IF($J709&gt;MAX('Match Log'!$A$4:$A$1510),NA(),IFERROR(LOOKUP(2,1/(('Match Log'!$D$4:$D$1510=$N$24)*('Match Log'!$A$4:$A$1510&lt;=$J709)),'Match Log'!$N$4:$N$1510),NA()))</f>
        <v>#N/A</v>
      </c>
      <c r="O709" t="e">
        <f>IF($J709&gt;MAX('Match Log'!$A$4:$A$1510),NA(),IFERROR(LOOKUP(2,1/(('Match Log'!$D$4:$D$1510=$O$24)*('Match Log'!$A$4:$A$1510&lt;=$J709)),'Match Log'!$N$4:$N$1510),NA()))</f>
        <v>#N/A</v>
      </c>
      <c r="P709" t="e">
        <f>IF($J709&gt;MAX('Match Log'!$A$4:$A$1510),NA(),IFERROR(LOOKUP(2,1/(('Match Log'!$D$4:$D$1510=$P$24)*('Match Log'!$A$4:$A$1510&lt;=$J709)),'Match Log'!$N$4:$N$1510),NA()))</f>
        <v>#N/A</v>
      </c>
      <c r="Q709" t="e">
        <f>IF($J709&gt;MAX('Match Log'!$A$4:$A$1510),NA(),IFERROR(LOOKUP(2,1/(('Match Log'!$D$4:$D$1510=$Q$24)*('Match Log'!$A$4:$A$1510&lt;=$J709)),'Match Log'!$N$4:$N$1510),NA()))</f>
        <v>#N/A</v>
      </c>
      <c r="R709" t="e">
        <f>IF($J709&gt;MAX('Match Log'!$A$4:$A$1510),NA(),IFERROR(LOOKUP(2,1/(('Match Log'!$D$4:$D$1510=$R$24)*('Match Log'!$A$4:$A$1510&lt;=$J709)),'Match Log'!$N$4:$N$1510),NA()))</f>
        <v>#N/A</v>
      </c>
      <c r="S709" t="e">
        <f>IF($J709&gt;MAX('Match Log'!$A$4:$A$1510),NA(),IFERROR(LOOKUP(2,1/(('Match Log'!$D$4:$D$1510=$S$24)*('Match Log'!$A$4:$A$1510&lt;=$J709)),'Match Log'!$N$4:$N$1510),NA()))</f>
        <v>#N/A</v>
      </c>
      <c r="T709" t="e">
        <f>IF($J709&gt;MAX('Match Log'!$A$4:$A$1510),NA(),IFERROR(LOOKUP(2,1/(('Match Log'!$D$4:$D$1510=$T$24)*('Match Log'!$A$4:$A$1510&lt;=$J709)),'Match Log'!$N$4:$N$1510),NA()))</f>
        <v>#N/A</v>
      </c>
      <c r="U709" t="e">
        <f>IF($J709&gt;MAX('Match Log'!$A$4:$A$1510),NA(),IFERROR(LOOKUP(2,1/(('Match Log'!$D$4:$D$1510=$U$24)*('Match Log'!$A$4:$A$1510&lt;=$J709)),'Match Log'!$N$4:$N$1510),NA()))</f>
        <v>#N/A</v>
      </c>
      <c r="V709" t="e">
        <f>IF($J709&gt;MAX('Match Log'!$A$4:$A$1510),NA(),IFERROR(LOOKUP(2,1/(('Match Log'!$D$4:$D$1510=$V$24)*('Match Log'!$A$4:$A$1510&lt;=$J709)),'Match Log'!$N$4:$N$1510),NA()))</f>
        <v>#N/A</v>
      </c>
      <c r="W709" t="e">
        <f>IF($J709&gt;MAX('Match Log'!$A$4:$A$1510),NA(),IFERROR(LOOKUP(2,1/(('Match Log'!$D$4:$D$1510=$W$24)*('Match Log'!$A$4:$A$1510&lt;=$J709)),'Match Log'!$N$4:$N$1510),NA()))</f>
        <v>#N/A</v>
      </c>
      <c r="X709" t="e">
        <f>IF($J709&gt;MAX('Match Log'!$A$4:$A$1510),NA(),IFERROR(LOOKUP(2,1/(('Match Log'!$D$4:$D$1510=$X$24)*('Match Log'!$A$4:$A$1510&lt;=$J709)),'Match Log'!$N$4:$N$1510),NA()))</f>
        <v>#N/A</v>
      </c>
      <c r="Y709" t="str">
        <f t="shared" ca="1" si="40"/>
        <v/>
      </c>
    </row>
    <row r="710" spans="1:25" x14ac:dyDescent="0.2">
      <c r="A710">
        <v>686</v>
      </c>
      <c r="B710" t="str">
        <f>IFERROR(INDEX('Match Log'!$B$4:$B$1510,MATCH($A710,'Match Log'!$A$4:$A$1510,0)),"")</f>
        <v/>
      </c>
      <c r="C710" t="str">
        <f>IFERROR(INDEX('Match Log'!$C$4:$C$1510,MATCH($A710,'Match Log'!$A$4:$A$1510,0)),"")</f>
        <v/>
      </c>
      <c r="D710" t="str">
        <f t="array" ref="D710">IFERROR(_xlfn.TEXTJOIN(" + ",TRUE(),IF(('Match Log'!$A$4:$A$1510=$A710)*('Match Log'!$E$4:$E$1510="Win"),'Match Log'!$D$4:$D$1510,"")),IFERROR(LOOKUP(2,1/(('Match Log'!$A$4:$A$1510=$A710)*('Match Log'!$E$4:$E$1510="Win")),'Match Log'!$D$4:$D$1510),""))</f>
        <v/>
      </c>
      <c r="E710" t="str">
        <f>IFERROR(INDEX('Match Log'!$F$4:$F$1510,MATCH($A710,'Match Log'!$A$4:$A$1510,0)),"")</f>
        <v/>
      </c>
      <c r="F710">
        <f>IFERROR(SUMIFS('Match Log'!$I$4:$I$1510,'Match Log'!$A$4:$A$1510,$A710,'Match Log'!$E$4:$E$1510,"Win"),"")</f>
        <v>0</v>
      </c>
      <c r="G710" t="str">
        <f t="shared" si="38"/>
        <v/>
      </c>
      <c r="H710" t="str">
        <f t="array" ref="H710">IFERROR(IF(COUNTIFS('Match Log'!$A$4:$A$1510,$A710,'Match Log'!$E$4:$E$1510,"Win")&gt;1,_xlfn.TEXTJOIN(" + ",TRUE(),IF(('Match Log'!$A$4:$A$1510=$A710)*('Match Log'!$E$4:$E$1510="Loss"),'Match Log'!$D$4:$D$1510,"")),IF($E710=2,LOOKUP(2,1/(('Match Log'!$A$4:$A$1510=$A710)*('Match Log'!$E$4:$E$1510="Loss")),'Match Log'!$D$4:$D$1510),"the field")),"")</f>
        <v>the field</v>
      </c>
      <c r="I710" t="str">
        <f t="shared" si="39"/>
        <v/>
      </c>
      <c r="J710">
        <v>686</v>
      </c>
      <c r="K710" t="e">
        <f>IF($J710&gt;MAX('Match Log'!$A$4:$A$1510),NA(),IFERROR(LOOKUP(2,1/(('Match Log'!$D$4:$D$1510=$K$24)*('Match Log'!$A$4:$A$1510&lt;=$J710)),'Match Log'!$N$4:$N$1510),NA()))</f>
        <v>#N/A</v>
      </c>
      <c r="L710" t="e">
        <f>IF($J710&gt;MAX('Match Log'!$A$4:$A$1510),NA(),IFERROR(LOOKUP(2,1/(('Match Log'!$D$4:$D$1510=$L$24)*('Match Log'!$A$4:$A$1510&lt;=$J710)),'Match Log'!$N$4:$N$1510),NA()))</f>
        <v>#N/A</v>
      </c>
      <c r="M710" t="e">
        <f>IF($J710&gt;MAX('Match Log'!$A$4:$A$1510),NA(),IFERROR(LOOKUP(2,1/(('Match Log'!$D$4:$D$1510=$M$24)*('Match Log'!$A$4:$A$1510&lt;=$J710)),'Match Log'!$N$4:$N$1510),NA()))</f>
        <v>#N/A</v>
      </c>
      <c r="N710" t="e">
        <f>IF($J710&gt;MAX('Match Log'!$A$4:$A$1510),NA(),IFERROR(LOOKUP(2,1/(('Match Log'!$D$4:$D$1510=$N$24)*('Match Log'!$A$4:$A$1510&lt;=$J710)),'Match Log'!$N$4:$N$1510),NA()))</f>
        <v>#N/A</v>
      </c>
      <c r="O710" t="e">
        <f>IF($J710&gt;MAX('Match Log'!$A$4:$A$1510),NA(),IFERROR(LOOKUP(2,1/(('Match Log'!$D$4:$D$1510=$O$24)*('Match Log'!$A$4:$A$1510&lt;=$J710)),'Match Log'!$N$4:$N$1510),NA()))</f>
        <v>#N/A</v>
      </c>
      <c r="P710" t="e">
        <f>IF($J710&gt;MAX('Match Log'!$A$4:$A$1510),NA(),IFERROR(LOOKUP(2,1/(('Match Log'!$D$4:$D$1510=$P$24)*('Match Log'!$A$4:$A$1510&lt;=$J710)),'Match Log'!$N$4:$N$1510),NA()))</f>
        <v>#N/A</v>
      </c>
      <c r="Q710" t="e">
        <f>IF($J710&gt;MAX('Match Log'!$A$4:$A$1510),NA(),IFERROR(LOOKUP(2,1/(('Match Log'!$D$4:$D$1510=$Q$24)*('Match Log'!$A$4:$A$1510&lt;=$J710)),'Match Log'!$N$4:$N$1510),NA()))</f>
        <v>#N/A</v>
      </c>
      <c r="R710" t="e">
        <f>IF($J710&gt;MAX('Match Log'!$A$4:$A$1510),NA(),IFERROR(LOOKUP(2,1/(('Match Log'!$D$4:$D$1510=$R$24)*('Match Log'!$A$4:$A$1510&lt;=$J710)),'Match Log'!$N$4:$N$1510),NA()))</f>
        <v>#N/A</v>
      </c>
      <c r="S710" t="e">
        <f>IF($J710&gt;MAX('Match Log'!$A$4:$A$1510),NA(),IFERROR(LOOKUP(2,1/(('Match Log'!$D$4:$D$1510=$S$24)*('Match Log'!$A$4:$A$1510&lt;=$J710)),'Match Log'!$N$4:$N$1510),NA()))</f>
        <v>#N/A</v>
      </c>
      <c r="T710" t="e">
        <f>IF($J710&gt;MAX('Match Log'!$A$4:$A$1510),NA(),IFERROR(LOOKUP(2,1/(('Match Log'!$D$4:$D$1510=$T$24)*('Match Log'!$A$4:$A$1510&lt;=$J710)),'Match Log'!$N$4:$N$1510),NA()))</f>
        <v>#N/A</v>
      </c>
      <c r="U710" t="e">
        <f>IF($J710&gt;MAX('Match Log'!$A$4:$A$1510),NA(),IFERROR(LOOKUP(2,1/(('Match Log'!$D$4:$D$1510=$U$24)*('Match Log'!$A$4:$A$1510&lt;=$J710)),'Match Log'!$N$4:$N$1510),NA()))</f>
        <v>#N/A</v>
      </c>
      <c r="V710" t="e">
        <f>IF($J710&gt;MAX('Match Log'!$A$4:$A$1510),NA(),IFERROR(LOOKUP(2,1/(('Match Log'!$D$4:$D$1510=$V$24)*('Match Log'!$A$4:$A$1510&lt;=$J710)),'Match Log'!$N$4:$N$1510),NA()))</f>
        <v>#N/A</v>
      </c>
      <c r="W710" t="e">
        <f>IF($J710&gt;MAX('Match Log'!$A$4:$A$1510),NA(),IFERROR(LOOKUP(2,1/(('Match Log'!$D$4:$D$1510=$W$24)*('Match Log'!$A$4:$A$1510&lt;=$J710)),'Match Log'!$N$4:$N$1510),NA()))</f>
        <v>#N/A</v>
      </c>
      <c r="X710" t="e">
        <f>IF($J710&gt;MAX('Match Log'!$A$4:$A$1510),NA(),IFERROR(LOOKUP(2,1/(('Match Log'!$D$4:$D$1510=$X$24)*('Match Log'!$A$4:$A$1510&lt;=$J710)),'Match Log'!$N$4:$N$1510),NA()))</f>
        <v>#N/A</v>
      </c>
      <c r="Y710" t="str">
        <f t="shared" ca="1" si="40"/>
        <v/>
      </c>
    </row>
    <row r="711" spans="1:25" x14ac:dyDescent="0.2">
      <c r="A711">
        <v>687</v>
      </c>
      <c r="B711" t="str">
        <f>IFERROR(INDEX('Match Log'!$B$4:$B$1510,MATCH($A711,'Match Log'!$A$4:$A$1510,0)),"")</f>
        <v/>
      </c>
      <c r="C711" t="str">
        <f>IFERROR(INDEX('Match Log'!$C$4:$C$1510,MATCH($A711,'Match Log'!$A$4:$A$1510,0)),"")</f>
        <v/>
      </c>
      <c r="D711" t="str">
        <f t="array" ref="D711">IFERROR(_xlfn.TEXTJOIN(" + ",TRUE(),IF(('Match Log'!$A$4:$A$1510=$A711)*('Match Log'!$E$4:$E$1510="Win"),'Match Log'!$D$4:$D$1510,"")),IFERROR(LOOKUP(2,1/(('Match Log'!$A$4:$A$1510=$A711)*('Match Log'!$E$4:$E$1510="Win")),'Match Log'!$D$4:$D$1510),""))</f>
        <v/>
      </c>
      <c r="E711" t="str">
        <f>IFERROR(INDEX('Match Log'!$F$4:$F$1510,MATCH($A711,'Match Log'!$A$4:$A$1510,0)),"")</f>
        <v/>
      </c>
      <c r="F711">
        <f>IFERROR(SUMIFS('Match Log'!$I$4:$I$1510,'Match Log'!$A$4:$A$1510,$A711,'Match Log'!$E$4:$E$1510,"Win"),"")</f>
        <v>0</v>
      </c>
      <c r="G711" t="str">
        <f t="shared" si="38"/>
        <v/>
      </c>
      <c r="H711" t="str">
        <f t="array" ref="H711">IFERROR(IF(COUNTIFS('Match Log'!$A$4:$A$1510,$A711,'Match Log'!$E$4:$E$1510,"Win")&gt;1,_xlfn.TEXTJOIN(" + ",TRUE(),IF(('Match Log'!$A$4:$A$1510=$A711)*('Match Log'!$E$4:$E$1510="Loss"),'Match Log'!$D$4:$D$1510,"")),IF($E711=2,LOOKUP(2,1/(('Match Log'!$A$4:$A$1510=$A711)*('Match Log'!$E$4:$E$1510="Loss")),'Match Log'!$D$4:$D$1510),"the field")),"")</f>
        <v>the field</v>
      </c>
      <c r="I711" t="str">
        <f t="shared" si="39"/>
        <v/>
      </c>
      <c r="J711">
        <v>687</v>
      </c>
      <c r="K711" t="e">
        <f>IF($J711&gt;MAX('Match Log'!$A$4:$A$1510),NA(),IFERROR(LOOKUP(2,1/(('Match Log'!$D$4:$D$1510=$K$24)*('Match Log'!$A$4:$A$1510&lt;=$J711)),'Match Log'!$N$4:$N$1510),NA()))</f>
        <v>#N/A</v>
      </c>
      <c r="L711" t="e">
        <f>IF($J711&gt;MAX('Match Log'!$A$4:$A$1510),NA(),IFERROR(LOOKUP(2,1/(('Match Log'!$D$4:$D$1510=$L$24)*('Match Log'!$A$4:$A$1510&lt;=$J711)),'Match Log'!$N$4:$N$1510),NA()))</f>
        <v>#N/A</v>
      </c>
      <c r="M711" t="e">
        <f>IF($J711&gt;MAX('Match Log'!$A$4:$A$1510),NA(),IFERROR(LOOKUP(2,1/(('Match Log'!$D$4:$D$1510=$M$24)*('Match Log'!$A$4:$A$1510&lt;=$J711)),'Match Log'!$N$4:$N$1510),NA()))</f>
        <v>#N/A</v>
      </c>
      <c r="N711" t="e">
        <f>IF($J711&gt;MAX('Match Log'!$A$4:$A$1510),NA(),IFERROR(LOOKUP(2,1/(('Match Log'!$D$4:$D$1510=$N$24)*('Match Log'!$A$4:$A$1510&lt;=$J711)),'Match Log'!$N$4:$N$1510),NA()))</f>
        <v>#N/A</v>
      </c>
      <c r="O711" t="e">
        <f>IF($J711&gt;MAX('Match Log'!$A$4:$A$1510),NA(),IFERROR(LOOKUP(2,1/(('Match Log'!$D$4:$D$1510=$O$24)*('Match Log'!$A$4:$A$1510&lt;=$J711)),'Match Log'!$N$4:$N$1510),NA()))</f>
        <v>#N/A</v>
      </c>
      <c r="P711" t="e">
        <f>IF($J711&gt;MAX('Match Log'!$A$4:$A$1510),NA(),IFERROR(LOOKUP(2,1/(('Match Log'!$D$4:$D$1510=$P$24)*('Match Log'!$A$4:$A$1510&lt;=$J711)),'Match Log'!$N$4:$N$1510),NA()))</f>
        <v>#N/A</v>
      </c>
      <c r="Q711" t="e">
        <f>IF($J711&gt;MAX('Match Log'!$A$4:$A$1510),NA(),IFERROR(LOOKUP(2,1/(('Match Log'!$D$4:$D$1510=$Q$24)*('Match Log'!$A$4:$A$1510&lt;=$J711)),'Match Log'!$N$4:$N$1510),NA()))</f>
        <v>#N/A</v>
      </c>
      <c r="R711" t="e">
        <f>IF($J711&gt;MAX('Match Log'!$A$4:$A$1510),NA(),IFERROR(LOOKUP(2,1/(('Match Log'!$D$4:$D$1510=$R$24)*('Match Log'!$A$4:$A$1510&lt;=$J711)),'Match Log'!$N$4:$N$1510),NA()))</f>
        <v>#N/A</v>
      </c>
      <c r="S711" t="e">
        <f>IF($J711&gt;MAX('Match Log'!$A$4:$A$1510),NA(),IFERROR(LOOKUP(2,1/(('Match Log'!$D$4:$D$1510=$S$24)*('Match Log'!$A$4:$A$1510&lt;=$J711)),'Match Log'!$N$4:$N$1510),NA()))</f>
        <v>#N/A</v>
      </c>
      <c r="T711" t="e">
        <f>IF($J711&gt;MAX('Match Log'!$A$4:$A$1510),NA(),IFERROR(LOOKUP(2,1/(('Match Log'!$D$4:$D$1510=$T$24)*('Match Log'!$A$4:$A$1510&lt;=$J711)),'Match Log'!$N$4:$N$1510),NA()))</f>
        <v>#N/A</v>
      </c>
      <c r="U711" t="e">
        <f>IF($J711&gt;MAX('Match Log'!$A$4:$A$1510),NA(),IFERROR(LOOKUP(2,1/(('Match Log'!$D$4:$D$1510=$U$24)*('Match Log'!$A$4:$A$1510&lt;=$J711)),'Match Log'!$N$4:$N$1510),NA()))</f>
        <v>#N/A</v>
      </c>
      <c r="V711" t="e">
        <f>IF($J711&gt;MAX('Match Log'!$A$4:$A$1510),NA(),IFERROR(LOOKUP(2,1/(('Match Log'!$D$4:$D$1510=$V$24)*('Match Log'!$A$4:$A$1510&lt;=$J711)),'Match Log'!$N$4:$N$1510),NA()))</f>
        <v>#N/A</v>
      </c>
      <c r="W711" t="e">
        <f>IF($J711&gt;MAX('Match Log'!$A$4:$A$1510),NA(),IFERROR(LOOKUP(2,1/(('Match Log'!$D$4:$D$1510=$W$24)*('Match Log'!$A$4:$A$1510&lt;=$J711)),'Match Log'!$N$4:$N$1510),NA()))</f>
        <v>#N/A</v>
      </c>
      <c r="X711" t="e">
        <f>IF($J711&gt;MAX('Match Log'!$A$4:$A$1510),NA(),IFERROR(LOOKUP(2,1/(('Match Log'!$D$4:$D$1510=$X$24)*('Match Log'!$A$4:$A$1510&lt;=$J711)),'Match Log'!$N$4:$N$1510),NA()))</f>
        <v>#N/A</v>
      </c>
      <c r="Y711" t="str">
        <f t="shared" ca="1" si="40"/>
        <v/>
      </c>
    </row>
    <row r="712" spans="1:25" x14ac:dyDescent="0.2">
      <c r="A712">
        <v>688</v>
      </c>
      <c r="B712" t="str">
        <f>IFERROR(INDEX('Match Log'!$B$4:$B$1510,MATCH($A712,'Match Log'!$A$4:$A$1510,0)),"")</f>
        <v/>
      </c>
      <c r="C712" t="str">
        <f>IFERROR(INDEX('Match Log'!$C$4:$C$1510,MATCH($A712,'Match Log'!$A$4:$A$1510,0)),"")</f>
        <v/>
      </c>
      <c r="D712" t="str">
        <f t="array" ref="D712">IFERROR(_xlfn.TEXTJOIN(" + ",TRUE(),IF(('Match Log'!$A$4:$A$1510=$A712)*('Match Log'!$E$4:$E$1510="Win"),'Match Log'!$D$4:$D$1510,"")),IFERROR(LOOKUP(2,1/(('Match Log'!$A$4:$A$1510=$A712)*('Match Log'!$E$4:$E$1510="Win")),'Match Log'!$D$4:$D$1510),""))</f>
        <v/>
      </c>
      <c r="E712" t="str">
        <f>IFERROR(INDEX('Match Log'!$F$4:$F$1510,MATCH($A712,'Match Log'!$A$4:$A$1510,0)),"")</f>
        <v/>
      </c>
      <c r="F712">
        <f>IFERROR(SUMIFS('Match Log'!$I$4:$I$1510,'Match Log'!$A$4:$A$1510,$A712,'Match Log'!$E$4:$E$1510,"Win"),"")</f>
        <v>0</v>
      </c>
      <c r="G712" t="str">
        <f t="shared" si="38"/>
        <v/>
      </c>
      <c r="H712" t="str">
        <f t="array" ref="H712">IFERROR(IF(COUNTIFS('Match Log'!$A$4:$A$1510,$A712,'Match Log'!$E$4:$E$1510,"Win")&gt;1,_xlfn.TEXTJOIN(" + ",TRUE(),IF(('Match Log'!$A$4:$A$1510=$A712)*('Match Log'!$E$4:$E$1510="Loss"),'Match Log'!$D$4:$D$1510,"")),IF($E712=2,LOOKUP(2,1/(('Match Log'!$A$4:$A$1510=$A712)*('Match Log'!$E$4:$E$1510="Loss")),'Match Log'!$D$4:$D$1510),"the field")),"")</f>
        <v>the field</v>
      </c>
      <c r="I712" t="str">
        <f t="shared" si="39"/>
        <v/>
      </c>
      <c r="J712">
        <v>688</v>
      </c>
      <c r="K712" t="e">
        <f>IF($J712&gt;MAX('Match Log'!$A$4:$A$1510),NA(),IFERROR(LOOKUP(2,1/(('Match Log'!$D$4:$D$1510=$K$24)*('Match Log'!$A$4:$A$1510&lt;=$J712)),'Match Log'!$N$4:$N$1510),NA()))</f>
        <v>#N/A</v>
      </c>
      <c r="L712" t="e">
        <f>IF($J712&gt;MAX('Match Log'!$A$4:$A$1510),NA(),IFERROR(LOOKUP(2,1/(('Match Log'!$D$4:$D$1510=$L$24)*('Match Log'!$A$4:$A$1510&lt;=$J712)),'Match Log'!$N$4:$N$1510),NA()))</f>
        <v>#N/A</v>
      </c>
      <c r="M712" t="e">
        <f>IF($J712&gt;MAX('Match Log'!$A$4:$A$1510),NA(),IFERROR(LOOKUP(2,1/(('Match Log'!$D$4:$D$1510=$M$24)*('Match Log'!$A$4:$A$1510&lt;=$J712)),'Match Log'!$N$4:$N$1510),NA()))</f>
        <v>#N/A</v>
      </c>
      <c r="N712" t="e">
        <f>IF($J712&gt;MAX('Match Log'!$A$4:$A$1510),NA(),IFERROR(LOOKUP(2,1/(('Match Log'!$D$4:$D$1510=$N$24)*('Match Log'!$A$4:$A$1510&lt;=$J712)),'Match Log'!$N$4:$N$1510),NA()))</f>
        <v>#N/A</v>
      </c>
      <c r="O712" t="e">
        <f>IF($J712&gt;MAX('Match Log'!$A$4:$A$1510),NA(),IFERROR(LOOKUP(2,1/(('Match Log'!$D$4:$D$1510=$O$24)*('Match Log'!$A$4:$A$1510&lt;=$J712)),'Match Log'!$N$4:$N$1510),NA()))</f>
        <v>#N/A</v>
      </c>
      <c r="P712" t="e">
        <f>IF($J712&gt;MAX('Match Log'!$A$4:$A$1510),NA(),IFERROR(LOOKUP(2,1/(('Match Log'!$D$4:$D$1510=$P$24)*('Match Log'!$A$4:$A$1510&lt;=$J712)),'Match Log'!$N$4:$N$1510),NA()))</f>
        <v>#N/A</v>
      </c>
      <c r="Q712" t="e">
        <f>IF($J712&gt;MAX('Match Log'!$A$4:$A$1510),NA(),IFERROR(LOOKUP(2,1/(('Match Log'!$D$4:$D$1510=$Q$24)*('Match Log'!$A$4:$A$1510&lt;=$J712)),'Match Log'!$N$4:$N$1510),NA()))</f>
        <v>#N/A</v>
      </c>
      <c r="R712" t="e">
        <f>IF($J712&gt;MAX('Match Log'!$A$4:$A$1510),NA(),IFERROR(LOOKUP(2,1/(('Match Log'!$D$4:$D$1510=$R$24)*('Match Log'!$A$4:$A$1510&lt;=$J712)),'Match Log'!$N$4:$N$1510),NA()))</f>
        <v>#N/A</v>
      </c>
      <c r="S712" t="e">
        <f>IF($J712&gt;MAX('Match Log'!$A$4:$A$1510),NA(),IFERROR(LOOKUP(2,1/(('Match Log'!$D$4:$D$1510=$S$24)*('Match Log'!$A$4:$A$1510&lt;=$J712)),'Match Log'!$N$4:$N$1510),NA()))</f>
        <v>#N/A</v>
      </c>
      <c r="T712" t="e">
        <f>IF($J712&gt;MAX('Match Log'!$A$4:$A$1510),NA(),IFERROR(LOOKUP(2,1/(('Match Log'!$D$4:$D$1510=$T$24)*('Match Log'!$A$4:$A$1510&lt;=$J712)),'Match Log'!$N$4:$N$1510),NA()))</f>
        <v>#N/A</v>
      </c>
      <c r="U712" t="e">
        <f>IF($J712&gt;MAX('Match Log'!$A$4:$A$1510),NA(),IFERROR(LOOKUP(2,1/(('Match Log'!$D$4:$D$1510=$U$24)*('Match Log'!$A$4:$A$1510&lt;=$J712)),'Match Log'!$N$4:$N$1510),NA()))</f>
        <v>#N/A</v>
      </c>
      <c r="V712" t="e">
        <f>IF($J712&gt;MAX('Match Log'!$A$4:$A$1510),NA(),IFERROR(LOOKUP(2,1/(('Match Log'!$D$4:$D$1510=$V$24)*('Match Log'!$A$4:$A$1510&lt;=$J712)),'Match Log'!$N$4:$N$1510),NA()))</f>
        <v>#N/A</v>
      </c>
      <c r="W712" t="e">
        <f>IF($J712&gt;MAX('Match Log'!$A$4:$A$1510),NA(),IFERROR(LOOKUP(2,1/(('Match Log'!$D$4:$D$1510=$W$24)*('Match Log'!$A$4:$A$1510&lt;=$J712)),'Match Log'!$N$4:$N$1510),NA()))</f>
        <v>#N/A</v>
      </c>
      <c r="X712" t="e">
        <f>IF($J712&gt;MAX('Match Log'!$A$4:$A$1510),NA(),IFERROR(LOOKUP(2,1/(('Match Log'!$D$4:$D$1510=$X$24)*('Match Log'!$A$4:$A$1510&lt;=$J712)),'Match Log'!$N$4:$N$1510),NA()))</f>
        <v>#N/A</v>
      </c>
      <c r="Y712" t="str">
        <f t="shared" ca="1" si="40"/>
        <v/>
      </c>
    </row>
    <row r="713" spans="1:25" x14ac:dyDescent="0.2">
      <c r="A713">
        <v>689</v>
      </c>
      <c r="B713" t="str">
        <f>IFERROR(INDEX('Match Log'!$B$4:$B$1510,MATCH($A713,'Match Log'!$A$4:$A$1510,0)),"")</f>
        <v/>
      </c>
      <c r="C713" t="str">
        <f>IFERROR(INDEX('Match Log'!$C$4:$C$1510,MATCH($A713,'Match Log'!$A$4:$A$1510,0)),"")</f>
        <v/>
      </c>
      <c r="D713" t="str">
        <f t="array" ref="D713">IFERROR(_xlfn.TEXTJOIN(" + ",TRUE(),IF(('Match Log'!$A$4:$A$1510=$A713)*('Match Log'!$E$4:$E$1510="Win"),'Match Log'!$D$4:$D$1510,"")),IFERROR(LOOKUP(2,1/(('Match Log'!$A$4:$A$1510=$A713)*('Match Log'!$E$4:$E$1510="Win")),'Match Log'!$D$4:$D$1510),""))</f>
        <v/>
      </c>
      <c r="E713" t="str">
        <f>IFERROR(INDEX('Match Log'!$F$4:$F$1510,MATCH($A713,'Match Log'!$A$4:$A$1510,0)),"")</f>
        <v/>
      </c>
      <c r="F713">
        <f>IFERROR(SUMIFS('Match Log'!$I$4:$I$1510,'Match Log'!$A$4:$A$1510,$A713,'Match Log'!$E$4:$E$1510,"Win"),"")</f>
        <v>0</v>
      </c>
      <c r="G713" t="str">
        <f t="shared" si="38"/>
        <v/>
      </c>
      <c r="H713" t="str">
        <f t="array" ref="H713">IFERROR(IF(COUNTIFS('Match Log'!$A$4:$A$1510,$A713,'Match Log'!$E$4:$E$1510,"Win")&gt;1,_xlfn.TEXTJOIN(" + ",TRUE(),IF(('Match Log'!$A$4:$A$1510=$A713)*('Match Log'!$E$4:$E$1510="Loss"),'Match Log'!$D$4:$D$1510,"")),IF($E713=2,LOOKUP(2,1/(('Match Log'!$A$4:$A$1510=$A713)*('Match Log'!$E$4:$E$1510="Loss")),'Match Log'!$D$4:$D$1510),"the field")),"")</f>
        <v>the field</v>
      </c>
      <c r="I713" t="str">
        <f t="shared" si="39"/>
        <v/>
      </c>
      <c r="J713">
        <v>689</v>
      </c>
      <c r="K713" t="e">
        <f>IF($J713&gt;MAX('Match Log'!$A$4:$A$1510),NA(),IFERROR(LOOKUP(2,1/(('Match Log'!$D$4:$D$1510=$K$24)*('Match Log'!$A$4:$A$1510&lt;=$J713)),'Match Log'!$N$4:$N$1510),NA()))</f>
        <v>#N/A</v>
      </c>
      <c r="L713" t="e">
        <f>IF($J713&gt;MAX('Match Log'!$A$4:$A$1510),NA(),IFERROR(LOOKUP(2,1/(('Match Log'!$D$4:$D$1510=$L$24)*('Match Log'!$A$4:$A$1510&lt;=$J713)),'Match Log'!$N$4:$N$1510),NA()))</f>
        <v>#N/A</v>
      </c>
      <c r="M713" t="e">
        <f>IF($J713&gt;MAX('Match Log'!$A$4:$A$1510),NA(),IFERROR(LOOKUP(2,1/(('Match Log'!$D$4:$D$1510=$M$24)*('Match Log'!$A$4:$A$1510&lt;=$J713)),'Match Log'!$N$4:$N$1510),NA()))</f>
        <v>#N/A</v>
      </c>
      <c r="N713" t="e">
        <f>IF($J713&gt;MAX('Match Log'!$A$4:$A$1510),NA(),IFERROR(LOOKUP(2,1/(('Match Log'!$D$4:$D$1510=$N$24)*('Match Log'!$A$4:$A$1510&lt;=$J713)),'Match Log'!$N$4:$N$1510),NA()))</f>
        <v>#N/A</v>
      </c>
      <c r="O713" t="e">
        <f>IF($J713&gt;MAX('Match Log'!$A$4:$A$1510),NA(),IFERROR(LOOKUP(2,1/(('Match Log'!$D$4:$D$1510=$O$24)*('Match Log'!$A$4:$A$1510&lt;=$J713)),'Match Log'!$N$4:$N$1510),NA()))</f>
        <v>#N/A</v>
      </c>
      <c r="P713" t="e">
        <f>IF($J713&gt;MAX('Match Log'!$A$4:$A$1510),NA(),IFERROR(LOOKUP(2,1/(('Match Log'!$D$4:$D$1510=$P$24)*('Match Log'!$A$4:$A$1510&lt;=$J713)),'Match Log'!$N$4:$N$1510),NA()))</f>
        <v>#N/A</v>
      </c>
      <c r="Q713" t="e">
        <f>IF($J713&gt;MAX('Match Log'!$A$4:$A$1510),NA(),IFERROR(LOOKUP(2,1/(('Match Log'!$D$4:$D$1510=$Q$24)*('Match Log'!$A$4:$A$1510&lt;=$J713)),'Match Log'!$N$4:$N$1510),NA()))</f>
        <v>#N/A</v>
      </c>
      <c r="R713" t="e">
        <f>IF($J713&gt;MAX('Match Log'!$A$4:$A$1510),NA(),IFERROR(LOOKUP(2,1/(('Match Log'!$D$4:$D$1510=$R$24)*('Match Log'!$A$4:$A$1510&lt;=$J713)),'Match Log'!$N$4:$N$1510),NA()))</f>
        <v>#N/A</v>
      </c>
      <c r="S713" t="e">
        <f>IF($J713&gt;MAX('Match Log'!$A$4:$A$1510),NA(),IFERROR(LOOKUP(2,1/(('Match Log'!$D$4:$D$1510=$S$24)*('Match Log'!$A$4:$A$1510&lt;=$J713)),'Match Log'!$N$4:$N$1510),NA()))</f>
        <v>#N/A</v>
      </c>
      <c r="T713" t="e">
        <f>IF($J713&gt;MAX('Match Log'!$A$4:$A$1510),NA(),IFERROR(LOOKUP(2,1/(('Match Log'!$D$4:$D$1510=$T$24)*('Match Log'!$A$4:$A$1510&lt;=$J713)),'Match Log'!$N$4:$N$1510),NA()))</f>
        <v>#N/A</v>
      </c>
      <c r="U713" t="e">
        <f>IF($J713&gt;MAX('Match Log'!$A$4:$A$1510),NA(),IFERROR(LOOKUP(2,1/(('Match Log'!$D$4:$D$1510=$U$24)*('Match Log'!$A$4:$A$1510&lt;=$J713)),'Match Log'!$N$4:$N$1510),NA()))</f>
        <v>#N/A</v>
      </c>
      <c r="V713" t="e">
        <f>IF($J713&gt;MAX('Match Log'!$A$4:$A$1510),NA(),IFERROR(LOOKUP(2,1/(('Match Log'!$D$4:$D$1510=$V$24)*('Match Log'!$A$4:$A$1510&lt;=$J713)),'Match Log'!$N$4:$N$1510),NA()))</f>
        <v>#N/A</v>
      </c>
      <c r="W713" t="e">
        <f>IF($J713&gt;MAX('Match Log'!$A$4:$A$1510),NA(),IFERROR(LOOKUP(2,1/(('Match Log'!$D$4:$D$1510=$W$24)*('Match Log'!$A$4:$A$1510&lt;=$J713)),'Match Log'!$N$4:$N$1510),NA()))</f>
        <v>#N/A</v>
      </c>
      <c r="X713" t="e">
        <f>IF($J713&gt;MAX('Match Log'!$A$4:$A$1510),NA(),IFERROR(LOOKUP(2,1/(('Match Log'!$D$4:$D$1510=$X$24)*('Match Log'!$A$4:$A$1510&lt;=$J713)),'Match Log'!$N$4:$N$1510),NA()))</f>
        <v>#N/A</v>
      </c>
      <c r="Y713" t="str">
        <f t="shared" ca="1" si="40"/>
        <v/>
      </c>
    </row>
    <row r="714" spans="1:25" x14ac:dyDescent="0.2">
      <c r="A714">
        <v>690</v>
      </c>
      <c r="B714" t="str">
        <f>IFERROR(INDEX('Match Log'!$B$4:$B$1510,MATCH($A714,'Match Log'!$A$4:$A$1510,0)),"")</f>
        <v/>
      </c>
      <c r="C714" t="str">
        <f>IFERROR(INDEX('Match Log'!$C$4:$C$1510,MATCH($A714,'Match Log'!$A$4:$A$1510,0)),"")</f>
        <v/>
      </c>
      <c r="D714" t="str">
        <f t="array" ref="D714">IFERROR(_xlfn.TEXTJOIN(" + ",TRUE(),IF(('Match Log'!$A$4:$A$1510=$A714)*('Match Log'!$E$4:$E$1510="Win"),'Match Log'!$D$4:$D$1510,"")),IFERROR(LOOKUP(2,1/(('Match Log'!$A$4:$A$1510=$A714)*('Match Log'!$E$4:$E$1510="Win")),'Match Log'!$D$4:$D$1510),""))</f>
        <v/>
      </c>
      <c r="E714" t="str">
        <f>IFERROR(INDEX('Match Log'!$F$4:$F$1510,MATCH($A714,'Match Log'!$A$4:$A$1510,0)),"")</f>
        <v/>
      </c>
      <c r="F714">
        <f>IFERROR(SUMIFS('Match Log'!$I$4:$I$1510,'Match Log'!$A$4:$A$1510,$A714,'Match Log'!$E$4:$E$1510,"Win"),"")</f>
        <v>0</v>
      </c>
      <c r="G714" t="str">
        <f t="shared" si="38"/>
        <v/>
      </c>
      <c r="H714" t="str">
        <f t="array" ref="H714">IFERROR(IF(COUNTIFS('Match Log'!$A$4:$A$1510,$A714,'Match Log'!$E$4:$E$1510,"Win")&gt;1,_xlfn.TEXTJOIN(" + ",TRUE(),IF(('Match Log'!$A$4:$A$1510=$A714)*('Match Log'!$E$4:$E$1510="Loss"),'Match Log'!$D$4:$D$1510,"")),IF($E714=2,LOOKUP(2,1/(('Match Log'!$A$4:$A$1510=$A714)*('Match Log'!$E$4:$E$1510="Loss")),'Match Log'!$D$4:$D$1510),"the field")),"")</f>
        <v>the field</v>
      </c>
      <c r="I714" t="str">
        <f t="shared" si="39"/>
        <v/>
      </c>
      <c r="J714">
        <v>690</v>
      </c>
      <c r="K714" t="e">
        <f>IF($J714&gt;MAX('Match Log'!$A$4:$A$1510),NA(),IFERROR(LOOKUP(2,1/(('Match Log'!$D$4:$D$1510=$K$24)*('Match Log'!$A$4:$A$1510&lt;=$J714)),'Match Log'!$N$4:$N$1510),NA()))</f>
        <v>#N/A</v>
      </c>
      <c r="L714" t="e">
        <f>IF($J714&gt;MAX('Match Log'!$A$4:$A$1510),NA(),IFERROR(LOOKUP(2,1/(('Match Log'!$D$4:$D$1510=$L$24)*('Match Log'!$A$4:$A$1510&lt;=$J714)),'Match Log'!$N$4:$N$1510),NA()))</f>
        <v>#N/A</v>
      </c>
      <c r="M714" t="e">
        <f>IF($J714&gt;MAX('Match Log'!$A$4:$A$1510),NA(),IFERROR(LOOKUP(2,1/(('Match Log'!$D$4:$D$1510=$M$24)*('Match Log'!$A$4:$A$1510&lt;=$J714)),'Match Log'!$N$4:$N$1510),NA()))</f>
        <v>#N/A</v>
      </c>
      <c r="N714" t="e">
        <f>IF($J714&gt;MAX('Match Log'!$A$4:$A$1510),NA(),IFERROR(LOOKUP(2,1/(('Match Log'!$D$4:$D$1510=$N$24)*('Match Log'!$A$4:$A$1510&lt;=$J714)),'Match Log'!$N$4:$N$1510),NA()))</f>
        <v>#N/A</v>
      </c>
      <c r="O714" t="e">
        <f>IF($J714&gt;MAX('Match Log'!$A$4:$A$1510),NA(),IFERROR(LOOKUP(2,1/(('Match Log'!$D$4:$D$1510=$O$24)*('Match Log'!$A$4:$A$1510&lt;=$J714)),'Match Log'!$N$4:$N$1510),NA()))</f>
        <v>#N/A</v>
      </c>
      <c r="P714" t="e">
        <f>IF($J714&gt;MAX('Match Log'!$A$4:$A$1510),NA(),IFERROR(LOOKUP(2,1/(('Match Log'!$D$4:$D$1510=$P$24)*('Match Log'!$A$4:$A$1510&lt;=$J714)),'Match Log'!$N$4:$N$1510),NA()))</f>
        <v>#N/A</v>
      </c>
      <c r="Q714" t="e">
        <f>IF($J714&gt;MAX('Match Log'!$A$4:$A$1510),NA(),IFERROR(LOOKUP(2,1/(('Match Log'!$D$4:$D$1510=$Q$24)*('Match Log'!$A$4:$A$1510&lt;=$J714)),'Match Log'!$N$4:$N$1510),NA()))</f>
        <v>#N/A</v>
      </c>
      <c r="R714" t="e">
        <f>IF($J714&gt;MAX('Match Log'!$A$4:$A$1510),NA(),IFERROR(LOOKUP(2,1/(('Match Log'!$D$4:$D$1510=$R$24)*('Match Log'!$A$4:$A$1510&lt;=$J714)),'Match Log'!$N$4:$N$1510),NA()))</f>
        <v>#N/A</v>
      </c>
      <c r="S714" t="e">
        <f>IF($J714&gt;MAX('Match Log'!$A$4:$A$1510),NA(),IFERROR(LOOKUP(2,1/(('Match Log'!$D$4:$D$1510=$S$24)*('Match Log'!$A$4:$A$1510&lt;=$J714)),'Match Log'!$N$4:$N$1510),NA()))</f>
        <v>#N/A</v>
      </c>
      <c r="T714" t="e">
        <f>IF($J714&gt;MAX('Match Log'!$A$4:$A$1510),NA(),IFERROR(LOOKUP(2,1/(('Match Log'!$D$4:$D$1510=$T$24)*('Match Log'!$A$4:$A$1510&lt;=$J714)),'Match Log'!$N$4:$N$1510),NA()))</f>
        <v>#N/A</v>
      </c>
      <c r="U714" t="e">
        <f>IF($J714&gt;MAX('Match Log'!$A$4:$A$1510),NA(),IFERROR(LOOKUP(2,1/(('Match Log'!$D$4:$D$1510=$U$24)*('Match Log'!$A$4:$A$1510&lt;=$J714)),'Match Log'!$N$4:$N$1510),NA()))</f>
        <v>#N/A</v>
      </c>
      <c r="V714" t="e">
        <f>IF($J714&gt;MAX('Match Log'!$A$4:$A$1510),NA(),IFERROR(LOOKUP(2,1/(('Match Log'!$D$4:$D$1510=$V$24)*('Match Log'!$A$4:$A$1510&lt;=$J714)),'Match Log'!$N$4:$N$1510),NA()))</f>
        <v>#N/A</v>
      </c>
      <c r="W714" t="e">
        <f>IF($J714&gt;MAX('Match Log'!$A$4:$A$1510),NA(),IFERROR(LOOKUP(2,1/(('Match Log'!$D$4:$D$1510=$W$24)*('Match Log'!$A$4:$A$1510&lt;=$J714)),'Match Log'!$N$4:$N$1510),NA()))</f>
        <v>#N/A</v>
      </c>
      <c r="X714" t="e">
        <f>IF($J714&gt;MAX('Match Log'!$A$4:$A$1510),NA(),IFERROR(LOOKUP(2,1/(('Match Log'!$D$4:$D$1510=$X$24)*('Match Log'!$A$4:$A$1510&lt;=$J714)),'Match Log'!$N$4:$N$1510),NA()))</f>
        <v>#N/A</v>
      </c>
      <c r="Y714" t="str">
        <f t="shared" ca="1" si="40"/>
        <v/>
      </c>
    </row>
    <row r="715" spans="1:25" x14ac:dyDescent="0.2">
      <c r="A715">
        <v>691</v>
      </c>
      <c r="B715" t="str">
        <f>IFERROR(INDEX('Match Log'!$B$4:$B$1510,MATCH($A715,'Match Log'!$A$4:$A$1510,0)),"")</f>
        <v/>
      </c>
      <c r="C715" t="str">
        <f>IFERROR(INDEX('Match Log'!$C$4:$C$1510,MATCH($A715,'Match Log'!$A$4:$A$1510,0)),"")</f>
        <v/>
      </c>
      <c r="D715" t="str">
        <f t="array" ref="D715">IFERROR(_xlfn.TEXTJOIN(" + ",TRUE(),IF(('Match Log'!$A$4:$A$1510=$A715)*('Match Log'!$E$4:$E$1510="Win"),'Match Log'!$D$4:$D$1510,"")),IFERROR(LOOKUP(2,1/(('Match Log'!$A$4:$A$1510=$A715)*('Match Log'!$E$4:$E$1510="Win")),'Match Log'!$D$4:$D$1510),""))</f>
        <v/>
      </c>
      <c r="E715" t="str">
        <f>IFERROR(INDEX('Match Log'!$F$4:$F$1510,MATCH($A715,'Match Log'!$A$4:$A$1510,0)),"")</f>
        <v/>
      </c>
      <c r="F715">
        <f>IFERROR(SUMIFS('Match Log'!$I$4:$I$1510,'Match Log'!$A$4:$A$1510,$A715,'Match Log'!$E$4:$E$1510,"Win"),"")</f>
        <v>0</v>
      </c>
      <c r="G715" t="str">
        <f t="shared" si="38"/>
        <v/>
      </c>
      <c r="H715" t="str">
        <f t="array" ref="H715">IFERROR(IF(COUNTIFS('Match Log'!$A$4:$A$1510,$A715,'Match Log'!$E$4:$E$1510,"Win")&gt;1,_xlfn.TEXTJOIN(" + ",TRUE(),IF(('Match Log'!$A$4:$A$1510=$A715)*('Match Log'!$E$4:$E$1510="Loss"),'Match Log'!$D$4:$D$1510,"")),IF($E715=2,LOOKUP(2,1/(('Match Log'!$A$4:$A$1510=$A715)*('Match Log'!$E$4:$E$1510="Loss")),'Match Log'!$D$4:$D$1510),"the field")),"")</f>
        <v>the field</v>
      </c>
      <c r="I715" t="str">
        <f t="shared" si="39"/>
        <v/>
      </c>
      <c r="J715">
        <v>691</v>
      </c>
      <c r="K715" t="e">
        <f>IF($J715&gt;MAX('Match Log'!$A$4:$A$1510),NA(),IFERROR(LOOKUP(2,1/(('Match Log'!$D$4:$D$1510=$K$24)*('Match Log'!$A$4:$A$1510&lt;=$J715)),'Match Log'!$N$4:$N$1510),NA()))</f>
        <v>#N/A</v>
      </c>
      <c r="L715" t="e">
        <f>IF($J715&gt;MAX('Match Log'!$A$4:$A$1510),NA(),IFERROR(LOOKUP(2,1/(('Match Log'!$D$4:$D$1510=$L$24)*('Match Log'!$A$4:$A$1510&lt;=$J715)),'Match Log'!$N$4:$N$1510),NA()))</f>
        <v>#N/A</v>
      </c>
      <c r="M715" t="e">
        <f>IF($J715&gt;MAX('Match Log'!$A$4:$A$1510),NA(),IFERROR(LOOKUP(2,1/(('Match Log'!$D$4:$D$1510=$M$24)*('Match Log'!$A$4:$A$1510&lt;=$J715)),'Match Log'!$N$4:$N$1510),NA()))</f>
        <v>#N/A</v>
      </c>
      <c r="N715" t="e">
        <f>IF($J715&gt;MAX('Match Log'!$A$4:$A$1510),NA(),IFERROR(LOOKUP(2,1/(('Match Log'!$D$4:$D$1510=$N$24)*('Match Log'!$A$4:$A$1510&lt;=$J715)),'Match Log'!$N$4:$N$1510),NA()))</f>
        <v>#N/A</v>
      </c>
      <c r="O715" t="e">
        <f>IF($J715&gt;MAX('Match Log'!$A$4:$A$1510),NA(),IFERROR(LOOKUP(2,1/(('Match Log'!$D$4:$D$1510=$O$24)*('Match Log'!$A$4:$A$1510&lt;=$J715)),'Match Log'!$N$4:$N$1510),NA()))</f>
        <v>#N/A</v>
      </c>
      <c r="P715" t="e">
        <f>IF($J715&gt;MAX('Match Log'!$A$4:$A$1510),NA(),IFERROR(LOOKUP(2,1/(('Match Log'!$D$4:$D$1510=$P$24)*('Match Log'!$A$4:$A$1510&lt;=$J715)),'Match Log'!$N$4:$N$1510),NA()))</f>
        <v>#N/A</v>
      </c>
      <c r="Q715" t="e">
        <f>IF($J715&gt;MAX('Match Log'!$A$4:$A$1510),NA(),IFERROR(LOOKUP(2,1/(('Match Log'!$D$4:$D$1510=$Q$24)*('Match Log'!$A$4:$A$1510&lt;=$J715)),'Match Log'!$N$4:$N$1510),NA()))</f>
        <v>#N/A</v>
      </c>
      <c r="R715" t="e">
        <f>IF($J715&gt;MAX('Match Log'!$A$4:$A$1510),NA(),IFERROR(LOOKUP(2,1/(('Match Log'!$D$4:$D$1510=$R$24)*('Match Log'!$A$4:$A$1510&lt;=$J715)),'Match Log'!$N$4:$N$1510),NA()))</f>
        <v>#N/A</v>
      </c>
      <c r="S715" t="e">
        <f>IF($J715&gt;MAX('Match Log'!$A$4:$A$1510),NA(),IFERROR(LOOKUP(2,1/(('Match Log'!$D$4:$D$1510=$S$24)*('Match Log'!$A$4:$A$1510&lt;=$J715)),'Match Log'!$N$4:$N$1510),NA()))</f>
        <v>#N/A</v>
      </c>
      <c r="T715" t="e">
        <f>IF($J715&gt;MAX('Match Log'!$A$4:$A$1510),NA(),IFERROR(LOOKUP(2,1/(('Match Log'!$D$4:$D$1510=$T$24)*('Match Log'!$A$4:$A$1510&lt;=$J715)),'Match Log'!$N$4:$N$1510),NA()))</f>
        <v>#N/A</v>
      </c>
      <c r="U715" t="e">
        <f>IF($J715&gt;MAX('Match Log'!$A$4:$A$1510),NA(),IFERROR(LOOKUP(2,1/(('Match Log'!$D$4:$D$1510=$U$24)*('Match Log'!$A$4:$A$1510&lt;=$J715)),'Match Log'!$N$4:$N$1510),NA()))</f>
        <v>#N/A</v>
      </c>
      <c r="V715" t="e">
        <f>IF($J715&gt;MAX('Match Log'!$A$4:$A$1510),NA(),IFERROR(LOOKUP(2,1/(('Match Log'!$D$4:$D$1510=$V$24)*('Match Log'!$A$4:$A$1510&lt;=$J715)),'Match Log'!$N$4:$N$1510),NA()))</f>
        <v>#N/A</v>
      </c>
      <c r="W715" t="e">
        <f>IF($J715&gt;MAX('Match Log'!$A$4:$A$1510),NA(),IFERROR(LOOKUP(2,1/(('Match Log'!$D$4:$D$1510=$W$24)*('Match Log'!$A$4:$A$1510&lt;=$J715)),'Match Log'!$N$4:$N$1510),NA()))</f>
        <v>#N/A</v>
      </c>
      <c r="X715" t="e">
        <f>IF($J715&gt;MAX('Match Log'!$A$4:$A$1510),NA(),IFERROR(LOOKUP(2,1/(('Match Log'!$D$4:$D$1510=$X$24)*('Match Log'!$A$4:$A$1510&lt;=$J715)),'Match Log'!$N$4:$N$1510),NA()))</f>
        <v>#N/A</v>
      </c>
      <c r="Y715" t="str">
        <f t="shared" ca="1" si="40"/>
        <v/>
      </c>
    </row>
    <row r="716" spans="1:25" x14ac:dyDescent="0.2">
      <c r="A716">
        <v>692</v>
      </c>
      <c r="B716" t="str">
        <f>IFERROR(INDEX('Match Log'!$B$4:$B$1510,MATCH($A716,'Match Log'!$A$4:$A$1510,0)),"")</f>
        <v/>
      </c>
      <c r="C716" t="str">
        <f>IFERROR(INDEX('Match Log'!$C$4:$C$1510,MATCH($A716,'Match Log'!$A$4:$A$1510,0)),"")</f>
        <v/>
      </c>
      <c r="D716" t="str">
        <f t="array" ref="D716">IFERROR(_xlfn.TEXTJOIN(" + ",TRUE(),IF(('Match Log'!$A$4:$A$1510=$A716)*('Match Log'!$E$4:$E$1510="Win"),'Match Log'!$D$4:$D$1510,"")),IFERROR(LOOKUP(2,1/(('Match Log'!$A$4:$A$1510=$A716)*('Match Log'!$E$4:$E$1510="Win")),'Match Log'!$D$4:$D$1510),""))</f>
        <v/>
      </c>
      <c r="E716" t="str">
        <f>IFERROR(INDEX('Match Log'!$F$4:$F$1510,MATCH($A716,'Match Log'!$A$4:$A$1510,0)),"")</f>
        <v/>
      </c>
      <c r="F716">
        <f>IFERROR(SUMIFS('Match Log'!$I$4:$I$1510,'Match Log'!$A$4:$A$1510,$A716,'Match Log'!$E$4:$E$1510,"Win"),"")</f>
        <v>0</v>
      </c>
      <c r="G716" t="str">
        <f t="shared" si="38"/>
        <v/>
      </c>
      <c r="H716" t="str">
        <f t="array" ref="H716">IFERROR(IF(COUNTIFS('Match Log'!$A$4:$A$1510,$A716,'Match Log'!$E$4:$E$1510,"Win")&gt;1,_xlfn.TEXTJOIN(" + ",TRUE(),IF(('Match Log'!$A$4:$A$1510=$A716)*('Match Log'!$E$4:$E$1510="Loss"),'Match Log'!$D$4:$D$1510,"")),IF($E716=2,LOOKUP(2,1/(('Match Log'!$A$4:$A$1510=$A716)*('Match Log'!$E$4:$E$1510="Loss")),'Match Log'!$D$4:$D$1510),"the field")),"")</f>
        <v>the field</v>
      </c>
      <c r="I716" t="str">
        <f t="shared" si="39"/>
        <v/>
      </c>
      <c r="J716">
        <v>692</v>
      </c>
      <c r="K716" t="e">
        <f>IF($J716&gt;MAX('Match Log'!$A$4:$A$1510),NA(),IFERROR(LOOKUP(2,1/(('Match Log'!$D$4:$D$1510=$K$24)*('Match Log'!$A$4:$A$1510&lt;=$J716)),'Match Log'!$N$4:$N$1510),NA()))</f>
        <v>#N/A</v>
      </c>
      <c r="L716" t="e">
        <f>IF($J716&gt;MAX('Match Log'!$A$4:$A$1510),NA(),IFERROR(LOOKUP(2,1/(('Match Log'!$D$4:$D$1510=$L$24)*('Match Log'!$A$4:$A$1510&lt;=$J716)),'Match Log'!$N$4:$N$1510),NA()))</f>
        <v>#N/A</v>
      </c>
      <c r="M716" t="e">
        <f>IF($J716&gt;MAX('Match Log'!$A$4:$A$1510),NA(),IFERROR(LOOKUP(2,1/(('Match Log'!$D$4:$D$1510=$M$24)*('Match Log'!$A$4:$A$1510&lt;=$J716)),'Match Log'!$N$4:$N$1510),NA()))</f>
        <v>#N/A</v>
      </c>
      <c r="N716" t="e">
        <f>IF($J716&gt;MAX('Match Log'!$A$4:$A$1510),NA(),IFERROR(LOOKUP(2,1/(('Match Log'!$D$4:$D$1510=$N$24)*('Match Log'!$A$4:$A$1510&lt;=$J716)),'Match Log'!$N$4:$N$1510),NA()))</f>
        <v>#N/A</v>
      </c>
      <c r="O716" t="e">
        <f>IF($J716&gt;MAX('Match Log'!$A$4:$A$1510),NA(),IFERROR(LOOKUP(2,1/(('Match Log'!$D$4:$D$1510=$O$24)*('Match Log'!$A$4:$A$1510&lt;=$J716)),'Match Log'!$N$4:$N$1510),NA()))</f>
        <v>#N/A</v>
      </c>
      <c r="P716" t="e">
        <f>IF($J716&gt;MAX('Match Log'!$A$4:$A$1510),NA(),IFERROR(LOOKUP(2,1/(('Match Log'!$D$4:$D$1510=$P$24)*('Match Log'!$A$4:$A$1510&lt;=$J716)),'Match Log'!$N$4:$N$1510),NA()))</f>
        <v>#N/A</v>
      </c>
      <c r="Q716" t="e">
        <f>IF($J716&gt;MAX('Match Log'!$A$4:$A$1510),NA(),IFERROR(LOOKUP(2,1/(('Match Log'!$D$4:$D$1510=$Q$24)*('Match Log'!$A$4:$A$1510&lt;=$J716)),'Match Log'!$N$4:$N$1510),NA()))</f>
        <v>#N/A</v>
      </c>
      <c r="R716" t="e">
        <f>IF($J716&gt;MAX('Match Log'!$A$4:$A$1510),NA(),IFERROR(LOOKUP(2,1/(('Match Log'!$D$4:$D$1510=$R$24)*('Match Log'!$A$4:$A$1510&lt;=$J716)),'Match Log'!$N$4:$N$1510),NA()))</f>
        <v>#N/A</v>
      </c>
      <c r="S716" t="e">
        <f>IF($J716&gt;MAX('Match Log'!$A$4:$A$1510),NA(),IFERROR(LOOKUP(2,1/(('Match Log'!$D$4:$D$1510=$S$24)*('Match Log'!$A$4:$A$1510&lt;=$J716)),'Match Log'!$N$4:$N$1510),NA()))</f>
        <v>#N/A</v>
      </c>
      <c r="T716" t="e">
        <f>IF($J716&gt;MAX('Match Log'!$A$4:$A$1510),NA(),IFERROR(LOOKUP(2,1/(('Match Log'!$D$4:$D$1510=$T$24)*('Match Log'!$A$4:$A$1510&lt;=$J716)),'Match Log'!$N$4:$N$1510),NA()))</f>
        <v>#N/A</v>
      </c>
      <c r="U716" t="e">
        <f>IF($J716&gt;MAX('Match Log'!$A$4:$A$1510),NA(),IFERROR(LOOKUP(2,1/(('Match Log'!$D$4:$D$1510=$U$24)*('Match Log'!$A$4:$A$1510&lt;=$J716)),'Match Log'!$N$4:$N$1510),NA()))</f>
        <v>#N/A</v>
      </c>
      <c r="V716" t="e">
        <f>IF($J716&gt;MAX('Match Log'!$A$4:$A$1510),NA(),IFERROR(LOOKUP(2,1/(('Match Log'!$D$4:$D$1510=$V$24)*('Match Log'!$A$4:$A$1510&lt;=$J716)),'Match Log'!$N$4:$N$1510),NA()))</f>
        <v>#N/A</v>
      </c>
      <c r="W716" t="e">
        <f>IF($J716&gt;MAX('Match Log'!$A$4:$A$1510),NA(),IFERROR(LOOKUP(2,1/(('Match Log'!$D$4:$D$1510=$W$24)*('Match Log'!$A$4:$A$1510&lt;=$J716)),'Match Log'!$N$4:$N$1510),NA()))</f>
        <v>#N/A</v>
      </c>
      <c r="X716" t="e">
        <f>IF($J716&gt;MAX('Match Log'!$A$4:$A$1510),NA(),IFERROR(LOOKUP(2,1/(('Match Log'!$D$4:$D$1510=$X$24)*('Match Log'!$A$4:$A$1510&lt;=$J716)),'Match Log'!$N$4:$N$1510),NA()))</f>
        <v>#N/A</v>
      </c>
      <c r="Y716" t="str">
        <f t="shared" ca="1" si="40"/>
        <v/>
      </c>
    </row>
    <row r="717" spans="1:25" x14ac:dyDescent="0.2">
      <c r="A717">
        <v>693</v>
      </c>
      <c r="B717" t="str">
        <f>IFERROR(INDEX('Match Log'!$B$4:$B$1510,MATCH($A717,'Match Log'!$A$4:$A$1510,0)),"")</f>
        <v/>
      </c>
      <c r="C717" t="str">
        <f>IFERROR(INDEX('Match Log'!$C$4:$C$1510,MATCH($A717,'Match Log'!$A$4:$A$1510,0)),"")</f>
        <v/>
      </c>
      <c r="D717" t="str">
        <f t="array" ref="D717">IFERROR(_xlfn.TEXTJOIN(" + ",TRUE(),IF(('Match Log'!$A$4:$A$1510=$A717)*('Match Log'!$E$4:$E$1510="Win"),'Match Log'!$D$4:$D$1510,"")),IFERROR(LOOKUP(2,1/(('Match Log'!$A$4:$A$1510=$A717)*('Match Log'!$E$4:$E$1510="Win")),'Match Log'!$D$4:$D$1510),""))</f>
        <v/>
      </c>
      <c r="E717" t="str">
        <f>IFERROR(INDEX('Match Log'!$F$4:$F$1510,MATCH($A717,'Match Log'!$A$4:$A$1510,0)),"")</f>
        <v/>
      </c>
      <c r="F717">
        <f>IFERROR(SUMIFS('Match Log'!$I$4:$I$1510,'Match Log'!$A$4:$A$1510,$A717,'Match Log'!$E$4:$E$1510,"Win"),"")</f>
        <v>0</v>
      </c>
      <c r="G717" t="str">
        <f t="shared" si="38"/>
        <v/>
      </c>
      <c r="H717" t="str">
        <f t="array" ref="H717">IFERROR(IF(COUNTIFS('Match Log'!$A$4:$A$1510,$A717,'Match Log'!$E$4:$E$1510,"Win")&gt;1,_xlfn.TEXTJOIN(" + ",TRUE(),IF(('Match Log'!$A$4:$A$1510=$A717)*('Match Log'!$E$4:$E$1510="Loss"),'Match Log'!$D$4:$D$1510,"")),IF($E717=2,LOOKUP(2,1/(('Match Log'!$A$4:$A$1510=$A717)*('Match Log'!$E$4:$E$1510="Loss")),'Match Log'!$D$4:$D$1510),"the field")),"")</f>
        <v>the field</v>
      </c>
      <c r="I717" t="str">
        <f t="shared" si="39"/>
        <v/>
      </c>
      <c r="J717">
        <v>693</v>
      </c>
      <c r="K717" t="e">
        <f>IF($J717&gt;MAX('Match Log'!$A$4:$A$1510),NA(),IFERROR(LOOKUP(2,1/(('Match Log'!$D$4:$D$1510=$K$24)*('Match Log'!$A$4:$A$1510&lt;=$J717)),'Match Log'!$N$4:$N$1510),NA()))</f>
        <v>#N/A</v>
      </c>
      <c r="L717" t="e">
        <f>IF($J717&gt;MAX('Match Log'!$A$4:$A$1510),NA(),IFERROR(LOOKUP(2,1/(('Match Log'!$D$4:$D$1510=$L$24)*('Match Log'!$A$4:$A$1510&lt;=$J717)),'Match Log'!$N$4:$N$1510),NA()))</f>
        <v>#N/A</v>
      </c>
      <c r="M717" t="e">
        <f>IF($J717&gt;MAX('Match Log'!$A$4:$A$1510),NA(),IFERROR(LOOKUP(2,1/(('Match Log'!$D$4:$D$1510=$M$24)*('Match Log'!$A$4:$A$1510&lt;=$J717)),'Match Log'!$N$4:$N$1510),NA()))</f>
        <v>#N/A</v>
      </c>
      <c r="N717" t="e">
        <f>IF($J717&gt;MAX('Match Log'!$A$4:$A$1510),NA(),IFERROR(LOOKUP(2,1/(('Match Log'!$D$4:$D$1510=$N$24)*('Match Log'!$A$4:$A$1510&lt;=$J717)),'Match Log'!$N$4:$N$1510),NA()))</f>
        <v>#N/A</v>
      </c>
      <c r="O717" t="e">
        <f>IF($J717&gt;MAX('Match Log'!$A$4:$A$1510),NA(),IFERROR(LOOKUP(2,1/(('Match Log'!$D$4:$D$1510=$O$24)*('Match Log'!$A$4:$A$1510&lt;=$J717)),'Match Log'!$N$4:$N$1510),NA()))</f>
        <v>#N/A</v>
      </c>
      <c r="P717" t="e">
        <f>IF($J717&gt;MAX('Match Log'!$A$4:$A$1510),NA(),IFERROR(LOOKUP(2,1/(('Match Log'!$D$4:$D$1510=$P$24)*('Match Log'!$A$4:$A$1510&lt;=$J717)),'Match Log'!$N$4:$N$1510),NA()))</f>
        <v>#N/A</v>
      </c>
      <c r="Q717" t="e">
        <f>IF($J717&gt;MAX('Match Log'!$A$4:$A$1510),NA(),IFERROR(LOOKUP(2,1/(('Match Log'!$D$4:$D$1510=$Q$24)*('Match Log'!$A$4:$A$1510&lt;=$J717)),'Match Log'!$N$4:$N$1510),NA()))</f>
        <v>#N/A</v>
      </c>
      <c r="R717" t="e">
        <f>IF($J717&gt;MAX('Match Log'!$A$4:$A$1510),NA(),IFERROR(LOOKUP(2,1/(('Match Log'!$D$4:$D$1510=$R$24)*('Match Log'!$A$4:$A$1510&lt;=$J717)),'Match Log'!$N$4:$N$1510),NA()))</f>
        <v>#N/A</v>
      </c>
      <c r="S717" t="e">
        <f>IF($J717&gt;MAX('Match Log'!$A$4:$A$1510),NA(),IFERROR(LOOKUP(2,1/(('Match Log'!$D$4:$D$1510=$S$24)*('Match Log'!$A$4:$A$1510&lt;=$J717)),'Match Log'!$N$4:$N$1510),NA()))</f>
        <v>#N/A</v>
      </c>
      <c r="T717" t="e">
        <f>IF($J717&gt;MAX('Match Log'!$A$4:$A$1510),NA(),IFERROR(LOOKUP(2,1/(('Match Log'!$D$4:$D$1510=$T$24)*('Match Log'!$A$4:$A$1510&lt;=$J717)),'Match Log'!$N$4:$N$1510),NA()))</f>
        <v>#N/A</v>
      </c>
      <c r="U717" t="e">
        <f>IF($J717&gt;MAX('Match Log'!$A$4:$A$1510),NA(),IFERROR(LOOKUP(2,1/(('Match Log'!$D$4:$D$1510=$U$24)*('Match Log'!$A$4:$A$1510&lt;=$J717)),'Match Log'!$N$4:$N$1510),NA()))</f>
        <v>#N/A</v>
      </c>
      <c r="V717" t="e">
        <f>IF($J717&gt;MAX('Match Log'!$A$4:$A$1510),NA(),IFERROR(LOOKUP(2,1/(('Match Log'!$D$4:$D$1510=$V$24)*('Match Log'!$A$4:$A$1510&lt;=$J717)),'Match Log'!$N$4:$N$1510),NA()))</f>
        <v>#N/A</v>
      </c>
      <c r="W717" t="e">
        <f>IF($J717&gt;MAX('Match Log'!$A$4:$A$1510),NA(),IFERROR(LOOKUP(2,1/(('Match Log'!$D$4:$D$1510=$W$24)*('Match Log'!$A$4:$A$1510&lt;=$J717)),'Match Log'!$N$4:$N$1510),NA()))</f>
        <v>#N/A</v>
      </c>
      <c r="X717" t="e">
        <f>IF($J717&gt;MAX('Match Log'!$A$4:$A$1510),NA(),IFERROR(LOOKUP(2,1/(('Match Log'!$D$4:$D$1510=$X$24)*('Match Log'!$A$4:$A$1510&lt;=$J717)),'Match Log'!$N$4:$N$1510),NA()))</f>
        <v>#N/A</v>
      </c>
      <c r="Y717" t="str">
        <f t="shared" ca="1" si="40"/>
        <v/>
      </c>
    </row>
    <row r="718" spans="1:25" x14ac:dyDescent="0.2">
      <c r="A718">
        <v>694</v>
      </c>
      <c r="B718" t="str">
        <f>IFERROR(INDEX('Match Log'!$B$4:$B$1510,MATCH($A718,'Match Log'!$A$4:$A$1510,0)),"")</f>
        <v/>
      </c>
      <c r="C718" t="str">
        <f>IFERROR(INDEX('Match Log'!$C$4:$C$1510,MATCH($A718,'Match Log'!$A$4:$A$1510,0)),"")</f>
        <v/>
      </c>
      <c r="D718" t="str">
        <f t="array" ref="D718">IFERROR(_xlfn.TEXTJOIN(" + ",TRUE(),IF(('Match Log'!$A$4:$A$1510=$A718)*('Match Log'!$E$4:$E$1510="Win"),'Match Log'!$D$4:$D$1510,"")),IFERROR(LOOKUP(2,1/(('Match Log'!$A$4:$A$1510=$A718)*('Match Log'!$E$4:$E$1510="Win")),'Match Log'!$D$4:$D$1510),""))</f>
        <v/>
      </c>
      <c r="E718" t="str">
        <f>IFERROR(INDEX('Match Log'!$F$4:$F$1510,MATCH($A718,'Match Log'!$A$4:$A$1510,0)),"")</f>
        <v/>
      </c>
      <c r="F718">
        <f>IFERROR(SUMIFS('Match Log'!$I$4:$I$1510,'Match Log'!$A$4:$A$1510,$A718,'Match Log'!$E$4:$E$1510,"Win"),"")</f>
        <v>0</v>
      </c>
      <c r="G718" t="str">
        <f t="shared" si="38"/>
        <v/>
      </c>
      <c r="H718" t="str">
        <f t="array" ref="H718">IFERROR(IF(COUNTIFS('Match Log'!$A$4:$A$1510,$A718,'Match Log'!$E$4:$E$1510,"Win")&gt;1,_xlfn.TEXTJOIN(" + ",TRUE(),IF(('Match Log'!$A$4:$A$1510=$A718)*('Match Log'!$E$4:$E$1510="Loss"),'Match Log'!$D$4:$D$1510,"")),IF($E718=2,LOOKUP(2,1/(('Match Log'!$A$4:$A$1510=$A718)*('Match Log'!$E$4:$E$1510="Loss")),'Match Log'!$D$4:$D$1510),"the field")),"")</f>
        <v>the field</v>
      </c>
      <c r="I718" t="str">
        <f t="shared" si="39"/>
        <v/>
      </c>
      <c r="J718">
        <v>694</v>
      </c>
      <c r="K718" t="e">
        <f>IF($J718&gt;MAX('Match Log'!$A$4:$A$1510),NA(),IFERROR(LOOKUP(2,1/(('Match Log'!$D$4:$D$1510=$K$24)*('Match Log'!$A$4:$A$1510&lt;=$J718)),'Match Log'!$N$4:$N$1510),NA()))</f>
        <v>#N/A</v>
      </c>
      <c r="L718" t="e">
        <f>IF($J718&gt;MAX('Match Log'!$A$4:$A$1510),NA(),IFERROR(LOOKUP(2,1/(('Match Log'!$D$4:$D$1510=$L$24)*('Match Log'!$A$4:$A$1510&lt;=$J718)),'Match Log'!$N$4:$N$1510),NA()))</f>
        <v>#N/A</v>
      </c>
      <c r="M718" t="e">
        <f>IF($J718&gt;MAX('Match Log'!$A$4:$A$1510),NA(),IFERROR(LOOKUP(2,1/(('Match Log'!$D$4:$D$1510=$M$24)*('Match Log'!$A$4:$A$1510&lt;=$J718)),'Match Log'!$N$4:$N$1510),NA()))</f>
        <v>#N/A</v>
      </c>
      <c r="N718" t="e">
        <f>IF($J718&gt;MAX('Match Log'!$A$4:$A$1510),NA(),IFERROR(LOOKUP(2,1/(('Match Log'!$D$4:$D$1510=$N$24)*('Match Log'!$A$4:$A$1510&lt;=$J718)),'Match Log'!$N$4:$N$1510),NA()))</f>
        <v>#N/A</v>
      </c>
      <c r="O718" t="e">
        <f>IF($J718&gt;MAX('Match Log'!$A$4:$A$1510),NA(),IFERROR(LOOKUP(2,1/(('Match Log'!$D$4:$D$1510=$O$24)*('Match Log'!$A$4:$A$1510&lt;=$J718)),'Match Log'!$N$4:$N$1510),NA()))</f>
        <v>#N/A</v>
      </c>
      <c r="P718" t="e">
        <f>IF($J718&gt;MAX('Match Log'!$A$4:$A$1510),NA(),IFERROR(LOOKUP(2,1/(('Match Log'!$D$4:$D$1510=$P$24)*('Match Log'!$A$4:$A$1510&lt;=$J718)),'Match Log'!$N$4:$N$1510),NA()))</f>
        <v>#N/A</v>
      </c>
      <c r="Q718" t="e">
        <f>IF($J718&gt;MAX('Match Log'!$A$4:$A$1510),NA(),IFERROR(LOOKUP(2,1/(('Match Log'!$D$4:$D$1510=$Q$24)*('Match Log'!$A$4:$A$1510&lt;=$J718)),'Match Log'!$N$4:$N$1510),NA()))</f>
        <v>#N/A</v>
      </c>
      <c r="R718" t="e">
        <f>IF($J718&gt;MAX('Match Log'!$A$4:$A$1510),NA(),IFERROR(LOOKUP(2,1/(('Match Log'!$D$4:$D$1510=$R$24)*('Match Log'!$A$4:$A$1510&lt;=$J718)),'Match Log'!$N$4:$N$1510),NA()))</f>
        <v>#N/A</v>
      </c>
      <c r="S718" t="e">
        <f>IF($J718&gt;MAX('Match Log'!$A$4:$A$1510),NA(),IFERROR(LOOKUP(2,1/(('Match Log'!$D$4:$D$1510=$S$24)*('Match Log'!$A$4:$A$1510&lt;=$J718)),'Match Log'!$N$4:$N$1510),NA()))</f>
        <v>#N/A</v>
      </c>
      <c r="T718" t="e">
        <f>IF($J718&gt;MAX('Match Log'!$A$4:$A$1510),NA(),IFERROR(LOOKUP(2,1/(('Match Log'!$D$4:$D$1510=$T$24)*('Match Log'!$A$4:$A$1510&lt;=$J718)),'Match Log'!$N$4:$N$1510),NA()))</f>
        <v>#N/A</v>
      </c>
      <c r="U718" t="e">
        <f>IF($J718&gt;MAX('Match Log'!$A$4:$A$1510),NA(),IFERROR(LOOKUP(2,1/(('Match Log'!$D$4:$D$1510=$U$24)*('Match Log'!$A$4:$A$1510&lt;=$J718)),'Match Log'!$N$4:$N$1510),NA()))</f>
        <v>#N/A</v>
      </c>
      <c r="V718" t="e">
        <f>IF($J718&gt;MAX('Match Log'!$A$4:$A$1510),NA(),IFERROR(LOOKUP(2,1/(('Match Log'!$D$4:$D$1510=$V$24)*('Match Log'!$A$4:$A$1510&lt;=$J718)),'Match Log'!$N$4:$N$1510),NA()))</f>
        <v>#N/A</v>
      </c>
      <c r="W718" t="e">
        <f>IF($J718&gt;MAX('Match Log'!$A$4:$A$1510),NA(),IFERROR(LOOKUP(2,1/(('Match Log'!$D$4:$D$1510=$W$24)*('Match Log'!$A$4:$A$1510&lt;=$J718)),'Match Log'!$N$4:$N$1510),NA()))</f>
        <v>#N/A</v>
      </c>
      <c r="X718" t="e">
        <f>IF($J718&gt;MAX('Match Log'!$A$4:$A$1510),NA(),IFERROR(LOOKUP(2,1/(('Match Log'!$D$4:$D$1510=$X$24)*('Match Log'!$A$4:$A$1510&lt;=$J718)),'Match Log'!$N$4:$N$1510),NA()))</f>
        <v>#N/A</v>
      </c>
      <c r="Y718" t="str">
        <f t="shared" ca="1" si="40"/>
        <v/>
      </c>
    </row>
    <row r="719" spans="1:25" x14ac:dyDescent="0.2">
      <c r="A719">
        <v>695</v>
      </c>
      <c r="B719" t="str">
        <f>IFERROR(INDEX('Match Log'!$B$4:$B$1510,MATCH($A719,'Match Log'!$A$4:$A$1510,0)),"")</f>
        <v/>
      </c>
      <c r="C719" t="str">
        <f>IFERROR(INDEX('Match Log'!$C$4:$C$1510,MATCH($A719,'Match Log'!$A$4:$A$1510,0)),"")</f>
        <v/>
      </c>
      <c r="D719" t="str">
        <f t="array" ref="D719">IFERROR(_xlfn.TEXTJOIN(" + ",TRUE(),IF(('Match Log'!$A$4:$A$1510=$A719)*('Match Log'!$E$4:$E$1510="Win"),'Match Log'!$D$4:$D$1510,"")),IFERROR(LOOKUP(2,1/(('Match Log'!$A$4:$A$1510=$A719)*('Match Log'!$E$4:$E$1510="Win")),'Match Log'!$D$4:$D$1510),""))</f>
        <v/>
      </c>
      <c r="E719" t="str">
        <f>IFERROR(INDEX('Match Log'!$F$4:$F$1510,MATCH($A719,'Match Log'!$A$4:$A$1510,0)),"")</f>
        <v/>
      </c>
      <c r="F719">
        <f>IFERROR(SUMIFS('Match Log'!$I$4:$I$1510,'Match Log'!$A$4:$A$1510,$A719,'Match Log'!$E$4:$E$1510,"Win"),"")</f>
        <v>0</v>
      </c>
      <c r="G719" t="str">
        <f t="shared" si="38"/>
        <v/>
      </c>
      <c r="H719" t="str">
        <f t="array" ref="H719">IFERROR(IF(COUNTIFS('Match Log'!$A$4:$A$1510,$A719,'Match Log'!$E$4:$E$1510,"Win")&gt;1,_xlfn.TEXTJOIN(" + ",TRUE(),IF(('Match Log'!$A$4:$A$1510=$A719)*('Match Log'!$E$4:$E$1510="Loss"),'Match Log'!$D$4:$D$1510,"")),IF($E719=2,LOOKUP(2,1/(('Match Log'!$A$4:$A$1510=$A719)*('Match Log'!$E$4:$E$1510="Loss")),'Match Log'!$D$4:$D$1510),"the field")),"")</f>
        <v>the field</v>
      </c>
      <c r="I719" t="str">
        <f t="shared" si="39"/>
        <v/>
      </c>
      <c r="J719">
        <v>695</v>
      </c>
      <c r="K719" t="e">
        <f>IF($J719&gt;MAX('Match Log'!$A$4:$A$1510),NA(),IFERROR(LOOKUP(2,1/(('Match Log'!$D$4:$D$1510=$K$24)*('Match Log'!$A$4:$A$1510&lt;=$J719)),'Match Log'!$N$4:$N$1510),NA()))</f>
        <v>#N/A</v>
      </c>
      <c r="L719" t="e">
        <f>IF($J719&gt;MAX('Match Log'!$A$4:$A$1510),NA(),IFERROR(LOOKUP(2,1/(('Match Log'!$D$4:$D$1510=$L$24)*('Match Log'!$A$4:$A$1510&lt;=$J719)),'Match Log'!$N$4:$N$1510),NA()))</f>
        <v>#N/A</v>
      </c>
      <c r="M719" t="e">
        <f>IF($J719&gt;MAX('Match Log'!$A$4:$A$1510),NA(),IFERROR(LOOKUP(2,1/(('Match Log'!$D$4:$D$1510=$M$24)*('Match Log'!$A$4:$A$1510&lt;=$J719)),'Match Log'!$N$4:$N$1510),NA()))</f>
        <v>#N/A</v>
      </c>
      <c r="N719" t="e">
        <f>IF($J719&gt;MAX('Match Log'!$A$4:$A$1510),NA(),IFERROR(LOOKUP(2,1/(('Match Log'!$D$4:$D$1510=$N$24)*('Match Log'!$A$4:$A$1510&lt;=$J719)),'Match Log'!$N$4:$N$1510),NA()))</f>
        <v>#N/A</v>
      </c>
      <c r="O719" t="e">
        <f>IF($J719&gt;MAX('Match Log'!$A$4:$A$1510),NA(),IFERROR(LOOKUP(2,1/(('Match Log'!$D$4:$D$1510=$O$24)*('Match Log'!$A$4:$A$1510&lt;=$J719)),'Match Log'!$N$4:$N$1510),NA()))</f>
        <v>#N/A</v>
      </c>
      <c r="P719" t="e">
        <f>IF($J719&gt;MAX('Match Log'!$A$4:$A$1510),NA(),IFERROR(LOOKUP(2,1/(('Match Log'!$D$4:$D$1510=$P$24)*('Match Log'!$A$4:$A$1510&lt;=$J719)),'Match Log'!$N$4:$N$1510),NA()))</f>
        <v>#N/A</v>
      </c>
      <c r="Q719" t="e">
        <f>IF($J719&gt;MAX('Match Log'!$A$4:$A$1510),NA(),IFERROR(LOOKUP(2,1/(('Match Log'!$D$4:$D$1510=$Q$24)*('Match Log'!$A$4:$A$1510&lt;=$J719)),'Match Log'!$N$4:$N$1510),NA()))</f>
        <v>#N/A</v>
      </c>
      <c r="R719" t="e">
        <f>IF($J719&gt;MAX('Match Log'!$A$4:$A$1510),NA(),IFERROR(LOOKUP(2,1/(('Match Log'!$D$4:$D$1510=$R$24)*('Match Log'!$A$4:$A$1510&lt;=$J719)),'Match Log'!$N$4:$N$1510),NA()))</f>
        <v>#N/A</v>
      </c>
      <c r="S719" t="e">
        <f>IF($J719&gt;MAX('Match Log'!$A$4:$A$1510),NA(),IFERROR(LOOKUP(2,1/(('Match Log'!$D$4:$D$1510=$S$24)*('Match Log'!$A$4:$A$1510&lt;=$J719)),'Match Log'!$N$4:$N$1510),NA()))</f>
        <v>#N/A</v>
      </c>
      <c r="T719" t="e">
        <f>IF($J719&gt;MAX('Match Log'!$A$4:$A$1510),NA(),IFERROR(LOOKUP(2,1/(('Match Log'!$D$4:$D$1510=$T$24)*('Match Log'!$A$4:$A$1510&lt;=$J719)),'Match Log'!$N$4:$N$1510),NA()))</f>
        <v>#N/A</v>
      </c>
      <c r="U719" t="e">
        <f>IF($J719&gt;MAX('Match Log'!$A$4:$A$1510),NA(),IFERROR(LOOKUP(2,1/(('Match Log'!$D$4:$D$1510=$U$24)*('Match Log'!$A$4:$A$1510&lt;=$J719)),'Match Log'!$N$4:$N$1510),NA()))</f>
        <v>#N/A</v>
      </c>
      <c r="V719" t="e">
        <f>IF($J719&gt;MAX('Match Log'!$A$4:$A$1510),NA(),IFERROR(LOOKUP(2,1/(('Match Log'!$D$4:$D$1510=$V$24)*('Match Log'!$A$4:$A$1510&lt;=$J719)),'Match Log'!$N$4:$N$1510),NA()))</f>
        <v>#N/A</v>
      </c>
      <c r="W719" t="e">
        <f>IF($J719&gt;MAX('Match Log'!$A$4:$A$1510),NA(),IFERROR(LOOKUP(2,1/(('Match Log'!$D$4:$D$1510=$W$24)*('Match Log'!$A$4:$A$1510&lt;=$J719)),'Match Log'!$N$4:$N$1510),NA()))</f>
        <v>#N/A</v>
      </c>
      <c r="X719" t="e">
        <f>IF($J719&gt;MAX('Match Log'!$A$4:$A$1510),NA(),IFERROR(LOOKUP(2,1/(('Match Log'!$D$4:$D$1510=$X$24)*('Match Log'!$A$4:$A$1510&lt;=$J719)),'Match Log'!$N$4:$N$1510),NA()))</f>
        <v>#N/A</v>
      </c>
      <c r="Y719" t="str">
        <f t="shared" ca="1" si="40"/>
        <v/>
      </c>
    </row>
    <row r="720" spans="1:25" x14ac:dyDescent="0.2">
      <c r="A720">
        <v>696</v>
      </c>
      <c r="B720" t="str">
        <f>IFERROR(INDEX('Match Log'!$B$4:$B$1510,MATCH($A720,'Match Log'!$A$4:$A$1510,0)),"")</f>
        <v/>
      </c>
      <c r="C720" t="str">
        <f>IFERROR(INDEX('Match Log'!$C$4:$C$1510,MATCH($A720,'Match Log'!$A$4:$A$1510,0)),"")</f>
        <v/>
      </c>
      <c r="D720" t="str">
        <f t="array" ref="D720">IFERROR(_xlfn.TEXTJOIN(" + ",TRUE(),IF(('Match Log'!$A$4:$A$1510=$A720)*('Match Log'!$E$4:$E$1510="Win"),'Match Log'!$D$4:$D$1510,"")),IFERROR(LOOKUP(2,1/(('Match Log'!$A$4:$A$1510=$A720)*('Match Log'!$E$4:$E$1510="Win")),'Match Log'!$D$4:$D$1510),""))</f>
        <v/>
      </c>
      <c r="E720" t="str">
        <f>IFERROR(INDEX('Match Log'!$F$4:$F$1510,MATCH($A720,'Match Log'!$A$4:$A$1510,0)),"")</f>
        <v/>
      </c>
      <c r="F720">
        <f>IFERROR(SUMIFS('Match Log'!$I$4:$I$1510,'Match Log'!$A$4:$A$1510,$A720,'Match Log'!$E$4:$E$1510,"Win"),"")</f>
        <v>0</v>
      </c>
      <c r="G720" t="str">
        <f t="shared" si="38"/>
        <v/>
      </c>
      <c r="H720" t="str">
        <f t="array" ref="H720">IFERROR(IF(COUNTIFS('Match Log'!$A$4:$A$1510,$A720,'Match Log'!$E$4:$E$1510,"Win")&gt;1,_xlfn.TEXTJOIN(" + ",TRUE(),IF(('Match Log'!$A$4:$A$1510=$A720)*('Match Log'!$E$4:$E$1510="Loss"),'Match Log'!$D$4:$D$1510,"")),IF($E720=2,LOOKUP(2,1/(('Match Log'!$A$4:$A$1510=$A720)*('Match Log'!$E$4:$E$1510="Loss")),'Match Log'!$D$4:$D$1510),"the field")),"")</f>
        <v>the field</v>
      </c>
      <c r="I720" t="str">
        <f t="shared" si="39"/>
        <v/>
      </c>
      <c r="J720">
        <v>696</v>
      </c>
      <c r="K720" t="e">
        <f>IF($J720&gt;MAX('Match Log'!$A$4:$A$1510),NA(),IFERROR(LOOKUP(2,1/(('Match Log'!$D$4:$D$1510=$K$24)*('Match Log'!$A$4:$A$1510&lt;=$J720)),'Match Log'!$N$4:$N$1510),NA()))</f>
        <v>#N/A</v>
      </c>
      <c r="L720" t="e">
        <f>IF($J720&gt;MAX('Match Log'!$A$4:$A$1510),NA(),IFERROR(LOOKUP(2,1/(('Match Log'!$D$4:$D$1510=$L$24)*('Match Log'!$A$4:$A$1510&lt;=$J720)),'Match Log'!$N$4:$N$1510),NA()))</f>
        <v>#N/A</v>
      </c>
      <c r="M720" t="e">
        <f>IF($J720&gt;MAX('Match Log'!$A$4:$A$1510),NA(),IFERROR(LOOKUP(2,1/(('Match Log'!$D$4:$D$1510=$M$24)*('Match Log'!$A$4:$A$1510&lt;=$J720)),'Match Log'!$N$4:$N$1510),NA()))</f>
        <v>#N/A</v>
      </c>
      <c r="N720" t="e">
        <f>IF($J720&gt;MAX('Match Log'!$A$4:$A$1510),NA(),IFERROR(LOOKUP(2,1/(('Match Log'!$D$4:$D$1510=$N$24)*('Match Log'!$A$4:$A$1510&lt;=$J720)),'Match Log'!$N$4:$N$1510),NA()))</f>
        <v>#N/A</v>
      </c>
      <c r="O720" t="e">
        <f>IF($J720&gt;MAX('Match Log'!$A$4:$A$1510),NA(),IFERROR(LOOKUP(2,1/(('Match Log'!$D$4:$D$1510=$O$24)*('Match Log'!$A$4:$A$1510&lt;=$J720)),'Match Log'!$N$4:$N$1510),NA()))</f>
        <v>#N/A</v>
      </c>
      <c r="P720" t="e">
        <f>IF($J720&gt;MAX('Match Log'!$A$4:$A$1510),NA(),IFERROR(LOOKUP(2,1/(('Match Log'!$D$4:$D$1510=$P$24)*('Match Log'!$A$4:$A$1510&lt;=$J720)),'Match Log'!$N$4:$N$1510),NA()))</f>
        <v>#N/A</v>
      </c>
      <c r="Q720" t="e">
        <f>IF($J720&gt;MAX('Match Log'!$A$4:$A$1510),NA(),IFERROR(LOOKUP(2,1/(('Match Log'!$D$4:$D$1510=$Q$24)*('Match Log'!$A$4:$A$1510&lt;=$J720)),'Match Log'!$N$4:$N$1510),NA()))</f>
        <v>#N/A</v>
      </c>
      <c r="R720" t="e">
        <f>IF($J720&gt;MAX('Match Log'!$A$4:$A$1510),NA(),IFERROR(LOOKUP(2,1/(('Match Log'!$D$4:$D$1510=$R$24)*('Match Log'!$A$4:$A$1510&lt;=$J720)),'Match Log'!$N$4:$N$1510),NA()))</f>
        <v>#N/A</v>
      </c>
      <c r="S720" t="e">
        <f>IF($J720&gt;MAX('Match Log'!$A$4:$A$1510),NA(),IFERROR(LOOKUP(2,1/(('Match Log'!$D$4:$D$1510=$S$24)*('Match Log'!$A$4:$A$1510&lt;=$J720)),'Match Log'!$N$4:$N$1510),NA()))</f>
        <v>#N/A</v>
      </c>
      <c r="T720" t="e">
        <f>IF($J720&gt;MAX('Match Log'!$A$4:$A$1510),NA(),IFERROR(LOOKUP(2,1/(('Match Log'!$D$4:$D$1510=$T$24)*('Match Log'!$A$4:$A$1510&lt;=$J720)),'Match Log'!$N$4:$N$1510),NA()))</f>
        <v>#N/A</v>
      </c>
      <c r="U720" t="e">
        <f>IF($J720&gt;MAX('Match Log'!$A$4:$A$1510),NA(),IFERROR(LOOKUP(2,1/(('Match Log'!$D$4:$D$1510=$U$24)*('Match Log'!$A$4:$A$1510&lt;=$J720)),'Match Log'!$N$4:$N$1510),NA()))</f>
        <v>#N/A</v>
      </c>
      <c r="V720" t="e">
        <f>IF($J720&gt;MAX('Match Log'!$A$4:$A$1510),NA(),IFERROR(LOOKUP(2,1/(('Match Log'!$D$4:$D$1510=$V$24)*('Match Log'!$A$4:$A$1510&lt;=$J720)),'Match Log'!$N$4:$N$1510),NA()))</f>
        <v>#N/A</v>
      </c>
      <c r="W720" t="e">
        <f>IF($J720&gt;MAX('Match Log'!$A$4:$A$1510),NA(),IFERROR(LOOKUP(2,1/(('Match Log'!$D$4:$D$1510=$W$24)*('Match Log'!$A$4:$A$1510&lt;=$J720)),'Match Log'!$N$4:$N$1510),NA()))</f>
        <v>#N/A</v>
      </c>
      <c r="X720" t="e">
        <f>IF($J720&gt;MAX('Match Log'!$A$4:$A$1510),NA(),IFERROR(LOOKUP(2,1/(('Match Log'!$D$4:$D$1510=$X$24)*('Match Log'!$A$4:$A$1510&lt;=$J720)),'Match Log'!$N$4:$N$1510),NA()))</f>
        <v>#N/A</v>
      </c>
      <c r="Y720" t="str">
        <f t="shared" ca="1" si="40"/>
        <v/>
      </c>
    </row>
    <row r="721" spans="1:25" x14ac:dyDescent="0.2">
      <c r="A721">
        <v>697</v>
      </c>
      <c r="B721" t="str">
        <f>IFERROR(INDEX('Match Log'!$B$4:$B$1510,MATCH($A721,'Match Log'!$A$4:$A$1510,0)),"")</f>
        <v/>
      </c>
      <c r="C721" t="str">
        <f>IFERROR(INDEX('Match Log'!$C$4:$C$1510,MATCH($A721,'Match Log'!$A$4:$A$1510,0)),"")</f>
        <v/>
      </c>
      <c r="D721" t="str">
        <f t="array" ref="D721">IFERROR(_xlfn.TEXTJOIN(" + ",TRUE(),IF(('Match Log'!$A$4:$A$1510=$A721)*('Match Log'!$E$4:$E$1510="Win"),'Match Log'!$D$4:$D$1510,"")),IFERROR(LOOKUP(2,1/(('Match Log'!$A$4:$A$1510=$A721)*('Match Log'!$E$4:$E$1510="Win")),'Match Log'!$D$4:$D$1510),""))</f>
        <v/>
      </c>
      <c r="E721" t="str">
        <f>IFERROR(INDEX('Match Log'!$F$4:$F$1510,MATCH($A721,'Match Log'!$A$4:$A$1510,0)),"")</f>
        <v/>
      </c>
      <c r="F721">
        <f>IFERROR(SUMIFS('Match Log'!$I$4:$I$1510,'Match Log'!$A$4:$A$1510,$A721,'Match Log'!$E$4:$E$1510,"Win"),"")</f>
        <v>0</v>
      </c>
      <c r="G721" t="str">
        <f t="shared" si="38"/>
        <v/>
      </c>
      <c r="H721" t="str">
        <f t="array" ref="H721">IFERROR(IF(COUNTIFS('Match Log'!$A$4:$A$1510,$A721,'Match Log'!$E$4:$E$1510,"Win")&gt;1,_xlfn.TEXTJOIN(" + ",TRUE(),IF(('Match Log'!$A$4:$A$1510=$A721)*('Match Log'!$E$4:$E$1510="Loss"),'Match Log'!$D$4:$D$1510,"")),IF($E721=2,LOOKUP(2,1/(('Match Log'!$A$4:$A$1510=$A721)*('Match Log'!$E$4:$E$1510="Loss")),'Match Log'!$D$4:$D$1510),"the field")),"")</f>
        <v>the field</v>
      </c>
      <c r="I721" t="str">
        <f t="shared" si="39"/>
        <v/>
      </c>
      <c r="J721">
        <v>697</v>
      </c>
      <c r="K721" t="e">
        <f>IF($J721&gt;MAX('Match Log'!$A$4:$A$1510),NA(),IFERROR(LOOKUP(2,1/(('Match Log'!$D$4:$D$1510=$K$24)*('Match Log'!$A$4:$A$1510&lt;=$J721)),'Match Log'!$N$4:$N$1510),NA()))</f>
        <v>#N/A</v>
      </c>
      <c r="L721" t="e">
        <f>IF($J721&gt;MAX('Match Log'!$A$4:$A$1510),NA(),IFERROR(LOOKUP(2,1/(('Match Log'!$D$4:$D$1510=$L$24)*('Match Log'!$A$4:$A$1510&lt;=$J721)),'Match Log'!$N$4:$N$1510),NA()))</f>
        <v>#N/A</v>
      </c>
      <c r="M721" t="e">
        <f>IF($J721&gt;MAX('Match Log'!$A$4:$A$1510),NA(),IFERROR(LOOKUP(2,1/(('Match Log'!$D$4:$D$1510=$M$24)*('Match Log'!$A$4:$A$1510&lt;=$J721)),'Match Log'!$N$4:$N$1510),NA()))</f>
        <v>#N/A</v>
      </c>
      <c r="N721" t="e">
        <f>IF($J721&gt;MAX('Match Log'!$A$4:$A$1510),NA(),IFERROR(LOOKUP(2,1/(('Match Log'!$D$4:$D$1510=$N$24)*('Match Log'!$A$4:$A$1510&lt;=$J721)),'Match Log'!$N$4:$N$1510),NA()))</f>
        <v>#N/A</v>
      </c>
      <c r="O721" t="e">
        <f>IF($J721&gt;MAX('Match Log'!$A$4:$A$1510),NA(),IFERROR(LOOKUP(2,1/(('Match Log'!$D$4:$D$1510=$O$24)*('Match Log'!$A$4:$A$1510&lt;=$J721)),'Match Log'!$N$4:$N$1510),NA()))</f>
        <v>#N/A</v>
      </c>
      <c r="P721" t="e">
        <f>IF($J721&gt;MAX('Match Log'!$A$4:$A$1510),NA(),IFERROR(LOOKUP(2,1/(('Match Log'!$D$4:$D$1510=$P$24)*('Match Log'!$A$4:$A$1510&lt;=$J721)),'Match Log'!$N$4:$N$1510),NA()))</f>
        <v>#N/A</v>
      </c>
      <c r="Q721" t="e">
        <f>IF($J721&gt;MAX('Match Log'!$A$4:$A$1510),NA(),IFERROR(LOOKUP(2,1/(('Match Log'!$D$4:$D$1510=$Q$24)*('Match Log'!$A$4:$A$1510&lt;=$J721)),'Match Log'!$N$4:$N$1510),NA()))</f>
        <v>#N/A</v>
      </c>
      <c r="R721" t="e">
        <f>IF($J721&gt;MAX('Match Log'!$A$4:$A$1510),NA(),IFERROR(LOOKUP(2,1/(('Match Log'!$D$4:$D$1510=$R$24)*('Match Log'!$A$4:$A$1510&lt;=$J721)),'Match Log'!$N$4:$N$1510),NA()))</f>
        <v>#N/A</v>
      </c>
      <c r="S721" t="e">
        <f>IF($J721&gt;MAX('Match Log'!$A$4:$A$1510),NA(),IFERROR(LOOKUP(2,1/(('Match Log'!$D$4:$D$1510=$S$24)*('Match Log'!$A$4:$A$1510&lt;=$J721)),'Match Log'!$N$4:$N$1510),NA()))</f>
        <v>#N/A</v>
      </c>
      <c r="T721" t="e">
        <f>IF($J721&gt;MAX('Match Log'!$A$4:$A$1510),NA(),IFERROR(LOOKUP(2,1/(('Match Log'!$D$4:$D$1510=$T$24)*('Match Log'!$A$4:$A$1510&lt;=$J721)),'Match Log'!$N$4:$N$1510),NA()))</f>
        <v>#N/A</v>
      </c>
      <c r="U721" t="e">
        <f>IF($J721&gt;MAX('Match Log'!$A$4:$A$1510),NA(),IFERROR(LOOKUP(2,1/(('Match Log'!$D$4:$D$1510=$U$24)*('Match Log'!$A$4:$A$1510&lt;=$J721)),'Match Log'!$N$4:$N$1510),NA()))</f>
        <v>#N/A</v>
      </c>
      <c r="V721" t="e">
        <f>IF($J721&gt;MAX('Match Log'!$A$4:$A$1510),NA(),IFERROR(LOOKUP(2,1/(('Match Log'!$D$4:$D$1510=$V$24)*('Match Log'!$A$4:$A$1510&lt;=$J721)),'Match Log'!$N$4:$N$1510),NA()))</f>
        <v>#N/A</v>
      </c>
      <c r="W721" t="e">
        <f>IF($J721&gt;MAX('Match Log'!$A$4:$A$1510),NA(),IFERROR(LOOKUP(2,1/(('Match Log'!$D$4:$D$1510=$W$24)*('Match Log'!$A$4:$A$1510&lt;=$J721)),'Match Log'!$N$4:$N$1510),NA()))</f>
        <v>#N/A</v>
      </c>
      <c r="X721" t="e">
        <f>IF($J721&gt;MAX('Match Log'!$A$4:$A$1510),NA(),IFERROR(LOOKUP(2,1/(('Match Log'!$D$4:$D$1510=$X$24)*('Match Log'!$A$4:$A$1510&lt;=$J721)),'Match Log'!$N$4:$N$1510),NA()))</f>
        <v>#N/A</v>
      </c>
      <c r="Y721" t="str">
        <f t="shared" ca="1" si="40"/>
        <v/>
      </c>
    </row>
    <row r="722" spans="1:25" x14ac:dyDescent="0.2">
      <c r="A722">
        <v>698</v>
      </c>
      <c r="B722" t="str">
        <f>IFERROR(INDEX('Match Log'!$B$4:$B$1510,MATCH($A722,'Match Log'!$A$4:$A$1510,0)),"")</f>
        <v/>
      </c>
      <c r="C722" t="str">
        <f>IFERROR(INDEX('Match Log'!$C$4:$C$1510,MATCH($A722,'Match Log'!$A$4:$A$1510,0)),"")</f>
        <v/>
      </c>
      <c r="D722" t="str">
        <f t="array" ref="D722">IFERROR(_xlfn.TEXTJOIN(" + ",TRUE(),IF(('Match Log'!$A$4:$A$1510=$A722)*('Match Log'!$E$4:$E$1510="Win"),'Match Log'!$D$4:$D$1510,"")),IFERROR(LOOKUP(2,1/(('Match Log'!$A$4:$A$1510=$A722)*('Match Log'!$E$4:$E$1510="Win")),'Match Log'!$D$4:$D$1510),""))</f>
        <v/>
      </c>
      <c r="E722" t="str">
        <f>IFERROR(INDEX('Match Log'!$F$4:$F$1510,MATCH($A722,'Match Log'!$A$4:$A$1510,0)),"")</f>
        <v/>
      </c>
      <c r="F722">
        <f>IFERROR(SUMIFS('Match Log'!$I$4:$I$1510,'Match Log'!$A$4:$A$1510,$A722,'Match Log'!$E$4:$E$1510,"Win"),"")</f>
        <v>0</v>
      </c>
      <c r="G722" t="str">
        <f t="shared" si="38"/>
        <v/>
      </c>
      <c r="H722" t="str">
        <f t="array" ref="H722">IFERROR(IF(COUNTIFS('Match Log'!$A$4:$A$1510,$A722,'Match Log'!$E$4:$E$1510,"Win")&gt;1,_xlfn.TEXTJOIN(" + ",TRUE(),IF(('Match Log'!$A$4:$A$1510=$A722)*('Match Log'!$E$4:$E$1510="Loss"),'Match Log'!$D$4:$D$1510,"")),IF($E722=2,LOOKUP(2,1/(('Match Log'!$A$4:$A$1510=$A722)*('Match Log'!$E$4:$E$1510="Loss")),'Match Log'!$D$4:$D$1510),"the field")),"")</f>
        <v>the field</v>
      </c>
      <c r="I722" t="str">
        <f t="shared" si="39"/>
        <v/>
      </c>
      <c r="J722">
        <v>698</v>
      </c>
      <c r="K722" t="e">
        <f>IF($J722&gt;MAX('Match Log'!$A$4:$A$1510),NA(),IFERROR(LOOKUP(2,1/(('Match Log'!$D$4:$D$1510=$K$24)*('Match Log'!$A$4:$A$1510&lt;=$J722)),'Match Log'!$N$4:$N$1510),NA()))</f>
        <v>#N/A</v>
      </c>
      <c r="L722" t="e">
        <f>IF($J722&gt;MAX('Match Log'!$A$4:$A$1510),NA(),IFERROR(LOOKUP(2,1/(('Match Log'!$D$4:$D$1510=$L$24)*('Match Log'!$A$4:$A$1510&lt;=$J722)),'Match Log'!$N$4:$N$1510),NA()))</f>
        <v>#N/A</v>
      </c>
      <c r="M722" t="e">
        <f>IF($J722&gt;MAX('Match Log'!$A$4:$A$1510),NA(),IFERROR(LOOKUP(2,1/(('Match Log'!$D$4:$D$1510=$M$24)*('Match Log'!$A$4:$A$1510&lt;=$J722)),'Match Log'!$N$4:$N$1510),NA()))</f>
        <v>#N/A</v>
      </c>
      <c r="N722" t="e">
        <f>IF($J722&gt;MAX('Match Log'!$A$4:$A$1510),NA(),IFERROR(LOOKUP(2,1/(('Match Log'!$D$4:$D$1510=$N$24)*('Match Log'!$A$4:$A$1510&lt;=$J722)),'Match Log'!$N$4:$N$1510),NA()))</f>
        <v>#N/A</v>
      </c>
      <c r="O722" t="e">
        <f>IF($J722&gt;MAX('Match Log'!$A$4:$A$1510),NA(),IFERROR(LOOKUP(2,1/(('Match Log'!$D$4:$D$1510=$O$24)*('Match Log'!$A$4:$A$1510&lt;=$J722)),'Match Log'!$N$4:$N$1510),NA()))</f>
        <v>#N/A</v>
      </c>
      <c r="P722" t="e">
        <f>IF($J722&gt;MAX('Match Log'!$A$4:$A$1510),NA(),IFERROR(LOOKUP(2,1/(('Match Log'!$D$4:$D$1510=$P$24)*('Match Log'!$A$4:$A$1510&lt;=$J722)),'Match Log'!$N$4:$N$1510),NA()))</f>
        <v>#N/A</v>
      </c>
      <c r="Q722" t="e">
        <f>IF($J722&gt;MAX('Match Log'!$A$4:$A$1510),NA(),IFERROR(LOOKUP(2,1/(('Match Log'!$D$4:$D$1510=$Q$24)*('Match Log'!$A$4:$A$1510&lt;=$J722)),'Match Log'!$N$4:$N$1510),NA()))</f>
        <v>#N/A</v>
      </c>
      <c r="R722" t="e">
        <f>IF($J722&gt;MAX('Match Log'!$A$4:$A$1510),NA(),IFERROR(LOOKUP(2,1/(('Match Log'!$D$4:$D$1510=$R$24)*('Match Log'!$A$4:$A$1510&lt;=$J722)),'Match Log'!$N$4:$N$1510),NA()))</f>
        <v>#N/A</v>
      </c>
      <c r="S722" t="e">
        <f>IF($J722&gt;MAX('Match Log'!$A$4:$A$1510),NA(),IFERROR(LOOKUP(2,1/(('Match Log'!$D$4:$D$1510=$S$24)*('Match Log'!$A$4:$A$1510&lt;=$J722)),'Match Log'!$N$4:$N$1510),NA()))</f>
        <v>#N/A</v>
      </c>
      <c r="T722" t="e">
        <f>IF($J722&gt;MAX('Match Log'!$A$4:$A$1510),NA(),IFERROR(LOOKUP(2,1/(('Match Log'!$D$4:$D$1510=$T$24)*('Match Log'!$A$4:$A$1510&lt;=$J722)),'Match Log'!$N$4:$N$1510),NA()))</f>
        <v>#N/A</v>
      </c>
      <c r="U722" t="e">
        <f>IF($J722&gt;MAX('Match Log'!$A$4:$A$1510),NA(),IFERROR(LOOKUP(2,1/(('Match Log'!$D$4:$D$1510=$U$24)*('Match Log'!$A$4:$A$1510&lt;=$J722)),'Match Log'!$N$4:$N$1510),NA()))</f>
        <v>#N/A</v>
      </c>
      <c r="V722" t="e">
        <f>IF($J722&gt;MAX('Match Log'!$A$4:$A$1510),NA(),IFERROR(LOOKUP(2,1/(('Match Log'!$D$4:$D$1510=$V$24)*('Match Log'!$A$4:$A$1510&lt;=$J722)),'Match Log'!$N$4:$N$1510),NA()))</f>
        <v>#N/A</v>
      </c>
      <c r="W722" t="e">
        <f>IF($J722&gt;MAX('Match Log'!$A$4:$A$1510),NA(),IFERROR(LOOKUP(2,1/(('Match Log'!$D$4:$D$1510=$W$24)*('Match Log'!$A$4:$A$1510&lt;=$J722)),'Match Log'!$N$4:$N$1510),NA()))</f>
        <v>#N/A</v>
      </c>
      <c r="X722" t="e">
        <f>IF($J722&gt;MAX('Match Log'!$A$4:$A$1510),NA(),IFERROR(LOOKUP(2,1/(('Match Log'!$D$4:$D$1510=$X$24)*('Match Log'!$A$4:$A$1510&lt;=$J722)),'Match Log'!$N$4:$N$1510),NA()))</f>
        <v>#N/A</v>
      </c>
      <c r="Y722" t="str">
        <f t="shared" ca="1" si="40"/>
        <v/>
      </c>
    </row>
    <row r="723" spans="1:25" x14ac:dyDescent="0.2">
      <c r="A723">
        <v>699</v>
      </c>
      <c r="B723" t="str">
        <f>IFERROR(INDEX('Match Log'!$B$4:$B$1510,MATCH($A723,'Match Log'!$A$4:$A$1510,0)),"")</f>
        <v/>
      </c>
      <c r="C723" t="str">
        <f>IFERROR(INDEX('Match Log'!$C$4:$C$1510,MATCH($A723,'Match Log'!$A$4:$A$1510,0)),"")</f>
        <v/>
      </c>
      <c r="D723" t="str">
        <f t="array" ref="D723">IFERROR(_xlfn.TEXTJOIN(" + ",TRUE(),IF(('Match Log'!$A$4:$A$1510=$A723)*('Match Log'!$E$4:$E$1510="Win"),'Match Log'!$D$4:$D$1510,"")),IFERROR(LOOKUP(2,1/(('Match Log'!$A$4:$A$1510=$A723)*('Match Log'!$E$4:$E$1510="Win")),'Match Log'!$D$4:$D$1510),""))</f>
        <v/>
      </c>
      <c r="E723" t="str">
        <f>IFERROR(INDEX('Match Log'!$F$4:$F$1510,MATCH($A723,'Match Log'!$A$4:$A$1510,0)),"")</f>
        <v/>
      </c>
      <c r="F723">
        <f>IFERROR(SUMIFS('Match Log'!$I$4:$I$1510,'Match Log'!$A$4:$A$1510,$A723,'Match Log'!$E$4:$E$1510,"Win"),"")</f>
        <v>0</v>
      </c>
      <c r="G723" t="str">
        <f t="shared" si="38"/>
        <v/>
      </c>
      <c r="H723" t="str">
        <f t="array" ref="H723">IFERROR(IF(COUNTIFS('Match Log'!$A$4:$A$1510,$A723,'Match Log'!$E$4:$E$1510,"Win")&gt;1,_xlfn.TEXTJOIN(" + ",TRUE(),IF(('Match Log'!$A$4:$A$1510=$A723)*('Match Log'!$E$4:$E$1510="Loss"),'Match Log'!$D$4:$D$1510,"")),IF($E723=2,LOOKUP(2,1/(('Match Log'!$A$4:$A$1510=$A723)*('Match Log'!$E$4:$E$1510="Loss")),'Match Log'!$D$4:$D$1510),"the field")),"")</f>
        <v>the field</v>
      </c>
      <c r="I723" t="str">
        <f t="shared" si="39"/>
        <v/>
      </c>
      <c r="J723">
        <v>699</v>
      </c>
      <c r="K723" t="e">
        <f>IF($J723&gt;MAX('Match Log'!$A$4:$A$1510),NA(),IFERROR(LOOKUP(2,1/(('Match Log'!$D$4:$D$1510=$K$24)*('Match Log'!$A$4:$A$1510&lt;=$J723)),'Match Log'!$N$4:$N$1510),NA()))</f>
        <v>#N/A</v>
      </c>
      <c r="L723" t="e">
        <f>IF($J723&gt;MAX('Match Log'!$A$4:$A$1510),NA(),IFERROR(LOOKUP(2,1/(('Match Log'!$D$4:$D$1510=$L$24)*('Match Log'!$A$4:$A$1510&lt;=$J723)),'Match Log'!$N$4:$N$1510),NA()))</f>
        <v>#N/A</v>
      </c>
      <c r="M723" t="e">
        <f>IF($J723&gt;MAX('Match Log'!$A$4:$A$1510),NA(),IFERROR(LOOKUP(2,1/(('Match Log'!$D$4:$D$1510=$M$24)*('Match Log'!$A$4:$A$1510&lt;=$J723)),'Match Log'!$N$4:$N$1510),NA()))</f>
        <v>#N/A</v>
      </c>
      <c r="N723" t="e">
        <f>IF($J723&gt;MAX('Match Log'!$A$4:$A$1510),NA(),IFERROR(LOOKUP(2,1/(('Match Log'!$D$4:$D$1510=$N$24)*('Match Log'!$A$4:$A$1510&lt;=$J723)),'Match Log'!$N$4:$N$1510),NA()))</f>
        <v>#N/A</v>
      </c>
      <c r="O723" t="e">
        <f>IF($J723&gt;MAX('Match Log'!$A$4:$A$1510),NA(),IFERROR(LOOKUP(2,1/(('Match Log'!$D$4:$D$1510=$O$24)*('Match Log'!$A$4:$A$1510&lt;=$J723)),'Match Log'!$N$4:$N$1510),NA()))</f>
        <v>#N/A</v>
      </c>
      <c r="P723" t="e">
        <f>IF($J723&gt;MAX('Match Log'!$A$4:$A$1510),NA(),IFERROR(LOOKUP(2,1/(('Match Log'!$D$4:$D$1510=$P$24)*('Match Log'!$A$4:$A$1510&lt;=$J723)),'Match Log'!$N$4:$N$1510),NA()))</f>
        <v>#N/A</v>
      </c>
      <c r="Q723" t="e">
        <f>IF($J723&gt;MAX('Match Log'!$A$4:$A$1510),NA(),IFERROR(LOOKUP(2,1/(('Match Log'!$D$4:$D$1510=$Q$24)*('Match Log'!$A$4:$A$1510&lt;=$J723)),'Match Log'!$N$4:$N$1510),NA()))</f>
        <v>#N/A</v>
      </c>
      <c r="R723" t="e">
        <f>IF($J723&gt;MAX('Match Log'!$A$4:$A$1510),NA(),IFERROR(LOOKUP(2,1/(('Match Log'!$D$4:$D$1510=$R$24)*('Match Log'!$A$4:$A$1510&lt;=$J723)),'Match Log'!$N$4:$N$1510),NA()))</f>
        <v>#N/A</v>
      </c>
      <c r="S723" t="e">
        <f>IF($J723&gt;MAX('Match Log'!$A$4:$A$1510),NA(),IFERROR(LOOKUP(2,1/(('Match Log'!$D$4:$D$1510=$S$24)*('Match Log'!$A$4:$A$1510&lt;=$J723)),'Match Log'!$N$4:$N$1510),NA()))</f>
        <v>#N/A</v>
      </c>
      <c r="T723" t="e">
        <f>IF($J723&gt;MAX('Match Log'!$A$4:$A$1510),NA(),IFERROR(LOOKUP(2,1/(('Match Log'!$D$4:$D$1510=$T$24)*('Match Log'!$A$4:$A$1510&lt;=$J723)),'Match Log'!$N$4:$N$1510),NA()))</f>
        <v>#N/A</v>
      </c>
      <c r="U723" t="e">
        <f>IF($J723&gt;MAX('Match Log'!$A$4:$A$1510),NA(),IFERROR(LOOKUP(2,1/(('Match Log'!$D$4:$D$1510=$U$24)*('Match Log'!$A$4:$A$1510&lt;=$J723)),'Match Log'!$N$4:$N$1510),NA()))</f>
        <v>#N/A</v>
      </c>
      <c r="V723" t="e">
        <f>IF($J723&gt;MAX('Match Log'!$A$4:$A$1510),NA(),IFERROR(LOOKUP(2,1/(('Match Log'!$D$4:$D$1510=$V$24)*('Match Log'!$A$4:$A$1510&lt;=$J723)),'Match Log'!$N$4:$N$1510),NA()))</f>
        <v>#N/A</v>
      </c>
      <c r="W723" t="e">
        <f>IF($J723&gt;MAX('Match Log'!$A$4:$A$1510),NA(),IFERROR(LOOKUP(2,1/(('Match Log'!$D$4:$D$1510=$W$24)*('Match Log'!$A$4:$A$1510&lt;=$J723)),'Match Log'!$N$4:$N$1510),NA()))</f>
        <v>#N/A</v>
      </c>
      <c r="X723" t="e">
        <f>IF($J723&gt;MAX('Match Log'!$A$4:$A$1510),NA(),IFERROR(LOOKUP(2,1/(('Match Log'!$D$4:$D$1510=$X$24)*('Match Log'!$A$4:$A$1510&lt;=$J723)),'Match Log'!$N$4:$N$1510),NA()))</f>
        <v>#N/A</v>
      </c>
      <c r="Y723" t="str">
        <f t="shared" ca="1" si="40"/>
        <v/>
      </c>
    </row>
    <row r="724" spans="1:25" x14ac:dyDescent="0.2">
      <c r="A724">
        <v>700</v>
      </c>
      <c r="B724" t="str">
        <f>IFERROR(INDEX('Match Log'!$B$4:$B$1510,MATCH($A724,'Match Log'!$A$4:$A$1510,0)),"")</f>
        <v/>
      </c>
      <c r="C724" t="str">
        <f>IFERROR(INDEX('Match Log'!$C$4:$C$1510,MATCH($A724,'Match Log'!$A$4:$A$1510,0)),"")</f>
        <v/>
      </c>
      <c r="D724" t="str">
        <f t="array" ref="D724">IFERROR(_xlfn.TEXTJOIN(" + ",TRUE(),IF(('Match Log'!$A$4:$A$1510=$A724)*('Match Log'!$E$4:$E$1510="Win"),'Match Log'!$D$4:$D$1510,"")),IFERROR(LOOKUP(2,1/(('Match Log'!$A$4:$A$1510=$A724)*('Match Log'!$E$4:$E$1510="Win")),'Match Log'!$D$4:$D$1510),""))</f>
        <v/>
      </c>
      <c r="E724" t="str">
        <f>IFERROR(INDEX('Match Log'!$F$4:$F$1510,MATCH($A724,'Match Log'!$A$4:$A$1510,0)),"")</f>
        <v/>
      </c>
      <c r="F724">
        <f>IFERROR(SUMIFS('Match Log'!$I$4:$I$1510,'Match Log'!$A$4:$A$1510,$A724,'Match Log'!$E$4:$E$1510,"Win"),"")</f>
        <v>0</v>
      </c>
      <c r="G724" t="str">
        <f t="shared" si="38"/>
        <v/>
      </c>
      <c r="H724" t="str">
        <f t="array" ref="H724">IFERROR(IF(COUNTIFS('Match Log'!$A$4:$A$1510,$A724,'Match Log'!$E$4:$E$1510,"Win")&gt;1,_xlfn.TEXTJOIN(" + ",TRUE(),IF(('Match Log'!$A$4:$A$1510=$A724)*('Match Log'!$E$4:$E$1510="Loss"),'Match Log'!$D$4:$D$1510,"")),IF($E724=2,LOOKUP(2,1/(('Match Log'!$A$4:$A$1510=$A724)*('Match Log'!$E$4:$E$1510="Loss")),'Match Log'!$D$4:$D$1510),"the field")),"")</f>
        <v>the field</v>
      </c>
      <c r="I724" t="str">
        <f t="shared" si="39"/>
        <v/>
      </c>
      <c r="J724">
        <v>700</v>
      </c>
      <c r="K724" t="e">
        <f>IF($J724&gt;MAX('Match Log'!$A$4:$A$1510),NA(),IFERROR(LOOKUP(2,1/(('Match Log'!$D$4:$D$1510=$K$24)*('Match Log'!$A$4:$A$1510&lt;=$J724)),'Match Log'!$N$4:$N$1510),NA()))</f>
        <v>#N/A</v>
      </c>
      <c r="L724" t="e">
        <f>IF($J724&gt;MAX('Match Log'!$A$4:$A$1510),NA(),IFERROR(LOOKUP(2,1/(('Match Log'!$D$4:$D$1510=$L$24)*('Match Log'!$A$4:$A$1510&lt;=$J724)),'Match Log'!$N$4:$N$1510),NA()))</f>
        <v>#N/A</v>
      </c>
      <c r="M724" t="e">
        <f>IF($J724&gt;MAX('Match Log'!$A$4:$A$1510),NA(),IFERROR(LOOKUP(2,1/(('Match Log'!$D$4:$D$1510=$M$24)*('Match Log'!$A$4:$A$1510&lt;=$J724)),'Match Log'!$N$4:$N$1510),NA()))</f>
        <v>#N/A</v>
      </c>
      <c r="N724" t="e">
        <f>IF($J724&gt;MAX('Match Log'!$A$4:$A$1510),NA(),IFERROR(LOOKUP(2,1/(('Match Log'!$D$4:$D$1510=$N$24)*('Match Log'!$A$4:$A$1510&lt;=$J724)),'Match Log'!$N$4:$N$1510),NA()))</f>
        <v>#N/A</v>
      </c>
      <c r="O724" t="e">
        <f>IF($J724&gt;MAX('Match Log'!$A$4:$A$1510),NA(),IFERROR(LOOKUP(2,1/(('Match Log'!$D$4:$D$1510=$O$24)*('Match Log'!$A$4:$A$1510&lt;=$J724)),'Match Log'!$N$4:$N$1510),NA()))</f>
        <v>#N/A</v>
      </c>
      <c r="P724" t="e">
        <f>IF($J724&gt;MAX('Match Log'!$A$4:$A$1510),NA(),IFERROR(LOOKUP(2,1/(('Match Log'!$D$4:$D$1510=$P$24)*('Match Log'!$A$4:$A$1510&lt;=$J724)),'Match Log'!$N$4:$N$1510),NA()))</f>
        <v>#N/A</v>
      </c>
      <c r="Q724" t="e">
        <f>IF($J724&gt;MAX('Match Log'!$A$4:$A$1510),NA(),IFERROR(LOOKUP(2,1/(('Match Log'!$D$4:$D$1510=$Q$24)*('Match Log'!$A$4:$A$1510&lt;=$J724)),'Match Log'!$N$4:$N$1510),NA()))</f>
        <v>#N/A</v>
      </c>
      <c r="R724" t="e">
        <f>IF($J724&gt;MAX('Match Log'!$A$4:$A$1510),NA(),IFERROR(LOOKUP(2,1/(('Match Log'!$D$4:$D$1510=$R$24)*('Match Log'!$A$4:$A$1510&lt;=$J724)),'Match Log'!$N$4:$N$1510),NA()))</f>
        <v>#N/A</v>
      </c>
      <c r="S724" t="e">
        <f>IF($J724&gt;MAX('Match Log'!$A$4:$A$1510),NA(),IFERROR(LOOKUP(2,1/(('Match Log'!$D$4:$D$1510=$S$24)*('Match Log'!$A$4:$A$1510&lt;=$J724)),'Match Log'!$N$4:$N$1510),NA()))</f>
        <v>#N/A</v>
      </c>
      <c r="T724" t="e">
        <f>IF($J724&gt;MAX('Match Log'!$A$4:$A$1510),NA(),IFERROR(LOOKUP(2,1/(('Match Log'!$D$4:$D$1510=$T$24)*('Match Log'!$A$4:$A$1510&lt;=$J724)),'Match Log'!$N$4:$N$1510),NA()))</f>
        <v>#N/A</v>
      </c>
      <c r="U724" t="e">
        <f>IF($J724&gt;MAX('Match Log'!$A$4:$A$1510),NA(),IFERROR(LOOKUP(2,1/(('Match Log'!$D$4:$D$1510=$U$24)*('Match Log'!$A$4:$A$1510&lt;=$J724)),'Match Log'!$N$4:$N$1510),NA()))</f>
        <v>#N/A</v>
      </c>
      <c r="V724" t="e">
        <f>IF($J724&gt;MAX('Match Log'!$A$4:$A$1510),NA(),IFERROR(LOOKUP(2,1/(('Match Log'!$D$4:$D$1510=$V$24)*('Match Log'!$A$4:$A$1510&lt;=$J724)),'Match Log'!$N$4:$N$1510),NA()))</f>
        <v>#N/A</v>
      </c>
      <c r="W724" t="e">
        <f>IF($J724&gt;MAX('Match Log'!$A$4:$A$1510),NA(),IFERROR(LOOKUP(2,1/(('Match Log'!$D$4:$D$1510=$W$24)*('Match Log'!$A$4:$A$1510&lt;=$J724)),'Match Log'!$N$4:$N$1510),NA()))</f>
        <v>#N/A</v>
      </c>
      <c r="X724" t="e">
        <f>IF($J724&gt;MAX('Match Log'!$A$4:$A$1510),NA(),IFERROR(LOOKUP(2,1/(('Match Log'!$D$4:$D$1510=$X$24)*('Match Log'!$A$4:$A$1510&lt;=$J724)),'Match Log'!$N$4:$N$1510),NA()))</f>
        <v>#N/A</v>
      </c>
      <c r="Y724" t="str">
        <f t="shared" ca="1" si="40"/>
        <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5"/>
  <sheetViews>
    <sheetView zoomScaleNormal="100" workbookViewId="0"/>
  </sheetViews>
  <sheetFormatPr baseColWidth="10" defaultColWidth="8.6640625" defaultRowHeight="15" x14ac:dyDescent="0.2"/>
  <sheetData>
    <row r="1" spans="1:17" ht="15" customHeight="1" x14ac:dyDescent="0.2">
      <c r="A1" t="s">
        <v>5</v>
      </c>
      <c r="B1" t="s">
        <v>6</v>
      </c>
      <c r="C1" t="s">
        <v>263</v>
      </c>
    </row>
    <row r="2" spans="1:17" ht="15" customHeight="1" x14ac:dyDescent="0.2">
      <c r="A2" t="s">
        <v>15</v>
      </c>
      <c r="B2">
        <f>IF(COUNTIF('Match Log'!$D$4:$D$1510,$A2)=0,'Guide &amp; Settings'!$C$41,IFERROR(LOOKUP(2,1/('Match Log'!$D$4:$D$1510=$A2),'Match Log'!$N$4:$N$1510),'Guide &amp; Settings'!$C$41))</f>
        <v>1244.2911759451083</v>
      </c>
      <c r="C2">
        <f>IFERROR(SUMPRODUCT(INDEX('Head-to-Head'!$B$22:$O$35,1,0),$D$2:$Q$2)/SUM(INDEX('Head-to-Head'!$B$22:$O$35,1,0)),"")</f>
        <v>1157.4221709300564</v>
      </c>
      <c r="D2">
        <f>$B$2</f>
        <v>1244.2911759451083</v>
      </c>
      <c r="E2">
        <f>$B$3</f>
        <v>1029.5175965335138</v>
      </c>
      <c r="F2">
        <f>$B$4</f>
        <v>1048.0761030598392</v>
      </c>
      <c r="G2">
        <f>$B$5</f>
        <v>907.03133644117429</v>
      </c>
      <c r="H2">
        <f>$B$6</f>
        <v>1251.9358369946654</v>
      </c>
      <c r="I2">
        <f>$B$7</f>
        <v>1231.9133292156973</v>
      </c>
      <c r="J2">
        <f>$B$8</f>
        <v>1210.5445492849278</v>
      </c>
      <c r="K2">
        <f>$B$9</f>
        <v>1156.2993424480139</v>
      </c>
      <c r="L2">
        <f>$B$10</f>
        <v>1217.9015417269482</v>
      </c>
      <c r="M2">
        <f>$B$11</f>
        <v>862.22294373677494</v>
      </c>
      <c r="N2">
        <f>$B$12</f>
        <v>972.21010962469381</v>
      </c>
      <c r="O2">
        <f>$B$13</f>
        <v>1087.5488947064855</v>
      </c>
      <c r="P2">
        <f>$B$14</f>
        <v>1010.5072402821568</v>
      </c>
      <c r="Q2">
        <f>$B$15</f>
        <v>1000</v>
      </c>
    </row>
    <row r="3" spans="1:17" ht="15" customHeight="1" x14ac:dyDescent="0.2">
      <c r="A3" t="s">
        <v>16</v>
      </c>
      <c r="B3">
        <f>IF(COUNTIF('Match Log'!$D$4:$D$1510,$A3)=0,'Guide &amp; Settings'!$C$41,IFERROR(LOOKUP(2,1/('Match Log'!$D$4:$D$1510=$A3),'Match Log'!$N$4:$N$1510),'Guide &amp; Settings'!$C$41))</f>
        <v>1029.5175965335138</v>
      </c>
      <c r="C3">
        <f>IFERROR(SUMPRODUCT(INDEX('Head-to-Head'!$B$22:$O$35,2,0),$D$2:$Q$2)/SUM(INDEX('Head-to-Head'!$B$22:$O$35,2,0)),"")</f>
        <v>1098.1933664327885</v>
      </c>
    </row>
    <row r="4" spans="1:17" ht="15" customHeight="1" x14ac:dyDescent="0.2">
      <c r="A4" t="s">
        <v>17</v>
      </c>
      <c r="B4">
        <f>IF(COUNTIF('Match Log'!$D$4:$D$1510,$A4)=0,'Guide &amp; Settings'!$C$41,IFERROR(LOOKUP(2,1/('Match Log'!$D$4:$D$1510=$A4),'Match Log'!$N$4:$N$1510),'Guide &amp; Settings'!$C$41))</f>
        <v>1048.0761030598392</v>
      </c>
      <c r="C4">
        <f>IFERROR(SUMPRODUCT(INDEX('Head-to-Head'!$B$22:$O$35,3,0),$D$2:$Q$2)/SUM(INDEX('Head-to-Head'!$B$22:$O$35,3,0)),"")</f>
        <v>1158.1953774680592</v>
      </c>
    </row>
    <row r="5" spans="1:17" ht="15" customHeight="1" x14ac:dyDescent="0.2">
      <c r="A5" t="s">
        <v>18</v>
      </c>
      <c r="B5">
        <f>IF(COUNTIF('Match Log'!$D$4:$D$1510,$A5)=0,'Guide &amp; Settings'!$C$41,IFERROR(LOOKUP(2,1/('Match Log'!$D$4:$D$1510=$A5),'Match Log'!$N$4:$N$1510),'Guide &amp; Settings'!$C$41))</f>
        <v>907.03133644117429</v>
      </c>
      <c r="C5">
        <f>IFERROR(SUMPRODUCT(INDEX('Head-to-Head'!$B$22:$O$35,4,0),$D$2:$Q$2)/SUM(INDEX('Head-to-Head'!$B$22:$O$35,4,0)),"")</f>
        <v>1171.1498602219347</v>
      </c>
    </row>
    <row r="6" spans="1:17" ht="15" customHeight="1" x14ac:dyDescent="0.2">
      <c r="A6" t="s">
        <v>19</v>
      </c>
      <c r="B6">
        <f>IF(COUNTIF('Match Log'!$D$4:$D$1510,$A6)=0,'Guide &amp; Settings'!$C$41,IFERROR(LOOKUP(2,1/('Match Log'!$D$4:$D$1510=$A6),'Match Log'!$N$4:$N$1510),'Guide &amp; Settings'!$C$41))</f>
        <v>1251.9358369946654</v>
      </c>
      <c r="C6">
        <f>IFERROR(SUMPRODUCT(INDEX('Head-to-Head'!$B$22:$O$35,5,0),$D$2:$Q$2)/SUM(INDEX('Head-to-Head'!$B$22:$O$35,5,0)),"")</f>
        <v>1137.5369975573669</v>
      </c>
    </row>
    <row r="7" spans="1:17" ht="15" customHeight="1" x14ac:dyDescent="0.2">
      <c r="A7" t="s">
        <v>20</v>
      </c>
      <c r="B7">
        <f>IF(COUNTIF('Match Log'!$D$4:$D$1510,$A7)=0,'Guide &amp; Settings'!$C$41,IFERROR(LOOKUP(2,1/('Match Log'!$D$4:$D$1510=$A7),'Match Log'!$N$4:$N$1510),'Guide &amp; Settings'!$C$41))</f>
        <v>1231.9133292156973</v>
      </c>
      <c r="C7">
        <f>IFERROR(SUMPRODUCT(INDEX('Head-to-Head'!$B$22:$O$35,6,0),$D$2:$Q$2)/SUM(INDEX('Head-to-Head'!$B$22:$O$35,6,0)),"")</f>
        <v>1142.2912336117965</v>
      </c>
    </row>
    <row r="8" spans="1:17" ht="15" customHeight="1" x14ac:dyDescent="0.2">
      <c r="A8" t="s">
        <v>21</v>
      </c>
      <c r="B8">
        <f>IF(COUNTIF('Match Log'!$D$4:$D$1510,$A8)=0,'Guide &amp; Settings'!$C$41,IFERROR(LOOKUP(2,1/('Match Log'!$D$4:$D$1510=$A8),'Match Log'!$N$4:$N$1510),'Guide &amp; Settings'!$C$41))</f>
        <v>1210.5445492849278</v>
      </c>
      <c r="C8">
        <f>IFERROR(SUMPRODUCT(INDEX('Head-to-Head'!$B$22:$O$35,7,0),$D$2:$Q$2)/SUM(INDEX('Head-to-Head'!$B$22:$O$35,7,0)),"")</f>
        <v>1088.4310099379754</v>
      </c>
    </row>
    <row r="9" spans="1:17" ht="15" customHeight="1" x14ac:dyDescent="0.2">
      <c r="A9" t="s">
        <v>22</v>
      </c>
      <c r="B9">
        <f>IF(COUNTIF('Match Log'!$D$4:$D$1510,$A9)=0,'Guide &amp; Settings'!$C$41,IFERROR(LOOKUP(2,1/('Match Log'!$D$4:$D$1510=$A9),'Match Log'!$N$4:$N$1510),'Guide &amp; Settings'!$C$41))</f>
        <v>1156.2993424480139</v>
      </c>
      <c r="C9">
        <f>IFERROR(SUMPRODUCT(INDEX('Head-to-Head'!$B$22:$O$35,8,0),$D$2:$Q$2)/SUM(INDEX('Head-to-Head'!$B$22:$O$35,8,0)),"")</f>
        <v>1181.8190141493958</v>
      </c>
    </row>
    <row r="10" spans="1:17" ht="15" customHeight="1" x14ac:dyDescent="0.2">
      <c r="A10" t="s">
        <v>23</v>
      </c>
      <c r="B10">
        <f>IF(COUNTIF('Match Log'!$D$4:$D$1510,$A10)=0,'Guide &amp; Settings'!$C$41,IFERROR(LOOKUP(2,1/('Match Log'!$D$4:$D$1510=$A10),'Match Log'!$N$4:$N$1510),'Guide &amp; Settings'!$C$41))</f>
        <v>1217.9015417269482</v>
      </c>
      <c r="C10">
        <f>IFERROR(SUMPRODUCT(INDEX('Head-to-Head'!$B$22:$O$35,9,0),$D$2:$Q$2)/SUM(INDEX('Head-to-Head'!$B$22:$O$35,9,0)),"")</f>
        <v>1134.8881196656466</v>
      </c>
    </row>
    <row r="11" spans="1:17" ht="15" customHeight="1" x14ac:dyDescent="0.2">
      <c r="A11" t="s">
        <v>24</v>
      </c>
      <c r="B11">
        <f>IF(COUNTIF('Match Log'!$D$4:$D$1510,$A11)=0,'Guide &amp; Settings'!$C$41,IFERROR(LOOKUP(2,1/('Match Log'!$D$4:$D$1510=$A11),'Match Log'!$N$4:$N$1510),'Guide &amp; Settings'!$C$41))</f>
        <v>862.22294373677494</v>
      </c>
      <c r="C11">
        <f>IFERROR(SUMPRODUCT(INDEX('Head-to-Head'!$B$22:$O$35,10,0),$D$2:$Q$2)/SUM(INDEX('Head-to-Head'!$B$22:$O$35,10,0)),"")</f>
        <v>1128.8013960504716</v>
      </c>
    </row>
    <row r="12" spans="1:17" ht="15" customHeight="1" x14ac:dyDescent="0.2">
      <c r="A12" t="s">
        <v>25</v>
      </c>
      <c r="B12">
        <f>IF(COUNTIF('Match Log'!$D$4:$D$1510,$A12)=0,'Guide &amp; Settings'!$C$41,IFERROR(LOOKUP(2,1/('Match Log'!$D$4:$D$1510=$A12),'Match Log'!$N$4:$N$1510),'Guide &amp; Settings'!$C$41))</f>
        <v>972.21010962469381</v>
      </c>
      <c r="C12">
        <f>IFERROR(SUMPRODUCT(INDEX('Head-to-Head'!$B$22:$O$35,11,0),$D$2:$Q$2)/SUM(INDEX('Head-to-Head'!$B$22:$O$35,11,0)),"")</f>
        <v>1184.8266958157653</v>
      </c>
    </row>
    <row r="13" spans="1:17" ht="15" customHeight="1" x14ac:dyDescent="0.2">
      <c r="A13" t="s">
        <v>26</v>
      </c>
      <c r="B13">
        <f>IF(COUNTIF('Match Log'!$D$4:$D$1510,$A13)=0,'Guide &amp; Settings'!$C$41,IFERROR(LOOKUP(2,1/('Match Log'!$D$4:$D$1510=$A13),'Match Log'!$N$4:$N$1510),'Guide &amp; Settings'!$C$41))</f>
        <v>1087.5488947064855</v>
      </c>
      <c r="C13">
        <f>IFERROR(SUMPRODUCT(INDEX('Head-to-Head'!$B$22:$O$35,12,0),$D$2:$Q$2)/SUM(INDEX('Head-to-Head'!$B$22:$O$35,12,0)),"")</f>
        <v>1065.4085288890217</v>
      </c>
    </row>
    <row r="14" spans="1:17" ht="15" customHeight="1" x14ac:dyDescent="0.2">
      <c r="A14" t="s">
        <v>27</v>
      </c>
      <c r="B14">
        <f>IF(COUNTIF('Match Log'!$D$4:$D$1510,$A14)=0,'Guide &amp; Settings'!$C$41,IFERROR(LOOKUP(2,1/('Match Log'!$D$4:$D$1510=$A14),'Match Log'!$N$4:$N$1510),'Guide &amp; Settings'!$C$41))</f>
        <v>1010.5072402821568</v>
      </c>
      <c r="C14">
        <f>IFERROR(SUMPRODUCT(INDEX('Head-to-Head'!$B$22:$O$35,13,0),$D$2:$Q$2)/SUM(INDEX('Head-to-Head'!$B$22:$O$35,13,0)),"")</f>
        <v>1115.8129421390397</v>
      </c>
    </row>
    <row r="15" spans="1:17" ht="15" customHeight="1" x14ac:dyDescent="0.2">
      <c r="A15" t="s">
        <v>28</v>
      </c>
      <c r="B15">
        <f>IF(COUNTIF('Match Log'!$D$4:$D$1510,$A15)=0,'Guide &amp; Settings'!$C$41,IFERROR(LOOKUP(2,1/('Match Log'!$D$4:$D$1510=$A15),'Match Log'!$N$4:$N$1510),'Guide &amp; Settings'!$C$41))</f>
        <v>1000</v>
      </c>
      <c r="C15" t="str">
        <f>IFERROR(SUMPRODUCT(INDEX('Head-to-Head'!$B$22:$O$35,14,0),$D$2:$Q$2)/SUM(INDEX('Head-to-Head'!$B$22:$O$35,14,0)),"")</f>
        <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6"/>
  <sheetViews>
    <sheetView zoomScaleNormal="100" workbookViewId="0">
      <selection activeCell="C26" sqref="C26"/>
    </sheetView>
  </sheetViews>
  <sheetFormatPr baseColWidth="10" defaultColWidth="8.6640625" defaultRowHeight="15" x14ac:dyDescent="0.2"/>
  <sheetData>
    <row r="1" spans="1:5" ht="15" customHeight="1" x14ac:dyDescent="0.2">
      <c r="A1" t="s">
        <v>440</v>
      </c>
      <c r="C1" t="s">
        <v>262</v>
      </c>
      <c r="E1" t="s">
        <v>349</v>
      </c>
    </row>
    <row r="2" spans="1:5" ht="15" customHeight="1" x14ac:dyDescent="0.2">
      <c r="A2" t="s">
        <v>15</v>
      </c>
      <c r="C2" t="s">
        <v>33</v>
      </c>
      <c r="E2" t="s">
        <v>370</v>
      </c>
    </row>
    <row r="3" spans="1:5" ht="15" customHeight="1" x14ac:dyDescent="0.2">
      <c r="A3" t="s">
        <v>16</v>
      </c>
      <c r="C3" t="s">
        <v>34</v>
      </c>
      <c r="E3" t="s">
        <v>371</v>
      </c>
    </row>
    <row r="4" spans="1:5" ht="15" customHeight="1" x14ac:dyDescent="0.2">
      <c r="A4" t="s">
        <v>17</v>
      </c>
      <c r="C4" t="s">
        <v>35</v>
      </c>
    </row>
    <row r="5" spans="1:5" ht="15" customHeight="1" x14ac:dyDescent="0.2">
      <c r="A5" t="s">
        <v>18</v>
      </c>
      <c r="C5" t="s">
        <v>36</v>
      </c>
    </row>
    <row r="6" spans="1:5" ht="15" customHeight="1" x14ac:dyDescent="0.2">
      <c r="A6" t="s">
        <v>19</v>
      </c>
      <c r="C6" t="s">
        <v>37</v>
      </c>
    </row>
    <row r="7" spans="1:5" ht="15" customHeight="1" x14ac:dyDescent="0.2">
      <c r="A7" t="s">
        <v>20</v>
      </c>
      <c r="C7" t="s">
        <v>38</v>
      </c>
    </row>
    <row r="8" spans="1:5" ht="15" customHeight="1" x14ac:dyDescent="0.2">
      <c r="A8" t="s">
        <v>21</v>
      </c>
      <c r="C8" t="s">
        <v>39</v>
      </c>
    </row>
    <row r="9" spans="1:5" ht="15" customHeight="1" x14ac:dyDescent="0.2">
      <c r="A9" t="s">
        <v>22</v>
      </c>
      <c r="C9" t="s">
        <v>40</v>
      </c>
    </row>
    <row r="10" spans="1:5" ht="15" customHeight="1" x14ac:dyDescent="0.2">
      <c r="A10" t="s">
        <v>23</v>
      </c>
      <c r="C10" t="s">
        <v>41</v>
      </c>
    </row>
    <row r="11" spans="1:5" ht="15" customHeight="1" x14ac:dyDescent="0.2">
      <c r="A11" t="s">
        <v>24</v>
      </c>
      <c r="C11" t="s">
        <v>42</v>
      </c>
    </row>
    <row r="12" spans="1:5" ht="15" customHeight="1" x14ac:dyDescent="0.2">
      <c r="A12" t="s">
        <v>25</v>
      </c>
      <c r="C12" t="s">
        <v>43</v>
      </c>
    </row>
    <row r="13" spans="1:5" ht="15" customHeight="1" x14ac:dyDescent="0.2">
      <c r="A13" t="s">
        <v>26</v>
      </c>
      <c r="C13" t="s">
        <v>44</v>
      </c>
    </row>
    <row r="14" spans="1:5" ht="15" customHeight="1" x14ac:dyDescent="0.2">
      <c r="A14" t="s">
        <v>27</v>
      </c>
      <c r="C14" t="s">
        <v>9</v>
      </c>
    </row>
    <row r="15" spans="1:5" ht="15" customHeight="1" x14ac:dyDescent="0.2">
      <c r="A15" t="s">
        <v>28</v>
      </c>
      <c r="C15" t="s">
        <v>45</v>
      </c>
    </row>
    <row r="16" spans="1:5" ht="15" customHeight="1" x14ac:dyDescent="0.2">
      <c r="C16" t="s">
        <v>46</v>
      </c>
    </row>
    <row r="17" spans="3:3" ht="15" customHeight="1" x14ac:dyDescent="0.2">
      <c r="C17" t="s">
        <v>47</v>
      </c>
    </row>
    <row r="18" spans="3:3" ht="15" customHeight="1" x14ac:dyDescent="0.2">
      <c r="C18" t="s">
        <v>48</v>
      </c>
    </row>
    <row r="19" spans="3:3" ht="15" customHeight="1" x14ac:dyDescent="0.2">
      <c r="C19" t="s">
        <v>49</v>
      </c>
    </row>
    <row r="20" spans="3:3" ht="15" customHeight="1" x14ac:dyDescent="0.2">
      <c r="C20" t="s">
        <v>50</v>
      </c>
    </row>
    <row r="21" spans="3:3" x14ac:dyDescent="0.2">
      <c r="C21" t="s">
        <v>51</v>
      </c>
    </row>
    <row r="22" spans="3:3" x14ac:dyDescent="0.2">
      <c r="C22" t="s">
        <v>52</v>
      </c>
    </row>
    <row r="23" spans="3:3" x14ac:dyDescent="0.2">
      <c r="C23" t="s">
        <v>53</v>
      </c>
    </row>
    <row r="24" spans="3:3" x14ac:dyDescent="0.2">
      <c r="C24" t="s">
        <v>54</v>
      </c>
    </row>
    <row r="25" spans="3:3" x14ac:dyDescent="0.2">
      <c r="C25" t="s">
        <v>446</v>
      </c>
    </row>
    <row r="26" spans="3:3" x14ac:dyDescent="0.2">
      <c r="C26" t="s">
        <v>55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Guide &amp; Settings</vt:lpstr>
      <vt:lpstr>FWC Weekly</vt:lpstr>
      <vt:lpstr>Leaders</vt:lpstr>
      <vt:lpstr>Dashboard</vt:lpstr>
      <vt:lpstr>Player Card</vt:lpstr>
      <vt:lpstr>Head-to-Head</vt:lpstr>
      <vt:lpstr>Sport Records</vt:lpstr>
      <vt:lpstr>Records &amp; Awards</vt:lpstr>
      <vt:lpstr>Trends &amp; Stats</vt:lpstr>
      <vt:lpstr>Match Log</vt:lpstr>
      <vt:lpstr>Sport Voting</vt:lpstr>
      <vt:lpstr>Poker Stake Ledger</vt:lpstr>
      <vt:lpstr>Calcs</vt:lpstr>
      <vt:lpstr>Engine</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Shawn Peach</cp:lastModifiedBy>
  <cp:revision>14</cp:revision>
  <cp:lastPrinted>2026-06-29T13:40:16Z</cp:lastPrinted>
  <dcterms:created xsi:type="dcterms:W3CDTF">2026-06-14T14:59:50Z</dcterms:created>
  <dcterms:modified xsi:type="dcterms:W3CDTF">2026-10-24T07:55:40Z</dcterms:modified>
  <dc:language>en-US</dc:language>
</cp:coreProperties>
</file>